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omments1.xml" ContentType="application/vnd.openxmlformats-officedocument.spreadsheetml.comments+xml"/>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drawings/drawing3.xml" ContentType="application/vnd.openxmlformats-officedocument.drawing+xml"/>
  <Override PartName="/xl/activeX/activeX5.xml" ContentType="application/vnd.ms-office.activeX+xml"/>
  <Override PartName="/xl/activeX/activeX5.bin" ContentType="application/vnd.ms-office.activeX"/>
  <Override PartName="/xl/drawings/drawing4.xml" ContentType="application/vnd.openxmlformats-officedocument.drawing+xml"/>
  <Override PartName="/xl/activeX/activeX6.xml" ContentType="application/vnd.ms-office.activeX+xml"/>
  <Override PartName="/xl/activeX/activeX6.bin" ContentType="application/vnd.ms-office.activeX"/>
  <Override PartName="/xl/drawings/drawing5.xml" ContentType="application/vnd.openxmlformats-officedocument.drawing+xml"/>
  <Override PartName="/xl/activeX/activeX7.xml" ContentType="application/vnd.ms-office.activeX+xml"/>
  <Override PartName="/xl/activeX/activeX7.bin" ContentType="application/vnd.ms-office.activeX"/>
  <Override PartName="/xl/drawings/drawing6.xml" ContentType="application/vnd.openxmlformats-officedocument.drawing+xml"/>
  <Override PartName="/xl/activeX/activeX8.xml" ContentType="application/vnd.ms-office.activeX+xml"/>
  <Override PartName="/xl/activeX/activeX8.bin" ContentType="application/vnd.ms-office.activeX"/>
  <Override PartName="/xl/drawings/drawing7.xml" ContentType="application/vnd.openxmlformats-officedocument.drawing+xml"/>
  <Override PartName="/xl/activeX/activeX9.xml" ContentType="application/vnd.ms-office.activeX+xml"/>
  <Override PartName="/xl/activeX/activeX9.bin" ContentType="application/vnd.ms-office.activeX"/>
  <Override PartName="/xl/drawings/drawing8.xml" ContentType="application/vnd.openxmlformats-officedocument.drawing+xml"/>
  <Override PartName="/xl/activeX/activeX10.xml" ContentType="application/vnd.ms-office.activeX+xml"/>
  <Override PartName="/xl/activeX/activeX10.bin" ContentType="application/vnd.ms-office.activeX"/>
  <Override PartName="/xl/drawings/drawing9.xml" ContentType="application/vnd.openxmlformats-officedocument.drawing+xml"/>
  <Override PartName="/xl/activeX/activeX11.xml" ContentType="application/vnd.ms-office.activeX+xml"/>
  <Override PartName="/xl/activeX/activeX11.bin" ContentType="application/vnd.ms-office.activeX"/>
  <Override PartName="/xl/drawings/drawing10.xml" ContentType="application/vnd.openxmlformats-officedocument.drawing+xml"/>
  <Override PartName="/xl/activeX/activeX12.xml" ContentType="application/vnd.ms-office.activeX+xml"/>
  <Override PartName="/xl/activeX/activeX12.bin" ContentType="application/vnd.ms-office.activeX"/>
  <Override PartName="/xl/drawings/drawing11.xml" ContentType="application/vnd.openxmlformats-officedocument.drawing+xml"/>
  <Override PartName="/xl/activeX/activeX13.xml" ContentType="application/vnd.ms-office.activeX+xml"/>
  <Override PartName="/xl/activeX/activeX13.bin" ContentType="application/vnd.ms-office.activeX"/>
  <Override PartName="/xl/drawings/drawing12.xml" ContentType="application/vnd.openxmlformats-officedocument.drawing+xml"/>
  <Override PartName="/xl/activeX/activeX14.xml" ContentType="application/vnd.ms-office.activeX+xml"/>
  <Override PartName="/xl/activeX/activeX14.bin" ContentType="application/vnd.ms-office.activeX"/>
  <Override PartName="/xl/drawings/drawing13.xml" ContentType="application/vnd.openxmlformats-officedocument.drawing+xml"/>
  <Override PartName="/xl/activeX/activeX15.xml" ContentType="application/vnd.ms-office.activeX+xml"/>
  <Override PartName="/xl/activeX/activeX15.bin" ContentType="application/vnd.ms-office.activeX"/>
  <Override PartName="/xl/drawings/drawing14.xml" ContentType="application/vnd.openxmlformats-officedocument.drawing+xml"/>
  <Override PartName="/xl/activeX/activeX16.xml" ContentType="application/vnd.ms-office.activeX+xml"/>
  <Override PartName="/xl/activeX/activeX16.bin" ContentType="application/vnd.ms-office.activeX"/>
  <Override PartName="/xl/drawings/drawing15.xml" ContentType="application/vnd.openxmlformats-officedocument.drawing+xml"/>
  <Override PartName="/xl/activeX/activeX17.xml" ContentType="application/vnd.ms-office.activeX+xml"/>
  <Override PartName="/xl/activeX/activeX17.bin" ContentType="application/vnd.ms-office.activeX"/>
  <Override PartName="/xl/drawings/drawing16.xml" ContentType="application/vnd.openxmlformats-officedocument.drawing+xml"/>
  <Override PartName="/xl/activeX/activeX18.xml" ContentType="application/vnd.ms-office.activeX+xml"/>
  <Override PartName="/xl/activeX/activeX18.bin" ContentType="application/vnd.ms-office.activeX"/>
  <Override PartName="/xl/drawings/drawing17.xml" ContentType="application/vnd.openxmlformats-officedocument.drawing+xml"/>
  <Override PartName="/xl/activeX/activeX19.xml" ContentType="application/vnd.ms-office.activeX+xml"/>
  <Override PartName="/xl/activeX/activeX19.bin" ContentType="application/vnd.ms-office.activeX"/>
  <Override PartName="/xl/drawings/drawing18.xml" ContentType="application/vnd.openxmlformats-officedocument.drawing+xml"/>
  <Override PartName="/xl/activeX/activeX20.xml" ContentType="application/vnd.ms-office.activeX+xml"/>
  <Override PartName="/xl/activeX/activeX20.bin" ContentType="application/vnd.ms-office.activeX"/>
  <Override PartName="/xl/comments2.xml" ContentType="application/vnd.openxmlformats-officedocument.spreadsheetml.comment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codeName="{0730EB3F-75F1-03CD-C966-41DC9FD4AD36}"/>
  <workbookPr codeName="ThisWorkbook"/>
  <mc:AlternateContent xmlns:mc="http://schemas.openxmlformats.org/markup-compatibility/2006">
    <mc:Choice Requires="x15">
      <x15ac:absPath xmlns:x15ac="http://schemas.microsoft.com/office/spreadsheetml/2010/11/ac" url="G:\Mon disque\2025_HAWKS\2025_EF_HAWKS\"/>
    </mc:Choice>
  </mc:AlternateContent>
  <xr:revisionPtr revIDLastSave="0" documentId="13_ncr:1_{58D593E2-645C-4F28-80D9-B7FDE3E21380}" xr6:coauthVersionLast="47" xr6:coauthVersionMax="47" xr10:uidLastSave="{00000000-0000-0000-0000-000000000000}"/>
  <bookViews>
    <workbookView xWindow="38280" yWindow="-120" windowWidth="29040" windowHeight="15720" tabRatio="954" firstSheet="7" activeTab="17" xr2:uid="{00000000-000D-0000-FFFF-FFFF00000000}"/>
  </bookViews>
  <sheets>
    <sheet name="Page1" sheetId="1" r:id="rId1"/>
    <sheet name="Page2" sheetId="2" r:id="rId2"/>
    <sheet name="Page3" sheetId="3" r:id="rId3"/>
    <sheet name="Page4" sheetId="4" r:id="rId4"/>
    <sheet name="Page5_CHV_MCI" sheetId="5" r:id="rId5"/>
    <sheet name="Page5_CHV_VE" sheetId="6" r:id="rId6"/>
    <sheet name="Page5_BUI_MCI" sheetId="8" r:id="rId7"/>
    <sheet name="Page5_BUI_VE" sheetId="7" r:id="rId8"/>
    <sheet name="Page5_GMC_MCI" sheetId="10" r:id="rId9"/>
    <sheet name="Page5_GMC_VE" sheetId="12" r:id="rId10"/>
    <sheet name="Page5_CAD_MCI" sheetId="9" r:id="rId11"/>
    <sheet name="Page5_CAD_VE" sheetId="11" r:id="rId12"/>
    <sheet name="Page5_PARCS_GOUV" sheetId="28" r:id="rId13"/>
    <sheet name="Page5_PARCS" sheetId="15" r:id="rId14"/>
    <sheet name="Page5i_SANS_OBJECT" sheetId="13" r:id="rId15"/>
    <sheet name="Page5j_SANS_OBJECT" sheetId="14" r:id="rId16"/>
    <sheet name="Page6" sheetId="16" r:id="rId17"/>
    <sheet name="Page7" sheetId="17" r:id="rId18"/>
    <sheet name="Page8" sheetId="18" r:id="rId19"/>
    <sheet name="Gamme de Mod" sheetId="26" r:id="rId20"/>
    <sheet name="Verify" sheetId="19" state="veryHidden" r:id="rId21"/>
    <sheet name="TBIn" sheetId="22" state="hidden" r:id="rId22"/>
    <sheet name="TB Out" sheetId="23" state="veryHidden" r:id="rId23"/>
    <sheet name="OR_VEH" sheetId="21" state="veryHidden" r:id="rId24"/>
    <sheet name="Comments" sheetId="20" state="hidden" r:id="rId25"/>
    <sheet name="Log" sheetId="24" state="veryHidden" r:id="rId26"/>
    <sheet name="DBI Data" sheetId="27" state="hidden" r:id="rId27"/>
    <sheet name="FAQ" sheetId="25" state="hidden" r:id="rId28"/>
  </sheets>
  <functionGroups builtInGroupCount="19"/>
  <externalReferences>
    <externalReference r:id="rId29"/>
    <externalReference r:id="rId30"/>
  </externalReferences>
  <definedNames>
    <definedName name="_xlnm._FilterDatabase" localSheetId="23" hidden="1">OR_VEH!$A$1:$F$49</definedName>
    <definedName name="_xlnm._FilterDatabase" localSheetId="22" hidden="1">'TB Out'!$B$2:$R$2</definedName>
    <definedName name="_xlnm._FilterDatabase" localSheetId="21" hidden="1">TBIn!$A$1:$H$2469</definedName>
    <definedName name="_xlnm._FilterDatabase" localSheetId="20" hidden="1">Verify!$A$1:$V$2655</definedName>
    <definedName name="AccountID">Comments!$K$11</definedName>
    <definedName name="AcctIDBlank">Comments!$K$13</definedName>
    <definedName name="AccuracyPtsSubmit">Comments!$K$19</definedName>
    <definedName name="AccurracyPts">Comments!$L$19</definedName>
    <definedName name="Business_Units">Page1!$E$75:$E$79</definedName>
    <definedName name="Client">OR_VEH!$C$712</definedName>
    <definedName name="CSVfile">Comments!$L$14</definedName>
    <definedName name="Data_NOT_transmitted">Verify!$A$2685</definedName>
    <definedName name="Data_PASSED">Verify!$A$2686</definedName>
    <definedName name="DataNotProcessed">Comments!$K$21</definedName>
    <definedName name="DealerOpRpt">Comments!$L$16</definedName>
    <definedName name="DealerOpRptEdit">Comments!$L$21</definedName>
    <definedName name="Division">OR_VEH!$C$714</definedName>
    <definedName name="Doc_No">OR_VEH!$C$709</definedName>
    <definedName name="DSPWorkbookData">Comments!$K$9</definedName>
    <definedName name="Error_Summary">Comments!$K$2</definedName>
    <definedName name="ErrorCSVfile">Comments!$K$14</definedName>
    <definedName name="ErrorXMLfile">Comments!$K$15</definedName>
    <definedName name="File_Name">Page1!$G$135</definedName>
    <definedName name="FileImported">Comments!$K$5</definedName>
    <definedName name="FileInput">Verify!$C$2691</definedName>
    <definedName name="FileNot">Comments!$K$7</definedName>
    <definedName name="FinishPrtComments">Comments!$K$20</definedName>
    <definedName name="Flag" localSheetId="26">[1]Page1!$I$92</definedName>
    <definedName name="Flag">Page1!$I$92</definedName>
    <definedName name="GC_OR_DBI">Comments!$L$85</definedName>
    <definedName name="IEBLD">'TB Out'!$E$3068</definedName>
    <definedName name="IELAN">'TB Out'!$E$3069</definedName>
    <definedName name="IESP">'TB Out'!$E$3067</definedName>
    <definedName name="IEVER">'TB Out'!$E$3066</definedName>
    <definedName name="Import_Range">TBIn!$D$3:$E$2454</definedName>
    <definedName name="_xlnm.Print_Titles" localSheetId="23">OR_VEH!$1:$2</definedName>
    <definedName name="_xlnm.Print_Titles" localSheetId="22">'TB Out'!$1:$2</definedName>
    <definedName name="_xlnm.Print_Titles" localSheetId="20">Verify!$1:$1</definedName>
    <definedName name="IntroBoxTitle">Comments!$L$4</definedName>
    <definedName name="IntroSheetMsg">Comments!$K$4</definedName>
    <definedName name="keepTBOut">Comments!$L$83</definedName>
    <definedName name="Language">OR_VEH!$C$713</definedName>
    <definedName name="LikeToSubmit">Comments!$L$18</definedName>
    <definedName name="Max_Table" localSheetId="26">[1]OR_VEH!$F$1:$F$657</definedName>
    <definedName name="Max_Table">OR_VEH!$F$1:$F$716</definedName>
    <definedName name="Min_Table" localSheetId="26">[1]OR_VEH!$E$1:$E$657</definedName>
    <definedName name="Min_Table">OR_VEH!$E$1:$E$716</definedName>
    <definedName name="Minus_Accuracy_Pts" localSheetId="26">[1]Verify!$R$2488</definedName>
    <definedName name="Minus_Accuracy_Pts">Verify!$R$2682</definedName>
    <definedName name="NonItalicizedText">Comments!$K$6</definedName>
    <definedName name="NotBeFound">Comments!$K$12</definedName>
    <definedName name="OSBLD">'TB Out'!$E$3056</definedName>
    <definedName name="OSLAN">'TB Out'!$E$3057</definedName>
    <definedName name="OSREG">'TB Out'!$E$3058</definedName>
    <definedName name="OSSP">'TB Out'!$E$3055</definedName>
    <definedName name="OSVER">'TB Out'!$E$3054</definedName>
    <definedName name="Out_TB" localSheetId="22">'TB Out'!$D$5:$E$3053</definedName>
    <definedName name="OutputFileCreated">Comments!$K$10</definedName>
    <definedName name="OutputFileNotCreated">Comments!$K$25</definedName>
    <definedName name="Owner">OR_VEH!$C$711</definedName>
    <definedName name="Page_3" localSheetId="16">Page6!$B$1:$P$79</definedName>
    <definedName name="Page1TBAssets" localSheetId="26">[1]Page1!$I$10:$I$13,[1]Page1!$I$17:$I$20,[1]Page1!$I$30:$I$37,[1]Page1!$I$40:$I$42,[1]Page1!$I$44,[1]Page1!$F$50,[1]Page1!$F$51:$G$59,[1]Page1!$I$62:$I$65</definedName>
    <definedName name="Page1TBAssets">[2]Page1!$I$10:$I$13,[2]Page1!$I$17:$I$20,[2]Page1!$I$30:$I$37,[2]Page1!$I$40:$I$42,[2]Page1!$I$44,[2]Page1!$F$50,[2]Page1!$F$51:$G$59,[2]Page1!$I$62:$I$65</definedName>
    <definedName name="Page1TBLiabilities" localSheetId="26">[1]Page1!$R$10:$R$15,[1]Page1!$R$18:$R$20,[1]Page1!$R$22:$R$32,[1]Page1!$R$35,[1]Page1!$R$37,[1]Page1!$R$39,[1]Page1!$R$42,[1]Page1!$R$52:$R$53,[1]Page1!$R$55,[1]Page1!$R$57,[1]Page1!$R$59,[1]Page1!$R$63,[1]Page1!$R$64</definedName>
    <definedName name="Page1TBLiabilities">[2]Page1!$R$10:$R$15,[2]Page1!$R$18:$R$20,[2]Page1!$R$22:$R$32,[2]Page1!$R$35,[2]Page1!$R$37,[2]Page1!$R$39,[2]Page1!$R$42,[2]Page1!$R$52:$R$53,[2]Page1!$R$55,[2]Page1!$R$57,[2]Page1!$R$59,[2]Page1!$R$63,[2]Page1!$R$64</definedName>
    <definedName name="Page2TB" localSheetId="26">[1]Page2!$G$64:$G$65,[1]Page2!$J$64:$J$65,[1]Page2!$G$67,[1]Page2!$J$67</definedName>
    <definedName name="Page2TB">[2]Page2!$G$64:$G$65,[2]Page2!$J$64:$J$65,[2]Page2!$G$67,[2]Page2!$J$67</definedName>
    <definedName name="Page3TBLeaseVehicle" localSheetId="26">[1]Page3!$L$7:$L$9,[1]Page3!$N$7:$N$9,[1]Page3!$L$11:$L$19,[1]Page3!$L$21:$L$27,[1]Page3!$L$29:$L$42,[1]Page3!$N$11:$N$19,[1]Page3!$N$21:$N$27,[1]Page3!$N$29:$N$42,[1]Page3!$L$44:$L$51,[1]Page3!$N$44:$N$51,[1]Page3!$L$53:$L$57,[1]Page3!$N$53:$N$57,[1]Page3!$L$66:$N$72</definedName>
    <definedName name="Page3TBLeaseVehicle">[2]Page3!$L$7:$L$9,[2]Page3!$N$7:$N$9,[2]Page3!$L$11:$L$19,[2]Page3!$L$21:$L$27,[2]Page3!$L$29:$L$42,[2]Page3!$N$11:$N$19,[2]Page3!$N$21:$N$27,[2]Page3!$N$29:$N$42,[2]Page3!$L$44:$L$51,[2]Page3!$N$44:$N$51,[2]Page3!$L$53:$L$57,[2]Page3!$N$53:$N$57,[2]Page3!$L$66:$N$70</definedName>
    <definedName name="Page3TBNewVehicle" localSheetId="26">[1]Page3!$D$7:$D$9,[1]Page3!$F$7:$F$9,[1]Page3!$D$11:$D$19,[1]Page3!$F$11:$F$19,[1]Page3!$D$21:$D$27,[1]Page3!$D$29:$D$42,[1]Page3!$F$21:$F$27,[1]Page3!$F$29:$F$42,[1]Page3!$D$44:$D$51,[1]Page3!$F$44:$F$51,[1]Page3!$D$53:$D$57,[1]Page3!$F$53:$F$57,[1]Page3!$D$66:$F$71</definedName>
    <definedName name="Page3TBNewVehicle">[2]Page3!$D$7:$D$9,[2]Page3!$F$7:$F$9,[2]Page3!$D$11:$D$19,[2]Page3!$F$11:$F$19,[2]Page3!$D$21:$D$27,[2]Page3!$D$29:$D$42,[2]Page3!$F$21:$F$27,[2]Page3!$F$29:$F$42,[2]Page3!$D$44:$D$51,[2]Page3!$F$44:$F$51,[2]Page3!$D$53:$D$57,[2]Page3!$F$53:$F$57,[2]Page3!$D$66:$F$69</definedName>
    <definedName name="Page3TBUsedVehicle" localSheetId="26">[1]Page3!$H$7:$H$9,[1]Page3!$J$7:$J$9,[1]Page3!$H$11:$H$19,[1]Page3!$J$11:$J$19,[1]Page3!$H$21:$H$27,[1]Page3!$H$29:$H$42,[1]Page3!$J$21:$J$27,[1]Page3!$J$29:$J$42,[1]Page3!$H$44:$H$51,[1]Page3!$J$44:$J$51,[1]Page3!$H$53:$H$57,[1]Page3!$J$53:$J$57</definedName>
    <definedName name="Page3TBUsedVehicle">[2]Page3!$H$7:$H$9,[2]Page3!$J$7:$J$9,[2]Page3!$H$11:$H$19,[2]Page3!$J$11:$J$19,[2]Page3!$H$21:$H$27,[2]Page3!$H$29:$H$42,[2]Page3!$J$21:$J$27,[2]Page3!$J$29:$J$42,[2]Page3!$H$44:$H$51,[2]Page3!$J$44:$J$51,[2]Page3!$H$53:$H$57,[2]Page3!$J$53:$J$57</definedName>
    <definedName name="Page4TBBodyDept" localSheetId="26">[1]Page4!$H$11:$H$19,[1]Page4!$J$11:$J$19,[1]Page4!$H$21:$H$35,[1]Page4!$J$21:$J$35,[1]Page4!$H$38,[1]Page4!$H$40:$H$42,[1]Page4!$J$38,[1]Page4!$J$40:$J$42,[1]Page4!$H$44:$H$51,[1]Page4!$J$44:$J$51,[1]Page4!$H$53:$H$57,[1]Page4!$J$53:$J$57</definedName>
    <definedName name="Page4TBBodyDept">[2]Page4!$H$11:$H$19,[2]Page4!$J$11:$J$19,[2]Page4!$H$21:$H$35,[2]Page4!$J$21:$J$35,[2]Page4!$H$38,[2]Page4!$H$40:$H$42,[2]Page4!$J$38,[2]Page4!$J$40:$J$42,[2]Page4!$H$44:$H$51,[2]Page4!$J$44:$J$51,[2]Page4!$H$53:$H$57,[2]Page4!$J$53:$J$57</definedName>
    <definedName name="Page4TBGenAdmDept" localSheetId="26">[1]Page4!$P$11:$P$19,[1]Page4!$R$11:$R$19,[1]Page4!$P$21:$P$35,[1]Page4!$R$21:$R$35,[1]Page4!$P$38,[1]Page4!$P$40:$P$42,[1]Page4!$R$38,[1]Page4!$R$40:$R$42,[1]Page4!$P$44:$P$51,[1]Page4!$R$44:$R$51,[1]Page4!$P$53:$P$57,[1]Page4!$R$53:$R$57,[1]Page4!$P$60,[1]Page4!$R$60</definedName>
    <definedName name="Page4TBGenAdmDept">[2]Page4!$P$11:$P$19,[2]Page4!$R$11:$R$19,[2]Page4!$P$21:$P$35,[2]Page4!$R$21:$R$35,[2]Page4!$P$38,[2]Page4!$P$40:$P$42,[2]Page4!$R$38,[2]Page4!$R$40:$R$42,[2]Page4!$P$44:$P$51,[2]Page4!$R$44:$R$51,[2]Page4!$P$53:$P$57,[2]Page4!$R$53:$R$57,[2]Page4!$P$60,[2]Page4!$R$60</definedName>
    <definedName name="Page4TBMechDept" localSheetId="26">[1]Page4!$D$11:$D$19,[1]Page4!$F$11:$F$19,[1]Page4!$D$21:$D$35,[1]Page4!$F$21:$F$35,[1]Page4!$D$38,[1]Page4!$D$40:$D$42,[1]Page4!$F$38,[1]Page4!$F$40:$F$42,[1]Page4!$D$44:$D$51,[1]Page4!$F$44:$F$51,[1]Page4!$D$53:$D$57,[1]Page4!$F$53:$F$57</definedName>
    <definedName name="Page4TBMechDept">[2]Page4!$D$11:$D$19,[2]Page4!$F$11:$F$19,[2]Page4!$D$21:$D$35,[2]Page4!$F$21:$F$35,[2]Page4!$D$38,[2]Page4!$D$40:$D$42,[2]Page4!$F$38,[2]Page4!$F$40:$F$42,[2]Page4!$D$44:$D$51,[2]Page4!$F$44:$F$51,[2]Page4!$D$53:$D$57,[2]Page4!$F$53:$F$57</definedName>
    <definedName name="Page4TBPartDept" localSheetId="26">[1]Page4!$L$11:$L$19,[1]Page4!$N$11:$N$19,[1]Page4!$L$21:$L$35,[1]Page4!$N$21:$N$35,[1]Page4!$L$38,[1]Page4!$L$40:$L$42,[1]Page4!$N$38,[1]Page4!$N$40:$N$42,[1]Page4!$L$44:$L$51,[1]Page4!$N$44:$N$51,[1]Page4!$L$53:$L$57,[1]Page4!$N$53:$N$57</definedName>
    <definedName name="Page4TBPartDept">[2]Page4!$L$11:$L$19,[2]Page4!$N$11:$N$19,[2]Page4!$L$21:$L$35,[2]Page4!$N$21:$N$35,[2]Page4!$L$38,[2]Page4!$L$40:$L$42,[2]Page4!$N$38,[2]Page4!$N$40:$N$42,[2]Page4!$L$44:$L$51,[2]Page4!$N$44:$N$51,[2]Page4!$L$53:$L$57,[2]Page4!$N$53:$N$57</definedName>
    <definedName name="Page5aTBMTD" localSheetId="26">[1]Page5a!$G$4:$H$22,[1]Page5a!$G$24:$H$26,[1]Page5a!$G$28:$H$43,[1]Page5a!$G$45:$H$47,[1]Page5a!$G$50:$H$50,[1]Page5a!$I$51</definedName>
    <definedName name="Page5aTBMTD">[2]Page5a!$G$4:$H$22,[2]Page5a!$G$24:$H$26,[2]Page5a!$G$28:$H$43,[2]Page5a!$G$45:$H$47,[2]Page5a!$G$50:$H$50,[2]Page5a!$I$51</definedName>
    <definedName name="Page5aTBYTD" localSheetId="26">[1]Page5a!$L$4:$M$22,[1]Page5a!$L$24:$M$26,[1]Page5a!$L$28:$M$43,[1]Page5a!$L$45:$M$47,[1]Page5a!$L$50:$M$50,[1]Page5a!$N$51</definedName>
    <definedName name="Page5aTBYTD">[2]Page5a!$L$4:$M$22,[2]Page5a!$L$24:$M$26,[2]Page5a!$L$28:$M$43,[2]Page5a!$L$45:$M$47,[2]Page5a!$L$50:$M$50,[2]Page5a!$N$51</definedName>
    <definedName name="Page5bTBMTD" localSheetId="26">[1]Page5b!$G$4:$H$22,[1]Page5b!$G$24:$H$26,[1]Page5b!$G$28:$H$43,[1]Page5b!$G$45:$H$47,[1]Page5b!$G$50:$H$50,[1]Page5b!$I$51</definedName>
    <definedName name="Page5bTBMTD">[2]Page5b!$G$4:$H$22,[2]Page5b!$G$24:$H$26,[2]Page5b!$G$28:$H$43,[2]Page5b!$G$45:$H$47,[2]Page5b!$G$50:$H$50,[2]Page5b!$I$51</definedName>
    <definedName name="Page5bTBYTD" localSheetId="26">[1]Page5b!$L$4:$M$22,[1]Page5b!$L$24:$M$26,[1]Page5b!$L$28:$M$43,[1]Page5b!$L$45:$M$47,[1]Page5b!$L$50:$M$50,[1]Page5b!$N$51</definedName>
    <definedName name="Page5bTBYTD">[2]Page5b!$L$4:$M$22,[2]Page5b!$L$24:$M$26,[2]Page5b!$L$28:$M$43,[2]Page5b!$L$45:$M$47,[2]Page5b!$L$50:$M$50,[2]Page5b!$N$51</definedName>
    <definedName name="Page5cTBMTD" localSheetId="26">[1]Page5c!$G$4:$H$22,[1]Page5c!$G$24:$H$26,[1]Page5c!$G$28:$H$43,[1]Page5c!$G$45:$H$47,[1]Page5c!$G$50:$H$50,[1]Page5c!$I$51</definedName>
    <definedName name="Page5cTBMTD">[2]Page5c!$G$4:$H$22,[2]Page5c!$G$24:$H$26,[2]Page5c!$G$28:$H$43,[2]Page5c!$G$45:$H$47,[2]Page5c!$G$50:$H$50,[2]Page5c!$I$51</definedName>
    <definedName name="Page5cTBYTD" localSheetId="26">[1]Page5c!$L$4:$M$22,[1]Page5c!$L$24:$M$26,[1]Page5c!$L$28:$M$43,[1]Page5c!$L$45:$M$47,[1]Page5c!$L$50:$M$50,[1]Page5c!$N$51</definedName>
    <definedName name="Page5cTBYTD">[2]Page5c!$L$4:$M$22,[2]Page5c!$L$24:$M$26,[2]Page5c!$L$28:$M$43,[2]Page5c!$L$45:$M$47,[2]Page5c!$L$50:$M$50,[2]Page5c!$N$51</definedName>
    <definedName name="Page5dTBMTD" localSheetId="26">[1]Page5d!$G$4:$H$22,[1]Page5d!$G$24:$H$26,[1]Page5d!$G$28:$H$43,[1]Page5d!$G$45:$H$47,[1]Page5d!$G$50:$H$50,[1]Page5d!$I$51</definedName>
    <definedName name="Page5dTBMTD">[2]Page5d!$G$4:$H$22,[2]Page5d!$G$24:$H$26,[2]Page5d!$G$28:$H$43,[2]Page5d!$G$45:$H$47,[2]Page5d!$G$50:$H$50,[2]Page5d!$I$51</definedName>
    <definedName name="Page5dTBYTD" localSheetId="26">[1]Page5d!$L$4:$M$22,[1]Page5d!$L$24:$M$26,[1]Page5d!$L$28:$M$43,[1]Page5d!$L$45:$M$47,[1]Page5d!$L$50:$M$50,[1]Page5d!$N$51</definedName>
    <definedName name="Page5dTBYTD">[2]Page5d!$L$4:$M$22,[2]Page5d!$L$24:$M$26,[2]Page5d!$L$28:$M$43,[2]Page5d!$L$45:$M$47,[2]Page5d!$L$50:$M$50,[2]Page5d!$N$51</definedName>
    <definedName name="Page5eTBMTD" localSheetId="26">[1]Page5e!$G$4:$H$22,[1]Page5e!$G$24:$H$26,[1]Page5e!$G$28:$H$43,[1]Page5e!$G$45:$H$47,[1]Page5e!$G$50:$H$50,[1]Page5e!$I$51</definedName>
    <definedName name="Page5eTBMTD">[2]Page5e!$G$4:$H$22,[2]Page5e!$G$24:$H$26,[2]Page5e!$G$28:$H$43,[2]Page5e!$G$45:$H$47,[2]Page5e!$G$50:$H$50,[2]Page5e!$I$51</definedName>
    <definedName name="Page5eTBYTD" localSheetId="26">[1]Page5e!$L$4:$M$22,[1]Page5e!$L$24:$M$26,[1]Page5e!$L$28:$M$43,[1]Page5e!$L$45:$M$47,[1]Page5e!$L$50:$M$50,[1]Page5e!$N$51</definedName>
    <definedName name="Page5eTBYTD">[2]Page5e!$L$4:$M$22,[2]Page5e!$L$24:$M$26,[2]Page5e!$L$28:$M$43,[2]Page5e!$L$45:$M$47,[2]Page5e!$L$50:$M$50,[2]Page5e!$N$51</definedName>
    <definedName name="Page5fTBMTD" localSheetId="26">[1]Page5f!$G$4:$H$22,[1]Page5f!$G$24:$H$26,[1]Page5f!$G$28:$H$43,[1]Page5f!$G$45:$H$47,[1]Page5f!$G$50:$H$50,[1]Page5f!$I$51</definedName>
    <definedName name="Page5fTBMTD">[2]Page5f!$G$4:$H$22,[2]Page5f!$G$24:$H$26,[2]Page5f!$G$28:$H$43,[2]Page5f!$G$45:$H$47,[2]Page5f!$G$50:$H$50,[2]Page5f!$I$51</definedName>
    <definedName name="Page5fTBYTD" localSheetId="26">[1]Page5f!$L$4:$M$22,[1]Page5f!$L$24:$M$26,[1]Page5f!$L$28:$M$43,[1]Page5f!$L$45:$M$47,[1]Page5f!$L$50:$M$50,[1]Page5f!$N$51</definedName>
    <definedName name="Page5fTBYTD">[2]Page5f!$L$4:$M$22,[2]Page5f!$L$24:$M$26,[2]Page5f!$L$28:$M$43,[2]Page5f!$L$45:$M$47,[2]Page5f!$L$50:$M$50,[2]Page5f!$N$51</definedName>
    <definedName name="Page5gTBMTD" localSheetId="26">[1]Page5g!$G$4:$H$22,[1]Page5g!$G$24:$H$26,[1]Page5g!$G$28:$H$43,[1]Page5g!$G$45:$H$47,[1]Page5g!$G$50:$H$50,[1]Page5g!$I$51</definedName>
    <definedName name="Page5gTBMTD">[2]Page5g!$G$4:$H$22,[2]Page5g!$G$24:$H$26,[2]Page5g!$G$28:$H$43,[2]Page5g!$G$45:$H$47,[2]Page5g!$G$50:$H$50,[2]Page5g!$I$51</definedName>
    <definedName name="Page5gTBYTD" localSheetId="26">[1]Page5g!$L$4:$M$22,[1]Page5g!$L$24:$M$26,[1]Page5g!$L$28:$M$43,[1]Page5g!$L$45:$M$47,[1]Page5g!$L$50:$M$50,[1]Page5g!$N$51</definedName>
    <definedName name="Page5gTBYTD">[2]Page5g!$L$4:$M$22,[2]Page5g!$L$24:$M$26,[2]Page5g!$L$28:$M$43,[2]Page5g!$L$45:$M$47,[2]Page5g!$L$50:$M$50,[2]Page5g!$N$51</definedName>
    <definedName name="Page5hTBMTD" localSheetId="26">[1]Page5h!$G$4:$H$22,[1]Page5h!$G$24:$H$26,[1]Page5h!$G$28:$H$43,[1]Page5h!$G$45:$H$47,[1]Page5h!$G$50:$H$50,[1]Page5h!$I$51</definedName>
    <definedName name="Page5hTBMTD">[2]Page5h!$G$4:$H$22,[2]Page5h!$G$24:$H$26,[2]Page5h!$G$28:$H$43,[2]Page5h!$G$45:$H$47,[2]Page5h!$G$50:$H$50,[2]Page5h!$I$51</definedName>
    <definedName name="Page5hTBYTD" localSheetId="26">[1]Page5h!$L$4:$M$22,[1]Page5h!$L$24:$M$26,[1]Page5h!$L$28:$M$43,[1]Page5h!$L$45:$M$47,[1]Page5h!$L$50:$M$50,[1]Page5h!$N$51</definedName>
    <definedName name="Page5hTBYTD">[2]Page5h!$L$4:$M$22,[2]Page5h!$L$24:$M$26,[2]Page5h!$L$28:$M$43,[2]Page5h!$L$45:$M$47,[2]Page5h!$L$50:$M$50,[2]Page5h!$N$51</definedName>
    <definedName name="Page5iTBMTD" localSheetId="26">[1]Page5i!$G$4:$H$22,[1]Page5i!$G$24:$H$26,[1]Page5i!$G$28:$H$43,[1]Page5i!$G$45:$H$47,[1]Page5i!$G$50:$H$50,[1]Page5i!$I$51</definedName>
    <definedName name="Page5iTBMTD">[2]Page5i!$G$4:$H$22,[2]Page5i!$G$24:$H$26,[2]Page5i!$G$28:$H$43,[2]Page5i!$G$45:$H$47,[2]Page5i!$G$50:$H$50,[2]Page5i!$I$51</definedName>
    <definedName name="Page5iTBYTD" localSheetId="26">[1]Page5i!$L$4:$M$22,[1]Page5i!$L$24:$M$26,[1]Page5i!$L$28:$M$43,[1]Page5i!$L$45:$M$47,[1]Page5i!$L$50:$M$50,[1]Page5i!$N$51</definedName>
    <definedName name="Page5iTBYTD">[2]Page5i!$L$4:$M$22,[2]Page5i!$L$24:$M$26,[2]Page5i!$L$28:$M$43,[2]Page5i!$L$45:$M$47,[2]Page5i!$L$50:$M$50,[2]Page5i!$N$51</definedName>
    <definedName name="Page5jTBMTD" localSheetId="26">[1]Page5j!$G$4:$H$22,[1]Page5j!$G$24:$H$26,[1]Page5j!$G$28:$H$43,[1]Page5j!$G$45:$H$47,[1]Page5j!$G$50:$H$50,[1]Page5j!$I$51</definedName>
    <definedName name="Page5jTBMTD">[2]Page5j!$G$4:$H$22,[2]Page5j!$G$24:$H$26,[2]Page5j!$G$28:$H$43,[2]Page5j!$G$45:$H$47,[2]Page5j!$G$50:$H$50,[2]Page5j!$I$51</definedName>
    <definedName name="Page5jTBYTD" localSheetId="26">[1]Page5j!$L$4:$M$22,[1]Page5j!$L$24:$M$26,[1]Page5j!$L$28:$M$43,[1]Page5j!$L$45:$M$47,[1]Page5j!$L$50:$M$50,[1]Page5j!$N$51</definedName>
    <definedName name="Page5jTBYTD">[2]Page5j!$L$4:$M$22,[2]Page5j!$L$24:$M$26,[2]Page5j!$L$28:$M$43,[2]Page5j!$L$45:$M$47,[2]Page5j!$L$50:$M$50,[2]Page5j!$N$51</definedName>
    <definedName name="Page5kTBMTD" localSheetId="26">[1]Page5k!$G$4:$H$15,[1]Page5k!$G$17:$H$19,[1]Page5k!$G$21:$H$38,[1]Page5k!$G$40:$H$42,[1]Page5k!$H$44,[1]Page5k!$G$45:$H$45,[1]Page5k!$I$48:$I$50,[1]Page5k!$I$53</definedName>
    <definedName name="Page5kTBMTD">[2]Page5k!$G$4:$H$15,[2]Page5k!$G$17:$H$19,[2]Page5k!$G$21:$H$38,[2]Page5k!$G$40:$H$42,[2]Page5k!$H$44,[2]Page5k!$G$45:$H$45,[2]Page5k!$I$48:$I$50,[2]Page5k!$I$53</definedName>
    <definedName name="Page5kTBYTD" localSheetId="26">[1]Page5k!$L$4:$M$15,[1]Page5k!$L$17:$M$19,[1]Page5k!$L$21:$M$38,[1]Page5k!$L$40:$M$42,[1]Page5k!$M$44,[1]Page5k!$L$45:$M$45,[1]Page5k!$N$48:$N$50,[1]Page5k!$N$53</definedName>
    <definedName name="Page5kTBYTD">[2]Page5k!$L$4:$M$15,[2]Page5k!$L$17:$M$19,[2]Page5k!$L$21:$M$38,[2]Page5k!$L$40:$M$42,[2]Page5k!$M$44,[2]Page5k!$L$45:$M$45,[2]Page5k!$N$48:$N$50,[2]Page5k!$N$53</definedName>
    <definedName name="Page6TBFixedOpsMonth" localSheetId="26">[1]Page6!$G$24:$H$33,[1]Page6!$G$35:$H$36,[1]Page6!$I$37,[1]Page6!$G$38:$H$42,[1]Page6!$G$44:$H$45,[1]Page6!$I$46,[1]Page6!$G$48:$H$58,[1]Page6!$G$60:$H$62,[1]Page6!$G$64,[1]Page6!$I$64</definedName>
    <definedName name="Page6TBFixedOpsMonth">[2]Page6!$G$24:$H$33,[2]Page6!$G$35:$H$36,[2]Page6!$I$37,[2]Page6!$G$38:$H$42,[2]Page6!$G$44:$H$45,[2]Page6!$I$46,[2]Page6!$G$48:$H$58,[2]Page6!$G$60:$H$62,[2]Page6!$G$64,[2]Page6!$I$64</definedName>
    <definedName name="Page6TBFixedOpsYear" localSheetId="26">[1]Page6!$L$24:$M$33,[1]Page6!$L$35:$M$36,[1]Page6!$N$37,[1]Page6!$L$38:$M$42,[1]Page6!$L$44:$M$45,[1]Page6!$N$46,[1]Page6!$L$48:$M$58,[1]Page6!$L$60:$M$62,[1]Page6!$L$64,[1]Page6!$N$64</definedName>
    <definedName name="Page6TBFixedOpsYear">[2]Page6!$L$24:$M$33,[2]Page6!$L$35:$M$36,[2]Page6!$N$37,[2]Page6!$L$38:$M$42,[2]Page6!$L$44:$M$45,[2]Page6!$N$46,[2]Page6!$L$48:$M$58,[2]Page6!$L$60:$M$62,[2]Page6!$L$64,[2]Page6!$N$64</definedName>
    <definedName name="Page6TBUsedVehMonth" localSheetId="26">[1]Page6!$G$4:$G$9,[1]Page6!$H$4:$H$5,[1]Page6!$H$7:$H$8,[1]Page6!$G$11,[1]Page6!$G$13,[1]Page6!$H$11:$H$14,[1]Page6!$G$16:$H$16,[1]Page6!$I$17,[1]Page6!$J$6,[1]Page6!$J$9</definedName>
    <definedName name="Page6TBUsedVehMonth">[2]Page6!$G$4:$G$9,[2]Page6!$H$4:$H$5,[2]Page6!$H$7:$H$8,[2]Page6!$G$11,[2]Page6!$G$13,[2]Page6!$H$11:$H$14,[2]Page6!$G$16:$H$16,[2]Page6!$I$17,[2]Page6!$J$6,[2]Page6!$J$9</definedName>
    <definedName name="Page6TBUsedVehYear" localSheetId="26">[1]Page6!$L$4:$L$9,[1]Page6!$M$4:$M$5,[1]Page6!$M$7:$M$8,[1]Page6!$L$11,[1]Page6!$L$13,[1]Page6!$M$11:$M$14,[1]Page6!$L$16:$M$16,[1]Page6!$N$17,[1]Page6!$O$6,[1]Page6!$O$9</definedName>
    <definedName name="Page6TBUsedVehYear">[2]Page6!$L$4:$L$9,[2]Page6!$M$4:$M$5,[2]Page6!$M$7:$M$8,[2]Page6!$L$11,[2]Page6!$L$13,[2]Page6!$M$11:$M$14,[2]Page6!$L$16:$M$16,[2]Page6!$N$17,[2]Page6!$O$6,[2]Page6!$O$9</definedName>
    <definedName name="Page7TB" localSheetId="26">[1]Page7!$F$4:$G$11,[1]Page7!$F$13:$G$20,[1]Page7!$H$22,[1]Page7!$K$4:$L$11,[1]Page7!$K$13:$L$20,[1]Page7!$M$22</definedName>
    <definedName name="Page7TB">[2]Page7!$F$4:$G$11,[2]Page7!$F$13:$G$20,[2]Page7!$H$22,[2]Page7!$K$4:$L$11,[2]Page7!$K$13:$L$20,[2]Page7!$M$22</definedName>
    <definedName name="Page8TB" localSheetId="26">[1]Page8!$M$5:$P$8,[1]Page8!$M$10:$P$11,[1]Page8!$Q$8:$R$10,[1]Page8!$M$14:$R$21,[1]Page8!$M$25:$R$26,[1]Page8!$H$48:$I$48,[1]Page8!$H$50:$I$52,[1]Page8!$J$49:$J$53,[1]Page8!$K$54:$L$54,[1]Page8!$O$48,[1]Page8!$O$50:$O$52,[1]Page8!$P$49:$P$53,[1]Page8!$Q$54</definedName>
    <definedName name="Page8TB">[2]Page8!$M$5:$P$8,[2]Page8!$M$10:$P$11,[2]Page8!$Q$8:$R$10,[2]Page8!$M$14:$R$21,[2]Page8!$M$25:$R$26,[2]Page8!$H$48:$I$48,[2]Page8!$H$50:$I$52,[2]Page8!$J$49:$J$53,[2]Page8!$K$54:$L$54,[2]Page8!$O$48,[2]Page8!$O$50:$O$52,[2]Page8!$P$49:$P$53,[2]Page8!$Q$54</definedName>
    <definedName name="PG1CmdBtn1">Page1!$G$75</definedName>
    <definedName name="PG2CmdBtn1a">Page2!$G$75</definedName>
    <definedName name="PG2CmdBtn1b">Page2!$G$76</definedName>
    <definedName name="PG3CmdBtn1a">Page3!$D$76</definedName>
    <definedName name="PG3CmdBtn1b">Page3!$D$77</definedName>
    <definedName name="PG4CmdBtn1a">Page4!$D$75</definedName>
    <definedName name="PG4CmdBtn1b">Page4!$D$76</definedName>
    <definedName name="PG5aCmdBtn1a">Page5_CHV_MCI!$F$56</definedName>
    <definedName name="PG5aCmdBtn1b">Page5_CHV_MCI!$F$57</definedName>
    <definedName name="PG5bCmdBtn1a">Page5_CHV_VE!$F$56</definedName>
    <definedName name="PG5bCmdBtn1b">Page5_CHV_VE!$F$57</definedName>
    <definedName name="PG5cCmdBtn1a">Page5_BUI_VE!$F$56</definedName>
    <definedName name="PG5cCmdBtn1b">Page5_BUI_VE!$F$57</definedName>
    <definedName name="PG5dCmdBtn1a">Page5_BUI_MCI!$F$56</definedName>
    <definedName name="PG5dCmdBtn1b">Page5_BUI_MCI!$F$57</definedName>
    <definedName name="PG5eCmdBtn1a">Page5_CAD_MCI!$F$56</definedName>
    <definedName name="PG5eCmdBtn1b">Page5_CAD_MCI!$F$57</definedName>
    <definedName name="PG5fCmdBtn1a">Page5_GMC_MCI!$F$56</definedName>
    <definedName name="PG5fCmdBtn1b">Page5_GMC_MCI!$F$57</definedName>
    <definedName name="PG5gCmdBtn1a">Page5_CAD_VE!$F$56</definedName>
    <definedName name="PG5gCmdBtn1b">Page5_CAD_VE!$F$57</definedName>
    <definedName name="PG5hCmdBtn1a">Page5_GMC_VE!$F$56</definedName>
    <definedName name="PG5hCmdBtn1b">Page5_GMC_VE!$F$57</definedName>
    <definedName name="PG5iCmdBtn1a">Page5i_SANS_OBJECT!$F$56</definedName>
    <definedName name="PG5iCmdBtn1b">Page5i_SANS_OBJECT!$F$57</definedName>
    <definedName name="PG5jCmdBtn1a">Page5j_SANS_OBJECT!$F$56</definedName>
    <definedName name="PG5jCmdBtn1b">Page5j_SANS_OBJECT!$F$57</definedName>
    <definedName name="PG5kCmdBtn1a">Page5_PARCS!$F$72</definedName>
    <definedName name="PG5kCmdBtn1b">Page5_PARCS!$F$73</definedName>
    <definedName name="PG5lCmdBtn1a" localSheetId="12">Page5_PARCS_GOUV!$F$78</definedName>
    <definedName name="PG5lCmdBtn1b" localSheetId="12">Page5_PARCS_GOUV!$F$79</definedName>
    <definedName name="PG6CmdBtn1a">Page6!$F$83</definedName>
    <definedName name="PG6CmdBtn1b">Page6!$F$84</definedName>
    <definedName name="PG7CmdBtn1a">Page7!$E$125</definedName>
    <definedName name="PG7CmdBtn1b">Page7!$E$126</definedName>
    <definedName name="PrintListErrors">Comments!$K$17</definedName>
    <definedName name="PrtCellComm">Comments!$L$17</definedName>
    <definedName name="PrtCellComments">Comments!$L$20</definedName>
    <definedName name="rngACCURACY_POINTS">'TB Out'!$F$6</definedName>
    <definedName name="rngAlertHeader">Comments!$K$73</definedName>
    <definedName name="rngAlertMessage1">Comments!$K$75</definedName>
    <definedName name="rngAlertMessage2">Comments!$K$76</definedName>
    <definedName name="rngAlertMessage3">Comments!$K$78</definedName>
    <definedName name="rngAlertMessage4">Comments!$K$79</definedName>
    <definedName name="rngAlertMessage5">Comments!$K$80</definedName>
    <definedName name="rngAlertMessage6">Comments!$K$81</definedName>
    <definedName name="rngAlertMonth">Comments!$K$71</definedName>
    <definedName name="rngAlertSubHeader1">Comments!$K$74</definedName>
    <definedName name="rngAlertSubHeader2">Comments!$K$77</definedName>
    <definedName name="rngAlertYear">Comments!$K$72</definedName>
    <definedName name="rngAUDebug">Comments!$L$67</definedName>
    <definedName name="rngAUErrGeneralError">Comments!$L$41</definedName>
    <definedName name="rngAUErrHdr">Comments!$L$44</definedName>
    <definedName name="rngAUErrLoginError">Comments!$L$35</definedName>
    <definedName name="rngAUErrLoginError2">Comments!$L$36</definedName>
    <definedName name="rngAUErrLoginTimeout">Comments!$L$34</definedName>
    <definedName name="rngAUErrPostingData">Comments!$L$38</definedName>
    <definedName name="rngAUErrReadingStatus">Comments!$L$40</definedName>
    <definedName name="rngAUErrReadingXMLFile">Comments!$L$39</definedName>
    <definedName name="rngAUErrUploadFileError">Comments!$L$37</definedName>
    <definedName name="rngAULogCounter">Comments!$AB$1</definedName>
    <definedName name="rngAUMsgLogin">Comments!$K$42</definedName>
    <definedName name="rngAUMsgLogin2">Comments!$L$42</definedName>
    <definedName name="rngAUMsgSuccess1">Comments!$K$43</definedName>
    <definedName name="rngAUMsgSuccess2">Comments!$K$44</definedName>
    <definedName name="rngAUMsgSuccess3">Comments!$K$45</definedName>
    <definedName name="rngAUTitle">Comments!$L$43</definedName>
    <definedName name="rngCurrentLogRow">Log!$A$932</definedName>
    <definedName name="rngDefaultDir">Comments!$L$24</definedName>
    <definedName name="rngDefaultDrive">Comments!$K$24</definedName>
    <definedName name="rngDevelopment">Comments!$L$32</definedName>
    <definedName name="rngDSPErrHdr">Comments!$L$61</definedName>
    <definedName name="rngDSPFileBAC" localSheetId="26">[1]Comments!$L$64</definedName>
    <definedName name="rngDSPFileBAC">Comments!$L$64</definedName>
    <definedName name="rngDSPFileDate" localSheetId="26">[1]Comments!$L$63</definedName>
    <definedName name="rngDSPFileDate">Comments!$L$63</definedName>
    <definedName name="rngDSPFileErr1">Comments!$K$61</definedName>
    <definedName name="rngDSPFileErr2">Comments!$K$62</definedName>
    <definedName name="rngDSPFileErr3">Comments!$K$63</definedName>
    <definedName name="rngDSPFileErr4">Comments!$K$64</definedName>
    <definedName name="rngEditData">Comments!$L$26</definedName>
    <definedName name="rngEditVerifyError">Comments!$K$26</definedName>
    <definedName name="rngErrAUFailed">Comments!$K$68</definedName>
    <definedName name="rngErrHdrAUFailed">Comments!$L$68</definedName>
    <definedName name="rngErrHdrMissingDt">Comments!$L$69</definedName>
    <definedName name="rngErrMsgMissingDt">Comments!$K$69</definedName>
    <definedName name="rngHdrPopData">Comments!$L$22</definedName>
    <definedName name="rngInvalidSubDt1">Comments!$K$65</definedName>
    <definedName name="rngInvalidSubDt2">Comments!$K$66</definedName>
    <definedName name="rngMaintenance">TBIn!$I$1</definedName>
    <definedName name="rngModelOffice">Comments!$L$31</definedName>
    <definedName name="rngMsgAUEnv">Comments!$K$29</definedName>
    <definedName name="rngMsgPopData">Comments!$K$22</definedName>
    <definedName name="rngMsgPrintTrnLog">Comments!$K$47</definedName>
    <definedName name="rngMsgTrans1">Comments!$K$48</definedName>
    <definedName name="rngMsgTrans2">Comments!$K$49</definedName>
    <definedName name="rngMsgTrans3">Comments!$K$50</definedName>
    <definedName name="rngMsgTrans4">Comments!$K$51</definedName>
    <definedName name="rngMsgTrans5">Comments!$K$52</definedName>
    <definedName name="rngMsgTrans6">Comments!$K$53</definedName>
    <definedName name="rngMsgTrans7">Comments!$K$54</definedName>
    <definedName name="rngMsgTrans8">Comments!$K$55</definedName>
    <definedName name="rngMsgTrans9">Comments!$K$56</definedName>
    <definedName name="rngMsgWait">Comments!$K$23</definedName>
    <definedName name="rngProduction">Comments!$L$30</definedName>
    <definedName name="rngPrvMthSales">Verify!$C$112</definedName>
    <definedName name="rngPrvMthSalesCode">OR_VEH!$C$725</definedName>
    <definedName name="rngSumCritical">Comments!$K$3</definedName>
    <definedName name="rngSumNonCritical">Comments!$L$3</definedName>
    <definedName name="rngTBInDlrData">TBIn!$H$1</definedName>
    <definedName name="rngTBInDlrInfo">TBIn!$G$1</definedName>
    <definedName name="rngTitleAUEnv">Comments!$L$29</definedName>
    <definedName name="rngTitleInvalidSubDt">Comments!$L$65</definedName>
    <definedName name="rngTitlePrintTrnLog">Comments!$L$47</definedName>
    <definedName name="rngUploadData">Comments!$L$27</definedName>
    <definedName name="rngWBBkSaved">Comments!$L$59</definedName>
    <definedName name="rngWBBkTxt">Comments!$L$58</definedName>
    <definedName name="SavedFile">Verify!$B$2692</definedName>
    <definedName name="SubmitData">Comments!$K$18</definedName>
    <definedName name="TBEappExport">Comments!$L$10</definedName>
    <definedName name="TBEappTitle">Comments!$L$5</definedName>
    <definedName name="TBECNTRY">'TB Out'!$E$3065</definedName>
    <definedName name="TBELAN">'TB Out'!$E$3064</definedName>
    <definedName name="TBEVER">'TB Out'!$E$3063</definedName>
    <definedName name="TextInBlue">Comments!$K$8</definedName>
    <definedName name="Tot_Crit_Errors" localSheetId="26">[1]Verify!$C$2489</definedName>
    <definedName name="Tot_Crit_Errors">Verify!$C$2683</definedName>
    <definedName name="Tot_NonCrit_Errors" localSheetId="26">[1]Verify!$E$2489</definedName>
    <definedName name="Tot_NonCrit_Errors">Verify!$E$2683</definedName>
    <definedName name="Total_All_Errors">Verify!$D$2684</definedName>
    <definedName name="VehTable">OR_VEH!$A$1:$F$706</definedName>
    <definedName name="WrkbkName">OR_VEH!$B$728</definedName>
    <definedName name="XLBLD">'TB Out'!$E$3061</definedName>
    <definedName name="XLLAN">'TB Out'!$E$3062</definedName>
    <definedName name="XLSP">'TB Out'!$E$3060</definedName>
    <definedName name="XLVER">'TB Out'!$E$3059</definedName>
    <definedName name="XMLfile">Comments!$L$15</definedName>
    <definedName name="Z_314D3A20_470D_11D6_8FBB_E7CA674E4A15_.wvu.PrintTitles" localSheetId="23" hidden="1">OR_VEH!$1:$2</definedName>
    <definedName name="Z_314D3A20_470D_11D6_8FBB_E7CA674E4A15_.wvu.PrintTitles" localSheetId="20" hidden="1">Verify!$1:$1</definedName>
    <definedName name="Z_42A0DCD3_5C27_4BB4_A491_D2E7F84D8A17_.wvu.Cols" localSheetId="2" hidden="1">Page3!$S:$U</definedName>
    <definedName name="Z_42A0DCD3_5C27_4BB4_A491_D2E7F84D8A17_.wvu.Cols" localSheetId="3" hidden="1">Page4!$U:$W</definedName>
    <definedName name="Z_42A0DCD3_5C27_4BB4_A491_D2E7F84D8A17_.wvu.Cols" localSheetId="6" hidden="1">Page5_BUI_MCI!$Q:$U</definedName>
    <definedName name="Z_42A0DCD3_5C27_4BB4_A491_D2E7F84D8A17_.wvu.Cols" localSheetId="7" hidden="1">Page5_BUI_VE!$Q:$U</definedName>
    <definedName name="Z_42A0DCD3_5C27_4BB4_A491_D2E7F84D8A17_.wvu.Cols" localSheetId="10" hidden="1">Page5_CAD_MCI!$Q:$U</definedName>
    <definedName name="Z_42A0DCD3_5C27_4BB4_A491_D2E7F84D8A17_.wvu.Cols" localSheetId="11" hidden="1">Page5_CAD_VE!$Q:$U</definedName>
    <definedName name="Z_42A0DCD3_5C27_4BB4_A491_D2E7F84D8A17_.wvu.Cols" localSheetId="4" hidden="1">Page5_CHV_MCI!$Q:$U</definedName>
    <definedName name="Z_42A0DCD3_5C27_4BB4_A491_D2E7F84D8A17_.wvu.Cols" localSheetId="5" hidden="1">Page5_CHV_VE!$Q:$U</definedName>
    <definedName name="Z_42A0DCD3_5C27_4BB4_A491_D2E7F84D8A17_.wvu.Cols" localSheetId="8" hidden="1">Page5_GMC_MCI!$Q:$U</definedName>
    <definedName name="Z_42A0DCD3_5C27_4BB4_A491_D2E7F84D8A17_.wvu.Cols" localSheetId="9" hidden="1">Page5_GMC_VE!$Q:$U</definedName>
    <definedName name="Z_42A0DCD3_5C27_4BB4_A491_D2E7F84D8A17_.wvu.Cols" localSheetId="13" hidden="1">Page5_PARCS!$Q:$AB</definedName>
    <definedName name="Z_42A0DCD3_5C27_4BB4_A491_D2E7F84D8A17_.wvu.Cols" localSheetId="12" hidden="1">Page5_PARCS_GOUV!$Q:$AB</definedName>
    <definedName name="Z_42A0DCD3_5C27_4BB4_A491_D2E7F84D8A17_.wvu.Cols" localSheetId="14" hidden="1">Page5i_SANS_OBJECT!$Q:$U</definedName>
    <definedName name="Z_42A0DCD3_5C27_4BB4_A491_D2E7F84D8A17_.wvu.Cols" localSheetId="15" hidden="1">Page5j_SANS_OBJECT!$Q:$U</definedName>
    <definedName name="Z_42A0DCD3_5C27_4BB4_A491_D2E7F84D8A17_.wvu.Cols" localSheetId="16" hidden="1">Page6!$Q:$R</definedName>
    <definedName name="Z_42A0DCD3_5C27_4BB4_A491_D2E7F84D8A17_.wvu.Cols" localSheetId="17" hidden="1">Page7!$Q:$R</definedName>
    <definedName name="Z_42A0DCD3_5C27_4BB4_A491_D2E7F84D8A17_.wvu.PrintArea" localSheetId="0" hidden="1">Page1!$A$1:$S$68</definedName>
    <definedName name="Z_42A0DCD3_5C27_4BB4_A491_D2E7F84D8A17_.wvu.PrintArea" localSheetId="1" hidden="1">Page2!$A$1:$U$68</definedName>
    <definedName name="Z_42A0DCD3_5C27_4BB4_A491_D2E7F84D8A17_.wvu.PrintArea" localSheetId="2" hidden="1">Page3!$A$1:$R$71</definedName>
    <definedName name="Z_42A0DCD3_5C27_4BB4_A491_D2E7F84D8A17_.wvu.PrintArea" localSheetId="3" hidden="1">Page4!$A$1:$T$69</definedName>
    <definedName name="Z_42A0DCD3_5C27_4BB4_A491_D2E7F84D8A17_.wvu.PrintArea" localSheetId="6" hidden="1">Page5_BUI_MCI!$A$1:$P$52</definedName>
    <definedName name="Z_42A0DCD3_5C27_4BB4_A491_D2E7F84D8A17_.wvu.PrintArea" localSheetId="7" hidden="1">Page5_BUI_VE!$A$1:$P$52</definedName>
    <definedName name="Z_42A0DCD3_5C27_4BB4_A491_D2E7F84D8A17_.wvu.PrintArea" localSheetId="10" hidden="1">Page5_CAD_MCI!$A$1:$P$52</definedName>
    <definedName name="Z_42A0DCD3_5C27_4BB4_A491_D2E7F84D8A17_.wvu.PrintArea" localSheetId="11" hidden="1">Page5_CAD_VE!$A$1:$P$52</definedName>
    <definedName name="Z_42A0DCD3_5C27_4BB4_A491_D2E7F84D8A17_.wvu.PrintArea" localSheetId="4" hidden="1">Page5_CHV_MCI!$A$1:$P$52</definedName>
    <definedName name="Z_42A0DCD3_5C27_4BB4_A491_D2E7F84D8A17_.wvu.PrintArea" localSheetId="5" hidden="1">Page5_CHV_VE!$A$1:$P$52</definedName>
    <definedName name="Z_42A0DCD3_5C27_4BB4_A491_D2E7F84D8A17_.wvu.PrintArea" localSheetId="8" hidden="1">Page5_GMC_MCI!$A$1:$P$52</definedName>
    <definedName name="Z_42A0DCD3_5C27_4BB4_A491_D2E7F84D8A17_.wvu.PrintArea" localSheetId="9" hidden="1">Page5_GMC_VE!$A$1:$P$52</definedName>
    <definedName name="Z_42A0DCD3_5C27_4BB4_A491_D2E7F84D8A17_.wvu.PrintArea" localSheetId="13" hidden="1">Page5_PARCS!$A$1:$P$69</definedName>
    <definedName name="Z_42A0DCD3_5C27_4BB4_A491_D2E7F84D8A17_.wvu.PrintArea" localSheetId="12" hidden="1">Page5_PARCS_GOUV!$A$1:$P$75</definedName>
    <definedName name="Z_42A0DCD3_5C27_4BB4_A491_D2E7F84D8A17_.wvu.PrintArea" localSheetId="14" hidden="1">Page5i_SANS_OBJECT!$A$1:$P$52</definedName>
    <definedName name="Z_42A0DCD3_5C27_4BB4_A491_D2E7F84D8A17_.wvu.PrintArea" localSheetId="15" hidden="1">Page5j_SANS_OBJECT!$A$1:$P$52</definedName>
    <definedName name="Z_42A0DCD3_5C27_4BB4_A491_D2E7F84D8A17_.wvu.PrintArea" localSheetId="16" hidden="1">Page6!$B$1:$P$79</definedName>
    <definedName name="Z_42A0DCD3_5C27_4BB4_A491_D2E7F84D8A17_.wvu.PrintArea" localSheetId="17" hidden="1">Page7!$A$1:$P$81</definedName>
    <definedName name="Z_42A0DCD3_5C27_4BB4_A491_D2E7F84D8A17_.wvu.PrintArea" localSheetId="18" hidden="1">Page8!$A$1:$S$54</definedName>
    <definedName name="Z_42A0DCD3_5C27_4BB4_A491_D2E7F84D8A17_.wvu.Rows" localSheetId="0" hidden="1">Page1!$69:$101</definedName>
    <definedName name="Z_42A0DCD3_5C27_4BB4_A491_D2E7F84D8A17_.wvu.Rows" localSheetId="1" hidden="1">Page2!$69:$81</definedName>
    <definedName name="Z_42A0DCD3_5C27_4BB4_A491_D2E7F84D8A17_.wvu.Rows" localSheetId="2" hidden="1">Page3!$71:$79</definedName>
    <definedName name="Z_42A0DCD3_5C27_4BB4_A491_D2E7F84D8A17_.wvu.Rows" localSheetId="3" hidden="1">Page4!$70:$78</definedName>
    <definedName name="Z_42A0DCD3_5C27_4BB4_A491_D2E7F84D8A17_.wvu.Rows" localSheetId="6" hidden="1">Page5_BUI_MCI!$54:$54</definedName>
    <definedName name="Z_42A0DCD3_5C27_4BB4_A491_D2E7F84D8A17_.wvu.Rows" localSheetId="7" hidden="1">Page5_BUI_VE!$54:$54</definedName>
    <definedName name="Z_42A0DCD3_5C27_4BB4_A491_D2E7F84D8A17_.wvu.Rows" localSheetId="10" hidden="1">Page5_CAD_MCI!$54:$54</definedName>
    <definedName name="Z_42A0DCD3_5C27_4BB4_A491_D2E7F84D8A17_.wvu.Rows" localSheetId="4" hidden="1">Page5_CHV_MCI!$54:$54</definedName>
    <definedName name="Z_42A0DCD3_5C27_4BB4_A491_D2E7F84D8A17_.wvu.Rows" localSheetId="5" hidden="1">Page5_CHV_VE!$54:$54</definedName>
    <definedName name="Z_42A0DCD3_5C27_4BB4_A491_D2E7F84D8A17_.wvu.Rows" localSheetId="8" hidden="1">Page5_GMC_MCI!$54:$54</definedName>
    <definedName name="Z_42A0DCD3_5C27_4BB4_A491_D2E7F84D8A17_.wvu.Rows" localSheetId="17" hidden="1">Page7!$83:$146</definedName>
    <definedName name="Z_42A0DCD3_5C27_4BB4_A491_D2E7F84D8A17_.wvu.Rows" localSheetId="18" hidden="1">Page8!$56:$57</definedName>
    <definedName name="Z_EB281BD4_ABCF_428C_A6C2_8158A21EF819_.wvu.Cols" localSheetId="2" hidden="1">Page3!$S:$U</definedName>
    <definedName name="Z_EB281BD4_ABCF_428C_A6C2_8158A21EF819_.wvu.PrintArea" localSheetId="0" hidden="1">Page1!$A$1:$S$68</definedName>
    <definedName name="Z_EB281BD4_ABCF_428C_A6C2_8158A21EF819_.wvu.PrintArea" localSheetId="1" hidden="1">Page2!$A$1:$U$68</definedName>
    <definedName name="Z_EB281BD4_ABCF_428C_A6C2_8158A21EF819_.wvu.PrintArea" localSheetId="2" hidden="1">Page3!$A$1:$R$71</definedName>
    <definedName name="Z_EB281BD4_ABCF_428C_A6C2_8158A21EF819_.wvu.PrintArea" localSheetId="3" hidden="1">Page4!$A$1:$T$69</definedName>
    <definedName name="Z_EB281BD4_ABCF_428C_A6C2_8158A21EF819_.wvu.PrintArea" localSheetId="6" hidden="1">Page5_BUI_MCI!$A$1:$P$52</definedName>
    <definedName name="Z_EB281BD4_ABCF_428C_A6C2_8158A21EF819_.wvu.PrintArea" localSheetId="7" hidden="1">Page5_BUI_VE!$A$1:$P$52</definedName>
    <definedName name="Z_EB281BD4_ABCF_428C_A6C2_8158A21EF819_.wvu.PrintArea" localSheetId="10" hidden="1">Page5_CAD_MCI!$A$1:$P$52</definedName>
    <definedName name="Z_EB281BD4_ABCF_428C_A6C2_8158A21EF819_.wvu.PrintArea" localSheetId="11" hidden="1">Page5_CAD_VE!$A$1:$P$52</definedName>
    <definedName name="Z_EB281BD4_ABCF_428C_A6C2_8158A21EF819_.wvu.PrintArea" localSheetId="4" hidden="1">Page5_CHV_MCI!$A$1:$P$52</definedName>
    <definedName name="Z_EB281BD4_ABCF_428C_A6C2_8158A21EF819_.wvu.PrintArea" localSheetId="5" hidden="1">Page5_CHV_VE!$A$1:$P$52</definedName>
    <definedName name="Z_EB281BD4_ABCF_428C_A6C2_8158A21EF819_.wvu.PrintArea" localSheetId="8" hidden="1">Page5_GMC_MCI!$A$1:$P$52</definedName>
    <definedName name="Z_EB281BD4_ABCF_428C_A6C2_8158A21EF819_.wvu.PrintArea" localSheetId="9" hidden="1">Page5_GMC_VE!$A$1:$P$52</definedName>
    <definedName name="Z_EB281BD4_ABCF_428C_A6C2_8158A21EF819_.wvu.PrintArea" localSheetId="13" hidden="1">Page5_PARCS!$A$1:$P$69</definedName>
    <definedName name="Z_EB281BD4_ABCF_428C_A6C2_8158A21EF819_.wvu.PrintArea" localSheetId="12" hidden="1">Page5_PARCS_GOUV!$A$1:$P$75</definedName>
    <definedName name="Z_EB281BD4_ABCF_428C_A6C2_8158A21EF819_.wvu.PrintArea" localSheetId="14" hidden="1">Page5i_SANS_OBJECT!$A$1:$P$52</definedName>
    <definedName name="Z_EB281BD4_ABCF_428C_A6C2_8158A21EF819_.wvu.PrintArea" localSheetId="15" hidden="1">Page5j_SANS_OBJECT!$A$1:$P$52</definedName>
    <definedName name="Z_EB281BD4_ABCF_428C_A6C2_8158A21EF819_.wvu.PrintArea" localSheetId="16" hidden="1">Page6!$B$1:$P$79</definedName>
    <definedName name="Z_EB281BD4_ABCF_428C_A6C2_8158A21EF819_.wvu.PrintArea" localSheetId="17" hidden="1">Page7!$A$1:$P$81</definedName>
    <definedName name="Z_EB281BD4_ABCF_428C_A6C2_8158A21EF819_.wvu.PrintArea" localSheetId="18" hidden="1">Page8!$A$1:$S$45</definedName>
    <definedName name="Z_FA29746F_8847_4779_9FAE_66945DB06B8D_.wvu.Cols" localSheetId="1" hidden="1">Page2!$H:$I,Page2!$K:$L,Page2!$N:$N,Page2!$P:$P,Page2!$R:$R,Page2!$T:$T</definedName>
    <definedName name="Z_FA29746F_8847_4779_9FAE_66945DB06B8D_.wvu.Cols" localSheetId="2" hidden="1">Page3!$E:$E,Page3!$G:$G,Page3!$I:$I,Page3!$K:$K,Page3!$M:$M,Page3!$O:$O,Page3!$S:$T</definedName>
    <definedName name="Z_FA29746F_8847_4779_9FAE_66945DB06B8D_.wvu.Cols" localSheetId="3" hidden="1">Page4!$E:$E,Page4!$G:$G,Page4!$I:$I,Page4!$K:$K,Page4!$M:$M,Page4!$O:$O,Page4!$Q:$Q,Page4!$S:$S,Page4!$U:$W</definedName>
    <definedName name="Z_FA29746F_8847_4779_9FAE_66945DB06B8D_.wvu.Cols" localSheetId="6" hidden="1">Page5_BUI_MCI!$Q:$U</definedName>
    <definedName name="Z_FA29746F_8847_4779_9FAE_66945DB06B8D_.wvu.Cols" localSheetId="7" hidden="1">Page5_BUI_VE!$Q:$U</definedName>
    <definedName name="Z_FA29746F_8847_4779_9FAE_66945DB06B8D_.wvu.Cols" localSheetId="10" hidden="1">Page5_CAD_MCI!$Q:$U</definedName>
    <definedName name="Z_FA29746F_8847_4779_9FAE_66945DB06B8D_.wvu.Cols" localSheetId="11" hidden="1">Page5_CAD_VE!$Q:$U</definedName>
    <definedName name="Z_FA29746F_8847_4779_9FAE_66945DB06B8D_.wvu.Cols" localSheetId="4" hidden="1">Page5_CHV_MCI!$Q:$U</definedName>
    <definedName name="Z_FA29746F_8847_4779_9FAE_66945DB06B8D_.wvu.Cols" localSheetId="5" hidden="1">Page5_CHV_VE!$Q:$U</definedName>
    <definedName name="Z_FA29746F_8847_4779_9FAE_66945DB06B8D_.wvu.Cols" localSheetId="8" hidden="1">Page5_GMC_MCI!$Q:$U</definedName>
    <definedName name="Z_FA29746F_8847_4779_9FAE_66945DB06B8D_.wvu.Cols" localSheetId="9" hidden="1">Page5_GMC_VE!$Q:$U</definedName>
    <definedName name="Z_FA29746F_8847_4779_9FAE_66945DB06B8D_.wvu.Cols" localSheetId="13" hidden="1">Page5_PARCS!$Q:$AB</definedName>
    <definedName name="Z_FA29746F_8847_4779_9FAE_66945DB06B8D_.wvu.Cols" localSheetId="12" hidden="1">Page5_PARCS_GOUV!$Q:$AB</definedName>
    <definedName name="Z_FA29746F_8847_4779_9FAE_66945DB06B8D_.wvu.Cols" localSheetId="14" hidden="1">Page5i_SANS_OBJECT!$Q:$U</definedName>
    <definedName name="Z_FA29746F_8847_4779_9FAE_66945DB06B8D_.wvu.Cols" localSheetId="15" hidden="1">Page5j_SANS_OBJECT!$Q:$U</definedName>
    <definedName name="Z_FA29746F_8847_4779_9FAE_66945DB06B8D_.wvu.Cols" localSheetId="16" hidden="1">Page6!$Q:$R</definedName>
    <definedName name="Z_FA29746F_8847_4779_9FAE_66945DB06B8D_.wvu.Cols" localSheetId="17" hidden="1">Page7!$Q:$Q</definedName>
    <definedName name="Z_FA29746F_8847_4779_9FAE_66945DB06B8D_.wvu.PrintArea" localSheetId="0" hidden="1">Page1!$A$1:$S$68</definedName>
    <definedName name="Z_FA29746F_8847_4779_9FAE_66945DB06B8D_.wvu.PrintArea" localSheetId="1" hidden="1">Page2!$A$1:$U$68</definedName>
    <definedName name="Z_FA29746F_8847_4779_9FAE_66945DB06B8D_.wvu.PrintArea" localSheetId="2" hidden="1">Page3!$A$1:$R$71</definedName>
    <definedName name="Z_FA29746F_8847_4779_9FAE_66945DB06B8D_.wvu.PrintArea" localSheetId="3" hidden="1">Page4!$A$1:$T$69</definedName>
    <definedName name="Z_FA29746F_8847_4779_9FAE_66945DB06B8D_.wvu.PrintArea" localSheetId="6" hidden="1">Page5_BUI_MCI!$A$1:$P$52</definedName>
    <definedName name="Z_FA29746F_8847_4779_9FAE_66945DB06B8D_.wvu.PrintArea" localSheetId="7" hidden="1">Page5_BUI_VE!$A$1:$P$52</definedName>
    <definedName name="Z_FA29746F_8847_4779_9FAE_66945DB06B8D_.wvu.PrintArea" localSheetId="10" hidden="1">Page5_CAD_MCI!$A$1:$P$52</definedName>
    <definedName name="Z_FA29746F_8847_4779_9FAE_66945DB06B8D_.wvu.PrintArea" localSheetId="11" hidden="1">Page5_CAD_VE!$A$1:$P$52</definedName>
    <definedName name="Z_FA29746F_8847_4779_9FAE_66945DB06B8D_.wvu.PrintArea" localSheetId="5" hidden="1">Page5_CHV_VE!$A$1:$P$52</definedName>
    <definedName name="Z_FA29746F_8847_4779_9FAE_66945DB06B8D_.wvu.PrintArea" localSheetId="8" hidden="1">Page5_GMC_MCI!$A$1:$P$52</definedName>
    <definedName name="Z_FA29746F_8847_4779_9FAE_66945DB06B8D_.wvu.PrintArea" localSheetId="9" hidden="1">Page5_GMC_VE!$A$1:$P$52</definedName>
    <definedName name="Z_FA29746F_8847_4779_9FAE_66945DB06B8D_.wvu.PrintArea" localSheetId="13" hidden="1">Page5_PARCS!$A$1:$P$69</definedName>
    <definedName name="Z_FA29746F_8847_4779_9FAE_66945DB06B8D_.wvu.PrintArea" localSheetId="12" hidden="1">Page5_PARCS_GOUV!$A$1:$P$75</definedName>
    <definedName name="Z_FA29746F_8847_4779_9FAE_66945DB06B8D_.wvu.PrintArea" localSheetId="14" hidden="1">Page5i_SANS_OBJECT!$A$1:$P$52</definedName>
    <definedName name="Z_FA29746F_8847_4779_9FAE_66945DB06B8D_.wvu.PrintArea" localSheetId="15" hidden="1">Page5j_SANS_OBJECT!$A$1:$P$52</definedName>
    <definedName name="Z_FA29746F_8847_4779_9FAE_66945DB06B8D_.wvu.PrintArea" localSheetId="16" hidden="1">Page6!$A$1:$P$79</definedName>
    <definedName name="Z_FA29746F_8847_4779_9FAE_66945DB06B8D_.wvu.PrintArea" localSheetId="17" hidden="1">Page7!$A$1:$P$81</definedName>
    <definedName name="Z_FA29746F_8847_4779_9FAE_66945DB06B8D_.wvu.PrintArea" localSheetId="18" hidden="1">Page8!$A$1:$S$54</definedName>
    <definedName name="Z_FA29746F_8847_4779_9FAE_66945DB06B8D_.wvu.Rows" localSheetId="0" hidden="1">Page1!$69:$245</definedName>
    <definedName name="Z_FA29746F_8847_4779_9FAE_66945DB06B8D_.wvu.Rows" localSheetId="2" hidden="1">Page3!$71:$142</definedName>
    <definedName name="Z_FA29746F_8847_4779_9FAE_66945DB06B8D_.wvu.Rows" localSheetId="3" hidden="1">Page4!$70:$102</definedName>
    <definedName name="Z_FA29746F_8847_4779_9FAE_66945DB06B8D_.wvu.Rows" localSheetId="6" hidden="1">Page5_BUI_MCI!$54:$54</definedName>
    <definedName name="Z_FA29746F_8847_4779_9FAE_66945DB06B8D_.wvu.Rows" localSheetId="7" hidden="1">Page5_BUI_VE!$54:$54</definedName>
    <definedName name="Z_FA29746F_8847_4779_9FAE_66945DB06B8D_.wvu.Rows" localSheetId="10" hidden="1">Page5_CAD_MCI!$54:$54</definedName>
    <definedName name="Z_FA29746F_8847_4779_9FAE_66945DB06B8D_.wvu.Rows" localSheetId="11" hidden="1">Page5_CAD_VE!$54:$54</definedName>
    <definedName name="Z_FA29746F_8847_4779_9FAE_66945DB06B8D_.wvu.Rows" localSheetId="4" hidden="1">Page5_CHV_MCI!$54:$54</definedName>
    <definedName name="Z_FA29746F_8847_4779_9FAE_66945DB06B8D_.wvu.Rows" localSheetId="5" hidden="1">Page5_CHV_VE!$54:$54</definedName>
    <definedName name="Z_FA29746F_8847_4779_9FAE_66945DB06B8D_.wvu.Rows" localSheetId="8" hidden="1">Page5_GMC_MCI!$54:$54</definedName>
    <definedName name="Z_FA29746F_8847_4779_9FAE_66945DB06B8D_.wvu.Rows" localSheetId="9" hidden="1">Page5_GMC_VE!$54:$54</definedName>
    <definedName name="Z_FA29746F_8847_4779_9FAE_66945DB06B8D_.wvu.Rows" localSheetId="14" hidden="1">Page5i_SANS_OBJECT!$54:$54</definedName>
    <definedName name="Z_FA29746F_8847_4779_9FAE_66945DB06B8D_.wvu.Rows" localSheetId="17" hidden="1">Page7!$84:$165</definedName>
    <definedName name="Z_FA29746F_8847_4779_9FAE_66945DB06B8D_.wvu.Rows" localSheetId="18" hidden="1">Page8!$56:$57</definedName>
    <definedName name="_xlnm.Print_Area" localSheetId="0">Page1!$A$1:$S$68</definedName>
    <definedName name="_xlnm.Print_Area" localSheetId="1">Page2!$A$1:$U$68</definedName>
    <definedName name="_xlnm.Print_Area" localSheetId="2">Page3!$A$1:$R$71</definedName>
    <definedName name="_xlnm.Print_Area" localSheetId="3">Page4!$A$1:$T$69</definedName>
    <definedName name="_xlnm.Print_Area" localSheetId="6">Page5_BUI_MCI!$A$1:$P$52</definedName>
    <definedName name="_xlnm.Print_Area" localSheetId="7">Page5_BUI_VE!$A$1:$P$52</definedName>
    <definedName name="_xlnm.Print_Area" localSheetId="10">Page5_CAD_MCI!$A$1:$P$52</definedName>
    <definedName name="_xlnm.Print_Area" localSheetId="11">Page5_CAD_VE!$A$1:$P$52</definedName>
    <definedName name="_xlnm.Print_Area" localSheetId="5">Page5_CHV_VE!$A$1:$P$52</definedName>
    <definedName name="_xlnm.Print_Area" localSheetId="8">Page5_GMC_MCI!$A$1:$P$52</definedName>
    <definedName name="_xlnm.Print_Area" localSheetId="9">Page5_GMC_VE!$A$1:$P$52</definedName>
    <definedName name="_xlnm.Print_Area" localSheetId="13">Page5_PARCS!$A$1:$P$69</definedName>
    <definedName name="_xlnm.Print_Area" localSheetId="12">Page5_PARCS_GOUV!$A$1:$P$75</definedName>
    <definedName name="_xlnm.Print_Area" localSheetId="14">Page5i_SANS_OBJECT!$A$1:$P$52</definedName>
    <definedName name="_xlnm.Print_Area" localSheetId="15">Page5j_SANS_OBJECT!$A$1:$P$52</definedName>
    <definedName name="_xlnm.Print_Area" localSheetId="16">Page6!$A$1:$P$79</definedName>
    <definedName name="_xlnm.Print_Area" localSheetId="17">Page7!$A$1:$P$82</definedName>
    <definedName name="_xlnm.Print_Area" localSheetId="18">Page8!$A$1:$S$54</definedName>
  </definedNames>
  <calcPr calcId="191029"/>
  <customWorkbookViews>
    <customWorkbookView name="Presentation View" guid="{42A0DCD3-5C27-4BB4-A491-D2E7F84D8A17}" xWindow="5" yWindow="24" windowWidth="786" windowHeight="434" activeSheetId="1" showComments="commNone"/>
    <customWorkbookView name="Edit View" guid="{EB281BD4-ABCF-428C-A6C2-8158A21EF819}" maximized="1" windowWidth="796" windowHeight="464" activeSheetId="1" showComments="commNone"/>
    <customWorkbookView name="Steve McConnery - Personal View" guid="{FA29746F-8847-4779-9FAE-66945DB06B8D}" mergeInterval="0" personalView="1" maximized="1" windowWidth="796" windowHeight="464" tabRatio="659" activeSheetId="2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25" l="1"/>
  <c r="H58" i="25"/>
  <c r="H57" i="25"/>
  <c r="H56" i="25"/>
  <c r="B56" i="25"/>
  <c r="H55" i="25"/>
  <c r="D55" i="25"/>
  <c r="B55" i="25"/>
  <c r="H54" i="25"/>
  <c r="F54" i="25"/>
  <c r="D54" i="25"/>
  <c r="B54" i="25"/>
  <c r="H53" i="25"/>
  <c r="F53" i="25"/>
  <c r="D53" i="25"/>
  <c r="B53" i="25"/>
  <c r="H52" i="25"/>
  <c r="D52" i="25"/>
  <c r="B52" i="25"/>
  <c r="H51" i="25"/>
  <c r="D51" i="25"/>
  <c r="B51" i="25"/>
  <c r="H50" i="25"/>
  <c r="F50" i="25"/>
  <c r="D50" i="25"/>
  <c r="B50" i="25"/>
  <c r="H49" i="25"/>
  <c r="D49" i="25"/>
  <c r="B49" i="25"/>
  <c r="H48" i="25"/>
  <c r="D48" i="25"/>
  <c r="B48" i="25"/>
  <c r="H47" i="25"/>
  <c r="F47" i="25"/>
  <c r="D47" i="25"/>
  <c r="B47" i="25"/>
  <c r="K43" i="25"/>
  <c r="J43" i="25"/>
  <c r="I43" i="25"/>
  <c r="H43" i="25"/>
  <c r="G43" i="25"/>
  <c r="F43" i="25"/>
  <c r="E43" i="25"/>
  <c r="D43" i="25"/>
  <c r="C43" i="25"/>
  <c r="B43" i="25"/>
  <c r="K42" i="25"/>
  <c r="J42" i="25"/>
  <c r="I42" i="25"/>
  <c r="H42" i="25"/>
  <c r="G42" i="25"/>
  <c r="F42" i="25"/>
  <c r="E42" i="25"/>
  <c r="D42" i="25"/>
  <c r="C42" i="25"/>
  <c r="B42" i="25"/>
  <c r="K41" i="25"/>
  <c r="J41" i="25"/>
  <c r="I41" i="25"/>
  <c r="H41" i="25"/>
  <c r="G41" i="25"/>
  <c r="F41" i="25"/>
  <c r="E41" i="25"/>
  <c r="D41" i="25"/>
  <c r="C41" i="25"/>
  <c r="B41" i="25"/>
  <c r="K40" i="25"/>
  <c r="J40" i="25"/>
  <c r="I40" i="25"/>
  <c r="H40" i="25"/>
  <c r="G40" i="25"/>
  <c r="F40" i="25"/>
  <c r="E40" i="25"/>
  <c r="D40" i="25"/>
  <c r="C40" i="25"/>
  <c r="B40" i="25"/>
  <c r="K39" i="25"/>
  <c r="J39" i="25"/>
  <c r="I39" i="25"/>
  <c r="H39" i="25"/>
  <c r="G39" i="25"/>
  <c r="F39" i="25"/>
  <c r="E39" i="25"/>
  <c r="D39" i="25"/>
  <c r="C39" i="25"/>
  <c r="B39" i="25"/>
  <c r="K38" i="25"/>
  <c r="J38" i="25"/>
  <c r="I38" i="25"/>
  <c r="H38" i="25"/>
  <c r="G38" i="25"/>
  <c r="F38" i="25"/>
  <c r="E38" i="25"/>
  <c r="D38" i="25"/>
  <c r="C38" i="25"/>
  <c r="B38" i="25"/>
  <c r="K37" i="25"/>
  <c r="J37" i="25"/>
  <c r="I37" i="25"/>
  <c r="H37" i="25"/>
  <c r="G37" i="25"/>
  <c r="F37" i="25"/>
  <c r="E37" i="25"/>
  <c r="D37" i="25"/>
  <c r="C37" i="25"/>
  <c r="B37" i="25"/>
  <c r="K36" i="25"/>
  <c r="J36" i="25"/>
  <c r="I36" i="25"/>
  <c r="H36" i="25"/>
  <c r="G36" i="25"/>
  <c r="F36" i="25"/>
  <c r="E36" i="25"/>
  <c r="D36" i="25"/>
  <c r="C36" i="25"/>
  <c r="B36" i="25"/>
  <c r="K35" i="25"/>
  <c r="J35" i="25"/>
  <c r="I35" i="25"/>
  <c r="H35" i="25"/>
  <c r="G35" i="25"/>
  <c r="F35" i="25"/>
  <c r="E35" i="25"/>
  <c r="D35" i="25"/>
  <c r="C35" i="25"/>
  <c r="B35" i="25"/>
  <c r="K34" i="25"/>
  <c r="J34" i="25"/>
  <c r="I34" i="25"/>
  <c r="H34" i="25"/>
  <c r="G34" i="25"/>
  <c r="F34" i="25"/>
  <c r="E34" i="25"/>
  <c r="D34" i="25"/>
  <c r="C34" i="25"/>
  <c r="B34" i="25"/>
  <c r="K33" i="25"/>
  <c r="J33" i="25"/>
  <c r="I33" i="25"/>
  <c r="H33" i="25"/>
  <c r="G33" i="25"/>
  <c r="F33" i="25"/>
  <c r="E33" i="25"/>
  <c r="D33" i="25"/>
  <c r="C33" i="25"/>
  <c r="B33" i="25"/>
  <c r="K32" i="25"/>
  <c r="J32" i="25"/>
  <c r="I32" i="25"/>
  <c r="H32" i="25"/>
  <c r="G32" i="25"/>
  <c r="F32" i="25"/>
  <c r="E32" i="25"/>
  <c r="D32" i="25"/>
  <c r="C32" i="25"/>
  <c r="B32" i="25"/>
  <c r="K31" i="25"/>
  <c r="J31" i="25"/>
  <c r="I31" i="25"/>
  <c r="H31" i="25"/>
  <c r="G31" i="25"/>
  <c r="F31" i="25"/>
  <c r="E31" i="25"/>
  <c r="D31" i="25"/>
  <c r="C31" i="25"/>
  <c r="B31" i="25"/>
  <c r="K30" i="25"/>
  <c r="J30" i="25"/>
  <c r="I30" i="25"/>
  <c r="H30" i="25"/>
  <c r="G30" i="25"/>
  <c r="F30" i="25"/>
  <c r="E30" i="25"/>
  <c r="D30" i="25"/>
  <c r="C30" i="25"/>
  <c r="B30" i="25"/>
  <c r="K29" i="25"/>
  <c r="J29" i="25"/>
  <c r="I29" i="25"/>
  <c r="H29" i="25"/>
  <c r="G29" i="25"/>
  <c r="F29" i="25"/>
  <c r="E29" i="25"/>
  <c r="D29" i="25"/>
  <c r="C29" i="25"/>
  <c r="B29" i="25"/>
  <c r="K28" i="25"/>
  <c r="J28" i="25"/>
  <c r="I28" i="25"/>
  <c r="H28" i="25"/>
  <c r="G28" i="25"/>
  <c r="F28" i="25"/>
  <c r="E28" i="25"/>
  <c r="D28" i="25"/>
  <c r="C28" i="25"/>
  <c r="B28" i="25"/>
  <c r="K27" i="25"/>
  <c r="J27" i="25"/>
  <c r="I27" i="25"/>
  <c r="H27" i="25"/>
  <c r="K26" i="25"/>
  <c r="J26" i="25"/>
  <c r="I26" i="25"/>
  <c r="H26" i="25"/>
  <c r="G26" i="25"/>
  <c r="F26" i="25"/>
  <c r="E26" i="25"/>
  <c r="D26" i="25"/>
  <c r="C26" i="25"/>
  <c r="B26" i="25"/>
  <c r="K25" i="25"/>
  <c r="J25" i="25"/>
  <c r="I25" i="25"/>
  <c r="H25" i="25"/>
  <c r="G25" i="25"/>
  <c r="F25" i="25"/>
  <c r="E25" i="25"/>
  <c r="D25" i="25"/>
  <c r="C25" i="25"/>
  <c r="B25" i="25"/>
  <c r="K24" i="25"/>
  <c r="J24" i="25"/>
  <c r="I24" i="25"/>
  <c r="H24" i="25"/>
  <c r="G24" i="25"/>
  <c r="F24" i="25"/>
  <c r="E24" i="25"/>
  <c r="D24" i="25"/>
  <c r="C24" i="25"/>
  <c r="B24" i="25"/>
  <c r="K23" i="25"/>
  <c r="J23" i="25"/>
  <c r="I23" i="25"/>
  <c r="H23" i="25"/>
  <c r="G23" i="25"/>
  <c r="F23" i="25"/>
  <c r="E23" i="25"/>
  <c r="D23" i="25"/>
  <c r="C23" i="25"/>
  <c r="B23" i="25"/>
  <c r="K22" i="25"/>
  <c r="J22" i="25"/>
  <c r="I22" i="25"/>
  <c r="H22" i="25"/>
  <c r="G22" i="25"/>
  <c r="F22" i="25"/>
  <c r="E22" i="25"/>
  <c r="D22" i="25"/>
  <c r="C22" i="25"/>
  <c r="B22" i="25"/>
  <c r="K21" i="25"/>
  <c r="J21" i="25"/>
  <c r="I21" i="25"/>
  <c r="H21" i="25"/>
  <c r="G21" i="25"/>
  <c r="F21" i="25"/>
  <c r="E21" i="25"/>
  <c r="D21" i="25"/>
  <c r="C21" i="25"/>
  <c r="B21" i="25"/>
  <c r="K20" i="25"/>
  <c r="J20" i="25"/>
  <c r="I20" i="25"/>
  <c r="H20" i="25"/>
  <c r="G20" i="25"/>
  <c r="F20" i="25"/>
  <c r="E20" i="25"/>
  <c r="D20" i="25"/>
  <c r="C20" i="25"/>
  <c r="B20" i="25"/>
  <c r="K19" i="25"/>
  <c r="J19" i="25"/>
  <c r="I19" i="25"/>
  <c r="H19" i="25"/>
  <c r="G19" i="25"/>
  <c r="F19" i="25"/>
  <c r="E19" i="25"/>
  <c r="D19" i="25"/>
  <c r="C19" i="25"/>
  <c r="B19" i="25"/>
  <c r="K18" i="25"/>
  <c r="J18" i="25"/>
  <c r="I18" i="25"/>
  <c r="H18" i="25"/>
  <c r="G18" i="25"/>
  <c r="F18" i="25"/>
  <c r="E18" i="25"/>
  <c r="D18" i="25"/>
  <c r="C18" i="25"/>
  <c r="B18" i="25"/>
  <c r="K17" i="25"/>
  <c r="J17" i="25"/>
  <c r="I17" i="25"/>
  <c r="H17" i="25"/>
  <c r="G17" i="25"/>
  <c r="F17" i="25"/>
  <c r="E17" i="25"/>
  <c r="D17" i="25"/>
  <c r="C17" i="25"/>
  <c r="B17" i="25"/>
  <c r="K16" i="25"/>
  <c r="J16" i="25"/>
  <c r="I16" i="25"/>
  <c r="H16" i="25"/>
  <c r="G16" i="25"/>
  <c r="F16" i="25"/>
  <c r="E16" i="25"/>
  <c r="D16" i="25"/>
  <c r="C16" i="25"/>
  <c r="B16" i="25"/>
  <c r="K15" i="25"/>
  <c r="J15" i="25"/>
  <c r="I15" i="25"/>
  <c r="H15" i="25"/>
  <c r="G15" i="25"/>
  <c r="F15" i="25"/>
  <c r="E15" i="25"/>
  <c r="D15" i="25"/>
  <c r="C15" i="25"/>
  <c r="B15" i="25"/>
  <c r="K14" i="25"/>
  <c r="J14" i="25"/>
  <c r="I14" i="25"/>
  <c r="H14" i="25"/>
  <c r="G14" i="25"/>
  <c r="F14" i="25"/>
  <c r="E14" i="25"/>
  <c r="D14" i="25"/>
  <c r="C14" i="25"/>
  <c r="B14" i="25"/>
  <c r="K13" i="25"/>
  <c r="J13" i="25"/>
  <c r="I13" i="25"/>
  <c r="H13" i="25"/>
  <c r="G13" i="25"/>
  <c r="F13" i="25"/>
  <c r="E13" i="25"/>
  <c r="D13" i="25"/>
  <c r="C13" i="25"/>
  <c r="B13" i="25"/>
  <c r="K12" i="25"/>
  <c r="J12" i="25"/>
  <c r="I12" i="25"/>
  <c r="H12" i="25"/>
  <c r="G12" i="25"/>
  <c r="F12" i="25"/>
  <c r="E12" i="25"/>
  <c r="D12" i="25"/>
  <c r="C12" i="25"/>
  <c r="B12" i="25"/>
  <c r="K11" i="25"/>
  <c r="J11" i="25"/>
  <c r="I11" i="25"/>
  <c r="H11" i="25"/>
  <c r="G11" i="25"/>
  <c r="F11" i="25"/>
  <c r="E11" i="25"/>
  <c r="D11" i="25"/>
  <c r="C11" i="25"/>
  <c r="B11" i="25"/>
  <c r="K10" i="25"/>
  <c r="J10" i="25"/>
  <c r="I10" i="25"/>
  <c r="H10" i="25"/>
  <c r="G10" i="25"/>
  <c r="F10" i="25"/>
  <c r="E10" i="25"/>
  <c r="D10" i="25"/>
  <c r="C10" i="25"/>
  <c r="B10" i="25"/>
  <c r="K9" i="25"/>
  <c r="J9" i="25"/>
  <c r="I9" i="25"/>
  <c r="H9" i="25"/>
  <c r="G9" i="25"/>
  <c r="F9" i="25"/>
  <c r="E9" i="25"/>
  <c r="D9" i="25"/>
  <c r="C9" i="25"/>
  <c r="B9" i="25"/>
  <c r="K8" i="25"/>
  <c r="J8" i="25"/>
  <c r="I8" i="25"/>
  <c r="H8" i="25"/>
  <c r="G8" i="25"/>
  <c r="F8" i="25"/>
  <c r="E8" i="25"/>
  <c r="D8" i="25"/>
  <c r="C8" i="25"/>
  <c r="B8" i="25"/>
  <c r="K7" i="25"/>
  <c r="J7" i="25"/>
  <c r="I7" i="25"/>
  <c r="H7" i="25"/>
  <c r="G7" i="25"/>
  <c r="G27" i="25" s="1"/>
  <c r="F7" i="25"/>
  <c r="F27" i="25" s="1"/>
  <c r="E7" i="25"/>
  <c r="E27" i="25" s="1"/>
  <c r="D7" i="25"/>
  <c r="D27" i="25" s="1"/>
  <c r="C7" i="25"/>
  <c r="C27" i="25" s="1"/>
  <c r="B7" i="25"/>
  <c r="B27" i="25" s="1"/>
  <c r="F1157" i="24"/>
  <c r="F1158" i="24" s="1"/>
  <c r="F1159" i="24" s="1"/>
  <c r="F1160" i="24" s="1"/>
  <c r="F1161" i="24" s="1"/>
  <c r="F1162" i="24" s="1"/>
  <c r="F1163" i="24" s="1"/>
  <c r="F1164" i="24" s="1"/>
  <c r="F1165" i="24" s="1"/>
  <c r="F1166" i="24" s="1"/>
  <c r="A96" i="20"/>
  <c r="A95" i="20"/>
  <c r="A94" i="20"/>
  <c r="A93" i="20"/>
  <c r="A92" i="20"/>
  <c r="A91" i="20"/>
  <c r="A90" i="20"/>
  <c r="B89"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5" i="20"/>
  <c r="K4" i="20"/>
  <c r="A4" i="20"/>
  <c r="A3" i="20"/>
  <c r="A2" i="20"/>
  <c r="B728" i="21"/>
  <c r="C725" i="21"/>
  <c r="C724" i="21"/>
  <c r="C723" i="21"/>
  <c r="C721" i="21"/>
  <c r="C720" i="21"/>
  <c r="C719" i="21"/>
  <c r="C718" i="21"/>
  <c r="C717" i="21"/>
  <c r="F670" i="21"/>
  <c r="E670" i="21"/>
  <c r="F668" i="21"/>
  <c r="E668" i="21"/>
  <c r="F667" i="21"/>
  <c r="E667" i="21"/>
  <c r="F3073" i="23"/>
  <c r="E3073" i="23"/>
  <c r="E3074" i="23" s="1"/>
  <c r="D3073" i="23"/>
  <c r="F3072" i="23"/>
  <c r="F3074" i="23" s="1"/>
  <c r="E3072" i="23"/>
  <c r="D3072" i="23"/>
  <c r="B3072" i="23"/>
  <c r="F3071" i="23"/>
  <c r="E3071" i="23"/>
  <c r="D3071" i="23"/>
  <c r="F3053" i="23"/>
  <c r="F3052" i="23"/>
  <c r="F3051" i="23"/>
  <c r="F3050" i="23"/>
  <c r="F3049" i="23"/>
  <c r="F3048" i="23"/>
  <c r="F3047" i="23"/>
  <c r="F3046" i="23"/>
  <c r="F3045" i="23"/>
  <c r="F3044" i="23"/>
  <c r="F3043" i="23"/>
  <c r="F3042" i="23"/>
  <c r="F3041" i="23"/>
  <c r="F3040" i="23"/>
  <c r="F3039" i="23"/>
  <c r="F3038" i="23"/>
  <c r="F3037" i="23"/>
  <c r="F3036" i="23"/>
  <c r="F3035" i="23"/>
  <c r="F3034" i="23"/>
  <c r="F3033" i="23"/>
  <c r="F3032" i="23"/>
  <c r="F3031" i="23"/>
  <c r="F3030" i="23"/>
  <c r="F3029" i="23"/>
  <c r="F3028" i="23"/>
  <c r="F3027" i="23"/>
  <c r="F3026" i="23"/>
  <c r="F3025" i="23"/>
  <c r="F3024" i="23"/>
  <c r="F3023" i="23"/>
  <c r="F3022" i="23"/>
  <c r="F3021" i="23"/>
  <c r="F3020" i="23"/>
  <c r="F3019" i="23"/>
  <c r="F3018" i="23"/>
  <c r="F3017" i="23"/>
  <c r="F3016" i="23"/>
  <c r="F3015" i="23"/>
  <c r="F3014" i="23"/>
  <c r="F3013" i="23"/>
  <c r="F3012" i="23"/>
  <c r="F3011" i="23"/>
  <c r="F3010" i="23"/>
  <c r="F3009" i="23"/>
  <c r="F3008" i="23"/>
  <c r="F3007" i="23"/>
  <c r="F3006" i="23"/>
  <c r="F3005" i="23"/>
  <c r="F3004" i="23"/>
  <c r="F3003" i="23"/>
  <c r="F3002" i="23"/>
  <c r="F3001" i="23"/>
  <c r="F3000" i="23"/>
  <c r="F2999" i="23"/>
  <c r="F2998" i="23"/>
  <c r="F2997" i="23"/>
  <c r="F2996" i="23"/>
  <c r="F2995" i="23"/>
  <c r="F2994" i="23"/>
  <c r="F2993" i="23"/>
  <c r="F2992" i="23"/>
  <c r="F2991" i="23"/>
  <c r="F2990" i="23"/>
  <c r="F2989" i="23"/>
  <c r="F2988" i="23"/>
  <c r="F2987" i="23"/>
  <c r="F2986" i="23"/>
  <c r="F2985" i="23"/>
  <c r="F2984" i="23"/>
  <c r="F2983" i="23"/>
  <c r="F2982" i="23"/>
  <c r="F2981" i="23"/>
  <c r="F2980" i="23"/>
  <c r="F2979" i="23"/>
  <c r="F2978" i="23"/>
  <c r="F2977" i="23"/>
  <c r="F2976" i="23"/>
  <c r="F2975" i="23"/>
  <c r="F2974" i="23"/>
  <c r="F2971" i="23"/>
  <c r="F2970" i="23"/>
  <c r="F2969" i="23"/>
  <c r="F2968" i="23"/>
  <c r="F2967" i="23"/>
  <c r="F2966" i="23"/>
  <c r="F2965" i="23"/>
  <c r="F2964" i="23"/>
  <c r="F2963" i="23"/>
  <c r="F2962" i="23"/>
  <c r="F2961" i="23"/>
  <c r="F2960" i="23"/>
  <c r="F2959" i="23"/>
  <c r="F2958" i="23"/>
  <c r="F2957" i="23"/>
  <c r="F2956" i="23"/>
  <c r="F2955" i="23"/>
  <c r="F2954" i="23"/>
  <c r="F2953" i="23"/>
  <c r="F2952" i="23"/>
  <c r="F2951" i="23"/>
  <c r="F2950" i="23"/>
  <c r="F2949" i="23"/>
  <c r="F2948" i="23"/>
  <c r="F2947" i="23"/>
  <c r="F2946" i="23"/>
  <c r="F2945" i="23"/>
  <c r="F2944" i="23"/>
  <c r="F2943" i="23"/>
  <c r="F2942" i="23"/>
  <c r="F2941" i="23"/>
  <c r="F2940" i="23"/>
  <c r="F2939" i="23"/>
  <c r="F2938" i="23"/>
  <c r="F2937" i="23"/>
  <c r="F2936" i="23"/>
  <c r="F2935" i="23"/>
  <c r="F2934" i="23"/>
  <c r="F2933" i="23"/>
  <c r="F2932" i="23"/>
  <c r="F2931" i="23"/>
  <c r="F2930" i="23"/>
  <c r="F2929" i="23"/>
  <c r="F2928" i="23"/>
  <c r="F2927" i="23"/>
  <c r="F2926" i="23"/>
  <c r="F2925" i="23"/>
  <c r="F2924" i="23"/>
  <c r="F2923" i="23"/>
  <c r="F2922" i="23"/>
  <c r="F2921" i="23"/>
  <c r="F2920" i="23"/>
  <c r="F2919" i="23"/>
  <c r="F2918" i="23"/>
  <c r="F2917" i="23"/>
  <c r="F2916" i="23"/>
  <c r="F2915" i="23"/>
  <c r="F2914" i="23"/>
  <c r="F2913" i="23"/>
  <c r="F2912" i="23"/>
  <c r="F2911" i="23"/>
  <c r="F2910" i="23"/>
  <c r="F2909" i="23"/>
  <c r="F2908" i="23"/>
  <c r="F2907" i="23"/>
  <c r="F2906" i="23"/>
  <c r="F2905" i="23"/>
  <c r="F2904" i="23"/>
  <c r="F2903" i="23"/>
  <c r="F2902" i="23"/>
  <c r="F2901" i="23"/>
  <c r="F2900" i="23"/>
  <c r="F2899" i="23"/>
  <c r="F2898" i="23"/>
  <c r="F2897" i="23"/>
  <c r="F2896" i="23"/>
  <c r="F2895" i="23"/>
  <c r="F2894" i="23"/>
  <c r="F2893" i="23"/>
  <c r="F2892" i="23"/>
  <c r="F2891" i="23"/>
  <c r="F2890" i="23"/>
  <c r="F2889" i="23"/>
  <c r="F2888" i="23"/>
  <c r="F2887" i="23"/>
  <c r="F2886" i="23"/>
  <c r="F2885" i="23"/>
  <c r="F2884" i="23"/>
  <c r="F2883" i="23"/>
  <c r="F2882" i="23"/>
  <c r="F2881" i="23"/>
  <c r="F2880" i="23"/>
  <c r="F2879" i="23"/>
  <c r="F2878" i="23"/>
  <c r="F2877" i="23"/>
  <c r="F2876" i="23"/>
  <c r="F2875" i="23"/>
  <c r="F2874" i="23"/>
  <c r="F2873" i="23"/>
  <c r="F2872" i="23"/>
  <c r="F2871" i="23"/>
  <c r="F2870" i="23"/>
  <c r="F2869" i="23"/>
  <c r="F2868" i="23"/>
  <c r="F2867" i="23"/>
  <c r="F2866" i="23"/>
  <c r="F2865" i="23"/>
  <c r="F2864" i="23"/>
  <c r="F2863" i="23"/>
  <c r="F2862" i="23"/>
  <c r="F2861" i="23"/>
  <c r="F2860" i="23"/>
  <c r="F2859" i="23"/>
  <c r="F2858" i="23"/>
  <c r="F2857" i="23"/>
  <c r="F2856" i="23"/>
  <c r="F2855" i="23"/>
  <c r="F2854" i="23"/>
  <c r="F2853" i="23"/>
  <c r="F2852" i="23"/>
  <c r="F2851" i="23"/>
  <c r="F2850" i="23"/>
  <c r="F2849" i="23"/>
  <c r="F2848" i="23"/>
  <c r="F2847" i="23"/>
  <c r="F2846" i="23"/>
  <c r="F2845" i="23"/>
  <c r="F2844" i="23"/>
  <c r="F2843" i="23"/>
  <c r="F2842" i="23"/>
  <c r="F2841" i="23"/>
  <c r="F2840" i="23"/>
  <c r="F2839" i="23"/>
  <c r="F2838" i="23"/>
  <c r="F2837" i="23"/>
  <c r="F2836" i="23"/>
  <c r="F2835" i="23"/>
  <c r="F2834" i="23"/>
  <c r="F2833" i="23"/>
  <c r="F2832" i="23"/>
  <c r="F2831" i="23"/>
  <c r="F2830" i="23"/>
  <c r="F2829" i="23"/>
  <c r="F2828" i="23"/>
  <c r="F2827" i="23"/>
  <c r="F2826" i="23"/>
  <c r="F2825" i="23"/>
  <c r="F2824" i="23"/>
  <c r="F2823" i="23"/>
  <c r="F2822" i="23"/>
  <c r="F2821" i="23"/>
  <c r="F2820" i="23"/>
  <c r="F2819" i="23"/>
  <c r="F2818" i="23"/>
  <c r="F2817" i="23"/>
  <c r="F2816" i="23"/>
  <c r="F2815" i="23"/>
  <c r="F2814" i="23"/>
  <c r="F2813" i="23"/>
  <c r="F2812" i="23"/>
  <c r="F2811" i="23"/>
  <c r="F2810" i="23"/>
  <c r="C2809" i="23"/>
  <c r="M2809" i="23" s="1"/>
  <c r="F2809" i="23" s="1"/>
  <c r="N2808" i="23"/>
  <c r="M2808" i="23"/>
  <c r="E2808" i="23"/>
  <c r="D2808" i="23"/>
  <c r="C2808" i="23"/>
  <c r="B2808" i="23"/>
  <c r="F2807" i="23"/>
  <c r="M2806" i="23"/>
  <c r="F2806" i="23"/>
  <c r="C2806" i="23"/>
  <c r="C2805" i="23"/>
  <c r="M2805" i="23" s="1"/>
  <c r="F2805" i="23" s="1"/>
  <c r="C2804" i="23"/>
  <c r="M2804" i="23" s="1"/>
  <c r="F2804" i="23" s="1"/>
  <c r="F2803" i="23"/>
  <c r="C2802" i="23"/>
  <c r="C2801" i="23"/>
  <c r="M2800" i="23"/>
  <c r="F2800" i="23" s="1"/>
  <c r="C2800" i="23"/>
  <c r="N2800" i="23" s="1"/>
  <c r="N2799" i="23"/>
  <c r="C2799" i="23"/>
  <c r="M2799" i="23" s="1"/>
  <c r="C2798" i="23"/>
  <c r="N2797" i="23"/>
  <c r="M2797" i="23"/>
  <c r="C2797" i="23"/>
  <c r="C2796" i="23"/>
  <c r="N2795" i="23"/>
  <c r="M2795" i="23"/>
  <c r="F2795" i="23" s="1"/>
  <c r="C2795" i="23"/>
  <c r="N2794" i="23"/>
  <c r="M2794" i="23"/>
  <c r="C2794" i="23"/>
  <c r="C2793" i="23"/>
  <c r="N2792" i="23"/>
  <c r="M2792" i="23"/>
  <c r="C2792" i="23"/>
  <c r="N2791" i="23"/>
  <c r="M2791" i="23"/>
  <c r="C2791" i="23"/>
  <c r="N2790" i="23"/>
  <c r="M2790" i="23"/>
  <c r="C2790" i="23"/>
  <c r="C2789" i="23"/>
  <c r="N2788" i="23"/>
  <c r="M2788" i="23"/>
  <c r="F2788" i="23"/>
  <c r="C2788" i="23"/>
  <c r="N2787" i="23"/>
  <c r="M2787" i="23"/>
  <c r="F2787" i="23" s="1"/>
  <c r="C2787" i="23"/>
  <c r="F2786" i="23"/>
  <c r="M2785" i="23"/>
  <c r="F2785" i="23" s="1"/>
  <c r="C2785" i="23"/>
  <c r="C2784" i="23"/>
  <c r="M2784" i="23" s="1"/>
  <c r="F2784" i="23" s="1"/>
  <c r="M2783" i="23"/>
  <c r="F2783" i="23" s="1"/>
  <c r="C2783" i="23"/>
  <c r="F2782" i="23"/>
  <c r="M2781" i="23"/>
  <c r="F2781" i="23"/>
  <c r="C2781" i="23"/>
  <c r="N2781" i="23" s="1"/>
  <c r="C2780" i="23"/>
  <c r="N2779" i="23"/>
  <c r="M2779" i="23"/>
  <c r="F2779" i="23" s="1"/>
  <c r="C2779" i="23"/>
  <c r="C2778" i="23"/>
  <c r="N2777" i="23"/>
  <c r="M2777" i="23"/>
  <c r="F2777" i="23" s="1"/>
  <c r="C2777" i="23"/>
  <c r="N2776" i="23"/>
  <c r="M2776" i="23"/>
  <c r="F2776" i="23" s="1"/>
  <c r="C2776" i="23"/>
  <c r="N2775" i="23"/>
  <c r="M2775" i="23"/>
  <c r="F2775" i="23" s="1"/>
  <c r="C2775" i="23"/>
  <c r="N2774" i="23"/>
  <c r="M2774" i="23"/>
  <c r="F2774" i="23" s="1"/>
  <c r="C2774" i="23"/>
  <c r="N2773" i="23"/>
  <c r="M2773" i="23"/>
  <c r="F2773" i="23" s="1"/>
  <c r="C2773" i="23"/>
  <c r="N2772" i="23"/>
  <c r="M2772" i="23"/>
  <c r="F2772" i="23"/>
  <c r="C2772" i="23"/>
  <c r="N2771" i="23"/>
  <c r="M2771" i="23"/>
  <c r="C2771" i="23"/>
  <c r="C2770" i="23"/>
  <c r="M2769" i="23"/>
  <c r="F2769" i="23"/>
  <c r="C2769" i="23"/>
  <c r="N2769" i="23" s="1"/>
  <c r="N2768" i="23"/>
  <c r="C2768" i="23"/>
  <c r="M2768" i="23" s="1"/>
  <c r="M2767" i="23"/>
  <c r="F2767" i="23" s="1"/>
  <c r="C2767" i="23"/>
  <c r="N2767" i="23" s="1"/>
  <c r="C2766" i="23"/>
  <c r="N2765" i="23"/>
  <c r="M2765" i="23"/>
  <c r="F2765" i="23"/>
  <c r="C2765" i="23"/>
  <c r="C2764" i="23"/>
  <c r="N2763" i="23"/>
  <c r="C2763" i="23"/>
  <c r="M2763" i="23" s="1"/>
  <c r="F2762" i="23"/>
  <c r="C2761" i="23"/>
  <c r="M2761" i="23" s="1"/>
  <c r="F2761" i="23" s="1"/>
  <c r="M2760" i="23"/>
  <c r="E2760" i="23"/>
  <c r="D2760" i="23"/>
  <c r="C2760" i="23"/>
  <c r="N2760" i="23" s="1"/>
  <c r="B2760" i="23"/>
  <c r="F2759" i="23"/>
  <c r="C2758" i="23"/>
  <c r="M2758" i="23" s="1"/>
  <c r="F2758" i="23" s="1"/>
  <c r="C2757" i="23"/>
  <c r="M2757" i="23" s="1"/>
  <c r="F2757" i="23" s="1"/>
  <c r="M2756" i="23"/>
  <c r="F2756" i="23" s="1"/>
  <c r="C2756" i="23"/>
  <c r="F2755" i="23"/>
  <c r="N2754" i="23"/>
  <c r="M2754" i="23"/>
  <c r="F2754" i="23" s="1"/>
  <c r="C2754" i="23"/>
  <c r="N2753" i="23"/>
  <c r="M2753" i="23"/>
  <c r="F2753" i="23"/>
  <c r="C2753" i="23"/>
  <c r="C2752" i="23"/>
  <c r="N2751" i="23"/>
  <c r="M2751" i="23"/>
  <c r="F2751" i="23"/>
  <c r="C2751" i="23"/>
  <c r="N2750" i="23"/>
  <c r="C2750" i="23"/>
  <c r="M2750" i="23" s="1"/>
  <c r="M2749" i="23"/>
  <c r="F2749" i="23"/>
  <c r="C2749" i="23"/>
  <c r="N2749" i="23" s="1"/>
  <c r="M2748" i="23"/>
  <c r="F2748" i="23"/>
  <c r="C2748" i="23"/>
  <c r="N2748" i="23" s="1"/>
  <c r="C2747" i="23"/>
  <c r="C2746" i="23"/>
  <c r="C2745" i="23"/>
  <c r="N2744" i="23"/>
  <c r="M2744" i="23"/>
  <c r="F2744" i="23" s="1"/>
  <c r="C2744" i="23"/>
  <c r="N2743" i="23"/>
  <c r="M2743" i="23"/>
  <c r="F2743" i="23"/>
  <c r="C2743" i="23"/>
  <c r="C2742" i="23"/>
  <c r="N2741" i="23"/>
  <c r="M2741" i="23"/>
  <c r="F2741" i="23" s="1"/>
  <c r="C2741" i="23"/>
  <c r="N2740" i="23"/>
  <c r="M2740" i="23"/>
  <c r="F2740" i="23" s="1"/>
  <c r="C2740" i="23"/>
  <c r="N2739" i="23"/>
  <c r="C2739" i="23"/>
  <c r="M2739" i="23" s="1"/>
  <c r="F2738" i="23"/>
  <c r="F2737" i="23"/>
  <c r="C2737" i="23"/>
  <c r="M2737" i="23" s="1"/>
  <c r="C2736" i="23"/>
  <c r="M2736" i="23" s="1"/>
  <c r="F2736" i="23" s="1"/>
  <c r="C2735" i="23"/>
  <c r="M2735" i="23" s="1"/>
  <c r="F2735" i="23" s="1"/>
  <c r="F2734" i="23"/>
  <c r="N2733" i="23"/>
  <c r="C2733" i="23"/>
  <c r="M2733" i="23" s="1"/>
  <c r="N2732" i="23"/>
  <c r="M2732" i="23"/>
  <c r="F2732" i="23"/>
  <c r="C2732" i="23"/>
  <c r="N2731" i="23"/>
  <c r="F2731" i="23" s="1"/>
  <c r="M2731" i="23"/>
  <c r="C2731" i="23"/>
  <c r="N2730" i="23"/>
  <c r="M2730" i="23"/>
  <c r="C2730" i="23"/>
  <c r="C2729" i="23"/>
  <c r="N2728" i="23"/>
  <c r="C2728" i="23"/>
  <c r="M2728" i="23" s="1"/>
  <c r="B2728" i="23"/>
  <c r="N2727" i="23"/>
  <c r="F2727" i="23" s="1"/>
  <c r="M2727" i="23"/>
  <c r="C2727" i="23"/>
  <c r="C2726" i="23"/>
  <c r="C2725" i="23"/>
  <c r="C2724" i="23"/>
  <c r="M2723" i="23"/>
  <c r="F2723" i="23" s="1"/>
  <c r="C2723" i="23"/>
  <c r="N2723" i="23" s="1"/>
  <c r="N2722" i="23"/>
  <c r="M2722" i="23"/>
  <c r="F2722" i="23" s="1"/>
  <c r="C2722" i="23"/>
  <c r="N2721" i="23"/>
  <c r="C2721" i="23"/>
  <c r="M2721" i="23" s="1"/>
  <c r="N2720" i="23"/>
  <c r="M2720" i="23"/>
  <c r="F2720" i="23" s="1"/>
  <c r="C2720" i="23"/>
  <c r="N2719" i="23"/>
  <c r="F2719" i="23" s="1"/>
  <c r="C2719" i="23"/>
  <c r="M2719" i="23" s="1"/>
  <c r="N2718" i="23"/>
  <c r="M2718" i="23"/>
  <c r="F2718" i="23" s="1"/>
  <c r="C2718" i="23"/>
  <c r="N2717" i="23"/>
  <c r="M2717" i="23"/>
  <c r="F2717" i="23" s="1"/>
  <c r="C2717" i="23"/>
  <c r="M2716" i="23"/>
  <c r="F2716" i="23" s="1"/>
  <c r="C2716" i="23"/>
  <c r="N2716" i="23" s="1"/>
  <c r="N2715" i="23"/>
  <c r="M2715" i="23"/>
  <c r="C2715" i="23"/>
  <c r="F2714" i="23"/>
  <c r="C2713" i="23"/>
  <c r="M2713" i="23" s="1"/>
  <c r="F2713" i="23" s="1"/>
  <c r="F2712" i="23"/>
  <c r="C2711" i="23"/>
  <c r="M2711" i="23" s="1"/>
  <c r="F2711" i="23" s="1"/>
  <c r="F2710" i="23"/>
  <c r="C2710" i="23"/>
  <c r="M2710" i="23" s="1"/>
  <c r="M2709" i="23"/>
  <c r="F2709" i="23"/>
  <c r="C2709" i="23"/>
  <c r="F2708" i="23"/>
  <c r="C2707" i="23"/>
  <c r="C2706" i="23"/>
  <c r="C2705" i="23"/>
  <c r="O2704" i="23"/>
  <c r="M2704" i="23"/>
  <c r="L2704" i="23"/>
  <c r="C2704" i="23"/>
  <c r="N2704" i="23" s="1"/>
  <c r="O2703" i="23"/>
  <c r="N2703" i="23"/>
  <c r="F2703" i="23" s="1"/>
  <c r="M2703" i="23"/>
  <c r="P2703" i="23" s="1"/>
  <c r="L2703" i="23"/>
  <c r="K2703" i="23"/>
  <c r="C2703" i="23"/>
  <c r="N2702" i="23"/>
  <c r="M2702" i="23"/>
  <c r="L2702" i="23"/>
  <c r="K2702" i="23"/>
  <c r="C2702" i="23"/>
  <c r="P2701" i="23"/>
  <c r="M2701" i="23"/>
  <c r="C2701" i="23"/>
  <c r="N2701" i="23" s="1"/>
  <c r="N2700" i="23"/>
  <c r="M2700" i="23"/>
  <c r="L2700" i="23"/>
  <c r="C2700" i="23"/>
  <c r="C2699" i="23"/>
  <c r="C2698" i="23"/>
  <c r="C2697" i="23"/>
  <c r="C2696" i="23"/>
  <c r="C2695" i="23"/>
  <c r="M2694" i="23"/>
  <c r="C2694" i="23"/>
  <c r="N2694" i="23" s="1"/>
  <c r="C2693" i="23"/>
  <c r="O2692" i="23"/>
  <c r="N2692" i="23"/>
  <c r="K2692" i="23"/>
  <c r="C2692" i="23"/>
  <c r="M2692" i="23" s="1"/>
  <c r="F2691" i="23"/>
  <c r="F2690" i="23"/>
  <c r="C2690" i="23"/>
  <c r="M2690" i="23" s="1"/>
  <c r="M2689" i="23"/>
  <c r="F2689" i="23"/>
  <c r="C2689" i="23"/>
  <c r="M2688" i="23"/>
  <c r="F2688" i="23" s="1"/>
  <c r="C2688" i="23"/>
  <c r="F2687" i="23"/>
  <c r="C2686" i="23"/>
  <c r="M2685" i="23"/>
  <c r="C2685" i="23"/>
  <c r="N2685" i="23" s="1"/>
  <c r="C2684" i="23"/>
  <c r="N2683" i="23"/>
  <c r="M2683" i="23"/>
  <c r="C2683" i="23"/>
  <c r="N2682" i="23"/>
  <c r="M2682" i="23"/>
  <c r="L2682" i="23"/>
  <c r="K2682" i="23"/>
  <c r="C2682" i="23"/>
  <c r="O2681" i="23"/>
  <c r="N2681" i="23"/>
  <c r="M2681" i="23"/>
  <c r="L2681" i="23"/>
  <c r="C2681" i="23"/>
  <c r="C2680" i="23"/>
  <c r="O2679" i="23"/>
  <c r="N2679" i="23"/>
  <c r="K2679" i="23"/>
  <c r="C2679" i="23"/>
  <c r="M2679" i="23" s="1"/>
  <c r="M2678" i="23"/>
  <c r="C2678" i="23"/>
  <c r="N2678" i="23" s="1"/>
  <c r="N2677" i="23"/>
  <c r="M2677" i="23"/>
  <c r="C2677" i="23"/>
  <c r="O2676" i="23"/>
  <c r="N2676" i="23"/>
  <c r="C2676" i="23"/>
  <c r="M2676" i="23" s="1"/>
  <c r="N2675" i="23"/>
  <c r="C2675" i="23"/>
  <c r="M2675" i="23" s="1"/>
  <c r="C2674" i="23"/>
  <c r="M2673" i="23"/>
  <c r="L2673" i="23"/>
  <c r="C2673" i="23"/>
  <c r="N2673" i="23" s="1"/>
  <c r="N2672" i="23"/>
  <c r="M2672" i="23"/>
  <c r="L2672" i="23"/>
  <c r="K2672" i="23"/>
  <c r="C2672" i="23"/>
  <c r="C2671" i="23"/>
  <c r="N2670" i="23"/>
  <c r="M2670" i="23"/>
  <c r="L2670" i="23"/>
  <c r="C2670" i="23"/>
  <c r="C2669" i="23"/>
  <c r="M2668" i="23"/>
  <c r="C2668" i="23"/>
  <c r="N2668" i="23" s="1"/>
  <c r="F2667" i="23"/>
  <c r="C2666" i="23"/>
  <c r="M2666" i="23" s="1"/>
  <c r="F2666" i="23" s="1"/>
  <c r="F2665" i="23"/>
  <c r="C2664" i="23"/>
  <c r="M2664" i="23" s="1"/>
  <c r="F2664" i="23" s="1"/>
  <c r="C2663" i="23"/>
  <c r="M2663" i="23" s="1"/>
  <c r="F2663" i="23" s="1"/>
  <c r="F2662" i="23"/>
  <c r="C2662" i="23"/>
  <c r="M2662" i="23" s="1"/>
  <c r="F2661" i="23"/>
  <c r="C2660" i="23"/>
  <c r="C2659" i="23"/>
  <c r="B2659" i="23"/>
  <c r="N2658" i="23"/>
  <c r="M2658" i="23"/>
  <c r="C2658" i="23"/>
  <c r="N2657" i="23"/>
  <c r="M2657" i="23"/>
  <c r="K2657" i="23"/>
  <c r="C2657" i="23"/>
  <c r="O2656" i="23"/>
  <c r="N2656" i="23"/>
  <c r="M2656" i="23"/>
  <c r="L2656" i="23"/>
  <c r="C2656" i="23"/>
  <c r="N2655" i="23"/>
  <c r="M2655" i="23"/>
  <c r="C2655" i="23"/>
  <c r="C2654" i="23"/>
  <c r="M2653" i="23"/>
  <c r="C2653" i="23"/>
  <c r="N2653" i="23" s="1"/>
  <c r="C2652" i="23"/>
  <c r="P2651" i="23"/>
  <c r="O2651" i="23"/>
  <c r="N2651" i="23"/>
  <c r="L2651" i="23"/>
  <c r="K2651" i="23"/>
  <c r="C2651" i="23"/>
  <c r="M2651" i="23" s="1"/>
  <c r="M2650" i="23"/>
  <c r="C2650" i="23"/>
  <c r="N2650" i="23" s="1"/>
  <c r="N2649" i="23"/>
  <c r="M2649" i="23"/>
  <c r="C2649" i="23"/>
  <c r="N2648" i="23"/>
  <c r="C2648" i="23"/>
  <c r="M2648" i="23" s="1"/>
  <c r="C2647" i="23"/>
  <c r="N2646" i="23"/>
  <c r="M2646" i="23"/>
  <c r="L2646" i="23"/>
  <c r="K2646" i="23"/>
  <c r="C2646" i="23"/>
  <c r="C2645" i="23"/>
  <c r="F2644" i="23"/>
  <c r="C2643" i="23"/>
  <c r="M2643" i="23" s="1"/>
  <c r="F2643" i="23" s="1"/>
  <c r="F2642" i="23"/>
  <c r="C2642" i="23"/>
  <c r="M2642" i="23" s="1"/>
  <c r="C2641" i="23"/>
  <c r="M2641" i="23" s="1"/>
  <c r="F2641" i="23" s="1"/>
  <c r="F2640" i="23"/>
  <c r="M2639" i="23"/>
  <c r="L2639" i="23"/>
  <c r="C2639" i="23"/>
  <c r="N2639" i="23" s="1"/>
  <c r="C2638" i="23"/>
  <c r="N2637" i="23"/>
  <c r="M2637" i="23"/>
  <c r="C2637" i="23"/>
  <c r="P2636" i="23"/>
  <c r="O2636" i="23"/>
  <c r="N2636" i="23"/>
  <c r="M2636" i="23"/>
  <c r="C2636" i="23"/>
  <c r="P2635" i="23"/>
  <c r="O2635" i="23"/>
  <c r="N2635" i="23"/>
  <c r="M2635" i="23"/>
  <c r="C2635" i="23"/>
  <c r="P2634" i="23"/>
  <c r="O2634" i="23"/>
  <c r="N2634" i="23"/>
  <c r="K2634" i="23"/>
  <c r="C2634" i="23"/>
  <c r="M2634" i="23" s="1"/>
  <c r="N2633" i="23"/>
  <c r="M2633" i="23"/>
  <c r="L2633" i="23"/>
  <c r="K2633" i="23"/>
  <c r="C2633" i="23"/>
  <c r="M2632" i="23"/>
  <c r="C2632" i="23"/>
  <c r="N2632" i="23" s="1"/>
  <c r="O2631" i="23"/>
  <c r="N2631" i="23"/>
  <c r="M2631" i="23"/>
  <c r="P2631" i="23" s="1"/>
  <c r="L2631" i="23"/>
  <c r="K2631" i="23"/>
  <c r="F2631" i="23"/>
  <c r="C2631" i="23"/>
  <c r="C2630" i="23"/>
  <c r="N2629" i="23"/>
  <c r="M2629" i="23"/>
  <c r="C2629" i="23"/>
  <c r="P2628" i="23"/>
  <c r="M2628" i="23"/>
  <c r="L2628" i="23"/>
  <c r="K2628" i="23"/>
  <c r="C2628" i="23"/>
  <c r="N2628" i="23" s="1"/>
  <c r="P2627" i="23"/>
  <c r="N2627" i="23"/>
  <c r="M2627" i="23"/>
  <c r="L2627" i="23"/>
  <c r="C2627" i="23"/>
  <c r="C2626" i="23"/>
  <c r="C2625" i="23"/>
  <c r="M2624" i="23"/>
  <c r="C2624" i="23"/>
  <c r="N2624" i="23" s="1"/>
  <c r="C2623" i="23"/>
  <c r="M2622" i="23"/>
  <c r="C2622" i="23"/>
  <c r="N2622" i="23" s="1"/>
  <c r="P2621" i="23"/>
  <c r="O2621" i="23"/>
  <c r="N2621" i="23"/>
  <c r="C2621" i="23"/>
  <c r="M2621" i="23" s="1"/>
  <c r="F2620" i="23"/>
  <c r="M2619" i="23"/>
  <c r="F2619" i="23" s="1"/>
  <c r="C2619" i="23"/>
  <c r="F2618" i="23"/>
  <c r="M2617" i="23"/>
  <c r="F2617" i="23"/>
  <c r="C2617" i="23"/>
  <c r="M2616" i="23"/>
  <c r="F2616" i="23"/>
  <c r="C2616" i="23"/>
  <c r="C2615" i="23"/>
  <c r="M2615" i="23" s="1"/>
  <c r="F2615" i="23" s="1"/>
  <c r="F2614" i="23"/>
  <c r="N2613" i="23"/>
  <c r="F2613" i="23" s="1"/>
  <c r="C2613" i="23"/>
  <c r="M2613" i="23" s="1"/>
  <c r="C2612" i="23"/>
  <c r="C2611" i="23"/>
  <c r="M2610" i="23"/>
  <c r="F2610" i="23" s="1"/>
  <c r="C2610" i="23"/>
  <c r="N2610" i="23" s="1"/>
  <c r="C2609" i="23"/>
  <c r="N2608" i="23"/>
  <c r="M2608" i="23"/>
  <c r="F2608" i="23" s="1"/>
  <c r="C2608" i="23"/>
  <c r="N2607" i="23"/>
  <c r="M2607" i="23"/>
  <c r="F2607" i="23" s="1"/>
  <c r="C2607" i="23"/>
  <c r="C2606" i="23"/>
  <c r="N2605" i="23"/>
  <c r="M2605" i="23"/>
  <c r="F2605" i="23"/>
  <c r="C2605" i="23"/>
  <c r="N2604" i="23"/>
  <c r="F2604" i="23" s="1"/>
  <c r="M2604" i="23"/>
  <c r="C2604" i="23"/>
  <c r="N2603" i="23"/>
  <c r="M2603" i="23"/>
  <c r="F2603" i="23" s="1"/>
  <c r="C2603" i="23"/>
  <c r="N2602" i="23"/>
  <c r="M2602" i="23"/>
  <c r="F2602" i="23" s="1"/>
  <c r="C2602" i="23"/>
  <c r="N2601" i="23"/>
  <c r="F2601" i="23" s="1"/>
  <c r="M2601" i="23"/>
  <c r="C2601" i="23"/>
  <c r="N2600" i="23"/>
  <c r="M2600" i="23"/>
  <c r="F2600" i="23"/>
  <c r="C2600" i="23"/>
  <c r="N2599" i="23"/>
  <c r="F2599" i="23" s="1"/>
  <c r="M2599" i="23"/>
  <c r="C2599" i="23"/>
  <c r="C2598" i="23"/>
  <c r="F2597" i="23"/>
  <c r="M2596" i="23"/>
  <c r="F2596" i="23" s="1"/>
  <c r="C2596" i="23"/>
  <c r="C2595" i="23"/>
  <c r="M2595" i="23" s="1"/>
  <c r="F2595" i="23" s="1"/>
  <c r="M2594" i="23"/>
  <c r="F2594" i="23" s="1"/>
  <c r="C2594" i="23"/>
  <c r="F2593" i="23"/>
  <c r="N2592" i="23"/>
  <c r="M2592" i="23"/>
  <c r="F2592" i="23" s="1"/>
  <c r="C2592" i="23"/>
  <c r="N2591" i="23"/>
  <c r="C2591" i="23"/>
  <c r="M2591" i="23" s="1"/>
  <c r="N2590" i="23"/>
  <c r="M2590" i="23"/>
  <c r="F2590" i="23"/>
  <c r="C2590" i="23"/>
  <c r="C2589" i="23"/>
  <c r="C2588" i="23"/>
  <c r="M2588" i="23" s="1"/>
  <c r="N2587" i="23"/>
  <c r="M2587" i="23"/>
  <c r="F2587" i="23"/>
  <c r="C2587" i="23"/>
  <c r="C2586" i="23"/>
  <c r="N2585" i="23"/>
  <c r="M2585" i="23"/>
  <c r="F2585" i="23"/>
  <c r="C2585" i="23"/>
  <c r="C2584" i="23"/>
  <c r="C2583" i="23"/>
  <c r="M2582" i="23"/>
  <c r="F2582" i="23"/>
  <c r="C2582" i="23"/>
  <c r="N2582" i="23" s="1"/>
  <c r="N2581" i="23"/>
  <c r="C2581" i="23"/>
  <c r="M2581" i="23" s="1"/>
  <c r="C2580" i="23"/>
  <c r="C2579" i="23"/>
  <c r="N2578" i="23"/>
  <c r="F2578" i="23" s="1"/>
  <c r="M2578" i="23"/>
  <c r="C2578" i="23"/>
  <c r="C2577" i="23"/>
  <c r="N2577" i="23" s="1"/>
  <c r="N2576" i="23"/>
  <c r="M2576" i="23"/>
  <c r="F2576" i="23"/>
  <c r="C2576" i="23"/>
  <c r="N2575" i="23"/>
  <c r="M2575" i="23"/>
  <c r="C2575" i="23"/>
  <c r="N2574" i="23"/>
  <c r="M2574" i="23"/>
  <c r="F2574" i="23" s="1"/>
  <c r="C2574" i="23"/>
  <c r="F2573" i="23"/>
  <c r="C2572" i="23"/>
  <c r="M2572" i="23" s="1"/>
  <c r="F2572" i="23" s="1"/>
  <c r="F2571" i="23"/>
  <c r="F2570" i="23"/>
  <c r="C2570" i="23"/>
  <c r="M2570" i="23" s="1"/>
  <c r="C2569" i="23"/>
  <c r="M2569" i="23" s="1"/>
  <c r="F2569" i="23" s="1"/>
  <c r="C2568" i="23"/>
  <c r="M2568" i="23" s="1"/>
  <c r="F2568" i="23" s="1"/>
  <c r="F2567" i="23"/>
  <c r="C2566" i="23"/>
  <c r="M2565" i="23"/>
  <c r="F2565" i="23" s="1"/>
  <c r="C2565" i="23"/>
  <c r="N2565" i="23" s="1"/>
  <c r="C2564" i="23"/>
  <c r="M2563" i="23"/>
  <c r="F2563" i="23" s="1"/>
  <c r="C2563" i="23"/>
  <c r="N2563" i="23" s="1"/>
  <c r="C2562" i="23"/>
  <c r="C2561" i="23"/>
  <c r="C2560" i="23"/>
  <c r="M2559" i="23"/>
  <c r="F2559" i="23"/>
  <c r="C2559" i="23"/>
  <c r="N2559" i="23" s="1"/>
  <c r="N2558" i="23"/>
  <c r="M2558" i="23"/>
  <c r="F2558" i="23"/>
  <c r="C2558" i="23"/>
  <c r="M2557" i="23"/>
  <c r="F2557" i="23" s="1"/>
  <c r="C2557" i="23"/>
  <c r="N2557" i="23" s="1"/>
  <c r="C2556" i="23"/>
  <c r="N2555" i="23"/>
  <c r="F2555" i="23" s="1"/>
  <c r="C2555" i="23"/>
  <c r="M2555" i="23" s="1"/>
  <c r="C2554" i="23"/>
  <c r="M2553" i="23"/>
  <c r="F2553" i="23" s="1"/>
  <c r="C2553" i="23"/>
  <c r="N2553" i="23" s="1"/>
  <c r="N2552" i="23"/>
  <c r="M2552" i="23"/>
  <c r="F2552" i="23" s="1"/>
  <c r="C2552" i="23"/>
  <c r="N2551" i="23"/>
  <c r="F2551" i="23" s="1"/>
  <c r="M2551" i="23"/>
  <c r="C2551" i="23"/>
  <c r="F2550" i="23"/>
  <c r="C2549" i="23"/>
  <c r="M2549" i="23" s="1"/>
  <c r="F2549" i="23" s="1"/>
  <c r="M2548" i="23"/>
  <c r="F2548" i="23" s="1"/>
  <c r="C2548" i="23"/>
  <c r="M2547" i="23"/>
  <c r="F2547" i="23"/>
  <c r="C2547" i="23"/>
  <c r="F2546" i="23"/>
  <c r="C2545" i="23"/>
  <c r="C2544" i="23"/>
  <c r="N2543" i="23"/>
  <c r="C2543" i="23"/>
  <c r="M2543" i="23" s="1"/>
  <c r="C2542" i="23"/>
  <c r="N2541" i="23"/>
  <c r="M2541" i="23"/>
  <c r="F2541" i="23"/>
  <c r="C2541" i="23"/>
  <c r="C2540" i="23"/>
  <c r="N2539" i="23"/>
  <c r="M2539" i="23"/>
  <c r="F2539" i="23" s="1"/>
  <c r="C2539" i="23"/>
  <c r="C2538" i="23"/>
  <c r="N2537" i="23"/>
  <c r="C2537" i="23"/>
  <c r="M2537" i="23" s="1"/>
  <c r="N2536" i="23"/>
  <c r="M2536" i="23"/>
  <c r="F2536" i="23"/>
  <c r="C2536" i="23"/>
  <c r="M2535" i="23"/>
  <c r="F2535" i="23" s="1"/>
  <c r="C2535" i="23"/>
  <c r="N2535" i="23" s="1"/>
  <c r="C2534" i="23"/>
  <c r="N2533" i="23"/>
  <c r="M2533" i="23"/>
  <c r="F2533" i="23" s="1"/>
  <c r="C2533" i="23"/>
  <c r="C2532" i="23"/>
  <c r="N2531" i="23"/>
  <c r="C2531" i="23"/>
  <c r="M2531" i="23" s="1"/>
  <c r="N2530" i="23"/>
  <c r="C2530" i="23"/>
  <c r="M2530" i="23" s="1"/>
  <c r="N2529" i="23"/>
  <c r="M2529" i="23"/>
  <c r="F2529" i="23"/>
  <c r="C2529" i="23"/>
  <c r="N2528" i="23"/>
  <c r="C2528" i="23"/>
  <c r="M2528" i="23" s="1"/>
  <c r="N2527" i="23"/>
  <c r="C2527" i="23"/>
  <c r="M2527" i="23" s="1"/>
  <c r="F2526" i="23"/>
  <c r="M2525" i="23"/>
  <c r="F2525" i="23"/>
  <c r="C2525" i="23"/>
  <c r="F2524" i="23"/>
  <c r="C2523" i="23"/>
  <c r="M2523" i="23" s="1"/>
  <c r="F2523" i="23" s="1"/>
  <c r="C2522" i="23"/>
  <c r="M2522" i="23" s="1"/>
  <c r="F2522" i="23" s="1"/>
  <c r="C2521" i="23"/>
  <c r="M2521" i="23" s="1"/>
  <c r="F2521" i="23" s="1"/>
  <c r="F2520" i="23"/>
  <c r="C2519" i="23"/>
  <c r="N2518" i="23"/>
  <c r="M2518" i="23"/>
  <c r="F2518" i="23"/>
  <c r="C2518" i="23"/>
  <c r="C2517" i="23"/>
  <c r="C2516" i="23"/>
  <c r="C2515" i="23"/>
  <c r="N2514" i="23"/>
  <c r="M2514" i="23"/>
  <c r="F2514" i="23" s="1"/>
  <c r="C2514" i="23"/>
  <c r="C2513" i="23"/>
  <c r="N2513" i="23" s="1"/>
  <c r="M2512" i="23"/>
  <c r="F2512" i="23" s="1"/>
  <c r="C2512" i="23"/>
  <c r="N2512" i="23" s="1"/>
  <c r="N2511" i="23"/>
  <c r="M2511" i="23"/>
  <c r="F2511" i="23" s="1"/>
  <c r="C2511" i="23"/>
  <c r="C2510" i="23"/>
  <c r="N2509" i="23"/>
  <c r="C2509" i="23"/>
  <c r="M2509" i="23" s="1"/>
  <c r="N2508" i="23"/>
  <c r="C2508" i="23"/>
  <c r="M2508" i="23" s="1"/>
  <c r="C2507" i="23"/>
  <c r="N2506" i="23"/>
  <c r="F2506" i="23" s="1"/>
  <c r="M2506" i="23"/>
  <c r="C2506" i="23"/>
  <c r="N2505" i="23"/>
  <c r="C2505" i="23"/>
  <c r="M2505" i="23" s="1"/>
  <c r="N2504" i="23"/>
  <c r="M2504" i="23"/>
  <c r="F2504" i="23"/>
  <c r="C2504" i="23"/>
  <c r="F2503" i="23"/>
  <c r="M2502" i="23"/>
  <c r="F2502" i="23" s="1"/>
  <c r="C2502" i="23"/>
  <c r="C2501" i="23"/>
  <c r="M2501" i="23" s="1"/>
  <c r="F2501" i="23" s="1"/>
  <c r="M2500" i="23"/>
  <c r="F2500" i="23" s="1"/>
  <c r="C2500" i="23"/>
  <c r="F2499" i="23"/>
  <c r="N2498" i="23"/>
  <c r="M2498" i="23"/>
  <c r="F2498" i="23"/>
  <c r="C2498" i="23"/>
  <c r="C2497" i="23"/>
  <c r="N2496" i="23"/>
  <c r="M2496" i="23"/>
  <c r="F2496" i="23" s="1"/>
  <c r="C2496" i="23"/>
  <c r="C2495" i="23"/>
  <c r="M2494" i="23"/>
  <c r="F2494" i="23" s="1"/>
  <c r="C2494" i="23"/>
  <c r="N2494" i="23" s="1"/>
  <c r="M2493" i="23"/>
  <c r="F2493" i="23" s="1"/>
  <c r="C2493" i="23"/>
  <c r="N2493" i="23" s="1"/>
  <c r="C2492" i="23"/>
  <c r="M2491" i="23"/>
  <c r="F2491" i="23" s="1"/>
  <c r="C2491" i="23"/>
  <c r="N2491" i="23" s="1"/>
  <c r="C2490" i="23"/>
  <c r="N2489" i="23"/>
  <c r="M2489" i="23"/>
  <c r="C2489" i="23"/>
  <c r="C2488" i="23"/>
  <c r="N2487" i="23"/>
  <c r="C2487" i="23"/>
  <c r="M2487" i="23" s="1"/>
  <c r="N2486" i="23"/>
  <c r="F2486" i="23"/>
  <c r="C2486" i="23"/>
  <c r="M2486" i="23" s="1"/>
  <c r="M2485" i="23"/>
  <c r="F2485" i="23"/>
  <c r="C2485" i="23"/>
  <c r="N2485" i="23" s="1"/>
  <c r="C2484" i="23"/>
  <c r="M2483" i="23"/>
  <c r="F2483" i="23" s="1"/>
  <c r="C2483" i="23"/>
  <c r="N2483" i="23" s="1"/>
  <c r="C2482" i="23"/>
  <c r="N2481" i="23"/>
  <c r="M2481" i="23"/>
  <c r="F2481" i="23"/>
  <c r="C2481" i="23"/>
  <c r="C2480" i="23"/>
  <c r="F2479" i="23"/>
  <c r="C2478" i="23"/>
  <c r="M2478" i="23" s="1"/>
  <c r="F2478" i="23" s="1"/>
  <c r="F2477" i="23"/>
  <c r="F2476" i="23"/>
  <c r="C2476" i="23"/>
  <c r="M2476" i="23" s="1"/>
  <c r="M2475" i="23"/>
  <c r="F2475" i="23" s="1"/>
  <c r="C2475" i="23"/>
  <c r="F2474" i="23"/>
  <c r="C2474" i="23"/>
  <c r="M2474" i="23" s="1"/>
  <c r="F2473" i="23"/>
  <c r="N2472" i="23"/>
  <c r="M2472" i="23"/>
  <c r="F2472" i="23" s="1"/>
  <c r="C2472" i="23"/>
  <c r="C2471" i="23"/>
  <c r="N2470" i="23"/>
  <c r="M2470" i="23"/>
  <c r="C2470" i="23"/>
  <c r="C2469" i="23"/>
  <c r="C2468" i="23"/>
  <c r="C2467" i="23"/>
  <c r="N2466" i="23"/>
  <c r="M2466" i="23"/>
  <c r="F2466" i="23"/>
  <c r="C2466" i="23"/>
  <c r="C2465" i="23"/>
  <c r="C2464" i="23"/>
  <c r="C2463" i="23"/>
  <c r="C2462" i="23"/>
  <c r="N2461" i="23"/>
  <c r="M2461" i="23"/>
  <c r="C2461" i="23"/>
  <c r="N2460" i="23"/>
  <c r="M2460" i="23"/>
  <c r="F2460" i="23" s="1"/>
  <c r="C2460" i="23"/>
  <c r="C2459" i="23"/>
  <c r="C2458" i="23"/>
  <c r="C2457" i="23"/>
  <c r="F2456" i="23"/>
  <c r="M2455" i="23"/>
  <c r="F2455" i="23" s="1"/>
  <c r="C2455" i="23"/>
  <c r="M2454" i="23"/>
  <c r="F2454" i="23" s="1"/>
  <c r="C2454" i="23"/>
  <c r="F2453" i="23"/>
  <c r="C2453" i="23"/>
  <c r="M2453" i="23" s="1"/>
  <c r="F2452" i="23"/>
  <c r="N2451" i="23"/>
  <c r="F2451" i="23" s="1"/>
  <c r="M2451" i="23"/>
  <c r="C2451" i="23"/>
  <c r="N2450" i="23"/>
  <c r="M2450" i="23"/>
  <c r="F2450" i="23" s="1"/>
  <c r="C2450" i="23"/>
  <c r="N2449" i="23"/>
  <c r="F2449" i="23" s="1"/>
  <c r="M2449" i="23"/>
  <c r="C2449" i="23"/>
  <c r="N2448" i="23"/>
  <c r="C2448" i="23"/>
  <c r="M2448" i="23" s="1"/>
  <c r="F2448" i="23" s="1"/>
  <c r="N2447" i="23"/>
  <c r="M2447" i="23"/>
  <c r="F2447" i="23" s="1"/>
  <c r="C2447" i="23"/>
  <c r="C2446" i="23"/>
  <c r="C2445" i="23"/>
  <c r="C2444" i="23"/>
  <c r="B2444" i="23"/>
  <c r="N2443" i="23"/>
  <c r="C2443" i="23"/>
  <c r="M2443" i="23" s="1"/>
  <c r="C2442" i="23"/>
  <c r="C2441" i="23"/>
  <c r="N2440" i="23"/>
  <c r="M2440" i="23"/>
  <c r="F2440" i="23"/>
  <c r="C2440" i="23"/>
  <c r="M2439" i="23"/>
  <c r="F2439" i="23"/>
  <c r="C2439" i="23"/>
  <c r="N2439" i="23" s="1"/>
  <c r="N2438" i="23"/>
  <c r="M2438" i="23"/>
  <c r="F2438" i="23"/>
  <c r="C2438" i="23"/>
  <c r="N2437" i="23"/>
  <c r="M2437" i="23"/>
  <c r="F2437" i="23"/>
  <c r="C2437" i="23"/>
  <c r="C2436" i="23"/>
  <c r="C2435" i="23"/>
  <c r="N2434" i="23"/>
  <c r="M2434" i="23"/>
  <c r="F2434" i="23" s="1"/>
  <c r="C2434" i="23"/>
  <c r="C2433" i="23"/>
  <c r="F2432" i="23"/>
  <c r="M2431" i="23"/>
  <c r="F2431" i="23" s="1"/>
  <c r="C2431" i="23"/>
  <c r="F2430" i="23"/>
  <c r="M2429" i="23"/>
  <c r="F2429" i="23"/>
  <c r="C2429" i="23"/>
  <c r="F2428" i="23"/>
  <c r="C2428" i="23"/>
  <c r="M2428" i="23" s="1"/>
  <c r="M2427" i="23"/>
  <c r="F2427" i="23"/>
  <c r="C2427" i="23"/>
  <c r="F2426" i="23"/>
  <c r="N2425" i="23"/>
  <c r="M2425" i="23"/>
  <c r="F2425" i="23"/>
  <c r="C2425" i="23"/>
  <c r="M2424" i="23"/>
  <c r="F2424" i="23"/>
  <c r="C2424" i="23"/>
  <c r="N2424" i="23" s="1"/>
  <c r="N2423" i="23"/>
  <c r="M2423" i="23"/>
  <c r="F2423" i="23" s="1"/>
  <c r="C2423" i="23"/>
  <c r="N2422" i="23"/>
  <c r="C2422" i="23"/>
  <c r="M2422" i="23" s="1"/>
  <c r="C2421" i="23"/>
  <c r="N2420" i="23"/>
  <c r="M2420" i="23"/>
  <c r="C2420" i="23"/>
  <c r="C2419" i="23"/>
  <c r="C2418" i="23"/>
  <c r="N2417" i="23"/>
  <c r="F2417" i="23"/>
  <c r="C2417" i="23"/>
  <c r="M2417" i="23" s="1"/>
  <c r="N2416" i="23"/>
  <c r="M2416" i="23"/>
  <c r="C2416" i="23"/>
  <c r="N2415" i="23"/>
  <c r="C2415" i="23"/>
  <c r="M2415" i="23" s="1"/>
  <c r="M2414" i="23"/>
  <c r="F2414" i="23" s="1"/>
  <c r="C2414" i="23"/>
  <c r="N2414" i="23" s="1"/>
  <c r="N2413" i="23"/>
  <c r="M2413" i="23"/>
  <c r="F2413" i="23"/>
  <c r="C2413" i="23"/>
  <c r="C2412" i="23"/>
  <c r="N2411" i="23"/>
  <c r="M2411" i="23"/>
  <c r="F2411" i="23"/>
  <c r="C2411" i="23"/>
  <c r="N2410" i="23"/>
  <c r="M2410" i="23"/>
  <c r="C2410" i="23"/>
  <c r="F2409" i="23"/>
  <c r="C2408" i="23"/>
  <c r="M2408" i="23" s="1"/>
  <c r="F2408" i="23" s="1"/>
  <c r="C2407" i="23"/>
  <c r="M2407" i="23" s="1"/>
  <c r="F2407" i="23" s="1"/>
  <c r="C2406" i="23"/>
  <c r="M2406" i="23" s="1"/>
  <c r="F2406" i="23" s="1"/>
  <c r="F2405" i="23"/>
  <c r="N2404" i="23"/>
  <c r="F2404" i="23" s="1"/>
  <c r="C2404" i="23"/>
  <c r="M2404" i="23" s="1"/>
  <c r="C2403" i="23"/>
  <c r="C2402" i="23"/>
  <c r="M2401" i="23"/>
  <c r="F2401" i="23"/>
  <c r="C2401" i="23"/>
  <c r="N2401" i="23" s="1"/>
  <c r="N2400" i="23"/>
  <c r="C2400" i="23"/>
  <c r="M2400" i="23" s="1"/>
  <c r="N2399" i="23"/>
  <c r="M2399" i="23"/>
  <c r="C2399" i="23"/>
  <c r="N2398" i="23"/>
  <c r="M2398" i="23"/>
  <c r="C2398" i="23"/>
  <c r="C2397" i="23"/>
  <c r="N2396" i="23"/>
  <c r="M2396" i="23"/>
  <c r="F2396" i="23" s="1"/>
  <c r="C2396" i="23"/>
  <c r="N2395" i="23"/>
  <c r="M2395" i="23"/>
  <c r="C2395" i="23"/>
  <c r="C2394" i="23"/>
  <c r="C2393" i="23"/>
  <c r="C2392" i="23"/>
  <c r="C2391" i="23"/>
  <c r="C2390" i="23"/>
  <c r="N2389" i="23"/>
  <c r="M2389" i="23"/>
  <c r="C2389" i="23"/>
  <c r="C2388" i="23"/>
  <c r="C2387" i="23"/>
  <c r="N2386" i="23"/>
  <c r="C2386" i="23"/>
  <c r="M2386" i="23" s="1"/>
  <c r="F2385" i="23"/>
  <c r="F2384" i="23"/>
  <c r="C2384" i="23"/>
  <c r="M2384" i="23" s="1"/>
  <c r="F2383" i="23"/>
  <c r="M2382" i="23"/>
  <c r="F2382" i="23"/>
  <c r="C2382" i="23"/>
  <c r="M2381" i="23"/>
  <c r="F2381" i="23" s="1"/>
  <c r="C2381" i="23"/>
  <c r="M2380" i="23"/>
  <c r="F2380" i="23"/>
  <c r="C2380" i="23"/>
  <c r="F2379" i="23"/>
  <c r="N2378" i="23"/>
  <c r="F2378" i="23" s="1"/>
  <c r="M2378" i="23"/>
  <c r="C2378" i="23"/>
  <c r="N2377" i="23"/>
  <c r="C2377" i="23"/>
  <c r="M2377" i="23" s="1"/>
  <c r="C2376" i="23"/>
  <c r="C2375" i="23"/>
  <c r="C2374" i="23"/>
  <c r="M2373" i="23"/>
  <c r="F2373" i="23"/>
  <c r="C2373" i="23"/>
  <c r="N2373" i="23" s="1"/>
  <c r="N2372" i="23"/>
  <c r="C2372" i="23"/>
  <c r="M2372" i="23" s="1"/>
  <c r="N2371" i="23"/>
  <c r="C2371" i="23"/>
  <c r="M2371" i="23" s="1"/>
  <c r="N2370" i="23"/>
  <c r="M2370" i="23"/>
  <c r="F2370" i="23" s="1"/>
  <c r="C2370" i="23"/>
  <c r="N2369" i="23"/>
  <c r="C2369" i="23"/>
  <c r="M2369" i="23" s="1"/>
  <c r="N2368" i="23"/>
  <c r="F2368" i="23" s="1"/>
  <c r="M2368" i="23"/>
  <c r="C2368" i="23"/>
  <c r="M2367" i="23"/>
  <c r="F2367" i="23" s="1"/>
  <c r="C2367" i="23"/>
  <c r="N2367" i="23" s="1"/>
  <c r="N2366" i="23"/>
  <c r="M2366" i="23"/>
  <c r="C2366" i="23"/>
  <c r="C2365" i="23"/>
  <c r="N2364" i="23"/>
  <c r="F2364" i="23"/>
  <c r="C2364" i="23"/>
  <c r="M2364" i="23" s="1"/>
  <c r="N2363" i="23"/>
  <c r="M2363" i="23"/>
  <c r="F2363" i="23"/>
  <c r="C2363" i="23"/>
  <c r="F2362" i="23"/>
  <c r="C2361" i="23"/>
  <c r="M2361" i="23" s="1"/>
  <c r="F2361" i="23" s="1"/>
  <c r="M2360" i="23"/>
  <c r="F2360" i="23" s="1"/>
  <c r="C2360" i="23"/>
  <c r="F2359" i="23"/>
  <c r="C2359" i="23"/>
  <c r="M2359" i="23" s="1"/>
  <c r="F2358" i="23"/>
  <c r="N2357" i="23"/>
  <c r="M2357" i="23"/>
  <c r="F2357" i="23" s="1"/>
  <c r="C2357" i="23"/>
  <c r="C2356" i="23"/>
  <c r="N2355" i="23"/>
  <c r="M2355" i="23"/>
  <c r="C2355" i="23"/>
  <c r="C2354" i="23"/>
  <c r="N2353" i="23"/>
  <c r="M2353" i="23"/>
  <c r="F2353" i="23" s="1"/>
  <c r="C2353" i="23"/>
  <c r="N2352" i="23"/>
  <c r="M2352" i="23"/>
  <c r="F2352" i="23"/>
  <c r="C2352" i="23"/>
  <c r="C2351" i="23"/>
  <c r="M2350" i="23"/>
  <c r="F2350" i="23" s="1"/>
  <c r="C2350" i="23"/>
  <c r="N2350" i="23" s="1"/>
  <c r="N2349" i="23"/>
  <c r="M2349" i="23"/>
  <c r="F2349" i="23"/>
  <c r="C2349" i="23"/>
  <c r="C2348" i="23"/>
  <c r="C2347" i="23"/>
  <c r="N2346" i="23"/>
  <c r="M2346" i="23"/>
  <c r="C2346" i="23"/>
  <c r="C2345" i="23"/>
  <c r="N2344" i="23"/>
  <c r="M2344" i="23"/>
  <c r="F2344" i="23" s="1"/>
  <c r="C2344" i="23"/>
  <c r="N2343" i="23"/>
  <c r="F2343" i="23"/>
  <c r="C2343" i="23"/>
  <c r="M2343" i="23" s="1"/>
  <c r="N2342" i="23"/>
  <c r="M2342" i="23"/>
  <c r="F2342" i="23" s="1"/>
  <c r="C2342" i="23"/>
  <c r="C2341" i="23"/>
  <c r="N2341" i="23" s="1"/>
  <c r="M2340" i="23"/>
  <c r="F2340" i="23" s="1"/>
  <c r="C2340" i="23"/>
  <c r="N2340" i="23" s="1"/>
  <c r="C2339" i="23"/>
  <c r="F2338" i="23"/>
  <c r="M2337" i="23"/>
  <c r="F2337" i="23" s="1"/>
  <c r="C2337" i="23"/>
  <c r="F2336" i="23"/>
  <c r="F2335" i="23"/>
  <c r="C2335" i="23"/>
  <c r="M2335" i="23" s="1"/>
  <c r="M2334" i="23"/>
  <c r="F2334" i="23" s="1"/>
  <c r="C2334" i="23"/>
  <c r="C2333" i="23"/>
  <c r="M2333" i="23" s="1"/>
  <c r="F2333" i="23" s="1"/>
  <c r="F2332" i="23"/>
  <c r="C2331" i="23"/>
  <c r="M2330" i="23"/>
  <c r="F2330" i="23" s="1"/>
  <c r="C2330" i="23"/>
  <c r="N2330" i="23" s="1"/>
  <c r="M2329" i="23"/>
  <c r="F2329" i="23" s="1"/>
  <c r="C2329" i="23"/>
  <c r="N2329" i="23" s="1"/>
  <c r="M2328" i="23"/>
  <c r="F2328" i="23"/>
  <c r="C2328" i="23"/>
  <c r="N2328" i="23" s="1"/>
  <c r="N2327" i="23"/>
  <c r="M2327" i="23"/>
  <c r="F2327" i="23"/>
  <c r="C2327" i="23"/>
  <c r="N2326" i="23"/>
  <c r="M2326" i="23"/>
  <c r="C2326" i="23"/>
  <c r="N2325" i="23"/>
  <c r="C2325" i="23"/>
  <c r="M2325" i="23" s="1"/>
  <c r="N2324" i="23"/>
  <c r="M2324" i="23"/>
  <c r="F2324" i="23" s="1"/>
  <c r="C2324" i="23"/>
  <c r="N2323" i="23"/>
  <c r="M2323" i="23"/>
  <c r="F2323" i="23" s="1"/>
  <c r="C2323" i="23"/>
  <c r="C2322" i="23"/>
  <c r="N2321" i="23"/>
  <c r="M2321" i="23"/>
  <c r="F2321" i="23" s="1"/>
  <c r="C2321" i="23"/>
  <c r="N2320" i="23"/>
  <c r="M2320" i="23"/>
  <c r="F2320" i="23"/>
  <c r="C2320" i="23"/>
  <c r="N2319" i="23"/>
  <c r="C2319" i="23"/>
  <c r="M2319" i="23" s="1"/>
  <c r="C2318" i="23"/>
  <c r="N2317" i="23"/>
  <c r="M2317" i="23"/>
  <c r="F2317" i="23"/>
  <c r="C2317" i="23"/>
  <c r="N2316" i="23"/>
  <c r="M2316" i="23"/>
  <c r="F2316" i="23" s="1"/>
  <c r="C2316" i="23"/>
  <c r="F2315" i="23"/>
  <c r="C2314" i="23"/>
  <c r="M2314" i="23" s="1"/>
  <c r="F2314" i="23" s="1"/>
  <c r="M2313" i="23"/>
  <c r="F2313" i="23"/>
  <c r="C2313" i="23"/>
  <c r="M2312" i="23"/>
  <c r="F2312" i="23" s="1"/>
  <c r="C2312" i="23"/>
  <c r="F2311" i="23"/>
  <c r="N2310" i="23"/>
  <c r="M2310" i="23"/>
  <c r="F2310" i="23"/>
  <c r="C2310" i="23"/>
  <c r="N2309" i="23"/>
  <c r="C2309" i="23"/>
  <c r="M2309" i="23" s="1"/>
  <c r="N2308" i="23"/>
  <c r="C2308" i="23"/>
  <c r="M2308" i="23" s="1"/>
  <c r="C2307" i="23"/>
  <c r="C2306" i="23"/>
  <c r="N2305" i="23"/>
  <c r="C2305" i="23"/>
  <c r="M2305" i="23" s="1"/>
  <c r="N2304" i="23"/>
  <c r="M2304" i="23"/>
  <c r="F2304" i="23" s="1"/>
  <c r="C2304" i="23"/>
  <c r="N2303" i="23"/>
  <c r="C2303" i="23"/>
  <c r="M2303" i="23" s="1"/>
  <c r="N2302" i="23"/>
  <c r="F2302" i="23"/>
  <c r="C2302" i="23"/>
  <c r="M2302" i="23" s="1"/>
  <c r="N2301" i="23"/>
  <c r="C2301" i="23"/>
  <c r="M2301" i="23" s="1"/>
  <c r="N2300" i="23"/>
  <c r="C2300" i="23"/>
  <c r="M2300" i="23" s="1"/>
  <c r="C2299" i="23"/>
  <c r="N2298" i="23"/>
  <c r="M2298" i="23"/>
  <c r="C2298" i="23"/>
  <c r="C2297" i="23"/>
  <c r="N2296" i="23"/>
  <c r="C2296" i="23"/>
  <c r="M2296" i="23" s="1"/>
  <c r="N2295" i="23"/>
  <c r="M2295" i="23"/>
  <c r="F2295" i="23" s="1"/>
  <c r="C2295" i="23"/>
  <c r="N2294" i="23"/>
  <c r="F2294" i="23" s="1"/>
  <c r="M2294" i="23"/>
  <c r="C2294" i="23"/>
  <c r="C2293" i="23"/>
  <c r="N2292" i="23"/>
  <c r="M2292" i="23"/>
  <c r="F2292" i="23"/>
  <c r="C2292" i="23"/>
  <c r="F2291" i="23"/>
  <c r="C2290" i="23"/>
  <c r="M2290" i="23" s="1"/>
  <c r="F2290" i="23" s="1"/>
  <c r="F2289" i="23"/>
  <c r="M2288" i="23"/>
  <c r="F2288" i="23" s="1"/>
  <c r="C2288" i="23"/>
  <c r="M2287" i="23"/>
  <c r="F2287" i="23" s="1"/>
  <c r="C2287" i="23"/>
  <c r="F2286" i="23"/>
  <c r="C2286" i="23"/>
  <c r="M2286" i="23" s="1"/>
  <c r="F2285" i="23"/>
  <c r="C2284" i="23"/>
  <c r="M2283" i="23"/>
  <c r="F2283" i="23" s="1"/>
  <c r="C2283" i="23"/>
  <c r="N2283" i="23" s="1"/>
  <c r="N2282" i="23"/>
  <c r="M2282" i="23"/>
  <c r="F2282" i="23" s="1"/>
  <c r="C2282" i="23"/>
  <c r="C2281" i="23"/>
  <c r="C2280" i="23"/>
  <c r="C2279" i="23"/>
  <c r="N2278" i="23"/>
  <c r="M2278" i="23"/>
  <c r="F2278" i="23" s="1"/>
  <c r="C2278" i="23"/>
  <c r="C2277" i="23"/>
  <c r="N2276" i="23"/>
  <c r="M2276" i="23"/>
  <c r="F2276" i="23"/>
  <c r="C2276" i="23"/>
  <c r="N2275" i="23"/>
  <c r="F2275" i="23" s="1"/>
  <c r="M2275" i="23"/>
  <c r="C2275" i="23"/>
  <c r="C2274" i="23"/>
  <c r="M2273" i="23"/>
  <c r="F2273" i="23"/>
  <c r="C2273" i="23"/>
  <c r="N2273" i="23" s="1"/>
  <c r="N2272" i="23"/>
  <c r="M2272" i="23"/>
  <c r="C2272" i="23"/>
  <c r="C2271" i="23"/>
  <c r="C2270" i="23"/>
  <c r="C2269" i="23"/>
  <c r="F2268" i="23"/>
  <c r="C2267" i="23"/>
  <c r="M2267" i="23" s="1"/>
  <c r="F2267" i="23" s="1"/>
  <c r="F2266" i="23"/>
  <c r="C2266" i="23"/>
  <c r="M2266" i="23" s="1"/>
  <c r="M2265" i="23"/>
  <c r="F2265" i="23"/>
  <c r="C2265" i="23"/>
  <c r="F2264" i="23"/>
  <c r="M2263" i="23"/>
  <c r="F2263" i="23" s="1"/>
  <c r="C2263" i="23"/>
  <c r="N2263" i="23" s="1"/>
  <c r="N2262" i="23"/>
  <c r="M2262" i="23"/>
  <c r="F2262" i="23" s="1"/>
  <c r="C2262" i="23"/>
  <c r="C2261" i="23"/>
  <c r="M2260" i="23"/>
  <c r="F2260" i="23" s="1"/>
  <c r="C2260" i="23"/>
  <c r="N2260" i="23" s="1"/>
  <c r="N2259" i="23"/>
  <c r="C2259" i="23"/>
  <c r="M2259" i="23" s="1"/>
  <c r="C2258" i="23"/>
  <c r="M2257" i="23"/>
  <c r="F2257" i="23"/>
  <c r="C2257" i="23"/>
  <c r="N2257" i="23" s="1"/>
  <c r="C2256" i="23"/>
  <c r="N2255" i="23"/>
  <c r="M2255" i="23"/>
  <c r="F2255" i="23"/>
  <c r="C2255" i="23"/>
  <c r="C2254" i="23"/>
  <c r="N2253" i="23"/>
  <c r="M2253" i="23"/>
  <c r="C2253" i="23"/>
  <c r="N2252" i="23"/>
  <c r="M2252" i="23"/>
  <c r="F2252" i="23"/>
  <c r="C2252" i="23"/>
  <c r="C2251" i="23"/>
  <c r="C2250" i="23"/>
  <c r="N2249" i="23"/>
  <c r="M2249" i="23"/>
  <c r="F2249" i="23" s="1"/>
  <c r="C2249" i="23"/>
  <c r="N2248" i="23"/>
  <c r="F2248" i="23" s="1"/>
  <c r="M2248" i="23"/>
  <c r="C2248" i="23"/>
  <c r="N2247" i="23"/>
  <c r="F2247" i="23" s="1"/>
  <c r="M2247" i="23"/>
  <c r="C2247" i="23"/>
  <c r="N2246" i="23"/>
  <c r="M2246" i="23"/>
  <c r="C2246" i="23"/>
  <c r="C2245" i="23"/>
  <c r="M2245" i="23" s="1"/>
  <c r="F2244" i="23"/>
  <c r="C2243" i="23"/>
  <c r="M2243" i="23" s="1"/>
  <c r="F2243" i="23" s="1"/>
  <c r="F2242" i="23"/>
  <c r="F2241" i="23"/>
  <c r="C2241" i="23"/>
  <c r="M2241" i="23" s="1"/>
  <c r="M2240" i="23"/>
  <c r="F2240" i="23"/>
  <c r="C2240" i="23"/>
  <c r="C2239" i="23"/>
  <c r="M2239" i="23" s="1"/>
  <c r="F2239" i="23" s="1"/>
  <c r="F2238" i="23"/>
  <c r="N2237" i="23"/>
  <c r="M2237" i="23"/>
  <c r="F2237" i="23"/>
  <c r="C2237" i="23"/>
  <c r="C2236" i="23"/>
  <c r="N2235" i="23"/>
  <c r="M2235" i="23"/>
  <c r="C2235" i="23"/>
  <c r="N2234" i="23"/>
  <c r="M2234" i="23"/>
  <c r="F2234" i="23" s="1"/>
  <c r="C2234" i="23"/>
  <c r="N2233" i="23"/>
  <c r="M2233" i="23"/>
  <c r="F2233" i="23" s="1"/>
  <c r="C2233" i="23"/>
  <c r="N2232" i="23"/>
  <c r="C2232" i="23"/>
  <c r="M2232" i="23" s="1"/>
  <c r="C2231" i="23"/>
  <c r="N2230" i="23"/>
  <c r="M2230" i="23"/>
  <c r="F2230" i="23" s="1"/>
  <c r="C2230" i="23"/>
  <c r="N2229" i="23"/>
  <c r="M2229" i="23"/>
  <c r="C2229" i="23"/>
  <c r="C2228" i="23"/>
  <c r="N2227" i="23"/>
  <c r="M2227" i="23"/>
  <c r="F2227" i="23" s="1"/>
  <c r="C2227" i="23"/>
  <c r="N2226" i="23"/>
  <c r="C2226" i="23"/>
  <c r="M2226" i="23" s="1"/>
  <c r="C2225" i="23"/>
  <c r="N2224" i="23"/>
  <c r="C2224" i="23"/>
  <c r="M2224" i="23" s="1"/>
  <c r="C2223" i="23"/>
  <c r="C2222" i="23"/>
  <c r="F2221" i="23"/>
  <c r="M2220" i="23"/>
  <c r="F2220" i="23" s="1"/>
  <c r="C2220" i="23"/>
  <c r="M2219" i="23"/>
  <c r="F2219" i="23" s="1"/>
  <c r="C2219" i="23"/>
  <c r="C2218" i="23"/>
  <c r="M2218" i="23" s="1"/>
  <c r="F2218" i="23" s="1"/>
  <c r="F2217" i="23"/>
  <c r="C2216" i="23"/>
  <c r="N2215" i="23"/>
  <c r="M2215" i="23"/>
  <c r="F2215" i="23" s="1"/>
  <c r="C2215" i="23"/>
  <c r="C2214" i="23"/>
  <c r="C2213" i="23"/>
  <c r="N2212" i="23"/>
  <c r="M2212" i="23"/>
  <c r="F2212" i="23" s="1"/>
  <c r="C2212" i="23"/>
  <c r="C2211" i="23"/>
  <c r="M2211" i="23" s="1"/>
  <c r="C2210" i="23"/>
  <c r="N2209" i="23"/>
  <c r="M2209" i="23"/>
  <c r="F2209" i="23"/>
  <c r="C2209" i="23"/>
  <c r="M2208" i="23"/>
  <c r="F2208" i="23" s="1"/>
  <c r="C2208" i="23"/>
  <c r="N2208" i="23" s="1"/>
  <c r="C2207" i="23"/>
  <c r="C2206" i="23"/>
  <c r="N2205" i="23"/>
  <c r="M2205" i="23"/>
  <c r="F2205" i="23"/>
  <c r="C2205" i="23"/>
  <c r="N2204" i="23"/>
  <c r="C2204" i="23"/>
  <c r="M2204" i="23" s="1"/>
  <c r="F2204" i="23" s="1"/>
  <c r="M2203" i="23"/>
  <c r="F2203" i="23"/>
  <c r="C2203" i="23"/>
  <c r="N2203" i="23" s="1"/>
  <c r="N2202" i="23"/>
  <c r="M2202" i="23"/>
  <c r="F2202" i="23"/>
  <c r="C2202" i="23"/>
  <c r="C2201" i="23"/>
  <c r="C2200" i="23"/>
  <c r="N2200" i="23" s="1"/>
  <c r="C2199" i="23"/>
  <c r="N2198" i="23"/>
  <c r="M2198" i="23"/>
  <c r="C2198" i="23"/>
  <c r="F2197" i="23"/>
  <c r="F2196" i="23"/>
  <c r="C2196" i="23"/>
  <c r="M2196" i="23" s="1"/>
  <c r="F2195" i="23"/>
  <c r="C2194" i="23"/>
  <c r="M2194" i="23" s="1"/>
  <c r="F2194" i="23" s="1"/>
  <c r="C2193" i="23"/>
  <c r="M2193" i="23" s="1"/>
  <c r="F2193" i="23" s="1"/>
  <c r="C2192" i="23"/>
  <c r="M2192" i="23" s="1"/>
  <c r="F2192" i="23" s="1"/>
  <c r="F2191" i="23"/>
  <c r="N2190" i="23"/>
  <c r="M2190" i="23"/>
  <c r="F2190" i="23" s="1"/>
  <c r="C2190" i="23"/>
  <c r="C2189" i="23"/>
  <c r="N2188" i="23"/>
  <c r="M2188" i="23"/>
  <c r="F2188" i="23" s="1"/>
  <c r="C2188" i="23"/>
  <c r="C2187" i="23"/>
  <c r="C2186" i="23"/>
  <c r="C2185" i="23"/>
  <c r="C2184" i="23"/>
  <c r="N2183" i="23"/>
  <c r="F2183" i="23" s="1"/>
  <c r="M2183" i="23"/>
  <c r="C2183" i="23"/>
  <c r="M2182" i="23"/>
  <c r="F2182" i="23"/>
  <c r="C2182" i="23"/>
  <c r="N2182" i="23" s="1"/>
  <c r="C2181" i="23"/>
  <c r="N2180" i="23"/>
  <c r="M2180" i="23"/>
  <c r="F2180" i="23" s="1"/>
  <c r="C2180" i="23"/>
  <c r="M2179" i="23"/>
  <c r="F2179" i="23" s="1"/>
  <c r="C2179" i="23"/>
  <c r="N2179" i="23" s="1"/>
  <c r="C2178" i="23"/>
  <c r="N2177" i="23"/>
  <c r="M2177" i="23"/>
  <c r="C2177" i="23"/>
  <c r="N2176" i="23"/>
  <c r="M2176" i="23"/>
  <c r="F2176" i="23" s="1"/>
  <c r="C2176" i="23"/>
  <c r="C2175" i="23"/>
  <c r="F2174" i="23"/>
  <c r="M2173" i="23"/>
  <c r="F2173" i="23" s="1"/>
  <c r="C2173" i="23"/>
  <c r="M2172" i="23"/>
  <c r="F2172" i="23" s="1"/>
  <c r="C2172" i="23"/>
  <c r="M2171" i="23"/>
  <c r="F2171" i="23" s="1"/>
  <c r="C2171" i="23"/>
  <c r="F2170" i="23"/>
  <c r="M2169" i="23"/>
  <c r="F2169" i="23" s="1"/>
  <c r="C2169" i="23"/>
  <c r="N2169" i="23" s="1"/>
  <c r="N2168" i="23"/>
  <c r="C2168" i="23"/>
  <c r="M2168" i="23" s="1"/>
  <c r="N2167" i="23"/>
  <c r="M2167" i="23"/>
  <c r="F2167" i="23" s="1"/>
  <c r="C2167" i="23"/>
  <c r="C2166" i="23"/>
  <c r="N2165" i="23"/>
  <c r="M2165" i="23"/>
  <c r="F2165" i="23" s="1"/>
  <c r="C2165" i="23"/>
  <c r="N2164" i="23"/>
  <c r="M2164" i="23"/>
  <c r="C2164" i="23"/>
  <c r="C2163" i="23"/>
  <c r="M2163" i="23" s="1"/>
  <c r="N2162" i="23"/>
  <c r="C2162" i="23"/>
  <c r="M2162" i="23" s="1"/>
  <c r="C2161" i="23"/>
  <c r="M2160" i="23"/>
  <c r="F2160" i="23"/>
  <c r="C2160" i="23"/>
  <c r="N2160" i="23" s="1"/>
  <c r="C2159" i="23"/>
  <c r="N2158" i="23"/>
  <c r="M2158" i="23"/>
  <c r="F2158" i="23" s="1"/>
  <c r="C2158" i="23"/>
  <c r="C2157" i="23"/>
  <c r="N2156" i="23"/>
  <c r="C2156" i="23"/>
  <c r="M2156" i="23" s="1"/>
  <c r="N2155" i="23"/>
  <c r="M2155" i="23"/>
  <c r="F2155" i="23" s="1"/>
  <c r="C2155" i="23"/>
  <c r="N2154" i="23"/>
  <c r="F2154" i="23" s="1"/>
  <c r="C2154" i="23"/>
  <c r="M2154" i="23" s="1"/>
  <c r="N2153" i="23"/>
  <c r="C2153" i="23"/>
  <c r="M2153" i="23" s="1"/>
  <c r="C2152" i="23"/>
  <c r="N2151" i="23"/>
  <c r="M2151" i="23"/>
  <c r="C2151" i="23"/>
  <c r="F2150" i="23"/>
  <c r="M2149" i="23"/>
  <c r="F2149" i="23"/>
  <c r="C2149" i="23"/>
  <c r="F2148" i="23"/>
  <c r="F2147" i="23"/>
  <c r="C2147" i="23"/>
  <c r="M2147" i="23" s="1"/>
  <c r="M2146" i="23"/>
  <c r="F2146" i="23" s="1"/>
  <c r="C2146" i="23"/>
  <c r="M2145" i="23"/>
  <c r="F2145" i="23"/>
  <c r="C2145" i="23"/>
  <c r="F2144" i="23"/>
  <c r="N2143" i="23"/>
  <c r="C2143" i="23"/>
  <c r="M2143" i="23" s="1"/>
  <c r="N2142" i="23"/>
  <c r="M2142" i="23"/>
  <c r="C2142" i="23"/>
  <c r="C2141" i="23"/>
  <c r="N2140" i="23"/>
  <c r="M2140" i="23"/>
  <c r="F2140" i="23"/>
  <c r="C2140" i="23"/>
  <c r="C2139" i="23"/>
  <c r="C2138" i="23"/>
  <c r="N2137" i="23"/>
  <c r="F2137" i="23"/>
  <c r="C2137" i="23"/>
  <c r="M2137" i="23" s="1"/>
  <c r="N2136" i="23"/>
  <c r="M2136" i="23"/>
  <c r="C2136" i="23"/>
  <c r="N2135" i="23"/>
  <c r="C2135" i="23"/>
  <c r="M2135" i="23" s="1"/>
  <c r="N2134" i="23"/>
  <c r="C2134" i="23"/>
  <c r="M2134" i="23" s="1"/>
  <c r="N2133" i="23"/>
  <c r="C2133" i="23"/>
  <c r="M2133" i="23" s="1"/>
  <c r="C2132" i="23"/>
  <c r="C2131" i="23"/>
  <c r="C2130" i="23"/>
  <c r="N2129" i="23"/>
  <c r="M2129" i="23"/>
  <c r="C2129" i="23"/>
  <c r="N2128" i="23"/>
  <c r="M2128" i="23"/>
  <c r="C2128" i="23"/>
  <c r="F2127" i="23"/>
  <c r="M2126" i="23"/>
  <c r="F2126" i="23" s="1"/>
  <c r="C2126" i="23"/>
  <c r="M2125" i="23"/>
  <c r="F2125" i="23" s="1"/>
  <c r="C2125" i="23"/>
  <c r="M2124" i="23"/>
  <c r="F2124" i="23"/>
  <c r="C2124" i="23"/>
  <c r="F2123" i="23"/>
  <c r="C2122" i="23"/>
  <c r="C2121" i="23"/>
  <c r="C2120" i="23"/>
  <c r="N2119" i="23"/>
  <c r="F2119" i="23" s="1"/>
  <c r="M2119" i="23"/>
  <c r="C2119" i="23"/>
  <c r="C2118" i="23"/>
  <c r="C2117" i="23"/>
  <c r="C2116" i="23"/>
  <c r="C2115" i="23"/>
  <c r="M2115" i="23" s="1"/>
  <c r="C2114" i="23"/>
  <c r="C2113" i="23"/>
  <c r="N2112" i="23"/>
  <c r="M2112" i="23"/>
  <c r="C2112" i="23"/>
  <c r="N2111" i="23"/>
  <c r="M2111" i="23"/>
  <c r="F2111" i="23" s="1"/>
  <c r="C2111" i="23"/>
  <c r="C2110" i="23"/>
  <c r="N2109" i="23"/>
  <c r="M2109" i="23"/>
  <c r="F2109" i="23" s="1"/>
  <c r="C2109" i="23"/>
  <c r="C2108" i="23"/>
  <c r="N2107" i="23"/>
  <c r="M2107" i="23"/>
  <c r="F2107" i="23" s="1"/>
  <c r="C2107" i="23"/>
  <c r="N2106" i="23"/>
  <c r="M2106" i="23"/>
  <c r="F2106" i="23" s="1"/>
  <c r="C2106" i="23"/>
  <c r="N2105" i="23"/>
  <c r="F2105" i="23" s="1"/>
  <c r="C2105" i="23"/>
  <c r="M2105" i="23" s="1"/>
  <c r="N2104" i="23"/>
  <c r="F2104" i="23" s="1"/>
  <c r="M2104" i="23"/>
  <c r="C2104" i="23"/>
  <c r="F2103" i="23"/>
  <c r="F2102" i="23"/>
  <c r="C2102" i="23"/>
  <c r="M2102" i="23" s="1"/>
  <c r="F2101" i="23"/>
  <c r="M2100" i="23"/>
  <c r="F2100" i="23"/>
  <c r="C2100" i="23"/>
  <c r="M2099" i="23"/>
  <c r="F2099" i="23"/>
  <c r="C2099" i="23"/>
  <c r="M2098" i="23"/>
  <c r="F2098" i="23" s="1"/>
  <c r="C2098" i="23"/>
  <c r="F2097" i="23"/>
  <c r="C2096" i="23"/>
  <c r="N2095" i="23"/>
  <c r="M2095" i="23"/>
  <c r="C2095" i="23"/>
  <c r="M2094" i="23"/>
  <c r="F2094" i="23" s="1"/>
  <c r="C2094" i="23"/>
  <c r="N2094" i="23" s="1"/>
  <c r="C2093" i="23"/>
  <c r="C2092" i="23"/>
  <c r="C2091" i="23"/>
  <c r="N2090" i="23"/>
  <c r="M2090" i="23"/>
  <c r="F2090" i="23" s="1"/>
  <c r="C2090" i="23"/>
  <c r="C2089" i="23"/>
  <c r="N2088" i="23"/>
  <c r="M2088" i="23"/>
  <c r="F2088" i="23" s="1"/>
  <c r="C2088" i="23"/>
  <c r="C2087" i="23"/>
  <c r="M2086" i="23"/>
  <c r="F2086" i="23" s="1"/>
  <c r="C2086" i="23"/>
  <c r="N2086" i="23" s="1"/>
  <c r="N2085" i="23"/>
  <c r="M2085" i="23"/>
  <c r="F2085" i="23"/>
  <c r="C2085" i="23"/>
  <c r="N2084" i="23"/>
  <c r="M2084" i="23"/>
  <c r="F2084" i="23"/>
  <c r="C2084" i="23"/>
  <c r="N2083" i="23"/>
  <c r="C2083" i="23"/>
  <c r="M2083" i="23" s="1"/>
  <c r="N2082" i="23"/>
  <c r="M2082" i="23"/>
  <c r="F2082" i="23" s="1"/>
  <c r="C2082" i="23"/>
  <c r="N2081" i="23"/>
  <c r="M2081" i="23"/>
  <c r="F2081" i="23"/>
  <c r="C2081" i="23"/>
  <c r="F2080" i="23"/>
  <c r="C2079" i="23"/>
  <c r="M2079" i="23" s="1"/>
  <c r="F2079" i="23" s="1"/>
  <c r="M2078" i="23"/>
  <c r="F2078" i="23" s="1"/>
  <c r="C2078" i="23"/>
  <c r="C2077" i="23"/>
  <c r="M2077" i="23" s="1"/>
  <c r="F2077" i="23" s="1"/>
  <c r="F2076" i="23"/>
  <c r="N2075" i="23"/>
  <c r="M2075" i="23"/>
  <c r="F2075" i="23" s="1"/>
  <c r="C2075" i="23"/>
  <c r="N2074" i="23"/>
  <c r="M2074" i="23"/>
  <c r="C2074" i="23"/>
  <c r="M2073" i="23"/>
  <c r="F2073" i="23"/>
  <c r="C2073" i="23"/>
  <c r="N2073" i="23" s="1"/>
  <c r="N2072" i="23"/>
  <c r="C2072" i="23"/>
  <c r="M2072" i="23" s="1"/>
  <c r="N2071" i="23"/>
  <c r="M2071" i="23"/>
  <c r="F2071" i="23" s="1"/>
  <c r="C2071" i="23"/>
  <c r="N2070" i="23"/>
  <c r="F2070" i="23" s="1"/>
  <c r="M2070" i="23"/>
  <c r="C2070" i="23"/>
  <c r="C2069" i="23"/>
  <c r="N2068" i="23"/>
  <c r="M2068" i="23"/>
  <c r="F2068" i="23"/>
  <c r="C2068" i="23"/>
  <c r="N2067" i="23"/>
  <c r="M2067" i="23"/>
  <c r="F2067" i="23" s="1"/>
  <c r="C2067" i="23"/>
  <c r="N2066" i="23"/>
  <c r="C2066" i="23"/>
  <c r="M2066" i="23" s="1"/>
  <c r="C2065" i="23"/>
  <c r="M2064" i="23"/>
  <c r="F2064" i="23" s="1"/>
  <c r="C2064" i="23"/>
  <c r="N2064" i="23" s="1"/>
  <c r="C2063" i="23"/>
  <c r="N2062" i="23"/>
  <c r="M2062" i="23"/>
  <c r="C2062" i="23"/>
  <c r="C2061" i="23"/>
  <c r="N2060" i="23"/>
  <c r="M2060" i="23"/>
  <c r="F2060" i="23"/>
  <c r="C2060" i="23"/>
  <c r="M2059" i="23"/>
  <c r="F2059" i="23" s="1"/>
  <c r="C2059" i="23"/>
  <c r="N2059" i="23" s="1"/>
  <c r="C2058" i="23"/>
  <c r="N2057" i="23"/>
  <c r="M2057" i="23"/>
  <c r="F2057" i="23" s="1"/>
  <c r="C2057" i="23"/>
  <c r="F2056" i="23"/>
  <c r="M2055" i="23"/>
  <c r="F2055" i="23"/>
  <c r="C2055" i="23"/>
  <c r="F2054" i="23"/>
  <c r="F2053" i="23"/>
  <c r="C2053" i="23"/>
  <c r="M2053" i="23" s="1"/>
  <c r="M2052" i="23"/>
  <c r="F2052" i="23" s="1"/>
  <c r="C2052" i="23"/>
  <c r="M2051" i="23"/>
  <c r="F2051" i="23" s="1"/>
  <c r="C2051" i="23"/>
  <c r="F2050" i="23"/>
  <c r="M2049" i="23"/>
  <c r="F2049" i="23"/>
  <c r="C2049" i="23"/>
  <c r="N2049" i="23" s="1"/>
  <c r="N2048" i="23"/>
  <c r="F2048" i="23"/>
  <c r="C2048" i="23"/>
  <c r="M2048" i="23" s="1"/>
  <c r="N2047" i="23"/>
  <c r="M2047" i="23"/>
  <c r="F2047" i="23" s="1"/>
  <c r="C2047" i="23"/>
  <c r="N2046" i="23"/>
  <c r="M2046" i="23"/>
  <c r="C2046" i="23"/>
  <c r="C2045" i="23"/>
  <c r="C2044" i="23"/>
  <c r="N2043" i="23"/>
  <c r="C2043" i="23"/>
  <c r="M2043" i="23" s="1"/>
  <c r="C2042" i="23"/>
  <c r="N2041" i="23"/>
  <c r="C2041" i="23"/>
  <c r="M2041" i="23" s="1"/>
  <c r="N2040" i="23"/>
  <c r="M2040" i="23"/>
  <c r="F2040" i="23"/>
  <c r="C2040" i="23"/>
  <c r="C2039" i="23"/>
  <c r="N2038" i="23"/>
  <c r="C2038" i="23"/>
  <c r="M2038" i="23" s="1"/>
  <c r="C2037" i="23"/>
  <c r="C2036" i="23"/>
  <c r="N2035" i="23"/>
  <c r="C2035" i="23"/>
  <c r="M2035" i="23" s="1"/>
  <c r="C2034" i="23"/>
  <c r="F2033" i="23"/>
  <c r="F2032" i="23"/>
  <c r="C2032" i="23"/>
  <c r="M2032" i="23" s="1"/>
  <c r="F2031" i="23"/>
  <c r="C2031" i="23"/>
  <c r="M2031" i="23" s="1"/>
  <c r="C2030" i="23"/>
  <c r="M2030" i="23" s="1"/>
  <c r="F2030" i="23" s="1"/>
  <c r="F2029" i="23"/>
  <c r="N2028" i="23"/>
  <c r="M2028" i="23"/>
  <c r="F2028" i="23" s="1"/>
  <c r="C2028" i="23"/>
  <c r="N2027" i="23"/>
  <c r="M2027" i="23"/>
  <c r="C2027" i="23"/>
  <c r="C2026" i="23"/>
  <c r="N2025" i="23"/>
  <c r="M2025" i="23"/>
  <c r="F2025" i="23" s="1"/>
  <c r="C2025" i="23"/>
  <c r="C2024" i="23"/>
  <c r="C2023" i="23"/>
  <c r="N2022" i="23"/>
  <c r="F2022" i="23" s="1"/>
  <c r="M2022" i="23"/>
  <c r="C2022" i="23"/>
  <c r="N2021" i="23"/>
  <c r="M2021" i="23"/>
  <c r="F2021" i="23" s="1"/>
  <c r="C2021" i="23"/>
  <c r="C2020" i="23"/>
  <c r="N2019" i="23"/>
  <c r="F2019" i="23" s="1"/>
  <c r="M2019" i="23"/>
  <c r="C2019" i="23"/>
  <c r="C2018" i="23"/>
  <c r="C2017" i="23"/>
  <c r="N2016" i="23"/>
  <c r="M2016" i="23"/>
  <c r="F2016" i="23" s="1"/>
  <c r="C2016" i="23"/>
  <c r="N2015" i="23"/>
  <c r="C2015" i="23"/>
  <c r="M2015" i="23" s="1"/>
  <c r="N2014" i="23"/>
  <c r="M2014" i="23"/>
  <c r="C2014" i="23"/>
  <c r="N2013" i="23"/>
  <c r="M2013" i="23"/>
  <c r="F2013" i="23"/>
  <c r="C2013" i="23"/>
  <c r="C2012" i="23"/>
  <c r="N2011" i="23"/>
  <c r="M2011" i="23"/>
  <c r="C2011" i="23"/>
  <c r="N2010" i="23"/>
  <c r="F2010" i="23" s="1"/>
  <c r="M2010" i="23"/>
  <c r="C2010" i="23"/>
  <c r="F2009" i="23"/>
  <c r="C2008" i="23"/>
  <c r="M2008" i="23" s="1"/>
  <c r="F2008" i="23" s="1"/>
  <c r="F2007" i="23"/>
  <c r="C2006" i="23"/>
  <c r="M2006" i="23" s="1"/>
  <c r="F2006" i="23" s="1"/>
  <c r="C2005" i="23"/>
  <c r="M2005" i="23" s="1"/>
  <c r="F2005" i="23" s="1"/>
  <c r="C2004" i="23"/>
  <c r="M2004" i="23" s="1"/>
  <c r="F2004" i="23" s="1"/>
  <c r="F2003" i="23"/>
  <c r="C2002" i="23"/>
  <c r="C2001" i="23"/>
  <c r="N2000" i="23"/>
  <c r="F2000" i="23"/>
  <c r="C2000" i="23"/>
  <c r="M2000" i="23" s="1"/>
  <c r="N1999" i="23"/>
  <c r="M1999" i="23"/>
  <c r="F1999" i="23"/>
  <c r="C1999" i="23"/>
  <c r="M1998" i="23"/>
  <c r="F1998" i="23"/>
  <c r="C1998" i="23"/>
  <c r="N1998" i="23" s="1"/>
  <c r="M1997" i="23"/>
  <c r="F1997" i="23" s="1"/>
  <c r="C1997" i="23"/>
  <c r="N1997" i="23" s="1"/>
  <c r="C1996" i="23"/>
  <c r="C1995" i="23"/>
  <c r="C1994" i="23"/>
  <c r="N1993" i="23"/>
  <c r="M1993" i="23"/>
  <c r="C1993" i="23"/>
  <c r="C1992" i="23"/>
  <c r="N1991" i="23"/>
  <c r="M1991" i="23"/>
  <c r="F1991" i="23"/>
  <c r="C1991" i="23"/>
  <c r="C1990" i="23"/>
  <c r="M1989" i="23"/>
  <c r="F1989" i="23"/>
  <c r="C1989" i="23"/>
  <c r="N1989" i="23" s="1"/>
  <c r="C1988" i="23"/>
  <c r="N1987" i="23"/>
  <c r="C1987" i="23"/>
  <c r="M1987" i="23" s="1"/>
  <c r="F1986" i="23"/>
  <c r="M1985" i="23"/>
  <c r="F1985" i="23" s="1"/>
  <c r="C1985" i="23"/>
  <c r="M1984" i="23"/>
  <c r="F1984" i="23" s="1"/>
  <c r="C1984" i="23"/>
  <c r="F1983" i="23"/>
  <c r="C1983" i="23"/>
  <c r="M1983" i="23" s="1"/>
  <c r="F1982" i="23"/>
  <c r="N1981" i="23"/>
  <c r="M1981" i="23"/>
  <c r="C1981" i="23"/>
  <c r="N1980" i="23"/>
  <c r="M1980" i="23"/>
  <c r="F1980" i="23"/>
  <c r="C1980" i="23"/>
  <c r="C1979" i="23"/>
  <c r="C1978" i="23"/>
  <c r="C1977" i="23"/>
  <c r="N1976" i="23"/>
  <c r="M1976" i="23"/>
  <c r="F1976" i="23" s="1"/>
  <c r="C1976" i="23"/>
  <c r="N1975" i="23"/>
  <c r="M1975" i="23"/>
  <c r="F1975" i="23"/>
  <c r="C1975" i="23"/>
  <c r="C1974" i="23"/>
  <c r="N1973" i="23"/>
  <c r="M1973" i="23"/>
  <c r="C1973" i="23"/>
  <c r="B1973" i="23"/>
  <c r="C1972" i="23"/>
  <c r="M1971" i="23"/>
  <c r="F1971" i="23" s="1"/>
  <c r="C1971" i="23"/>
  <c r="N1971" i="23" s="1"/>
  <c r="M1970" i="23"/>
  <c r="F1970" i="23" s="1"/>
  <c r="C1970" i="23"/>
  <c r="N1970" i="23" s="1"/>
  <c r="C1969" i="23"/>
  <c r="C1968" i="23"/>
  <c r="M1967" i="23"/>
  <c r="F1967" i="23" s="1"/>
  <c r="C1967" i="23"/>
  <c r="N1967" i="23" s="1"/>
  <c r="N1966" i="23"/>
  <c r="M1966" i="23"/>
  <c r="F1966" i="23" s="1"/>
  <c r="C1966" i="23"/>
  <c r="N1965" i="23"/>
  <c r="M1965" i="23"/>
  <c r="F1965" i="23"/>
  <c r="C1965" i="23"/>
  <c r="C1964" i="23"/>
  <c r="N1963" i="23"/>
  <c r="M1963" i="23"/>
  <c r="F1963" i="23"/>
  <c r="C1963" i="23"/>
  <c r="F1962" i="23"/>
  <c r="M1961" i="23"/>
  <c r="F1961" i="23" s="1"/>
  <c r="C1961" i="23"/>
  <c r="F1960" i="23"/>
  <c r="F1959" i="23"/>
  <c r="C1959" i="23"/>
  <c r="M1959" i="23" s="1"/>
  <c r="C1958" i="23"/>
  <c r="M1958" i="23" s="1"/>
  <c r="F1958" i="23" s="1"/>
  <c r="M1957" i="23"/>
  <c r="F1957" i="23"/>
  <c r="C1957" i="23"/>
  <c r="F1956" i="23"/>
  <c r="M1955" i="23"/>
  <c r="F1955" i="23" s="1"/>
  <c r="C1955" i="23"/>
  <c r="N1955" i="23" s="1"/>
  <c r="N1954" i="23"/>
  <c r="F1954" i="23"/>
  <c r="C1954" i="23"/>
  <c r="M1954" i="23" s="1"/>
  <c r="N1953" i="23"/>
  <c r="M1953" i="23"/>
  <c r="F1953" i="23"/>
  <c r="C1953" i="23"/>
  <c r="C1952" i="23"/>
  <c r="C1951" i="23"/>
  <c r="N1950" i="23"/>
  <c r="M1950" i="23"/>
  <c r="F1950" i="23"/>
  <c r="C1950" i="23"/>
  <c r="C1949" i="23"/>
  <c r="N1948" i="23"/>
  <c r="M1948" i="23"/>
  <c r="F1948" i="23"/>
  <c r="C1948" i="23"/>
  <c r="N1947" i="23"/>
  <c r="M1947" i="23"/>
  <c r="F1947" i="23" s="1"/>
  <c r="C1947" i="23"/>
  <c r="N1946" i="23"/>
  <c r="F1946" i="23" s="1"/>
  <c r="C1946" i="23"/>
  <c r="M1946" i="23" s="1"/>
  <c r="C1945" i="23"/>
  <c r="N1944" i="23"/>
  <c r="M1944" i="23"/>
  <c r="F1944" i="23" s="1"/>
  <c r="C1944" i="23"/>
  <c r="M1943" i="23"/>
  <c r="F1943" i="23"/>
  <c r="C1943" i="23"/>
  <c r="N1943" i="23" s="1"/>
  <c r="N1942" i="23"/>
  <c r="F1942" i="23" s="1"/>
  <c r="C1942" i="23"/>
  <c r="M1942" i="23" s="1"/>
  <c r="N1941" i="23"/>
  <c r="M1941" i="23"/>
  <c r="F1941" i="23" s="1"/>
  <c r="C1941" i="23"/>
  <c r="N1940" i="23"/>
  <c r="M1940" i="23"/>
  <c r="F1940" i="23"/>
  <c r="C1940" i="23"/>
  <c r="F1939" i="23"/>
  <c r="C1938" i="23"/>
  <c r="M1938" i="23" s="1"/>
  <c r="F1938" i="23" s="1"/>
  <c r="M1937" i="23"/>
  <c r="F1937" i="23" s="1"/>
  <c r="C1937" i="23"/>
  <c r="M1936" i="23"/>
  <c r="F1936" i="23" s="1"/>
  <c r="C1936" i="23"/>
  <c r="F1935" i="23"/>
  <c r="C1934" i="23"/>
  <c r="N1933" i="23"/>
  <c r="C1933" i="23"/>
  <c r="M1933" i="23" s="1"/>
  <c r="N1932" i="23"/>
  <c r="M1932" i="23"/>
  <c r="F1932" i="23" s="1"/>
  <c r="C1932" i="23"/>
  <c r="N1931" i="23"/>
  <c r="M1931" i="23"/>
  <c r="F1931" i="23" s="1"/>
  <c r="C1931" i="23"/>
  <c r="C1930" i="23"/>
  <c r="C1929" i="23"/>
  <c r="C1928" i="23"/>
  <c r="C1927" i="23"/>
  <c r="C1926" i="23"/>
  <c r="N1926" i="23" s="1"/>
  <c r="N1925" i="23"/>
  <c r="M1925" i="23"/>
  <c r="F1925" i="23" s="1"/>
  <c r="C1925" i="23"/>
  <c r="C1924" i="23"/>
  <c r="M1923" i="23"/>
  <c r="F1923" i="23" s="1"/>
  <c r="C1923" i="23"/>
  <c r="N1923" i="23" s="1"/>
  <c r="N1922" i="23"/>
  <c r="M1922" i="23"/>
  <c r="F1922" i="23"/>
  <c r="C1922" i="23"/>
  <c r="C1921" i="23"/>
  <c r="M1921" i="23" s="1"/>
  <c r="M1920" i="23"/>
  <c r="F1920" i="23" s="1"/>
  <c r="C1920" i="23"/>
  <c r="N1920" i="23" s="1"/>
  <c r="N1919" i="23"/>
  <c r="M1919" i="23"/>
  <c r="F1919" i="23" s="1"/>
  <c r="C1919" i="23"/>
  <c r="C1918" i="23"/>
  <c r="M1917" i="23"/>
  <c r="C1917" i="23"/>
  <c r="N1917" i="23" s="1"/>
  <c r="C1916" i="23"/>
  <c r="F1915" i="23"/>
  <c r="C1914" i="23"/>
  <c r="M1914" i="23" s="1"/>
  <c r="F1914" i="23" s="1"/>
  <c r="F1913" i="23"/>
  <c r="M1912" i="23"/>
  <c r="F1912" i="23"/>
  <c r="C1912" i="23"/>
  <c r="M1911" i="23"/>
  <c r="F1911" i="23" s="1"/>
  <c r="C1911" i="23"/>
  <c r="M1910" i="23"/>
  <c r="F1910" i="23" s="1"/>
  <c r="C1910" i="23"/>
  <c r="F1909" i="23"/>
  <c r="M1908" i="23"/>
  <c r="F1908" i="23" s="1"/>
  <c r="C1908" i="23"/>
  <c r="N1908" i="23" s="1"/>
  <c r="M1907" i="23"/>
  <c r="F1907" i="23" s="1"/>
  <c r="C1907" i="23"/>
  <c r="N1907" i="23" s="1"/>
  <c r="C1906" i="23"/>
  <c r="C1905" i="23"/>
  <c r="N1904" i="23"/>
  <c r="M1904" i="23"/>
  <c r="F1904" i="23"/>
  <c r="C1904" i="23"/>
  <c r="M1903" i="23"/>
  <c r="F1903" i="23"/>
  <c r="C1903" i="23"/>
  <c r="N1903" i="23" s="1"/>
  <c r="C1902" i="23"/>
  <c r="C1901" i="23"/>
  <c r="N1900" i="23"/>
  <c r="M1900" i="23"/>
  <c r="C1900" i="23"/>
  <c r="M1899" i="23"/>
  <c r="F1899" i="23" s="1"/>
  <c r="C1899" i="23"/>
  <c r="N1899" i="23" s="1"/>
  <c r="M1898" i="23"/>
  <c r="F1898" i="23" s="1"/>
  <c r="C1898" i="23"/>
  <c r="N1898" i="23" s="1"/>
  <c r="N1897" i="23"/>
  <c r="F1897" i="23" s="1"/>
  <c r="M1897" i="23"/>
  <c r="C1897" i="23"/>
  <c r="C1896" i="23"/>
  <c r="N1895" i="23"/>
  <c r="M1895" i="23"/>
  <c r="C1895" i="23"/>
  <c r="C1894" i="23"/>
  <c r="N1893" i="23"/>
  <c r="M1893" i="23"/>
  <c r="F1893" i="23" s="1"/>
  <c r="C1893" i="23"/>
  <c r="F1892" i="23"/>
  <c r="C1891" i="23"/>
  <c r="M1891" i="23" s="1"/>
  <c r="F1891" i="23" s="1"/>
  <c r="C1890" i="23"/>
  <c r="M1890" i="23" s="1"/>
  <c r="F1890" i="23" s="1"/>
  <c r="M1889" i="23"/>
  <c r="F1889" i="23"/>
  <c r="C1889" i="23"/>
  <c r="F1888" i="23"/>
  <c r="M1887" i="23"/>
  <c r="F1887" i="23"/>
  <c r="C1887" i="23"/>
  <c r="N1887" i="23" s="1"/>
  <c r="M1886" i="23"/>
  <c r="F1886" i="23" s="1"/>
  <c r="C1886" i="23"/>
  <c r="N1886" i="23" s="1"/>
  <c r="N1885" i="23"/>
  <c r="M1885" i="23"/>
  <c r="F1885" i="23"/>
  <c r="C1885" i="23"/>
  <c r="N1884" i="23"/>
  <c r="M1884" i="23"/>
  <c r="F1884" i="23" s="1"/>
  <c r="C1884" i="23"/>
  <c r="N1883" i="23"/>
  <c r="M1883" i="23"/>
  <c r="F1883" i="23"/>
  <c r="C1883" i="23"/>
  <c r="N1882" i="23"/>
  <c r="M1882" i="23"/>
  <c r="C1882" i="23"/>
  <c r="N1881" i="23"/>
  <c r="M1881" i="23"/>
  <c r="F1881" i="23"/>
  <c r="C1881" i="23"/>
  <c r="N1880" i="23"/>
  <c r="M1880" i="23"/>
  <c r="F1880" i="23"/>
  <c r="C1880" i="23"/>
  <c r="N1879" i="23"/>
  <c r="F1879" i="23" s="1"/>
  <c r="M1879" i="23"/>
  <c r="C1879" i="23"/>
  <c r="M1878" i="23"/>
  <c r="F1878" i="23" s="1"/>
  <c r="C1878" i="23"/>
  <c r="N1878" i="23" s="1"/>
  <c r="C1877" i="23"/>
  <c r="N1876" i="23"/>
  <c r="M1876" i="23"/>
  <c r="C1876" i="23"/>
  <c r="C1875" i="23"/>
  <c r="N1874" i="23"/>
  <c r="M1874" i="23"/>
  <c r="F1874" i="23" s="1"/>
  <c r="C1874" i="23"/>
  <c r="N1873" i="23"/>
  <c r="M1873" i="23"/>
  <c r="F1873" i="23"/>
  <c r="C1873" i="23"/>
  <c r="C1872" i="23"/>
  <c r="N1871" i="23"/>
  <c r="M1871" i="23"/>
  <c r="F1871" i="23"/>
  <c r="C1871" i="23"/>
  <c r="N1870" i="23"/>
  <c r="M1870" i="23"/>
  <c r="F1870" i="23"/>
  <c r="C1870" i="23"/>
  <c r="M1869" i="23"/>
  <c r="F1869" i="23" s="1"/>
  <c r="C1869" i="23"/>
  <c r="N1869" i="23" s="1"/>
  <c r="F1868" i="23"/>
  <c r="F1867" i="23"/>
  <c r="F1866" i="23"/>
  <c r="F1865" i="23"/>
  <c r="F1864" i="23"/>
  <c r="F1863" i="23"/>
  <c r="F1862" i="23"/>
  <c r="F1861" i="23"/>
  <c r="F1860" i="23"/>
  <c r="F1859" i="23"/>
  <c r="F1858" i="23"/>
  <c r="F1857" i="23"/>
  <c r="F1856" i="23"/>
  <c r="F1855" i="23"/>
  <c r="F1854" i="23"/>
  <c r="F1853" i="23"/>
  <c r="F1852" i="23"/>
  <c r="F1851" i="23"/>
  <c r="F1850" i="23"/>
  <c r="F1849" i="23"/>
  <c r="F1848" i="23"/>
  <c r="F1847" i="23"/>
  <c r="F1846" i="23"/>
  <c r="F1845" i="23"/>
  <c r="F1844" i="23"/>
  <c r="F1843" i="23"/>
  <c r="F1842" i="23"/>
  <c r="F1841" i="23"/>
  <c r="F1840" i="23"/>
  <c r="F1839" i="23"/>
  <c r="F1838" i="23"/>
  <c r="F1837" i="23"/>
  <c r="F1836" i="23"/>
  <c r="F1835" i="23"/>
  <c r="F1834" i="23"/>
  <c r="F1833" i="23"/>
  <c r="F1832" i="23"/>
  <c r="F1831" i="23"/>
  <c r="F1830" i="23"/>
  <c r="F1829" i="23"/>
  <c r="F1828" i="23"/>
  <c r="F1827" i="23"/>
  <c r="F1826" i="23"/>
  <c r="F1825" i="23"/>
  <c r="F1824" i="23"/>
  <c r="F1823" i="23"/>
  <c r="F1822" i="23"/>
  <c r="F1821" i="23"/>
  <c r="F1820" i="23"/>
  <c r="F1819" i="23"/>
  <c r="F1818" i="23"/>
  <c r="F1817" i="23"/>
  <c r="F1816" i="23"/>
  <c r="F1815" i="23"/>
  <c r="F1814" i="23"/>
  <c r="F1813" i="23"/>
  <c r="F1812" i="23"/>
  <c r="F1811" i="23"/>
  <c r="F1810" i="23"/>
  <c r="F1809" i="23"/>
  <c r="F1808" i="23"/>
  <c r="F1807" i="23"/>
  <c r="F1806" i="23"/>
  <c r="F1805" i="23"/>
  <c r="F1804" i="23"/>
  <c r="F1803" i="23"/>
  <c r="F1802" i="23"/>
  <c r="F1801" i="23"/>
  <c r="F1800" i="23"/>
  <c r="F1799" i="23"/>
  <c r="F1798" i="23"/>
  <c r="F1797" i="23"/>
  <c r="F1796" i="23"/>
  <c r="F1795" i="23"/>
  <c r="F1794" i="23"/>
  <c r="F1793" i="23"/>
  <c r="F1792" i="23"/>
  <c r="F1791" i="23"/>
  <c r="F1790" i="23"/>
  <c r="F1789" i="23"/>
  <c r="F1788" i="23"/>
  <c r="F1787" i="23"/>
  <c r="F1786" i="23"/>
  <c r="F1785" i="23"/>
  <c r="F1784" i="23"/>
  <c r="F1783" i="23"/>
  <c r="F1782" i="23"/>
  <c r="F1781" i="23"/>
  <c r="F1780" i="23"/>
  <c r="F1779" i="23"/>
  <c r="F1778" i="23"/>
  <c r="F1777" i="23"/>
  <c r="F1776" i="23"/>
  <c r="F1775" i="23"/>
  <c r="F1774" i="23"/>
  <c r="F1773" i="23"/>
  <c r="F1772" i="23"/>
  <c r="F1771" i="23"/>
  <c r="F1770" i="23"/>
  <c r="F1769" i="23"/>
  <c r="F1768" i="23"/>
  <c r="F1767" i="23"/>
  <c r="F1766" i="23"/>
  <c r="F1765" i="23"/>
  <c r="F1764" i="23"/>
  <c r="F1763" i="23"/>
  <c r="F1762" i="23"/>
  <c r="F1761" i="23"/>
  <c r="F1760" i="23"/>
  <c r="F1759" i="23"/>
  <c r="F1758" i="23"/>
  <c r="F1757" i="23"/>
  <c r="F1756" i="23"/>
  <c r="F1755" i="23"/>
  <c r="F1754" i="23"/>
  <c r="F1753" i="23"/>
  <c r="F1752" i="23"/>
  <c r="F1751" i="23"/>
  <c r="F1750" i="23"/>
  <c r="F1749" i="23"/>
  <c r="F1748" i="23"/>
  <c r="F1747" i="23"/>
  <c r="F1746" i="23"/>
  <c r="F1745" i="23"/>
  <c r="F1744" i="23"/>
  <c r="F1743" i="23"/>
  <c r="F1742" i="23"/>
  <c r="F1741" i="23"/>
  <c r="F1740" i="23"/>
  <c r="F1739" i="23"/>
  <c r="F1738" i="23"/>
  <c r="F1737" i="23"/>
  <c r="F1736" i="23"/>
  <c r="F1735" i="23"/>
  <c r="F1734" i="23"/>
  <c r="F1733" i="23"/>
  <c r="F1732" i="23"/>
  <c r="F1731" i="23"/>
  <c r="F1730" i="23"/>
  <c r="F1729" i="23"/>
  <c r="F1728" i="23"/>
  <c r="F1727" i="23"/>
  <c r="F1726" i="23"/>
  <c r="F1725" i="23"/>
  <c r="F1724" i="23"/>
  <c r="F1723" i="23"/>
  <c r="F1722" i="23"/>
  <c r="F1721" i="23"/>
  <c r="F1720" i="23"/>
  <c r="F1719" i="23"/>
  <c r="F1718" i="23"/>
  <c r="F1717" i="23"/>
  <c r="F1716" i="23"/>
  <c r="F1715" i="23"/>
  <c r="F1714" i="23"/>
  <c r="F1713" i="23"/>
  <c r="F1712" i="23"/>
  <c r="F1711" i="23"/>
  <c r="F1710" i="23"/>
  <c r="F1709" i="23"/>
  <c r="F1708" i="23"/>
  <c r="F1707" i="23"/>
  <c r="F1706" i="23"/>
  <c r="F1705" i="23"/>
  <c r="F1704" i="23"/>
  <c r="F1703" i="23"/>
  <c r="F1702" i="23"/>
  <c r="F1701" i="23"/>
  <c r="F1700" i="23"/>
  <c r="F1699" i="23"/>
  <c r="F1698" i="23"/>
  <c r="F1697" i="23"/>
  <c r="F1696" i="23"/>
  <c r="F1695" i="23"/>
  <c r="F1694" i="23"/>
  <c r="F1693" i="23"/>
  <c r="F1692" i="23"/>
  <c r="F1691" i="23"/>
  <c r="F1690" i="23"/>
  <c r="F1689" i="23"/>
  <c r="F1688" i="23"/>
  <c r="F1687" i="23"/>
  <c r="F1686" i="23"/>
  <c r="F1685" i="23"/>
  <c r="F1684" i="23"/>
  <c r="F1683" i="23"/>
  <c r="F1682" i="23"/>
  <c r="F1681" i="23"/>
  <c r="F1680" i="23"/>
  <c r="F1679" i="23"/>
  <c r="F1678" i="23"/>
  <c r="F1677" i="23"/>
  <c r="F1676" i="23"/>
  <c r="F1675" i="23"/>
  <c r="F1674" i="23"/>
  <c r="F1673" i="23"/>
  <c r="F1672" i="23"/>
  <c r="F1671" i="23"/>
  <c r="F1670" i="23"/>
  <c r="F1669" i="23"/>
  <c r="F1668" i="23"/>
  <c r="F1667" i="23"/>
  <c r="F1666" i="23"/>
  <c r="F1665" i="23"/>
  <c r="F1664" i="23"/>
  <c r="F1663" i="23"/>
  <c r="F1662" i="23"/>
  <c r="F1661" i="23"/>
  <c r="F1660" i="23"/>
  <c r="F1659" i="23"/>
  <c r="F1658" i="23"/>
  <c r="F1657" i="23"/>
  <c r="F1656" i="23"/>
  <c r="F1655" i="23"/>
  <c r="F1654" i="23"/>
  <c r="F1653" i="23"/>
  <c r="F1652" i="23"/>
  <c r="F1651" i="23"/>
  <c r="F1650" i="23"/>
  <c r="F1649" i="23"/>
  <c r="F1648" i="23"/>
  <c r="F1647" i="23"/>
  <c r="F1646" i="23"/>
  <c r="F1645" i="23"/>
  <c r="F1644" i="23"/>
  <c r="F1643" i="23"/>
  <c r="F1642" i="23"/>
  <c r="F1641" i="23"/>
  <c r="F1640" i="23"/>
  <c r="F1639" i="23"/>
  <c r="F1638" i="23"/>
  <c r="F1637" i="23"/>
  <c r="F1636" i="23"/>
  <c r="F1635" i="23"/>
  <c r="F1634" i="23"/>
  <c r="F1633" i="23"/>
  <c r="F1632" i="23"/>
  <c r="F1631" i="23"/>
  <c r="F1630" i="23"/>
  <c r="F1629" i="23"/>
  <c r="F1628" i="23"/>
  <c r="F1627" i="23"/>
  <c r="F1626" i="23"/>
  <c r="F1625" i="23"/>
  <c r="F1624" i="23"/>
  <c r="F1623" i="23"/>
  <c r="F1622" i="23"/>
  <c r="F1621" i="23"/>
  <c r="F1620" i="23"/>
  <c r="F1619" i="23"/>
  <c r="F1618" i="23"/>
  <c r="F1617" i="23"/>
  <c r="F1616" i="23"/>
  <c r="F1615" i="23"/>
  <c r="F1614" i="23"/>
  <c r="F1613" i="23"/>
  <c r="F1612" i="23"/>
  <c r="F1611" i="23"/>
  <c r="F1610" i="23"/>
  <c r="F1609" i="23"/>
  <c r="F1608" i="23"/>
  <c r="F1607" i="23"/>
  <c r="F1606" i="23"/>
  <c r="F1605" i="23"/>
  <c r="F1604" i="23"/>
  <c r="F1603" i="23"/>
  <c r="F1602" i="23"/>
  <c r="F1601" i="23"/>
  <c r="F1600" i="23"/>
  <c r="F1599" i="23"/>
  <c r="F1598" i="23"/>
  <c r="F1597" i="23"/>
  <c r="F1596" i="23"/>
  <c r="F1595" i="23"/>
  <c r="F1594" i="23"/>
  <c r="F1593" i="23"/>
  <c r="F1592" i="23"/>
  <c r="F1591" i="23"/>
  <c r="F1590" i="23"/>
  <c r="F1589" i="23"/>
  <c r="F1588" i="23"/>
  <c r="F1587" i="23"/>
  <c r="F1586" i="23"/>
  <c r="F1585" i="23"/>
  <c r="F1584" i="23"/>
  <c r="F1583" i="23"/>
  <c r="F1582" i="23"/>
  <c r="F1581" i="23"/>
  <c r="F1580" i="23"/>
  <c r="F1579" i="23"/>
  <c r="F1578" i="23"/>
  <c r="F1577" i="23"/>
  <c r="F1576" i="23"/>
  <c r="F1575" i="23"/>
  <c r="F1574" i="23"/>
  <c r="F1573" i="23"/>
  <c r="F1572" i="23"/>
  <c r="F1571" i="23"/>
  <c r="F1570" i="23"/>
  <c r="F1569" i="23"/>
  <c r="F1568" i="23"/>
  <c r="F1567" i="23"/>
  <c r="F1566" i="23"/>
  <c r="F1565" i="23"/>
  <c r="F1564" i="23"/>
  <c r="F1563" i="23"/>
  <c r="F1562" i="23"/>
  <c r="F1561" i="23"/>
  <c r="F1560" i="23"/>
  <c r="F1559" i="23"/>
  <c r="F1558" i="23"/>
  <c r="F1557" i="23"/>
  <c r="F1556" i="23"/>
  <c r="F1555" i="23"/>
  <c r="F1554" i="23"/>
  <c r="F1553" i="23"/>
  <c r="F1552" i="23"/>
  <c r="F1551" i="23"/>
  <c r="F1550" i="23"/>
  <c r="F1549" i="23"/>
  <c r="F1548" i="23"/>
  <c r="F1547" i="23"/>
  <c r="F1546" i="23"/>
  <c r="F1545" i="23"/>
  <c r="F1544" i="23"/>
  <c r="F1543" i="23"/>
  <c r="F1542" i="23"/>
  <c r="F1541" i="23"/>
  <c r="F1540" i="23"/>
  <c r="F1539" i="23"/>
  <c r="F1538" i="23"/>
  <c r="F1537" i="23"/>
  <c r="F1536" i="23"/>
  <c r="F1535" i="23"/>
  <c r="F1534" i="23"/>
  <c r="F1533" i="23"/>
  <c r="F1532" i="23"/>
  <c r="F1531" i="23"/>
  <c r="F1530" i="23"/>
  <c r="F1529" i="23"/>
  <c r="F1528" i="23"/>
  <c r="F1527" i="23"/>
  <c r="F1526" i="23"/>
  <c r="F1525" i="23"/>
  <c r="F1524" i="23"/>
  <c r="F1523" i="23"/>
  <c r="F1522" i="23"/>
  <c r="F1521" i="23"/>
  <c r="F1520" i="23"/>
  <c r="F1519" i="23"/>
  <c r="F1518" i="23"/>
  <c r="F1517" i="23"/>
  <c r="F1516" i="23"/>
  <c r="F1515" i="23"/>
  <c r="F1514" i="23"/>
  <c r="F1513" i="23"/>
  <c r="F1512" i="23"/>
  <c r="F1511" i="23"/>
  <c r="F1510" i="23"/>
  <c r="F1509" i="23"/>
  <c r="F1508" i="23"/>
  <c r="F1507" i="23"/>
  <c r="F1506" i="23"/>
  <c r="F1505" i="23"/>
  <c r="F1504" i="23"/>
  <c r="F1503" i="23"/>
  <c r="F1502" i="23"/>
  <c r="F1501" i="23"/>
  <c r="F1500" i="23"/>
  <c r="F1499" i="23"/>
  <c r="F1498" i="23"/>
  <c r="F1497" i="23"/>
  <c r="F1496" i="23"/>
  <c r="F1495" i="23"/>
  <c r="F1494" i="23"/>
  <c r="F1493" i="23"/>
  <c r="F1492" i="23"/>
  <c r="F1491" i="23"/>
  <c r="F1490" i="23"/>
  <c r="F1489" i="23"/>
  <c r="F1488" i="23"/>
  <c r="F1487" i="23"/>
  <c r="F1486" i="23"/>
  <c r="F1485" i="23"/>
  <c r="F1484" i="23"/>
  <c r="F1483" i="23"/>
  <c r="F1482" i="23"/>
  <c r="F1481" i="23"/>
  <c r="F1480" i="23"/>
  <c r="F1479" i="23"/>
  <c r="F1478" i="23"/>
  <c r="F1477" i="23"/>
  <c r="F1476" i="23"/>
  <c r="F1475" i="23"/>
  <c r="F1474" i="23"/>
  <c r="F1473" i="23"/>
  <c r="F1472" i="23"/>
  <c r="F1471" i="23"/>
  <c r="F1470" i="23"/>
  <c r="F1469" i="23"/>
  <c r="F1468" i="23"/>
  <c r="F1467" i="23"/>
  <c r="F1466" i="23"/>
  <c r="F1465" i="23"/>
  <c r="F1464" i="23"/>
  <c r="F1463" i="23"/>
  <c r="F1462" i="23"/>
  <c r="F1461" i="23"/>
  <c r="F1460" i="23"/>
  <c r="F1459" i="23"/>
  <c r="F1458" i="23"/>
  <c r="F1457" i="23"/>
  <c r="F1456" i="23"/>
  <c r="F1455" i="23"/>
  <c r="F1454" i="23"/>
  <c r="F1453" i="23"/>
  <c r="F1452" i="23"/>
  <c r="F1451" i="23"/>
  <c r="F1450" i="23"/>
  <c r="F1449" i="23"/>
  <c r="F1448" i="23"/>
  <c r="F1447" i="23"/>
  <c r="F1446" i="23"/>
  <c r="F1445" i="23"/>
  <c r="F1444" i="23"/>
  <c r="F1443" i="23"/>
  <c r="F1442" i="23"/>
  <c r="F1441" i="23"/>
  <c r="F1440" i="23"/>
  <c r="F1439" i="23"/>
  <c r="F1438" i="23"/>
  <c r="F1437" i="23"/>
  <c r="F1436" i="23"/>
  <c r="F1435" i="23"/>
  <c r="F1434" i="23"/>
  <c r="F1433" i="23"/>
  <c r="F1432" i="23"/>
  <c r="F1431" i="23"/>
  <c r="F1430" i="23"/>
  <c r="F1429" i="23"/>
  <c r="F1428" i="23"/>
  <c r="F1427" i="23"/>
  <c r="F1426" i="23"/>
  <c r="F1425" i="23"/>
  <c r="F1424" i="23"/>
  <c r="F1423" i="23"/>
  <c r="F1422" i="23"/>
  <c r="F1421" i="23"/>
  <c r="F1420" i="23"/>
  <c r="F1419" i="23"/>
  <c r="F1418" i="23"/>
  <c r="F1417" i="23"/>
  <c r="F1416" i="23"/>
  <c r="F1415" i="23"/>
  <c r="F1414" i="23"/>
  <c r="F1413" i="23"/>
  <c r="F1412" i="23"/>
  <c r="F1411" i="23"/>
  <c r="F1410" i="23"/>
  <c r="F1409" i="23"/>
  <c r="F1408" i="23"/>
  <c r="F1407" i="23"/>
  <c r="F1406" i="23"/>
  <c r="F1405" i="23"/>
  <c r="F1404" i="23"/>
  <c r="F1403" i="23"/>
  <c r="F1402" i="23"/>
  <c r="F1401" i="23"/>
  <c r="F1400" i="23"/>
  <c r="F1399" i="23"/>
  <c r="F1398" i="23"/>
  <c r="F1397" i="23"/>
  <c r="F1396" i="23"/>
  <c r="F1395" i="23"/>
  <c r="F1394" i="23"/>
  <c r="F1393" i="23"/>
  <c r="F1392" i="23"/>
  <c r="F1391" i="23"/>
  <c r="F1390" i="23"/>
  <c r="F1389" i="23"/>
  <c r="F1388" i="23"/>
  <c r="F1387" i="23"/>
  <c r="F1386" i="23"/>
  <c r="F1385" i="23"/>
  <c r="F1384" i="23"/>
  <c r="F1383" i="23"/>
  <c r="F1382" i="23"/>
  <c r="F1381" i="23"/>
  <c r="F1380" i="23"/>
  <c r="F1379" i="23"/>
  <c r="F1378" i="23"/>
  <c r="F1377" i="23"/>
  <c r="F1376" i="23"/>
  <c r="F1375" i="23"/>
  <c r="F1374" i="23"/>
  <c r="F1373" i="23"/>
  <c r="F1372" i="23"/>
  <c r="F1371" i="23"/>
  <c r="F1370" i="23"/>
  <c r="F1369" i="23"/>
  <c r="F1368" i="23"/>
  <c r="F1367" i="23"/>
  <c r="F1366" i="23"/>
  <c r="F1365" i="23"/>
  <c r="F1364" i="23"/>
  <c r="F1363" i="23"/>
  <c r="F1362" i="23"/>
  <c r="F1361" i="23"/>
  <c r="F1360" i="23"/>
  <c r="F1359" i="23"/>
  <c r="F1358" i="23"/>
  <c r="F1357" i="23"/>
  <c r="F1356" i="23"/>
  <c r="F1355" i="23"/>
  <c r="F1354" i="23"/>
  <c r="F1353" i="23"/>
  <c r="F1352" i="23"/>
  <c r="F1351" i="23"/>
  <c r="F1350" i="23"/>
  <c r="F1349" i="23"/>
  <c r="F1348" i="23"/>
  <c r="F1347" i="23"/>
  <c r="F1346" i="23"/>
  <c r="F1345" i="23"/>
  <c r="F1344" i="23"/>
  <c r="F1343" i="23"/>
  <c r="F1342" i="23"/>
  <c r="F1341" i="23"/>
  <c r="F1340" i="23"/>
  <c r="F1339" i="23"/>
  <c r="F1338" i="23"/>
  <c r="F1337" i="23"/>
  <c r="F1336" i="23"/>
  <c r="F1335" i="23"/>
  <c r="F1334" i="23"/>
  <c r="F1333" i="23"/>
  <c r="F1332" i="23"/>
  <c r="F1331" i="23"/>
  <c r="F1330" i="23"/>
  <c r="F1329" i="23"/>
  <c r="F1328" i="23"/>
  <c r="F1327" i="23"/>
  <c r="F1326" i="23"/>
  <c r="F1325" i="23"/>
  <c r="F1324" i="23"/>
  <c r="F1323" i="23"/>
  <c r="F1322" i="23"/>
  <c r="F1321" i="23"/>
  <c r="F1320" i="23"/>
  <c r="F1319" i="23"/>
  <c r="F1318" i="23"/>
  <c r="F1317" i="23"/>
  <c r="F1316" i="23"/>
  <c r="F1315" i="23"/>
  <c r="F1314" i="23"/>
  <c r="F1313" i="23"/>
  <c r="F1312" i="23"/>
  <c r="F1311" i="23"/>
  <c r="F1310" i="23"/>
  <c r="F1309" i="23"/>
  <c r="F1308" i="23"/>
  <c r="F1307" i="23"/>
  <c r="F1306" i="23"/>
  <c r="F1305" i="23"/>
  <c r="F1304" i="23"/>
  <c r="F1303" i="23"/>
  <c r="F1302" i="23"/>
  <c r="F1301" i="23"/>
  <c r="F1300" i="23"/>
  <c r="F1299" i="23"/>
  <c r="F1298" i="23"/>
  <c r="F1297" i="23"/>
  <c r="F1296" i="23"/>
  <c r="F1295" i="23"/>
  <c r="F1294" i="23"/>
  <c r="F1293" i="23"/>
  <c r="F1292" i="23"/>
  <c r="F1291" i="23"/>
  <c r="F1290" i="23"/>
  <c r="F1289" i="23"/>
  <c r="F1288" i="23"/>
  <c r="F1287" i="23"/>
  <c r="F1286" i="23"/>
  <c r="F1285" i="23"/>
  <c r="F1284" i="23"/>
  <c r="F1283" i="23"/>
  <c r="F1282" i="23"/>
  <c r="F1281" i="23"/>
  <c r="F1280" i="23"/>
  <c r="F1279" i="23"/>
  <c r="F1278" i="23"/>
  <c r="F1277" i="23"/>
  <c r="F1276" i="23"/>
  <c r="F1275" i="23"/>
  <c r="F1274" i="23"/>
  <c r="F1273" i="23"/>
  <c r="F1272" i="23"/>
  <c r="F1271" i="23"/>
  <c r="F1270" i="23"/>
  <c r="F1269" i="23"/>
  <c r="F1268" i="23"/>
  <c r="F1267" i="23"/>
  <c r="F1266" i="23"/>
  <c r="F1265" i="23"/>
  <c r="F1264" i="23"/>
  <c r="F1263" i="23"/>
  <c r="F1262" i="23"/>
  <c r="F1261" i="23"/>
  <c r="F1260" i="23"/>
  <c r="F1259" i="23"/>
  <c r="F1258" i="23"/>
  <c r="F1257" i="23"/>
  <c r="F1256" i="23"/>
  <c r="F1255" i="23"/>
  <c r="F1254" i="23"/>
  <c r="F1253" i="23"/>
  <c r="F1252" i="23"/>
  <c r="F1251" i="23"/>
  <c r="F1250" i="23"/>
  <c r="F1249" i="23"/>
  <c r="F1248" i="23"/>
  <c r="F1247" i="23"/>
  <c r="F1246" i="23"/>
  <c r="F1245" i="23"/>
  <c r="F1244" i="23"/>
  <c r="F1243" i="23"/>
  <c r="F1242" i="23"/>
  <c r="F1241" i="23"/>
  <c r="F1240" i="23"/>
  <c r="F1239" i="23"/>
  <c r="F1238" i="23"/>
  <c r="F1237" i="23"/>
  <c r="F1236" i="23"/>
  <c r="F1235" i="23"/>
  <c r="F1234" i="23"/>
  <c r="F1233" i="23"/>
  <c r="F1232" i="23"/>
  <c r="F1231" i="23"/>
  <c r="F1230" i="23"/>
  <c r="F1229" i="23"/>
  <c r="F1228" i="23"/>
  <c r="F1227" i="23"/>
  <c r="F1226" i="23"/>
  <c r="F1225" i="23"/>
  <c r="F1224" i="23"/>
  <c r="F1223" i="23"/>
  <c r="F1222" i="23"/>
  <c r="F1221" i="23"/>
  <c r="F1220" i="23"/>
  <c r="E1220" i="23"/>
  <c r="D1220" i="23"/>
  <c r="F1219" i="23"/>
  <c r="F1218" i="23"/>
  <c r="F1217" i="23"/>
  <c r="F1216" i="23"/>
  <c r="F1215" i="23"/>
  <c r="F1214" i="23"/>
  <c r="F1213" i="23"/>
  <c r="F1212" i="23"/>
  <c r="F1211" i="23"/>
  <c r="F1210" i="23"/>
  <c r="F1209" i="23"/>
  <c r="F1208" i="23"/>
  <c r="F1207" i="23"/>
  <c r="F1206" i="23"/>
  <c r="F1205" i="23"/>
  <c r="F1204" i="23"/>
  <c r="F1203" i="23"/>
  <c r="F1202" i="23"/>
  <c r="F1201" i="23"/>
  <c r="F1200" i="23"/>
  <c r="F1199" i="23"/>
  <c r="F1198" i="23"/>
  <c r="F1197" i="23"/>
  <c r="F1196" i="23"/>
  <c r="F1195" i="23"/>
  <c r="F1194" i="23"/>
  <c r="F1193" i="23"/>
  <c r="F1191" i="23"/>
  <c r="F1190" i="23"/>
  <c r="F1189" i="23"/>
  <c r="F1188" i="23"/>
  <c r="F1187" i="23"/>
  <c r="F1186" i="23"/>
  <c r="F1185" i="23"/>
  <c r="F1184" i="23"/>
  <c r="F1183" i="23"/>
  <c r="F1182" i="23"/>
  <c r="F1181" i="23"/>
  <c r="F1180" i="23"/>
  <c r="F1179" i="23"/>
  <c r="F1178" i="23"/>
  <c r="F1177" i="23"/>
  <c r="F1176" i="23"/>
  <c r="F1175" i="23"/>
  <c r="F1174" i="23"/>
  <c r="F1173" i="23"/>
  <c r="F1172" i="23"/>
  <c r="F1171" i="23"/>
  <c r="F1170" i="23"/>
  <c r="F1169" i="23"/>
  <c r="F1168" i="23"/>
  <c r="F1167" i="23"/>
  <c r="F1166" i="23"/>
  <c r="F1165" i="23"/>
  <c r="F1164" i="23"/>
  <c r="F1163" i="23"/>
  <c r="F1162" i="23"/>
  <c r="F1161" i="23"/>
  <c r="F1160" i="23"/>
  <c r="F1159" i="23"/>
  <c r="F1158" i="23"/>
  <c r="F1157" i="23"/>
  <c r="F1156" i="23"/>
  <c r="F1155" i="23"/>
  <c r="F1154" i="23"/>
  <c r="F1153" i="23"/>
  <c r="F1152" i="23"/>
  <c r="F1151" i="23"/>
  <c r="F1150" i="23"/>
  <c r="F1149" i="23"/>
  <c r="F1148" i="23"/>
  <c r="F1147" i="23"/>
  <c r="F1146" i="23"/>
  <c r="F1145" i="23"/>
  <c r="F1144" i="23"/>
  <c r="F1143" i="23"/>
  <c r="F1142" i="23"/>
  <c r="F1141" i="23"/>
  <c r="F1140" i="23"/>
  <c r="F1139" i="23"/>
  <c r="F1138" i="23"/>
  <c r="F1137" i="23"/>
  <c r="F1136" i="23"/>
  <c r="F1135" i="23"/>
  <c r="F1134" i="23"/>
  <c r="F1133" i="23"/>
  <c r="F1132" i="23"/>
  <c r="F1131" i="23"/>
  <c r="F1130" i="23"/>
  <c r="F1129" i="23"/>
  <c r="F1128" i="23"/>
  <c r="F1127" i="23"/>
  <c r="F1126" i="23"/>
  <c r="F1125" i="23"/>
  <c r="F1124" i="23"/>
  <c r="F1123" i="23"/>
  <c r="F1122" i="23"/>
  <c r="F1121" i="23"/>
  <c r="F1120" i="23"/>
  <c r="F1119" i="23"/>
  <c r="F1118" i="23"/>
  <c r="F1117" i="23"/>
  <c r="F1116" i="23"/>
  <c r="F1115" i="23"/>
  <c r="F1114" i="23"/>
  <c r="F1113" i="23"/>
  <c r="F1112" i="23"/>
  <c r="F1111" i="23"/>
  <c r="F1110" i="23"/>
  <c r="F1109" i="23"/>
  <c r="F1108" i="23"/>
  <c r="F1107" i="23"/>
  <c r="F1106" i="23"/>
  <c r="F1105" i="23"/>
  <c r="F1104" i="23"/>
  <c r="F1103" i="23"/>
  <c r="F1102" i="23"/>
  <c r="F1101" i="23"/>
  <c r="F1100" i="23"/>
  <c r="F1099" i="23"/>
  <c r="F1098" i="23"/>
  <c r="F1097" i="23"/>
  <c r="F1096" i="23"/>
  <c r="F1095" i="23"/>
  <c r="F1094" i="23"/>
  <c r="F1093" i="23"/>
  <c r="F1092" i="23"/>
  <c r="F1091" i="23"/>
  <c r="F1090" i="23"/>
  <c r="F1089" i="23"/>
  <c r="F1088" i="23"/>
  <c r="F1087" i="23"/>
  <c r="F1086" i="23"/>
  <c r="F1085" i="23"/>
  <c r="F1084" i="23"/>
  <c r="F1083" i="23"/>
  <c r="F1082" i="23"/>
  <c r="F1081" i="23"/>
  <c r="F1080" i="23"/>
  <c r="F1079" i="23"/>
  <c r="F1078" i="23"/>
  <c r="F1077" i="23"/>
  <c r="F1076" i="23"/>
  <c r="F1075" i="23"/>
  <c r="F1074" i="23"/>
  <c r="F1073" i="23"/>
  <c r="F1072" i="23"/>
  <c r="F1071" i="23"/>
  <c r="F1070" i="23"/>
  <c r="F1069" i="23"/>
  <c r="F1068" i="23"/>
  <c r="F1067" i="23"/>
  <c r="F1066" i="23"/>
  <c r="F1065" i="23"/>
  <c r="F1064" i="23"/>
  <c r="F1063" i="23"/>
  <c r="F1062" i="23"/>
  <c r="F1061" i="23"/>
  <c r="F1060" i="23"/>
  <c r="F1059" i="23"/>
  <c r="F1058" i="23"/>
  <c r="F1057" i="23"/>
  <c r="F1056" i="23"/>
  <c r="F1055" i="23"/>
  <c r="F1054" i="23"/>
  <c r="F1053" i="23"/>
  <c r="F1052" i="23"/>
  <c r="F1051" i="23"/>
  <c r="F1050" i="23"/>
  <c r="F1049" i="23"/>
  <c r="F1048" i="23"/>
  <c r="F1047" i="23"/>
  <c r="F1046" i="23"/>
  <c r="F1045" i="23"/>
  <c r="F1044" i="23"/>
  <c r="F1043" i="23"/>
  <c r="F1042" i="23"/>
  <c r="F1041" i="23"/>
  <c r="F1040" i="23"/>
  <c r="F1039" i="23"/>
  <c r="F1038" i="23"/>
  <c r="F1037" i="23"/>
  <c r="F1036" i="23"/>
  <c r="F1035" i="23"/>
  <c r="F1034" i="23"/>
  <c r="F1033" i="23"/>
  <c r="F1032" i="23"/>
  <c r="F1031" i="23"/>
  <c r="F1030" i="23"/>
  <c r="F1029" i="23"/>
  <c r="F1028" i="23"/>
  <c r="F1027" i="23"/>
  <c r="F1026" i="23"/>
  <c r="F1025" i="23"/>
  <c r="F1024" i="23"/>
  <c r="F1023" i="23"/>
  <c r="F1022" i="23"/>
  <c r="F1021" i="23"/>
  <c r="F1020" i="23"/>
  <c r="F1019" i="23"/>
  <c r="F1018" i="23"/>
  <c r="F1017" i="23"/>
  <c r="F1016" i="23"/>
  <c r="F1015" i="23"/>
  <c r="F1014" i="23"/>
  <c r="F1013" i="23"/>
  <c r="F1012" i="23"/>
  <c r="F1011" i="23"/>
  <c r="F1010" i="23"/>
  <c r="F1009" i="23"/>
  <c r="F1008" i="23"/>
  <c r="F1007" i="23"/>
  <c r="F1006" i="23"/>
  <c r="F1005" i="23"/>
  <c r="F1004" i="23"/>
  <c r="F1003" i="23"/>
  <c r="F1002" i="23"/>
  <c r="F1001" i="23"/>
  <c r="F1000" i="23"/>
  <c r="F999" i="23"/>
  <c r="F998" i="23"/>
  <c r="F997" i="23"/>
  <c r="F996" i="23"/>
  <c r="F995" i="23"/>
  <c r="F994" i="23"/>
  <c r="F993" i="23"/>
  <c r="F992" i="23"/>
  <c r="F991" i="23"/>
  <c r="F990" i="23"/>
  <c r="F989" i="23"/>
  <c r="F988" i="23"/>
  <c r="F987" i="23"/>
  <c r="F986" i="23"/>
  <c r="F985" i="23"/>
  <c r="F984" i="23"/>
  <c r="F983" i="23"/>
  <c r="F982" i="23"/>
  <c r="F981" i="23"/>
  <c r="F980" i="23"/>
  <c r="F979" i="23"/>
  <c r="F978" i="23"/>
  <c r="F977" i="23"/>
  <c r="F976" i="23"/>
  <c r="F975" i="23"/>
  <c r="F974" i="23"/>
  <c r="F973" i="23"/>
  <c r="F972" i="23"/>
  <c r="F971" i="23"/>
  <c r="F970" i="23"/>
  <c r="F969" i="23"/>
  <c r="F968" i="23"/>
  <c r="F967" i="23"/>
  <c r="F966" i="23"/>
  <c r="F965" i="23"/>
  <c r="F964" i="23"/>
  <c r="F963" i="23"/>
  <c r="F962" i="23"/>
  <c r="F961" i="23"/>
  <c r="F960" i="23"/>
  <c r="F959" i="23"/>
  <c r="F958" i="23"/>
  <c r="F957" i="23"/>
  <c r="F956" i="23"/>
  <c r="F955" i="23"/>
  <c r="F954" i="23"/>
  <c r="F953" i="23"/>
  <c r="F952" i="23"/>
  <c r="F951" i="23"/>
  <c r="F950" i="23"/>
  <c r="F949" i="23"/>
  <c r="F948" i="23"/>
  <c r="F947" i="23"/>
  <c r="F946" i="23"/>
  <c r="F945" i="23"/>
  <c r="F944" i="23"/>
  <c r="F943" i="23"/>
  <c r="F942" i="23"/>
  <c r="F941" i="23"/>
  <c r="F940" i="23"/>
  <c r="F939" i="23"/>
  <c r="F938" i="23"/>
  <c r="F937" i="23"/>
  <c r="F936" i="23"/>
  <c r="F935" i="23"/>
  <c r="F934" i="23"/>
  <c r="F933" i="23"/>
  <c r="F932" i="23"/>
  <c r="F931" i="23"/>
  <c r="F930" i="23"/>
  <c r="F929" i="23"/>
  <c r="F928" i="23"/>
  <c r="F927" i="23"/>
  <c r="F926" i="23"/>
  <c r="F925" i="23"/>
  <c r="F924" i="23"/>
  <c r="F923" i="23"/>
  <c r="F922" i="23"/>
  <c r="F921" i="23"/>
  <c r="F920" i="23"/>
  <c r="F919" i="23"/>
  <c r="F918" i="23"/>
  <c r="F917" i="23"/>
  <c r="F916" i="23"/>
  <c r="F915" i="23"/>
  <c r="F914" i="23"/>
  <c r="F913" i="23"/>
  <c r="F912" i="23"/>
  <c r="F911" i="23"/>
  <c r="F910" i="23"/>
  <c r="F909" i="23"/>
  <c r="F908" i="23"/>
  <c r="F907" i="23"/>
  <c r="F906" i="23"/>
  <c r="F905" i="23"/>
  <c r="F904" i="23"/>
  <c r="F903" i="23"/>
  <c r="F902" i="23"/>
  <c r="F901" i="23"/>
  <c r="F900" i="23"/>
  <c r="F899" i="23"/>
  <c r="F898" i="23"/>
  <c r="F897" i="23"/>
  <c r="F896" i="23"/>
  <c r="F895" i="23"/>
  <c r="F894" i="23"/>
  <c r="F893" i="23"/>
  <c r="F892" i="23"/>
  <c r="F891" i="23"/>
  <c r="F890" i="23"/>
  <c r="F889" i="23"/>
  <c r="F888" i="23"/>
  <c r="F887" i="23"/>
  <c r="F886" i="23"/>
  <c r="F885" i="23"/>
  <c r="F884" i="23"/>
  <c r="F883" i="23"/>
  <c r="F882" i="23"/>
  <c r="F881" i="23"/>
  <c r="F880" i="23"/>
  <c r="F879" i="23"/>
  <c r="F878" i="23"/>
  <c r="F877" i="23"/>
  <c r="F876" i="23"/>
  <c r="F875" i="23"/>
  <c r="F874" i="23"/>
  <c r="F873" i="23"/>
  <c r="F872" i="23"/>
  <c r="F871" i="23"/>
  <c r="F870" i="23"/>
  <c r="F869" i="23"/>
  <c r="F868" i="23"/>
  <c r="F867" i="23"/>
  <c r="F866" i="23"/>
  <c r="F865" i="23"/>
  <c r="F864" i="23"/>
  <c r="F863" i="23"/>
  <c r="F862" i="23"/>
  <c r="F861" i="23"/>
  <c r="F860" i="23"/>
  <c r="F859" i="23"/>
  <c r="F858" i="23"/>
  <c r="F857" i="23"/>
  <c r="F856" i="23"/>
  <c r="F855" i="23"/>
  <c r="F854" i="23"/>
  <c r="F853" i="23"/>
  <c r="F852" i="23"/>
  <c r="F851" i="23"/>
  <c r="F850" i="23"/>
  <c r="F849" i="23"/>
  <c r="F848" i="23"/>
  <c r="F847" i="23"/>
  <c r="F846" i="23"/>
  <c r="F845" i="23"/>
  <c r="F844" i="23"/>
  <c r="F843" i="23"/>
  <c r="F842" i="23"/>
  <c r="F841" i="23"/>
  <c r="F840" i="23"/>
  <c r="F839" i="23"/>
  <c r="F838" i="23"/>
  <c r="F837" i="23"/>
  <c r="F836" i="23"/>
  <c r="F835" i="23"/>
  <c r="F834" i="23"/>
  <c r="F833" i="23"/>
  <c r="F832" i="23"/>
  <c r="F831" i="23"/>
  <c r="F830" i="23"/>
  <c r="F829" i="23"/>
  <c r="F828" i="23"/>
  <c r="F827" i="23"/>
  <c r="F826" i="23"/>
  <c r="F825" i="23"/>
  <c r="F824" i="23"/>
  <c r="F823" i="23"/>
  <c r="F822" i="23"/>
  <c r="F821" i="23"/>
  <c r="F820" i="23"/>
  <c r="F819" i="23"/>
  <c r="F818" i="23"/>
  <c r="F817" i="23"/>
  <c r="F816" i="23"/>
  <c r="F815" i="23"/>
  <c r="F814" i="23"/>
  <c r="F813" i="23"/>
  <c r="F812" i="23"/>
  <c r="F811" i="23"/>
  <c r="F810" i="23"/>
  <c r="F809" i="23"/>
  <c r="F808" i="23"/>
  <c r="F807" i="23"/>
  <c r="F806" i="23"/>
  <c r="F805" i="23"/>
  <c r="F804" i="23"/>
  <c r="F803" i="23"/>
  <c r="F802" i="23"/>
  <c r="F801" i="23"/>
  <c r="F800" i="23"/>
  <c r="F799" i="23"/>
  <c r="F798" i="23"/>
  <c r="F797" i="23"/>
  <c r="F796" i="23"/>
  <c r="F795" i="23"/>
  <c r="F794" i="23"/>
  <c r="F793" i="23"/>
  <c r="F792" i="23"/>
  <c r="F791" i="23"/>
  <c r="F790" i="23"/>
  <c r="F789" i="23"/>
  <c r="F788" i="23"/>
  <c r="F787" i="23"/>
  <c r="F786" i="23"/>
  <c r="F785" i="23"/>
  <c r="F784" i="23"/>
  <c r="F783" i="23"/>
  <c r="F782" i="23"/>
  <c r="F781" i="23"/>
  <c r="F780" i="23"/>
  <c r="F779" i="23"/>
  <c r="F778" i="23"/>
  <c r="F777" i="23"/>
  <c r="F776" i="23"/>
  <c r="F775" i="23"/>
  <c r="F774" i="23"/>
  <c r="F773" i="23"/>
  <c r="F772" i="23"/>
  <c r="F771" i="23"/>
  <c r="F770" i="23"/>
  <c r="F769" i="23"/>
  <c r="F768" i="23"/>
  <c r="F767" i="23"/>
  <c r="F766" i="23"/>
  <c r="F765" i="23"/>
  <c r="F764" i="23"/>
  <c r="F763" i="23"/>
  <c r="F762" i="23"/>
  <c r="F761" i="23"/>
  <c r="F760" i="23"/>
  <c r="F759" i="23"/>
  <c r="F758" i="23"/>
  <c r="F757" i="23"/>
  <c r="F756" i="23"/>
  <c r="F755" i="23"/>
  <c r="F754" i="23"/>
  <c r="F753" i="23"/>
  <c r="F752" i="23"/>
  <c r="F751" i="23"/>
  <c r="F750" i="23"/>
  <c r="F749" i="23"/>
  <c r="F748" i="23"/>
  <c r="F747" i="23"/>
  <c r="F746" i="23"/>
  <c r="F745" i="23"/>
  <c r="F744" i="23"/>
  <c r="F743" i="23"/>
  <c r="F742" i="23"/>
  <c r="F741" i="23"/>
  <c r="F740" i="23"/>
  <c r="F739" i="23"/>
  <c r="F738" i="23"/>
  <c r="F737" i="23"/>
  <c r="F736" i="23"/>
  <c r="F735" i="23"/>
  <c r="F734" i="23"/>
  <c r="F733" i="23"/>
  <c r="F732" i="23"/>
  <c r="F731" i="23"/>
  <c r="F730" i="23"/>
  <c r="F729" i="23"/>
  <c r="F728" i="23"/>
  <c r="F727" i="23"/>
  <c r="F726" i="23"/>
  <c r="F725" i="23"/>
  <c r="F724" i="23"/>
  <c r="F723" i="23"/>
  <c r="F722" i="23"/>
  <c r="F721" i="23"/>
  <c r="F720" i="23"/>
  <c r="F719" i="23"/>
  <c r="F718" i="23"/>
  <c r="F717" i="23"/>
  <c r="F716" i="23"/>
  <c r="F715" i="23"/>
  <c r="F714" i="23"/>
  <c r="F713" i="23"/>
  <c r="F712" i="23"/>
  <c r="F711" i="23"/>
  <c r="F710" i="23"/>
  <c r="F709" i="23"/>
  <c r="F708" i="23"/>
  <c r="F707" i="23"/>
  <c r="F706" i="23"/>
  <c r="F705" i="23"/>
  <c r="F704" i="23"/>
  <c r="F703" i="23"/>
  <c r="F702" i="23"/>
  <c r="F701" i="23"/>
  <c r="F700" i="23"/>
  <c r="F699" i="23"/>
  <c r="F698" i="23"/>
  <c r="F697" i="23"/>
  <c r="F696" i="23"/>
  <c r="F695" i="23"/>
  <c r="F694" i="23"/>
  <c r="F693" i="23"/>
  <c r="F692" i="23"/>
  <c r="F691" i="23"/>
  <c r="F690" i="23"/>
  <c r="F689" i="23"/>
  <c r="F688" i="23"/>
  <c r="F687" i="23"/>
  <c r="F686" i="23"/>
  <c r="F685" i="23"/>
  <c r="F684" i="23"/>
  <c r="F683" i="23"/>
  <c r="F682" i="23"/>
  <c r="F681" i="23"/>
  <c r="F680" i="23"/>
  <c r="F679" i="23"/>
  <c r="F678" i="23"/>
  <c r="F677" i="23"/>
  <c r="F676" i="23"/>
  <c r="F675" i="23"/>
  <c r="F674" i="23"/>
  <c r="F673" i="23"/>
  <c r="F672" i="23"/>
  <c r="F671" i="23"/>
  <c r="F670" i="23"/>
  <c r="F669" i="23"/>
  <c r="F668" i="23"/>
  <c r="F667" i="23"/>
  <c r="F666" i="23"/>
  <c r="F665" i="23"/>
  <c r="F664" i="23"/>
  <c r="F663" i="23"/>
  <c r="F662" i="23"/>
  <c r="F661" i="23"/>
  <c r="F660" i="23"/>
  <c r="F659" i="23"/>
  <c r="F658" i="23"/>
  <c r="F657" i="23"/>
  <c r="F656" i="23"/>
  <c r="F655" i="23"/>
  <c r="F654" i="23"/>
  <c r="F653" i="23"/>
  <c r="F652" i="23"/>
  <c r="F651" i="23"/>
  <c r="F650" i="23"/>
  <c r="F649" i="23"/>
  <c r="F648" i="23"/>
  <c r="F647" i="23"/>
  <c r="F646" i="23"/>
  <c r="F645" i="23"/>
  <c r="F644" i="23"/>
  <c r="F643" i="23"/>
  <c r="F642" i="23"/>
  <c r="F641" i="23"/>
  <c r="F640" i="23"/>
  <c r="F639" i="23"/>
  <c r="F638" i="23"/>
  <c r="F637" i="23"/>
  <c r="F636" i="23"/>
  <c r="F635" i="23"/>
  <c r="F634" i="23"/>
  <c r="F633" i="23"/>
  <c r="F632" i="23"/>
  <c r="F631" i="23"/>
  <c r="F630" i="23"/>
  <c r="F629" i="23"/>
  <c r="F628" i="23"/>
  <c r="F627" i="23"/>
  <c r="F626" i="23"/>
  <c r="F625" i="23"/>
  <c r="F624" i="23"/>
  <c r="F623" i="23"/>
  <c r="F622" i="23"/>
  <c r="F621" i="23"/>
  <c r="F620" i="23"/>
  <c r="F619" i="23"/>
  <c r="F618" i="23"/>
  <c r="F617" i="23"/>
  <c r="F616" i="23"/>
  <c r="F615" i="23"/>
  <c r="F614" i="23"/>
  <c r="F613" i="23"/>
  <c r="F612" i="23"/>
  <c r="F611" i="23"/>
  <c r="F610" i="23"/>
  <c r="F609" i="23"/>
  <c r="F608" i="23"/>
  <c r="F607" i="23"/>
  <c r="F606" i="23"/>
  <c r="F605" i="23"/>
  <c r="F604" i="23"/>
  <c r="F603" i="23"/>
  <c r="F602" i="23"/>
  <c r="F601" i="23"/>
  <c r="F600" i="23"/>
  <c r="F599" i="23"/>
  <c r="F598" i="23"/>
  <c r="F597" i="23"/>
  <c r="F596" i="23"/>
  <c r="F595" i="23"/>
  <c r="F594" i="23"/>
  <c r="F593" i="23"/>
  <c r="F592" i="23"/>
  <c r="F591" i="23"/>
  <c r="F590" i="23"/>
  <c r="F589" i="23"/>
  <c r="F588" i="23"/>
  <c r="F587" i="23"/>
  <c r="F586" i="23"/>
  <c r="F585" i="23"/>
  <c r="F584" i="23"/>
  <c r="F583" i="23"/>
  <c r="F582" i="23"/>
  <c r="F581" i="23"/>
  <c r="F580" i="23"/>
  <c r="F579" i="23"/>
  <c r="F578" i="23"/>
  <c r="F577" i="23"/>
  <c r="F576" i="23"/>
  <c r="F575" i="23"/>
  <c r="F574" i="23"/>
  <c r="F573" i="23"/>
  <c r="F572" i="23"/>
  <c r="F571" i="23"/>
  <c r="F570" i="23"/>
  <c r="F569" i="23"/>
  <c r="F568" i="23"/>
  <c r="F567" i="23"/>
  <c r="F566" i="23"/>
  <c r="F565" i="23"/>
  <c r="F564" i="23"/>
  <c r="F563" i="23"/>
  <c r="F562" i="23"/>
  <c r="F561" i="23"/>
  <c r="F560" i="23"/>
  <c r="F559" i="23"/>
  <c r="F558" i="23"/>
  <c r="F557" i="23"/>
  <c r="F556" i="23"/>
  <c r="F555" i="23"/>
  <c r="F554" i="23"/>
  <c r="F553" i="23"/>
  <c r="F552" i="23"/>
  <c r="F551" i="23"/>
  <c r="F550" i="23"/>
  <c r="F549" i="23"/>
  <c r="F548" i="23"/>
  <c r="F547" i="23"/>
  <c r="F546" i="23"/>
  <c r="F545" i="23"/>
  <c r="F544" i="23"/>
  <c r="F543" i="23"/>
  <c r="F542" i="23"/>
  <c r="F541" i="23"/>
  <c r="F540" i="23"/>
  <c r="F539" i="23"/>
  <c r="F538" i="23"/>
  <c r="F537" i="23"/>
  <c r="F536" i="23"/>
  <c r="F535" i="23"/>
  <c r="F534" i="23"/>
  <c r="F533" i="23"/>
  <c r="F532" i="23"/>
  <c r="F531" i="23"/>
  <c r="F530" i="23"/>
  <c r="F529" i="23"/>
  <c r="F528" i="23"/>
  <c r="F527" i="23"/>
  <c r="F526" i="23"/>
  <c r="F525" i="23"/>
  <c r="F524" i="23"/>
  <c r="F523" i="23"/>
  <c r="F522" i="23"/>
  <c r="F521" i="23"/>
  <c r="F520" i="23"/>
  <c r="F519" i="23"/>
  <c r="F518" i="23"/>
  <c r="F517" i="23"/>
  <c r="F516" i="23"/>
  <c r="F515" i="23"/>
  <c r="F514" i="23"/>
  <c r="F513" i="23"/>
  <c r="F512" i="23"/>
  <c r="F511" i="23"/>
  <c r="F510" i="23"/>
  <c r="F509" i="23"/>
  <c r="F508" i="23"/>
  <c r="F507" i="23"/>
  <c r="F506" i="23"/>
  <c r="F505" i="23"/>
  <c r="F504" i="23"/>
  <c r="F503" i="23"/>
  <c r="F502" i="23"/>
  <c r="F501" i="23"/>
  <c r="F500" i="23"/>
  <c r="F499" i="23"/>
  <c r="F498" i="23"/>
  <c r="F497" i="23"/>
  <c r="F496" i="23"/>
  <c r="M495" i="23"/>
  <c r="F495" i="23"/>
  <c r="C495" i="23"/>
  <c r="F494" i="23"/>
  <c r="M493" i="23"/>
  <c r="F493" i="23"/>
  <c r="C493" i="23"/>
  <c r="B493" i="23"/>
  <c r="C492" i="23"/>
  <c r="M492" i="23" s="1"/>
  <c r="F492" i="23" s="1"/>
  <c r="C491" i="23"/>
  <c r="M491" i="23" s="1"/>
  <c r="F491" i="23" s="1"/>
  <c r="F490" i="23"/>
  <c r="C489" i="23"/>
  <c r="M488" i="23"/>
  <c r="F488" i="23" s="1"/>
  <c r="C488" i="23"/>
  <c r="N488" i="23" s="1"/>
  <c r="M487" i="23"/>
  <c r="F487" i="23"/>
  <c r="C487" i="23"/>
  <c r="N487" i="23" s="1"/>
  <c r="N486" i="23"/>
  <c r="M486" i="23"/>
  <c r="F486" i="23"/>
  <c r="C486" i="23"/>
  <c r="M485" i="23"/>
  <c r="F485" i="23"/>
  <c r="C485" i="23"/>
  <c r="N485" i="23" s="1"/>
  <c r="N484" i="23"/>
  <c r="M484" i="23"/>
  <c r="F484" i="23"/>
  <c r="C484" i="23"/>
  <c r="C483" i="23"/>
  <c r="N482" i="23"/>
  <c r="M482" i="23"/>
  <c r="F482" i="23"/>
  <c r="C482" i="23"/>
  <c r="M481" i="23"/>
  <c r="F481" i="23" s="1"/>
  <c r="C481" i="23"/>
  <c r="N481" i="23" s="1"/>
  <c r="N480" i="23"/>
  <c r="M480" i="23"/>
  <c r="C480" i="23"/>
  <c r="N479" i="23"/>
  <c r="M479" i="23"/>
  <c r="F479" i="23"/>
  <c r="C479" i="23"/>
  <c r="M478" i="23"/>
  <c r="F478" i="23" s="1"/>
  <c r="C478" i="23"/>
  <c r="N478" i="23" s="1"/>
  <c r="N477" i="23"/>
  <c r="M477" i="23"/>
  <c r="F477" i="23"/>
  <c r="C477" i="23"/>
  <c r="M476" i="23"/>
  <c r="F476" i="23" s="1"/>
  <c r="C476" i="23"/>
  <c r="N476" i="23" s="1"/>
  <c r="N475" i="23"/>
  <c r="M475" i="23"/>
  <c r="C475" i="23"/>
  <c r="N474" i="23"/>
  <c r="M474" i="23"/>
  <c r="F474" i="23" s="1"/>
  <c r="C474" i="23"/>
  <c r="F473" i="23"/>
  <c r="F472" i="23"/>
  <c r="C472" i="23"/>
  <c r="M472" i="23" s="1"/>
  <c r="C471" i="23"/>
  <c r="M471" i="23" s="1"/>
  <c r="F471" i="23" s="1"/>
  <c r="M470" i="23"/>
  <c r="F470" i="23"/>
  <c r="C470" i="23"/>
  <c r="F469" i="23"/>
  <c r="C468" i="23"/>
  <c r="N467" i="23"/>
  <c r="F467" i="23" s="1"/>
  <c r="M467" i="23"/>
  <c r="C467" i="23"/>
  <c r="N466" i="23"/>
  <c r="M466" i="23"/>
  <c r="F466" i="23" s="1"/>
  <c r="C466" i="23"/>
  <c r="N465" i="23"/>
  <c r="M465" i="23"/>
  <c r="F465" i="23"/>
  <c r="C465" i="23"/>
  <c r="N464" i="23"/>
  <c r="C464" i="23"/>
  <c r="M464" i="23" s="1"/>
  <c r="N463" i="23"/>
  <c r="M463" i="23"/>
  <c r="C463" i="23"/>
  <c r="M462" i="23"/>
  <c r="F462" i="23" s="1"/>
  <c r="C462" i="23"/>
  <c r="N462" i="23" s="1"/>
  <c r="C461" i="23"/>
  <c r="M460" i="23"/>
  <c r="F460" i="23" s="1"/>
  <c r="C460" i="23"/>
  <c r="N460" i="23" s="1"/>
  <c r="N459" i="23"/>
  <c r="F459" i="23" s="1"/>
  <c r="C459" i="23"/>
  <c r="M459" i="23" s="1"/>
  <c r="N458" i="23"/>
  <c r="F458" i="23" s="1"/>
  <c r="C458" i="23"/>
  <c r="M458" i="23" s="1"/>
  <c r="N457" i="23"/>
  <c r="F457" i="23"/>
  <c r="C457" i="23"/>
  <c r="M457" i="23" s="1"/>
  <c r="C456" i="23"/>
  <c r="C455" i="23"/>
  <c r="C454" i="23"/>
  <c r="C453" i="23"/>
  <c r="C452" i="23"/>
  <c r="N451" i="23"/>
  <c r="M451" i="23"/>
  <c r="F451" i="23" s="1"/>
  <c r="C451" i="23"/>
  <c r="C450" i="23"/>
  <c r="F449" i="23"/>
  <c r="M448" i="23"/>
  <c r="F448" i="23" s="1"/>
  <c r="C448" i="23"/>
  <c r="F447" i="23"/>
  <c r="M446" i="23"/>
  <c r="F446" i="23"/>
  <c r="C446" i="23"/>
  <c r="M445" i="23"/>
  <c r="F445" i="23" s="1"/>
  <c r="C445" i="23"/>
  <c r="C444" i="23"/>
  <c r="M444" i="23" s="1"/>
  <c r="F444" i="23" s="1"/>
  <c r="F443" i="23"/>
  <c r="N442" i="23"/>
  <c r="L442" i="23"/>
  <c r="K442" i="23"/>
  <c r="C442" i="23"/>
  <c r="M442" i="23" s="1"/>
  <c r="N441" i="23"/>
  <c r="M441" i="23"/>
  <c r="L441" i="23"/>
  <c r="C441" i="23"/>
  <c r="P440" i="23"/>
  <c r="C440" i="23"/>
  <c r="M440" i="23" s="1"/>
  <c r="C439" i="23"/>
  <c r="N439" i="23" s="1"/>
  <c r="C438" i="23"/>
  <c r="P437" i="23"/>
  <c r="O437" i="23"/>
  <c r="N437" i="23"/>
  <c r="M437" i="23"/>
  <c r="C437" i="23"/>
  <c r="P436" i="23"/>
  <c r="O436" i="23"/>
  <c r="N436" i="23"/>
  <c r="L436" i="23"/>
  <c r="C436" i="23"/>
  <c r="M436" i="23" s="1"/>
  <c r="O435" i="23"/>
  <c r="N435" i="23"/>
  <c r="M435" i="23"/>
  <c r="L435" i="23"/>
  <c r="C435" i="23"/>
  <c r="P434" i="23"/>
  <c r="M434" i="23"/>
  <c r="C434" i="23"/>
  <c r="N434" i="23" s="1"/>
  <c r="C433" i="23"/>
  <c r="P432" i="23"/>
  <c r="O432" i="23"/>
  <c r="M432" i="23"/>
  <c r="L432" i="23" s="1"/>
  <c r="K432" i="23"/>
  <c r="C432" i="23"/>
  <c r="N432" i="23" s="1"/>
  <c r="C431" i="23"/>
  <c r="C430" i="23"/>
  <c r="P429" i="23"/>
  <c r="O429" i="23"/>
  <c r="N429" i="23"/>
  <c r="M429" i="23"/>
  <c r="L429" i="23"/>
  <c r="K429" i="23"/>
  <c r="F429" i="23" s="1"/>
  <c r="C429" i="23"/>
  <c r="C428" i="23"/>
  <c r="N427" i="23"/>
  <c r="M427" i="23"/>
  <c r="C427" i="23"/>
  <c r="F426" i="23"/>
  <c r="M425" i="23"/>
  <c r="F425" i="23" s="1"/>
  <c r="C425" i="23"/>
  <c r="M424" i="23"/>
  <c r="F424" i="23" s="1"/>
  <c r="C424" i="23"/>
  <c r="M423" i="23"/>
  <c r="F423" i="23" s="1"/>
  <c r="C423" i="23"/>
  <c r="F422" i="23"/>
  <c r="N421" i="23"/>
  <c r="M421" i="23"/>
  <c r="C421" i="23"/>
  <c r="C420" i="23"/>
  <c r="C419" i="23"/>
  <c r="N418" i="23"/>
  <c r="K418" i="23"/>
  <c r="C418" i="23"/>
  <c r="M418" i="23" s="1"/>
  <c r="M417" i="23"/>
  <c r="C417" i="23"/>
  <c r="N417" i="23" s="1"/>
  <c r="C416" i="23"/>
  <c r="M416" i="23" s="1"/>
  <c r="P415" i="23"/>
  <c r="O415" i="23"/>
  <c r="N415" i="23"/>
  <c r="M415" i="23"/>
  <c r="C415" i="23"/>
  <c r="O414" i="23"/>
  <c r="N414" i="23"/>
  <c r="M414" i="23"/>
  <c r="K414" i="23"/>
  <c r="C414" i="23"/>
  <c r="P413" i="23"/>
  <c r="N413" i="23"/>
  <c r="C413" i="23"/>
  <c r="M413" i="23" s="1"/>
  <c r="C412" i="23"/>
  <c r="C411" i="23"/>
  <c r="M410" i="23"/>
  <c r="C410" i="23"/>
  <c r="N410" i="23" s="1"/>
  <c r="C409" i="23"/>
  <c r="N408" i="23"/>
  <c r="M408" i="23"/>
  <c r="K408" i="23"/>
  <c r="C408" i="23"/>
  <c r="C407" i="23"/>
  <c r="C406" i="23"/>
  <c r="O405" i="23"/>
  <c r="N405" i="23"/>
  <c r="M405" i="23"/>
  <c r="P405" i="23" s="1"/>
  <c r="L405" i="23"/>
  <c r="K405" i="23"/>
  <c r="F405" i="23"/>
  <c r="C405" i="23"/>
  <c r="N404" i="23"/>
  <c r="M404" i="23"/>
  <c r="C404" i="23"/>
  <c r="P403" i="23"/>
  <c r="O403" i="23"/>
  <c r="F403" i="23" s="1"/>
  <c r="N403" i="23"/>
  <c r="M403" i="23"/>
  <c r="L403" i="23"/>
  <c r="K403" i="23"/>
  <c r="C403" i="23"/>
  <c r="F402" i="23"/>
  <c r="C401" i="23"/>
  <c r="M401" i="23" s="1"/>
  <c r="F401" i="23" s="1"/>
  <c r="F400" i="23"/>
  <c r="M399" i="23"/>
  <c r="F399" i="23" s="1"/>
  <c r="C399" i="23"/>
  <c r="F398" i="23"/>
  <c r="C398" i="23"/>
  <c r="M398" i="23" s="1"/>
  <c r="M397" i="23"/>
  <c r="F397" i="23"/>
  <c r="C397" i="23"/>
  <c r="F396" i="23"/>
  <c r="C395" i="23"/>
  <c r="N394" i="23"/>
  <c r="M394" i="23"/>
  <c r="F394" i="23" s="1"/>
  <c r="C394" i="23"/>
  <c r="C393" i="23"/>
  <c r="C392" i="23"/>
  <c r="C391" i="23"/>
  <c r="C390" i="23"/>
  <c r="C389" i="23"/>
  <c r="C388" i="23"/>
  <c r="B388" i="23"/>
  <c r="N387" i="23"/>
  <c r="F387" i="23" s="1"/>
  <c r="C387" i="23"/>
  <c r="M387" i="23" s="1"/>
  <c r="N386" i="23"/>
  <c r="M386" i="23"/>
  <c r="F386" i="23"/>
  <c r="C386" i="23"/>
  <c r="M385" i="23"/>
  <c r="F385" i="23" s="1"/>
  <c r="C385" i="23"/>
  <c r="N385" i="23" s="1"/>
  <c r="N384" i="23"/>
  <c r="C384" i="23"/>
  <c r="M384" i="23" s="1"/>
  <c r="F384" i="23" s="1"/>
  <c r="M383" i="23"/>
  <c r="F383" i="23" s="1"/>
  <c r="C383" i="23"/>
  <c r="N383" i="23" s="1"/>
  <c r="C382" i="23"/>
  <c r="N381" i="23"/>
  <c r="M381" i="23"/>
  <c r="C381" i="23"/>
  <c r="N380" i="23"/>
  <c r="M380" i="23"/>
  <c r="F380" i="23"/>
  <c r="C380" i="23"/>
  <c r="F379" i="23"/>
  <c r="M378" i="23"/>
  <c r="F378" i="23"/>
  <c r="C378" i="23"/>
  <c r="C377" i="23"/>
  <c r="M377" i="23" s="1"/>
  <c r="F377" i="23" s="1"/>
  <c r="M376" i="23"/>
  <c r="F376" i="23"/>
  <c r="C376" i="23"/>
  <c r="F375" i="23"/>
  <c r="C374" i="23"/>
  <c r="C373" i="23"/>
  <c r="N373" i="23" s="1"/>
  <c r="C372" i="23"/>
  <c r="N371" i="23"/>
  <c r="C371" i="23"/>
  <c r="M371" i="23" s="1"/>
  <c r="C370" i="23"/>
  <c r="M369" i="23"/>
  <c r="F369" i="23" s="1"/>
  <c r="C369" i="23"/>
  <c r="N369" i="23" s="1"/>
  <c r="N368" i="23"/>
  <c r="F368" i="23" s="1"/>
  <c r="M368" i="23"/>
  <c r="C368" i="23"/>
  <c r="N367" i="23"/>
  <c r="M367" i="23"/>
  <c r="F367" i="23"/>
  <c r="C367" i="23"/>
  <c r="N366" i="23"/>
  <c r="C366" i="23"/>
  <c r="M366" i="23" s="1"/>
  <c r="N365" i="23"/>
  <c r="M365" i="23"/>
  <c r="F365" i="23"/>
  <c r="C365" i="23"/>
  <c r="M364" i="23"/>
  <c r="F364" i="23" s="1"/>
  <c r="C364" i="23"/>
  <c r="N364" i="23" s="1"/>
  <c r="N363" i="23"/>
  <c r="M363" i="23"/>
  <c r="F363" i="23" s="1"/>
  <c r="C363" i="23"/>
  <c r="N362" i="23"/>
  <c r="M362" i="23"/>
  <c r="F362" i="23"/>
  <c r="C362" i="23"/>
  <c r="N361" i="23"/>
  <c r="M361" i="23"/>
  <c r="F361" i="23" s="1"/>
  <c r="C361" i="23"/>
  <c r="N360" i="23"/>
  <c r="M360" i="23"/>
  <c r="C360" i="23"/>
  <c r="N359" i="23"/>
  <c r="F359" i="23" s="1"/>
  <c r="M359" i="23"/>
  <c r="C359" i="23"/>
  <c r="N358" i="23"/>
  <c r="M358" i="23"/>
  <c r="C358" i="23"/>
  <c r="C357" i="23"/>
  <c r="M357" i="23" s="1"/>
  <c r="N356" i="23"/>
  <c r="M356" i="23"/>
  <c r="C356" i="23"/>
  <c r="F355" i="23"/>
  <c r="M354" i="23"/>
  <c r="F354" i="23" s="1"/>
  <c r="C354" i="23"/>
  <c r="F353" i="23"/>
  <c r="C352" i="23"/>
  <c r="M352" i="23" s="1"/>
  <c r="F352" i="23" s="1"/>
  <c r="C351" i="23"/>
  <c r="M351" i="23" s="1"/>
  <c r="F351" i="23" s="1"/>
  <c r="M350" i="23"/>
  <c r="F350" i="23"/>
  <c r="C350" i="23"/>
  <c r="F349" i="23"/>
  <c r="C348" i="23"/>
  <c r="C347" i="23"/>
  <c r="N346" i="23"/>
  <c r="M346" i="23"/>
  <c r="C346" i="23"/>
  <c r="C345" i="23"/>
  <c r="C344" i="23"/>
  <c r="N343" i="23"/>
  <c r="F343" i="23" s="1"/>
  <c r="C343" i="23"/>
  <c r="M343" i="23" s="1"/>
  <c r="N342" i="23"/>
  <c r="C342" i="23"/>
  <c r="M342" i="23" s="1"/>
  <c r="C341" i="23"/>
  <c r="C340" i="23"/>
  <c r="N339" i="23"/>
  <c r="F339" i="23" s="1"/>
  <c r="M339" i="23"/>
  <c r="C339" i="23"/>
  <c r="C338" i="23"/>
  <c r="M337" i="23"/>
  <c r="F337" i="23" s="1"/>
  <c r="C337" i="23"/>
  <c r="N337" i="23" s="1"/>
  <c r="N336" i="23"/>
  <c r="M336" i="23"/>
  <c r="F336" i="23" s="1"/>
  <c r="C336" i="23"/>
  <c r="C335" i="23"/>
  <c r="N334" i="23"/>
  <c r="M334" i="23"/>
  <c r="F334" i="23" s="1"/>
  <c r="C334" i="23"/>
  <c r="N333" i="23"/>
  <c r="F333" i="23"/>
  <c r="C333" i="23"/>
  <c r="M333" i="23" s="1"/>
  <c r="F332" i="23"/>
  <c r="F331" i="23"/>
  <c r="C331" i="23"/>
  <c r="M331" i="23" s="1"/>
  <c r="C330" i="23"/>
  <c r="M330" i="23" s="1"/>
  <c r="F330" i="23" s="1"/>
  <c r="C329" i="23"/>
  <c r="M329" i="23" s="1"/>
  <c r="F329" i="23" s="1"/>
  <c r="F328" i="23"/>
  <c r="N327" i="23"/>
  <c r="M327" i="23"/>
  <c r="F327" i="23"/>
  <c r="C327" i="23"/>
  <c r="N326" i="23"/>
  <c r="M326" i="23"/>
  <c r="F326" i="23" s="1"/>
  <c r="C326" i="23"/>
  <c r="C325" i="23"/>
  <c r="N324" i="23"/>
  <c r="M324" i="23"/>
  <c r="C324" i="23"/>
  <c r="M323" i="23"/>
  <c r="F323" i="23" s="1"/>
  <c r="C323" i="23"/>
  <c r="N323" i="23" s="1"/>
  <c r="N322" i="23"/>
  <c r="M322" i="23"/>
  <c r="F322" i="23"/>
  <c r="C322" i="23"/>
  <c r="C321" i="23"/>
  <c r="M320" i="23"/>
  <c r="F320" i="23" s="1"/>
  <c r="C320" i="23"/>
  <c r="N320" i="23" s="1"/>
  <c r="C319" i="23"/>
  <c r="N319" i="23" s="1"/>
  <c r="N318" i="23"/>
  <c r="M318" i="23"/>
  <c r="F318" i="23" s="1"/>
  <c r="C318" i="23"/>
  <c r="N317" i="23"/>
  <c r="M317" i="23"/>
  <c r="F317" i="23" s="1"/>
  <c r="C317" i="23"/>
  <c r="C316" i="23"/>
  <c r="N315" i="23"/>
  <c r="F315" i="23" s="1"/>
  <c r="C315" i="23"/>
  <c r="M315" i="23" s="1"/>
  <c r="C314" i="23"/>
  <c r="N313" i="23"/>
  <c r="M313" i="23"/>
  <c r="F313" i="23" s="1"/>
  <c r="C313" i="23"/>
  <c r="N312" i="23"/>
  <c r="M312" i="23"/>
  <c r="F312" i="23" s="1"/>
  <c r="C312" i="23"/>
  <c r="C311" i="23"/>
  <c r="M310" i="23"/>
  <c r="F310" i="23" s="1"/>
  <c r="C310" i="23"/>
  <c r="N310" i="23" s="1"/>
  <c r="C309" i="23"/>
  <c r="F308" i="23"/>
  <c r="M307" i="23"/>
  <c r="F307" i="23" s="1"/>
  <c r="C307" i="23"/>
  <c r="F306" i="23"/>
  <c r="C305" i="23"/>
  <c r="M305" i="23" s="1"/>
  <c r="F305" i="23" s="1"/>
  <c r="M304" i="23"/>
  <c r="F304" i="23" s="1"/>
  <c r="C304" i="23"/>
  <c r="F303" i="23"/>
  <c r="C303" i="23"/>
  <c r="M303" i="23" s="1"/>
  <c r="F302" i="23"/>
  <c r="M301" i="23"/>
  <c r="F301" i="23" s="1"/>
  <c r="C301" i="23"/>
  <c r="N301" i="23" s="1"/>
  <c r="C300" i="23"/>
  <c r="N299" i="23"/>
  <c r="M299" i="23"/>
  <c r="F299" i="23"/>
  <c r="C299" i="23"/>
  <c r="N298" i="23"/>
  <c r="M298" i="23"/>
  <c r="C298" i="23"/>
  <c r="N297" i="23"/>
  <c r="C297" i="23"/>
  <c r="M297" i="23" s="1"/>
  <c r="C296" i="23"/>
  <c r="N295" i="23"/>
  <c r="M295" i="23"/>
  <c r="F295" i="23"/>
  <c r="C295" i="23"/>
  <c r="C294" i="23"/>
  <c r="C293" i="23"/>
  <c r="M293" i="23" s="1"/>
  <c r="M292" i="23"/>
  <c r="F292" i="23" s="1"/>
  <c r="C292" i="23"/>
  <c r="N292" i="23" s="1"/>
  <c r="C291" i="23"/>
  <c r="N290" i="23"/>
  <c r="M290" i="23"/>
  <c r="C290" i="23"/>
  <c r="C289" i="23"/>
  <c r="N288" i="23"/>
  <c r="F288" i="23"/>
  <c r="C288" i="23"/>
  <c r="M288" i="23" s="1"/>
  <c r="C287" i="23"/>
  <c r="C286" i="23"/>
  <c r="F285" i="23"/>
  <c r="M284" i="23"/>
  <c r="F284" i="23" s="1"/>
  <c r="C284" i="23"/>
  <c r="M283" i="23"/>
  <c r="F283" i="23" s="1"/>
  <c r="C283" i="23"/>
  <c r="M282" i="23"/>
  <c r="F282" i="23"/>
  <c r="C282" i="23"/>
  <c r="F281" i="23"/>
  <c r="N280" i="23"/>
  <c r="F280" i="23" s="1"/>
  <c r="C280" i="23"/>
  <c r="M280" i="23" s="1"/>
  <c r="C279" i="23"/>
  <c r="N278" i="23"/>
  <c r="F278" i="23" s="1"/>
  <c r="M278" i="23"/>
  <c r="C278" i="23"/>
  <c r="M277" i="23"/>
  <c r="F277" i="23" s="1"/>
  <c r="C277" i="23"/>
  <c r="N277" i="23" s="1"/>
  <c r="N276" i="23"/>
  <c r="C276" i="23"/>
  <c r="M276" i="23" s="1"/>
  <c r="N275" i="23"/>
  <c r="M275" i="23"/>
  <c r="F275" i="23"/>
  <c r="C275" i="23"/>
  <c r="N274" i="23"/>
  <c r="F274" i="23"/>
  <c r="C274" i="23"/>
  <c r="M274" i="23" s="1"/>
  <c r="N273" i="23"/>
  <c r="C273" i="23"/>
  <c r="M273" i="23" s="1"/>
  <c r="N272" i="23"/>
  <c r="M272" i="23"/>
  <c r="F272" i="23"/>
  <c r="C272" i="23"/>
  <c r="C271" i="23"/>
  <c r="M270" i="23"/>
  <c r="F270" i="23" s="1"/>
  <c r="C270" i="23"/>
  <c r="N270" i="23" s="1"/>
  <c r="N269" i="23"/>
  <c r="M269" i="23"/>
  <c r="F269" i="23"/>
  <c r="C269" i="23"/>
  <c r="N268" i="23"/>
  <c r="M268" i="23"/>
  <c r="F268" i="23" s="1"/>
  <c r="C268" i="23"/>
  <c r="M267" i="23"/>
  <c r="F267" i="23" s="1"/>
  <c r="C267" i="23"/>
  <c r="N267" i="23" s="1"/>
  <c r="N266" i="23"/>
  <c r="M266" i="23"/>
  <c r="C266" i="23"/>
  <c r="N265" i="23"/>
  <c r="F265" i="23" s="1"/>
  <c r="M265" i="23"/>
  <c r="C265" i="23"/>
  <c r="N264" i="23"/>
  <c r="C264" i="23"/>
  <c r="M264" i="23" s="1"/>
  <c r="N263" i="23"/>
  <c r="M263" i="23"/>
  <c r="C263" i="23"/>
  <c r="N262" i="23"/>
  <c r="M262" i="23"/>
  <c r="F262" i="23" s="1"/>
  <c r="C262" i="23"/>
  <c r="F261" i="23"/>
  <c r="C260" i="23"/>
  <c r="M260" i="23" s="1"/>
  <c r="F260" i="23" s="1"/>
  <c r="F259" i="23"/>
  <c r="F258" i="23"/>
  <c r="C258" i="23"/>
  <c r="M258" i="23" s="1"/>
  <c r="M257" i="23"/>
  <c r="F257" i="23"/>
  <c r="C257" i="23"/>
  <c r="C256" i="23"/>
  <c r="M256" i="23" s="1"/>
  <c r="F256" i="23" s="1"/>
  <c r="F255" i="23"/>
  <c r="C254" i="23"/>
  <c r="N253" i="23"/>
  <c r="M253" i="23"/>
  <c r="F253" i="23"/>
  <c r="C253" i="23"/>
  <c r="N252" i="23"/>
  <c r="C252" i="23"/>
  <c r="M252" i="23" s="1"/>
  <c r="F252" i="23" s="1"/>
  <c r="N251" i="23"/>
  <c r="F251" i="23" s="1"/>
  <c r="M251" i="23"/>
  <c r="C251" i="23"/>
  <c r="N250" i="23"/>
  <c r="M250" i="23"/>
  <c r="F250" i="23" s="1"/>
  <c r="C250" i="23"/>
  <c r="N249" i="23"/>
  <c r="M249" i="23"/>
  <c r="F249" i="23"/>
  <c r="C249" i="23"/>
  <c r="N248" i="23"/>
  <c r="F248" i="23" s="1"/>
  <c r="M248" i="23"/>
  <c r="C248" i="23"/>
  <c r="N247" i="23"/>
  <c r="F247" i="23" s="1"/>
  <c r="C247" i="23"/>
  <c r="M247" i="23" s="1"/>
  <c r="C246" i="23"/>
  <c r="C245" i="23"/>
  <c r="M245" i="23" s="1"/>
  <c r="M244" i="23"/>
  <c r="F244" i="23"/>
  <c r="C244" i="23"/>
  <c r="N244" i="23" s="1"/>
  <c r="M243" i="23"/>
  <c r="F243" i="23" s="1"/>
  <c r="C243" i="23"/>
  <c r="N243" i="23" s="1"/>
  <c r="N242" i="23"/>
  <c r="M242" i="23"/>
  <c r="F242" i="23"/>
  <c r="C242" i="23"/>
  <c r="N241" i="23"/>
  <c r="F241" i="23" s="1"/>
  <c r="M241" i="23"/>
  <c r="C241" i="23"/>
  <c r="M240" i="23"/>
  <c r="F240" i="23"/>
  <c r="C240" i="23"/>
  <c r="N240" i="23" s="1"/>
  <c r="N239" i="23"/>
  <c r="M239" i="23"/>
  <c r="F239" i="23"/>
  <c r="C239" i="23"/>
  <c r="F238" i="23"/>
  <c r="M237" i="23"/>
  <c r="F237" i="23" s="1"/>
  <c r="C237" i="23"/>
  <c r="M236" i="23"/>
  <c r="F236" i="23" s="1"/>
  <c r="C236" i="23"/>
  <c r="M235" i="23"/>
  <c r="F235" i="23" s="1"/>
  <c r="C235" i="23"/>
  <c r="F234" i="23"/>
  <c r="N233" i="23"/>
  <c r="C233" i="23"/>
  <c r="M233" i="23" s="1"/>
  <c r="M232" i="23"/>
  <c r="F232" i="23" s="1"/>
  <c r="C232" i="23"/>
  <c r="N232" i="23" s="1"/>
  <c r="C231" i="23"/>
  <c r="C230" i="23"/>
  <c r="M229" i="23"/>
  <c r="F229" i="23" s="1"/>
  <c r="C229" i="23"/>
  <c r="N229" i="23" s="1"/>
  <c r="M228" i="23"/>
  <c r="F228" i="23"/>
  <c r="C228" i="23"/>
  <c r="N228" i="23" s="1"/>
  <c r="C227" i="23"/>
  <c r="N226" i="23"/>
  <c r="M226" i="23"/>
  <c r="F226" i="23"/>
  <c r="C226" i="23"/>
  <c r="C225" i="23"/>
  <c r="C224" i="23"/>
  <c r="C223" i="23"/>
  <c r="N222" i="23"/>
  <c r="M222" i="23"/>
  <c r="C222" i="23"/>
  <c r="M221" i="23"/>
  <c r="F221" i="23" s="1"/>
  <c r="C221" i="23"/>
  <c r="N221" i="23" s="1"/>
  <c r="M220" i="23"/>
  <c r="F220" i="23" s="1"/>
  <c r="C220" i="23"/>
  <c r="N220" i="23" s="1"/>
  <c r="N219" i="23"/>
  <c r="M219" i="23"/>
  <c r="F219" i="23"/>
  <c r="C219" i="23"/>
  <c r="M218" i="23"/>
  <c r="F218" i="23" s="1"/>
  <c r="C218" i="23"/>
  <c r="N218" i="23" s="1"/>
  <c r="C217" i="23"/>
  <c r="N216" i="23"/>
  <c r="M216" i="23"/>
  <c r="F216" i="23" s="1"/>
  <c r="C216" i="23"/>
  <c r="C215" i="23"/>
  <c r="F214" i="23"/>
  <c r="M213" i="23"/>
  <c r="F213" i="23" s="1"/>
  <c r="C213" i="23"/>
  <c r="F212" i="23"/>
  <c r="M211" i="23"/>
  <c r="F211" i="23"/>
  <c r="C211" i="23"/>
  <c r="M210" i="23"/>
  <c r="F210" i="23" s="1"/>
  <c r="C210" i="23"/>
  <c r="M209" i="23"/>
  <c r="F209" i="23" s="1"/>
  <c r="C209" i="23"/>
  <c r="F208" i="23"/>
  <c r="C207" i="23"/>
  <c r="N206" i="23"/>
  <c r="F206" i="23"/>
  <c r="C206" i="23"/>
  <c r="M206" i="23" s="1"/>
  <c r="N205" i="23"/>
  <c r="F205" i="23"/>
  <c r="C205" i="23"/>
  <c r="M205" i="23" s="1"/>
  <c r="C204" i="23"/>
  <c r="M203" i="23"/>
  <c r="F203" i="23" s="1"/>
  <c r="C203" i="23"/>
  <c r="N203" i="23" s="1"/>
  <c r="C202" i="23"/>
  <c r="M201" i="23"/>
  <c r="F201" i="23" s="1"/>
  <c r="C201" i="23"/>
  <c r="N201" i="23" s="1"/>
  <c r="M200" i="23"/>
  <c r="F200" i="23" s="1"/>
  <c r="C200" i="23"/>
  <c r="N200" i="23" s="1"/>
  <c r="N199" i="23"/>
  <c r="F199" i="23" s="1"/>
  <c r="C199" i="23"/>
  <c r="M199" i="23" s="1"/>
  <c r="N198" i="23"/>
  <c r="M198" i="23"/>
  <c r="C198" i="23"/>
  <c r="C197" i="23"/>
  <c r="C196" i="23"/>
  <c r="C195" i="23"/>
  <c r="N194" i="23"/>
  <c r="M194" i="23"/>
  <c r="F194" i="23"/>
  <c r="C194" i="23"/>
  <c r="M193" i="23"/>
  <c r="F193" i="23" s="1"/>
  <c r="C193" i="23"/>
  <c r="N193" i="23" s="1"/>
  <c r="N192" i="23"/>
  <c r="F192" i="23"/>
  <c r="C192" i="23"/>
  <c r="M192" i="23" s="1"/>
  <c r="F191" i="23"/>
  <c r="M190" i="23"/>
  <c r="F190" i="23" s="1"/>
  <c r="C190" i="23"/>
  <c r="M189" i="23"/>
  <c r="F189" i="23"/>
  <c r="C189" i="23"/>
  <c r="C188" i="23"/>
  <c r="M188" i="23" s="1"/>
  <c r="F188" i="23" s="1"/>
  <c r="F187" i="23"/>
  <c r="C186" i="23"/>
  <c r="N185" i="23"/>
  <c r="M185" i="23"/>
  <c r="F185" i="23"/>
  <c r="C185" i="23"/>
  <c r="M184" i="23"/>
  <c r="F184" i="23"/>
  <c r="C184" i="23"/>
  <c r="N184" i="23" s="1"/>
  <c r="N183" i="23"/>
  <c r="M183" i="23"/>
  <c r="C183" i="23"/>
  <c r="N182" i="23"/>
  <c r="M182" i="23"/>
  <c r="F182" i="23" s="1"/>
  <c r="C182" i="23"/>
  <c r="M181" i="23"/>
  <c r="F181" i="23"/>
  <c r="C181" i="23"/>
  <c r="N181" i="23" s="1"/>
  <c r="C180" i="23"/>
  <c r="N179" i="23"/>
  <c r="M179" i="23"/>
  <c r="C179" i="23"/>
  <c r="C178" i="23"/>
  <c r="N177" i="23"/>
  <c r="M177" i="23"/>
  <c r="C177" i="23"/>
  <c r="N176" i="23"/>
  <c r="M176" i="23"/>
  <c r="C176" i="23"/>
  <c r="C175" i="23"/>
  <c r="N174" i="23"/>
  <c r="M174" i="23"/>
  <c r="F174" i="23" s="1"/>
  <c r="C174" i="23"/>
  <c r="N173" i="23"/>
  <c r="F173" i="23"/>
  <c r="C173" i="23"/>
  <c r="M173" i="23" s="1"/>
  <c r="C172" i="23"/>
  <c r="M171" i="23"/>
  <c r="F171" i="23" s="1"/>
  <c r="C171" i="23"/>
  <c r="N171" i="23" s="1"/>
  <c r="M170" i="23"/>
  <c r="F170" i="23"/>
  <c r="C170" i="23"/>
  <c r="N170" i="23" s="1"/>
  <c r="M169" i="23"/>
  <c r="F169" i="23"/>
  <c r="C169" i="23"/>
  <c r="N169" i="23" s="1"/>
  <c r="M168" i="23"/>
  <c r="F168" i="23" s="1"/>
  <c r="C168" i="23"/>
  <c r="N168" i="23" s="1"/>
  <c r="F167" i="23"/>
  <c r="M166" i="23"/>
  <c r="F166" i="23"/>
  <c r="C166" i="23"/>
  <c r="F165" i="23"/>
  <c r="C164" i="23"/>
  <c r="M164" i="23" s="1"/>
  <c r="F164" i="23" s="1"/>
  <c r="M163" i="23"/>
  <c r="F163" i="23" s="1"/>
  <c r="C163" i="23"/>
  <c r="M162" i="23"/>
  <c r="F162" i="23" s="1"/>
  <c r="C162" i="23"/>
  <c r="F161" i="23"/>
  <c r="N160" i="23"/>
  <c r="M160" i="23"/>
  <c r="F160" i="23" s="1"/>
  <c r="C160" i="23"/>
  <c r="C159" i="23"/>
  <c r="M158" i="23"/>
  <c r="F158" i="23" s="1"/>
  <c r="C158" i="23"/>
  <c r="N158" i="23" s="1"/>
  <c r="N157" i="23"/>
  <c r="M157" i="23"/>
  <c r="F157" i="23"/>
  <c r="C157" i="23"/>
  <c r="N156" i="23"/>
  <c r="M156" i="23"/>
  <c r="F156" i="23" s="1"/>
  <c r="C156" i="23"/>
  <c r="N155" i="23"/>
  <c r="F155" i="23"/>
  <c r="C155" i="23"/>
  <c r="M155" i="23" s="1"/>
  <c r="N154" i="23"/>
  <c r="M154" i="23"/>
  <c r="F154" i="23" s="1"/>
  <c r="C154" i="23"/>
  <c r="N153" i="23"/>
  <c r="C153" i="23"/>
  <c r="M153" i="23" s="1"/>
  <c r="N152" i="23"/>
  <c r="F152" i="23" s="1"/>
  <c r="C152" i="23"/>
  <c r="M152" i="23" s="1"/>
  <c r="N151" i="23"/>
  <c r="M151" i="23"/>
  <c r="F151" i="23"/>
  <c r="C151" i="23"/>
  <c r="N150" i="23"/>
  <c r="C150" i="23"/>
  <c r="M150" i="23" s="1"/>
  <c r="F150" i="23" s="1"/>
  <c r="C149" i="23"/>
  <c r="N148" i="23"/>
  <c r="M148" i="23"/>
  <c r="C148" i="23"/>
  <c r="N147" i="23"/>
  <c r="M147" i="23"/>
  <c r="F147" i="23" s="1"/>
  <c r="C147" i="23"/>
  <c r="N146" i="23"/>
  <c r="C146" i="23"/>
  <c r="M146" i="23" s="1"/>
  <c r="N145" i="23"/>
  <c r="F145" i="23" s="1"/>
  <c r="C145" i="23"/>
  <c r="M145" i="23" s="1"/>
  <c r="F144" i="23"/>
  <c r="C143" i="23"/>
  <c r="M143" i="23" s="1"/>
  <c r="F143" i="23" s="1"/>
  <c r="F142" i="23"/>
  <c r="C142" i="23"/>
  <c r="M142" i="23" s="1"/>
  <c r="M141" i="23"/>
  <c r="F141" i="23"/>
  <c r="C141" i="23"/>
  <c r="F140" i="23"/>
  <c r="N139" i="23"/>
  <c r="F139" i="23" s="1"/>
  <c r="M139" i="23"/>
  <c r="C139" i="23"/>
  <c r="C138" i="23"/>
  <c r="N137" i="23"/>
  <c r="M137" i="23"/>
  <c r="C137" i="23"/>
  <c r="N136" i="23"/>
  <c r="M136" i="23"/>
  <c r="F136" i="23" s="1"/>
  <c r="C136" i="23"/>
  <c r="M135" i="23"/>
  <c r="F135" i="23" s="1"/>
  <c r="C135" i="23"/>
  <c r="N135" i="23" s="1"/>
  <c r="C134" i="23"/>
  <c r="N133" i="23"/>
  <c r="M133" i="23"/>
  <c r="F133" i="23"/>
  <c r="C133" i="23"/>
  <c r="N132" i="23"/>
  <c r="F132" i="23" s="1"/>
  <c r="C132" i="23"/>
  <c r="M132" i="23" s="1"/>
  <c r="C131" i="23"/>
  <c r="N130" i="23"/>
  <c r="M130" i="23"/>
  <c r="F130" i="23" s="1"/>
  <c r="C130" i="23"/>
  <c r="M129" i="23"/>
  <c r="F129" i="23" s="1"/>
  <c r="C129" i="23"/>
  <c r="N129" i="23" s="1"/>
  <c r="C128" i="23"/>
  <c r="N127" i="23"/>
  <c r="M127" i="23"/>
  <c r="F127" i="23"/>
  <c r="C127" i="23"/>
  <c r="M126" i="23"/>
  <c r="F126" i="23"/>
  <c r="C126" i="23"/>
  <c r="N126" i="23" s="1"/>
  <c r="C125" i="23"/>
  <c r="N125" i="23" s="1"/>
  <c r="N124" i="23"/>
  <c r="M124" i="23"/>
  <c r="C124" i="23"/>
  <c r="C123" i="23"/>
  <c r="N122" i="23"/>
  <c r="C122" i="23"/>
  <c r="M122" i="23" s="1"/>
  <c r="N121" i="23"/>
  <c r="M121" i="23"/>
  <c r="F121" i="23" s="1"/>
  <c r="C121" i="23"/>
  <c r="F120" i="23"/>
  <c r="F119" i="23"/>
  <c r="C119" i="23"/>
  <c r="M119" i="23" s="1"/>
  <c r="F118" i="23"/>
  <c r="M117" i="23"/>
  <c r="F117" i="23" s="1"/>
  <c r="C117" i="23"/>
  <c r="M116" i="23"/>
  <c r="F116" i="23" s="1"/>
  <c r="C116" i="23"/>
  <c r="M115" i="23"/>
  <c r="F115" i="23" s="1"/>
  <c r="C115" i="23"/>
  <c r="F114" i="23"/>
  <c r="N113" i="23"/>
  <c r="F113" i="23" s="1"/>
  <c r="M113" i="23"/>
  <c r="C113" i="23"/>
  <c r="M112" i="23"/>
  <c r="F112" i="23"/>
  <c r="C112" i="23"/>
  <c r="N112" i="23" s="1"/>
  <c r="N111" i="23"/>
  <c r="C111" i="23"/>
  <c r="M111" i="23" s="1"/>
  <c r="N110" i="23"/>
  <c r="M110" i="23"/>
  <c r="F110" i="23"/>
  <c r="C110" i="23"/>
  <c r="M109" i="23"/>
  <c r="F109" i="23"/>
  <c r="C109" i="23"/>
  <c r="N109" i="23" s="1"/>
  <c r="N108" i="23"/>
  <c r="M108" i="23"/>
  <c r="F108" i="23"/>
  <c r="C108" i="23"/>
  <c r="N107" i="23"/>
  <c r="M107" i="23"/>
  <c r="F107" i="23" s="1"/>
  <c r="C107" i="23"/>
  <c r="M106" i="23"/>
  <c r="F106" i="23" s="1"/>
  <c r="C106" i="23"/>
  <c r="N106" i="23" s="1"/>
  <c r="N105" i="23"/>
  <c r="M105" i="23"/>
  <c r="F105" i="23" s="1"/>
  <c r="C105" i="23"/>
  <c r="N104" i="23"/>
  <c r="F104" i="23"/>
  <c r="C104" i="23"/>
  <c r="M104" i="23" s="1"/>
  <c r="C103" i="23"/>
  <c r="N102" i="23"/>
  <c r="C102" i="23"/>
  <c r="M102" i="23" s="1"/>
  <c r="M101" i="23"/>
  <c r="F101" i="23" s="1"/>
  <c r="C101" i="23"/>
  <c r="N101" i="23" s="1"/>
  <c r="M100" i="23"/>
  <c r="F100" i="23" s="1"/>
  <c r="C100" i="23"/>
  <c r="N100" i="23" s="1"/>
  <c r="C99" i="23"/>
  <c r="N98" i="23"/>
  <c r="M98" i="23"/>
  <c r="F98" i="23" s="1"/>
  <c r="C98" i="23"/>
  <c r="F97" i="23"/>
  <c r="M96" i="23"/>
  <c r="F96" i="23"/>
  <c r="C96" i="23"/>
  <c r="M95" i="23"/>
  <c r="F95" i="23" s="1"/>
  <c r="C95" i="23"/>
  <c r="M94" i="23"/>
  <c r="F94" i="23"/>
  <c r="C94" i="23"/>
  <c r="F93" i="23"/>
  <c r="N92" i="23"/>
  <c r="M92" i="23"/>
  <c r="C92" i="23"/>
  <c r="C91" i="23"/>
  <c r="N90" i="23"/>
  <c r="M90" i="23"/>
  <c r="C90" i="23"/>
  <c r="C89" i="23"/>
  <c r="C88" i="23"/>
  <c r="C87" i="23"/>
  <c r="C86" i="23"/>
  <c r="N85" i="23"/>
  <c r="C85" i="23"/>
  <c r="M85" i="23" s="1"/>
  <c r="C84" i="23"/>
  <c r="N83" i="23"/>
  <c r="M83" i="23"/>
  <c r="F83" i="23"/>
  <c r="C83" i="23"/>
  <c r="M82" i="23"/>
  <c r="F82" i="23" s="1"/>
  <c r="C82" i="23"/>
  <c r="N82" i="23" s="1"/>
  <c r="N81" i="23"/>
  <c r="C81" i="23"/>
  <c r="M81" i="23" s="1"/>
  <c r="N80" i="23"/>
  <c r="M80" i="23"/>
  <c r="F80" i="23" s="1"/>
  <c r="C80" i="23"/>
  <c r="C79" i="23"/>
  <c r="N78" i="23"/>
  <c r="F78" i="23" s="1"/>
  <c r="C78" i="23"/>
  <c r="M78" i="23" s="1"/>
  <c r="C77" i="23"/>
  <c r="B77" i="23"/>
  <c r="M76" i="23"/>
  <c r="F76" i="23"/>
  <c r="C76" i="23"/>
  <c r="N76" i="23" s="1"/>
  <c r="C75" i="23"/>
  <c r="M74" i="23"/>
  <c r="F74" i="23" s="1"/>
  <c r="C74" i="23"/>
  <c r="N74" i="23" s="1"/>
  <c r="F73" i="23"/>
  <c r="M72" i="23"/>
  <c r="F72" i="23" s="1"/>
  <c r="C72" i="23"/>
  <c r="F71" i="23"/>
  <c r="M70" i="23"/>
  <c r="F70" i="23"/>
  <c r="C70" i="23"/>
  <c r="M69" i="23"/>
  <c r="F69" i="23" s="1"/>
  <c r="C69" i="23"/>
  <c r="B69" i="23"/>
  <c r="M68" i="23"/>
  <c r="F68" i="23"/>
  <c r="C68" i="23"/>
  <c r="F67" i="23"/>
  <c r="N66" i="23"/>
  <c r="M66" i="23"/>
  <c r="F66" i="23"/>
  <c r="C66" i="23"/>
  <c r="M65" i="23"/>
  <c r="F65" i="23"/>
  <c r="C65" i="23"/>
  <c r="N65" i="23" s="1"/>
  <c r="M64" i="23"/>
  <c r="F64" i="23" s="1"/>
  <c r="C64" i="23"/>
  <c r="N64" i="23" s="1"/>
  <c r="N63" i="23"/>
  <c r="M63" i="23"/>
  <c r="C63" i="23"/>
  <c r="C62" i="23"/>
  <c r="M62" i="23" s="1"/>
  <c r="N61" i="23"/>
  <c r="C61" i="23"/>
  <c r="M61" i="23" s="1"/>
  <c r="C60" i="23"/>
  <c r="N59" i="23"/>
  <c r="F59" i="23" s="1"/>
  <c r="M59" i="23"/>
  <c r="C59" i="23"/>
  <c r="C58" i="23"/>
  <c r="C57" i="23"/>
  <c r="N56" i="23"/>
  <c r="M56" i="23"/>
  <c r="C56" i="23"/>
  <c r="N55" i="23"/>
  <c r="M55" i="23"/>
  <c r="F55" i="23"/>
  <c r="C55" i="23"/>
  <c r="C54" i="23"/>
  <c r="N53" i="23"/>
  <c r="M53" i="23"/>
  <c r="F53" i="23"/>
  <c r="C53" i="23"/>
  <c r="C52" i="23"/>
  <c r="N51" i="23"/>
  <c r="F51" i="23" s="1"/>
  <c r="C51" i="23"/>
  <c r="M51" i="23" s="1"/>
  <c r="F50" i="23"/>
  <c r="M49" i="23"/>
  <c r="F49" i="23" s="1"/>
  <c r="C49" i="23"/>
  <c r="C48" i="23"/>
  <c r="M48" i="23" s="1"/>
  <c r="F48" i="23" s="1"/>
  <c r="F47" i="23"/>
  <c r="C47" i="23"/>
  <c r="M47" i="23" s="1"/>
  <c r="F46" i="23"/>
  <c r="C45" i="23"/>
  <c r="N44" i="23"/>
  <c r="F44" i="23" s="1"/>
  <c r="C44" i="23"/>
  <c r="M44" i="23" s="1"/>
  <c r="C43" i="23"/>
  <c r="C42" i="23"/>
  <c r="N41" i="23"/>
  <c r="C41" i="23"/>
  <c r="M41" i="23" s="1"/>
  <c r="N40" i="23"/>
  <c r="M40" i="23"/>
  <c r="F40" i="23"/>
  <c r="C40" i="23"/>
  <c r="N39" i="23"/>
  <c r="C39" i="23"/>
  <c r="M39" i="23" s="1"/>
  <c r="N38" i="23"/>
  <c r="F38" i="23" s="1"/>
  <c r="C38" i="23"/>
  <c r="M38" i="23" s="1"/>
  <c r="N37" i="23"/>
  <c r="C37" i="23"/>
  <c r="M37" i="23" s="1"/>
  <c r="C36" i="23"/>
  <c r="M36" i="23" s="1"/>
  <c r="M35" i="23"/>
  <c r="F35" i="23" s="1"/>
  <c r="C35" i="23"/>
  <c r="N35" i="23" s="1"/>
  <c r="C34" i="23"/>
  <c r="N33" i="23"/>
  <c r="F33" i="23" s="1"/>
  <c r="M33" i="23"/>
  <c r="C33" i="23"/>
  <c r="M32" i="23"/>
  <c r="F32" i="23" s="1"/>
  <c r="C32" i="23"/>
  <c r="N32" i="23" s="1"/>
  <c r="C31" i="23"/>
  <c r="N30" i="23"/>
  <c r="M30" i="23"/>
  <c r="F30" i="23"/>
  <c r="C30" i="23"/>
  <c r="C29" i="23"/>
  <c r="N28" i="23"/>
  <c r="F28" i="23" s="1"/>
  <c r="C28" i="23"/>
  <c r="M28" i="23" s="1"/>
  <c r="C27" i="23"/>
  <c r="F26" i="23"/>
  <c r="F25" i="23"/>
  <c r="F24" i="23"/>
  <c r="F23" i="23"/>
  <c r="F22" i="23"/>
  <c r="F21" i="23"/>
  <c r="F20" i="23"/>
  <c r="F19" i="23"/>
  <c r="F18" i="23"/>
  <c r="F17" i="23"/>
  <c r="F16" i="23"/>
  <c r="F15" i="23"/>
  <c r="F14" i="23"/>
  <c r="F13" i="23"/>
  <c r="F12" i="23"/>
  <c r="F11" i="23"/>
  <c r="F10" i="23"/>
  <c r="F9" i="23"/>
  <c r="F8" i="23"/>
  <c r="F7" i="23"/>
  <c r="F6" i="23"/>
  <c r="F5" i="23"/>
  <c r="F4" i="23"/>
  <c r="F3" i="23"/>
  <c r="E3" i="23"/>
  <c r="D3" i="23"/>
  <c r="E2535" i="22"/>
  <c r="E2536" i="22" s="1"/>
  <c r="D2535" i="22"/>
  <c r="E2534" i="22"/>
  <c r="F2534" i="22" s="1"/>
  <c r="D2534" i="22"/>
  <c r="E2525" i="22"/>
  <c r="E2516" i="22"/>
  <c r="E2505" i="22"/>
  <c r="D2505" i="22"/>
  <c r="E2503" i="22"/>
  <c r="D2502" i="22"/>
  <c r="E2499" i="22"/>
  <c r="E2498" i="22"/>
  <c r="D2498" i="22"/>
  <c r="D2496" i="22"/>
  <c r="D2487" i="22"/>
  <c r="E2482" i="22"/>
  <c r="J2472" i="22"/>
  <c r="J2471" i="22"/>
  <c r="I2469" i="22"/>
  <c r="I2467" i="22"/>
  <c r="I2466" i="22"/>
  <c r="I2465" i="22"/>
  <c r="I2463" i="22"/>
  <c r="I2462" i="22"/>
  <c r="I2461" i="22"/>
  <c r="I2460" i="22"/>
  <c r="I2458" i="22"/>
  <c r="I2457" i="22"/>
  <c r="I2455" i="22"/>
  <c r="H2455" i="22"/>
  <c r="I2454" i="22"/>
  <c r="H2454" i="22"/>
  <c r="I2453" i="22"/>
  <c r="H2453" i="22"/>
  <c r="I2452" i="22"/>
  <c r="H2452" i="22"/>
  <c r="I2451" i="22"/>
  <c r="H2451" i="22"/>
  <c r="I2450" i="22"/>
  <c r="H2450" i="22"/>
  <c r="I2449" i="22"/>
  <c r="H2449" i="22"/>
  <c r="I2448" i="22"/>
  <c r="H2448" i="22"/>
  <c r="I2447" i="22"/>
  <c r="H2447" i="22"/>
  <c r="I2446" i="22"/>
  <c r="H2446" i="22"/>
  <c r="E2502" i="22" s="1"/>
  <c r="I2445" i="22"/>
  <c r="H2445" i="22"/>
  <c r="I2444" i="22"/>
  <c r="H2444" i="22"/>
  <c r="I2443" i="22"/>
  <c r="H2443" i="22"/>
  <c r="I2442" i="22"/>
  <c r="H2442" i="22"/>
  <c r="I2441" i="22"/>
  <c r="H2441" i="22"/>
  <c r="I2440" i="22"/>
  <c r="H2440" i="22"/>
  <c r="I2439" i="22"/>
  <c r="H2439" i="22"/>
  <c r="I2438" i="22"/>
  <c r="H2438" i="22"/>
  <c r="I2437" i="22"/>
  <c r="H2437" i="22"/>
  <c r="I2436" i="22"/>
  <c r="H2436" i="22"/>
  <c r="I2435" i="22"/>
  <c r="H2435" i="22"/>
  <c r="I2434" i="22"/>
  <c r="H2434" i="22"/>
  <c r="I2433" i="22"/>
  <c r="H2433" i="22"/>
  <c r="I2432" i="22"/>
  <c r="H2432" i="22"/>
  <c r="I2431" i="22"/>
  <c r="H2431" i="22"/>
  <c r="I2430" i="22"/>
  <c r="H2430" i="22"/>
  <c r="I2429" i="22"/>
  <c r="H2429" i="22"/>
  <c r="I2428" i="22"/>
  <c r="H2428" i="22"/>
  <c r="I2427" i="22"/>
  <c r="H2427" i="22"/>
  <c r="I2426" i="22"/>
  <c r="H2426" i="22"/>
  <c r="I2425" i="22"/>
  <c r="H2425" i="22"/>
  <c r="I2424" i="22"/>
  <c r="H2424" i="22"/>
  <c r="I2423" i="22"/>
  <c r="H2423" i="22"/>
  <c r="I2422" i="22"/>
  <c r="H2422" i="22"/>
  <c r="I2421" i="22"/>
  <c r="H2421" i="22"/>
  <c r="I2420" i="22"/>
  <c r="H2420" i="22"/>
  <c r="I2419" i="22"/>
  <c r="H2419" i="22"/>
  <c r="I2418" i="22"/>
  <c r="H2418" i="22"/>
  <c r="I2417" i="22"/>
  <c r="H2417" i="22"/>
  <c r="I2416" i="22"/>
  <c r="H2416" i="22"/>
  <c r="I2415" i="22"/>
  <c r="H2415" i="22"/>
  <c r="I2414" i="22"/>
  <c r="H2414" i="22"/>
  <c r="I2413" i="22"/>
  <c r="H2413" i="22"/>
  <c r="I2412" i="22"/>
  <c r="H2412" i="22"/>
  <c r="I2411" i="22"/>
  <c r="H2411" i="22"/>
  <c r="I2410" i="22"/>
  <c r="H2410" i="22"/>
  <c r="D2517" i="22" s="1"/>
  <c r="I2409" i="22"/>
  <c r="H2409" i="22"/>
  <c r="I2408" i="22"/>
  <c r="H2408" i="22"/>
  <c r="I2407" i="22"/>
  <c r="H2407" i="22"/>
  <c r="I2406" i="22"/>
  <c r="H2406" i="22"/>
  <c r="I2405" i="22"/>
  <c r="H2405" i="22"/>
  <c r="I2404" i="22"/>
  <c r="H2404" i="22"/>
  <c r="I2403" i="22"/>
  <c r="H2403" i="22"/>
  <c r="I2402" i="22"/>
  <c r="H2402" i="22"/>
  <c r="I2401" i="22"/>
  <c r="H2401" i="22"/>
  <c r="I2400" i="22"/>
  <c r="H2400" i="22"/>
  <c r="I2399" i="22"/>
  <c r="H2399" i="22"/>
  <c r="I2398" i="22"/>
  <c r="H2398" i="22"/>
  <c r="I2397" i="22"/>
  <c r="H2397" i="22"/>
  <c r="I2396" i="22"/>
  <c r="H2396" i="22"/>
  <c r="I2395" i="22"/>
  <c r="H2395" i="22"/>
  <c r="I2394" i="22"/>
  <c r="H2394" i="22"/>
  <c r="I2393" i="22"/>
  <c r="H2393" i="22"/>
  <c r="I2392" i="22"/>
  <c r="H2392" i="22"/>
  <c r="I2391" i="22"/>
  <c r="H2391" i="22"/>
  <c r="I2390" i="22"/>
  <c r="H2390" i="22"/>
  <c r="D2519" i="22" s="1"/>
  <c r="I2389" i="22"/>
  <c r="H2389" i="22"/>
  <c r="I2388" i="22"/>
  <c r="H2388" i="22"/>
  <c r="I2387" i="22"/>
  <c r="H2387" i="22"/>
  <c r="I2386" i="22"/>
  <c r="H2386" i="22"/>
  <c r="I2385" i="22"/>
  <c r="H2385" i="22"/>
  <c r="I2384" i="22"/>
  <c r="H2384" i="22"/>
  <c r="I2383" i="22"/>
  <c r="H2383" i="22"/>
  <c r="I2382" i="22"/>
  <c r="H2382" i="22"/>
  <c r="I2381" i="22"/>
  <c r="H2381" i="22"/>
  <c r="I2380" i="22"/>
  <c r="H2380" i="22"/>
  <c r="I2379" i="22"/>
  <c r="H2379" i="22"/>
  <c r="I2378" i="22"/>
  <c r="H2378" i="22"/>
  <c r="I2377" i="22"/>
  <c r="H2377" i="22"/>
  <c r="I2376" i="22"/>
  <c r="H2376" i="22"/>
  <c r="I2375" i="22"/>
  <c r="H2375" i="22"/>
  <c r="I2374" i="22"/>
  <c r="H2374" i="22"/>
  <c r="I2373" i="22"/>
  <c r="H2373" i="22"/>
  <c r="I2372" i="22"/>
  <c r="H2372" i="22"/>
  <c r="I2371" i="22"/>
  <c r="H2371" i="22"/>
  <c r="I2370" i="22"/>
  <c r="H2370" i="22"/>
  <c r="I2369" i="22"/>
  <c r="H2369" i="22"/>
  <c r="I2368" i="22"/>
  <c r="H2368" i="22"/>
  <c r="I2367" i="22"/>
  <c r="H2367" i="22"/>
  <c r="I2366" i="22"/>
  <c r="H2366" i="22"/>
  <c r="I2365" i="22"/>
  <c r="H2365" i="22"/>
  <c r="I2364" i="22"/>
  <c r="H2364" i="22"/>
  <c r="I2363" i="22"/>
  <c r="H2363" i="22"/>
  <c r="I2362" i="22"/>
  <c r="H2362" i="22"/>
  <c r="I2361" i="22"/>
  <c r="H2361" i="22"/>
  <c r="I2360" i="22"/>
  <c r="H2360" i="22"/>
  <c r="D2516" i="22" s="1"/>
  <c r="I2359" i="22"/>
  <c r="H2359" i="22"/>
  <c r="I2358" i="22"/>
  <c r="H2358" i="22"/>
  <c r="I2357" i="22"/>
  <c r="H2357" i="22"/>
  <c r="I2356" i="22"/>
  <c r="H2356" i="22"/>
  <c r="I2355" i="22"/>
  <c r="H2355" i="22"/>
  <c r="I2354" i="22"/>
  <c r="H2354" i="22"/>
  <c r="I2353" i="22"/>
  <c r="H2353" i="22"/>
  <c r="I2352" i="22"/>
  <c r="H2352" i="22"/>
  <c r="I2351" i="22"/>
  <c r="H2351" i="22"/>
  <c r="I2350" i="22"/>
  <c r="H2350" i="22"/>
  <c r="I2349" i="22"/>
  <c r="H2349" i="22"/>
  <c r="I2348" i="22"/>
  <c r="H2348" i="22"/>
  <c r="I2347" i="22"/>
  <c r="H2347" i="22"/>
  <c r="I2346" i="22"/>
  <c r="H2346" i="22"/>
  <c r="I2345" i="22"/>
  <c r="H2345" i="22"/>
  <c r="I2344" i="22"/>
  <c r="H2344" i="22"/>
  <c r="I2343" i="22"/>
  <c r="H2343" i="22"/>
  <c r="I2342" i="22"/>
  <c r="H2342" i="22"/>
  <c r="I2341" i="22"/>
  <c r="H2341" i="22"/>
  <c r="I2340" i="22"/>
  <c r="H2340" i="22"/>
  <c r="I2339" i="22"/>
  <c r="H2339" i="22"/>
  <c r="I2338" i="22"/>
  <c r="H2338" i="22"/>
  <c r="I2337" i="22"/>
  <c r="H2337" i="22"/>
  <c r="I2336" i="22"/>
  <c r="H2336" i="22"/>
  <c r="I2335" i="22"/>
  <c r="H2335" i="22"/>
  <c r="I2334" i="22"/>
  <c r="H2334" i="22"/>
  <c r="I2333" i="22"/>
  <c r="H2333" i="22"/>
  <c r="I2332" i="22"/>
  <c r="H2332" i="22"/>
  <c r="I2331" i="22"/>
  <c r="H2331" i="22"/>
  <c r="I2330" i="22"/>
  <c r="H2330" i="22"/>
  <c r="E2514" i="22" s="1"/>
  <c r="I2329" i="22"/>
  <c r="H2329" i="22"/>
  <c r="I2328" i="22"/>
  <c r="H2328" i="22"/>
  <c r="I2327" i="22"/>
  <c r="H2327" i="22"/>
  <c r="I2326" i="22"/>
  <c r="H2326" i="22"/>
  <c r="I2325" i="22"/>
  <c r="H2325" i="22"/>
  <c r="I2324" i="22"/>
  <c r="H2324" i="22"/>
  <c r="I2323" i="22"/>
  <c r="H2323" i="22"/>
  <c r="I2322" i="22"/>
  <c r="H2322" i="22"/>
  <c r="I2321" i="22"/>
  <c r="H2321" i="22"/>
  <c r="I2320" i="22"/>
  <c r="H2320" i="22"/>
  <c r="I2319" i="22"/>
  <c r="H2319" i="22"/>
  <c r="I2318" i="22"/>
  <c r="H2318" i="22"/>
  <c r="I2317" i="22"/>
  <c r="H2317" i="22"/>
  <c r="I2316" i="22"/>
  <c r="H2316" i="22"/>
  <c r="I2315" i="22"/>
  <c r="H2315" i="22"/>
  <c r="I2314" i="22"/>
  <c r="H2314" i="22"/>
  <c r="I2313" i="22"/>
  <c r="H2313" i="22"/>
  <c r="I2312" i="22"/>
  <c r="H2312" i="22"/>
  <c r="I2311" i="22"/>
  <c r="H2311" i="22"/>
  <c r="E2500" i="22" s="1"/>
  <c r="I2310" i="22"/>
  <c r="H2310" i="22"/>
  <c r="I2309" i="22"/>
  <c r="H2309" i="22"/>
  <c r="I2308" i="22"/>
  <c r="H2308" i="22"/>
  <c r="I2307" i="22"/>
  <c r="H2307" i="22"/>
  <c r="I2306" i="22"/>
  <c r="H2306" i="22"/>
  <c r="I2305" i="22"/>
  <c r="H2305" i="22"/>
  <c r="I2304" i="22"/>
  <c r="H2304" i="22"/>
  <c r="D2499" i="22" s="1"/>
  <c r="I2303" i="22"/>
  <c r="H2303" i="22"/>
  <c r="I2302" i="22"/>
  <c r="H2302" i="22"/>
  <c r="I2301" i="22"/>
  <c r="H2301" i="22"/>
  <c r="I2300" i="22"/>
  <c r="H2300" i="22"/>
  <c r="I2299" i="22"/>
  <c r="H2299" i="22"/>
  <c r="I2298" i="22"/>
  <c r="H2298" i="22"/>
  <c r="I2297" i="22"/>
  <c r="H2297" i="22"/>
  <c r="I2296" i="22"/>
  <c r="H2296" i="22"/>
  <c r="I2295" i="22"/>
  <c r="H2295" i="22"/>
  <c r="I2294" i="22"/>
  <c r="H2294" i="22"/>
  <c r="I2293" i="22"/>
  <c r="H2293" i="22"/>
  <c r="I2292" i="22"/>
  <c r="H2292" i="22"/>
  <c r="I2291" i="22"/>
  <c r="H2291" i="22"/>
  <c r="I2290" i="22"/>
  <c r="H2290" i="22"/>
  <c r="I2289" i="22"/>
  <c r="H2289" i="22"/>
  <c r="I2288" i="22"/>
  <c r="H2288" i="22"/>
  <c r="I2287" i="22"/>
  <c r="H2287" i="22"/>
  <c r="I2286" i="22"/>
  <c r="H2286" i="22"/>
  <c r="I2285" i="22"/>
  <c r="H2285" i="22"/>
  <c r="I2284" i="22"/>
  <c r="H2284" i="22"/>
  <c r="I2283" i="22"/>
  <c r="H2283" i="22"/>
  <c r="I2282" i="22"/>
  <c r="H2282" i="22"/>
  <c r="I2281" i="22"/>
  <c r="H2281" i="22"/>
  <c r="I2280" i="22"/>
  <c r="H2280" i="22"/>
  <c r="I2279" i="22"/>
  <c r="H2279" i="22"/>
  <c r="I2278" i="22"/>
  <c r="H2278" i="22"/>
  <c r="I2277" i="22"/>
  <c r="H2277" i="22"/>
  <c r="I2276" i="22"/>
  <c r="H2276" i="22"/>
  <c r="I2275" i="22"/>
  <c r="H2275" i="22"/>
  <c r="I2274" i="22"/>
  <c r="H2274" i="22"/>
  <c r="I2273" i="22"/>
  <c r="H2273" i="22"/>
  <c r="I2272" i="22"/>
  <c r="H2272" i="22"/>
  <c r="I2271" i="22"/>
  <c r="H2271" i="22"/>
  <c r="I2270" i="22"/>
  <c r="H2270" i="22"/>
  <c r="I2269" i="22"/>
  <c r="H2269" i="22"/>
  <c r="I2268" i="22"/>
  <c r="H2268" i="22"/>
  <c r="I2267" i="22"/>
  <c r="H2267" i="22"/>
  <c r="I2266" i="22"/>
  <c r="H2266" i="22"/>
  <c r="I2265" i="22"/>
  <c r="H2265" i="22"/>
  <c r="I2264" i="22"/>
  <c r="H2264" i="22"/>
  <c r="E2496" i="22" s="1"/>
  <c r="I2263" i="22"/>
  <c r="H2263" i="22"/>
  <c r="I2262" i="22"/>
  <c r="H2262" i="22"/>
  <c r="I2261" i="22"/>
  <c r="H2261" i="22"/>
  <c r="I2260" i="22"/>
  <c r="H2260" i="22"/>
  <c r="I2259" i="22"/>
  <c r="H2259" i="22"/>
  <c r="I2258" i="22"/>
  <c r="H2258" i="22"/>
  <c r="I2257" i="22"/>
  <c r="H2257" i="22"/>
  <c r="I2256" i="22"/>
  <c r="H2256" i="22"/>
  <c r="I2255" i="22"/>
  <c r="H2255" i="22"/>
  <c r="I2254" i="22"/>
  <c r="H2254" i="22"/>
  <c r="I2253" i="22"/>
  <c r="H2253" i="22"/>
  <c r="I2252" i="22"/>
  <c r="H2252" i="22"/>
  <c r="I2251" i="22"/>
  <c r="H2251" i="22"/>
  <c r="I2250" i="22"/>
  <c r="H2250" i="22"/>
  <c r="I2249" i="22"/>
  <c r="H2249" i="22"/>
  <c r="I2248" i="22"/>
  <c r="H2248" i="22"/>
  <c r="I2247" i="22"/>
  <c r="H2247" i="22"/>
  <c r="I2246" i="22"/>
  <c r="H2246" i="22"/>
  <c r="I2245" i="22"/>
  <c r="H2245" i="22"/>
  <c r="I2244" i="22"/>
  <c r="H2244" i="22"/>
  <c r="I2243" i="22"/>
  <c r="H2243" i="22"/>
  <c r="I2242" i="22"/>
  <c r="H2242" i="22"/>
  <c r="I2241" i="22"/>
  <c r="H2241" i="22"/>
  <c r="I2240" i="22"/>
  <c r="H2240" i="22"/>
  <c r="I2239" i="22"/>
  <c r="H2239" i="22"/>
  <c r="I2238" i="22"/>
  <c r="H2238" i="22"/>
  <c r="I2237" i="22"/>
  <c r="H2237" i="22"/>
  <c r="I2236" i="22"/>
  <c r="H2236" i="22"/>
  <c r="I2235" i="22"/>
  <c r="H2235" i="22"/>
  <c r="I2234" i="22"/>
  <c r="H2234" i="22"/>
  <c r="I2233" i="22"/>
  <c r="H2233" i="22"/>
  <c r="I2232" i="22"/>
  <c r="H2232" i="22"/>
  <c r="I2231" i="22"/>
  <c r="H2231" i="22"/>
  <c r="I2230" i="22"/>
  <c r="H2230" i="22"/>
  <c r="I2229" i="22"/>
  <c r="H2229" i="22"/>
  <c r="I2228" i="22"/>
  <c r="H2228" i="22"/>
  <c r="I2227" i="22"/>
  <c r="H2227" i="22"/>
  <c r="I2226" i="22"/>
  <c r="H2226" i="22"/>
  <c r="I2225" i="22"/>
  <c r="H2225" i="22"/>
  <c r="I2224" i="22"/>
  <c r="H2224" i="22"/>
  <c r="I2223" i="22"/>
  <c r="H2223" i="22"/>
  <c r="I2222" i="22"/>
  <c r="H2222" i="22"/>
  <c r="I2221" i="22"/>
  <c r="H2221" i="22"/>
  <c r="I2220" i="22"/>
  <c r="H2220" i="22"/>
  <c r="I2219" i="22"/>
  <c r="H2219" i="22"/>
  <c r="I2218" i="22"/>
  <c r="H2218" i="22"/>
  <c r="I2217" i="22"/>
  <c r="H2217" i="22"/>
  <c r="I2216" i="22"/>
  <c r="H2216" i="22"/>
  <c r="I2215" i="22"/>
  <c r="H2215" i="22"/>
  <c r="I2214" i="22"/>
  <c r="H2214" i="22"/>
  <c r="I2213" i="22"/>
  <c r="H2213" i="22"/>
  <c r="I2212" i="22"/>
  <c r="H2212" i="22"/>
  <c r="I2211" i="22"/>
  <c r="H2211" i="22"/>
  <c r="I2210" i="22"/>
  <c r="H2210" i="22"/>
  <c r="I2209" i="22"/>
  <c r="H2209" i="22"/>
  <c r="I2208" i="22"/>
  <c r="H2208" i="22"/>
  <c r="I2207" i="22"/>
  <c r="H2207" i="22"/>
  <c r="I2206" i="22"/>
  <c r="H2206" i="22"/>
  <c r="I2205" i="22"/>
  <c r="H2205" i="22"/>
  <c r="I2204" i="22"/>
  <c r="H2204" i="22"/>
  <c r="I2203" i="22"/>
  <c r="H2203" i="22"/>
  <c r="I2202" i="22"/>
  <c r="H2202" i="22"/>
  <c r="I2201" i="22"/>
  <c r="H2201" i="22"/>
  <c r="I2200" i="22"/>
  <c r="H2200" i="22"/>
  <c r="I2199" i="22"/>
  <c r="H2199" i="22"/>
  <c r="I2198" i="22"/>
  <c r="H2198" i="22"/>
  <c r="I2197" i="22"/>
  <c r="H2197" i="22"/>
  <c r="I2196" i="22"/>
  <c r="H2196" i="22"/>
  <c r="I2195" i="22"/>
  <c r="H2195" i="22"/>
  <c r="I2194" i="22"/>
  <c r="H2194" i="22"/>
  <c r="I2193" i="22"/>
  <c r="H2193" i="22"/>
  <c r="I2192" i="22"/>
  <c r="H2192" i="22"/>
  <c r="I2191" i="22"/>
  <c r="H2191" i="22"/>
  <c r="I2190" i="22"/>
  <c r="H2190" i="22"/>
  <c r="I2189" i="22"/>
  <c r="H2189" i="22"/>
  <c r="I2188" i="22"/>
  <c r="H2188" i="22"/>
  <c r="I2187" i="22"/>
  <c r="H2187" i="22"/>
  <c r="I2186" i="22"/>
  <c r="H2186" i="22"/>
  <c r="I2185" i="22"/>
  <c r="H2185" i="22"/>
  <c r="I2184" i="22"/>
  <c r="H2184" i="22"/>
  <c r="I2183" i="22"/>
  <c r="H2183" i="22"/>
  <c r="I2182" i="22"/>
  <c r="H2182" i="22"/>
  <c r="I2181" i="22"/>
  <c r="H2181" i="22"/>
  <c r="I2180" i="22"/>
  <c r="H2180" i="22"/>
  <c r="I2179" i="22"/>
  <c r="H2179" i="22"/>
  <c r="I2178" i="22"/>
  <c r="H2178" i="22"/>
  <c r="I2177" i="22"/>
  <c r="H2177" i="22"/>
  <c r="I2176" i="22"/>
  <c r="H2176" i="22"/>
  <c r="I2175" i="22"/>
  <c r="H2175" i="22"/>
  <c r="I2174" i="22"/>
  <c r="H2174" i="22"/>
  <c r="I2173" i="22"/>
  <c r="H2173" i="22"/>
  <c r="I2172" i="22"/>
  <c r="H2172" i="22"/>
  <c r="I2171" i="22"/>
  <c r="H2171" i="22"/>
  <c r="I2170" i="22"/>
  <c r="H2170" i="22"/>
  <c r="I2169" i="22"/>
  <c r="H2169" i="22"/>
  <c r="I2168" i="22"/>
  <c r="H2168" i="22"/>
  <c r="I2167" i="22"/>
  <c r="H2167" i="22"/>
  <c r="I2166" i="22"/>
  <c r="H2166" i="22"/>
  <c r="I2165" i="22"/>
  <c r="H2165" i="22"/>
  <c r="I2164" i="22"/>
  <c r="H2164" i="22"/>
  <c r="I2163" i="22"/>
  <c r="H2163" i="22"/>
  <c r="I2162" i="22"/>
  <c r="H2162" i="22"/>
  <c r="I2161" i="22"/>
  <c r="H2161" i="22"/>
  <c r="I2160" i="22"/>
  <c r="H2160" i="22"/>
  <c r="I2159" i="22"/>
  <c r="H2159" i="22"/>
  <c r="I2158" i="22"/>
  <c r="H2158" i="22"/>
  <c r="I2157" i="22"/>
  <c r="H2157" i="22"/>
  <c r="I2156" i="22"/>
  <c r="H2156" i="22"/>
  <c r="I2155" i="22"/>
  <c r="H2155" i="22"/>
  <c r="I2154" i="22"/>
  <c r="H2154" i="22"/>
  <c r="I2153" i="22"/>
  <c r="H2153" i="22"/>
  <c r="I2152" i="22"/>
  <c r="H2152" i="22"/>
  <c r="I2151" i="22"/>
  <c r="H2151" i="22"/>
  <c r="I2150" i="22"/>
  <c r="H2150" i="22"/>
  <c r="I2149" i="22"/>
  <c r="H2149" i="22"/>
  <c r="I2148" i="22"/>
  <c r="H2148" i="22"/>
  <c r="I2147" i="22"/>
  <c r="H2147" i="22"/>
  <c r="I2146" i="22"/>
  <c r="H2146" i="22"/>
  <c r="I2145" i="22"/>
  <c r="H2145" i="22"/>
  <c r="I2144" i="22"/>
  <c r="H2144" i="22"/>
  <c r="I2143" i="22"/>
  <c r="H2143" i="22"/>
  <c r="I2142" i="22"/>
  <c r="H2142" i="22"/>
  <c r="I2141" i="22"/>
  <c r="H2141" i="22"/>
  <c r="I2140" i="22"/>
  <c r="H2140" i="22"/>
  <c r="I2139" i="22"/>
  <c r="H2139" i="22"/>
  <c r="I2122" i="22"/>
  <c r="H2122" i="22"/>
  <c r="I2121" i="22"/>
  <c r="H2121" i="22"/>
  <c r="I2101" i="22"/>
  <c r="H2101" i="22"/>
  <c r="I2100" i="22"/>
  <c r="H2100" i="22"/>
  <c r="I2099" i="22"/>
  <c r="H2099" i="22"/>
  <c r="I2098" i="22"/>
  <c r="H2098" i="22"/>
  <c r="I2097" i="22"/>
  <c r="H2097" i="22"/>
  <c r="I2096" i="22"/>
  <c r="H2096" i="22"/>
  <c r="I2095" i="22"/>
  <c r="H2095" i="22"/>
  <c r="I2094" i="22"/>
  <c r="H2094" i="22"/>
  <c r="I2093" i="22"/>
  <c r="H2093" i="22"/>
  <c r="I2092" i="22"/>
  <c r="H2092" i="22"/>
  <c r="I2091" i="22"/>
  <c r="H2091" i="22"/>
  <c r="I2090" i="22"/>
  <c r="H2090" i="22"/>
  <c r="I2089" i="22"/>
  <c r="H2089" i="22"/>
  <c r="I2088" i="22"/>
  <c r="H2088" i="22"/>
  <c r="I2087" i="22"/>
  <c r="H2087" i="22"/>
  <c r="I2086" i="22"/>
  <c r="H2086" i="22"/>
  <c r="I2085" i="22"/>
  <c r="H2085" i="22"/>
  <c r="I2084" i="22"/>
  <c r="H2084" i="22"/>
  <c r="I2083" i="22"/>
  <c r="H2083" i="22"/>
  <c r="I2082" i="22"/>
  <c r="H2082" i="22"/>
  <c r="I2081" i="22"/>
  <c r="H2081" i="22"/>
  <c r="I2080" i="22"/>
  <c r="H2080" i="22"/>
  <c r="I2079" i="22"/>
  <c r="H2079" i="22"/>
  <c r="I2078" i="22"/>
  <c r="H2078" i="22"/>
  <c r="I2077" i="22"/>
  <c r="H2077" i="22"/>
  <c r="I2076" i="22"/>
  <c r="H2076" i="22"/>
  <c r="I2075" i="22"/>
  <c r="H2075" i="22"/>
  <c r="I2074" i="22"/>
  <c r="H2074" i="22"/>
  <c r="I2073" i="22"/>
  <c r="H2073" i="22"/>
  <c r="I2072" i="22"/>
  <c r="H2072" i="22"/>
  <c r="I2071" i="22"/>
  <c r="H2071" i="22"/>
  <c r="I2070" i="22"/>
  <c r="H2070" i="22"/>
  <c r="I2069" i="22"/>
  <c r="H2069" i="22"/>
  <c r="I2068" i="22"/>
  <c r="H2068" i="22"/>
  <c r="I2067" i="22"/>
  <c r="H2067" i="22"/>
  <c r="I2066" i="22"/>
  <c r="H2066" i="22"/>
  <c r="I2065" i="22"/>
  <c r="H2065" i="22"/>
  <c r="I2064" i="22"/>
  <c r="H2064" i="22"/>
  <c r="I2063" i="22"/>
  <c r="H2063" i="22"/>
  <c r="I2062" i="22"/>
  <c r="H2062" i="22"/>
  <c r="I2061" i="22"/>
  <c r="H2061" i="22"/>
  <c r="I2060" i="22"/>
  <c r="H2060" i="22"/>
  <c r="I2059" i="22"/>
  <c r="H2059" i="22"/>
  <c r="I2058" i="22"/>
  <c r="H2058" i="22"/>
  <c r="I2057" i="22"/>
  <c r="H2057" i="22"/>
  <c r="I2056" i="22"/>
  <c r="H2056" i="22"/>
  <c r="I2055" i="22"/>
  <c r="H2055" i="22"/>
  <c r="I2054" i="22"/>
  <c r="H2054" i="22"/>
  <c r="I2053" i="22"/>
  <c r="H2053" i="22"/>
  <c r="I2052" i="22"/>
  <c r="H2052" i="22"/>
  <c r="I2051" i="22"/>
  <c r="H2051" i="22"/>
  <c r="I2050" i="22"/>
  <c r="H2050" i="22"/>
  <c r="I2049" i="22"/>
  <c r="H2049" i="22"/>
  <c r="I2048" i="22"/>
  <c r="H2048" i="22"/>
  <c r="I2047" i="22"/>
  <c r="H2047" i="22"/>
  <c r="I2046" i="22"/>
  <c r="H2046" i="22"/>
  <c r="I2045" i="22"/>
  <c r="H2045" i="22"/>
  <c r="I2044" i="22"/>
  <c r="H2044" i="22"/>
  <c r="I2043" i="22"/>
  <c r="H2043" i="22"/>
  <c r="I2042" i="22"/>
  <c r="H2042" i="22"/>
  <c r="I2041" i="22"/>
  <c r="H2041" i="22"/>
  <c r="I2040" i="22"/>
  <c r="H2040" i="22"/>
  <c r="I2039" i="22"/>
  <c r="H2039" i="22"/>
  <c r="I2038" i="22"/>
  <c r="H2038" i="22"/>
  <c r="I2037" i="22"/>
  <c r="H2037" i="22"/>
  <c r="I2036" i="22"/>
  <c r="H2036" i="22"/>
  <c r="I2035" i="22"/>
  <c r="H2035" i="22"/>
  <c r="I2034" i="22"/>
  <c r="H2034" i="22"/>
  <c r="I2033" i="22"/>
  <c r="H2033" i="22"/>
  <c r="I2032" i="22"/>
  <c r="H2032" i="22"/>
  <c r="I2031" i="22"/>
  <c r="H2031" i="22"/>
  <c r="I2030" i="22"/>
  <c r="H2030" i="22"/>
  <c r="I2029" i="22"/>
  <c r="H2029" i="22"/>
  <c r="I2028" i="22"/>
  <c r="H2028" i="22"/>
  <c r="I2027" i="22"/>
  <c r="H2027" i="22"/>
  <c r="I2026" i="22"/>
  <c r="H2026" i="22"/>
  <c r="I2025" i="22"/>
  <c r="H2025" i="22"/>
  <c r="I2024" i="22"/>
  <c r="H2024" i="22"/>
  <c r="I2023" i="22"/>
  <c r="H2023" i="22"/>
  <c r="I2022" i="22"/>
  <c r="H2022" i="22"/>
  <c r="I2021" i="22"/>
  <c r="H2021" i="22"/>
  <c r="I2020" i="22"/>
  <c r="H2020" i="22"/>
  <c r="I2019" i="22"/>
  <c r="H2019" i="22"/>
  <c r="I2018" i="22"/>
  <c r="H2018" i="22"/>
  <c r="I2017" i="22"/>
  <c r="H2017" i="22"/>
  <c r="I2016" i="22"/>
  <c r="H2016" i="22"/>
  <c r="I2015" i="22"/>
  <c r="H2015" i="22"/>
  <c r="I2014" i="22"/>
  <c r="H2014" i="22"/>
  <c r="I2013" i="22"/>
  <c r="H2013" i="22"/>
  <c r="I2012" i="22"/>
  <c r="H2012" i="22"/>
  <c r="I2011" i="22"/>
  <c r="H2011" i="22"/>
  <c r="I2010" i="22"/>
  <c r="H2010" i="22"/>
  <c r="I2009" i="22"/>
  <c r="H2009" i="22"/>
  <c r="I2008" i="22"/>
  <c r="H2008" i="22"/>
  <c r="I2007" i="22"/>
  <c r="H2007" i="22"/>
  <c r="I2006" i="22"/>
  <c r="H2006" i="22"/>
  <c r="I2005" i="22"/>
  <c r="H2005" i="22"/>
  <c r="I2004" i="22"/>
  <c r="H2004" i="22"/>
  <c r="I2003" i="22"/>
  <c r="H2003" i="22"/>
  <c r="I2002" i="22"/>
  <c r="H2002" i="22"/>
  <c r="I2001" i="22"/>
  <c r="H2001" i="22"/>
  <c r="I2000" i="22"/>
  <c r="H2000" i="22"/>
  <c r="I1999" i="22"/>
  <c r="H1999" i="22"/>
  <c r="I1998" i="22"/>
  <c r="H1998" i="22"/>
  <c r="I1997" i="22"/>
  <c r="H1997" i="22"/>
  <c r="I1996" i="22"/>
  <c r="H1996" i="22"/>
  <c r="I1995" i="22"/>
  <c r="H1995" i="22"/>
  <c r="I1994" i="22"/>
  <c r="H1994" i="22"/>
  <c r="I1993" i="22"/>
  <c r="H1993" i="22"/>
  <c r="I1992" i="22"/>
  <c r="H1992" i="22"/>
  <c r="I1991" i="22"/>
  <c r="H1991" i="22"/>
  <c r="I1990" i="22"/>
  <c r="H1990" i="22"/>
  <c r="I1989" i="22"/>
  <c r="H1989" i="22"/>
  <c r="I1988" i="22"/>
  <c r="H1988" i="22"/>
  <c r="I1987" i="22"/>
  <c r="H1987" i="22"/>
  <c r="I1986" i="22"/>
  <c r="H1986" i="22"/>
  <c r="I1985" i="22"/>
  <c r="H1985" i="22"/>
  <c r="E2511" i="22" s="1"/>
  <c r="I1984" i="22"/>
  <c r="H1984" i="22"/>
  <c r="I1983" i="22"/>
  <c r="H1983" i="22"/>
  <c r="I1982" i="22"/>
  <c r="H1982" i="22"/>
  <c r="I1981" i="22"/>
  <c r="H1981" i="22"/>
  <c r="I1980" i="22"/>
  <c r="H1980" i="22"/>
  <c r="I1979" i="22"/>
  <c r="H1979" i="22"/>
  <c r="I1978" i="22"/>
  <c r="H1978" i="22"/>
  <c r="I1977" i="22"/>
  <c r="H1977" i="22"/>
  <c r="I1976" i="22"/>
  <c r="H1976" i="22"/>
  <c r="I1975" i="22"/>
  <c r="H1975" i="22"/>
  <c r="I1974" i="22"/>
  <c r="H1974" i="22"/>
  <c r="I1973" i="22"/>
  <c r="H1973" i="22"/>
  <c r="I1972" i="22"/>
  <c r="H1972" i="22"/>
  <c r="I1971" i="22"/>
  <c r="H1971" i="22"/>
  <c r="I1970" i="22"/>
  <c r="H1970" i="22"/>
  <c r="I1969" i="22"/>
  <c r="H1969" i="22"/>
  <c r="I1968" i="22"/>
  <c r="H1968" i="22"/>
  <c r="I1967" i="22"/>
  <c r="H1967" i="22"/>
  <c r="I1966" i="22"/>
  <c r="H1966" i="22"/>
  <c r="I1965" i="22"/>
  <c r="H1965" i="22"/>
  <c r="I1964" i="22"/>
  <c r="H1964" i="22"/>
  <c r="I1963" i="22"/>
  <c r="H1963" i="22"/>
  <c r="I1962" i="22"/>
  <c r="H1962" i="22"/>
  <c r="I1961" i="22"/>
  <c r="H1961" i="22"/>
  <c r="I1960" i="22"/>
  <c r="H1960" i="22"/>
  <c r="I1959" i="22"/>
  <c r="H1959" i="22"/>
  <c r="I1958" i="22"/>
  <c r="H1958" i="22"/>
  <c r="I1957" i="22"/>
  <c r="H1957" i="22"/>
  <c r="I1956" i="22"/>
  <c r="H1956" i="22"/>
  <c r="I1955" i="22"/>
  <c r="H1955" i="22"/>
  <c r="I1954" i="22"/>
  <c r="H1954" i="22"/>
  <c r="I1953" i="22"/>
  <c r="H1953" i="22"/>
  <c r="I1952" i="22"/>
  <c r="H1952" i="22"/>
  <c r="I1951" i="22"/>
  <c r="H1951" i="22"/>
  <c r="I1950" i="22"/>
  <c r="H1950" i="22"/>
  <c r="I1949" i="22"/>
  <c r="H1949" i="22"/>
  <c r="I1948" i="22"/>
  <c r="H1948" i="22"/>
  <c r="I1947" i="22"/>
  <c r="H1947" i="22"/>
  <c r="I1946" i="22"/>
  <c r="H1946" i="22"/>
  <c r="I1945" i="22"/>
  <c r="H1945" i="22"/>
  <c r="I1944" i="22"/>
  <c r="H1944" i="22"/>
  <c r="I1943" i="22"/>
  <c r="H1943" i="22"/>
  <c r="I1942" i="22"/>
  <c r="H1942" i="22"/>
  <c r="I1941" i="22"/>
  <c r="H1941" i="22"/>
  <c r="I1940" i="22"/>
  <c r="H1940" i="22"/>
  <c r="I1939" i="22"/>
  <c r="H1939" i="22"/>
  <c r="I1938" i="22"/>
  <c r="H1938" i="22"/>
  <c r="I1937" i="22"/>
  <c r="H1937" i="22"/>
  <c r="I1936" i="22"/>
  <c r="H1936" i="22"/>
  <c r="I1935" i="22"/>
  <c r="H1935" i="22"/>
  <c r="I1934" i="22"/>
  <c r="H1934" i="22"/>
  <c r="I1933" i="22"/>
  <c r="H1933" i="22"/>
  <c r="I1932" i="22"/>
  <c r="H1932" i="22"/>
  <c r="I1931" i="22"/>
  <c r="H1931" i="22"/>
  <c r="I1930" i="22"/>
  <c r="H1930" i="22"/>
  <c r="I1929" i="22"/>
  <c r="H1929" i="22"/>
  <c r="I1928" i="22"/>
  <c r="H1928" i="22"/>
  <c r="I1927" i="22"/>
  <c r="H1927" i="22"/>
  <c r="I1926" i="22"/>
  <c r="H1926" i="22"/>
  <c r="I1925" i="22"/>
  <c r="H1925" i="22"/>
  <c r="I1924" i="22"/>
  <c r="H1924" i="22"/>
  <c r="I1923" i="22"/>
  <c r="H1923" i="22"/>
  <c r="I1922" i="22"/>
  <c r="H1922" i="22"/>
  <c r="I1921" i="22"/>
  <c r="H1921" i="22"/>
  <c r="I1920" i="22"/>
  <c r="H1920" i="22"/>
  <c r="I1919" i="22"/>
  <c r="H1919" i="22"/>
  <c r="I1918" i="22"/>
  <c r="H1918" i="22"/>
  <c r="I1917" i="22"/>
  <c r="H1917" i="22"/>
  <c r="I1916" i="22"/>
  <c r="H1916" i="22"/>
  <c r="I1915" i="22"/>
  <c r="H1915" i="22"/>
  <c r="I1914" i="22"/>
  <c r="H1914" i="22"/>
  <c r="I1913" i="22"/>
  <c r="H1913" i="22"/>
  <c r="I1912" i="22"/>
  <c r="H1912" i="22"/>
  <c r="I1911" i="22"/>
  <c r="H1911" i="22"/>
  <c r="I1910" i="22"/>
  <c r="H1910" i="22"/>
  <c r="I1909" i="22"/>
  <c r="H1909" i="22"/>
  <c r="I1908" i="22"/>
  <c r="H1908" i="22"/>
  <c r="I1907" i="22"/>
  <c r="H1907" i="22"/>
  <c r="I1906" i="22"/>
  <c r="H1906" i="22"/>
  <c r="I1905" i="22"/>
  <c r="H1905" i="22"/>
  <c r="I1904" i="22"/>
  <c r="H1904" i="22"/>
  <c r="I1903" i="22"/>
  <c r="H1903" i="22"/>
  <c r="I1902" i="22"/>
  <c r="H1902" i="22"/>
  <c r="I1901" i="22"/>
  <c r="H1901" i="22"/>
  <c r="I1900" i="22"/>
  <c r="H1900" i="22"/>
  <c r="I1899" i="22"/>
  <c r="H1899" i="22"/>
  <c r="I1898" i="22"/>
  <c r="H1898" i="22"/>
  <c r="I1897" i="22"/>
  <c r="H1897" i="22"/>
  <c r="I1896" i="22"/>
  <c r="H1896" i="22"/>
  <c r="I1895" i="22"/>
  <c r="H1895" i="22"/>
  <c r="I1894" i="22"/>
  <c r="H1894" i="22"/>
  <c r="I1893" i="22"/>
  <c r="H1893" i="22"/>
  <c r="I1892" i="22"/>
  <c r="H1892" i="22"/>
  <c r="I1891" i="22"/>
  <c r="H1891" i="22"/>
  <c r="I1890" i="22"/>
  <c r="H1890" i="22"/>
  <c r="I1889" i="22"/>
  <c r="H1889" i="22"/>
  <c r="I1888" i="22"/>
  <c r="H1888" i="22"/>
  <c r="I1887" i="22"/>
  <c r="H1887" i="22"/>
  <c r="I1886" i="22"/>
  <c r="H1886" i="22"/>
  <c r="I1885" i="22"/>
  <c r="H1885" i="22"/>
  <c r="I1884" i="22"/>
  <c r="H1884" i="22"/>
  <c r="I1883" i="22"/>
  <c r="H1883" i="22"/>
  <c r="I1882" i="22"/>
  <c r="H1882" i="22"/>
  <c r="I1881" i="22"/>
  <c r="H1881" i="22"/>
  <c r="I1880" i="22"/>
  <c r="H1880" i="22"/>
  <c r="I1879" i="22"/>
  <c r="H1879" i="22"/>
  <c r="I1878" i="22"/>
  <c r="H1878" i="22"/>
  <c r="I1877" i="22"/>
  <c r="H1877" i="22"/>
  <c r="I1876" i="22"/>
  <c r="H1876" i="22"/>
  <c r="I1875" i="22"/>
  <c r="H1875" i="22"/>
  <c r="I1874" i="22"/>
  <c r="H1874" i="22"/>
  <c r="I1873" i="22"/>
  <c r="H1873" i="22"/>
  <c r="I1872" i="22"/>
  <c r="H1872" i="22"/>
  <c r="I1871" i="22"/>
  <c r="H1871" i="22"/>
  <c r="I1870" i="22"/>
  <c r="H1870" i="22"/>
  <c r="I1869" i="22"/>
  <c r="H1869" i="22"/>
  <c r="I1868" i="22"/>
  <c r="H1868" i="22"/>
  <c r="I1867" i="22"/>
  <c r="H1867" i="22"/>
  <c r="I1866" i="22"/>
  <c r="H1866" i="22"/>
  <c r="I1865" i="22"/>
  <c r="H1865" i="22"/>
  <c r="I1864" i="22"/>
  <c r="H1864" i="22"/>
  <c r="I1863" i="22"/>
  <c r="H1863" i="22"/>
  <c r="I1862" i="22"/>
  <c r="H1862" i="22"/>
  <c r="I1861" i="22"/>
  <c r="H1861" i="22"/>
  <c r="I1860" i="22"/>
  <c r="H1860" i="22"/>
  <c r="I1859" i="22"/>
  <c r="H1859" i="22"/>
  <c r="I1858" i="22"/>
  <c r="H1858" i="22"/>
  <c r="I1857" i="22"/>
  <c r="H1857" i="22"/>
  <c r="I1856" i="22"/>
  <c r="H1856" i="22"/>
  <c r="I1855" i="22"/>
  <c r="H1855" i="22"/>
  <c r="I1854" i="22"/>
  <c r="H1854" i="22"/>
  <c r="I1853" i="22"/>
  <c r="H1853" i="22"/>
  <c r="I1852" i="22"/>
  <c r="H1852" i="22"/>
  <c r="I1851" i="22"/>
  <c r="H1851" i="22"/>
  <c r="I1850" i="22"/>
  <c r="H1850" i="22"/>
  <c r="I1849" i="22"/>
  <c r="H1849" i="22"/>
  <c r="I1848" i="22"/>
  <c r="H1848" i="22"/>
  <c r="I1847" i="22"/>
  <c r="H1847" i="22"/>
  <c r="I1846" i="22"/>
  <c r="H1846" i="22"/>
  <c r="I1845" i="22"/>
  <c r="H1845" i="22"/>
  <c r="I1844" i="22"/>
  <c r="H1844" i="22"/>
  <c r="I1843" i="22"/>
  <c r="H1843" i="22"/>
  <c r="I1842" i="22"/>
  <c r="H1842" i="22"/>
  <c r="I1841" i="22"/>
  <c r="H1841" i="22"/>
  <c r="I1840" i="22"/>
  <c r="H1840" i="22"/>
  <c r="I1839" i="22"/>
  <c r="H1839" i="22"/>
  <c r="I1838" i="22"/>
  <c r="H1838" i="22"/>
  <c r="I1837" i="22"/>
  <c r="H1837" i="22"/>
  <c r="I1836" i="22"/>
  <c r="H1836" i="22"/>
  <c r="I1835" i="22"/>
  <c r="H1835" i="22"/>
  <c r="I1834" i="22"/>
  <c r="H1834" i="22"/>
  <c r="I1833" i="22"/>
  <c r="H1833" i="22"/>
  <c r="I1832" i="22"/>
  <c r="H1832" i="22"/>
  <c r="I1831" i="22"/>
  <c r="H1831" i="22"/>
  <c r="I1830" i="22"/>
  <c r="H1830" i="22"/>
  <c r="I1829" i="22"/>
  <c r="H1829" i="22"/>
  <c r="I1828" i="22"/>
  <c r="H1828" i="22"/>
  <c r="I1827" i="22"/>
  <c r="H1827" i="22"/>
  <c r="I1826" i="22"/>
  <c r="H1826" i="22"/>
  <c r="I1825" i="22"/>
  <c r="H1825" i="22"/>
  <c r="I1824" i="22"/>
  <c r="H1824" i="22"/>
  <c r="I1823" i="22"/>
  <c r="H1823" i="22"/>
  <c r="I1822" i="22"/>
  <c r="H1822" i="22"/>
  <c r="I1821" i="22"/>
  <c r="H1821" i="22"/>
  <c r="I1820" i="22"/>
  <c r="H1820" i="22"/>
  <c r="I1819" i="22"/>
  <c r="H1819" i="22"/>
  <c r="I1818" i="22"/>
  <c r="H1818" i="22"/>
  <c r="I1817" i="22"/>
  <c r="H1817" i="22"/>
  <c r="I1816" i="22"/>
  <c r="H1816" i="22"/>
  <c r="I1815" i="22"/>
  <c r="H1815" i="22"/>
  <c r="I1814" i="22"/>
  <c r="H1814" i="22"/>
  <c r="I1813" i="22"/>
  <c r="H1813" i="22"/>
  <c r="I1812" i="22"/>
  <c r="H1812" i="22"/>
  <c r="I1811" i="22"/>
  <c r="H1811" i="22"/>
  <c r="I1810" i="22"/>
  <c r="H1810" i="22"/>
  <c r="I1809" i="22"/>
  <c r="H1809" i="22"/>
  <c r="I1808" i="22"/>
  <c r="H1808" i="22"/>
  <c r="I1807" i="22"/>
  <c r="H1807" i="22"/>
  <c r="I1806" i="22"/>
  <c r="H1806" i="22"/>
  <c r="I1805" i="22"/>
  <c r="H1805" i="22"/>
  <c r="I1804" i="22"/>
  <c r="H1804" i="22"/>
  <c r="I1803" i="22"/>
  <c r="H1803" i="22"/>
  <c r="I1802" i="22"/>
  <c r="H1802" i="22"/>
  <c r="I1801" i="22"/>
  <c r="H1801" i="22"/>
  <c r="I1800" i="22"/>
  <c r="H1800" i="22"/>
  <c r="I1799" i="22"/>
  <c r="H1799" i="22"/>
  <c r="I1798" i="22"/>
  <c r="H1798" i="22"/>
  <c r="I1797" i="22"/>
  <c r="H1797" i="22"/>
  <c r="I1796" i="22"/>
  <c r="H1796" i="22"/>
  <c r="I1795" i="22"/>
  <c r="H1795" i="22"/>
  <c r="I1794" i="22"/>
  <c r="H1794" i="22"/>
  <c r="I1793" i="22"/>
  <c r="H1793" i="22"/>
  <c r="I1792" i="22"/>
  <c r="H1792" i="22"/>
  <c r="I1791" i="22"/>
  <c r="H1791" i="22"/>
  <c r="I1790" i="22"/>
  <c r="H1790" i="22"/>
  <c r="I1789" i="22"/>
  <c r="H1789" i="22"/>
  <c r="I1788" i="22"/>
  <c r="H1788" i="22"/>
  <c r="I1787" i="22"/>
  <c r="H1787" i="22"/>
  <c r="I1786" i="22"/>
  <c r="H1786" i="22"/>
  <c r="I1785" i="22"/>
  <c r="H1785" i="22"/>
  <c r="I1784" i="22"/>
  <c r="H1784" i="22"/>
  <c r="I1783" i="22"/>
  <c r="H1783" i="22"/>
  <c r="I1782" i="22"/>
  <c r="H1782" i="22"/>
  <c r="I1781" i="22"/>
  <c r="H1781" i="22"/>
  <c r="I1780" i="22"/>
  <c r="H1780" i="22"/>
  <c r="I1779" i="22"/>
  <c r="H1779" i="22"/>
  <c r="I1778" i="22"/>
  <c r="H1778" i="22"/>
  <c r="I1777" i="22"/>
  <c r="H1777" i="22"/>
  <c r="I1776" i="22"/>
  <c r="H1776" i="22"/>
  <c r="I1775" i="22"/>
  <c r="H1775" i="22"/>
  <c r="I1774" i="22"/>
  <c r="H1774" i="22"/>
  <c r="I1773" i="22"/>
  <c r="H1773" i="22"/>
  <c r="I1772" i="22"/>
  <c r="H1772" i="22"/>
  <c r="I1771" i="22"/>
  <c r="H1771" i="22"/>
  <c r="I1770" i="22"/>
  <c r="H1770" i="22"/>
  <c r="I1769" i="22"/>
  <c r="H1769" i="22"/>
  <c r="I1768" i="22"/>
  <c r="H1768" i="22"/>
  <c r="I1767" i="22"/>
  <c r="H1767" i="22"/>
  <c r="I1766" i="22"/>
  <c r="H1766" i="22"/>
  <c r="I1765" i="22"/>
  <c r="H1765" i="22"/>
  <c r="I1764" i="22"/>
  <c r="H1764" i="22"/>
  <c r="I1763" i="22"/>
  <c r="H1763" i="22"/>
  <c r="I1762" i="22"/>
  <c r="H1762" i="22"/>
  <c r="I1761" i="22"/>
  <c r="H1761" i="22"/>
  <c r="I1760" i="22"/>
  <c r="H1760" i="22"/>
  <c r="I1759" i="22"/>
  <c r="H1759" i="22"/>
  <c r="I1758" i="22"/>
  <c r="H1758" i="22"/>
  <c r="I1757" i="22"/>
  <c r="H1757" i="22"/>
  <c r="I1756" i="22"/>
  <c r="H1756" i="22"/>
  <c r="I1755" i="22"/>
  <c r="H1755" i="22"/>
  <c r="I1754" i="22"/>
  <c r="H1754" i="22"/>
  <c r="I1753" i="22"/>
  <c r="H1753" i="22"/>
  <c r="I1752" i="22"/>
  <c r="H1752" i="22"/>
  <c r="I1751" i="22"/>
  <c r="H1751" i="22"/>
  <c r="I1750" i="22"/>
  <c r="H1750" i="22"/>
  <c r="I1749" i="22"/>
  <c r="H1749" i="22"/>
  <c r="I1748" i="22"/>
  <c r="H1748" i="22"/>
  <c r="I1747" i="22"/>
  <c r="H1747" i="22"/>
  <c r="I1746" i="22"/>
  <c r="H1746" i="22"/>
  <c r="I1745" i="22"/>
  <c r="H1745" i="22"/>
  <c r="E2508" i="22" s="1"/>
  <c r="I1744" i="22"/>
  <c r="H1744" i="22"/>
  <c r="I1743" i="22"/>
  <c r="H1743" i="22"/>
  <c r="I1742" i="22"/>
  <c r="H1742" i="22"/>
  <c r="I1741" i="22"/>
  <c r="H1741" i="22"/>
  <c r="I1740" i="22"/>
  <c r="H1740" i="22"/>
  <c r="I1739" i="22"/>
  <c r="H1739" i="22"/>
  <c r="I1738" i="22"/>
  <c r="H1738" i="22"/>
  <c r="I1737" i="22"/>
  <c r="H1737" i="22"/>
  <c r="I1736" i="22"/>
  <c r="H1736" i="22"/>
  <c r="I1735" i="22"/>
  <c r="H1735" i="22"/>
  <c r="I1734" i="22"/>
  <c r="H1734" i="22"/>
  <c r="I1733" i="22"/>
  <c r="H1733" i="22"/>
  <c r="I1732" i="22"/>
  <c r="H1732" i="22"/>
  <c r="I1731" i="22"/>
  <c r="H1731" i="22"/>
  <c r="I1730" i="22"/>
  <c r="H1730" i="22"/>
  <c r="I1729" i="22"/>
  <c r="H1729" i="22"/>
  <c r="I1728" i="22"/>
  <c r="H1728" i="22"/>
  <c r="I1727" i="22"/>
  <c r="H1727" i="22"/>
  <c r="I1726" i="22"/>
  <c r="H1726" i="22"/>
  <c r="I1725" i="22"/>
  <c r="H1725" i="22"/>
  <c r="I1724" i="22"/>
  <c r="H1724" i="22"/>
  <c r="I1723" i="22"/>
  <c r="H1723" i="22"/>
  <c r="I1722" i="22"/>
  <c r="H1722" i="22"/>
  <c r="I1721" i="22"/>
  <c r="H1721" i="22"/>
  <c r="I1720" i="22"/>
  <c r="H1720" i="22"/>
  <c r="I1719" i="22"/>
  <c r="H1719" i="22"/>
  <c r="I1718" i="22"/>
  <c r="H1718" i="22"/>
  <c r="I1717" i="22"/>
  <c r="H1717" i="22"/>
  <c r="I1716" i="22"/>
  <c r="H1716" i="22"/>
  <c r="I1715" i="22"/>
  <c r="H1715" i="22"/>
  <c r="I1714" i="22"/>
  <c r="H1714" i="22"/>
  <c r="I1713" i="22"/>
  <c r="H1713" i="22"/>
  <c r="I1712" i="22"/>
  <c r="H1712" i="22"/>
  <c r="I1711" i="22"/>
  <c r="H1711" i="22"/>
  <c r="I1710" i="22"/>
  <c r="H1710" i="22"/>
  <c r="I1709" i="22"/>
  <c r="H1709" i="22"/>
  <c r="I1708" i="22"/>
  <c r="H1708" i="22"/>
  <c r="I1707" i="22"/>
  <c r="H1707" i="22"/>
  <c r="I1706" i="22"/>
  <c r="H1706" i="22"/>
  <c r="I1705" i="22"/>
  <c r="H1705" i="22"/>
  <c r="I1704" i="22"/>
  <c r="H1704" i="22"/>
  <c r="I1703" i="22"/>
  <c r="H1703" i="22"/>
  <c r="I1702" i="22"/>
  <c r="H1702" i="22"/>
  <c r="I1701" i="22"/>
  <c r="H1701" i="22"/>
  <c r="I1700" i="22"/>
  <c r="H1700" i="22"/>
  <c r="I1699" i="22"/>
  <c r="H1699" i="22"/>
  <c r="I1698" i="22"/>
  <c r="H1698" i="22"/>
  <c r="I1697" i="22"/>
  <c r="H1697" i="22"/>
  <c r="I1696" i="22"/>
  <c r="H1696" i="22"/>
  <c r="I1695" i="22"/>
  <c r="H1695" i="22"/>
  <c r="I1694" i="22"/>
  <c r="H1694" i="22"/>
  <c r="I1693" i="22"/>
  <c r="H1693" i="22"/>
  <c r="I1692" i="22"/>
  <c r="H1692" i="22"/>
  <c r="I1691" i="22"/>
  <c r="H1691" i="22"/>
  <c r="I1690" i="22"/>
  <c r="H1690" i="22"/>
  <c r="I1689" i="22"/>
  <c r="H1689" i="22"/>
  <c r="I1688" i="22"/>
  <c r="H1688" i="22"/>
  <c r="I1687" i="22"/>
  <c r="H1687" i="22"/>
  <c r="I1686" i="22"/>
  <c r="H1686" i="22"/>
  <c r="I1685" i="22"/>
  <c r="H1685" i="22"/>
  <c r="I1684" i="22"/>
  <c r="H1684" i="22"/>
  <c r="I1683" i="22"/>
  <c r="H1683" i="22"/>
  <c r="I1682" i="22"/>
  <c r="H1682" i="22"/>
  <c r="I1681" i="22"/>
  <c r="H1681" i="22"/>
  <c r="I1680" i="22"/>
  <c r="H1680" i="22"/>
  <c r="I1679" i="22"/>
  <c r="H1679" i="22"/>
  <c r="I1678" i="22"/>
  <c r="H1678" i="22"/>
  <c r="I1677" i="22"/>
  <c r="H1677" i="22"/>
  <c r="I1676" i="22"/>
  <c r="H1676" i="22"/>
  <c r="I1675" i="22"/>
  <c r="H1675" i="22"/>
  <c r="I1674" i="22"/>
  <c r="H1674" i="22"/>
  <c r="I1673" i="22"/>
  <c r="H1673" i="22"/>
  <c r="I1672" i="22"/>
  <c r="H1672" i="22"/>
  <c r="I1671" i="22"/>
  <c r="H1671" i="22"/>
  <c r="I1670" i="22"/>
  <c r="H1670" i="22"/>
  <c r="I1669" i="22"/>
  <c r="H1669" i="22"/>
  <c r="I1668" i="22"/>
  <c r="H1668" i="22"/>
  <c r="I1667" i="22"/>
  <c r="H1667" i="22"/>
  <c r="I1666" i="22"/>
  <c r="H1666" i="22"/>
  <c r="I1665" i="22"/>
  <c r="H1665" i="22"/>
  <c r="I1664" i="22"/>
  <c r="H1664" i="22"/>
  <c r="I1663" i="22"/>
  <c r="H1663" i="22"/>
  <c r="I1662" i="22"/>
  <c r="H1662" i="22"/>
  <c r="I1661" i="22"/>
  <c r="H1661" i="22"/>
  <c r="I1660" i="22"/>
  <c r="H1660" i="22"/>
  <c r="I1659" i="22"/>
  <c r="H1659" i="22"/>
  <c r="I1658" i="22"/>
  <c r="H1658" i="22"/>
  <c r="I1657" i="22"/>
  <c r="H1657" i="22"/>
  <c r="I1656" i="22"/>
  <c r="H1656" i="22"/>
  <c r="I1655" i="22"/>
  <c r="H1655" i="22"/>
  <c r="I1654" i="22"/>
  <c r="H1654" i="22"/>
  <c r="I1653" i="22"/>
  <c r="H1653" i="22"/>
  <c r="I1652" i="22"/>
  <c r="H1652" i="22"/>
  <c r="I1651" i="22"/>
  <c r="H1651" i="22"/>
  <c r="I1650" i="22"/>
  <c r="H1650" i="22"/>
  <c r="I1649" i="22"/>
  <c r="H1649" i="22"/>
  <c r="I1648" i="22"/>
  <c r="H1648" i="22"/>
  <c r="I1647" i="22"/>
  <c r="H1647" i="22"/>
  <c r="I1646" i="22"/>
  <c r="H1646" i="22"/>
  <c r="I1645" i="22"/>
  <c r="H1645" i="22"/>
  <c r="I1644" i="22"/>
  <c r="H1644" i="22"/>
  <c r="I1643" i="22"/>
  <c r="H1643" i="22"/>
  <c r="I1642" i="22"/>
  <c r="H1642" i="22"/>
  <c r="I1641" i="22"/>
  <c r="H1641" i="22"/>
  <c r="I1640" i="22"/>
  <c r="H1640" i="22"/>
  <c r="I1639" i="22"/>
  <c r="H1639" i="22"/>
  <c r="I1638" i="22"/>
  <c r="H1638" i="22"/>
  <c r="I1637" i="22"/>
  <c r="H1637" i="22"/>
  <c r="I1636" i="22"/>
  <c r="H1636" i="22"/>
  <c r="I1635" i="22"/>
  <c r="H1635" i="22"/>
  <c r="I1634" i="22"/>
  <c r="H1634" i="22"/>
  <c r="I1633" i="22"/>
  <c r="H1633" i="22"/>
  <c r="I1632" i="22"/>
  <c r="H1632" i="22"/>
  <c r="I1631" i="22"/>
  <c r="H1631" i="22"/>
  <c r="I1630" i="22"/>
  <c r="H1630" i="22"/>
  <c r="I1629" i="22"/>
  <c r="H1629" i="22"/>
  <c r="I1628" i="22"/>
  <c r="H1628" i="22"/>
  <c r="I1627" i="22"/>
  <c r="H1627" i="22"/>
  <c r="I1626" i="22"/>
  <c r="H1626" i="22"/>
  <c r="I1625" i="22"/>
  <c r="H1625" i="22"/>
  <c r="E2491" i="22" s="1"/>
  <c r="I1624" i="22"/>
  <c r="H1624" i="22"/>
  <c r="I1623" i="22"/>
  <c r="H1623" i="22"/>
  <c r="I1622" i="22"/>
  <c r="H1622" i="22"/>
  <c r="I1621" i="22"/>
  <c r="H1621" i="22"/>
  <c r="I1620" i="22"/>
  <c r="H1620" i="22"/>
  <c r="I1619" i="22"/>
  <c r="H1619" i="22"/>
  <c r="I1618" i="22"/>
  <c r="H1618" i="22"/>
  <c r="I1617" i="22"/>
  <c r="H1617" i="22"/>
  <c r="I1616" i="22"/>
  <c r="H1616" i="22"/>
  <c r="D2491" i="22" s="1"/>
  <c r="I1615" i="22"/>
  <c r="H1615" i="22"/>
  <c r="I1614" i="22"/>
  <c r="H1614" i="22"/>
  <c r="I1613" i="22"/>
  <c r="H1613" i="22"/>
  <c r="I1612" i="22"/>
  <c r="H1612" i="22"/>
  <c r="I1611" i="22"/>
  <c r="H1611" i="22"/>
  <c r="I1610" i="22"/>
  <c r="H1610" i="22"/>
  <c r="I1609" i="22"/>
  <c r="H1609" i="22"/>
  <c r="I1608" i="22"/>
  <c r="H1608" i="22"/>
  <c r="I1607" i="22"/>
  <c r="H1607" i="22"/>
  <c r="I1606" i="22"/>
  <c r="H1606" i="22"/>
  <c r="I1605" i="22"/>
  <c r="H1605" i="22"/>
  <c r="I1604" i="22"/>
  <c r="H1604" i="22"/>
  <c r="I1603" i="22"/>
  <c r="H1603" i="22"/>
  <c r="I1602" i="22"/>
  <c r="H1602" i="22"/>
  <c r="I1601" i="22"/>
  <c r="H1601" i="22"/>
  <c r="I1600" i="22"/>
  <c r="H1600" i="22"/>
  <c r="I1599" i="22"/>
  <c r="H1599" i="22"/>
  <c r="I1598" i="22"/>
  <c r="H1598" i="22"/>
  <c r="I1597" i="22"/>
  <c r="H1597" i="22"/>
  <c r="I1596" i="22"/>
  <c r="H1596" i="22"/>
  <c r="I1595" i="22"/>
  <c r="H1595" i="22"/>
  <c r="I1594" i="22"/>
  <c r="H1594" i="22"/>
  <c r="I1593" i="22"/>
  <c r="H1593" i="22"/>
  <c r="I1592" i="22"/>
  <c r="H1592" i="22"/>
  <c r="I1591" i="22"/>
  <c r="H1591" i="22"/>
  <c r="I1590" i="22"/>
  <c r="H1590" i="22"/>
  <c r="I1589" i="22"/>
  <c r="H1589" i="22"/>
  <c r="I1588" i="22"/>
  <c r="H1588" i="22"/>
  <c r="I1587" i="22"/>
  <c r="H1587" i="22"/>
  <c r="I1586" i="22"/>
  <c r="H1586" i="22"/>
  <c r="I1585" i="22"/>
  <c r="H1585" i="22"/>
  <c r="I1584" i="22"/>
  <c r="H1584" i="22"/>
  <c r="I1583" i="22"/>
  <c r="H1583" i="22"/>
  <c r="I1582" i="22"/>
  <c r="H1582" i="22"/>
  <c r="I1581" i="22"/>
  <c r="H1581" i="22"/>
  <c r="I1580" i="22"/>
  <c r="H1580" i="22"/>
  <c r="I1579" i="22"/>
  <c r="H1579" i="22"/>
  <c r="I1578" i="22"/>
  <c r="H1578" i="22"/>
  <c r="I1577" i="22"/>
  <c r="H1577" i="22"/>
  <c r="I1576" i="22"/>
  <c r="H1576" i="22"/>
  <c r="I1575" i="22"/>
  <c r="H1575" i="22"/>
  <c r="I1574" i="22"/>
  <c r="H1574" i="22"/>
  <c r="I1573" i="22"/>
  <c r="H1573" i="22"/>
  <c r="I1572" i="22"/>
  <c r="H1572" i="22"/>
  <c r="I1571" i="22"/>
  <c r="H1571" i="22"/>
  <c r="I1570" i="22"/>
  <c r="H1570" i="22"/>
  <c r="I1569" i="22"/>
  <c r="H1569" i="22"/>
  <c r="I1568" i="22"/>
  <c r="H1568" i="22"/>
  <c r="I1567" i="22"/>
  <c r="H1567" i="22"/>
  <c r="I1566" i="22"/>
  <c r="H1566" i="22"/>
  <c r="I1565" i="22"/>
  <c r="H1565" i="22"/>
  <c r="I1564" i="22"/>
  <c r="H1564" i="22"/>
  <c r="I1563" i="22"/>
  <c r="H1563" i="22"/>
  <c r="I1562" i="22"/>
  <c r="H1562" i="22"/>
  <c r="I1561" i="22"/>
  <c r="H1561" i="22"/>
  <c r="I1560" i="22"/>
  <c r="H1560" i="22"/>
  <c r="I1559" i="22"/>
  <c r="H1559" i="22"/>
  <c r="I1558" i="22"/>
  <c r="H1558" i="22"/>
  <c r="I1557" i="22"/>
  <c r="H1557" i="22"/>
  <c r="I1556" i="22"/>
  <c r="H1556" i="22"/>
  <c r="I1555" i="22"/>
  <c r="H1555" i="22"/>
  <c r="I1554" i="22"/>
  <c r="H1554" i="22"/>
  <c r="I1553" i="22"/>
  <c r="H1553" i="22"/>
  <c r="I1552" i="22"/>
  <c r="H1552" i="22"/>
  <c r="I1551" i="22"/>
  <c r="H1551" i="22"/>
  <c r="I1550" i="22"/>
  <c r="H1550" i="22"/>
  <c r="I1549" i="22"/>
  <c r="H1549" i="22"/>
  <c r="I1548" i="22"/>
  <c r="H1548" i="22"/>
  <c r="I1547" i="22"/>
  <c r="H1547" i="22"/>
  <c r="I1546" i="22"/>
  <c r="H1546" i="22"/>
  <c r="I1545" i="22"/>
  <c r="H1545" i="22"/>
  <c r="I1544" i="22"/>
  <c r="H1544" i="22"/>
  <c r="I1543" i="22"/>
  <c r="H1543" i="22"/>
  <c r="I1542" i="22"/>
  <c r="H1542" i="22"/>
  <c r="I1541" i="22"/>
  <c r="H1541" i="22"/>
  <c r="I1540" i="22"/>
  <c r="H1540" i="22"/>
  <c r="I1539" i="22"/>
  <c r="H1539" i="22"/>
  <c r="I1538" i="22"/>
  <c r="H1538" i="22"/>
  <c r="I1537" i="22"/>
  <c r="H1537" i="22"/>
  <c r="I1536" i="22"/>
  <c r="H1536" i="22"/>
  <c r="I1535" i="22"/>
  <c r="H1535" i="22"/>
  <c r="I1534" i="22"/>
  <c r="H1534" i="22"/>
  <c r="I1533" i="22"/>
  <c r="H1533" i="22"/>
  <c r="I1532" i="22"/>
  <c r="H1532" i="22"/>
  <c r="I1531" i="22"/>
  <c r="H1531" i="22"/>
  <c r="I1530" i="22"/>
  <c r="H1530" i="22"/>
  <c r="I1529" i="22"/>
  <c r="H1529" i="22"/>
  <c r="I1528" i="22"/>
  <c r="H1528" i="22"/>
  <c r="I1527" i="22"/>
  <c r="H1527" i="22"/>
  <c r="I1526" i="22"/>
  <c r="H1526" i="22"/>
  <c r="I1525" i="22"/>
  <c r="H1525" i="22"/>
  <c r="I1524" i="22"/>
  <c r="H1524" i="22"/>
  <c r="I1523" i="22"/>
  <c r="H1523" i="22"/>
  <c r="I1522" i="22"/>
  <c r="H1522" i="22"/>
  <c r="I1521" i="22"/>
  <c r="H1521" i="22"/>
  <c r="I1520" i="22"/>
  <c r="H1520" i="22"/>
  <c r="I1519" i="22"/>
  <c r="H1519" i="22"/>
  <c r="I1518" i="22"/>
  <c r="H1518" i="22"/>
  <c r="I1517" i="22"/>
  <c r="H1517" i="22"/>
  <c r="I1516" i="22"/>
  <c r="H1516" i="22"/>
  <c r="I1515" i="22"/>
  <c r="H1515" i="22"/>
  <c r="I1514" i="22"/>
  <c r="H1514" i="22"/>
  <c r="I1513" i="22"/>
  <c r="H1513" i="22"/>
  <c r="I1512" i="22"/>
  <c r="H1512" i="22"/>
  <c r="I1511" i="22"/>
  <c r="H1511" i="22"/>
  <c r="I1510" i="22"/>
  <c r="H1510" i="22"/>
  <c r="I1509" i="22"/>
  <c r="H1509" i="22"/>
  <c r="I1508" i="22"/>
  <c r="H1508" i="22"/>
  <c r="I1507" i="22"/>
  <c r="H1507" i="22"/>
  <c r="I1506" i="22"/>
  <c r="H1506" i="22"/>
  <c r="I1505" i="22"/>
  <c r="H1505" i="22"/>
  <c r="I1504" i="22"/>
  <c r="H1504" i="22"/>
  <c r="I1503" i="22"/>
  <c r="H1503" i="22"/>
  <c r="I1502" i="22"/>
  <c r="H1502" i="22"/>
  <c r="I1501" i="22"/>
  <c r="H1501" i="22"/>
  <c r="I1500" i="22"/>
  <c r="H1500" i="22"/>
  <c r="I1499" i="22"/>
  <c r="H1499" i="22"/>
  <c r="I1498" i="22"/>
  <c r="H1498" i="22"/>
  <c r="I1497" i="22"/>
  <c r="H1497" i="22"/>
  <c r="I1496" i="22"/>
  <c r="H1496" i="22"/>
  <c r="I1495" i="22"/>
  <c r="H1495" i="22"/>
  <c r="I1494" i="22"/>
  <c r="H1494" i="22"/>
  <c r="I1493" i="22"/>
  <c r="H1493" i="22"/>
  <c r="I1492" i="22"/>
  <c r="H1492" i="22"/>
  <c r="I1491" i="22"/>
  <c r="H1491" i="22"/>
  <c r="I1490" i="22"/>
  <c r="H1490" i="22"/>
  <c r="I1489" i="22"/>
  <c r="H1489" i="22"/>
  <c r="I1488" i="22"/>
  <c r="H1488" i="22"/>
  <c r="I1487" i="22"/>
  <c r="H1487" i="22"/>
  <c r="I1486" i="22"/>
  <c r="H1486" i="22"/>
  <c r="I1485" i="22"/>
  <c r="H1485" i="22"/>
  <c r="I1484" i="22"/>
  <c r="H1484" i="22"/>
  <c r="I1483" i="22"/>
  <c r="H1483" i="22"/>
  <c r="I1482" i="22"/>
  <c r="H1482" i="22"/>
  <c r="I1481" i="22"/>
  <c r="H1481" i="22"/>
  <c r="I1480" i="22"/>
  <c r="H1480" i="22"/>
  <c r="I1479" i="22"/>
  <c r="H1479" i="22"/>
  <c r="I1478" i="22"/>
  <c r="H1478" i="22"/>
  <c r="I1477" i="22"/>
  <c r="H1477" i="22"/>
  <c r="I1476" i="22"/>
  <c r="H1476" i="22"/>
  <c r="I1475" i="22"/>
  <c r="H1475" i="22"/>
  <c r="I1474" i="22"/>
  <c r="H1474" i="22"/>
  <c r="I1473" i="22"/>
  <c r="H1473" i="22"/>
  <c r="I1472" i="22"/>
  <c r="H1472" i="22"/>
  <c r="I1471" i="22"/>
  <c r="H1471" i="22"/>
  <c r="I1470" i="22"/>
  <c r="H1470" i="22"/>
  <c r="I1469" i="22"/>
  <c r="H1469" i="22"/>
  <c r="I1468" i="22"/>
  <c r="H1468" i="22"/>
  <c r="I1467" i="22"/>
  <c r="H1467" i="22"/>
  <c r="I1466" i="22"/>
  <c r="H1466" i="22"/>
  <c r="I1465" i="22"/>
  <c r="H1465" i="22"/>
  <c r="I1464" i="22"/>
  <c r="H1464" i="22"/>
  <c r="I1463" i="22"/>
  <c r="H1463" i="22"/>
  <c r="I1462" i="22"/>
  <c r="H1462" i="22"/>
  <c r="I1461" i="22"/>
  <c r="H1461" i="22"/>
  <c r="I1460" i="22"/>
  <c r="H1460" i="22"/>
  <c r="I1459" i="22"/>
  <c r="H1459" i="22"/>
  <c r="I1458" i="22"/>
  <c r="H1458" i="22"/>
  <c r="I1457" i="22"/>
  <c r="H1457" i="22"/>
  <c r="I1456" i="22"/>
  <c r="H1456" i="22"/>
  <c r="I1455" i="22"/>
  <c r="H1455" i="22"/>
  <c r="I1454" i="22"/>
  <c r="H1454" i="22"/>
  <c r="I1453" i="22"/>
  <c r="H1453" i="22"/>
  <c r="I1452" i="22"/>
  <c r="H1452" i="22"/>
  <c r="I1451" i="22"/>
  <c r="H1451" i="22"/>
  <c r="E2487" i="22" s="1"/>
  <c r="I1450" i="22"/>
  <c r="H1450" i="22"/>
  <c r="I1449" i="22"/>
  <c r="H1449" i="22"/>
  <c r="I1448" i="22"/>
  <c r="H1448" i="22"/>
  <c r="I1447" i="22"/>
  <c r="H1447" i="22"/>
  <c r="I1446" i="22"/>
  <c r="H1446" i="22"/>
  <c r="I1445" i="22"/>
  <c r="H1445" i="22"/>
  <c r="I1444" i="22"/>
  <c r="H1444" i="22"/>
  <c r="I1443" i="22"/>
  <c r="H1443" i="22"/>
  <c r="I1442" i="22"/>
  <c r="H1442" i="22"/>
  <c r="I1441" i="22"/>
  <c r="H1441" i="22"/>
  <c r="I1440" i="22"/>
  <c r="H1440" i="22"/>
  <c r="I1439" i="22"/>
  <c r="H1439" i="22"/>
  <c r="I1438" i="22"/>
  <c r="H1438" i="22"/>
  <c r="I1437" i="22"/>
  <c r="H1437" i="22"/>
  <c r="I1436" i="22"/>
  <c r="H1436" i="22"/>
  <c r="I1435" i="22"/>
  <c r="H1435" i="22"/>
  <c r="I1434" i="22"/>
  <c r="H1434" i="22"/>
  <c r="I1433" i="22"/>
  <c r="H1433" i="22"/>
  <c r="I1432" i="22"/>
  <c r="H1432" i="22"/>
  <c r="I1431" i="22"/>
  <c r="H1431" i="22"/>
  <c r="I1430" i="22"/>
  <c r="H1430" i="22"/>
  <c r="I1429" i="22"/>
  <c r="H1429" i="22"/>
  <c r="I1428" i="22"/>
  <c r="H1428" i="22"/>
  <c r="I1427" i="22"/>
  <c r="H1427" i="22"/>
  <c r="I1426" i="22"/>
  <c r="H1426" i="22"/>
  <c r="I1425" i="22"/>
  <c r="H1425" i="22"/>
  <c r="I1424" i="22"/>
  <c r="H1424" i="22"/>
  <c r="I1423" i="22"/>
  <c r="H1423" i="22"/>
  <c r="I1422" i="22"/>
  <c r="H1422" i="22"/>
  <c r="I1421" i="22"/>
  <c r="H1421" i="22"/>
  <c r="I1420" i="22"/>
  <c r="H1420" i="22"/>
  <c r="I1419" i="22"/>
  <c r="H1419" i="22"/>
  <c r="I1418" i="22"/>
  <c r="H1418" i="22"/>
  <c r="I1417" i="22"/>
  <c r="H1417" i="22"/>
  <c r="I1416" i="22"/>
  <c r="H1416" i="22"/>
  <c r="I1415" i="22"/>
  <c r="H1415" i="22"/>
  <c r="I1414" i="22"/>
  <c r="H1414" i="22"/>
  <c r="I1413" i="22"/>
  <c r="H1413" i="22"/>
  <c r="I1412" i="22"/>
  <c r="H1412" i="22"/>
  <c r="I1411" i="22"/>
  <c r="H1411" i="22"/>
  <c r="I1410" i="22"/>
  <c r="H1410" i="22"/>
  <c r="I1409" i="22"/>
  <c r="H1409" i="22"/>
  <c r="I1408" i="22"/>
  <c r="H1408" i="22"/>
  <c r="I1407" i="22"/>
  <c r="H1407" i="22"/>
  <c r="I1406" i="22"/>
  <c r="H1406" i="22"/>
  <c r="I1405" i="22"/>
  <c r="H1405" i="22"/>
  <c r="I1404" i="22"/>
  <c r="H1404" i="22"/>
  <c r="I1403" i="22"/>
  <c r="H1403" i="22"/>
  <c r="I1402" i="22"/>
  <c r="H1402" i="22"/>
  <c r="I1401" i="22"/>
  <c r="H1401" i="22"/>
  <c r="I1400" i="22"/>
  <c r="H1400" i="22"/>
  <c r="I1399" i="22"/>
  <c r="H1399" i="22"/>
  <c r="I1398" i="22"/>
  <c r="H1398" i="22"/>
  <c r="I1397" i="22"/>
  <c r="H1397" i="22"/>
  <c r="I1396" i="22"/>
  <c r="H1396" i="22"/>
  <c r="I1395" i="22"/>
  <c r="H1395" i="22"/>
  <c r="I1394" i="22"/>
  <c r="H1394" i="22"/>
  <c r="I1393" i="22"/>
  <c r="H1393" i="22"/>
  <c r="I1392" i="22"/>
  <c r="H1392" i="22"/>
  <c r="I1391" i="22"/>
  <c r="H1391" i="22"/>
  <c r="I1390" i="22"/>
  <c r="H1390" i="22"/>
  <c r="I1389" i="22"/>
  <c r="H1389" i="22"/>
  <c r="I1388" i="22"/>
  <c r="H1388" i="22"/>
  <c r="I1387" i="22"/>
  <c r="H1387" i="22"/>
  <c r="I1386" i="22"/>
  <c r="H1386" i="22"/>
  <c r="I1385" i="22"/>
  <c r="H1385" i="22"/>
  <c r="I1384" i="22"/>
  <c r="H1384" i="22"/>
  <c r="I1383" i="22"/>
  <c r="H1383" i="22"/>
  <c r="I1382" i="22"/>
  <c r="H1382" i="22"/>
  <c r="I1381" i="22"/>
  <c r="H1381" i="22"/>
  <c r="I1380" i="22"/>
  <c r="H1380" i="22"/>
  <c r="I1379" i="22"/>
  <c r="H1379" i="22"/>
  <c r="I1378" i="22"/>
  <c r="H1378" i="22"/>
  <c r="I1377" i="22"/>
  <c r="H1377" i="22"/>
  <c r="I1376" i="22"/>
  <c r="H1376" i="22"/>
  <c r="I1375" i="22"/>
  <c r="H1375" i="22"/>
  <c r="I1374" i="22"/>
  <c r="H1374" i="22"/>
  <c r="I1373" i="22"/>
  <c r="H1373" i="22"/>
  <c r="I1372" i="22"/>
  <c r="H1372" i="22"/>
  <c r="I1371" i="22"/>
  <c r="H1371" i="22"/>
  <c r="I1370" i="22"/>
  <c r="H1370" i="22"/>
  <c r="I1369" i="22"/>
  <c r="H1369" i="22"/>
  <c r="I1368" i="22"/>
  <c r="H1368" i="22"/>
  <c r="I1367" i="22"/>
  <c r="H1367" i="22"/>
  <c r="I1366" i="22"/>
  <c r="H1366" i="22"/>
  <c r="I1365" i="22"/>
  <c r="H1365" i="22"/>
  <c r="I1364" i="22"/>
  <c r="H1364" i="22"/>
  <c r="I1363" i="22"/>
  <c r="H1363" i="22"/>
  <c r="I1362" i="22"/>
  <c r="H1362" i="22"/>
  <c r="I1361" i="22"/>
  <c r="H1361" i="22"/>
  <c r="I1360" i="22"/>
  <c r="H1360" i="22"/>
  <c r="I1359" i="22"/>
  <c r="H1359" i="22"/>
  <c r="I1358" i="22"/>
  <c r="H1358" i="22"/>
  <c r="I1357" i="22"/>
  <c r="H1357" i="22"/>
  <c r="I1356" i="22"/>
  <c r="H1356" i="22"/>
  <c r="I1355" i="22"/>
  <c r="H1355" i="22"/>
  <c r="I1354" i="22"/>
  <c r="H1354" i="22"/>
  <c r="I1353" i="22"/>
  <c r="H1353" i="22"/>
  <c r="I1352" i="22"/>
  <c r="H1352" i="22"/>
  <c r="I1351" i="22"/>
  <c r="H1351" i="22"/>
  <c r="I1350" i="22"/>
  <c r="H1350" i="22"/>
  <c r="I1349" i="22"/>
  <c r="H1349" i="22"/>
  <c r="I1348" i="22"/>
  <c r="H1348" i="22"/>
  <c r="I1347" i="22"/>
  <c r="H1347" i="22"/>
  <c r="I1346" i="22"/>
  <c r="H1346" i="22"/>
  <c r="I1345" i="22"/>
  <c r="H1345" i="22"/>
  <c r="I1344" i="22"/>
  <c r="H1344" i="22"/>
  <c r="I1343" i="22"/>
  <c r="H1343" i="22"/>
  <c r="I1342" i="22"/>
  <c r="H1342" i="22"/>
  <c r="I1341" i="22"/>
  <c r="H1341" i="22"/>
  <c r="I1340" i="22"/>
  <c r="H1340" i="22"/>
  <c r="I1339" i="22"/>
  <c r="H1339" i="22"/>
  <c r="I1338" i="22"/>
  <c r="H1338" i="22"/>
  <c r="I1337" i="22"/>
  <c r="H1337" i="22"/>
  <c r="I1336" i="22"/>
  <c r="H1336" i="22"/>
  <c r="I1335" i="22"/>
  <c r="H1335" i="22"/>
  <c r="I1334" i="22"/>
  <c r="H1334" i="22"/>
  <c r="I1333" i="22"/>
  <c r="H1333" i="22"/>
  <c r="I1332" i="22"/>
  <c r="H1332" i="22"/>
  <c r="I1331" i="22"/>
  <c r="H1331" i="22"/>
  <c r="I1330" i="22"/>
  <c r="H1330" i="22"/>
  <c r="I1329" i="22"/>
  <c r="H1329" i="22"/>
  <c r="I1328" i="22"/>
  <c r="H1328" i="22"/>
  <c r="I1327" i="22"/>
  <c r="H1327" i="22"/>
  <c r="I1326" i="22"/>
  <c r="H1326" i="22"/>
  <c r="I1325" i="22"/>
  <c r="H1325" i="22"/>
  <c r="I1324" i="22"/>
  <c r="H1324" i="22"/>
  <c r="I1323" i="22"/>
  <c r="H1323" i="22"/>
  <c r="I1322" i="22"/>
  <c r="H1322" i="22"/>
  <c r="I1321" i="22"/>
  <c r="H1321" i="22"/>
  <c r="I1320" i="22"/>
  <c r="H1320" i="22"/>
  <c r="I1319" i="22"/>
  <c r="H1319" i="22"/>
  <c r="I1318" i="22"/>
  <c r="H1318" i="22"/>
  <c r="I1317" i="22"/>
  <c r="H1317" i="22"/>
  <c r="I1316" i="22"/>
  <c r="H1316" i="22"/>
  <c r="I1315" i="22"/>
  <c r="H1315" i="22"/>
  <c r="I1314" i="22"/>
  <c r="H1314" i="22"/>
  <c r="I1313" i="22"/>
  <c r="H1313" i="22"/>
  <c r="I1312" i="22"/>
  <c r="H1312" i="22"/>
  <c r="I1311" i="22"/>
  <c r="H1311" i="22"/>
  <c r="I1310" i="22"/>
  <c r="H1310" i="22"/>
  <c r="I1309" i="22"/>
  <c r="H1309" i="22"/>
  <c r="I1308" i="22"/>
  <c r="H1308" i="22"/>
  <c r="I1307" i="22"/>
  <c r="H1307" i="22"/>
  <c r="I1306" i="22"/>
  <c r="H1306" i="22"/>
  <c r="I1305" i="22"/>
  <c r="H1305" i="22"/>
  <c r="I1304" i="22"/>
  <c r="H1304" i="22"/>
  <c r="I1303" i="22"/>
  <c r="H1303" i="22"/>
  <c r="I1302" i="22"/>
  <c r="H1302" i="22"/>
  <c r="I1301" i="22"/>
  <c r="H1301" i="22"/>
  <c r="I1300" i="22"/>
  <c r="H1300" i="22"/>
  <c r="I1299" i="22"/>
  <c r="H1299" i="22"/>
  <c r="I1298" i="22"/>
  <c r="H1298" i="22"/>
  <c r="I1297" i="22"/>
  <c r="H1297" i="22"/>
  <c r="I1296" i="22"/>
  <c r="H1296" i="22"/>
  <c r="I1295" i="22"/>
  <c r="H1295" i="22"/>
  <c r="I1294" i="22"/>
  <c r="H1294" i="22"/>
  <c r="I1293" i="22"/>
  <c r="H1293" i="22"/>
  <c r="I1292" i="22"/>
  <c r="H1292" i="22"/>
  <c r="I1291" i="22"/>
  <c r="H1291" i="22"/>
  <c r="I1290" i="22"/>
  <c r="H1290" i="22"/>
  <c r="I1289" i="22"/>
  <c r="H1289" i="22"/>
  <c r="I1288" i="22"/>
  <c r="H1288" i="22"/>
  <c r="I1287" i="22"/>
  <c r="H1287" i="22"/>
  <c r="I1286" i="22"/>
  <c r="H1286" i="22"/>
  <c r="I1285" i="22"/>
  <c r="H1285" i="22"/>
  <c r="I1284" i="22"/>
  <c r="H1284" i="22"/>
  <c r="I1283" i="22"/>
  <c r="H1283" i="22"/>
  <c r="I1282" i="22"/>
  <c r="H1282" i="22"/>
  <c r="I1281" i="22"/>
  <c r="H1281" i="22"/>
  <c r="I1280" i="22"/>
  <c r="H1280" i="22"/>
  <c r="I1279" i="22"/>
  <c r="H1279" i="22"/>
  <c r="I1278" i="22"/>
  <c r="H1278" i="22"/>
  <c r="I1277" i="22"/>
  <c r="H1277" i="22"/>
  <c r="I1276" i="22"/>
  <c r="H1276" i="22"/>
  <c r="I1275" i="22"/>
  <c r="H1275" i="22"/>
  <c r="I1274" i="22"/>
  <c r="H1274" i="22"/>
  <c r="I1273" i="22"/>
  <c r="H1273" i="22"/>
  <c r="I1272" i="22"/>
  <c r="H1272" i="22"/>
  <c r="I1271" i="22"/>
  <c r="H1271" i="22"/>
  <c r="I1270" i="22"/>
  <c r="H1270" i="22"/>
  <c r="I1269" i="22"/>
  <c r="H1269" i="22"/>
  <c r="I1268" i="22"/>
  <c r="H1268" i="22"/>
  <c r="I1267" i="22"/>
  <c r="H1267" i="22"/>
  <c r="I1266" i="22"/>
  <c r="H1266" i="22"/>
  <c r="I1265" i="22"/>
  <c r="H1265" i="22"/>
  <c r="I1264" i="22"/>
  <c r="H1264" i="22"/>
  <c r="I1263" i="22"/>
  <c r="H1263" i="22"/>
  <c r="I1262" i="22"/>
  <c r="H1262" i="22"/>
  <c r="I1261" i="22"/>
  <c r="H1261" i="22"/>
  <c r="I1260" i="22"/>
  <c r="H1260" i="22"/>
  <c r="I1259" i="22"/>
  <c r="H1259" i="22"/>
  <c r="I1258" i="22"/>
  <c r="H1258" i="22"/>
  <c r="I1257" i="22"/>
  <c r="H1257" i="22"/>
  <c r="I1256" i="22"/>
  <c r="H1256" i="22"/>
  <c r="I1255" i="22"/>
  <c r="H1255" i="22"/>
  <c r="I1254" i="22"/>
  <c r="H1254" i="22"/>
  <c r="I1253" i="22"/>
  <c r="H1253" i="22"/>
  <c r="I1252" i="22"/>
  <c r="H1252" i="22"/>
  <c r="I1251" i="22"/>
  <c r="H1251" i="22"/>
  <c r="I1250" i="22"/>
  <c r="H1250" i="22"/>
  <c r="I1249" i="22"/>
  <c r="H1249" i="22"/>
  <c r="I1248" i="22"/>
  <c r="H1248" i="22"/>
  <c r="I1247" i="22"/>
  <c r="H1247" i="22"/>
  <c r="I1246" i="22"/>
  <c r="H1246" i="22"/>
  <c r="I1245" i="22"/>
  <c r="H1245" i="22"/>
  <c r="I1244" i="22"/>
  <c r="H1244" i="22"/>
  <c r="I1243" i="22"/>
  <c r="H1243" i="22"/>
  <c r="I1242" i="22"/>
  <c r="H1242" i="22"/>
  <c r="I1241" i="22"/>
  <c r="H1241" i="22"/>
  <c r="I1240" i="22"/>
  <c r="H1240" i="22"/>
  <c r="I1239" i="22"/>
  <c r="H1239" i="22"/>
  <c r="I1238" i="22"/>
  <c r="H1238" i="22"/>
  <c r="I1237" i="22"/>
  <c r="H1237" i="22"/>
  <c r="I1236" i="22"/>
  <c r="H1236" i="22"/>
  <c r="I1235" i="22"/>
  <c r="H1235" i="22"/>
  <c r="I1234" i="22"/>
  <c r="H1234" i="22"/>
  <c r="I1233" i="22"/>
  <c r="H1233" i="22"/>
  <c r="I1232" i="22"/>
  <c r="H1232" i="22"/>
  <c r="I1231" i="22"/>
  <c r="H1231" i="22"/>
  <c r="I1230" i="22"/>
  <c r="H1230" i="22"/>
  <c r="I1229" i="22"/>
  <c r="H1229" i="22"/>
  <c r="I1228" i="22"/>
  <c r="H1228" i="22"/>
  <c r="I1227" i="22"/>
  <c r="H1227" i="22"/>
  <c r="I1226" i="22"/>
  <c r="H1226" i="22"/>
  <c r="I1225" i="22"/>
  <c r="H1225" i="22"/>
  <c r="I1224" i="22"/>
  <c r="H1224" i="22"/>
  <c r="I1223" i="22"/>
  <c r="H1223" i="22"/>
  <c r="I1222" i="22"/>
  <c r="H1222" i="22"/>
  <c r="I1221" i="22"/>
  <c r="H1221" i="22"/>
  <c r="I1220" i="22"/>
  <c r="H1220" i="22"/>
  <c r="I1219" i="22"/>
  <c r="H1219" i="22"/>
  <c r="I1218" i="22"/>
  <c r="H1218" i="22"/>
  <c r="I1217" i="22"/>
  <c r="H1217" i="22"/>
  <c r="I1216" i="22"/>
  <c r="H1216" i="22"/>
  <c r="I1215" i="22"/>
  <c r="H1215" i="22"/>
  <c r="I1214" i="22"/>
  <c r="H1214" i="22"/>
  <c r="I1213" i="22"/>
  <c r="H1213" i="22"/>
  <c r="I1212" i="22"/>
  <c r="H1212" i="22"/>
  <c r="I1211" i="22"/>
  <c r="H1211" i="22"/>
  <c r="I1210" i="22"/>
  <c r="H1210" i="22"/>
  <c r="I1209" i="22"/>
  <c r="H1209" i="22"/>
  <c r="I1208" i="22"/>
  <c r="H1208" i="22"/>
  <c r="I1207" i="22"/>
  <c r="H1207" i="22"/>
  <c r="I1206" i="22"/>
  <c r="H1206" i="22"/>
  <c r="I1205" i="22"/>
  <c r="H1205" i="22"/>
  <c r="I1204" i="22"/>
  <c r="H1204" i="22"/>
  <c r="I1203" i="22"/>
  <c r="H1203" i="22"/>
  <c r="I1202" i="22"/>
  <c r="H1202" i="22"/>
  <c r="I1201" i="22"/>
  <c r="H1201" i="22"/>
  <c r="I1200" i="22"/>
  <c r="H1200" i="22"/>
  <c r="I1199" i="22"/>
  <c r="H1199" i="22"/>
  <c r="I1198" i="22"/>
  <c r="H1198" i="22"/>
  <c r="I1197" i="22"/>
  <c r="H1197" i="22"/>
  <c r="I1196" i="22"/>
  <c r="H1196" i="22"/>
  <c r="I1195" i="22"/>
  <c r="H1195" i="22"/>
  <c r="I1194" i="22"/>
  <c r="H1194" i="22"/>
  <c r="I1193" i="22"/>
  <c r="H1193" i="22"/>
  <c r="I1192" i="22"/>
  <c r="H1192" i="22"/>
  <c r="I1191" i="22"/>
  <c r="H1191" i="22"/>
  <c r="I1190" i="22"/>
  <c r="H1190" i="22"/>
  <c r="I1189" i="22"/>
  <c r="H1189" i="22"/>
  <c r="I1188" i="22"/>
  <c r="H1188" i="22"/>
  <c r="I1187" i="22"/>
  <c r="H1187" i="22"/>
  <c r="I1186" i="22"/>
  <c r="H1186" i="22"/>
  <c r="I1185" i="22"/>
  <c r="H1185" i="22"/>
  <c r="I1184" i="22"/>
  <c r="H1184" i="22"/>
  <c r="I1183" i="22"/>
  <c r="H1183" i="22"/>
  <c r="I1182" i="22"/>
  <c r="H1182" i="22"/>
  <c r="I1181" i="22"/>
  <c r="H1181" i="22"/>
  <c r="I1180" i="22"/>
  <c r="H1180" i="22"/>
  <c r="I1179" i="22"/>
  <c r="H1179" i="22"/>
  <c r="I1178" i="22"/>
  <c r="H1178" i="22"/>
  <c r="I1177" i="22"/>
  <c r="H1177" i="22"/>
  <c r="I1176" i="22"/>
  <c r="H1176" i="22"/>
  <c r="I1175" i="22"/>
  <c r="H1175" i="22"/>
  <c r="I1174" i="22"/>
  <c r="H1174" i="22"/>
  <c r="I1173" i="22"/>
  <c r="H1173" i="22"/>
  <c r="I1172" i="22"/>
  <c r="H1172" i="22"/>
  <c r="I1171" i="22"/>
  <c r="H1171" i="22"/>
  <c r="I1170" i="22"/>
  <c r="H1170" i="22"/>
  <c r="I1169" i="22"/>
  <c r="H1169" i="22"/>
  <c r="I1168" i="22"/>
  <c r="H1168" i="22"/>
  <c r="I1167" i="22"/>
  <c r="H1167" i="22"/>
  <c r="I1166" i="22"/>
  <c r="H1166" i="22"/>
  <c r="I1165" i="22"/>
  <c r="H1165" i="22"/>
  <c r="I1164" i="22"/>
  <c r="H1164" i="22"/>
  <c r="I1163" i="22"/>
  <c r="H1163" i="22"/>
  <c r="I1162" i="22"/>
  <c r="H1162" i="22"/>
  <c r="I1161" i="22"/>
  <c r="H1161" i="22"/>
  <c r="I1160" i="22"/>
  <c r="H1160" i="22"/>
  <c r="I1159" i="22"/>
  <c r="H1159" i="22"/>
  <c r="I1158" i="22"/>
  <c r="H1158" i="22"/>
  <c r="I1157" i="22"/>
  <c r="H1157" i="22"/>
  <c r="I1156" i="22"/>
  <c r="H1156" i="22"/>
  <c r="I1155" i="22"/>
  <c r="H1155" i="22"/>
  <c r="I1154" i="22"/>
  <c r="H1154" i="22"/>
  <c r="I1153" i="22"/>
  <c r="H1153" i="22"/>
  <c r="I1152" i="22"/>
  <c r="H1152" i="22"/>
  <c r="I1151" i="22"/>
  <c r="H1151" i="22"/>
  <c r="I1150" i="22"/>
  <c r="H1150" i="22"/>
  <c r="I1149" i="22"/>
  <c r="H1149" i="22"/>
  <c r="I1148" i="22"/>
  <c r="H1148" i="22"/>
  <c r="I1147" i="22"/>
  <c r="H1147" i="22"/>
  <c r="I1146" i="22"/>
  <c r="H1146" i="22"/>
  <c r="I1145" i="22"/>
  <c r="H1145" i="22"/>
  <c r="I1144" i="22"/>
  <c r="H1144" i="22"/>
  <c r="I1143" i="22"/>
  <c r="H1143" i="22"/>
  <c r="I1142" i="22"/>
  <c r="H1142" i="22"/>
  <c r="I1141" i="22"/>
  <c r="H1141" i="22"/>
  <c r="I1140" i="22"/>
  <c r="H1140" i="22"/>
  <c r="I1139" i="22"/>
  <c r="H1139" i="22"/>
  <c r="I1138" i="22"/>
  <c r="H1138" i="22"/>
  <c r="I1137" i="22"/>
  <c r="H1137" i="22"/>
  <c r="I1136" i="22"/>
  <c r="H1136" i="22"/>
  <c r="I1135" i="22"/>
  <c r="H1135" i="22"/>
  <c r="D2485" i="22" s="1"/>
  <c r="I1134" i="22"/>
  <c r="H1134" i="22"/>
  <c r="I1133" i="22"/>
  <c r="H1133" i="22"/>
  <c r="I1132" i="22"/>
  <c r="H1132" i="22"/>
  <c r="I1131" i="22"/>
  <c r="H1131" i="22"/>
  <c r="I1130" i="22"/>
  <c r="H1130" i="22"/>
  <c r="I1129" i="22"/>
  <c r="H1129" i="22"/>
  <c r="I1128" i="22"/>
  <c r="H1128" i="22"/>
  <c r="E2484" i="22" s="1"/>
  <c r="I1127" i="22"/>
  <c r="H1127" i="22"/>
  <c r="I1126" i="22"/>
  <c r="H1126" i="22"/>
  <c r="I1125" i="22"/>
  <c r="H1125" i="22"/>
  <c r="I1124" i="22"/>
  <c r="H1124" i="22"/>
  <c r="I1123" i="22"/>
  <c r="H1123" i="22"/>
  <c r="I1122" i="22"/>
  <c r="H1122" i="22"/>
  <c r="I1121" i="22"/>
  <c r="H1121" i="22"/>
  <c r="I1120" i="22"/>
  <c r="H1120" i="22"/>
  <c r="I1119" i="22"/>
  <c r="H1119" i="22"/>
  <c r="I1118" i="22"/>
  <c r="H1118" i="22"/>
  <c r="I1117" i="22"/>
  <c r="H1117" i="22"/>
  <c r="I1116" i="22"/>
  <c r="H1116" i="22"/>
  <c r="I1115" i="22"/>
  <c r="H1115" i="22"/>
  <c r="I1114" i="22"/>
  <c r="H1114" i="22"/>
  <c r="I1113" i="22"/>
  <c r="H1113" i="22"/>
  <c r="I1112" i="22"/>
  <c r="H1112" i="22"/>
  <c r="I1111" i="22"/>
  <c r="H1111" i="22"/>
  <c r="I1110" i="22"/>
  <c r="H1110" i="22"/>
  <c r="I1109" i="22"/>
  <c r="H1109" i="22"/>
  <c r="I1108" i="22"/>
  <c r="H1108" i="22"/>
  <c r="I1107" i="22"/>
  <c r="H1107" i="22"/>
  <c r="I1106" i="22"/>
  <c r="H1106" i="22"/>
  <c r="I1105" i="22"/>
  <c r="H1105" i="22"/>
  <c r="E2483" i="22" s="1"/>
  <c r="I1104" i="22"/>
  <c r="H1104" i="22"/>
  <c r="I1103" i="22"/>
  <c r="H1103" i="22"/>
  <c r="I1102" i="22"/>
  <c r="H1102" i="22"/>
  <c r="I1101" i="22"/>
  <c r="H1101" i="22"/>
  <c r="I1100" i="22"/>
  <c r="H1100" i="22"/>
  <c r="I1099" i="22"/>
  <c r="H1099" i="22"/>
  <c r="I1098" i="22"/>
  <c r="H1098" i="22"/>
  <c r="I1097" i="22"/>
  <c r="H1097" i="22"/>
  <c r="I1096" i="22"/>
  <c r="H1096" i="22"/>
  <c r="I1095" i="22"/>
  <c r="H1095" i="22"/>
  <c r="I1094" i="22"/>
  <c r="H1094" i="22"/>
  <c r="I1093" i="22"/>
  <c r="H1093" i="22"/>
  <c r="I1092" i="22"/>
  <c r="H1092" i="22"/>
  <c r="I1091" i="22"/>
  <c r="H1091" i="22"/>
  <c r="I1090" i="22"/>
  <c r="H1090" i="22"/>
  <c r="I1089" i="22"/>
  <c r="H1089" i="22"/>
  <c r="I1088" i="22"/>
  <c r="H1088" i="22"/>
  <c r="I1087" i="22"/>
  <c r="H1087" i="22"/>
  <c r="I1086" i="22"/>
  <c r="H1086" i="22"/>
  <c r="I1085" i="22"/>
  <c r="H1085" i="22"/>
  <c r="I1084" i="22"/>
  <c r="H1084" i="22"/>
  <c r="I1083" i="22"/>
  <c r="H1083" i="22"/>
  <c r="I1082" i="22"/>
  <c r="H1082" i="22"/>
  <c r="I1081" i="22"/>
  <c r="H1081" i="22"/>
  <c r="I1080" i="22"/>
  <c r="H1080" i="22"/>
  <c r="I1079" i="22"/>
  <c r="H1079" i="22"/>
  <c r="I1078" i="22"/>
  <c r="H1078" i="22"/>
  <c r="I1077" i="22"/>
  <c r="H1077" i="22"/>
  <c r="I1076" i="22"/>
  <c r="H1076" i="22"/>
  <c r="I1075" i="22"/>
  <c r="H1075" i="22"/>
  <c r="I1074" i="22"/>
  <c r="H1074" i="22"/>
  <c r="I1073" i="22"/>
  <c r="H1073" i="22"/>
  <c r="I1072" i="22"/>
  <c r="H1072" i="22"/>
  <c r="I1071" i="22"/>
  <c r="H1071" i="22"/>
  <c r="I1070" i="22"/>
  <c r="H1070" i="22"/>
  <c r="I1069" i="22"/>
  <c r="H1069" i="22"/>
  <c r="I1068" i="22"/>
  <c r="H1068" i="22"/>
  <c r="I1067" i="22"/>
  <c r="H1067" i="22"/>
  <c r="I1066" i="22"/>
  <c r="H1066" i="22"/>
  <c r="I1065" i="22"/>
  <c r="H1065" i="22"/>
  <c r="I1064" i="22"/>
  <c r="H1064" i="22"/>
  <c r="I1063" i="22"/>
  <c r="H1063" i="22"/>
  <c r="I1062" i="22"/>
  <c r="H1062" i="22"/>
  <c r="I1061" i="22"/>
  <c r="H1061" i="22"/>
  <c r="I1060" i="22"/>
  <c r="H1060" i="22"/>
  <c r="I1059" i="22"/>
  <c r="H1059" i="22"/>
  <c r="I1058" i="22"/>
  <c r="H1058" i="22"/>
  <c r="I1057" i="22"/>
  <c r="H1057" i="22"/>
  <c r="I1056" i="22"/>
  <c r="H1056" i="22"/>
  <c r="I1055" i="22"/>
  <c r="H1055" i="22"/>
  <c r="I1054" i="22"/>
  <c r="H1054" i="22"/>
  <c r="I1053" i="22"/>
  <c r="H1053" i="22"/>
  <c r="I1052" i="22"/>
  <c r="H1052" i="22"/>
  <c r="I1051" i="22"/>
  <c r="H1051" i="22"/>
  <c r="I1050" i="22"/>
  <c r="H1050" i="22"/>
  <c r="I1049" i="22"/>
  <c r="H1049" i="22"/>
  <c r="I1048" i="22"/>
  <c r="H1048" i="22"/>
  <c r="I1047" i="22"/>
  <c r="H1047" i="22"/>
  <c r="I1046" i="22"/>
  <c r="H1046" i="22"/>
  <c r="I1045" i="22"/>
  <c r="H1045" i="22"/>
  <c r="I1044" i="22"/>
  <c r="H1044" i="22"/>
  <c r="I1043" i="22"/>
  <c r="H1043" i="22"/>
  <c r="I1042" i="22"/>
  <c r="H1042" i="22"/>
  <c r="I1041" i="22"/>
  <c r="H1041" i="22"/>
  <c r="I1040" i="22"/>
  <c r="H1040" i="22"/>
  <c r="I1039" i="22"/>
  <c r="H1039" i="22"/>
  <c r="I1036" i="22"/>
  <c r="H1036" i="22"/>
  <c r="I1035" i="22"/>
  <c r="H1035" i="22"/>
  <c r="I1034" i="22"/>
  <c r="H1034" i="22"/>
  <c r="I1033" i="22"/>
  <c r="H1033" i="22"/>
  <c r="I1032" i="22"/>
  <c r="H1032" i="22"/>
  <c r="I1031" i="22"/>
  <c r="H1031" i="22"/>
  <c r="I1030" i="22"/>
  <c r="H1030" i="22"/>
  <c r="I1029" i="22"/>
  <c r="H1029" i="22"/>
  <c r="I1028" i="22"/>
  <c r="H1028" i="22"/>
  <c r="I1027" i="22"/>
  <c r="H1027" i="22"/>
  <c r="I1026" i="22"/>
  <c r="H1026" i="22"/>
  <c r="I1025" i="22"/>
  <c r="H1025" i="22"/>
  <c r="I1024" i="22"/>
  <c r="H1024" i="22"/>
  <c r="I1023" i="22"/>
  <c r="H1023" i="22"/>
  <c r="I1022" i="22"/>
  <c r="H1022" i="22"/>
  <c r="I1021" i="22"/>
  <c r="H1021" i="22"/>
  <c r="I1020" i="22"/>
  <c r="H1020" i="22"/>
  <c r="I1019" i="22"/>
  <c r="H1019" i="22"/>
  <c r="I1018" i="22"/>
  <c r="H1018" i="22"/>
  <c r="I1017" i="22"/>
  <c r="H1017" i="22"/>
  <c r="I1016" i="22"/>
  <c r="H1016" i="22"/>
  <c r="I1015" i="22"/>
  <c r="H1015" i="22"/>
  <c r="I1014" i="22"/>
  <c r="H1014" i="22"/>
  <c r="I1013" i="22"/>
  <c r="H1013" i="22"/>
  <c r="I1012" i="22"/>
  <c r="H1012" i="22"/>
  <c r="I1011" i="22"/>
  <c r="H1011" i="22"/>
  <c r="I1010" i="22"/>
  <c r="H1010" i="22"/>
  <c r="I1009" i="22"/>
  <c r="H1009" i="22"/>
  <c r="I1008" i="22"/>
  <c r="H1008" i="22"/>
  <c r="I1007" i="22"/>
  <c r="H1007" i="22"/>
  <c r="I1006" i="22"/>
  <c r="H1006" i="22"/>
  <c r="I1005" i="22"/>
  <c r="H1005" i="22"/>
  <c r="I1004" i="22"/>
  <c r="H1004" i="22"/>
  <c r="I1003" i="22"/>
  <c r="H1003" i="22"/>
  <c r="I1002" i="22"/>
  <c r="H1002" i="22"/>
  <c r="I1001" i="22"/>
  <c r="H1001" i="22"/>
  <c r="I1000" i="22"/>
  <c r="H1000" i="22"/>
  <c r="I999" i="22"/>
  <c r="H999" i="22"/>
  <c r="I998" i="22"/>
  <c r="H998" i="22"/>
  <c r="I997" i="22"/>
  <c r="H997" i="22"/>
  <c r="I996" i="22"/>
  <c r="H996" i="22"/>
  <c r="I995" i="22"/>
  <c r="H995" i="22"/>
  <c r="I994" i="22"/>
  <c r="H994" i="22"/>
  <c r="I993" i="22"/>
  <c r="H993" i="22"/>
  <c r="I992" i="22"/>
  <c r="H992" i="22"/>
  <c r="I991" i="22"/>
  <c r="H991" i="22"/>
  <c r="I990" i="22"/>
  <c r="H990" i="22"/>
  <c r="I989" i="22"/>
  <c r="H989" i="22"/>
  <c r="I988" i="22"/>
  <c r="H988" i="22"/>
  <c r="I987" i="22"/>
  <c r="H987" i="22"/>
  <c r="I986" i="22"/>
  <c r="H986" i="22"/>
  <c r="I985" i="22"/>
  <c r="H985" i="22"/>
  <c r="I984" i="22"/>
  <c r="H984" i="22"/>
  <c r="I983" i="22"/>
  <c r="H983" i="22"/>
  <c r="I982" i="22"/>
  <c r="H982" i="22"/>
  <c r="I981" i="22"/>
  <c r="H981" i="22"/>
  <c r="I980" i="22"/>
  <c r="H980" i="22"/>
  <c r="I979" i="22"/>
  <c r="H979" i="22"/>
  <c r="I978" i="22"/>
  <c r="H978" i="22"/>
  <c r="I977" i="22"/>
  <c r="H977" i="22"/>
  <c r="I976" i="22"/>
  <c r="H976" i="22"/>
  <c r="I975" i="22"/>
  <c r="H975" i="22"/>
  <c r="I974" i="22"/>
  <c r="H974" i="22"/>
  <c r="I973" i="22"/>
  <c r="H973" i="22"/>
  <c r="I972" i="22"/>
  <c r="H972" i="22"/>
  <c r="I971" i="22"/>
  <c r="H971" i="22"/>
  <c r="I970" i="22"/>
  <c r="H970" i="22"/>
  <c r="I969" i="22"/>
  <c r="H969" i="22"/>
  <c r="I968" i="22"/>
  <c r="H968" i="22"/>
  <c r="I967" i="22"/>
  <c r="H967" i="22"/>
  <c r="I966" i="22"/>
  <c r="H966" i="22"/>
  <c r="I964" i="22"/>
  <c r="H964" i="22"/>
  <c r="I963" i="22"/>
  <c r="H963" i="22"/>
  <c r="I962" i="22"/>
  <c r="H962" i="22"/>
  <c r="I961" i="22"/>
  <c r="H961" i="22"/>
  <c r="I960" i="22"/>
  <c r="H960" i="22"/>
  <c r="I959" i="22"/>
  <c r="H959" i="22"/>
  <c r="I958" i="22"/>
  <c r="H958" i="22"/>
  <c r="I957" i="22"/>
  <c r="H957" i="22"/>
  <c r="I956" i="22"/>
  <c r="H956" i="22"/>
  <c r="I955" i="22"/>
  <c r="H955" i="22"/>
  <c r="I953" i="22"/>
  <c r="H953" i="22"/>
  <c r="I952" i="22"/>
  <c r="H952" i="22"/>
  <c r="I951" i="22"/>
  <c r="H951" i="22"/>
  <c r="I949" i="22"/>
  <c r="H949" i="22"/>
  <c r="I948" i="22"/>
  <c r="H948" i="22"/>
  <c r="I947" i="22"/>
  <c r="H947" i="22"/>
  <c r="I946" i="22"/>
  <c r="H946" i="22"/>
  <c r="I945" i="22"/>
  <c r="H945" i="22"/>
  <c r="I944" i="22"/>
  <c r="H944" i="22"/>
  <c r="I943" i="22"/>
  <c r="H943" i="22"/>
  <c r="I942" i="22"/>
  <c r="H942" i="22"/>
  <c r="I941" i="22"/>
  <c r="H941" i="22"/>
  <c r="I940" i="22"/>
  <c r="H940" i="22"/>
  <c r="I939" i="22"/>
  <c r="H939" i="22"/>
  <c r="I938" i="22"/>
  <c r="H938" i="22"/>
  <c r="I937" i="22"/>
  <c r="H937" i="22"/>
  <c r="I936" i="22"/>
  <c r="H936" i="22"/>
  <c r="I935" i="22"/>
  <c r="H935" i="22"/>
  <c r="I934" i="22"/>
  <c r="H934" i="22"/>
  <c r="I933" i="22"/>
  <c r="H933" i="22"/>
  <c r="I932" i="22"/>
  <c r="H932" i="22"/>
  <c r="I931" i="22"/>
  <c r="H931" i="22"/>
  <c r="I930" i="22"/>
  <c r="H930" i="22"/>
  <c r="I929" i="22"/>
  <c r="H929" i="22"/>
  <c r="I928" i="22"/>
  <c r="H928" i="22"/>
  <c r="I925" i="22"/>
  <c r="H925" i="22"/>
  <c r="I924" i="22"/>
  <c r="H924" i="22"/>
  <c r="I923" i="22"/>
  <c r="H923" i="22"/>
  <c r="I922" i="22"/>
  <c r="H922" i="22"/>
  <c r="I921" i="22"/>
  <c r="H921" i="22"/>
  <c r="I920" i="22"/>
  <c r="H920" i="22"/>
  <c r="I919" i="22"/>
  <c r="H919" i="22"/>
  <c r="I918" i="22"/>
  <c r="H918" i="22"/>
  <c r="I917" i="22"/>
  <c r="H917" i="22"/>
  <c r="I916" i="22"/>
  <c r="H916" i="22"/>
  <c r="I915" i="22"/>
  <c r="H915" i="22"/>
  <c r="I914" i="22"/>
  <c r="H914" i="22"/>
  <c r="I913" i="22"/>
  <c r="H913" i="22"/>
  <c r="I912" i="22"/>
  <c r="H912" i="22"/>
  <c r="I911" i="22"/>
  <c r="H911" i="22"/>
  <c r="I910" i="22"/>
  <c r="H910" i="22"/>
  <c r="I909" i="22"/>
  <c r="H909" i="22"/>
  <c r="I908" i="22"/>
  <c r="H908" i="22"/>
  <c r="I907" i="22"/>
  <c r="H907" i="22"/>
  <c r="I906" i="22"/>
  <c r="H906" i="22"/>
  <c r="I905" i="22"/>
  <c r="H905" i="22"/>
  <c r="I904" i="22"/>
  <c r="H904" i="22"/>
  <c r="I903" i="22"/>
  <c r="H903" i="22"/>
  <c r="I901" i="22"/>
  <c r="H901" i="22"/>
  <c r="I900" i="22"/>
  <c r="H900" i="22"/>
  <c r="I899" i="22"/>
  <c r="H899" i="22"/>
  <c r="I898" i="22"/>
  <c r="H898" i="22"/>
  <c r="I897" i="22"/>
  <c r="H897" i="22"/>
  <c r="I896" i="22"/>
  <c r="H896" i="22"/>
  <c r="I895" i="22"/>
  <c r="H895" i="22"/>
  <c r="I894" i="22"/>
  <c r="H894" i="22"/>
  <c r="I891" i="22"/>
  <c r="H891" i="22"/>
  <c r="I890" i="22"/>
  <c r="H890" i="22"/>
  <c r="I889" i="22"/>
  <c r="H889" i="22"/>
  <c r="I888" i="22"/>
  <c r="H888" i="22"/>
  <c r="I887" i="22"/>
  <c r="H887" i="22"/>
  <c r="I886" i="22"/>
  <c r="H886" i="22"/>
  <c r="I885" i="22"/>
  <c r="H885" i="22"/>
  <c r="I884" i="22"/>
  <c r="H884" i="22"/>
  <c r="I883" i="22"/>
  <c r="H883" i="22"/>
  <c r="I882" i="22"/>
  <c r="H882" i="22"/>
  <c r="I881" i="22"/>
  <c r="H881" i="22"/>
  <c r="I880" i="22"/>
  <c r="H880" i="22"/>
  <c r="I879" i="22"/>
  <c r="H879" i="22"/>
  <c r="I878" i="22"/>
  <c r="H878" i="22"/>
  <c r="I877" i="22"/>
  <c r="H877" i="22"/>
  <c r="I876" i="22"/>
  <c r="H876" i="22"/>
  <c r="I875" i="22"/>
  <c r="H875" i="22"/>
  <c r="I874" i="22"/>
  <c r="H874" i="22"/>
  <c r="I873" i="22"/>
  <c r="H873" i="22"/>
  <c r="I872" i="22"/>
  <c r="H872" i="22"/>
  <c r="I871" i="22"/>
  <c r="H871" i="22"/>
  <c r="I870" i="22"/>
  <c r="H870" i="22"/>
  <c r="I869" i="22"/>
  <c r="H869" i="22"/>
  <c r="I867" i="22"/>
  <c r="H867" i="22"/>
  <c r="I866" i="22"/>
  <c r="H866" i="22"/>
  <c r="I865" i="22"/>
  <c r="H865" i="22"/>
  <c r="I864" i="22"/>
  <c r="H864" i="22"/>
  <c r="I863" i="22"/>
  <c r="H863" i="22"/>
  <c r="I862" i="22"/>
  <c r="H862" i="22"/>
  <c r="I861" i="22"/>
  <c r="H861" i="22"/>
  <c r="I860" i="22"/>
  <c r="H860" i="22"/>
  <c r="I857" i="22"/>
  <c r="H857" i="22"/>
  <c r="I856" i="22"/>
  <c r="H856" i="22"/>
  <c r="I855" i="22"/>
  <c r="H855" i="22"/>
  <c r="I854" i="22"/>
  <c r="H854" i="22"/>
  <c r="I853" i="22"/>
  <c r="H853" i="22"/>
  <c r="I852" i="22"/>
  <c r="H852" i="22"/>
  <c r="I851" i="22"/>
  <c r="H851" i="22"/>
  <c r="I850" i="22"/>
  <c r="H850" i="22"/>
  <c r="I849" i="22"/>
  <c r="H849" i="22"/>
  <c r="I848" i="22"/>
  <c r="H848" i="22"/>
  <c r="I847" i="22"/>
  <c r="H847" i="22"/>
  <c r="I846" i="22"/>
  <c r="H846" i="22"/>
  <c r="I845" i="22"/>
  <c r="H845" i="22"/>
  <c r="I844" i="22"/>
  <c r="H844" i="22"/>
  <c r="I843" i="22"/>
  <c r="H843" i="22"/>
  <c r="I842" i="22"/>
  <c r="H842" i="22"/>
  <c r="I841" i="22"/>
  <c r="H841" i="22"/>
  <c r="I840" i="22"/>
  <c r="H840" i="22"/>
  <c r="I839" i="22"/>
  <c r="H839" i="22"/>
  <c r="I838" i="22"/>
  <c r="H838" i="22"/>
  <c r="I837" i="22"/>
  <c r="H837" i="22"/>
  <c r="I836" i="22"/>
  <c r="H836" i="22"/>
  <c r="I835" i="22"/>
  <c r="H835" i="22"/>
  <c r="I833" i="22"/>
  <c r="H833" i="22"/>
  <c r="I832" i="22"/>
  <c r="H832" i="22"/>
  <c r="I831" i="22"/>
  <c r="H831" i="22"/>
  <c r="I830" i="22"/>
  <c r="H830" i="22"/>
  <c r="I829" i="22"/>
  <c r="H829" i="22"/>
  <c r="I828" i="22"/>
  <c r="H828" i="22"/>
  <c r="I827" i="22"/>
  <c r="H827" i="22"/>
  <c r="I826" i="22"/>
  <c r="H826" i="22"/>
  <c r="I823" i="22"/>
  <c r="H823" i="22"/>
  <c r="I822" i="22"/>
  <c r="H822" i="22"/>
  <c r="I821" i="22"/>
  <c r="H821" i="22"/>
  <c r="I820" i="22"/>
  <c r="H820" i="22"/>
  <c r="I819" i="22"/>
  <c r="H819" i="22"/>
  <c r="I818" i="22"/>
  <c r="H818" i="22"/>
  <c r="I817" i="22"/>
  <c r="H817" i="22"/>
  <c r="I816" i="22"/>
  <c r="H816" i="22"/>
  <c r="I815" i="22"/>
  <c r="H815" i="22"/>
  <c r="I814" i="22"/>
  <c r="H814" i="22"/>
  <c r="I813" i="22"/>
  <c r="H813" i="22"/>
  <c r="I812" i="22"/>
  <c r="H812" i="22"/>
  <c r="I811" i="22"/>
  <c r="H811" i="22"/>
  <c r="I810" i="22"/>
  <c r="H810" i="22"/>
  <c r="I809" i="22"/>
  <c r="H809" i="22"/>
  <c r="I808" i="22"/>
  <c r="H808" i="22"/>
  <c r="I807" i="22"/>
  <c r="H807" i="22"/>
  <c r="I806" i="22"/>
  <c r="H806" i="22"/>
  <c r="I805" i="22"/>
  <c r="H805" i="22"/>
  <c r="I804" i="22"/>
  <c r="H804" i="22"/>
  <c r="I803" i="22"/>
  <c r="H803" i="22"/>
  <c r="I802" i="22"/>
  <c r="H802" i="22"/>
  <c r="I801" i="22"/>
  <c r="H801" i="22"/>
  <c r="I799" i="22"/>
  <c r="H799" i="22"/>
  <c r="I798" i="22"/>
  <c r="H798" i="22"/>
  <c r="I797" i="22"/>
  <c r="H797" i="22"/>
  <c r="I796" i="22"/>
  <c r="H796" i="22"/>
  <c r="I795" i="22"/>
  <c r="H795" i="22"/>
  <c r="I794" i="22"/>
  <c r="H794" i="22"/>
  <c r="I793" i="22"/>
  <c r="H793" i="22"/>
  <c r="I792" i="22"/>
  <c r="H792" i="22"/>
  <c r="I789" i="22"/>
  <c r="H789" i="22"/>
  <c r="I788" i="22"/>
  <c r="H788" i="22"/>
  <c r="I787" i="22"/>
  <c r="H787" i="22"/>
  <c r="I786" i="22"/>
  <c r="H786" i="22"/>
  <c r="I785" i="22"/>
  <c r="H785" i="22"/>
  <c r="I784" i="22"/>
  <c r="H784" i="22"/>
  <c r="I783" i="22"/>
  <c r="H783" i="22"/>
  <c r="I782" i="22"/>
  <c r="H782" i="22"/>
  <c r="I781" i="22"/>
  <c r="H781" i="22"/>
  <c r="I780" i="22"/>
  <c r="H780" i="22"/>
  <c r="I779" i="22"/>
  <c r="H779" i="22"/>
  <c r="I778" i="22"/>
  <c r="H778" i="22"/>
  <c r="I777" i="22"/>
  <c r="H777" i="22"/>
  <c r="I776" i="22"/>
  <c r="H776" i="22"/>
  <c r="I775" i="22"/>
  <c r="H775" i="22"/>
  <c r="I774" i="22"/>
  <c r="H774" i="22"/>
  <c r="I773" i="22"/>
  <c r="H773" i="22"/>
  <c r="I772" i="22"/>
  <c r="H772" i="22"/>
  <c r="I771" i="22"/>
  <c r="H771" i="22"/>
  <c r="I770" i="22"/>
  <c r="H770" i="22"/>
  <c r="I769" i="22"/>
  <c r="H769" i="22"/>
  <c r="I768" i="22"/>
  <c r="H768" i="22"/>
  <c r="I767" i="22"/>
  <c r="H767" i="22"/>
  <c r="I765" i="22"/>
  <c r="H765" i="22"/>
  <c r="I764" i="22"/>
  <c r="H764" i="22"/>
  <c r="I763" i="22"/>
  <c r="H763" i="22"/>
  <c r="I762" i="22"/>
  <c r="H762" i="22"/>
  <c r="I761" i="22"/>
  <c r="H761" i="22"/>
  <c r="I760" i="22"/>
  <c r="H760" i="22"/>
  <c r="I759" i="22"/>
  <c r="H759" i="22"/>
  <c r="I758" i="22"/>
  <c r="H758" i="22"/>
  <c r="I755" i="22"/>
  <c r="H755" i="22"/>
  <c r="I754" i="22"/>
  <c r="H754" i="22"/>
  <c r="I753" i="22"/>
  <c r="H753" i="22"/>
  <c r="I752" i="22"/>
  <c r="H752" i="22"/>
  <c r="I751" i="22"/>
  <c r="H751" i="22"/>
  <c r="I750" i="22"/>
  <c r="H750" i="22"/>
  <c r="I749" i="22"/>
  <c r="H749" i="22"/>
  <c r="I748" i="22"/>
  <c r="H748" i="22"/>
  <c r="I747" i="22"/>
  <c r="H747" i="22"/>
  <c r="I746" i="22"/>
  <c r="H746" i="22"/>
  <c r="I745" i="22"/>
  <c r="H745" i="22"/>
  <c r="I744" i="22"/>
  <c r="H744" i="22"/>
  <c r="I743" i="22"/>
  <c r="H743" i="22"/>
  <c r="I742" i="22"/>
  <c r="H742" i="22"/>
  <c r="I741" i="22"/>
  <c r="H741" i="22"/>
  <c r="I740" i="22"/>
  <c r="H740" i="22"/>
  <c r="I739" i="22"/>
  <c r="H739" i="22"/>
  <c r="I738" i="22"/>
  <c r="H738" i="22"/>
  <c r="I737" i="22"/>
  <c r="H737" i="22"/>
  <c r="I736" i="22"/>
  <c r="H736" i="22"/>
  <c r="I735" i="22"/>
  <c r="H735" i="22"/>
  <c r="I734" i="22"/>
  <c r="H734" i="22"/>
  <c r="I733" i="22"/>
  <c r="H733" i="22"/>
  <c r="I731" i="22"/>
  <c r="H731" i="22"/>
  <c r="I730" i="22"/>
  <c r="H730" i="22"/>
  <c r="I729" i="22"/>
  <c r="H729" i="22"/>
  <c r="I728" i="22"/>
  <c r="H728" i="22"/>
  <c r="I727" i="22"/>
  <c r="H727" i="22"/>
  <c r="I726" i="22"/>
  <c r="H726" i="22"/>
  <c r="I725" i="22"/>
  <c r="H725" i="22"/>
  <c r="I724" i="22"/>
  <c r="H724" i="22"/>
  <c r="I723" i="22"/>
  <c r="H723" i="22"/>
  <c r="I720" i="22"/>
  <c r="H720" i="22"/>
  <c r="I719" i="22"/>
  <c r="H719" i="22"/>
  <c r="I718" i="22"/>
  <c r="H718" i="22"/>
  <c r="I717" i="22"/>
  <c r="H717" i="22"/>
  <c r="I716" i="22"/>
  <c r="H716" i="22"/>
  <c r="I715" i="22"/>
  <c r="H715" i="22"/>
  <c r="I714" i="22"/>
  <c r="H714" i="22"/>
  <c r="I713" i="22"/>
  <c r="H713" i="22"/>
  <c r="I712" i="22"/>
  <c r="H712" i="22"/>
  <c r="I711" i="22"/>
  <c r="H711" i="22"/>
  <c r="I710" i="22"/>
  <c r="H710" i="22"/>
  <c r="I709" i="22"/>
  <c r="H709" i="22"/>
  <c r="I708" i="22"/>
  <c r="H708" i="22"/>
  <c r="I707" i="22"/>
  <c r="H707" i="22"/>
  <c r="I706" i="22"/>
  <c r="H706" i="22"/>
  <c r="I705" i="22"/>
  <c r="H705" i="22"/>
  <c r="I704" i="22"/>
  <c r="H704" i="22"/>
  <c r="I703" i="22"/>
  <c r="H703" i="22"/>
  <c r="I702" i="22"/>
  <c r="H702" i="22"/>
  <c r="I701" i="22"/>
  <c r="H701" i="22"/>
  <c r="I700" i="22"/>
  <c r="H700" i="22"/>
  <c r="I699" i="22"/>
  <c r="H699" i="22"/>
  <c r="I698" i="22"/>
  <c r="H698" i="22"/>
  <c r="I696" i="22"/>
  <c r="H696" i="22"/>
  <c r="I695" i="22"/>
  <c r="H695" i="22"/>
  <c r="I694" i="22"/>
  <c r="H694" i="22"/>
  <c r="I693" i="22"/>
  <c r="H693" i="22"/>
  <c r="I692" i="22"/>
  <c r="H692" i="22"/>
  <c r="I691" i="22"/>
  <c r="H691" i="22"/>
  <c r="I690" i="22"/>
  <c r="H690" i="22"/>
  <c r="I689" i="22"/>
  <c r="H689" i="22"/>
  <c r="I687" i="22"/>
  <c r="H687" i="22"/>
  <c r="I686" i="22"/>
  <c r="H686" i="22"/>
  <c r="I685" i="22"/>
  <c r="H685" i="22"/>
  <c r="I684" i="22"/>
  <c r="H684" i="22"/>
  <c r="I683" i="22"/>
  <c r="H683" i="22"/>
  <c r="I682" i="22"/>
  <c r="H682" i="22"/>
  <c r="I681" i="22"/>
  <c r="H681" i="22"/>
  <c r="I680" i="22"/>
  <c r="H680" i="22"/>
  <c r="I679" i="22"/>
  <c r="H679" i="22"/>
  <c r="I678" i="22"/>
  <c r="H678" i="22"/>
  <c r="I677" i="22"/>
  <c r="H677" i="22"/>
  <c r="I676" i="22"/>
  <c r="H676" i="22"/>
  <c r="I675" i="22"/>
  <c r="H675" i="22"/>
  <c r="I674" i="22"/>
  <c r="H674" i="22"/>
  <c r="I673" i="22"/>
  <c r="H673" i="22"/>
  <c r="I672" i="22"/>
  <c r="H672" i="22"/>
  <c r="I671" i="22"/>
  <c r="H671" i="22"/>
  <c r="I670" i="22"/>
  <c r="H670" i="22"/>
  <c r="I669" i="22"/>
  <c r="H669" i="22"/>
  <c r="I668" i="22"/>
  <c r="H668" i="22"/>
  <c r="I667" i="22"/>
  <c r="H667" i="22"/>
  <c r="I666" i="22"/>
  <c r="H666" i="22"/>
  <c r="I665" i="22"/>
  <c r="H665" i="22"/>
  <c r="I664" i="22"/>
  <c r="H664" i="22"/>
  <c r="I663" i="22"/>
  <c r="H663" i="22"/>
  <c r="I662" i="22"/>
  <c r="H662" i="22"/>
  <c r="I661" i="22"/>
  <c r="H661" i="22"/>
  <c r="I660" i="22"/>
  <c r="H660" i="22"/>
  <c r="I659" i="22"/>
  <c r="H659" i="22"/>
  <c r="I658" i="22"/>
  <c r="H658" i="22"/>
  <c r="I656" i="22"/>
  <c r="H656" i="22"/>
  <c r="I655" i="22"/>
  <c r="H655" i="22"/>
  <c r="I654" i="22"/>
  <c r="H654" i="22"/>
  <c r="I653" i="22"/>
  <c r="H653" i="22"/>
  <c r="I652" i="22"/>
  <c r="H652" i="22"/>
  <c r="I651" i="22"/>
  <c r="H651" i="22"/>
  <c r="I650" i="22"/>
  <c r="H650" i="22"/>
  <c r="I649" i="22"/>
  <c r="H649" i="22"/>
  <c r="I646" i="22"/>
  <c r="H646" i="22"/>
  <c r="I645" i="22"/>
  <c r="H645" i="22"/>
  <c r="I644" i="22"/>
  <c r="H644" i="22"/>
  <c r="I643" i="22"/>
  <c r="H643" i="22"/>
  <c r="I642" i="22"/>
  <c r="H642" i="22"/>
  <c r="I641" i="22"/>
  <c r="H641" i="22"/>
  <c r="I640" i="22"/>
  <c r="H640" i="22"/>
  <c r="I639" i="22"/>
  <c r="H639" i="22"/>
  <c r="I638" i="22"/>
  <c r="H638" i="22"/>
  <c r="I637" i="22"/>
  <c r="H637" i="22"/>
  <c r="I636" i="22"/>
  <c r="H636" i="22"/>
  <c r="I635" i="22"/>
  <c r="H635" i="22"/>
  <c r="I634" i="22"/>
  <c r="H634" i="22"/>
  <c r="I633" i="22"/>
  <c r="H633" i="22"/>
  <c r="I632" i="22"/>
  <c r="H632" i="22"/>
  <c r="I631" i="22"/>
  <c r="H631" i="22"/>
  <c r="I630" i="22"/>
  <c r="H630" i="22"/>
  <c r="I629" i="22"/>
  <c r="H629" i="22"/>
  <c r="I628" i="22"/>
  <c r="H628" i="22"/>
  <c r="I627" i="22"/>
  <c r="H627" i="22"/>
  <c r="I626" i="22"/>
  <c r="H626" i="22"/>
  <c r="I625" i="22"/>
  <c r="H625" i="22"/>
  <c r="I624" i="22"/>
  <c r="H624" i="22"/>
  <c r="I622" i="22"/>
  <c r="H622" i="22"/>
  <c r="I621" i="22"/>
  <c r="H621" i="22"/>
  <c r="I620" i="22"/>
  <c r="H620" i="22"/>
  <c r="I619" i="22"/>
  <c r="H619" i="22"/>
  <c r="I618" i="22"/>
  <c r="H618" i="22"/>
  <c r="I617" i="22"/>
  <c r="H617" i="22"/>
  <c r="I616" i="22"/>
  <c r="H616" i="22"/>
  <c r="I615" i="22"/>
  <c r="H615" i="22"/>
  <c r="I613" i="22"/>
  <c r="H613" i="22"/>
  <c r="I612" i="22"/>
  <c r="H612" i="22"/>
  <c r="I611" i="22"/>
  <c r="H611" i="22"/>
  <c r="I610" i="22"/>
  <c r="H610" i="22"/>
  <c r="I609" i="22"/>
  <c r="H609" i="22"/>
  <c r="I608" i="22"/>
  <c r="H608" i="22"/>
  <c r="I607" i="22"/>
  <c r="H607" i="22"/>
  <c r="I606" i="22"/>
  <c r="H606" i="22"/>
  <c r="I605" i="22"/>
  <c r="H605" i="22"/>
  <c r="I604" i="22"/>
  <c r="H604" i="22"/>
  <c r="I603" i="22"/>
  <c r="H603" i="22"/>
  <c r="I602" i="22"/>
  <c r="H602" i="22"/>
  <c r="I601" i="22"/>
  <c r="H601" i="22"/>
  <c r="I600" i="22"/>
  <c r="H600" i="22"/>
  <c r="I599" i="22"/>
  <c r="H599" i="22"/>
  <c r="I598" i="22"/>
  <c r="H598" i="22"/>
  <c r="I597" i="22"/>
  <c r="H597" i="22"/>
  <c r="I596" i="22"/>
  <c r="H596" i="22"/>
  <c r="I595" i="22"/>
  <c r="H595" i="22"/>
  <c r="I594" i="22"/>
  <c r="H594" i="22"/>
  <c r="I593" i="22"/>
  <c r="H593" i="22"/>
  <c r="I592" i="22"/>
  <c r="H592" i="22"/>
  <c r="I591" i="22"/>
  <c r="H591" i="22"/>
  <c r="I590" i="22"/>
  <c r="H590" i="22"/>
  <c r="I589" i="22"/>
  <c r="H589" i="22"/>
  <c r="I588" i="22"/>
  <c r="H588" i="22"/>
  <c r="I587" i="22"/>
  <c r="H587" i="22"/>
  <c r="I586" i="22"/>
  <c r="H586" i="22"/>
  <c r="I585" i="22"/>
  <c r="H585" i="22"/>
  <c r="I584" i="22"/>
  <c r="H584" i="22"/>
  <c r="I583" i="22"/>
  <c r="H583" i="22"/>
  <c r="I582" i="22"/>
  <c r="H582" i="22"/>
  <c r="I581" i="22"/>
  <c r="H581" i="22"/>
  <c r="I580" i="22"/>
  <c r="H580" i="22"/>
  <c r="I579" i="22"/>
  <c r="H579" i="22"/>
  <c r="I578" i="22"/>
  <c r="H578" i="22"/>
  <c r="I577" i="22"/>
  <c r="H577" i="22"/>
  <c r="I576" i="22"/>
  <c r="H576" i="22"/>
  <c r="I575" i="22"/>
  <c r="H575" i="22"/>
  <c r="I574" i="22"/>
  <c r="H574" i="22"/>
  <c r="I573" i="22"/>
  <c r="H573" i="22"/>
  <c r="I572" i="22"/>
  <c r="H572" i="22"/>
  <c r="I570" i="22"/>
  <c r="H570" i="22"/>
  <c r="I569" i="22"/>
  <c r="H569" i="22"/>
  <c r="I568" i="22"/>
  <c r="H568" i="22"/>
  <c r="I567" i="22"/>
  <c r="H567" i="22"/>
  <c r="I550" i="22"/>
  <c r="H550" i="22"/>
  <c r="I549" i="22"/>
  <c r="H549" i="22"/>
  <c r="I548" i="22"/>
  <c r="H548" i="22"/>
  <c r="I527" i="22"/>
  <c r="H527" i="22"/>
  <c r="I526" i="22"/>
  <c r="H526" i="22"/>
  <c r="I525" i="22"/>
  <c r="H525" i="22"/>
  <c r="I524" i="22"/>
  <c r="H524" i="22"/>
  <c r="I523" i="22"/>
  <c r="H523" i="22"/>
  <c r="I522" i="22"/>
  <c r="H522" i="22"/>
  <c r="I521" i="22"/>
  <c r="H521" i="22"/>
  <c r="I520" i="22"/>
  <c r="H520" i="22"/>
  <c r="I519" i="22"/>
  <c r="H519" i="22"/>
  <c r="I518" i="22"/>
  <c r="H518" i="22"/>
  <c r="I517" i="22"/>
  <c r="H517" i="22"/>
  <c r="I516" i="22"/>
  <c r="H516" i="22"/>
  <c r="I515" i="22"/>
  <c r="H515" i="22"/>
  <c r="I514" i="22"/>
  <c r="H514" i="22"/>
  <c r="I513" i="22"/>
  <c r="H513" i="22"/>
  <c r="I512" i="22"/>
  <c r="H512" i="22"/>
  <c r="I511" i="22"/>
  <c r="H511" i="22"/>
  <c r="I510" i="22"/>
  <c r="H510" i="22"/>
  <c r="I509" i="22"/>
  <c r="H509" i="22"/>
  <c r="I508" i="22"/>
  <c r="H508" i="22"/>
  <c r="I507" i="22"/>
  <c r="H507" i="22"/>
  <c r="I506" i="22"/>
  <c r="H506" i="22"/>
  <c r="I505" i="22"/>
  <c r="H505" i="22"/>
  <c r="I504" i="22"/>
  <c r="H504" i="22"/>
  <c r="I503" i="22"/>
  <c r="H503" i="22"/>
  <c r="I502" i="22"/>
  <c r="H502" i="22"/>
  <c r="I501" i="22"/>
  <c r="H501" i="22"/>
  <c r="I500" i="22"/>
  <c r="H500" i="22"/>
  <c r="I499" i="22"/>
  <c r="H499" i="22"/>
  <c r="I498" i="22"/>
  <c r="H498" i="22"/>
  <c r="I497" i="22"/>
  <c r="H497" i="22"/>
  <c r="I496" i="22"/>
  <c r="H496" i="22"/>
  <c r="I495" i="22"/>
  <c r="H495" i="22"/>
  <c r="I494" i="22"/>
  <c r="H494" i="22"/>
  <c r="I493" i="22"/>
  <c r="H493" i="22"/>
  <c r="I492" i="22"/>
  <c r="H492" i="22"/>
  <c r="I491" i="22"/>
  <c r="H491" i="22"/>
  <c r="I490" i="22"/>
  <c r="H490" i="22"/>
  <c r="I489" i="22"/>
  <c r="H489" i="22"/>
  <c r="I488" i="22"/>
  <c r="H488" i="22"/>
  <c r="I487" i="22"/>
  <c r="H487" i="22"/>
  <c r="I486" i="22"/>
  <c r="H486" i="22"/>
  <c r="I484" i="22"/>
  <c r="H484" i="22"/>
  <c r="I483" i="22"/>
  <c r="H483" i="22"/>
  <c r="I482" i="22"/>
  <c r="H482" i="22"/>
  <c r="I481" i="22"/>
  <c r="H481" i="22"/>
  <c r="I480" i="22"/>
  <c r="H480" i="22"/>
  <c r="I479" i="22"/>
  <c r="H479" i="22"/>
  <c r="I478" i="22"/>
  <c r="H478" i="22"/>
  <c r="I477" i="22"/>
  <c r="H477" i="22"/>
  <c r="I476" i="22"/>
  <c r="H476" i="22"/>
  <c r="I475" i="22"/>
  <c r="H475" i="22"/>
  <c r="I474" i="22"/>
  <c r="H474" i="22"/>
  <c r="I473" i="22"/>
  <c r="H473" i="22"/>
  <c r="I472" i="22"/>
  <c r="H472" i="22"/>
  <c r="I471" i="22"/>
  <c r="H471" i="22"/>
  <c r="I470" i="22"/>
  <c r="H470" i="22"/>
  <c r="I469" i="22"/>
  <c r="H469" i="22"/>
  <c r="I468" i="22"/>
  <c r="H468" i="22"/>
  <c r="I467" i="22"/>
  <c r="H467" i="22"/>
  <c r="I466" i="22"/>
  <c r="H466" i="22"/>
  <c r="I465" i="22"/>
  <c r="H465" i="22"/>
  <c r="I464" i="22"/>
  <c r="H464" i="22"/>
  <c r="I463" i="22"/>
  <c r="H463" i="22"/>
  <c r="I462" i="22"/>
  <c r="H462" i="22"/>
  <c r="I461" i="22"/>
  <c r="H461" i="22"/>
  <c r="I460" i="22"/>
  <c r="H460" i="22"/>
  <c r="I459" i="22"/>
  <c r="H459" i="22"/>
  <c r="I458" i="22"/>
  <c r="H458" i="22"/>
  <c r="I457" i="22"/>
  <c r="H457" i="22"/>
  <c r="I456" i="22"/>
  <c r="H456" i="22"/>
  <c r="I455" i="22"/>
  <c r="H455" i="22"/>
  <c r="I454" i="22"/>
  <c r="H454" i="22"/>
  <c r="I453" i="22"/>
  <c r="H453" i="22"/>
  <c r="I452" i="22"/>
  <c r="H452" i="22"/>
  <c r="I451" i="22"/>
  <c r="H451" i="22"/>
  <c r="I450" i="22"/>
  <c r="H450" i="22"/>
  <c r="I449" i="22"/>
  <c r="H449" i="22"/>
  <c r="I448" i="22"/>
  <c r="H448" i="22"/>
  <c r="I447" i="22"/>
  <c r="H447" i="22"/>
  <c r="I446" i="22"/>
  <c r="H446" i="22"/>
  <c r="I445" i="22"/>
  <c r="H445" i="22"/>
  <c r="I444" i="22"/>
  <c r="H444" i="22"/>
  <c r="I443" i="22"/>
  <c r="H443" i="22"/>
  <c r="I441" i="22"/>
  <c r="H441" i="22"/>
  <c r="I440" i="22"/>
  <c r="H440" i="22"/>
  <c r="I439" i="22"/>
  <c r="H439" i="22"/>
  <c r="I438" i="22"/>
  <c r="H438" i="22"/>
  <c r="I437" i="22"/>
  <c r="H437" i="22"/>
  <c r="I436" i="22"/>
  <c r="H436" i="22"/>
  <c r="I435" i="22"/>
  <c r="H435" i="22"/>
  <c r="I434" i="22"/>
  <c r="H434" i="22"/>
  <c r="I433" i="22"/>
  <c r="H433" i="22"/>
  <c r="I432" i="22"/>
  <c r="H432" i="22"/>
  <c r="I431" i="22"/>
  <c r="H431" i="22"/>
  <c r="I430" i="22"/>
  <c r="H430" i="22"/>
  <c r="I429" i="22"/>
  <c r="H429" i="22"/>
  <c r="I428" i="22"/>
  <c r="H428" i="22"/>
  <c r="I427" i="22"/>
  <c r="H427" i="22"/>
  <c r="I426" i="22"/>
  <c r="H426" i="22"/>
  <c r="I425" i="22"/>
  <c r="H425" i="22"/>
  <c r="I424" i="22"/>
  <c r="H424" i="22"/>
  <c r="I423" i="22"/>
  <c r="H423" i="22"/>
  <c r="I422" i="22"/>
  <c r="H422" i="22"/>
  <c r="I421" i="22"/>
  <c r="H421" i="22"/>
  <c r="I420" i="22"/>
  <c r="H420" i="22"/>
  <c r="I419" i="22"/>
  <c r="H419" i="22"/>
  <c r="I418" i="22"/>
  <c r="H418" i="22"/>
  <c r="I417" i="22"/>
  <c r="H417" i="22"/>
  <c r="I416" i="22"/>
  <c r="H416" i="22"/>
  <c r="I415" i="22"/>
  <c r="H415" i="22"/>
  <c r="I414" i="22"/>
  <c r="H414" i="22"/>
  <c r="I413" i="22"/>
  <c r="H413" i="22"/>
  <c r="I412" i="22"/>
  <c r="H412" i="22"/>
  <c r="I411" i="22"/>
  <c r="H411" i="22"/>
  <c r="I410" i="22"/>
  <c r="H410" i="22"/>
  <c r="I409" i="22"/>
  <c r="H409" i="22"/>
  <c r="I408" i="22"/>
  <c r="H408" i="22"/>
  <c r="I407" i="22"/>
  <c r="H407" i="22"/>
  <c r="I406" i="22"/>
  <c r="H406" i="22"/>
  <c r="I405" i="22"/>
  <c r="H405" i="22"/>
  <c r="I404" i="22"/>
  <c r="H404" i="22"/>
  <c r="I403" i="22"/>
  <c r="H403" i="22"/>
  <c r="I402" i="22"/>
  <c r="H402" i="22"/>
  <c r="I401" i="22"/>
  <c r="H401" i="22"/>
  <c r="I400" i="22"/>
  <c r="H400" i="22"/>
  <c r="I398" i="22"/>
  <c r="H398" i="22"/>
  <c r="I397" i="22"/>
  <c r="H397" i="22"/>
  <c r="I396" i="22"/>
  <c r="H396" i="22"/>
  <c r="I395" i="22"/>
  <c r="H395" i="22"/>
  <c r="I394" i="22"/>
  <c r="H394" i="22"/>
  <c r="I393" i="22"/>
  <c r="H393" i="22"/>
  <c r="I392" i="22"/>
  <c r="H392" i="22"/>
  <c r="I391" i="22"/>
  <c r="H391" i="22"/>
  <c r="I390" i="22"/>
  <c r="H390" i="22"/>
  <c r="I389" i="22"/>
  <c r="H389" i="22"/>
  <c r="I388" i="22"/>
  <c r="H388" i="22"/>
  <c r="I387" i="22"/>
  <c r="H387" i="22"/>
  <c r="I386" i="22"/>
  <c r="H386" i="22"/>
  <c r="I385" i="22"/>
  <c r="H385" i="22"/>
  <c r="I384" i="22"/>
  <c r="H384" i="22"/>
  <c r="I383" i="22"/>
  <c r="H383" i="22"/>
  <c r="I382" i="22"/>
  <c r="H382" i="22"/>
  <c r="I381" i="22"/>
  <c r="H381" i="22"/>
  <c r="I380" i="22"/>
  <c r="H380" i="22"/>
  <c r="I379" i="22"/>
  <c r="H379" i="22"/>
  <c r="I378" i="22"/>
  <c r="H378" i="22"/>
  <c r="I377" i="22"/>
  <c r="H377" i="22"/>
  <c r="I376" i="22"/>
  <c r="H376" i="22"/>
  <c r="I375" i="22"/>
  <c r="H375" i="22"/>
  <c r="I374" i="22"/>
  <c r="H374" i="22"/>
  <c r="I373" i="22"/>
  <c r="H373" i="22"/>
  <c r="I372" i="22"/>
  <c r="H372" i="22"/>
  <c r="I371" i="22"/>
  <c r="H371" i="22"/>
  <c r="I370" i="22"/>
  <c r="H370" i="22"/>
  <c r="I369" i="22"/>
  <c r="H369" i="22"/>
  <c r="I368" i="22"/>
  <c r="H368" i="22"/>
  <c r="I367" i="22"/>
  <c r="H367" i="22"/>
  <c r="I366" i="22"/>
  <c r="H366" i="22"/>
  <c r="I365" i="22"/>
  <c r="H365" i="22"/>
  <c r="I364" i="22"/>
  <c r="H364" i="22"/>
  <c r="I363" i="22"/>
  <c r="H363" i="22"/>
  <c r="I362" i="22"/>
  <c r="H362" i="22"/>
  <c r="I361" i="22"/>
  <c r="H361" i="22"/>
  <c r="I360" i="22"/>
  <c r="H360" i="22"/>
  <c r="I359" i="22"/>
  <c r="H359" i="22"/>
  <c r="I358" i="22"/>
  <c r="H358" i="22"/>
  <c r="I357" i="22"/>
  <c r="H357" i="22"/>
  <c r="I355" i="22"/>
  <c r="H355" i="22"/>
  <c r="I354" i="22"/>
  <c r="H354" i="22"/>
  <c r="I353" i="22"/>
  <c r="H353" i="22"/>
  <c r="I352" i="22"/>
  <c r="H352" i="22"/>
  <c r="I351" i="22"/>
  <c r="H351" i="22"/>
  <c r="I350" i="22"/>
  <c r="H350" i="22"/>
  <c r="I349" i="22"/>
  <c r="H349" i="22"/>
  <c r="I348" i="22"/>
  <c r="H348" i="22"/>
  <c r="I347" i="22"/>
  <c r="H347" i="22"/>
  <c r="I346" i="22"/>
  <c r="H346" i="22"/>
  <c r="I345" i="22"/>
  <c r="H345" i="22"/>
  <c r="I344" i="22"/>
  <c r="H344" i="22"/>
  <c r="I343" i="22"/>
  <c r="H343" i="22"/>
  <c r="I342" i="22"/>
  <c r="H342" i="22"/>
  <c r="I341" i="22"/>
  <c r="H341" i="22"/>
  <c r="I340" i="22"/>
  <c r="H340" i="22"/>
  <c r="I339" i="22"/>
  <c r="H339" i="22"/>
  <c r="I338" i="22"/>
  <c r="H338" i="22"/>
  <c r="I337" i="22"/>
  <c r="H337" i="22"/>
  <c r="I336" i="22"/>
  <c r="H336" i="22"/>
  <c r="I335" i="22"/>
  <c r="H335" i="22"/>
  <c r="I334" i="22"/>
  <c r="H334" i="22"/>
  <c r="I333" i="22"/>
  <c r="H333" i="22"/>
  <c r="I332" i="22"/>
  <c r="H332" i="22"/>
  <c r="I331" i="22"/>
  <c r="H331" i="22"/>
  <c r="I330" i="22"/>
  <c r="H330" i="22"/>
  <c r="I329" i="22"/>
  <c r="H329" i="22"/>
  <c r="I328" i="22"/>
  <c r="H328" i="22"/>
  <c r="I327" i="22"/>
  <c r="H327" i="22"/>
  <c r="I326" i="22"/>
  <c r="H326" i="22"/>
  <c r="I325" i="22"/>
  <c r="H325" i="22"/>
  <c r="I324" i="22"/>
  <c r="H324" i="22"/>
  <c r="I323" i="22"/>
  <c r="H323" i="22"/>
  <c r="I322" i="22"/>
  <c r="H322" i="22"/>
  <c r="I321" i="22"/>
  <c r="H321" i="22"/>
  <c r="I320" i="22"/>
  <c r="H320" i="22"/>
  <c r="I319" i="22"/>
  <c r="H319" i="22"/>
  <c r="I318" i="22"/>
  <c r="H318" i="22"/>
  <c r="I317" i="22"/>
  <c r="H317" i="22"/>
  <c r="I316" i="22"/>
  <c r="H316" i="22"/>
  <c r="I315" i="22"/>
  <c r="H315" i="22"/>
  <c r="I314" i="22"/>
  <c r="H314" i="22"/>
  <c r="I312" i="22"/>
  <c r="H312" i="22"/>
  <c r="I311" i="22"/>
  <c r="H311" i="22"/>
  <c r="I310" i="22"/>
  <c r="H310" i="22"/>
  <c r="I309" i="22"/>
  <c r="H309" i="22"/>
  <c r="I308" i="22"/>
  <c r="H308" i="22"/>
  <c r="I307" i="22"/>
  <c r="H307" i="22"/>
  <c r="I306" i="22"/>
  <c r="H306" i="22"/>
  <c r="I305" i="22"/>
  <c r="H305" i="22"/>
  <c r="I304" i="22"/>
  <c r="H304" i="22"/>
  <c r="I303" i="22"/>
  <c r="H303" i="22"/>
  <c r="I302" i="22"/>
  <c r="H302" i="22"/>
  <c r="I301" i="22"/>
  <c r="H301" i="22"/>
  <c r="I300" i="22"/>
  <c r="H300" i="22"/>
  <c r="I299" i="22"/>
  <c r="H299" i="22"/>
  <c r="I298" i="22"/>
  <c r="H298" i="22"/>
  <c r="I297" i="22"/>
  <c r="H297" i="22"/>
  <c r="I296" i="22"/>
  <c r="H296" i="22"/>
  <c r="I295" i="22"/>
  <c r="H295" i="22"/>
  <c r="I294" i="22"/>
  <c r="H294" i="22"/>
  <c r="I293" i="22"/>
  <c r="H293" i="22"/>
  <c r="I292" i="22"/>
  <c r="H292" i="22"/>
  <c r="I291" i="22"/>
  <c r="H291" i="22"/>
  <c r="I290" i="22"/>
  <c r="H290" i="22"/>
  <c r="I289" i="22"/>
  <c r="H289" i="22"/>
  <c r="I288" i="22"/>
  <c r="H288" i="22"/>
  <c r="I287" i="22"/>
  <c r="H287" i="22"/>
  <c r="I286" i="22"/>
  <c r="H286" i="22"/>
  <c r="I285" i="22"/>
  <c r="H285" i="22"/>
  <c r="I284" i="22"/>
  <c r="H284" i="22"/>
  <c r="I283" i="22"/>
  <c r="H283" i="22"/>
  <c r="I282" i="22"/>
  <c r="H282" i="22"/>
  <c r="I281" i="22"/>
  <c r="H281" i="22"/>
  <c r="I280" i="22"/>
  <c r="H280" i="22"/>
  <c r="I279" i="22"/>
  <c r="H279" i="22"/>
  <c r="I278" i="22"/>
  <c r="H278" i="22"/>
  <c r="I277" i="22"/>
  <c r="H277" i="22"/>
  <c r="I276" i="22"/>
  <c r="H276" i="22"/>
  <c r="I275" i="22"/>
  <c r="H275" i="22"/>
  <c r="I274" i="22"/>
  <c r="H274" i="22"/>
  <c r="I273" i="22"/>
  <c r="H273" i="22"/>
  <c r="I272" i="22"/>
  <c r="H272" i="22"/>
  <c r="I271" i="22"/>
  <c r="H271" i="22"/>
  <c r="I269" i="22"/>
  <c r="H269" i="22"/>
  <c r="I268" i="22"/>
  <c r="H268" i="22"/>
  <c r="I267" i="22"/>
  <c r="H267" i="22"/>
  <c r="I266" i="22"/>
  <c r="H266" i="22"/>
  <c r="I265" i="22"/>
  <c r="H265" i="22"/>
  <c r="I264" i="22"/>
  <c r="H264" i="22"/>
  <c r="I263" i="22"/>
  <c r="H263" i="22"/>
  <c r="I262" i="22"/>
  <c r="H262" i="22"/>
  <c r="I261" i="22"/>
  <c r="H261" i="22"/>
  <c r="I260" i="22"/>
  <c r="H260" i="22"/>
  <c r="I259" i="22"/>
  <c r="H259" i="22"/>
  <c r="I258" i="22"/>
  <c r="H258" i="22"/>
  <c r="I257" i="22"/>
  <c r="H257" i="22"/>
  <c r="I256" i="22"/>
  <c r="H256" i="22"/>
  <c r="I255" i="22"/>
  <c r="H255" i="22"/>
  <c r="I254" i="22"/>
  <c r="H254" i="22"/>
  <c r="I253" i="22"/>
  <c r="H253" i="22"/>
  <c r="I252" i="22"/>
  <c r="H252" i="22"/>
  <c r="I251" i="22"/>
  <c r="H251" i="22"/>
  <c r="I250" i="22"/>
  <c r="H250" i="22"/>
  <c r="I249" i="22"/>
  <c r="H249" i="22"/>
  <c r="I248" i="22"/>
  <c r="H248" i="22"/>
  <c r="I247" i="22"/>
  <c r="H247" i="22"/>
  <c r="I246" i="22"/>
  <c r="H246" i="22"/>
  <c r="I245" i="22"/>
  <c r="H245" i="22"/>
  <c r="I244" i="22"/>
  <c r="H244" i="22"/>
  <c r="I243" i="22"/>
  <c r="H243" i="22"/>
  <c r="I242" i="22"/>
  <c r="H242" i="22"/>
  <c r="I241" i="22"/>
  <c r="H241" i="22"/>
  <c r="I240" i="22"/>
  <c r="H240" i="22"/>
  <c r="I239" i="22"/>
  <c r="H239" i="22"/>
  <c r="I238" i="22"/>
  <c r="H238" i="22"/>
  <c r="I237" i="22"/>
  <c r="H237" i="22"/>
  <c r="I236" i="22"/>
  <c r="H236" i="22"/>
  <c r="I235" i="22"/>
  <c r="H235" i="22"/>
  <c r="I234" i="22"/>
  <c r="H234" i="22"/>
  <c r="I233" i="22"/>
  <c r="H233" i="22"/>
  <c r="I232" i="22"/>
  <c r="H232" i="22"/>
  <c r="I231" i="22"/>
  <c r="H231" i="22"/>
  <c r="I230" i="22"/>
  <c r="H230" i="22"/>
  <c r="I229" i="22"/>
  <c r="H229" i="22"/>
  <c r="I228" i="22"/>
  <c r="H228" i="22"/>
  <c r="I226" i="22"/>
  <c r="H226" i="22"/>
  <c r="I225" i="22"/>
  <c r="H225" i="22"/>
  <c r="I224" i="22"/>
  <c r="H224" i="22"/>
  <c r="I223" i="22"/>
  <c r="H223" i="22"/>
  <c r="I222" i="22"/>
  <c r="H222" i="22"/>
  <c r="I221" i="22"/>
  <c r="H221" i="22"/>
  <c r="I220" i="22"/>
  <c r="H220" i="22"/>
  <c r="I219" i="22"/>
  <c r="H219" i="22"/>
  <c r="I218" i="22"/>
  <c r="H218" i="22"/>
  <c r="I217" i="22"/>
  <c r="H217" i="22"/>
  <c r="I216" i="22"/>
  <c r="H216" i="22"/>
  <c r="I215" i="22"/>
  <c r="H215" i="22"/>
  <c r="I214" i="22"/>
  <c r="H214" i="22"/>
  <c r="I213" i="22"/>
  <c r="H213" i="22"/>
  <c r="I212" i="22"/>
  <c r="H212" i="22"/>
  <c r="I211" i="22"/>
  <c r="H211" i="22"/>
  <c r="I210" i="22"/>
  <c r="H210" i="22"/>
  <c r="I209" i="22"/>
  <c r="H209" i="22"/>
  <c r="I208" i="22"/>
  <c r="H208" i="22"/>
  <c r="I207" i="22"/>
  <c r="H207" i="22"/>
  <c r="I206" i="22"/>
  <c r="H206" i="22"/>
  <c r="I205" i="22"/>
  <c r="H205" i="22"/>
  <c r="I204" i="22"/>
  <c r="H204" i="22"/>
  <c r="I203" i="22"/>
  <c r="H203" i="22"/>
  <c r="I202" i="22"/>
  <c r="H202" i="22"/>
  <c r="I201" i="22"/>
  <c r="H201" i="22"/>
  <c r="I200" i="22"/>
  <c r="H200" i="22"/>
  <c r="I199" i="22"/>
  <c r="H199" i="22"/>
  <c r="I198" i="22"/>
  <c r="H198" i="22"/>
  <c r="I197" i="22"/>
  <c r="H197" i="22"/>
  <c r="I196" i="22"/>
  <c r="H196" i="22"/>
  <c r="I195" i="22"/>
  <c r="H195" i="22"/>
  <c r="I194" i="22"/>
  <c r="H194" i="22"/>
  <c r="I193" i="22"/>
  <c r="H193" i="22"/>
  <c r="I192" i="22"/>
  <c r="H192" i="22"/>
  <c r="I191" i="22"/>
  <c r="H191" i="22"/>
  <c r="I190" i="22"/>
  <c r="H190" i="22"/>
  <c r="I189" i="22"/>
  <c r="H189" i="22"/>
  <c r="I188" i="22"/>
  <c r="H188" i="22"/>
  <c r="I187" i="22"/>
  <c r="H187" i="22"/>
  <c r="I186" i="22"/>
  <c r="H186" i="22"/>
  <c r="I185" i="22"/>
  <c r="H185" i="22"/>
  <c r="I184" i="22"/>
  <c r="H184" i="22"/>
  <c r="I183" i="22"/>
  <c r="H183" i="22"/>
  <c r="I182" i="22"/>
  <c r="H182" i="22"/>
  <c r="I181" i="22"/>
  <c r="H181" i="22"/>
  <c r="I180" i="22"/>
  <c r="H180" i="22"/>
  <c r="I179" i="22"/>
  <c r="H179" i="22"/>
  <c r="I178" i="22"/>
  <c r="H178" i="22"/>
  <c r="I177" i="22"/>
  <c r="H177" i="22"/>
  <c r="I176" i="22"/>
  <c r="H176" i="22"/>
  <c r="I175" i="22"/>
  <c r="H175" i="22"/>
  <c r="I174" i="22"/>
  <c r="H174" i="22"/>
  <c r="I173" i="22"/>
  <c r="H173" i="22"/>
  <c r="I172" i="22"/>
  <c r="H172" i="22"/>
  <c r="I171" i="22"/>
  <c r="H171" i="22"/>
  <c r="I170" i="22"/>
  <c r="H170" i="22"/>
  <c r="I169" i="22"/>
  <c r="H169" i="22"/>
  <c r="I168" i="22"/>
  <c r="H168" i="22"/>
  <c r="I167" i="22"/>
  <c r="H167" i="22"/>
  <c r="I166" i="22"/>
  <c r="H166" i="22"/>
  <c r="I165" i="22"/>
  <c r="H165" i="22"/>
  <c r="I164" i="22"/>
  <c r="H164" i="22"/>
  <c r="I163" i="22"/>
  <c r="H163" i="22"/>
  <c r="I162" i="22"/>
  <c r="H162" i="22"/>
  <c r="I161" i="22"/>
  <c r="H161" i="22"/>
  <c r="I160" i="22"/>
  <c r="H160" i="22"/>
  <c r="I159" i="22"/>
  <c r="H159" i="22"/>
  <c r="I158" i="22"/>
  <c r="H158" i="22"/>
  <c r="I157" i="22"/>
  <c r="H157" i="22"/>
  <c r="I156" i="22"/>
  <c r="H156" i="22"/>
  <c r="I155" i="22"/>
  <c r="H155" i="22"/>
  <c r="I154" i="22"/>
  <c r="H154" i="22"/>
  <c r="I153" i="22"/>
  <c r="H153" i="22"/>
  <c r="I152" i="22"/>
  <c r="H152" i="22"/>
  <c r="I151" i="22"/>
  <c r="H151" i="22"/>
  <c r="I150" i="22"/>
  <c r="H150" i="22"/>
  <c r="I149" i="22"/>
  <c r="H149" i="22"/>
  <c r="I148" i="22"/>
  <c r="H148" i="22"/>
  <c r="I147" i="22"/>
  <c r="H147" i="22"/>
  <c r="I146" i="22"/>
  <c r="H146" i="22"/>
  <c r="I145" i="22"/>
  <c r="H145" i="22"/>
  <c r="I144" i="22"/>
  <c r="H144" i="22"/>
  <c r="I143" i="22"/>
  <c r="H143" i="22"/>
  <c r="I142" i="22"/>
  <c r="H142" i="22"/>
  <c r="I141" i="22"/>
  <c r="H141" i="22"/>
  <c r="I140" i="22"/>
  <c r="H140" i="22"/>
  <c r="I139" i="22"/>
  <c r="H139" i="22"/>
  <c r="I138" i="22"/>
  <c r="H138" i="22"/>
  <c r="I137" i="22"/>
  <c r="H137" i="22"/>
  <c r="I136" i="22"/>
  <c r="H136" i="22"/>
  <c r="I135" i="22"/>
  <c r="H135" i="22"/>
  <c r="I134" i="22"/>
  <c r="H134" i="22"/>
  <c r="I133" i="22"/>
  <c r="H133" i="22"/>
  <c r="I132" i="22"/>
  <c r="H132" i="22"/>
  <c r="I131" i="22"/>
  <c r="H131" i="22"/>
  <c r="I130" i="22"/>
  <c r="H130" i="22"/>
  <c r="I129" i="22"/>
  <c r="H129" i="22"/>
  <c r="I128" i="22"/>
  <c r="H128" i="22"/>
  <c r="I127" i="22"/>
  <c r="H127" i="22"/>
  <c r="I126" i="22"/>
  <c r="H126" i="22"/>
  <c r="I125" i="22"/>
  <c r="H125" i="22"/>
  <c r="I124" i="22"/>
  <c r="H124" i="22"/>
  <c r="I123" i="22"/>
  <c r="H123" i="22"/>
  <c r="I122" i="22"/>
  <c r="H122" i="22"/>
  <c r="I121" i="22"/>
  <c r="H121" i="22"/>
  <c r="I120" i="22"/>
  <c r="H120" i="22"/>
  <c r="I119" i="22"/>
  <c r="H119" i="22"/>
  <c r="I118" i="22"/>
  <c r="H118" i="22"/>
  <c r="I117" i="22"/>
  <c r="H117" i="22"/>
  <c r="I116" i="22"/>
  <c r="H116" i="22"/>
  <c r="I115" i="22"/>
  <c r="H115" i="22"/>
  <c r="I114" i="22"/>
  <c r="H114" i="22"/>
  <c r="I113" i="22"/>
  <c r="H113" i="22"/>
  <c r="I112" i="22"/>
  <c r="H112" i="22"/>
  <c r="I111" i="22"/>
  <c r="H111" i="22"/>
  <c r="I110" i="22"/>
  <c r="H110" i="22"/>
  <c r="I109" i="22"/>
  <c r="H109" i="22"/>
  <c r="I108" i="22"/>
  <c r="H108" i="22"/>
  <c r="I107" i="22"/>
  <c r="H107" i="22"/>
  <c r="I106" i="22"/>
  <c r="H106" i="22"/>
  <c r="I105" i="22"/>
  <c r="H105" i="22"/>
  <c r="I104" i="22"/>
  <c r="H104" i="22"/>
  <c r="I103" i="22"/>
  <c r="H103" i="22"/>
  <c r="I102" i="22"/>
  <c r="H102" i="22"/>
  <c r="I101" i="22"/>
  <c r="H101" i="22"/>
  <c r="I100" i="22"/>
  <c r="H100" i="22"/>
  <c r="I99" i="22"/>
  <c r="H99" i="22"/>
  <c r="I98" i="22"/>
  <c r="H98" i="22"/>
  <c r="I97" i="22"/>
  <c r="H97" i="22"/>
  <c r="I96" i="22"/>
  <c r="H96" i="22"/>
  <c r="I95" i="22"/>
  <c r="H95" i="22"/>
  <c r="I94" i="22"/>
  <c r="H94" i="22"/>
  <c r="I93" i="22"/>
  <c r="H93" i="22"/>
  <c r="I92" i="22"/>
  <c r="H92" i="22"/>
  <c r="I91" i="22"/>
  <c r="H91" i="22"/>
  <c r="I90" i="22"/>
  <c r="H90" i="22"/>
  <c r="I89" i="22"/>
  <c r="H89" i="22"/>
  <c r="I88" i="22"/>
  <c r="H88" i="22"/>
  <c r="I87" i="22"/>
  <c r="H87" i="22"/>
  <c r="I86" i="22"/>
  <c r="H86" i="22"/>
  <c r="I85" i="22"/>
  <c r="H85" i="22"/>
  <c r="I84" i="22"/>
  <c r="H84" i="22"/>
  <c r="I83" i="22"/>
  <c r="H83" i="22"/>
  <c r="I82" i="22"/>
  <c r="H82" i="22"/>
  <c r="I81" i="22"/>
  <c r="H81" i="22"/>
  <c r="I80" i="22"/>
  <c r="H80" i="22"/>
  <c r="I79" i="22"/>
  <c r="H79" i="22"/>
  <c r="I78" i="22"/>
  <c r="H78" i="22"/>
  <c r="I77" i="22"/>
  <c r="H77" i="22"/>
  <c r="I76" i="22"/>
  <c r="H76" i="22"/>
  <c r="I75" i="22"/>
  <c r="H75" i="22"/>
  <c r="I74" i="22"/>
  <c r="H74" i="22"/>
  <c r="I73" i="22"/>
  <c r="H73" i="22"/>
  <c r="I72" i="22"/>
  <c r="H72" i="22"/>
  <c r="I71" i="22"/>
  <c r="H71" i="22"/>
  <c r="I70" i="22"/>
  <c r="H70" i="22"/>
  <c r="I69" i="22"/>
  <c r="H69" i="22"/>
  <c r="I68" i="22"/>
  <c r="H68" i="22"/>
  <c r="I67" i="22"/>
  <c r="H67" i="22"/>
  <c r="I66" i="22"/>
  <c r="H66" i="22"/>
  <c r="I65" i="22"/>
  <c r="H65" i="22"/>
  <c r="I64" i="22"/>
  <c r="H64" i="22"/>
  <c r="I63" i="22"/>
  <c r="H63" i="22"/>
  <c r="I62" i="22"/>
  <c r="H62" i="22"/>
  <c r="I61" i="22"/>
  <c r="H61" i="22"/>
  <c r="I60" i="22"/>
  <c r="H60" i="22"/>
  <c r="I59" i="22"/>
  <c r="H59" i="22"/>
  <c r="I58" i="22"/>
  <c r="H58" i="22"/>
  <c r="I57" i="22"/>
  <c r="H57" i="22"/>
  <c r="I56" i="22"/>
  <c r="H56" i="22"/>
  <c r="I55" i="22"/>
  <c r="H55" i="22"/>
  <c r="I54" i="22"/>
  <c r="H54" i="22"/>
  <c r="I53" i="22"/>
  <c r="H53" i="22"/>
  <c r="I52" i="22"/>
  <c r="H52" i="22"/>
  <c r="I51" i="22"/>
  <c r="H51" i="22"/>
  <c r="I50" i="22"/>
  <c r="H50" i="22"/>
  <c r="I49" i="22"/>
  <c r="H49" i="22"/>
  <c r="I48" i="22"/>
  <c r="H48" i="22"/>
  <c r="I47" i="22"/>
  <c r="H47" i="22"/>
  <c r="I46" i="22"/>
  <c r="H46" i="22"/>
  <c r="I45" i="22"/>
  <c r="H45" i="22"/>
  <c r="I44" i="22"/>
  <c r="H44" i="22"/>
  <c r="I43" i="22"/>
  <c r="H43" i="22"/>
  <c r="I42" i="22"/>
  <c r="H42" i="22"/>
  <c r="I41" i="22"/>
  <c r="H41" i="22"/>
  <c r="I36" i="22"/>
  <c r="H36" i="22"/>
  <c r="I35" i="22"/>
  <c r="H35" i="22"/>
  <c r="I30" i="22"/>
  <c r="H30" i="22"/>
  <c r="AP29" i="22"/>
  <c r="N64" i="1" s="1"/>
  <c r="AN29" i="22"/>
  <c r="L64" i="1" s="1"/>
  <c r="I29" i="22"/>
  <c r="H29" i="22"/>
  <c r="AP27" i="22"/>
  <c r="N62" i="1" s="1"/>
  <c r="AN27" i="22"/>
  <c r="L62" i="1" s="1"/>
  <c r="I27" i="22"/>
  <c r="H27" i="22"/>
  <c r="AN26" i="22"/>
  <c r="L61" i="1" s="1"/>
  <c r="I26" i="22"/>
  <c r="H26" i="22"/>
  <c r="AP25" i="22"/>
  <c r="AN25" i="22"/>
  <c r="AM25" i="22"/>
  <c r="K60" i="1" s="1"/>
  <c r="I25" i="22"/>
  <c r="H25" i="22"/>
  <c r="AN24" i="22"/>
  <c r="L59" i="1" s="1"/>
  <c r="I24" i="22"/>
  <c r="H24" i="22"/>
  <c r="I23" i="22"/>
  <c r="H23" i="22"/>
  <c r="AN22" i="22"/>
  <c r="L57" i="1" s="1"/>
  <c r="I22" i="22"/>
  <c r="H22" i="22"/>
  <c r="I21" i="22"/>
  <c r="H21" i="22"/>
  <c r="AP20" i="22"/>
  <c r="N55" i="1" s="1"/>
  <c r="AN20" i="22"/>
  <c r="L55" i="1" s="1"/>
  <c r="I20" i="22"/>
  <c r="H20" i="22"/>
  <c r="AP19" i="22"/>
  <c r="AN19" i="22"/>
  <c r="L54" i="1" s="1"/>
  <c r="I19" i="22"/>
  <c r="H19" i="22"/>
  <c r="AK18" i="22"/>
  <c r="AP26" i="22" s="1"/>
  <c r="N61" i="1" s="1"/>
  <c r="I17" i="22"/>
  <c r="H17" i="22"/>
  <c r="I16" i="22"/>
  <c r="H16" i="22"/>
  <c r="I15" i="22"/>
  <c r="H15" i="22"/>
  <c r="I14" i="22"/>
  <c r="H14" i="22"/>
  <c r="I13" i="22"/>
  <c r="H13" i="22"/>
  <c r="I12" i="22"/>
  <c r="H12" i="22"/>
  <c r="I11" i="22"/>
  <c r="H11" i="22"/>
  <c r="I10" i="22"/>
  <c r="H10" i="22"/>
  <c r="I9" i="22"/>
  <c r="H9" i="22"/>
  <c r="I8" i="22"/>
  <c r="H8" i="22"/>
  <c r="I7" i="22"/>
  <c r="H7" i="22"/>
  <c r="I6" i="22"/>
  <c r="H6" i="22"/>
  <c r="E5" i="22"/>
  <c r="S2655" i="19"/>
  <c r="S2654" i="19"/>
  <c r="S2653" i="19"/>
  <c r="R2653" i="19"/>
  <c r="G2653" i="19"/>
  <c r="S2652" i="19"/>
  <c r="R2652" i="19"/>
  <c r="G2652" i="19"/>
  <c r="S2651" i="19"/>
  <c r="R2651" i="19"/>
  <c r="G2651" i="19"/>
  <c r="S2650" i="19"/>
  <c r="R2650" i="19"/>
  <c r="G2650" i="19"/>
  <c r="S2649" i="19"/>
  <c r="R2649" i="19"/>
  <c r="G2649" i="19"/>
  <c r="S2648" i="19"/>
  <c r="R2648" i="19"/>
  <c r="G2648" i="19"/>
  <c r="S2647" i="19"/>
  <c r="R2647" i="19"/>
  <c r="G2647" i="19"/>
  <c r="S2646" i="19"/>
  <c r="R2646" i="19"/>
  <c r="G2646" i="19"/>
  <c r="S2645" i="19"/>
  <c r="R2645" i="19"/>
  <c r="G2645" i="19"/>
  <c r="S2644" i="19"/>
  <c r="R2644" i="19"/>
  <c r="G2644" i="19"/>
  <c r="S2643" i="19"/>
  <c r="R2643" i="19"/>
  <c r="G2643" i="19"/>
  <c r="S2642" i="19"/>
  <c r="R2642" i="19"/>
  <c r="G2642" i="19"/>
  <c r="S2641" i="19"/>
  <c r="R2641" i="19"/>
  <c r="S2640" i="19"/>
  <c r="R2640" i="19"/>
  <c r="G2640" i="19"/>
  <c r="S2639" i="19"/>
  <c r="S2638" i="19"/>
  <c r="S2637" i="19"/>
  <c r="L2637" i="19"/>
  <c r="S2636" i="19"/>
  <c r="R2636" i="19"/>
  <c r="S2635" i="19"/>
  <c r="R2635" i="19"/>
  <c r="S2634" i="19"/>
  <c r="R2634" i="19"/>
  <c r="S2633" i="19"/>
  <c r="R2633" i="19"/>
  <c r="G2633" i="19"/>
  <c r="S2632" i="19"/>
  <c r="S2631" i="19"/>
  <c r="S2630" i="19"/>
  <c r="R2630" i="19"/>
  <c r="S2629" i="19"/>
  <c r="R2629" i="19"/>
  <c r="S2628" i="19"/>
  <c r="R2628" i="19"/>
  <c r="G2628" i="19"/>
  <c r="S2627" i="19"/>
  <c r="R2627" i="19"/>
  <c r="G2627" i="19"/>
  <c r="S2626" i="19"/>
  <c r="R2626" i="19"/>
  <c r="G2626" i="19"/>
  <c r="S2625" i="19"/>
  <c r="R2625" i="19"/>
  <c r="G2625" i="19"/>
  <c r="S2624" i="19"/>
  <c r="R2624" i="19"/>
  <c r="G2624" i="19"/>
  <c r="S2623" i="19"/>
  <c r="R2623" i="19"/>
  <c r="G2623" i="19"/>
  <c r="S2622" i="19"/>
  <c r="R2622" i="19"/>
  <c r="G2622" i="19"/>
  <c r="S2621" i="19"/>
  <c r="R2621" i="19"/>
  <c r="G2621" i="19"/>
  <c r="S2620" i="19"/>
  <c r="R2620" i="19"/>
  <c r="G2620" i="19"/>
  <c r="S2619" i="19"/>
  <c r="R2619" i="19"/>
  <c r="G2619" i="19"/>
  <c r="S2618" i="19"/>
  <c r="R2618" i="19"/>
  <c r="G2618" i="19"/>
  <c r="S2617" i="19"/>
  <c r="R2617" i="19"/>
  <c r="S2616" i="19"/>
  <c r="R2616" i="19"/>
  <c r="S2615" i="19"/>
  <c r="R2615" i="19"/>
  <c r="S2614" i="19"/>
  <c r="R2614" i="19"/>
  <c r="S2613" i="19"/>
  <c r="S2612" i="19"/>
  <c r="S2611" i="19"/>
  <c r="L2611" i="19"/>
  <c r="S2610" i="19"/>
  <c r="R2610" i="19"/>
  <c r="S2609" i="19"/>
  <c r="R2609" i="19"/>
  <c r="S2608" i="19"/>
  <c r="R2608" i="19"/>
  <c r="S2607" i="19"/>
  <c r="R2607" i="19"/>
  <c r="S2606" i="19"/>
  <c r="R2606" i="19"/>
  <c r="S2605" i="19"/>
  <c r="S2604" i="19"/>
  <c r="S2603" i="19"/>
  <c r="R2603" i="19"/>
  <c r="S2602" i="19"/>
  <c r="R2602" i="19"/>
  <c r="S2601" i="19"/>
  <c r="R2601" i="19"/>
  <c r="G2601" i="19"/>
  <c r="S2600" i="19"/>
  <c r="R2600" i="19"/>
  <c r="G2600" i="19"/>
  <c r="S2599" i="19"/>
  <c r="R2599" i="19"/>
  <c r="G2599" i="19"/>
  <c r="S2598" i="19"/>
  <c r="R2598" i="19"/>
  <c r="G2598" i="19"/>
  <c r="S2597" i="19"/>
  <c r="R2597" i="19"/>
  <c r="G2597" i="19"/>
  <c r="S2596" i="19"/>
  <c r="R2596" i="19"/>
  <c r="G2596" i="19"/>
  <c r="S2595" i="19"/>
  <c r="R2595" i="19"/>
  <c r="G2595" i="19"/>
  <c r="S2594" i="19"/>
  <c r="R2594" i="19"/>
  <c r="G2594" i="19"/>
  <c r="S2593" i="19"/>
  <c r="R2593" i="19"/>
  <c r="G2593" i="19"/>
  <c r="S2592" i="19"/>
  <c r="R2592" i="19"/>
  <c r="G2592" i="19"/>
  <c r="S2591" i="19"/>
  <c r="R2591" i="19"/>
  <c r="G2591" i="19"/>
  <c r="S2590" i="19"/>
  <c r="R2590" i="19"/>
  <c r="S2589" i="19"/>
  <c r="R2589" i="19"/>
  <c r="G2589" i="19"/>
  <c r="S2588" i="19"/>
  <c r="L2588" i="19"/>
  <c r="S2587" i="19"/>
  <c r="R2587" i="19"/>
  <c r="G2587" i="19"/>
  <c r="S2586" i="19"/>
  <c r="R2586" i="19"/>
  <c r="S2585" i="19"/>
  <c r="R2585" i="19"/>
  <c r="S2584" i="19"/>
  <c r="R2584" i="19"/>
  <c r="S2583" i="19"/>
  <c r="R2583" i="19"/>
  <c r="S2582" i="19"/>
  <c r="R2582" i="19"/>
  <c r="S2581" i="19"/>
  <c r="M2581" i="19"/>
  <c r="S2580" i="19"/>
  <c r="R2580" i="19"/>
  <c r="S2579" i="19"/>
  <c r="R2579" i="19"/>
  <c r="S2578" i="19"/>
  <c r="R2578" i="19"/>
  <c r="S2577" i="19"/>
  <c r="R2577" i="19"/>
  <c r="S2576" i="19"/>
  <c r="R2576" i="19"/>
  <c r="S2575" i="19"/>
  <c r="R2575" i="19"/>
  <c r="S2574" i="19"/>
  <c r="R2574" i="19"/>
  <c r="S2573" i="19"/>
  <c r="R2573" i="19"/>
  <c r="S2572" i="19"/>
  <c r="R2572" i="19"/>
  <c r="S2571" i="19"/>
  <c r="R2571" i="19"/>
  <c r="S2570" i="19"/>
  <c r="R2570" i="19"/>
  <c r="S2569" i="19"/>
  <c r="R2569" i="19"/>
  <c r="S2568" i="19"/>
  <c r="R2568" i="19"/>
  <c r="S2567" i="19"/>
  <c r="R2567" i="19"/>
  <c r="S2566" i="19"/>
  <c r="R2566" i="19"/>
  <c r="S2565" i="19"/>
  <c r="R2565" i="19"/>
  <c r="S2564" i="19"/>
  <c r="R2564" i="19"/>
  <c r="S2563" i="19"/>
  <c r="R2563" i="19"/>
  <c r="S2562" i="19"/>
  <c r="R2562" i="19"/>
  <c r="S2561" i="19"/>
  <c r="R2561" i="19"/>
  <c r="S2560" i="19"/>
  <c r="R2560" i="19"/>
  <c r="S2559" i="19"/>
  <c r="R2559" i="19"/>
  <c r="S2558" i="19"/>
  <c r="R2558" i="19"/>
  <c r="S2557" i="19"/>
  <c r="R2557" i="19"/>
  <c r="S2556" i="19"/>
  <c r="R2556" i="19"/>
  <c r="S2555" i="19"/>
  <c r="R2555" i="19"/>
  <c r="S2554" i="19"/>
  <c r="S2553" i="19"/>
  <c r="S2552" i="19"/>
  <c r="S2551" i="19"/>
  <c r="S2550" i="19"/>
  <c r="S2549" i="19"/>
  <c r="S2548" i="19"/>
  <c r="R2548" i="19"/>
  <c r="S2547" i="19"/>
  <c r="R2547" i="19"/>
  <c r="S2546" i="19"/>
  <c r="R2546" i="19"/>
  <c r="S2545" i="19"/>
  <c r="R2545" i="19"/>
  <c r="S2544" i="19"/>
  <c r="R2544" i="19"/>
  <c r="S2543" i="19"/>
  <c r="R2543" i="19"/>
  <c r="N2543" i="19"/>
  <c r="R2542" i="19"/>
  <c r="S2541" i="19"/>
  <c r="S2540" i="19"/>
  <c r="S2539" i="19"/>
  <c r="S2538" i="19"/>
  <c r="S2537" i="19"/>
  <c r="S2536" i="19"/>
  <c r="S2535" i="19"/>
  <c r="R2535" i="19"/>
  <c r="L2535" i="19"/>
  <c r="S2534" i="19"/>
  <c r="R2534" i="19"/>
  <c r="L2534" i="19"/>
  <c r="S2533" i="19"/>
  <c r="R2533" i="19"/>
  <c r="L2533" i="19"/>
  <c r="S2532" i="19"/>
  <c r="R2532" i="19"/>
  <c r="L2532" i="19"/>
  <c r="S2531" i="19"/>
  <c r="R2531" i="19"/>
  <c r="L2531" i="19"/>
  <c r="S2530" i="19"/>
  <c r="R2530" i="19"/>
  <c r="L2530" i="19"/>
  <c r="S2529" i="19"/>
  <c r="R2529" i="19"/>
  <c r="L2529" i="19"/>
  <c r="S2528" i="19"/>
  <c r="R2528" i="19"/>
  <c r="L2528" i="19"/>
  <c r="S2527" i="19"/>
  <c r="R2527" i="19"/>
  <c r="L2527" i="19"/>
  <c r="S2526" i="19"/>
  <c r="S2524" i="19"/>
  <c r="S2523" i="19"/>
  <c r="S2522" i="19"/>
  <c r="S2521" i="19"/>
  <c r="S2520" i="19"/>
  <c r="S2519" i="19"/>
  <c r="S2518" i="19"/>
  <c r="R2518" i="19"/>
  <c r="L2518" i="19"/>
  <c r="S2517" i="19"/>
  <c r="R2517" i="19"/>
  <c r="L2517" i="19"/>
  <c r="S2516" i="19"/>
  <c r="R2516" i="19"/>
  <c r="L2516" i="19"/>
  <c r="S2515" i="19"/>
  <c r="R2515" i="19"/>
  <c r="L2515" i="19"/>
  <c r="S2514" i="19"/>
  <c r="R2514" i="19"/>
  <c r="L2514" i="19"/>
  <c r="S2513" i="19"/>
  <c r="R2513" i="19"/>
  <c r="L2513" i="19"/>
  <c r="S2512" i="19"/>
  <c r="R2512" i="19"/>
  <c r="L2512" i="19"/>
  <c r="S2511" i="19"/>
  <c r="R2511" i="19"/>
  <c r="L2511" i="19"/>
  <c r="S2510" i="19"/>
  <c r="R2510" i="19"/>
  <c r="S2509" i="19"/>
  <c r="R2509" i="19"/>
  <c r="G2509" i="19"/>
  <c r="S2508" i="19"/>
  <c r="R2508" i="19"/>
  <c r="G2508" i="19"/>
  <c r="S2507" i="19"/>
  <c r="R2507" i="19"/>
  <c r="S2506" i="19"/>
  <c r="R2506" i="19"/>
  <c r="S2505" i="19"/>
  <c r="R2505" i="19"/>
  <c r="S2504" i="19"/>
  <c r="R2504" i="19"/>
  <c r="S2503" i="19"/>
  <c r="R2503" i="19"/>
  <c r="G2503" i="19"/>
  <c r="S2502" i="19"/>
  <c r="R2502" i="19"/>
  <c r="G2502" i="19"/>
  <c r="S2501" i="19"/>
  <c r="R2501" i="19"/>
  <c r="G2501" i="19"/>
  <c r="S2500" i="19"/>
  <c r="R2500" i="19"/>
  <c r="S2499" i="19"/>
  <c r="R2499" i="19"/>
  <c r="S2498" i="19"/>
  <c r="R2498" i="19"/>
  <c r="S2497" i="19"/>
  <c r="R2497" i="19"/>
  <c r="S2496" i="19"/>
  <c r="R2496" i="19"/>
  <c r="G2496" i="19"/>
  <c r="S2495" i="19"/>
  <c r="R2495" i="19"/>
  <c r="N2495" i="19"/>
  <c r="S2494" i="19"/>
  <c r="R2494" i="19"/>
  <c r="L2494" i="19"/>
  <c r="S2493" i="19"/>
  <c r="R2493" i="19"/>
  <c r="L2493" i="19"/>
  <c r="S2492" i="19"/>
  <c r="R2492" i="19"/>
  <c r="L2492" i="19"/>
  <c r="S2491" i="19"/>
  <c r="R2491" i="19"/>
  <c r="L2491" i="19"/>
  <c r="S2490" i="19"/>
  <c r="R2490" i="19"/>
  <c r="L2490" i="19"/>
  <c r="S2489" i="19"/>
  <c r="R2489" i="19"/>
  <c r="L2489" i="19"/>
  <c r="S2488" i="19"/>
  <c r="R2488" i="19"/>
  <c r="L2488" i="19"/>
  <c r="S2487" i="19"/>
  <c r="R2487" i="19"/>
  <c r="L2487" i="19"/>
  <c r="S2486" i="19"/>
  <c r="R2486" i="19"/>
  <c r="L2486" i="19"/>
  <c r="D2486" i="19"/>
  <c r="I2486" i="19" s="1"/>
  <c r="G2486" i="19" s="1"/>
  <c r="S2485" i="19"/>
  <c r="R2485" i="19"/>
  <c r="S2484" i="19"/>
  <c r="R2484" i="19"/>
  <c r="G2484" i="19"/>
  <c r="S2483" i="19"/>
  <c r="R2483" i="19"/>
  <c r="G2483" i="19"/>
  <c r="M2482" i="19"/>
  <c r="L2482" i="19"/>
  <c r="M2481" i="19"/>
  <c r="L2481" i="19"/>
  <c r="S2480" i="19"/>
  <c r="R2480" i="19"/>
  <c r="S2479" i="19"/>
  <c r="R2479" i="19"/>
  <c r="S2478" i="19"/>
  <c r="R2478" i="19"/>
  <c r="S2477" i="19"/>
  <c r="R2477" i="19"/>
  <c r="S2476" i="19"/>
  <c r="R2476" i="19"/>
  <c r="I2476" i="19"/>
  <c r="S2475" i="19"/>
  <c r="R2475" i="19"/>
  <c r="I2475" i="19"/>
  <c r="S2474" i="19"/>
  <c r="R2474" i="19"/>
  <c r="S2473" i="19"/>
  <c r="R2473" i="19"/>
  <c r="S2472" i="19"/>
  <c r="R2472" i="19"/>
  <c r="S2471" i="19"/>
  <c r="R2471" i="19"/>
  <c r="S2470" i="19"/>
  <c r="R2470" i="19"/>
  <c r="S2469" i="19"/>
  <c r="R2469" i="19"/>
  <c r="S2468" i="19"/>
  <c r="R2468" i="19"/>
  <c r="L2468" i="19"/>
  <c r="S2467" i="19"/>
  <c r="R2467" i="19"/>
  <c r="L2467" i="19"/>
  <c r="S2466" i="19"/>
  <c r="R2466" i="19"/>
  <c r="L2466" i="19"/>
  <c r="S2465" i="19"/>
  <c r="R2465" i="19"/>
  <c r="L2465" i="19"/>
  <c r="S2464" i="19"/>
  <c r="R2464" i="19"/>
  <c r="L2464" i="19"/>
  <c r="S2463" i="19"/>
  <c r="R2463" i="19"/>
  <c r="L2463" i="19"/>
  <c r="S2462" i="19"/>
  <c r="R2462" i="19"/>
  <c r="L2462" i="19"/>
  <c r="S2461" i="19"/>
  <c r="R2461" i="19"/>
  <c r="L2461" i="19"/>
  <c r="S2460" i="19"/>
  <c r="R2460" i="19"/>
  <c r="L2460" i="19"/>
  <c r="S2459" i="19"/>
  <c r="R2459" i="19"/>
  <c r="S2458" i="19"/>
  <c r="R2458" i="19"/>
  <c r="S2457" i="19"/>
  <c r="R2457" i="19"/>
  <c r="S2456" i="19"/>
  <c r="R2456" i="19"/>
  <c r="S2455" i="19"/>
  <c r="R2455" i="19"/>
  <c r="S2454" i="19"/>
  <c r="R2454" i="19"/>
  <c r="S2453" i="19"/>
  <c r="R2453" i="19"/>
  <c r="S2452" i="19"/>
  <c r="R2452" i="19"/>
  <c r="S2451" i="19"/>
  <c r="R2451" i="19"/>
  <c r="S2450" i="19"/>
  <c r="R2450" i="19"/>
  <c r="S2449" i="19"/>
  <c r="R2449" i="19"/>
  <c r="S2448" i="19"/>
  <c r="R2448" i="19"/>
  <c r="S2447" i="19"/>
  <c r="S2446" i="19"/>
  <c r="S2445" i="19"/>
  <c r="S2444" i="19"/>
  <c r="S2443" i="19"/>
  <c r="S2442" i="19"/>
  <c r="S2441" i="19"/>
  <c r="S2440" i="19"/>
  <c r="S2439" i="19"/>
  <c r="R2439" i="19"/>
  <c r="L2439" i="19"/>
  <c r="S2438" i="19"/>
  <c r="R2438" i="19"/>
  <c r="L2438" i="19"/>
  <c r="S2437" i="19"/>
  <c r="R2437" i="19"/>
  <c r="L2437" i="19"/>
  <c r="S2436" i="19"/>
  <c r="R2436" i="19"/>
  <c r="L2436" i="19"/>
  <c r="S2435" i="19"/>
  <c r="R2435" i="19"/>
  <c r="L2435" i="19"/>
  <c r="S2434" i="19"/>
  <c r="L2434" i="19"/>
  <c r="S2433" i="19"/>
  <c r="L2433" i="19"/>
  <c r="S2432" i="19"/>
  <c r="R2432" i="19"/>
  <c r="L2432" i="19"/>
  <c r="S2431" i="19"/>
  <c r="R2431" i="19"/>
  <c r="L2431" i="19"/>
  <c r="S2430" i="19"/>
  <c r="R2430" i="19"/>
  <c r="L2430" i="19"/>
  <c r="S2429" i="19"/>
  <c r="R2429" i="19"/>
  <c r="L2429" i="19"/>
  <c r="S2428" i="19"/>
  <c r="R2428" i="19"/>
  <c r="L2428" i="19"/>
  <c r="S2427" i="19"/>
  <c r="R2427" i="19"/>
  <c r="L2427" i="19"/>
  <c r="S2426" i="19"/>
  <c r="R2426" i="19"/>
  <c r="L2426" i="19"/>
  <c r="S2425" i="19"/>
  <c r="R2425" i="19"/>
  <c r="L2425" i="19"/>
  <c r="S2424" i="19"/>
  <c r="R2424" i="19"/>
  <c r="S2423" i="19"/>
  <c r="R2423" i="19"/>
  <c r="S2422" i="19"/>
  <c r="R2422" i="19"/>
  <c r="S2421" i="19"/>
  <c r="R2421" i="19"/>
  <c r="L2421" i="19"/>
  <c r="S2420" i="19"/>
  <c r="R2420" i="19"/>
  <c r="L2420" i="19"/>
  <c r="S2419" i="19"/>
  <c r="R2419" i="19"/>
  <c r="L2419" i="19"/>
  <c r="S2418" i="19"/>
  <c r="R2418" i="19"/>
  <c r="L2418" i="19"/>
  <c r="S2417" i="19"/>
  <c r="R2417" i="19"/>
  <c r="L2417" i="19"/>
  <c r="S2416" i="19"/>
  <c r="R2416" i="19"/>
  <c r="L2416" i="19"/>
  <c r="S2415" i="19"/>
  <c r="R2415" i="19"/>
  <c r="L2415" i="19"/>
  <c r="S2414" i="19"/>
  <c r="R2414" i="19"/>
  <c r="L2414" i="19"/>
  <c r="S2413" i="19"/>
  <c r="S2412" i="19"/>
  <c r="R2412" i="19"/>
  <c r="S2411" i="19"/>
  <c r="R2411" i="19"/>
  <c r="G2411" i="19"/>
  <c r="S2410" i="19"/>
  <c r="R2410" i="19"/>
  <c r="G2410" i="19"/>
  <c r="S2409" i="19"/>
  <c r="L2409" i="19"/>
  <c r="S2408" i="19"/>
  <c r="L2408" i="19"/>
  <c r="S2407" i="19"/>
  <c r="S2406" i="19"/>
  <c r="L2406" i="19"/>
  <c r="S2405" i="19"/>
  <c r="R2405" i="19"/>
  <c r="L2405" i="19"/>
  <c r="S2404" i="19"/>
  <c r="L2404" i="19"/>
  <c r="S2403" i="19"/>
  <c r="R2403" i="19"/>
  <c r="L2403" i="19"/>
  <c r="S2402" i="19"/>
  <c r="L2402" i="19"/>
  <c r="S2401" i="19"/>
  <c r="L2401" i="19"/>
  <c r="S2400" i="19"/>
  <c r="R2400" i="19"/>
  <c r="L2400" i="19"/>
  <c r="S2399" i="19"/>
  <c r="R2399" i="19"/>
  <c r="L2399" i="19"/>
  <c r="S2398" i="19"/>
  <c r="R2398" i="19"/>
  <c r="L2398" i="19"/>
  <c r="S2397" i="19"/>
  <c r="R2397" i="19"/>
  <c r="L2397" i="19"/>
  <c r="S2396" i="19"/>
  <c r="R2396" i="19"/>
  <c r="L2396" i="19"/>
  <c r="S2395" i="19"/>
  <c r="R2395" i="19"/>
  <c r="L2395" i="19"/>
  <c r="S2394" i="19"/>
  <c r="R2394" i="19"/>
  <c r="L2394" i="19"/>
  <c r="S2393" i="19"/>
  <c r="R2393" i="19"/>
  <c r="L2393" i="19"/>
  <c r="S2392" i="19"/>
  <c r="R2392" i="19"/>
  <c r="L2392" i="19"/>
  <c r="S2391" i="19"/>
  <c r="R2391" i="19"/>
  <c r="S2390" i="19"/>
  <c r="R2390" i="19"/>
  <c r="S2389" i="19"/>
  <c r="R2389" i="19"/>
  <c r="S2388" i="19"/>
  <c r="R2388" i="19"/>
  <c r="S2387" i="19"/>
  <c r="R2387" i="19"/>
  <c r="S2386" i="19"/>
  <c r="R2386" i="19"/>
  <c r="S2385" i="19"/>
  <c r="R2385" i="19"/>
  <c r="S2384" i="19"/>
  <c r="R2384" i="19"/>
  <c r="S2383" i="19"/>
  <c r="R2383" i="19"/>
  <c r="S2382" i="19"/>
  <c r="M2382" i="19"/>
  <c r="S2381" i="19"/>
  <c r="M2381" i="19"/>
  <c r="S2380" i="19"/>
  <c r="R2380" i="19"/>
  <c r="S2379" i="19"/>
  <c r="R2379" i="19"/>
  <c r="S2378" i="19"/>
  <c r="R2378" i="19"/>
  <c r="S2377" i="19"/>
  <c r="R2377" i="19"/>
  <c r="S2376" i="19"/>
  <c r="R2376" i="19"/>
  <c r="G2376" i="19"/>
  <c r="S2375" i="19"/>
  <c r="R2375" i="19"/>
  <c r="G2375" i="19"/>
  <c r="S2374" i="19"/>
  <c r="R2374" i="19"/>
  <c r="N2374" i="19"/>
  <c r="S2373" i="19"/>
  <c r="R2373" i="19"/>
  <c r="N2373" i="19"/>
  <c r="S2372" i="19"/>
  <c r="R2372" i="19"/>
  <c r="N2372" i="19"/>
  <c r="S2371" i="19"/>
  <c r="R2371" i="19"/>
  <c r="N2371" i="19"/>
  <c r="S2370" i="19"/>
  <c r="R2370" i="19"/>
  <c r="N2370" i="19"/>
  <c r="S2369" i="19"/>
  <c r="R2369" i="19"/>
  <c r="N2369" i="19"/>
  <c r="S2368" i="19"/>
  <c r="R2368" i="19"/>
  <c r="N2368" i="19"/>
  <c r="S2367" i="19"/>
  <c r="R2367" i="19"/>
  <c r="N2367" i="19"/>
  <c r="S2366" i="19"/>
  <c r="R2366" i="19"/>
  <c r="N2366" i="19"/>
  <c r="S2365" i="19"/>
  <c r="R2365" i="19"/>
  <c r="N2365" i="19"/>
  <c r="S2364" i="19"/>
  <c r="R2364" i="19"/>
  <c r="N2364" i="19"/>
  <c r="S2363" i="19"/>
  <c r="R2363" i="19"/>
  <c r="N2363" i="19"/>
  <c r="S2362" i="19"/>
  <c r="R2362" i="19"/>
  <c r="N2362" i="19"/>
  <c r="S2361" i="19"/>
  <c r="R2361" i="19"/>
  <c r="N2361" i="19"/>
  <c r="S2360" i="19"/>
  <c r="L2360" i="19"/>
  <c r="S2359" i="19"/>
  <c r="R2359" i="19"/>
  <c r="G2359" i="19"/>
  <c r="S2358" i="19"/>
  <c r="R2358" i="19"/>
  <c r="S2357" i="19"/>
  <c r="R2357" i="19"/>
  <c r="G2357" i="19"/>
  <c r="S2356" i="19"/>
  <c r="M2356" i="19"/>
  <c r="L2356" i="19"/>
  <c r="S2355" i="19"/>
  <c r="M2355" i="19"/>
  <c r="L2355" i="19"/>
  <c r="E2355" i="19"/>
  <c r="S2354" i="19"/>
  <c r="M2354" i="19"/>
  <c r="L2354" i="19"/>
  <c r="S2353" i="19"/>
  <c r="M2353" i="19"/>
  <c r="L2353" i="19"/>
  <c r="S2352" i="19"/>
  <c r="R2352" i="19"/>
  <c r="G2352" i="19"/>
  <c r="S2351" i="19"/>
  <c r="R2351" i="19"/>
  <c r="S2350" i="19"/>
  <c r="R2350" i="19"/>
  <c r="G2350" i="19"/>
  <c r="S2349" i="19"/>
  <c r="M2349" i="19"/>
  <c r="L2349" i="19"/>
  <c r="S2348" i="19"/>
  <c r="M2348" i="19"/>
  <c r="L2348" i="19"/>
  <c r="S2347" i="19"/>
  <c r="M2347" i="19"/>
  <c r="L2347" i="19"/>
  <c r="S2346" i="19"/>
  <c r="M2346" i="19"/>
  <c r="L2346" i="19"/>
  <c r="S2345" i="19"/>
  <c r="N2345" i="19"/>
  <c r="M2345" i="19"/>
  <c r="L2345" i="19"/>
  <c r="S2344" i="19"/>
  <c r="N2344" i="19"/>
  <c r="M2344" i="19"/>
  <c r="L2344" i="19"/>
  <c r="S2343" i="19"/>
  <c r="N2343" i="19"/>
  <c r="M2343" i="19"/>
  <c r="L2343" i="19"/>
  <c r="S2342" i="19"/>
  <c r="N2342" i="19"/>
  <c r="M2342" i="19"/>
  <c r="L2342" i="19"/>
  <c r="S2341" i="19"/>
  <c r="N2341" i="19"/>
  <c r="M2341" i="19"/>
  <c r="L2341" i="19"/>
  <c r="S2340" i="19"/>
  <c r="N2340" i="19"/>
  <c r="M2340" i="19"/>
  <c r="L2340" i="19"/>
  <c r="S2339" i="19"/>
  <c r="N2339" i="19"/>
  <c r="M2339" i="19"/>
  <c r="L2339" i="19"/>
  <c r="S2338" i="19"/>
  <c r="N2338" i="19"/>
  <c r="M2338" i="19"/>
  <c r="L2338" i="19"/>
  <c r="S2337" i="19"/>
  <c r="N2337" i="19"/>
  <c r="M2337" i="19"/>
  <c r="L2337" i="19"/>
  <c r="S2336" i="19"/>
  <c r="N2336" i="19"/>
  <c r="M2336" i="19"/>
  <c r="L2336" i="19"/>
  <c r="S2335" i="19"/>
  <c r="N2335" i="19"/>
  <c r="M2335" i="19"/>
  <c r="L2335" i="19"/>
  <c r="S2334" i="19"/>
  <c r="R2334" i="19"/>
  <c r="L2334" i="19"/>
  <c r="C2334" i="19"/>
  <c r="S2333" i="19"/>
  <c r="R2333" i="19"/>
  <c r="G2333" i="19"/>
  <c r="S2332" i="19"/>
  <c r="M2332" i="19"/>
  <c r="L2332" i="19"/>
  <c r="S2331" i="19"/>
  <c r="R2331" i="19"/>
  <c r="G2331" i="19"/>
  <c r="S2330" i="19"/>
  <c r="M2330" i="19"/>
  <c r="L2330" i="19"/>
  <c r="S2329" i="19"/>
  <c r="M2329" i="19"/>
  <c r="L2329" i="19"/>
  <c r="S2328" i="19"/>
  <c r="M2328" i="19"/>
  <c r="L2328" i="19"/>
  <c r="S2327" i="19"/>
  <c r="M2327" i="19"/>
  <c r="L2327" i="19"/>
  <c r="S2326" i="19"/>
  <c r="M2326" i="19"/>
  <c r="L2326" i="19"/>
  <c r="S2325" i="19"/>
  <c r="R2325" i="19"/>
  <c r="S2324" i="19"/>
  <c r="R2324" i="19"/>
  <c r="S2323" i="19"/>
  <c r="R2323" i="19"/>
  <c r="S2322" i="19"/>
  <c r="R2322" i="19"/>
  <c r="S2321" i="19"/>
  <c r="R2321" i="19"/>
  <c r="N2321" i="19"/>
  <c r="S2320" i="19"/>
  <c r="R2320" i="19"/>
  <c r="N2320" i="19"/>
  <c r="S2319" i="19"/>
  <c r="R2319" i="19"/>
  <c r="N2319" i="19"/>
  <c r="S2318" i="19"/>
  <c r="R2318" i="19"/>
  <c r="N2318" i="19"/>
  <c r="S2317" i="19"/>
  <c r="R2317" i="19"/>
  <c r="N2317" i="19"/>
  <c r="S2316" i="19"/>
  <c r="R2316" i="19"/>
  <c r="N2316" i="19"/>
  <c r="S2315" i="19"/>
  <c r="R2315" i="19"/>
  <c r="N2315" i="19"/>
  <c r="S2314" i="19"/>
  <c r="R2314" i="19"/>
  <c r="N2314" i="19"/>
  <c r="S2313" i="19"/>
  <c r="R2313" i="19"/>
  <c r="N2313" i="19"/>
  <c r="S2312" i="19"/>
  <c r="R2312" i="19"/>
  <c r="N2312" i="19"/>
  <c r="S2311" i="19"/>
  <c r="R2311" i="19"/>
  <c r="N2311" i="19"/>
  <c r="S2310" i="19"/>
  <c r="R2310" i="19"/>
  <c r="N2310" i="19"/>
  <c r="S2309" i="19"/>
  <c r="R2309" i="19"/>
  <c r="N2309" i="19"/>
  <c r="S2308" i="19"/>
  <c r="R2308" i="19"/>
  <c r="N2308" i="19"/>
  <c r="S2307" i="19"/>
  <c r="L2307" i="19"/>
  <c r="S2306" i="19"/>
  <c r="R2306" i="19"/>
  <c r="S2305" i="19"/>
  <c r="R2305" i="19"/>
  <c r="S2304" i="19"/>
  <c r="R2304" i="19"/>
  <c r="S2303" i="19"/>
  <c r="R2303" i="19"/>
  <c r="S2302" i="19"/>
  <c r="R2302" i="19"/>
  <c r="S2301" i="19"/>
  <c r="R2301" i="19"/>
  <c r="S2300" i="19"/>
  <c r="R2300" i="19"/>
  <c r="S2299" i="19"/>
  <c r="R2299" i="19"/>
  <c r="S2298" i="19"/>
  <c r="R2298" i="19"/>
  <c r="S2297" i="19"/>
  <c r="R2297" i="19"/>
  <c r="S2296" i="19"/>
  <c r="R2296" i="19"/>
  <c r="N2296" i="19"/>
  <c r="S2295" i="19"/>
  <c r="R2295" i="19"/>
  <c r="N2295" i="19"/>
  <c r="S2294" i="19"/>
  <c r="R2294" i="19"/>
  <c r="N2294" i="19"/>
  <c r="S2293" i="19"/>
  <c r="R2293" i="19"/>
  <c r="N2293" i="19"/>
  <c r="S2292" i="19"/>
  <c r="R2292" i="19"/>
  <c r="N2292" i="19"/>
  <c r="S2291" i="19"/>
  <c r="R2291" i="19"/>
  <c r="N2291" i="19"/>
  <c r="S2290" i="19"/>
  <c r="R2290" i="19"/>
  <c r="N2290" i="19"/>
  <c r="S2289" i="19"/>
  <c r="R2289" i="19"/>
  <c r="N2289" i="19"/>
  <c r="S2288" i="19"/>
  <c r="R2288" i="19"/>
  <c r="N2288" i="19"/>
  <c r="D2288" i="19"/>
  <c r="I2288" i="19" s="1"/>
  <c r="S2287" i="19"/>
  <c r="R2287" i="19"/>
  <c r="N2287" i="19"/>
  <c r="S2286" i="19"/>
  <c r="R2286" i="19"/>
  <c r="N2286" i="19"/>
  <c r="S2285" i="19"/>
  <c r="R2285" i="19"/>
  <c r="N2285" i="19"/>
  <c r="S2284" i="19"/>
  <c r="R2284" i="19"/>
  <c r="N2284" i="19"/>
  <c r="S2283" i="19"/>
  <c r="R2283" i="19"/>
  <c r="N2283" i="19"/>
  <c r="S2282" i="19"/>
  <c r="R2282" i="19"/>
  <c r="N2282" i="19"/>
  <c r="S2281" i="19"/>
  <c r="R2281" i="19"/>
  <c r="S2280" i="19"/>
  <c r="R2280" i="19"/>
  <c r="S2279" i="19"/>
  <c r="R2279" i="19"/>
  <c r="S2278" i="19"/>
  <c r="M2278" i="19"/>
  <c r="S2277" i="19"/>
  <c r="R2277" i="19"/>
  <c r="S2276" i="19"/>
  <c r="R2276" i="19"/>
  <c r="S2275" i="19"/>
  <c r="M2275" i="19"/>
  <c r="S2274" i="19"/>
  <c r="R2274" i="19"/>
  <c r="S2273" i="19"/>
  <c r="R2273" i="19"/>
  <c r="S2272" i="19"/>
  <c r="R2272" i="19"/>
  <c r="S2271" i="19"/>
  <c r="R2271" i="19"/>
  <c r="S2270" i="19"/>
  <c r="R2270" i="19"/>
  <c r="S2269" i="19"/>
  <c r="R2269" i="19"/>
  <c r="S2268" i="19"/>
  <c r="R2268" i="19"/>
  <c r="S2267" i="19"/>
  <c r="R2267" i="19"/>
  <c r="N2267" i="19"/>
  <c r="L2267" i="19"/>
  <c r="S2266" i="19"/>
  <c r="R2266" i="19"/>
  <c r="N2266" i="19"/>
  <c r="L2266" i="19"/>
  <c r="S2265" i="19"/>
  <c r="R2265" i="19"/>
  <c r="N2265" i="19"/>
  <c r="L2265" i="19"/>
  <c r="S2264" i="19"/>
  <c r="R2264" i="19"/>
  <c r="N2264" i="19"/>
  <c r="L2264" i="19"/>
  <c r="S2263" i="19"/>
  <c r="R2263" i="19"/>
  <c r="N2263" i="19"/>
  <c r="L2263" i="19"/>
  <c r="S2262" i="19"/>
  <c r="R2262" i="19"/>
  <c r="N2262" i="19"/>
  <c r="L2262" i="19"/>
  <c r="S2261" i="19"/>
  <c r="R2261" i="19"/>
  <c r="N2261" i="19"/>
  <c r="L2261" i="19"/>
  <c r="S2260" i="19"/>
  <c r="R2260" i="19"/>
  <c r="N2260" i="19"/>
  <c r="L2260" i="19"/>
  <c r="S2259" i="19"/>
  <c r="R2259" i="19"/>
  <c r="N2259" i="19"/>
  <c r="L2259" i="19"/>
  <c r="S2258" i="19"/>
  <c r="R2258" i="19"/>
  <c r="N2258" i="19"/>
  <c r="L2258" i="19"/>
  <c r="S2257" i="19"/>
  <c r="R2257" i="19"/>
  <c r="N2257" i="19"/>
  <c r="L2257" i="19"/>
  <c r="S2256" i="19"/>
  <c r="R2256" i="19"/>
  <c r="N2256" i="19"/>
  <c r="L2256" i="19"/>
  <c r="S2255" i="19"/>
  <c r="R2255" i="19"/>
  <c r="N2255" i="19"/>
  <c r="L2255" i="19"/>
  <c r="S2254" i="19"/>
  <c r="R2254" i="19"/>
  <c r="N2254" i="19"/>
  <c r="L2254" i="19"/>
  <c r="S2253" i="19"/>
  <c r="R2253" i="19"/>
  <c r="N2253" i="19"/>
  <c r="L2253" i="19"/>
  <c r="S2252" i="19"/>
  <c r="R2252" i="19"/>
  <c r="S2251" i="19"/>
  <c r="R2251" i="19"/>
  <c r="G2251" i="19"/>
  <c r="S2250" i="19"/>
  <c r="R2250" i="19"/>
  <c r="S2249" i="19"/>
  <c r="R2249" i="19"/>
  <c r="S2248" i="19"/>
  <c r="R2248" i="19"/>
  <c r="S2247" i="19"/>
  <c r="R2247" i="19"/>
  <c r="S2246" i="19"/>
  <c r="R2246" i="19"/>
  <c r="S2245" i="19"/>
  <c r="R2245" i="19"/>
  <c r="S2244" i="19"/>
  <c r="R2244" i="19"/>
  <c r="S2243" i="19"/>
  <c r="R2243" i="19"/>
  <c r="S2242" i="19"/>
  <c r="R2242" i="19"/>
  <c r="S2241" i="19"/>
  <c r="R2241" i="19"/>
  <c r="S2240" i="19"/>
  <c r="R2240" i="19"/>
  <c r="S2239" i="19"/>
  <c r="R2239" i="19"/>
  <c r="S2238" i="19"/>
  <c r="R2238" i="19"/>
  <c r="S2237" i="19"/>
  <c r="M2237" i="19"/>
  <c r="L2237" i="19"/>
  <c r="S2236" i="19"/>
  <c r="M2236" i="19"/>
  <c r="L2236" i="19"/>
  <c r="S2235" i="19"/>
  <c r="M2235" i="19"/>
  <c r="L2235" i="19"/>
  <c r="S2234" i="19"/>
  <c r="M2234" i="19"/>
  <c r="L2234" i="19"/>
  <c r="S2233" i="19"/>
  <c r="M2233" i="19"/>
  <c r="L2233" i="19"/>
  <c r="S2232" i="19"/>
  <c r="M2232" i="19"/>
  <c r="L2232" i="19"/>
  <c r="S2231" i="19"/>
  <c r="M2231" i="19"/>
  <c r="L2231" i="19"/>
  <c r="S2230" i="19"/>
  <c r="M2230" i="19"/>
  <c r="L2230" i="19"/>
  <c r="S2229" i="19"/>
  <c r="M2229" i="19"/>
  <c r="L2229" i="19"/>
  <c r="S2228" i="19"/>
  <c r="M2228" i="19"/>
  <c r="L2228" i="19"/>
  <c r="S2227" i="19"/>
  <c r="M2227" i="19"/>
  <c r="L2227" i="19"/>
  <c r="S2226" i="19"/>
  <c r="M2226" i="19"/>
  <c r="L2226" i="19"/>
  <c r="S2225" i="19"/>
  <c r="M2225" i="19"/>
  <c r="L2225" i="19"/>
  <c r="S2224" i="19"/>
  <c r="M2224" i="19"/>
  <c r="L2224" i="19"/>
  <c r="S2223" i="19"/>
  <c r="M2223" i="19"/>
  <c r="L2223" i="19"/>
  <c r="S2222" i="19"/>
  <c r="M2222" i="19"/>
  <c r="L2222" i="19"/>
  <c r="S2221" i="19"/>
  <c r="M2221" i="19"/>
  <c r="L2221" i="19"/>
  <c r="S2220" i="19"/>
  <c r="M2220" i="19"/>
  <c r="L2220" i="19"/>
  <c r="S2219" i="19"/>
  <c r="M2219" i="19"/>
  <c r="L2219" i="19"/>
  <c r="S2218" i="19"/>
  <c r="M2218" i="19"/>
  <c r="L2218" i="19"/>
  <c r="S2217" i="19"/>
  <c r="M2217" i="19"/>
  <c r="L2217" i="19"/>
  <c r="S2216" i="19"/>
  <c r="M2216" i="19"/>
  <c r="L2216" i="19"/>
  <c r="S2215" i="19"/>
  <c r="M2215" i="19"/>
  <c r="L2215" i="19"/>
  <c r="S2214" i="19"/>
  <c r="R2214" i="19"/>
  <c r="N2214" i="19"/>
  <c r="G2214" i="19"/>
  <c r="S2213" i="19"/>
  <c r="M2213" i="19"/>
  <c r="L2213" i="19"/>
  <c r="S2212" i="19"/>
  <c r="M2212" i="19"/>
  <c r="L2212" i="19"/>
  <c r="S2211" i="19"/>
  <c r="M2211" i="19"/>
  <c r="L2211" i="19"/>
  <c r="S2210" i="19"/>
  <c r="M2210" i="19"/>
  <c r="L2210" i="19"/>
  <c r="S2209" i="19"/>
  <c r="M2209" i="19"/>
  <c r="L2209" i="19"/>
  <c r="S2208" i="19"/>
  <c r="M2208" i="19"/>
  <c r="L2208" i="19"/>
  <c r="S2207" i="19"/>
  <c r="M2207" i="19"/>
  <c r="L2207" i="19"/>
  <c r="S2206" i="19"/>
  <c r="M2206" i="19"/>
  <c r="L2206" i="19"/>
  <c r="S2205" i="19"/>
  <c r="R2205" i="19"/>
  <c r="S2204" i="19"/>
  <c r="R2204" i="19"/>
  <c r="S2203" i="19"/>
  <c r="R2203" i="19"/>
  <c r="S2202" i="19"/>
  <c r="R2202" i="19"/>
  <c r="S2201" i="19"/>
  <c r="R2201" i="19"/>
  <c r="S2200" i="19"/>
  <c r="R2200" i="19"/>
  <c r="S2199" i="19"/>
  <c r="R2199" i="19"/>
  <c r="S2198" i="19"/>
  <c r="R2198" i="19"/>
  <c r="S2197" i="19"/>
  <c r="R2197" i="19"/>
  <c r="S2196" i="19"/>
  <c r="R2196" i="19"/>
  <c r="S2195" i="19"/>
  <c r="R2195" i="19"/>
  <c r="S2194" i="19"/>
  <c r="R2194" i="19"/>
  <c r="S2193" i="19"/>
  <c r="R2193" i="19"/>
  <c r="S2192" i="19"/>
  <c r="R2192" i="19"/>
  <c r="S2191" i="19"/>
  <c r="R2191" i="19"/>
  <c r="S2190" i="19"/>
  <c r="R2190" i="19"/>
  <c r="S2189" i="19"/>
  <c r="R2189" i="19"/>
  <c r="S2188" i="19"/>
  <c r="R2188" i="19"/>
  <c r="S2187" i="19"/>
  <c r="R2187" i="19"/>
  <c r="S2186" i="19"/>
  <c r="R2186" i="19"/>
  <c r="S2185" i="19"/>
  <c r="R2185" i="19"/>
  <c r="S2184" i="19"/>
  <c r="R2184" i="19"/>
  <c r="S2183" i="19"/>
  <c r="R2183" i="19"/>
  <c r="S2182" i="19"/>
  <c r="R2182" i="19"/>
  <c r="N2182" i="19"/>
  <c r="G2182" i="19"/>
  <c r="S2181" i="19"/>
  <c r="R2181" i="19"/>
  <c r="S2180" i="19"/>
  <c r="R2180" i="19"/>
  <c r="S2179" i="19"/>
  <c r="R2179" i="19"/>
  <c r="N2179" i="19"/>
  <c r="S2178" i="19"/>
  <c r="R2178" i="19"/>
  <c r="S2177" i="19"/>
  <c r="R2177" i="19"/>
  <c r="S2176" i="19"/>
  <c r="R2176" i="19"/>
  <c r="S2175" i="19"/>
  <c r="R2175" i="19"/>
  <c r="S2174" i="19"/>
  <c r="R2174" i="19"/>
  <c r="S2173" i="19"/>
  <c r="R2173" i="19"/>
  <c r="S2172" i="19"/>
  <c r="R2172" i="19"/>
  <c r="S2171" i="19"/>
  <c r="R2171" i="19"/>
  <c r="S2170" i="19"/>
  <c r="R2170" i="19"/>
  <c r="S2169" i="19"/>
  <c r="R2169" i="19"/>
  <c r="S2168" i="19"/>
  <c r="R2168" i="19"/>
  <c r="S2167" i="19"/>
  <c r="R2167" i="19"/>
  <c r="S2166" i="19"/>
  <c r="R2166" i="19"/>
  <c r="S2165" i="19"/>
  <c r="R2165" i="19"/>
  <c r="S2164" i="19"/>
  <c r="R2164" i="19"/>
  <c r="S2163" i="19"/>
  <c r="R2163" i="19"/>
  <c r="S2162" i="19"/>
  <c r="R2162" i="19"/>
  <c r="S2161" i="19"/>
  <c r="R2161" i="19"/>
  <c r="S2160" i="19"/>
  <c r="R2160" i="19"/>
  <c r="S2159" i="19"/>
  <c r="R2159" i="19"/>
  <c r="S2158" i="19"/>
  <c r="R2158" i="19"/>
  <c r="S2157" i="19"/>
  <c r="R2157" i="19"/>
  <c r="S2156" i="19"/>
  <c r="R2156" i="19"/>
  <c r="S2155" i="19"/>
  <c r="R2155" i="19"/>
  <c r="S2154" i="19"/>
  <c r="R2154" i="19"/>
  <c r="S2153" i="19"/>
  <c r="R2153" i="19"/>
  <c r="S2152" i="19"/>
  <c r="R2152" i="19"/>
  <c r="S2151" i="19"/>
  <c r="R2151" i="19"/>
  <c r="S2150" i="19"/>
  <c r="R2150" i="19"/>
  <c r="N2150" i="19"/>
  <c r="G2150" i="19"/>
  <c r="S2149" i="19"/>
  <c r="R2149" i="19"/>
  <c r="S2148" i="19"/>
  <c r="R2148" i="19"/>
  <c r="S2147" i="19"/>
  <c r="R2147" i="19"/>
  <c r="S2146" i="19"/>
  <c r="R2146" i="19"/>
  <c r="S2145" i="19"/>
  <c r="R2145" i="19"/>
  <c r="S2144" i="19"/>
  <c r="R2144" i="19"/>
  <c r="S2143" i="19"/>
  <c r="R2143" i="19"/>
  <c r="S2142" i="19"/>
  <c r="R2142" i="19"/>
  <c r="S2141" i="19"/>
  <c r="M2141" i="19"/>
  <c r="L2141" i="19"/>
  <c r="S2140" i="19"/>
  <c r="M2140" i="19"/>
  <c r="L2140" i="19"/>
  <c r="S2139" i="19"/>
  <c r="M2139" i="19"/>
  <c r="L2139" i="19"/>
  <c r="S2138" i="19"/>
  <c r="M2138" i="19"/>
  <c r="L2138" i="19"/>
  <c r="S2137" i="19"/>
  <c r="M2137" i="19"/>
  <c r="L2137" i="19"/>
  <c r="S2136" i="19"/>
  <c r="M2136" i="19"/>
  <c r="L2136" i="19"/>
  <c r="S2135" i="19"/>
  <c r="M2135" i="19"/>
  <c r="L2135" i="19"/>
  <c r="S2134" i="19"/>
  <c r="M2134" i="19"/>
  <c r="L2134" i="19"/>
  <c r="S2133" i="19"/>
  <c r="M2133" i="19"/>
  <c r="L2133" i="19"/>
  <c r="S2132" i="19"/>
  <c r="M2132" i="19"/>
  <c r="L2132" i="19"/>
  <c r="S2131" i="19"/>
  <c r="M2131" i="19"/>
  <c r="L2131" i="19"/>
  <c r="S2130" i="19"/>
  <c r="M2130" i="19"/>
  <c r="L2130" i="19"/>
  <c r="S2129" i="19"/>
  <c r="M2129" i="19"/>
  <c r="L2129" i="19"/>
  <c r="S2128" i="19"/>
  <c r="M2128" i="19"/>
  <c r="L2128" i="19"/>
  <c r="S2127" i="19"/>
  <c r="M2127" i="19"/>
  <c r="L2127" i="19"/>
  <c r="S2126" i="19"/>
  <c r="M2126" i="19"/>
  <c r="L2126" i="19"/>
  <c r="S2125" i="19"/>
  <c r="M2125" i="19"/>
  <c r="L2125" i="19"/>
  <c r="S2124" i="19"/>
  <c r="M2124" i="19"/>
  <c r="L2124" i="19"/>
  <c r="S2123" i="19"/>
  <c r="M2123" i="19"/>
  <c r="L2123" i="19"/>
  <c r="S2122" i="19"/>
  <c r="M2122" i="19"/>
  <c r="L2122" i="19"/>
  <c r="S2121" i="19"/>
  <c r="M2121" i="19"/>
  <c r="L2121" i="19"/>
  <c r="S2120" i="19"/>
  <c r="M2120" i="19"/>
  <c r="L2120" i="19"/>
  <c r="S2119" i="19"/>
  <c r="M2119" i="19"/>
  <c r="L2119" i="19"/>
  <c r="S2118" i="19"/>
  <c r="R2118" i="19"/>
  <c r="N2118" i="19"/>
  <c r="G2118" i="19"/>
  <c r="S2117" i="19"/>
  <c r="M2117" i="19"/>
  <c r="L2117" i="19"/>
  <c r="S2116" i="19"/>
  <c r="M2116" i="19"/>
  <c r="L2116" i="19"/>
  <c r="S2115" i="19"/>
  <c r="M2115" i="19"/>
  <c r="L2115" i="19"/>
  <c r="S2114" i="19"/>
  <c r="N2114" i="19"/>
  <c r="M2114" i="19"/>
  <c r="L2114" i="19"/>
  <c r="S2113" i="19"/>
  <c r="M2113" i="19"/>
  <c r="L2113" i="19"/>
  <c r="S2112" i="19"/>
  <c r="M2112" i="19"/>
  <c r="L2112" i="19"/>
  <c r="S2111" i="19"/>
  <c r="M2111" i="19"/>
  <c r="L2111" i="19"/>
  <c r="S2110" i="19"/>
  <c r="M2110" i="19"/>
  <c r="L2110" i="19"/>
  <c r="S2109" i="19"/>
  <c r="R2109" i="19"/>
  <c r="S2108" i="19"/>
  <c r="R2108" i="19"/>
  <c r="S2107" i="19"/>
  <c r="R2107" i="19"/>
  <c r="S2106" i="19"/>
  <c r="R2106" i="19"/>
  <c r="S2105" i="19"/>
  <c r="R2105" i="19"/>
  <c r="S2104" i="19"/>
  <c r="R2104" i="19"/>
  <c r="S2103" i="19"/>
  <c r="R2103" i="19"/>
  <c r="S2102" i="19"/>
  <c r="R2102" i="19"/>
  <c r="S2101" i="19"/>
  <c r="R2101" i="19"/>
  <c r="S2100" i="19"/>
  <c r="R2100" i="19"/>
  <c r="N2100" i="19"/>
  <c r="S2099" i="19"/>
  <c r="R2099" i="19"/>
  <c r="S2098" i="19"/>
  <c r="R2098" i="19"/>
  <c r="S2097" i="19"/>
  <c r="R2097" i="19"/>
  <c r="S2096" i="19"/>
  <c r="R2096" i="19"/>
  <c r="S2095" i="19"/>
  <c r="R2095" i="19"/>
  <c r="S2094" i="19"/>
  <c r="R2094" i="19"/>
  <c r="N2094" i="19"/>
  <c r="S2093" i="19"/>
  <c r="R2093" i="19"/>
  <c r="S2092" i="19"/>
  <c r="R2092" i="19"/>
  <c r="S2091" i="19"/>
  <c r="R2091" i="19"/>
  <c r="S2090" i="19"/>
  <c r="R2090" i="19"/>
  <c r="S2089" i="19"/>
  <c r="R2089" i="19"/>
  <c r="S2088" i="19"/>
  <c r="R2088" i="19"/>
  <c r="S2087" i="19"/>
  <c r="R2087" i="19"/>
  <c r="S2086" i="19"/>
  <c r="R2086" i="19"/>
  <c r="N2086" i="19"/>
  <c r="S2085" i="19"/>
  <c r="R2085" i="19"/>
  <c r="S2084" i="19"/>
  <c r="R2084" i="19"/>
  <c r="S2083" i="19"/>
  <c r="R2083" i="19"/>
  <c r="S2082" i="19"/>
  <c r="R2082" i="19"/>
  <c r="S2081" i="19"/>
  <c r="R2081" i="19"/>
  <c r="S2080" i="19"/>
  <c r="R2080" i="19"/>
  <c r="S2079" i="19"/>
  <c r="R2079" i="19"/>
  <c r="S2078" i="19"/>
  <c r="R2078" i="19"/>
  <c r="S2077" i="19"/>
  <c r="R2077" i="19"/>
  <c r="S2076" i="19"/>
  <c r="R2076" i="19"/>
  <c r="S2075" i="19"/>
  <c r="R2075" i="19"/>
  <c r="S2074" i="19"/>
  <c r="R2074" i="19"/>
  <c r="S2073" i="19"/>
  <c r="R2073" i="19"/>
  <c r="S2072" i="19"/>
  <c r="R2072" i="19"/>
  <c r="S2071" i="19"/>
  <c r="R2071" i="19"/>
  <c r="S2070" i="19"/>
  <c r="R2070" i="19"/>
  <c r="S2069" i="19"/>
  <c r="R2069" i="19"/>
  <c r="S2068" i="19"/>
  <c r="R2068" i="19"/>
  <c r="S2067" i="19"/>
  <c r="R2067" i="19"/>
  <c r="S2066" i="19"/>
  <c r="R2066" i="19"/>
  <c r="S2065" i="19"/>
  <c r="R2065" i="19"/>
  <c r="S2064" i="19"/>
  <c r="R2064" i="19"/>
  <c r="S2063" i="19"/>
  <c r="R2063" i="19"/>
  <c r="S2062" i="19"/>
  <c r="R2062" i="19"/>
  <c r="N2062" i="19"/>
  <c r="S2061" i="19"/>
  <c r="R2061" i="19"/>
  <c r="S2060" i="19"/>
  <c r="R2060" i="19"/>
  <c r="S2059" i="19"/>
  <c r="R2059" i="19"/>
  <c r="S2058" i="19"/>
  <c r="R2058" i="19"/>
  <c r="S2057" i="19"/>
  <c r="R2057" i="19"/>
  <c r="S2056" i="19"/>
  <c r="R2056" i="19"/>
  <c r="S2055" i="19"/>
  <c r="R2055" i="19"/>
  <c r="S2054" i="19"/>
  <c r="R2054" i="19"/>
  <c r="N2054" i="19"/>
  <c r="G2054" i="19"/>
  <c r="S2053" i="19"/>
  <c r="R2053" i="19"/>
  <c r="S2052" i="19"/>
  <c r="R2052" i="19"/>
  <c r="S2051" i="19"/>
  <c r="R2051" i="19"/>
  <c r="S2050" i="19"/>
  <c r="R2050" i="19"/>
  <c r="S2049" i="19"/>
  <c r="R2049" i="19"/>
  <c r="S2048" i="19"/>
  <c r="R2048" i="19"/>
  <c r="S2047" i="19"/>
  <c r="R2047" i="19"/>
  <c r="S2046" i="19"/>
  <c r="R2046" i="19"/>
  <c r="S2045" i="19"/>
  <c r="R2045" i="19"/>
  <c r="N2045" i="19"/>
  <c r="S2044" i="19"/>
  <c r="R2044" i="19"/>
  <c r="G2044" i="19"/>
  <c r="S2043" i="19"/>
  <c r="R2043" i="19"/>
  <c r="G2043" i="19"/>
  <c r="S2042" i="19"/>
  <c r="R2042" i="19"/>
  <c r="G2042" i="19"/>
  <c r="S2041" i="19"/>
  <c r="R2041" i="19"/>
  <c r="G2041" i="19"/>
  <c r="S2040" i="19"/>
  <c r="R2040" i="19"/>
  <c r="G2040" i="19"/>
  <c r="S2039" i="19"/>
  <c r="R2039" i="19"/>
  <c r="G2039" i="19"/>
  <c r="S2038" i="19"/>
  <c r="R2038" i="19"/>
  <c r="G2038" i="19"/>
  <c r="S2037" i="19"/>
  <c r="M2037" i="19"/>
  <c r="L2037" i="19"/>
  <c r="S2036" i="19"/>
  <c r="M2036" i="19"/>
  <c r="L2036" i="19"/>
  <c r="S2035" i="19"/>
  <c r="M2035" i="19"/>
  <c r="L2035" i="19"/>
  <c r="S2034" i="19"/>
  <c r="M2034" i="19"/>
  <c r="L2034" i="19"/>
  <c r="S2033" i="19"/>
  <c r="M2033" i="19"/>
  <c r="L2033" i="19"/>
  <c r="S2032" i="19"/>
  <c r="M2032" i="19"/>
  <c r="L2032" i="19"/>
  <c r="S2031" i="19"/>
  <c r="M2031" i="19"/>
  <c r="L2031" i="19"/>
  <c r="S2030" i="19"/>
  <c r="M2030" i="19"/>
  <c r="L2030" i="19"/>
  <c r="S2029" i="19"/>
  <c r="M2029" i="19"/>
  <c r="L2029" i="19"/>
  <c r="S2028" i="19"/>
  <c r="M2028" i="19"/>
  <c r="L2028" i="19"/>
  <c r="S2027" i="19"/>
  <c r="M2027" i="19"/>
  <c r="L2027" i="19"/>
  <c r="S2026" i="19"/>
  <c r="M2026" i="19"/>
  <c r="L2026" i="19"/>
  <c r="S2025" i="19"/>
  <c r="M2025" i="19"/>
  <c r="L2025" i="19"/>
  <c r="S2024" i="19"/>
  <c r="M2024" i="19"/>
  <c r="L2024" i="19"/>
  <c r="S2023" i="19"/>
  <c r="M2023" i="19"/>
  <c r="L2023" i="19"/>
  <c r="S2022" i="19"/>
  <c r="M2022" i="19"/>
  <c r="L2022" i="19"/>
  <c r="S2021" i="19"/>
  <c r="M2021" i="19"/>
  <c r="L2021" i="19"/>
  <c r="S2020" i="19"/>
  <c r="M2020" i="19"/>
  <c r="L2020" i="19"/>
  <c r="S2019" i="19"/>
  <c r="M2019" i="19"/>
  <c r="L2019" i="19"/>
  <c r="S2018" i="19"/>
  <c r="M2018" i="19"/>
  <c r="L2018" i="19"/>
  <c r="S2017" i="19"/>
  <c r="N2017" i="19"/>
  <c r="M2017" i="19"/>
  <c r="L2017" i="19"/>
  <c r="S2016" i="19"/>
  <c r="M2016" i="19"/>
  <c r="L2016" i="19"/>
  <c r="S2015" i="19"/>
  <c r="M2015" i="19"/>
  <c r="L2015" i="19"/>
  <c r="S2014" i="19"/>
  <c r="R2014" i="19"/>
  <c r="N2014" i="19"/>
  <c r="G2014" i="19"/>
  <c r="S2013" i="19"/>
  <c r="M2013" i="19"/>
  <c r="L2013" i="19"/>
  <c r="S2012" i="19"/>
  <c r="N2012" i="19"/>
  <c r="M2012" i="19"/>
  <c r="L2012" i="19"/>
  <c r="S2011" i="19"/>
  <c r="M2011" i="19"/>
  <c r="L2011" i="19"/>
  <c r="S2010" i="19"/>
  <c r="N2010" i="19"/>
  <c r="M2010" i="19"/>
  <c r="L2010" i="19"/>
  <c r="S2009" i="19"/>
  <c r="M2009" i="19"/>
  <c r="L2009" i="19"/>
  <c r="S2008" i="19"/>
  <c r="M2008" i="19"/>
  <c r="L2008" i="19"/>
  <c r="S2007" i="19"/>
  <c r="M2007" i="19"/>
  <c r="L2007" i="19"/>
  <c r="S2006" i="19"/>
  <c r="M2006" i="19"/>
  <c r="L2006" i="19"/>
  <c r="S2005" i="19"/>
  <c r="R2005" i="19"/>
  <c r="S2004" i="19"/>
  <c r="R2004" i="19"/>
  <c r="S2003" i="19"/>
  <c r="R2003" i="19"/>
  <c r="S2002" i="19"/>
  <c r="R2002" i="19"/>
  <c r="S2001" i="19"/>
  <c r="R2001" i="19"/>
  <c r="S2000" i="19"/>
  <c r="R2000" i="19"/>
  <c r="S1999" i="19"/>
  <c r="R1999" i="19"/>
  <c r="S1998" i="19"/>
  <c r="R1998" i="19"/>
  <c r="S1997" i="19"/>
  <c r="R1997" i="19"/>
  <c r="S1996" i="19"/>
  <c r="R1996" i="19"/>
  <c r="S1995" i="19"/>
  <c r="R1995" i="19"/>
  <c r="S1994" i="19"/>
  <c r="R1994" i="19"/>
  <c r="S1993" i="19"/>
  <c r="R1993" i="19"/>
  <c r="S1992" i="19"/>
  <c r="R1992" i="19"/>
  <c r="S1991" i="19"/>
  <c r="R1991" i="19"/>
  <c r="N1991" i="19"/>
  <c r="S1990" i="19"/>
  <c r="R1990" i="19"/>
  <c r="S1989" i="19"/>
  <c r="R1989" i="19"/>
  <c r="S1988" i="19"/>
  <c r="R1988" i="19"/>
  <c r="S1987" i="19"/>
  <c r="R1987" i="19"/>
  <c r="S1986" i="19"/>
  <c r="R1986" i="19"/>
  <c r="S1985" i="19"/>
  <c r="R1985" i="19"/>
  <c r="S1984" i="19"/>
  <c r="R1984" i="19"/>
  <c r="S1983" i="19"/>
  <c r="R1983" i="19"/>
  <c r="S1982" i="19"/>
  <c r="R1982" i="19"/>
  <c r="N1982" i="19"/>
  <c r="G1982" i="19"/>
  <c r="S1981" i="19"/>
  <c r="R1981" i="19"/>
  <c r="S1980" i="19"/>
  <c r="R1980" i="19"/>
  <c r="S1979" i="19"/>
  <c r="R1979" i="19"/>
  <c r="S1978" i="19"/>
  <c r="R1978" i="19"/>
  <c r="S1977" i="19"/>
  <c r="R1977" i="19"/>
  <c r="S1976" i="19"/>
  <c r="R1976" i="19"/>
  <c r="S1975" i="19"/>
  <c r="R1975" i="19"/>
  <c r="S1974" i="19"/>
  <c r="R1974" i="19"/>
  <c r="S1973" i="19"/>
  <c r="R1973" i="19"/>
  <c r="N1973" i="19"/>
  <c r="S1972" i="19"/>
  <c r="R1972" i="19"/>
  <c r="S1971" i="19"/>
  <c r="R1971" i="19"/>
  <c r="S1970" i="19"/>
  <c r="R1970" i="19"/>
  <c r="S1969" i="19"/>
  <c r="R1969" i="19"/>
  <c r="C1969" i="19"/>
  <c r="H1969" i="19" s="1"/>
  <c r="S1968" i="19"/>
  <c r="R1968" i="19"/>
  <c r="S1967" i="19"/>
  <c r="R1967" i="19"/>
  <c r="S1966" i="19"/>
  <c r="R1966" i="19"/>
  <c r="S1965" i="19"/>
  <c r="R1965" i="19"/>
  <c r="S1964" i="19"/>
  <c r="R1964" i="19"/>
  <c r="S1963" i="19"/>
  <c r="R1963" i="19"/>
  <c r="S1962" i="19"/>
  <c r="R1962" i="19"/>
  <c r="S1961" i="19"/>
  <c r="R1961" i="19"/>
  <c r="S1960" i="19"/>
  <c r="R1960" i="19"/>
  <c r="S1959" i="19"/>
  <c r="R1959" i="19"/>
  <c r="S1958" i="19"/>
  <c r="R1958" i="19"/>
  <c r="S1957" i="19"/>
  <c r="R1957" i="19"/>
  <c r="S1956" i="19"/>
  <c r="R1956" i="19"/>
  <c r="S1955" i="19"/>
  <c r="R1955" i="19"/>
  <c r="S1954" i="19"/>
  <c r="R1954" i="19"/>
  <c r="S1953" i="19"/>
  <c r="R1953" i="19"/>
  <c r="N1953" i="19"/>
  <c r="S1952" i="19"/>
  <c r="R1952" i="19"/>
  <c r="S1951" i="19"/>
  <c r="R1951" i="19"/>
  <c r="S1950" i="19"/>
  <c r="R1950" i="19"/>
  <c r="S1949" i="19"/>
  <c r="R1949" i="19"/>
  <c r="N1949" i="19"/>
  <c r="G1949" i="19"/>
  <c r="S1948" i="19"/>
  <c r="R1948" i="19"/>
  <c r="S1947" i="19"/>
  <c r="R1947" i="19"/>
  <c r="S1946" i="19"/>
  <c r="R1946" i="19"/>
  <c r="S1945" i="19"/>
  <c r="R1945" i="19"/>
  <c r="S1944" i="19"/>
  <c r="R1944" i="19"/>
  <c r="S1943" i="19"/>
  <c r="R1943" i="19"/>
  <c r="S1942" i="19"/>
  <c r="R1942" i="19"/>
  <c r="S1941" i="19"/>
  <c r="R1941" i="19"/>
  <c r="S1940" i="19"/>
  <c r="R1940" i="19"/>
  <c r="N1940" i="19"/>
  <c r="S1939" i="19"/>
  <c r="R1939" i="19"/>
  <c r="N1939" i="19"/>
  <c r="S1938" i="19"/>
  <c r="R1938" i="19"/>
  <c r="S1937" i="19"/>
  <c r="R1937" i="19"/>
  <c r="N1937" i="19"/>
  <c r="S1936" i="19"/>
  <c r="R1936" i="19"/>
  <c r="I1936" i="19"/>
  <c r="H1936" i="19"/>
  <c r="G1936" i="19"/>
  <c r="S1935" i="19"/>
  <c r="R1935" i="19"/>
  <c r="I1935" i="19"/>
  <c r="H1935" i="19"/>
  <c r="G1935" i="19"/>
  <c r="S1934" i="19"/>
  <c r="M1934" i="19"/>
  <c r="L1934" i="19"/>
  <c r="S1933" i="19"/>
  <c r="M1933" i="19"/>
  <c r="L1933" i="19"/>
  <c r="S1932" i="19"/>
  <c r="M1932" i="19"/>
  <c r="L1932" i="19"/>
  <c r="S1931" i="19"/>
  <c r="R1931" i="19"/>
  <c r="I1931" i="19"/>
  <c r="H1931" i="19"/>
  <c r="G1931" i="19" s="1"/>
  <c r="S1930" i="19"/>
  <c r="M1930" i="19"/>
  <c r="L1930" i="19"/>
  <c r="S1929" i="19"/>
  <c r="M1929" i="19"/>
  <c r="L1929" i="19"/>
  <c r="S1928" i="19"/>
  <c r="M1928" i="19"/>
  <c r="L1928" i="19"/>
  <c r="S1927" i="19"/>
  <c r="N1927" i="19"/>
  <c r="M1927" i="19"/>
  <c r="L1927" i="19"/>
  <c r="S1926" i="19"/>
  <c r="M1926" i="19"/>
  <c r="L1926" i="19"/>
  <c r="S1925" i="19"/>
  <c r="M1925" i="19"/>
  <c r="L1925" i="19"/>
  <c r="S1924" i="19"/>
  <c r="M1924" i="19"/>
  <c r="L1924" i="19"/>
  <c r="S1923" i="19"/>
  <c r="M1923" i="19"/>
  <c r="L1923" i="19"/>
  <c r="S1922" i="19"/>
  <c r="M1922" i="19"/>
  <c r="L1922" i="19"/>
  <c r="S1921" i="19"/>
  <c r="M1921" i="19"/>
  <c r="L1921" i="19"/>
  <c r="S1920" i="19"/>
  <c r="M1920" i="19"/>
  <c r="L1920" i="19"/>
  <c r="S1919" i="19"/>
  <c r="M1919" i="19"/>
  <c r="L1919" i="19"/>
  <c r="S1918" i="19"/>
  <c r="M1918" i="19"/>
  <c r="L1918" i="19"/>
  <c r="S1917" i="19"/>
  <c r="M1917" i="19"/>
  <c r="L1917" i="19"/>
  <c r="S1916" i="19"/>
  <c r="M1916" i="19"/>
  <c r="L1916" i="19"/>
  <c r="S1915" i="19"/>
  <c r="M1915" i="19"/>
  <c r="L1915" i="19"/>
  <c r="S1914" i="19"/>
  <c r="R1914" i="19"/>
  <c r="I1914" i="19"/>
  <c r="G1914" i="19" s="1"/>
  <c r="H1914" i="19"/>
  <c r="S1913" i="19"/>
  <c r="M1913" i="19"/>
  <c r="L1913" i="19"/>
  <c r="S1912" i="19"/>
  <c r="M1912" i="19"/>
  <c r="L1912" i="19"/>
  <c r="S1911" i="19"/>
  <c r="M1911" i="19"/>
  <c r="L1911" i="19"/>
  <c r="S1910" i="19"/>
  <c r="R1910" i="19"/>
  <c r="I1910" i="19"/>
  <c r="H1910" i="19"/>
  <c r="G1910" i="19" s="1"/>
  <c r="S1909" i="19"/>
  <c r="M1909" i="19"/>
  <c r="L1909" i="19"/>
  <c r="S1908" i="19"/>
  <c r="M1908" i="19"/>
  <c r="L1908" i="19"/>
  <c r="S1907" i="19"/>
  <c r="M1907" i="19"/>
  <c r="L1907" i="19"/>
  <c r="S1906" i="19"/>
  <c r="M1906" i="19"/>
  <c r="L1906" i="19"/>
  <c r="S1905" i="19"/>
  <c r="M1905" i="19"/>
  <c r="L1905" i="19"/>
  <c r="S1904" i="19"/>
  <c r="M1904" i="19"/>
  <c r="L1904" i="19"/>
  <c r="S1903" i="19"/>
  <c r="M1903" i="19"/>
  <c r="L1903" i="19"/>
  <c r="S1902" i="19"/>
  <c r="M1902" i="19"/>
  <c r="L1902" i="19"/>
  <c r="S1901" i="19"/>
  <c r="M1901" i="19"/>
  <c r="L1901" i="19"/>
  <c r="S1900" i="19"/>
  <c r="M1900" i="19"/>
  <c r="L1900" i="19"/>
  <c r="S1899" i="19"/>
  <c r="M1899" i="19"/>
  <c r="L1899" i="19"/>
  <c r="S1898" i="19"/>
  <c r="M1898" i="19"/>
  <c r="L1898" i="19"/>
  <c r="S1897" i="19"/>
  <c r="M1897" i="19"/>
  <c r="L1897" i="19"/>
  <c r="S1896" i="19"/>
  <c r="M1896" i="19"/>
  <c r="L1896" i="19"/>
  <c r="S1895" i="19"/>
  <c r="M1895" i="19"/>
  <c r="L1895" i="19"/>
  <c r="S1894" i="19"/>
  <c r="M1894" i="19"/>
  <c r="L1894" i="19"/>
  <c r="S1893" i="19"/>
  <c r="M1893" i="19"/>
  <c r="L1893" i="19"/>
  <c r="S1892" i="19"/>
  <c r="M1892" i="19"/>
  <c r="L1892" i="19"/>
  <c r="S1891" i="19"/>
  <c r="M1891" i="19"/>
  <c r="L1891" i="19"/>
  <c r="S1890" i="19"/>
  <c r="R1890" i="19"/>
  <c r="S1889" i="19"/>
  <c r="R1889" i="19"/>
  <c r="I1889" i="19"/>
  <c r="H1889" i="19"/>
  <c r="G1889" i="19" s="1"/>
  <c r="S1888" i="19"/>
  <c r="R1888" i="19"/>
  <c r="I1888" i="19"/>
  <c r="H1888" i="19"/>
  <c r="S1887" i="19"/>
  <c r="R1887" i="19"/>
  <c r="S1886" i="19"/>
  <c r="R1886" i="19"/>
  <c r="S1885" i="19"/>
  <c r="R1885" i="19"/>
  <c r="S1884" i="19"/>
  <c r="R1884" i="19"/>
  <c r="I1884" i="19"/>
  <c r="G1884" i="19" s="1"/>
  <c r="H1884" i="19"/>
  <c r="S1883" i="19"/>
  <c r="R1883" i="19"/>
  <c r="S1882" i="19"/>
  <c r="R1882" i="19"/>
  <c r="S1881" i="19"/>
  <c r="R1881" i="19"/>
  <c r="S1880" i="19"/>
  <c r="R1880" i="19"/>
  <c r="S1879" i="19"/>
  <c r="R1879" i="19"/>
  <c r="S1878" i="19"/>
  <c r="R1878" i="19"/>
  <c r="S1877" i="19"/>
  <c r="R1877" i="19"/>
  <c r="S1876" i="19"/>
  <c r="R1876" i="19"/>
  <c r="S1875" i="19"/>
  <c r="R1875" i="19"/>
  <c r="S1874" i="19"/>
  <c r="R1874" i="19"/>
  <c r="S1873" i="19"/>
  <c r="R1873" i="19"/>
  <c r="S1872" i="19"/>
  <c r="R1872" i="19"/>
  <c r="S1871" i="19"/>
  <c r="R1871" i="19"/>
  <c r="S1870" i="19"/>
  <c r="R1870" i="19"/>
  <c r="S1869" i="19"/>
  <c r="R1869" i="19"/>
  <c r="S1868" i="19"/>
  <c r="R1868" i="19"/>
  <c r="S1867" i="19"/>
  <c r="R1867" i="19"/>
  <c r="I1867" i="19"/>
  <c r="H1867" i="19"/>
  <c r="G1867" i="19"/>
  <c r="S1866" i="19"/>
  <c r="R1866" i="19"/>
  <c r="S1865" i="19"/>
  <c r="R1865" i="19"/>
  <c r="S1864" i="19"/>
  <c r="R1864" i="19"/>
  <c r="S1863" i="19"/>
  <c r="R1863" i="19"/>
  <c r="I1863" i="19"/>
  <c r="H1863" i="19"/>
  <c r="G1863" i="19"/>
  <c r="S1862" i="19"/>
  <c r="R1862" i="19"/>
  <c r="S1861" i="19"/>
  <c r="R1861" i="19"/>
  <c r="S1860" i="19"/>
  <c r="R1860" i="19"/>
  <c r="S1859" i="19"/>
  <c r="R1859" i="19"/>
  <c r="S1858" i="19"/>
  <c r="R1858" i="19"/>
  <c r="S1857" i="19"/>
  <c r="R1857" i="19"/>
  <c r="S1856" i="19"/>
  <c r="R1856" i="19"/>
  <c r="S1855" i="19"/>
  <c r="R1855" i="19"/>
  <c r="S1854" i="19"/>
  <c r="R1854" i="19"/>
  <c r="S1853" i="19"/>
  <c r="R1853" i="19"/>
  <c r="S1852" i="19"/>
  <c r="R1852" i="19"/>
  <c r="S1851" i="19"/>
  <c r="R1851" i="19"/>
  <c r="S1850" i="19"/>
  <c r="R1850" i="19"/>
  <c r="S1849" i="19"/>
  <c r="R1849" i="19"/>
  <c r="S1848" i="19"/>
  <c r="R1848" i="19"/>
  <c r="S1847" i="19"/>
  <c r="R1847" i="19"/>
  <c r="S1846" i="19"/>
  <c r="R1846" i="19"/>
  <c r="S1845" i="19"/>
  <c r="R1845" i="19"/>
  <c r="S1844" i="19"/>
  <c r="R1844" i="19"/>
  <c r="S1843" i="19"/>
  <c r="R1843" i="19"/>
  <c r="N1843" i="19"/>
  <c r="S1842" i="19"/>
  <c r="R1842" i="19"/>
  <c r="S1841" i="19"/>
  <c r="R1841" i="19"/>
  <c r="I1841" i="19"/>
  <c r="H1841" i="19"/>
  <c r="G1841" i="19" s="1"/>
  <c r="S1840" i="19"/>
  <c r="R1840" i="19"/>
  <c r="I1840" i="19"/>
  <c r="H1840" i="19"/>
  <c r="G1840" i="19"/>
  <c r="S1839" i="19"/>
  <c r="R1839" i="19"/>
  <c r="S1838" i="19"/>
  <c r="R1838" i="19"/>
  <c r="S1837" i="19"/>
  <c r="R1837" i="19"/>
  <c r="S1836" i="19"/>
  <c r="R1836" i="19"/>
  <c r="I1836" i="19"/>
  <c r="H1836" i="19"/>
  <c r="G1836" i="19" s="1"/>
  <c r="S1835" i="19"/>
  <c r="R1835" i="19"/>
  <c r="S1834" i="19"/>
  <c r="R1834" i="19"/>
  <c r="S1833" i="19"/>
  <c r="R1833" i="19"/>
  <c r="S1832" i="19"/>
  <c r="R1832" i="19"/>
  <c r="S1831" i="19"/>
  <c r="R1831" i="19"/>
  <c r="S1830" i="19"/>
  <c r="R1830" i="19"/>
  <c r="S1829" i="19"/>
  <c r="R1829" i="19"/>
  <c r="S1828" i="19"/>
  <c r="R1828" i="19"/>
  <c r="S1827" i="19"/>
  <c r="R1827" i="19"/>
  <c r="S1826" i="19"/>
  <c r="R1826" i="19"/>
  <c r="S1825" i="19"/>
  <c r="R1825" i="19"/>
  <c r="S1824" i="19"/>
  <c r="R1824" i="19"/>
  <c r="S1823" i="19"/>
  <c r="R1823" i="19"/>
  <c r="S1822" i="19"/>
  <c r="R1822" i="19"/>
  <c r="S1821" i="19"/>
  <c r="R1821" i="19"/>
  <c r="S1820" i="19"/>
  <c r="R1820" i="19"/>
  <c r="S1819" i="19"/>
  <c r="R1819" i="19"/>
  <c r="I1819" i="19"/>
  <c r="H1819" i="19"/>
  <c r="G1819" i="19"/>
  <c r="S1818" i="19"/>
  <c r="R1818" i="19"/>
  <c r="S1817" i="19"/>
  <c r="R1817" i="19"/>
  <c r="S1816" i="19"/>
  <c r="R1816" i="19"/>
  <c r="S1815" i="19"/>
  <c r="R1815" i="19"/>
  <c r="I1815" i="19"/>
  <c r="H1815" i="19"/>
  <c r="G1815" i="19" s="1"/>
  <c r="S1814" i="19"/>
  <c r="R1814" i="19"/>
  <c r="S1813" i="19"/>
  <c r="R1813" i="19"/>
  <c r="S1812" i="19"/>
  <c r="R1812" i="19"/>
  <c r="S1811" i="19"/>
  <c r="R1811" i="19"/>
  <c r="S1810" i="19"/>
  <c r="R1810" i="19"/>
  <c r="S1809" i="19"/>
  <c r="R1809" i="19"/>
  <c r="S1808" i="19"/>
  <c r="R1808" i="19"/>
  <c r="S1807" i="19"/>
  <c r="R1807" i="19"/>
  <c r="S1806" i="19"/>
  <c r="R1806" i="19"/>
  <c r="S1805" i="19"/>
  <c r="R1805" i="19"/>
  <c r="S1804" i="19"/>
  <c r="R1804" i="19"/>
  <c r="S1803" i="19"/>
  <c r="R1803" i="19"/>
  <c r="S1802" i="19"/>
  <c r="R1802" i="19"/>
  <c r="S1801" i="19"/>
  <c r="R1801" i="19"/>
  <c r="S1800" i="19"/>
  <c r="R1800" i="19"/>
  <c r="S1799" i="19"/>
  <c r="R1799" i="19"/>
  <c r="S1798" i="19"/>
  <c r="R1798" i="19"/>
  <c r="S1797" i="19"/>
  <c r="R1797" i="19"/>
  <c r="S1796" i="19"/>
  <c r="R1796" i="19"/>
  <c r="S1795" i="19"/>
  <c r="R1795" i="19"/>
  <c r="S1794" i="19"/>
  <c r="R1794" i="19"/>
  <c r="S1793" i="19"/>
  <c r="R1793" i="19"/>
  <c r="S1792" i="19"/>
  <c r="R1792" i="19"/>
  <c r="S1791" i="19"/>
  <c r="R1791" i="19"/>
  <c r="N1791" i="19"/>
  <c r="I1791" i="19"/>
  <c r="G1791" i="19" s="1"/>
  <c r="D1791" i="19"/>
  <c r="S1790" i="19"/>
  <c r="R1790" i="19"/>
  <c r="I1790" i="19"/>
  <c r="H1790" i="19"/>
  <c r="G1790" i="19" s="1"/>
  <c r="S1789" i="19"/>
  <c r="M1789" i="19"/>
  <c r="L1789" i="19"/>
  <c r="S1788" i="19"/>
  <c r="M1788" i="19"/>
  <c r="L1788" i="19"/>
  <c r="S1787" i="19"/>
  <c r="M1787" i="19"/>
  <c r="L1787" i="19"/>
  <c r="S1786" i="19"/>
  <c r="R1786" i="19"/>
  <c r="I1786" i="19"/>
  <c r="H1786" i="19"/>
  <c r="G1786" i="19" s="1"/>
  <c r="S1785" i="19"/>
  <c r="M1785" i="19"/>
  <c r="L1785" i="19"/>
  <c r="S1784" i="19"/>
  <c r="M1784" i="19"/>
  <c r="L1784" i="19"/>
  <c r="S1783" i="19"/>
  <c r="M1783" i="19"/>
  <c r="L1783" i="19"/>
  <c r="S1782" i="19"/>
  <c r="M1782" i="19"/>
  <c r="L1782" i="19"/>
  <c r="S1781" i="19"/>
  <c r="M1781" i="19"/>
  <c r="L1781" i="19"/>
  <c r="S1780" i="19"/>
  <c r="M1780" i="19"/>
  <c r="L1780" i="19"/>
  <c r="S1779" i="19"/>
  <c r="M1779" i="19"/>
  <c r="L1779" i="19"/>
  <c r="S1778" i="19"/>
  <c r="M1778" i="19"/>
  <c r="L1778" i="19"/>
  <c r="S1777" i="19"/>
  <c r="M1777" i="19"/>
  <c r="L1777" i="19"/>
  <c r="S1776" i="19"/>
  <c r="M1776" i="19"/>
  <c r="L1776" i="19"/>
  <c r="S1775" i="19"/>
  <c r="M1775" i="19"/>
  <c r="L1775" i="19"/>
  <c r="S1774" i="19"/>
  <c r="N1774" i="19"/>
  <c r="M1774" i="19"/>
  <c r="L1774" i="19"/>
  <c r="S1773" i="19"/>
  <c r="M1773" i="19"/>
  <c r="L1773" i="19"/>
  <c r="S1772" i="19"/>
  <c r="M1772" i="19"/>
  <c r="L1772" i="19"/>
  <c r="S1771" i="19"/>
  <c r="M1771" i="19"/>
  <c r="L1771" i="19"/>
  <c r="S1770" i="19"/>
  <c r="N1770" i="19"/>
  <c r="M1770" i="19"/>
  <c r="L1770" i="19"/>
  <c r="S1769" i="19"/>
  <c r="R1769" i="19"/>
  <c r="I1769" i="19"/>
  <c r="H1769" i="19"/>
  <c r="G1769" i="19" s="1"/>
  <c r="S1768" i="19"/>
  <c r="M1768" i="19"/>
  <c r="L1768" i="19"/>
  <c r="S1767" i="19"/>
  <c r="M1767" i="19"/>
  <c r="L1767" i="19"/>
  <c r="S1766" i="19"/>
  <c r="M1766" i="19"/>
  <c r="L1766" i="19"/>
  <c r="S1765" i="19"/>
  <c r="R1765" i="19"/>
  <c r="I1765" i="19"/>
  <c r="H1765" i="19"/>
  <c r="G1765" i="19" s="1"/>
  <c r="S1764" i="19"/>
  <c r="M1764" i="19"/>
  <c r="L1764" i="19"/>
  <c r="S1763" i="19"/>
  <c r="M1763" i="19"/>
  <c r="L1763" i="19"/>
  <c r="S1762" i="19"/>
  <c r="M1762" i="19"/>
  <c r="L1762" i="19"/>
  <c r="S1761" i="19"/>
  <c r="M1761" i="19"/>
  <c r="L1761" i="19"/>
  <c r="S1760" i="19"/>
  <c r="M1760" i="19"/>
  <c r="L1760" i="19"/>
  <c r="S1759" i="19"/>
  <c r="M1759" i="19"/>
  <c r="L1759" i="19"/>
  <c r="S1758" i="19"/>
  <c r="M1758" i="19"/>
  <c r="L1758" i="19"/>
  <c r="S1757" i="19"/>
  <c r="M1757" i="19"/>
  <c r="L1757" i="19"/>
  <c r="S1756" i="19"/>
  <c r="M1756" i="19"/>
  <c r="L1756" i="19"/>
  <c r="S1755" i="19"/>
  <c r="M1755" i="19"/>
  <c r="L1755" i="19"/>
  <c r="S1754" i="19"/>
  <c r="M1754" i="19"/>
  <c r="L1754" i="19"/>
  <c r="S1753" i="19"/>
  <c r="M1753" i="19"/>
  <c r="L1753" i="19"/>
  <c r="S1752" i="19"/>
  <c r="M1752" i="19"/>
  <c r="L1752" i="19"/>
  <c r="S1751" i="19"/>
  <c r="M1751" i="19"/>
  <c r="L1751" i="19"/>
  <c r="S1750" i="19"/>
  <c r="M1750" i="19"/>
  <c r="L1750" i="19"/>
  <c r="S1749" i="19"/>
  <c r="M1749" i="19"/>
  <c r="L1749" i="19"/>
  <c r="S1748" i="19"/>
  <c r="M1748" i="19"/>
  <c r="L1748" i="19"/>
  <c r="S1747" i="19"/>
  <c r="M1747" i="19"/>
  <c r="L1747" i="19"/>
  <c r="S1746" i="19"/>
  <c r="M1746" i="19"/>
  <c r="L1746" i="19"/>
  <c r="S1745" i="19"/>
  <c r="R1745" i="19"/>
  <c r="S1744" i="19"/>
  <c r="R1744" i="19"/>
  <c r="N1744" i="19"/>
  <c r="I1744" i="19"/>
  <c r="D1744" i="19"/>
  <c r="C1744" i="19"/>
  <c r="H1744" i="19" s="1"/>
  <c r="G1744" i="19" s="1"/>
  <c r="S1743" i="19"/>
  <c r="R1743" i="19"/>
  <c r="I1743" i="19"/>
  <c r="H1743" i="19"/>
  <c r="G1743" i="19"/>
  <c r="S1742" i="19"/>
  <c r="R1742" i="19"/>
  <c r="S1741" i="19"/>
  <c r="R1741" i="19"/>
  <c r="N1741" i="19"/>
  <c r="S1740" i="19"/>
  <c r="R1740" i="19"/>
  <c r="S1739" i="19"/>
  <c r="R1739" i="19"/>
  <c r="H1739" i="19"/>
  <c r="S1738" i="19"/>
  <c r="R1738" i="19"/>
  <c r="S1737" i="19"/>
  <c r="R1737" i="19"/>
  <c r="S1736" i="19"/>
  <c r="R1736" i="19"/>
  <c r="S1735" i="19"/>
  <c r="R1735" i="19"/>
  <c r="S1734" i="19"/>
  <c r="R1734" i="19"/>
  <c r="S1733" i="19"/>
  <c r="R1733" i="19"/>
  <c r="S1732" i="19"/>
  <c r="R1732" i="19"/>
  <c r="S1731" i="19"/>
  <c r="R1731" i="19"/>
  <c r="S1730" i="19"/>
  <c r="R1730" i="19"/>
  <c r="S1729" i="19"/>
  <c r="R1729" i="19"/>
  <c r="S1728" i="19"/>
  <c r="R1728" i="19"/>
  <c r="S1727" i="19"/>
  <c r="R1727" i="19"/>
  <c r="S1726" i="19"/>
  <c r="R1726" i="19"/>
  <c r="S1725" i="19"/>
  <c r="R1725" i="19"/>
  <c r="S1724" i="19"/>
  <c r="R1724" i="19"/>
  <c r="S1723" i="19"/>
  <c r="R1723" i="19"/>
  <c r="S1722" i="19"/>
  <c r="R1722" i="19"/>
  <c r="I1722" i="19"/>
  <c r="H1722" i="19"/>
  <c r="G1722" i="19"/>
  <c r="S1721" i="19"/>
  <c r="R1721" i="19"/>
  <c r="S1720" i="19"/>
  <c r="R1720" i="19"/>
  <c r="S1719" i="19"/>
  <c r="R1719" i="19"/>
  <c r="S1718" i="19"/>
  <c r="R1718" i="19"/>
  <c r="I1718" i="19"/>
  <c r="H1718" i="19"/>
  <c r="G1718" i="19" s="1"/>
  <c r="S1717" i="19"/>
  <c r="R1717" i="19"/>
  <c r="S1716" i="19"/>
  <c r="R1716" i="19"/>
  <c r="S1715" i="19"/>
  <c r="R1715" i="19"/>
  <c r="S1714" i="19"/>
  <c r="R1714" i="19"/>
  <c r="S1713" i="19"/>
  <c r="R1713" i="19"/>
  <c r="S1712" i="19"/>
  <c r="R1712" i="19"/>
  <c r="S1711" i="19"/>
  <c r="R1711" i="19"/>
  <c r="S1710" i="19"/>
  <c r="R1710" i="19"/>
  <c r="S1709" i="19"/>
  <c r="R1709" i="19"/>
  <c r="S1708" i="19"/>
  <c r="R1708" i="19"/>
  <c r="S1707" i="19"/>
  <c r="R1707" i="19"/>
  <c r="S1706" i="19"/>
  <c r="R1706" i="19"/>
  <c r="S1705" i="19"/>
  <c r="R1705" i="19"/>
  <c r="S1704" i="19"/>
  <c r="R1704" i="19"/>
  <c r="S1703" i="19"/>
  <c r="R1703" i="19"/>
  <c r="S1702" i="19"/>
  <c r="R1702" i="19"/>
  <c r="S1701" i="19"/>
  <c r="R1701" i="19"/>
  <c r="S1700" i="19"/>
  <c r="R1700" i="19"/>
  <c r="S1699" i="19"/>
  <c r="R1699" i="19"/>
  <c r="S1698" i="19"/>
  <c r="R1698" i="19"/>
  <c r="S1697" i="19"/>
  <c r="R1697" i="19"/>
  <c r="S1696" i="19"/>
  <c r="R1696" i="19"/>
  <c r="I1696" i="19"/>
  <c r="H1696" i="19"/>
  <c r="S1695" i="19"/>
  <c r="R1695" i="19"/>
  <c r="I1695" i="19"/>
  <c r="G1695" i="19" s="1"/>
  <c r="H1695" i="19"/>
  <c r="S1694" i="19"/>
  <c r="R1694" i="19"/>
  <c r="S1693" i="19"/>
  <c r="R1693" i="19"/>
  <c r="S1692" i="19"/>
  <c r="R1692" i="19"/>
  <c r="S1691" i="19"/>
  <c r="R1691" i="19"/>
  <c r="I1691" i="19"/>
  <c r="H1691" i="19"/>
  <c r="G1691" i="19" s="1"/>
  <c r="S1690" i="19"/>
  <c r="R1690" i="19"/>
  <c r="S1689" i="19"/>
  <c r="R1689" i="19"/>
  <c r="S1688" i="19"/>
  <c r="R1688" i="19"/>
  <c r="S1687" i="19"/>
  <c r="R1687" i="19"/>
  <c r="S1686" i="19"/>
  <c r="R1686" i="19"/>
  <c r="S1685" i="19"/>
  <c r="R1685" i="19"/>
  <c r="N1685" i="19"/>
  <c r="S1684" i="19"/>
  <c r="R1684" i="19"/>
  <c r="S1683" i="19"/>
  <c r="R1683" i="19"/>
  <c r="S1682" i="19"/>
  <c r="R1682" i="19"/>
  <c r="S1681" i="19"/>
  <c r="R1681" i="19"/>
  <c r="S1680" i="19"/>
  <c r="R1680" i="19"/>
  <c r="S1679" i="19"/>
  <c r="R1679" i="19"/>
  <c r="S1678" i="19"/>
  <c r="R1678" i="19"/>
  <c r="S1677" i="19"/>
  <c r="R1677" i="19"/>
  <c r="S1676" i="19"/>
  <c r="R1676" i="19"/>
  <c r="S1675" i="19"/>
  <c r="R1675" i="19"/>
  <c r="S1674" i="19"/>
  <c r="R1674" i="19"/>
  <c r="I1674" i="19"/>
  <c r="H1674" i="19"/>
  <c r="G1674" i="19" s="1"/>
  <c r="S1673" i="19"/>
  <c r="R1673" i="19"/>
  <c r="N1673" i="19"/>
  <c r="S1672" i="19"/>
  <c r="R1672" i="19"/>
  <c r="S1671" i="19"/>
  <c r="R1671" i="19"/>
  <c r="S1670" i="19"/>
  <c r="R1670" i="19"/>
  <c r="I1670" i="19"/>
  <c r="H1670" i="19"/>
  <c r="G1670" i="19"/>
  <c r="S1669" i="19"/>
  <c r="R1669" i="19"/>
  <c r="S1668" i="19"/>
  <c r="R1668" i="19"/>
  <c r="S1667" i="19"/>
  <c r="R1667" i="19"/>
  <c r="S1666" i="19"/>
  <c r="R1666" i="19"/>
  <c r="S1665" i="19"/>
  <c r="R1665" i="19"/>
  <c r="S1664" i="19"/>
  <c r="R1664" i="19"/>
  <c r="N1664" i="19"/>
  <c r="S1663" i="19"/>
  <c r="R1663" i="19"/>
  <c r="S1662" i="19"/>
  <c r="R1662" i="19"/>
  <c r="S1661" i="19"/>
  <c r="R1661" i="19"/>
  <c r="S1660" i="19"/>
  <c r="R1660" i="19"/>
  <c r="S1659" i="19"/>
  <c r="R1659" i="19"/>
  <c r="S1658" i="19"/>
  <c r="R1658" i="19"/>
  <c r="S1657" i="19"/>
  <c r="R1657" i="19"/>
  <c r="S1656" i="19"/>
  <c r="R1656" i="19"/>
  <c r="S1655" i="19"/>
  <c r="R1655" i="19"/>
  <c r="S1654" i="19"/>
  <c r="R1654" i="19"/>
  <c r="S1653" i="19"/>
  <c r="R1653" i="19"/>
  <c r="S1652" i="19"/>
  <c r="R1652" i="19"/>
  <c r="S1651" i="19"/>
  <c r="R1651" i="19"/>
  <c r="S1650" i="19"/>
  <c r="R1650" i="19"/>
  <c r="S1649" i="19"/>
  <c r="R1649" i="19"/>
  <c r="N1649" i="19"/>
  <c r="S1648" i="19"/>
  <c r="R1648" i="19"/>
  <c r="S1647" i="19"/>
  <c r="R1647" i="19"/>
  <c r="S1646" i="19"/>
  <c r="R1646" i="19"/>
  <c r="N1646" i="19"/>
  <c r="D1646" i="19"/>
  <c r="I1646" i="19" s="1"/>
  <c r="G1646" i="19" s="1"/>
  <c r="S1645" i="19"/>
  <c r="R1645" i="19"/>
  <c r="I1645" i="19"/>
  <c r="H1645" i="19"/>
  <c r="S1644" i="19"/>
  <c r="M1644" i="19"/>
  <c r="L1644" i="19"/>
  <c r="S1643" i="19"/>
  <c r="M1643" i="19"/>
  <c r="L1643" i="19"/>
  <c r="S1642" i="19"/>
  <c r="M1642" i="19"/>
  <c r="L1642" i="19"/>
  <c r="S1641" i="19"/>
  <c r="R1641" i="19"/>
  <c r="I1641" i="19"/>
  <c r="H1641" i="19"/>
  <c r="G1641" i="19" s="1"/>
  <c r="S1640" i="19"/>
  <c r="M1640" i="19"/>
  <c r="L1640" i="19"/>
  <c r="S1639" i="19"/>
  <c r="R1639" i="19"/>
  <c r="M1639" i="19"/>
  <c r="L1639" i="19"/>
  <c r="G1639" i="19"/>
  <c r="S1638" i="19"/>
  <c r="M1638" i="19"/>
  <c r="L1638" i="19"/>
  <c r="S1637" i="19"/>
  <c r="M1637" i="19"/>
  <c r="L1637" i="19"/>
  <c r="S1636" i="19"/>
  <c r="M1636" i="19"/>
  <c r="L1636" i="19"/>
  <c r="S1635" i="19"/>
  <c r="M1635" i="19"/>
  <c r="L1635" i="19"/>
  <c r="S1634" i="19"/>
  <c r="M1634" i="19"/>
  <c r="L1634" i="19"/>
  <c r="S1633" i="19"/>
  <c r="M1633" i="19"/>
  <c r="L1633" i="19"/>
  <c r="S1632" i="19"/>
  <c r="M1632" i="19"/>
  <c r="L1632" i="19"/>
  <c r="S1631" i="19"/>
  <c r="M1631" i="19"/>
  <c r="L1631" i="19"/>
  <c r="S1630" i="19"/>
  <c r="M1630" i="19"/>
  <c r="L1630" i="19"/>
  <c r="S1629" i="19"/>
  <c r="M1629" i="19"/>
  <c r="L1629" i="19"/>
  <c r="S1628" i="19"/>
  <c r="M1628" i="19"/>
  <c r="L1628" i="19"/>
  <c r="S1627" i="19"/>
  <c r="M1627" i="19"/>
  <c r="L1627" i="19"/>
  <c r="S1626" i="19"/>
  <c r="M1626" i="19"/>
  <c r="L1626" i="19"/>
  <c r="S1625" i="19"/>
  <c r="M1625" i="19"/>
  <c r="L1625" i="19"/>
  <c r="S1624" i="19"/>
  <c r="R1624" i="19"/>
  <c r="I1624" i="19"/>
  <c r="H1624" i="19"/>
  <c r="G1624" i="19"/>
  <c r="S1623" i="19"/>
  <c r="M1623" i="19"/>
  <c r="L1623" i="19"/>
  <c r="S1622" i="19"/>
  <c r="M1622" i="19"/>
  <c r="L1622" i="19"/>
  <c r="S1621" i="19"/>
  <c r="M1621" i="19"/>
  <c r="L1621" i="19"/>
  <c r="S1620" i="19"/>
  <c r="R1620" i="19"/>
  <c r="I1620" i="19"/>
  <c r="G1620" i="19" s="1"/>
  <c r="H1620" i="19"/>
  <c r="S1619" i="19"/>
  <c r="M1619" i="19"/>
  <c r="L1619" i="19"/>
  <c r="S1618" i="19"/>
  <c r="M1618" i="19"/>
  <c r="L1618" i="19"/>
  <c r="S1617" i="19"/>
  <c r="R1617" i="19"/>
  <c r="M1617" i="19"/>
  <c r="L1617" i="19"/>
  <c r="G1617" i="19"/>
  <c r="S1616" i="19"/>
  <c r="M1616" i="19"/>
  <c r="L1616" i="19"/>
  <c r="S1615" i="19"/>
  <c r="M1615" i="19"/>
  <c r="L1615" i="19"/>
  <c r="S1614" i="19"/>
  <c r="N1614" i="19"/>
  <c r="M1614" i="19"/>
  <c r="L1614" i="19"/>
  <c r="S1613" i="19"/>
  <c r="M1613" i="19"/>
  <c r="L1613" i="19"/>
  <c r="S1612" i="19"/>
  <c r="M1612" i="19"/>
  <c r="L1612" i="19"/>
  <c r="S1611" i="19"/>
  <c r="M1611" i="19"/>
  <c r="L1611" i="19"/>
  <c r="S1610" i="19"/>
  <c r="M1610" i="19"/>
  <c r="L1610" i="19"/>
  <c r="S1609" i="19"/>
  <c r="M1609" i="19"/>
  <c r="L1609" i="19"/>
  <c r="S1608" i="19"/>
  <c r="M1608" i="19"/>
  <c r="L1608" i="19"/>
  <c r="S1607" i="19"/>
  <c r="M1607" i="19"/>
  <c r="L1607" i="19"/>
  <c r="S1606" i="19"/>
  <c r="M1606" i="19"/>
  <c r="L1606" i="19"/>
  <c r="S1605" i="19"/>
  <c r="M1605" i="19"/>
  <c r="L1605" i="19"/>
  <c r="S1604" i="19"/>
  <c r="M1604" i="19"/>
  <c r="L1604" i="19"/>
  <c r="S1603" i="19"/>
  <c r="M1603" i="19"/>
  <c r="L1603" i="19"/>
  <c r="S1602" i="19"/>
  <c r="M1602" i="19"/>
  <c r="L1602" i="19"/>
  <c r="S1601" i="19"/>
  <c r="M1601" i="19"/>
  <c r="L1601" i="19"/>
  <c r="S1600" i="19"/>
  <c r="R1600" i="19"/>
  <c r="S1599" i="19"/>
  <c r="R1599" i="19"/>
  <c r="D1599" i="19"/>
  <c r="I1599" i="19" s="1"/>
  <c r="C1599" i="19"/>
  <c r="H1599" i="19" s="1"/>
  <c r="G1599" i="19" s="1"/>
  <c r="S1598" i="19"/>
  <c r="R1598" i="19"/>
  <c r="I1598" i="19"/>
  <c r="H1598" i="19"/>
  <c r="G1598" i="19"/>
  <c r="S1597" i="19"/>
  <c r="R1597" i="19"/>
  <c r="S1596" i="19"/>
  <c r="S1595" i="19"/>
  <c r="S1594" i="19"/>
  <c r="R1594" i="19"/>
  <c r="S1593" i="19"/>
  <c r="R1593" i="19"/>
  <c r="I1593" i="19"/>
  <c r="H1593" i="19"/>
  <c r="G1593" i="19" s="1"/>
  <c r="S1592" i="19"/>
  <c r="R1592" i="19"/>
  <c r="S1591" i="19"/>
  <c r="R1591" i="19"/>
  <c r="S1590" i="19"/>
  <c r="R1590" i="19"/>
  <c r="S1589" i="19"/>
  <c r="R1589" i="19"/>
  <c r="S1588" i="19"/>
  <c r="R1588" i="19"/>
  <c r="S1587" i="19"/>
  <c r="R1587" i="19"/>
  <c r="S1586" i="19"/>
  <c r="R1586" i="19"/>
  <c r="S1585" i="19"/>
  <c r="R1585" i="19"/>
  <c r="S1584" i="19"/>
  <c r="R1584" i="19"/>
  <c r="S1583" i="19"/>
  <c r="R1583" i="19"/>
  <c r="S1582" i="19"/>
  <c r="R1582" i="19"/>
  <c r="S1581" i="19"/>
  <c r="R1581" i="19"/>
  <c r="S1580" i="19"/>
  <c r="R1580" i="19"/>
  <c r="N1580" i="19"/>
  <c r="S1579" i="19"/>
  <c r="R1579" i="19"/>
  <c r="S1578" i="19"/>
  <c r="R1578" i="19"/>
  <c r="S1577" i="19"/>
  <c r="R1577" i="19"/>
  <c r="S1576" i="19"/>
  <c r="R1576" i="19"/>
  <c r="I1576" i="19"/>
  <c r="H1576" i="19"/>
  <c r="G1576" i="19" s="1"/>
  <c r="S1575" i="19"/>
  <c r="R1575" i="19"/>
  <c r="S1574" i="19"/>
  <c r="R1574" i="19"/>
  <c r="S1573" i="19"/>
  <c r="R1573" i="19"/>
  <c r="S1572" i="19"/>
  <c r="R1572" i="19"/>
  <c r="I1572" i="19"/>
  <c r="H1572" i="19"/>
  <c r="S1571" i="19"/>
  <c r="R1571" i="19"/>
  <c r="S1570" i="19"/>
  <c r="R1570" i="19"/>
  <c r="S1569" i="19"/>
  <c r="R1569" i="19"/>
  <c r="S1568" i="19"/>
  <c r="R1568" i="19"/>
  <c r="S1567" i="19"/>
  <c r="R1567" i="19"/>
  <c r="S1566" i="19"/>
  <c r="R1566" i="19"/>
  <c r="S1565" i="19"/>
  <c r="R1565" i="19"/>
  <c r="S1564" i="19"/>
  <c r="R1564" i="19"/>
  <c r="S1563" i="19"/>
  <c r="R1563" i="19"/>
  <c r="N1563" i="19"/>
  <c r="S1562" i="19"/>
  <c r="R1562" i="19"/>
  <c r="S1561" i="19"/>
  <c r="R1561" i="19"/>
  <c r="S1560" i="19"/>
  <c r="R1560" i="19"/>
  <c r="S1559" i="19"/>
  <c r="R1559" i="19"/>
  <c r="S1558" i="19"/>
  <c r="R1558" i="19"/>
  <c r="S1557" i="19"/>
  <c r="R1557" i="19"/>
  <c r="S1556" i="19"/>
  <c r="R1556" i="19"/>
  <c r="S1555" i="19"/>
  <c r="R1555" i="19"/>
  <c r="S1554" i="19"/>
  <c r="R1554" i="19"/>
  <c r="S1553" i="19"/>
  <c r="R1553" i="19"/>
  <c r="S1552" i="19"/>
  <c r="R1552" i="19"/>
  <c r="S1551" i="19"/>
  <c r="R1551" i="19"/>
  <c r="S1550" i="19"/>
  <c r="R1550" i="19"/>
  <c r="D1550" i="19"/>
  <c r="I1550" i="19" s="1"/>
  <c r="G1550" i="19" s="1"/>
  <c r="S1549" i="19"/>
  <c r="R1549" i="19"/>
  <c r="I1549" i="19"/>
  <c r="H1549" i="19"/>
  <c r="G1549" i="19"/>
  <c r="S1548" i="19"/>
  <c r="R1548" i="19"/>
  <c r="S1547" i="19"/>
  <c r="S1546" i="19"/>
  <c r="R1546" i="19"/>
  <c r="S1545" i="19"/>
  <c r="R1545" i="19"/>
  <c r="I1545" i="19"/>
  <c r="G1545" i="19" s="1"/>
  <c r="H1545" i="19"/>
  <c r="S1544" i="19"/>
  <c r="R1544" i="19"/>
  <c r="S1543" i="19"/>
  <c r="R1543" i="19"/>
  <c r="N1543" i="19"/>
  <c r="S1542" i="19"/>
  <c r="R1542" i="19"/>
  <c r="S1541" i="19"/>
  <c r="R1541" i="19"/>
  <c r="S1540" i="19"/>
  <c r="R1540" i="19"/>
  <c r="S1539" i="19"/>
  <c r="R1539" i="19"/>
  <c r="S1538" i="19"/>
  <c r="R1538" i="19"/>
  <c r="S1537" i="19"/>
  <c r="R1537" i="19"/>
  <c r="S1536" i="19"/>
  <c r="R1536" i="19"/>
  <c r="S1535" i="19"/>
  <c r="R1535" i="19"/>
  <c r="S1534" i="19"/>
  <c r="R1534" i="19"/>
  <c r="S1533" i="19"/>
  <c r="R1533" i="19"/>
  <c r="S1532" i="19"/>
  <c r="R1532" i="19"/>
  <c r="S1531" i="19"/>
  <c r="R1531" i="19"/>
  <c r="S1530" i="19"/>
  <c r="R1530" i="19"/>
  <c r="S1529" i="19"/>
  <c r="R1529" i="19"/>
  <c r="S1528" i="19"/>
  <c r="R1528" i="19"/>
  <c r="I1528" i="19"/>
  <c r="H1528" i="19"/>
  <c r="G1528" i="19" s="1"/>
  <c r="S1527" i="19"/>
  <c r="R1527" i="19"/>
  <c r="S1526" i="19"/>
  <c r="R1526" i="19"/>
  <c r="S1525" i="19"/>
  <c r="R1525" i="19"/>
  <c r="S1524" i="19"/>
  <c r="R1524" i="19"/>
  <c r="I1524" i="19"/>
  <c r="G1524" i="19" s="1"/>
  <c r="H1524" i="19"/>
  <c r="S1523" i="19"/>
  <c r="R1523" i="19"/>
  <c r="S1522" i="19"/>
  <c r="R1522" i="19"/>
  <c r="S1521" i="19"/>
  <c r="R1521" i="19"/>
  <c r="S1520" i="19"/>
  <c r="R1520" i="19"/>
  <c r="N1520" i="19"/>
  <c r="S1519" i="19"/>
  <c r="R1519" i="19"/>
  <c r="S1518" i="19"/>
  <c r="R1518" i="19"/>
  <c r="S1517" i="19"/>
  <c r="R1517" i="19"/>
  <c r="S1516" i="19"/>
  <c r="R1516" i="19"/>
  <c r="S1515" i="19"/>
  <c r="R1515" i="19"/>
  <c r="S1514" i="19"/>
  <c r="R1514" i="19"/>
  <c r="S1513" i="19"/>
  <c r="R1513" i="19"/>
  <c r="S1512" i="19"/>
  <c r="R1512" i="19"/>
  <c r="S1511" i="19"/>
  <c r="R1511" i="19"/>
  <c r="S1510" i="19"/>
  <c r="R1510" i="19"/>
  <c r="S1509" i="19"/>
  <c r="R1509" i="19"/>
  <c r="S1508" i="19"/>
  <c r="R1508" i="19"/>
  <c r="S1507" i="19"/>
  <c r="R1507" i="19"/>
  <c r="S1506" i="19"/>
  <c r="R1506" i="19"/>
  <c r="S1505" i="19"/>
  <c r="R1505" i="19"/>
  <c r="N1505" i="19"/>
  <c r="S1504" i="19"/>
  <c r="R1504" i="19"/>
  <c r="S1503" i="19"/>
  <c r="R1503" i="19"/>
  <c r="S1502" i="19"/>
  <c r="R1502" i="19"/>
  <c r="S1501" i="19"/>
  <c r="R1501" i="19"/>
  <c r="S1500" i="19"/>
  <c r="R1500" i="19"/>
  <c r="D1500" i="19"/>
  <c r="I1500" i="19" s="1"/>
  <c r="G1500" i="19" s="1"/>
  <c r="S1499" i="19"/>
  <c r="R1499" i="19"/>
  <c r="I1499" i="19"/>
  <c r="H1499" i="19"/>
  <c r="G1499" i="19" s="1"/>
  <c r="S1498" i="19"/>
  <c r="M1498" i="19"/>
  <c r="L1498" i="19"/>
  <c r="S1497" i="19"/>
  <c r="M1497" i="19"/>
  <c r="L1497" i="19"/>
  <c r="S1496" i="19"/>
  <c r="M1496" i="19"/>
  <c r="L1496" i="19"/>
  <c r="S1495" i="19"/>
  <c r="R1495" i="19"/>
  <c r="I1495" i="19"/>
  <c r="H1495" i="19"/>
  <c r="G1495" i="19"/>
  <c r="S1494" i="19"/>
  <c r="M1494" i="19"/>
  <c r="L1494" i="19"/>
  <c r="S1493" i="19"/>
  <c r="M1493" i="19"/>
  <c r="L1493" i="19"/>
  <c r="S1492" i="19"/>
  <c r="M1492" i="19"/>
  <c r="L1492" i="19"/>
  <c r="S1491" i="19"/>
  <c r="N1491" i="19"/>
  <c r="M1491" i="19"/>
  <c r="L1491" i="19"/>
  <c r="S1490" i="19"/>
  <c r="M1490" i="19"/>
  <c r="L1490" i="19"/>
  <c r="S1489" i="19"/>
  <c r="M1489" i="19"/>
  <c r="L1489" i="19"/>
  <c r="S1488" i="19"/>
  <c r="M1488" i="19"/>
  <c r="L1488" i="19"/>
  <c r="S1487" i="19"/>
  <c r="M1487" i="19"/>
  <c r="L1487" i="19"/>
  <c r="S1486" i="19"/>
  <c r="M1486" i="19"/>
  <c r="L1486" i="19"/>
  <c r="S1485" i="19"/>
  <c r="M1485" i="19"/>
  <c r="L1485" i="19"/>
  <c r="S1484" i="19"/>
  <c r="M1484" i="19"/>
  <c r="L1484" i="19"/>
  <c r="S1483" i="19"/>
  <c r="M1483" i="19"/>
  <c r="L1483" i="19"/>
  <c r="S1482" i="19"/>
  <c r="M1482" i="19"/>
  <c r="L1482" i="19"/>
  <c r="S1481" i="19"/>
  <c r="M1481" i="19"/>
  <c r="L1481" i="19"/>
  <c r="S1480" i="19"/>
  <c r="M1480" i="19"/>
  <c r="L1480" i="19"/>
  <c r="S1479" i="19"/>
  <c r="M1479" i="19"/>
  <c r="L1479" i="19"/>
  <c r="S1478" i="19"/>
  <c r="R1478" i="19"/>
  <c r="I1478" i="19"/>
  <c r="H1478" i="19"/>
  <c r="G1478" i="19" s="1"/>
  <c r="S1477" i="19"/>
  <c r="M1477" i="19"/>
  <c r="L1477" i="19"/>
  <c r="S1476" i="19"/>
  <c r="M1476" i="19"/>
  <c r="L1476" i="19"/>
  <c r="S1475" i="19"/>
  <c r="M1475" i="19"/>
  <c r="L1475" i="19"/>
  <c r="S1474" i="19"/>
  <c r="R1474" i="19"/>
  <c r="I1474" i="19"/>
  <c r="H1474" i="19"/>
  <c r="G1474" i="19"/>
  <c r="S1473" i="19"/>
  <c r="N1473" i="19"/>
  <c r="M1473" i="19"/>
  <c r="L1473" i="19"/>
  <c r="S1472" i="19"/>
  <c r="M1472" i="19"/>
  <c r="L1472" i="19"/>
  <c r="S1471" i="19"/>
  <c r="N1471" i="19"/>
  <c r="M1471" i="19"/>
  <c r="L1471" i="19"/>
  <c r="S1470" i="19"/>
  <c r="M1470" i="19"/>
  <c r="L1470" i="19"/>
  <c r="S1469" i="19"/>
  <c r="M1469" i="19"/>
  <c r="L1469" i="19"/>
  <c r="S1468" i="19"/>
  <c r="M1468" i="19"/>
  <c r="L1468" i="19"/>
  <c r="S1467" i="19"/>
  <c r="M1467" i="19"/>
  <c r="L1467" i="19"/>
  <c r="S1466" i="19"/>
  <c r="M1466" i="19"/>
  <c r="L1466" i="19"/>
  <c r="S1465" i="19"/>
  <c r="M1465" i="19"/>
  <c r="L1465" i="19"/>
  <c r="S1464" i="19"/>
  <c r="M1464" i="19"/>
  <c r="L1464" i="19"/>
  <c r="S1463" i="19"/>
  <c r="M1463" i="19"/>
  <c r="L1463" i="19"/>
  <c r="S1462" i="19"/>
  <c r="M1462" i="19"/>
  <c r="L1462" i="19"/>
  <c r="S1461" i="19"/>
  <c r="M1461" i="19"/>
  <c r="L1461" i="19"/>
  <c r="S1460" i="19"/>
  <c r="M1460" i="19"/>
  <c r="L1460" i="19"/>
  <c r="S1459" i="19"/>
  <c r="M1459" i="19"/>
  <c r="L1459" i="19"/>
  <c r="S1458" i="19"/>
  <c r="M1458" i="19"/>
  <c r="L1458" i="19"/>
  <c r="S1457" i="19"/>
  <c r="M1457" i="19"/>
  <c r="L1457" i="19"/>
  <c r="S1456" i="19"/>
  <c r="N1456" i="19"/>
  <c r="M1456" i="19"/>
  <c r="L1456" i="19"/>
  <c r="S1455" i="19"/>
  <c r="M1455" i="19"/>
  <c r="L1455" i="19"/>
  <c r="S1454" i="19"/>
  <c r="R1454" i="19"/>
  <c r="S1453" i="19"/>
  <c r="R1453" i="19"/>
  <c r="I1453" i="19"/>
  <c r="G1453" i="19"/>
  <c r="D1453" i="19"/>
  <c r="C1453" i="19"/>
  <c r="H1453" i="19" s="1"/>
  <c r="S1452" i="19"/>
  <c r="R1452" i="19"/>
  <c r="I1452" i="19"/>
  <c r="H1452" i="19"/>
  <c r="S1451" i="19"/>
  <c r="R1451" i="19"/>
  <c r="S1450" i="19"/>
  <c r="S1449" i="19"/>
  <c r="S1448" i="19"/>
  <c r="R1448" i="19"/>
  <c r="S1447" i="19"/>
  <c r="R1447" i="19"/>
  <c r="I1447" i="19"/>
  <c r="H1447" i="19"/>
  <c r="G1447" i="19"/>
  <c r="S1446" i="19"/>
  <c r="R1446" i="19"/>
  <c r="S1445" i="19"/>
  <c r="R1445" i="19"/>
  <c r="S1444" i="19"/>
  <c r="R1444" i="19"/>
  <c r="S1443" i="19"/>
  <c r="R1443" i="19"/>
  <c r="S1442" i="19"/>
  <c r="R1442" i="19"/>
  <c r="S1441" i="19"/>
  <c r="R1441" i="19"/>
  <c r="S1440" i="19"/>
  <c r="R1440" i="19"/>
  <c r="S1439" i="19"/>
  <c r="R1439" i="19"/>
  <c r="S1438" i="19"/>
  <c r="R1438" i="19"/>
  <c r="S1437" i="19"/>
  <c r="R1437" i="19"/>
  <c r="S1436" i="19"/>
  <c r="R1436" i="19"/>
  <c r="S1435" i="19"/>
  <c r="R1435" i="19"/>
  <c r="S1434" i="19"/>
  <c r="R1434" i="19"/>
  <c r="S1433" i="19"/>
  <c r="R1433" i="19"/>
  <c r="S1432" i="19"/>
  <c r="R1432" i="19"/>
  <c r="S1431" i="19"/>
  <c r="R1431" i="19"/>
  <c r="S1430" i="19"/>
  <c r="R1430" i="19"/>
  <c r="I1430" i="19"/>
  <c r="H1430" i="19"/>
  <c r="G1430" i="19" s="1"/>
  <c r="S1429" i="19"/>
  <c r="R1429" i="19"/>
  <c r="S1428" i="19"/>
  <c r="S1427" i="19"/>
  <c r="N1427" i="19"/>
  <c r="S1426" i="19"/>
  <c r="R1426" i="19"/>
  <c r="S1425" i="19"/>
  <c r="R1425" i="19"/>
  <c r="I1425" i="19"/>
  <c r="H1425" i="19"/>
  <c r="S1424" i="19"/>
  <c r="R1424" i="19"/>
  <c r="S1423" i="19"/>
  <c r="R1423" i="19"/>
  <c r="S1422" i="19"/>
  <c r="R1422" i="19"/>
  <c r="S1421" i="19"/>
  <c r="R1421" i="19"/>
  <c r="S1420" i="19"/>
  <c r="R1420" i="19"/>
  <c r="S1419" i="19"/>
  <c r="R1419" i="19"/>
  <c r="S1418" i="19"/>
  <c r="R1418" i="19"/>
  <c r="S1417" i="19"/>
  <c r="R1417" i="19"/>
  <c r="S1416" i="19"/>
  <c r="R1416" i="19"/>
  <c r="S1415" i="19"/>
  <c r="R1415" i="19"/>
  <c r="S1414" i="19"/>
  <c r="R1414" i="19"/>
  <c r="N1414" i="19"/>
  <c r="S1413" i="19"/>
  <c r="R1413" i="19"/>
  <c r="S1412" i="19"/>
  <c r="R1412" i="19"/>
  <c r="S1411" i="19"/>
  <c r="R1411" i="19"/>
  <c r="S1410" i="19"/>
  <c r="R1410" i="19"/>
  <c r="S1409" i="19"/>
  <c r="R1409" i="19"/>
  <c r="N1409" i="19"/>
  <c r="S1408" i="19"/>
  <c r="R1408" i="19"/>
  <c r="S1407" i="19"/>
  <c r="R1407" i="19"/>
  <c r="S1406" i="19"/>
  <c r="R1406" i="19"/>
  <c r="C1406" i="19"/>
  <c r="H1406" i="19" s="1"/>
  <c r="S1405" i="19"/>
  <c r="R1405" i="19"/>
  <c r="S1404" i="19"/>
  <c r="R1404" i="19"/>
  <c r="S1403" i="19"/>
  <c r="R1403" i="19"/>
  <c r="N1403" i="19"/>
  <c r="I1403" i="19"/>
  <c r="G1403" i="19" s="1"/>
  <c r="D1403" i="19"/>
  <c r="S1402" i="19"/>
  <c r="R1402" i="19"/>
  <c r="I1402" i="19"/>
  <c r="H1402" i="19"/>
  <c r="G1402" i="19" s="1"/>
  <c r="S1401" i="19"/>
  <c r="R1401" i="19"/>
  <c r="S1400" i="19"/>
  <c r="S1399" i="19"/>
  <c r="R1399" i="19"/>
  <c r="S1398" i="19"/>
  <c r="R1398" i="19"/>
  <c r="I1398" i="19"/>
  <c r="H1398" i="19"/>
  <c r="G1398" i="19"/>
  <c r="S1397" i="19"/>
  <c r="R1397" i="19"/>
  <c r="S1396" i="19"/>
  <c r="R1396" i="19"/>
  <c r="S1395" i="19"/>
  <c r="R1395" i="19"/>
  <c r="S1394" i="19"/>
  <c r="R1394" i="19"/>
  <c r="S1393" i="19"/>
  <c r="R1393" i="19"/>
  <c r="N1393" i="19"/>
  <c r="S1392" i="19"/>
  <c r="R1392" i="19"/>
  <c r="S1391" i="19"/>
  <c r="R1391" i="19"/>
  <c r="S1390" i="19"/>
  <c r="R1390" i="19"/>
  <c r="S1389" i="19"/>
  <c r="R1389" i="19"/>
  <c r="S1388" i="19"/>
  <c r="R1388" i="19"/>
  <c r="S1387" i="19"/>
  <c r="R1387" i="19"/>
  <c r="S1386" i="19"/>
  <c r="R1386" i="19"/>
  <c r="S1385" i="19"/>
  <c r="R1385" i="19"/>
  <c r="S1384" i="19"/>
  <c r="R1384" i="19"/>
  <c r="S1383" i="19"/>
  <c r="R1383" i="19"/>
  <c r="S1382" i="19"/>
  <c r="R1382" i="19"/>
  <c r="S1381" i="19"/>
  <c r="R1381" i="19"/>
  <c r="I1381" i="19"/>
  <c r="G1381" i="19" s="1"/>
  <c r="H1381" i="19"/>
  <c r="S1380" i="19"/>
  <c r="R1380" i="19"/>
  <c r="S1379" i="19"/>
  <c r="N1379" i="19"/>
  <c r="S1378" i="19"/>
  <c r="R1378" i="19"/>
  <c r="S1377" i="19"/>
  <c r="R1377" i="19"/>
  <c r="I1377" i="19"/>
  <c r="H1377" i="19"/>
  <c r="G1377" i="19" s="1"/>
  <c r="S1376" i="19"/>
  <c r="R1376" i="19"/>
  <c r="S1375" i="19"/>
  <c r="R1375" i="19"/>
  <c r="S1374" i="19"/>
  <c r="R1374" i="19"/>
  <c r="S1373" i="19"/>
  <c r="R1373" i="19"/>
  <c r="S1372" i="19"/>
  <c r="R1372" i="19"/>
  <c r="S1371" i="19"/>
  <c r="R1371" i="19"/>
  <c r="S1370" i="19"/>
  <c r="R1370" i="19"/>
  <c r="S1369" i="19"/>
  <c r="R1369" i="19"/>
  <c r="S1368" i="19"/>
  <c r="R1368" i="19"/>
  <c r="N1368" i="19"/>
  <c r="S1367" i="19"/>
  <c r="R1367" i="19"/>
  <c r="N1367" i="19"/>
  <c r="S1366" i="19"/>
  <c r="R1366" i="19"/>
  <c r="N1366" i="19"/>
  <c r="S1365" i="19"/>
  <c r="R1365" i="19"/>
  <c r="S1364" i="19"/>
  <c r="R1364" i="19"/>
  <c r="S1363" i="19"/>
  <c r="R1363" i="19"/>
  <c r="S1362" i="19"/>
  <c r="R1362" i="19"/>
  <c r="S1361" i="19"/>
  <c r="R1361" i="19"/>
  <c r="S1360" i="19"/>
  <c r="R1360" i="19"/>
  <c r="S1359" i="19"/>
  <c r="R1359" i="19"/>
  <c r="N1359" i="19"/>
  <c r="S1358" i="19"/>
  <c r="R1358" i="19"/>
  <c r="S1357" i="19"/>
  <c r="R1357" i="19"/>
  <c r="S1356" i="19"/>
  <c r="R1356" i="19"/>
  <c r="S1355" i="19"/>
  <c r="R1355" i="19"/>
  <c r="S1354" i="19"/>
  <c r="R1354" i="19"/>
  <c r="S1353" i="19"/>
  <c r="R1353" i="19"/>
  <c r="D1353" i="19"/>
  <c r="I1353" i="19" s="1"/>
  <c r="G1353" i="19" s="1"/>
  <c r="S1352" i="19"/>
  <c r="R1352" i="19"/>
  <c r="I1352" i="19"/>
  <c r="H1352" i="19"/>
  <c r="S1351" i="19"/>
  <c r="M1351" i="19"/>
  <c r="L1351" i="19"/>
  <c r="S1350" i="19"/>
  <c r="M1350" i="19"/>
  <c r="L1350" i="19"/>
  <c r="S1349" i="19"/>
  <c r="M1349" i="19"/>
  <c r="L1349" i="19"/>
  <c r="S1348" i="19"/>
  <c r="R1348" i="19"/>
  <c r="I1348" i="19"/>
  <c r="G1348" i="19" s="1"/>
  <c r="H1348" i="19"/>
  <c r="S1347" i="19"/>
  <c r="M1347" i="19"/>
  <c r="L1347" i="19"/>
  <c r="S1346" i="19"/>
  <c r="R1346" i="19"/>
  <c r="M1346" i="19"/>
  <c r="L1346" i="19"/>
  <c r="G1346" i="19"/>
  <c r="S1345" i="19"/>
  <c r="M1345" i="19"/>
  <c r="L1345" i="19"/>
  <c r="S1344" i="19"/>
  <c r="M1344" i="19"/>
  <c r="L1344" i="19"/>
  <c r="S1343" i="19"/>
  <c r="M1343" i="19"/>
  <c r="L1343" i="19"/>
  <c r="S1342" i="19"/>
  <c r="M1342" i="19"/>
  <c r="L1342" i="19"/>
  <c r="S1341" i="19"/>
  <c r="M1341" i="19"/>
  <c r="L1341" i="19"/>
  <c r="S1340" i="19"/>
  <c r="M1340" i="19"/>
  <c r="L1340" i="19"/>
  <c r="S1339" i="19"/>
  <c r="N1339" i="19"/>
  <c r="M1339" i="19"/>
  <c r="L1339" i="19"/>
  <c r="S1338" i="19"/>
  <c r="M1338" i="19"/>
  <c r="L1338" i="19"/>
  <c r="S1337" i="19"/>
  <c r="M1337" i="19"/>
  <c r="L1337" i="19"/>
  <c r="S1336" i="19"/>
  <c r="M1336" i="19"/>
  <c r="L1336" i="19"/>
  <c r="S1335" i="19"/>
  <c r="M1335" i="19"/>
  <c r="L1335" i="19"/>
  <c r="S1334" i="19"/>
  <c r="M1334" i="19"/>
  <c r="L1334" i="19"/>
  <c r="S1333" i="19"/>
  <c r="M1333" i="19"/>
  <c r="L1333" i="19"/>
  <c r="S1332" i="19"/>
  <c r="M1332" i="19"/>
  <c r="L1332" i="19"/>
  <c r="S1331" i="19"/>
  <c r="R1331" i="19"/>
  <c r="I1331" i="19"/>
  <c r="H1331" i="19"/>
  <c r="G1331" i="19"/>
  <c r="S1330" i="19"/>
  <c r="M1330" i="19"/>
  <c r="L1330" i="19"/>
  <c r="S1329" i="19"/>
  <c r="M1329" i="19"/>
  <c r="L1329" i="19"/>
  <c r="S1328" i="19"/>
  <c r="M1328" i="19"/>
  <c r="L1328" i="19"/>
  <c r="S1327" i="19"/>
  <c r="R1327" i="19"/>
  <c r="I1327" i="19"/>
  <c r="H1327" i="19"/>
  <c r="G1327" i="19" s="1"/>
  <c r="S1326" i="19"/>
  <c r="M1326" i="19"/>
  <c r="L1326" i="19"/>
  <c r="S1325" i="19"/>
  <c r="N1325" i="19"/>
  <c r="M1325" i="19"/>
  <c r="L1325" i="19"/>
  <c r="S1324" i="19"/>
  <c r="R1324" i="19"/>
  <c r="M1324" i="19"/>
  <c r="L1324" i="19"/>
  <c r="G1324" i="19"/>
  <c r="S1323" i="19"/>
  <c r="M1323" i="19"/>
  <c r="L1323" i="19"/>
  <c r="S1322" i="19"/>
  <c r="M1322" i="19"/>
  <c r="L1322" i="19"/>
  <c r="S1321" i="19"/>
  <c r="M1321" i="19"/>
  <c r="L1321" i="19"/>
  <c r="S1320" i="19"/>
  <c r="M1320" i="19"/>
  <c r="L1320" i="19"/>
  <c r="S1319" i="19"/>
  <c r="M1319" i="19"/>
  <c r="L1319" i="19"/>
  <c r="S1318" i="19"/>
  <c r="N1318" i="19"/>
  <c r="M1318" i="19"/>
  <c r="L1318" i="19"/>
  <c r="S1317" i="19"/>
  <c r="M1317" i="19"/>
  <c r="L1317" i="19"/>
  <c r="S1316" i="19"/>
  <c r="M1316" i="19"/>
  <c r="L1316" i="19"/>
  <c r="S1315" i="19"/>
  <c r="M1315" i="19"/>
  <c r="L1315" i="19"/>
  <c r="S1314" i="19"/>
  <c r="M1314" i="19"/>
  <c r="L1314" i="19"/>
  <c r="S1313" i="19"/>
  <c r="M1313" i="19"/>
  <c r="L1313" i="19"/>
  <c r="S1312" i="19"/>
  <c r="M1312" i="19"/>
  <c r="L1312" i="19"/>
  <c r="S1311" i="19"/>
  <c r="M1311" i="19"/>
  <c r="L1311" i="19"/>
  <c r="S1310" i="19"/>
  <c r="M1310" i="19"/>
  <c r="L1310" i="19"/>
  <c r="S1309" i="19"/>
  <c r="M1309" i="19"/>
  <c r="L1309" i="19"/>
  <c r="S1308" i="19"/>
  <c r="M1308" i="19"/>
  <c r="L1308" i="19"/>
  <c r="S1307" i="19"/>
  <c r="R1307" i="19"/>
  <c r="S1306" i="19"/>
  <c r="R1306" i="19"/>
  <c r="H1306" i="19"/>
  <c r="D1306" i="19"/>
  <c r="I1306" i="19" s="1"/>
  <c r="C1306" i="19"/>
  <c r="S1305" i="19"/>
  <c r="R1305" i="19"/>
  <c r="I1305" i="19"/>
  <c r="H1305" i="19"/>
  <c r="S1304" i="19"/>
  <c r="R1304" i="19"/>
  <c r="S1303" i="19"/>
  <c r="S1302" i="19"/>
  <c r="S1301" i="19"/>
  <c r="R1301" i="19"/>
  <c r="S1300" i="19"/>
  <c r="R1300" i="19"/>
  <c r="I1300" i="19"/>
  <c r="H1300" i="19"/>
  <c r="S1299" i="19"/>
  <c r="R1299" i="19"/>
  <c r="N1299" i="19"/>
  <c r="S1298" i="19"/>
  <c r="R1298" i="19"/>
  <c r="S1297" i="19"/>
  <c r="R1297" i="19"/>
  <c r="S1296" i="19"/>
  <c r="R1296" i="19"/>
  <c r="S1295" i="19"/>
  <c r="R1295" i="19"/>
  <c r="S1294" i="19"/>
  <c r="R1294" i="19"/>
  <c r="N1294" i="19"/>
  <c r="S1293" i="19"/>
  <c r="R1293" i="19"/>
  <c r="S1292" i="19"/>
  <c r="R1292" i="19"/>
  <c r="S1291" i="19"/>
  <c r="R1291" i="19"/>
  <c r="S1290" i="19"/>
  <c r="R1290" i="19"/>
  <c r="S1289" i="19"/>
  <c r="R1289" i="19"/>
  <c r="S1288" i="19"/>
  <c r="R1288" i="19"/>
  <c r="N1288" i="19"/>
  <c r="S1287" i="19"/>
  <c r="R1287" i="19"/>
  <c r="S1286" i="19"/>
  <c r="R1286" i="19"/>
  <c r="N1286" i="19"/>
  <c r="S1285" i="19"/>
  <c r="R1285" i="19"/>
  <c r="S1284" i="19"/>
  <c r="R1284" i="19"/>
  <c r="S1283" i="19"/>
  <c r="R1283" i="19"/>
  <c r="I1283" i="19"/>
  <c r="H1283" i="19"/>
  <c r="G1283" i="19" s="1"/>
  <c r="S1282" i="19"/>
  <c r="R1282" i="19"/>
  <c r="S1281" i="19"/>
  <c r="R1281" i="19"/>
  <c r="G1281" i="19"/>
  <c r="S1280" i="19"/>
  <c r="R1280" i="19"/>
  <c r="N1280" i="19"/>
  <c r="S1279" i="19"/>
  <c r="R1279" i="19"/>
  <c r="S1278" i="19"/>
  <c r="R1278" i="19"/>
  <c r="I1278" i="19"/>
  <c r="H1278" i="19"/>
  <c r="S1277" i="19"/>
  <c r="R1277" i="19"/>
  <c r="N1277" i="19"/>
  <c r="S1276" i="19"/>
  <c r="R1276" i="19"/>
  <c r="S1275" i="19"/>
  <c r="R1275" i="19"/>
  <c r="S1274" i="19"/>
  <c r="R1274" i="19"/>
  <c r="S1273" i="19"/>
  <c r="R1273" i="19"/>
  <c r="S1272" i="19"/>
  <c r="R1272" i="19"/>
  <c r="S1271" i="19"/>
  <c r="R1271" i="19"/>
  <c r="S1270" i="19"/>
  <c r="R1270" i="19"/>
  <c r="S1269" i="19"/>
  <c r="R1269" i="19"/>
  <c r="N1269" i="19"/>
  <c r="S1268" i="19"/>
  <c r="R1268" i="19"/>
  <c r="S1267" i="19"/>
  <c r="R1267" i="19"/>
  <c r="S1266" i="19"/>
  <c r="R1266" i="19"/>
  <c r="S1265" i="19"/>
  <c r="R1265" i="19"/>
  <c r="S1264" i="19"/>
  <c r="R1264" i="19"/>
  <c r="S1263" i="19"/>
  <c r="R1263" i="19"/>
  <c r="S1262" i="19"/>
  <c r="R1262" i="19"/>
  <c r="S1261" i="19"/>
  <c r="R1261" i="19"/>
  <c r="S1260" i="19"/>
  <c r="R1260" i="19"/>
  <c r="N1260" i="19"/>
  <c r="S1259" i="19"/>
  <c r="R1259" i="19"/>
  <c r="S1258" i="19"/>
  <c r="R1258" i="19"/>
  <c r="S1257" i="19"/>
  <c r="R1257" i="19"/>
  <c r="S1256" i="19"/>
  <c r="R1256" i="19"/>
  <c r="D1256" i="19"/>
  <c r="I1256" i="19" s="1"/>
  <c r="G1256" i="19" s="1"/>
  <c r="S1255" i="19"/>
  <c r="R1255" i="19"/>
  <c r="I1255" i="19"/>
  <c r="H1255" i="19"/>
  <c r="S1254" i="19"/>
  <c r="R1254" i="19"/>
  <c r="S1253" i="19"/>
  <c r="N1253" i="19"/>
  <c r="S1252" i="19"/>
  <c r="R1252" i="19"/>
  <c r="S1251" i="19"/>
  <c r="R1251" i="19"/>
  <c r="I1251" i="19"/>
  <c r="H1251" i="19"/>
  <c r="S1250" i="19"/>
  <c r="R1250" i="19"/>
  <c r="S1249" i="19"/>
  <c r="R1249" i="19"/>
  <c r="N1249" i="19"/>
  <c r="S1248" i="19"/>
  <c r="R1248" i="19"/>
  <c r="S1247" i="19"/>
  <c r="R1247" i="19"/>
  <c r="S1246" i="19"/>
  <c r="R1246" i="19"/>
  <c r="S1245" i="19"/>
  <c r="R1245" i="19"/>
  <c r="S1244" i="19"/>
  <c r="R1244" i="19"/>
  <c r="C1244" i="19"/>
  <c r="H1244" i="19" s="1"/>
  <c r="S1243" i="19"/>
  <c r="R1243" i="19"/>
  <c r="S1242" i="19"/>
  <c r="R1242" i="19"/>
  <c r="S1241" i="19"/>
  <c r="R1241" i="19"/>
  <c r="S1240" i="19"/>
  <c r="R1240" i="19"/>
  <c r="S1239" i="19"/>
  <c r="R1239" i="19"/>
  <c r="S1238" i="19"/>
  <c r="R1238" i="19"/>
  <c r="S1237" i="19"/>
  <c r="R1237" i="19"/>
  <c r="N1237" i="19"/>
  <c r="S1236" i="19"/>
  <c r="R1236" i="19"/>
  <c r="S1235" i="19"/>
  <c r="R1235" i="19"/>
  <c r="S1234" i="19"/>
  <c r="R1234" i="19"/>
  <c r="I1234" i="19"/>
  <c r="H1234" i="19"/>
  <c r="G1234" i="19" s="1"/>
  <c r="S1233" i="19"/>
  <c r="R1233" i="19"/>
  <c r="S1232" i="19"/>
  <c r="R1232" i="19"/>
  <c r="S1231" i="19"/>
  <c r="R1231" i="19"/>
  <c r="S1230" i="19"/>
  <c r="R1230" i="19"/>
  <c r="I1230" i="19"/>
  <c r="G1230" i="19" s="1"/>
  <c r="H1230" i="19"/>
  <c r="S1229" i="19"/>
  <c r="R1229" i="19"/>
  <c r="S1228" i="19"/>
  <c r="R1228" i="19"/>
  <c r="S1227" i="19"/>
  <c r="R1227" i="19"/>
  <c r="S1226" i="19"/>
  <c r="R1226" i="19"/>
  <c r="S1225" i="19"/>
  <c r="R1225" i="19"/>
  <c r="N1225" i="19"/>
  <c r="S1224" i="19"/>
  <c r="R1224" i="19"/>
  <c r="S1223" i="19"/>
  <c r="R1223" i="19"/>
  <c r="S1222" i="19"/>
  <c r="R1222" i="19"/>
  <c r="S1221" i="19"/>
  <c r="R1221" i="19"/>
  <c r="C1221" i="19"/>
  <c r="H1221" i="19" s="1"/>
  <c r="S1220" i="19"/>
  <c r="R1220" i="19"/>
  <c r="S1219" i="19"/>
  <c r="R1219" i="19"/>
  <c r="S1218" i="19"/>
  <c r="R1218" i="19"/>
  <c r="S1217" i="19"/>
  <c r="R1217" i="19"/>
  <c r="S1216" i="19"/>
  <c r="R1216" i="19"/>
  <c r="S1215" i="19"/>
  <c r="R1215" i="19"/>
  <c r="S1214" i="19"/>
  <c r="R1214" i="19"/>
  <c r="S1213" i="19"/>
  <c r="R1213" i="19"/>
  <c r="S1212" i="19"/>
  <c r="R1212" i="19"/>
  <c r="N1212" i="19"/>
  <c r="S1211" i="19"/>
  <c r="R1211" i="19"/>
  <c r="S1210" i="19"/>
  <c r="R1210" i="19"/>
  <c r="S1209" i="19"/>
  <c r="R1209" i="19"/>
  <c r="N1209" i="19"/>
  <c r="S1208" i="19"/>
  <c r="R1208" i="19"/>
  <c r="S1207" i="19"/>
  <c r="R1207" i="19"/>
  <c r="S1206" i="19"/>
  <c r="R1206" i="19"/>
  <c r="G1206" i="19"/>
  <c r="D1206" i="19"/>
  <c r="I1206" i="19" s="1"/>
  <c r="S1205" i="19"/>
  <c r="R1205" i="19"/>
  <c r="I1205" i="19"/>
  <c r="G1205" i="19" s="1"/>
  <c r="H1205" i="19"/>
  <c r="S1204" i="19"/>
  <c r="M1204" i="19"/>
  <c r="L1204" i="19"/>
  <c r="S1203" i="19"/>
  <c r="M1203" i="19"/>
  <c r="L1203" i="19"/>
  <c r="S1202" i="19"/>
  <c r="M1202" i="19"/>
  <c r="L1202" i="19"/>
  <c r="S1201" i="19"/>
  <c r="R1201" i="19"/>
  <c r="I1201" i="19"/>
  <c r="G1201" i="19" s="1"/>
  <c r="H1201" i="19"/>
  <c r="S1200" i="19"/>
  <c r="M1200" i="19"/>
  <c r="L1200" i="19"/>
  <c r="S1199" i="19"/>
  <c r="R1199" i="19"/>
  <c r="M1199" i="19"/>
  <c r="L1199" i="19"/>
  <c r="G1199" i="19"/>
  <c r="S1198" i="19"/>
  <c r="M1198" i="19"/>
  <c r="L1198" i="19"/>
  <c r="S1197" i="19"/>
  <c r="M1197" i="19"/>
  <c r="L1197" i="19"/>
  <c r="S1196" i="19"/>
  <c r="M1196" i="19"/>
  <c r="L1196" i="19"/>
  <c r="S1195" i="19"/>
  <c r="M1195" i="19"/>
  <c r="L1195" i="19"/>
  <c r="S1194" i="19"/>
  <c r="M1194" i="19"/>
  <c r="L1194" i="19"/>
  <c r="S1193" i="19"/>
  <c r="M1193" i="19"/>
  <c r="L1193" i="19"/>
  <c r="S1192" i="19"/>
  <c r="M1192" i="19"/>
  <c r="L1192" i="19"/>
  <c r="S1191" i="19"/>
  <c r="M1191" i="19"/>
  <c r="L1191" i="19"/>
  <c r="S1190" i="19"/>
  <c r="M1190" i="19"/>
  <c r="L1190" i="19"/>
  <c r="S1189" i="19"/>
  <c r="M1189" i="19"/>
  <c r="L1189" i="19"/>
  <c r="S1188" i="19"/>
  <c r="M1188" i="19"/>
  <c r="L1188" i="19"/>
  <c r="S1187" i="19"/>
  <c r="M1187" i="19"/>
  <c r="L1187" i="19"/>
  <c r="S1186" i="19"/>
  <c r="M1186" i="19"/>
  <c r="L1186" i="19"/>
  <c r="S1185" i="19"/>
  <c r="M1185" i="19"/>
  <c r="L1185" i="19"/>
  <c r="S1184" i="19"/>
  <c r="R1184" i="19"/>
  <c r="I1184" i="19"/>
  <c r="H1184" i="19"/>
  <c r="S1183" i="19"/>
  <c r="M1183" i="19"/>
  <c r="L1183" i="19"/>
  <c r="S1182" i="19"/>
  <c r="M1182" i="19"/>
  <c r="L1182" i="19"/>
  <c r="S1181" i="19"/>
  <c r="N1181" i="19"/>
  <c r="M1181" i="19"/>
  <c r="L1181" i="19"/>
  <c r="S1180" i="19"/>
  <c r="R1180" i="19"/>
  <c r="I1180" i="19"/>
  <c r="H1180" i="19"/>
  <c r="G1180" i="19" s="1"/>
  <c r="S1179" i="19"/>
  <c r="M1179" i="19"/>
  <c r="L1179" i="19"/>
  <c r="S1178" i="19"/>
  <c r="M1178" i="19"/>
  <c r="L1178" i="19"/>
  <c r="S1177" i="19"/>
  <c r="R1177" i="19"/>
  <c r="M1177" i="19"/>
  <c r="L1177" i="19"/>
  <c r="G1177" i="19"/>
  <c r="S1176" i="19"/>
  <c r="M1176" i="19"/>
  <c r="L1176" i="19"/>
  <c r="S1175" i="19"/>
  <c r="M1175" i="19"/>
  <c r="L1175" i="19"/>
  <c r="S1174" i="19"/>
  <c r="M1174" i="19"/>
  <c r="L1174" i="19"/>
  <c r="S1173" i="19"/>
  <c r="M1173" i="19"/>
  <c r="L1173" i="19"/>
  <c r="C1173" i="19"/>
  <c r="H1173" i="19" s="1"/>
  <c r="S1172" i="19"/>
  <c r="M1172" i="19"/>
  <c r="L1172" i="19"/>
  <c r="S1171" i="19"/>
  <c r="N1171" i="19"/>
  <c r="M1171" i="19"/>
  <c r="L1171" i="19"/>
  <c r="S1170" i="19"/>
  <c r="M1170" i="19"/>
  <c r="L1170" i="19"/>
  <c r="S1169" i="19"/>
  <c r="M1169" i="19"/>
  <c r="L1169" i="19"/>
  <c r="S1168" i="19"/>
  <c r="M1168" i="19"/>
  <c r="L1168" i="19"/>
  <c r="S1167" i="19"/>
  <c r="N1167" i="19"/>
  <c r="M1167" i="19"/>
  <c r="L1167" i="19"/>
  <c r="S1166" i="19"/>
  <c r="N1166" i="19"/>
  <c r="M1166" i="19"/>
  <c r="L1166" i="19"/>
  <c r="S1165" i="19"/>
  <c r="M1165" i="19"/>
  <c r="L1165" i="19"/>
  <c r="S1164" i="19"/>
  <c r="M1164" i="19"/>
  <c r="L1164" i="19"/>
  <c r="S1163" i="19"/>
  <c r="M1163" i="19"/>
  <c r="L1163" i="19"/>
  <c r="S1162" i="19"/>
  <c r="N1162" i="19"/>
  <c r="M1162" i="19"/>
  <c r="L1162" i="19"/>
  <c r="S1161" i="19"/>
  <c r="M1161" i="19"/>
  <c r="L1161" i="19"/>
  <c r="S1160" i="19"/>
  <c r="R1160" i="19"/>
  <c r="N1160" i="19"/>
  <c r="S1159" i="19"/>
  <c r="R1159" i="19"/>
  <c r="I1159" i="19"/>
  <c r="D1159" i="19"/>
  <c r="C1159" i="19"/>
  <c r="H1159" i="19" s="1"/>
  <c r="G1159" i="19" s="1"/>
  <c r="S1158" i="19"/>
  <c r="R1158" i="19"/>
  <c r="I1158" i="19"/>
  <c r="H1158" i="19"/>
  <c r="S1157" i="19"/>
  <c r="R1157" i="19"/>
  <c r="S1156" i="19"/>
  <c r="S1155" i="19"/>
  <c r="N1155" i="19"/>
  <c r="S1154" i="19"/>
  <c r="R1154" i="19"/>
  <c r="S1153" i="19"/>
  <c r="R1153" i="19"/>
  <c r="I1153" i="19"/>
  <c r="G1153" i="19" s="1"/>
  <c r="H1153" i="19"/>
  <c r="S1152" i="19"/>
  <c r="R1152" i="19"/>
  <c r="S1151" i="19"/>
  <c r="R1151" i="19"/>
  <c r="S1150" i="19"/>
  <c r="R1150" i="19"/>
  <c r="S1149" i="19"/>
  <c r="R1149" i="19"/>
  <c r="S1148" i="19"/>
  <c r="R1148" i="19"/>
  <c r="S1147" i="19"/>
  <c r="R1147" i="19"/>
  <c r="S1146" i="19"/>
  <c r="R1146" i="19"/>
  <c r="S1145" i="19"/>
  <c r="R1145" i="19"/>
  <c r="S1144" i="19"/>
  <c r="R1144" i="19"/>
  <c r="S1143" i="19"/>
  <c r="R1143" i="19"/>
  <c r="N1143" i="19"/>
  <c r="S1142" i="19"/>
  <c r="R1142" i="19"/>
  <c r="S1141" i="19"/>
  <c r="R1141" i="19"/>
  <c r="S1140" i="19"/>
  <c r="R1140" i="19"/>
  <c r="S1139" i="19"/>
  <c r="R1139" i="19"/>
  <c r="S1138" i="19"/>
  <c r="R1138" i="19"/>
  <c r="N1138" i="19"/>
  <c r="S1137" i="19"/>
  <c r="R1137" i="19"/>
  <c r="S1136" i="19"/>
  <c r="R1136" i="19"/>
  <c r="I1136" i="19"/>
  <c r="H1136" i="19"/>
  <c r="G1136" i="19"/>
  <c r="S1135" i="19"/>
  <c r="R1135" i="19"/>
  <c r="N1135" i="19"/>
  <c r="S1134" i="19"/>
  <c r="S1133" i="19"/>
  <c r="S1132" i="19"/>
  <c r="R1132" i="19"/>
  <c r="I1132" i="19"/>
  <c r="S1131" i="19"/>
  <c r="R1131" i="19"/>
  <c r="I1131" i="19"/>
  <c r="H1131" i="19"/>
  <c r="G1131" i="19" s="1"/>
  <c r="S1130" i="19"/>
  <c r="R1130" i="19"/>
  <c r="S1129" i="19"/>
  <c r="R1129" i="19"/>
  <c r="S1128" i="19"/>
  <c r="R1128" i="19"/>
  <c r="S1127" i="19"/>
  <c r="R1127" i="19"/>
  <c r="S1126" i="19"/>
  <c r="R1126" i="19"/>
  <c r="S1125" i="19"/>
  <c r="R1125" i="19"/>
  <c r="S1124" i="19"/>
  <c r="R1124" i="19"/>
  <c r="S1123" i="19"/>
  <c r="R1123" i="19"/>
  <c r="S1122" i="19"/>
  <c r="R1122" i="19"/>
  <c r="S1121" i="19"/>
  <c r="R1121" i="19"/>
  <c r="S1120" i="19"/>
  <c r="R1120" i="19"/>
  <c r="S1119" i="19"/>
  <c r="R1119" i="19"/>
  <c r="S1118" i="19"/>
  <c r="R1118" i="19"/>
  <c r="S1117" i="19"/>
  <c r="R1117" i="19"/>
  <c r="N1117" i="19"/>
  <c r="S1116" i="19"/>
  <c r="R1116" i="19"/>
  <c r="S1115" i="19"/>
  <c r="R1115" i="19"/>
  <c r="S1114" i="19"/>
  <c r="R1114" i="19"/>
  <c r="S1113" i="19"/>
  <c r="R1113" i="19"/>
  <c r="S1112" i="19"/>
  <c r="R1112" i="19"/>
  <c r="S1111" i="19"/>
  <c r="R1111" i="19"/>
  <c r="S1110" i="19"/>
  <c r="R1110" i="19"/>
  <c r="S1109" i="19"/>
  <c r="R1109" i="19"/>
  <c r="I1109" i="19"/>
  <c r="G1109" i="19" s="1"/>
  <c r="D1109" i="19"/>
  <c r="S1108" i="19"/>
  <c r="R1108" i="19"/>
  <c r="I1108" i="19"/>
  <c r="G1108" i="19" s="1"/>
  <c r="H1108" i="19"/>
  <c r="S1107" i="19"/>
  <c r="R1107" i="19"/>
  <c r="S1106" i="19"/>
  <c r="S1105" i="19"/>
  <c r="R1105" i="19"/>
  <c r="S1104" i="19"/>
  <c r="R1104" i="19"/>
  <c r="I1104" i="19"/>
  <c r="H1104" i="19"/>
  <c r="G1104" i="19"/>
  <c r="S1103" i="19"/>
  <c r="R1103" i="19"/>
  <c r="S1102" i="19"/>
  <c r="R1102" i="19"/>
  <c r="S1101" i="19"/>
  <c r="R1101" i="19"/>
  <c r="S1100" i="19"/>
  <c r="R1100" i="19"/>
  <c r="S1099" i="19"/>
  <c r="R1099" i="19"/>
  <c r="S1098" i="19"/>
  <c r="R1098" i="19"/>
  <c r="N1098" i="19"/>
  <c r="S1097" i="19"/>
  <c r="R1097" i="19"/>
  <c r="S1096" i="19"/>
  <c r="R1096" i="19"/>
  <c r="S1095" i="19"/>
  <c r="R1095" i="19"/>
  <c r="S1094" i="19"/>
  <c r="R1094" i="19"/>
  <c r="S1093" i="19"/>
  <c r="R1093" i="19"/>
  <c r="S1092" i="19"/>
  <c r="R1092" i="19"/>
  <c r="S1091" i="19"/>
  <c r="R1091" i="19"/>
  <c r="S1090" i="19"/>
  <c r="R1090" i="19"/>
  <c r="N1090" i="19"/>
  <c r="S1089" i="19"/>
  <c r="R1089" i="19"/>
  <c r="N1089" i="19"/>
  <c r="S1088" i="19"/>
  <c r="R1088" i="19"/>
  <c r="S1087" i="19"/>
  <c r="R1087" i="19"/>
  <c r="I1087" i="19"/>
  <c r="H1087" i="19"/>
  <c r="G1087" i="19" s="1"/>
  <c r="S1086" i="19"/>
  <c r="R1086" i="19"/>
  <c r="S1085" i="19"/>
  <c r="S1084" i="19"/>
  <c r="R1084" i="19"/>
  <c r="N1084" i="19"/>
  <c r="S1083" i="19"/>
  <c r="R1083" i="19"/>
  <c r="I1083" i="19"/>
  <c r="H1083" i="19"/>
  <c r="G1083" i="19" s="1"/>
  <c r="S1082" i="19"/>
  <c r="R1082" i="19"/>
  <c r="S1081" i="19"/>
  <c r="R1081" i="19"/>
  <c r="S1080" i="19"/>
  <c r="R1080" i="19"/>
  <c r="S1079" i="19"/>
  <c r="R1079" i="19"/>
  <c r="S1078" i="19"/>
  <c r="R1078" i="19"/>
  <c r="S1077" i="19"/>
  <c r="R1077" i="19"/>
  <c r="S1076" i="19"/>
  <c r="R1076" i="19"/>
  <c r="N1076" i="19"/>
  <c r="S1075" i="19"/>
  <c r="R1075" i="19"/>
  <c r="S1074" i="19"/>
  <c r="R1074" i="19"/>
  <c r="S1073" i="19"/>
  <c r="R1073" i="19"/>
  <c r="S1072" i="19"/>
  <c r="R1072" i="19"/>
  <c r="S1071" i="19"/>
  <c r="R1071" i="19"/>
  <c r="S1070" i="19"/>
  <c r="R1070" i="19"/>
  <c r="S1069" i="19"/>
  <c r="R1069" i="19"/>
  <c r="N1069" i="19"/>
  <c r="S1068" i="19"/>
  <c r="R1068" i="19"/>
  <c r="S1067" i="19"/>
  <c r="R1067" i="19"/>
  <c r="S1066" i="19"/>
  <c r="R1066" i="19"/>
  <c r="S1065" i="19"/>
  <c r="R1065" i="19"/>
  <c r="S1064" i="19"/>
  <c r="R1064" i="19"/>
  <c r="S1063" i="19"/>
  <c r="R1063" i="19"/>
  <c r="S1062" i="19"/>
  <c r="R1062" i="19"/>
  <c r="S1061" i="19"/>
  <c r="R1061" i="19"/>
  <c r="S1060" i="19"/>
  <c r="R1060" i="19"/>
  <c r="S1059" i="19"/>
  <c r="R1059" i="19"/>
  <c r="D1059" i="19"/>
  <c r="I1059" i="19" s="1"/>
  <c r="G1059" i="19" s="1"/>
  <c r="S1058" i="19"/>
  <c r="R1058" i="19"/>
  <c r="I1058" i="19"/>
  <c r="H1058" i="19"/>
  <c r="G1058" i="19"/>
  <c r="S1057" i="19"/>
  <c r="N1057" i="19"/>
  <c r="M1057" i="19"/>
  <c r="L1057" i="19"/>
  <c r="S1056" i="19"/>
  <c r="M1056" i="19"/>
  <c r="L1056" i="19"/>
  <c r="S1055" i="19"/>
  <c r="M1055" i="19"/>
  <c r="L1055" i="19"/>
  <c r="S1054" i="19"/>
  <c r="R1054" i="19"/>
  <c r="I1054" i="19"/>
  <c r="H1054" i="19"/>
  <c r="G1054" i="19" s="1"/>
  <c r="S1053" i="19"/>
  <c r="M1053" i="19"/>
  <c r="L1053" i="19"/>
  <c r="S1052" i="19"/>
  <c r="R1052" i="19"/>
  <c r="M1052" i="19"/>
  <c r="L1052" i="19"/>
  <c r="G1052" i="19"/>
  <c r="S1051" i="19"/>
  <c r="M1051" i="19"/>
  <c r="L1051" i="19"/>
  <c r="S1050" i="19"/>
  <c r="M1050" i="19"/>
  <c r="L1050" i="19"/>
  <c r="S1049" i="19"/>
  <c r="M1049" i="19"/>
  <c r="L1049" i="19"/>
  <c r="S1048" i="19"/>
  <c r="M1048" i="19"/>
  <c r="L1048" i="19"/>
  <c r="S1047" i="19"/>
  <c r="M1047" i="19"/>
  <c r="L1047" i="19"/>
  <c r="S1046" i="19"/>
  <c r="M1046" i="19"/>
  <c r="L1046" i="19"/>
  <c r="S1045" i="19"/>
  <c r="M1045" i="19"/>
  <c r="L1045" i="19"/>
  <c r="S1044" i="19"/>
  <c r="M1044" i="19"/>
  <c r="L1044" i="19"/>
  <c r="S1043" i="19"/>
  <c r="M1043" i="19"/>
  <c r="L1043" i="19"/>
  <c r="S1042" i="19"/>
  <c r="N1042" i="19"/>
  <c r="M1042" i="19"/>
  <c r="L1042" i="19"/>
  <c r="S1041" i="19"/>
  <c r="M1041" i="19"/>
  <c r="L1041" i="19"/>
  <c r="S1040" i="19"/>
  <c r="M1040" i="19"/>
  <c r="L1040" i="19"/>
  <c r="S1039" i="19"/>
  <c r="M1039" i="19"/>
  <c r="L1039" i="19"/>
  <c r="S1038" i="19"/>
  <c r="N1038" i="19"/>
  <c r="M1038" i="19"/>
  <c r="L1038" i="19"/>
  <c r="S1037" i="19"/>
  <c r="R1037" i="19"/>
  <c r="I1037" i="19"/>
  <c r="H1037" i="19"/>
  <c r="G1037" i="19" s="1"/>
  <c r="S1036" i="19"/>
  <c r="N1036" i="19"/>
  <c r="M1036" i="19"/>
  <c r="L1036" i="19"/>
  <c r="D1036" i="19"/>
  <c r="I1036" i="19" s="1"/>
  <c r="S1035" i="19"/>
  <c r="M1035" i="19"/>
  <c r="L1035" i="19"/>
  <c r="S1034" i="19"/>
  <c r="M1034" i="19"/>
  <c r="L1034" i="19"/>
  <c r="S1033" i="19"/>
  <c r="R1033" i="19"/>
  <c r="I1033" i="19"/>
  <c r="H1033" i="19"/>
  <c r="G1033" i="19" s="1"/>
  <c r="S1032" i="19"/>
  <c r="M1032" i="19"/>
  <c r="L1032" i="19"/>
  <c r="S1031" i="19"/>
  <c r="M1031" i="19"/>
  <c r="L1031" i="19"/>
  <c r="S1030" i="19"/>
  <c r="R1030" i="19"/>
  <c r="M1030" i="19"/>
  <c r="L1030" i="19"/>
  <c r="G1030" i="19"/>
  <c r="S1029" i="19"/>
  <c r="M1029" i="19"/>
  <c r="L1029" i="19"/>
  <c r="S1028" i="19"/>
  <c r="M1028" i="19"/>
  <c r="L1028" i="19"/>
  <c r="S1027" i="19"/>
  <c r="M1027" i="19"/>
  <c r="L1027" i="19"/>
  <c r="S1026" i="19"/>
  <c r="M1026" i="19"/>
  <c r="L1026" i="19"/>
  <c r="S1025" i="19"/>
  <c r="M1025" i="19"/>
  <c r="L1025" i="19"/>
  <c r="S1024" i="19"/>
  <c r="M1024" i="19"/>
  <c r="L1024" i="19"/>
  <c r="S1023" i="19"/>
  <c r="M1023" i="19"/>
  <c r="L1023" i="19"/>
  <c r="S1022" i="19"/>
  <c r="M1022" i="19"/>
  <c r="L1022" i="19"/>
  <c r="S1021" i="19"/>
  <c r="M1021" i="19"/>
  <c r="L1021" i="19"/>
  <c r="S1020" i="19"/>
  <c r="M1020" i="19"/>
  <c r="L1020" i="19"/>
  <c r="S1019" i="19"/>
  <c r="M1019" i="19"/>
  <c r="L1019" i="19"/>
  <c r="S1018" i="19"/>
  <c r="M1018" i="19"/>
  <c r="L1018" i="19"/>
  <c r="S1017" i="19"/>
  <c r="M1017" i="19"/>
  <c r="L1017" i="19"/>
  <c r="S1016" i="19"/>
  <c r="M1016" i="19"/>
  <c r="L1016" i="19"/>
  <c r="S1015" i="19"/>
  <c r="M1015" i="19"/>
  <c r="L1015" i="19"/>
  <c r="S1014" i="19"/>
  <c r="M1014" i="19"/>
  <c r="L1014" i="19"/>
  <c r="S1013" i="19"/>
  <c r="R1013" i="19"/>
  <c r="S1012" i="19"/>
  <c r="R1012" i="19"/>
  <c r="I1012" i="19"/>
  <c r="H1012" i="19"/>
  <c r="G1012" i="19" s="1"/>
  <c r="D1012" i="19"/>
  <c r="C1012" i="19"/>
  <c r="S1011" i="19"/>
  <c r="R1011" i="19"/>
  <c r="I1011" i="19"/>
  <c r="H1011" i="19"/>
  <c r="S1010" i="19"/>
  <c r="R1010" i="19"/>
  <c r="S1009" i="19"/>
  <c r="S1008" i="19"/>
  <c r="S1007" i="19"/>
  <c r="R1007" i="19"/>
  <c r="S1006" i="19"/>
  <c r="R1006" i="19"/>
  <c r="I1006" i="19"/>
  <c r="H1006" i="19"/>
  <c r="G1006" i="19" s="1"/>
  <c r="S1005" i="19"/>
  <c r="R1005" i="19"/>
  <c r="S1004" i="19"/>
  <c r="R1004" i="19"/>
  <c r="N1004" i="19"/>
  <c r="S1003" i="19"/>
  <c r="R1003" i="19"/>
  <c r="N1003" i="19"/>
  <c r="S1002" i="19"/>
  <c r="R1002" i="19"/>
  <c r="S1001" i="19"/>
  <c r="R1001" i="19"/>
  <c r="S1000" i="19"/>
  <c r="R1000" i="19"/>
  <c r="S999" i="19"/>
  <c r="R999" i="19"/>
  <c r="S998" i="19"/>
  <c r="R998" i="19"/>
  <c r="S997" i="19"/>
  <c r="R997" i="19"/>
  <c r="S996" i="19"/>
  <c r="R996" i="19"/>
  <c r="S995" i="19"/>
  <c r="R995" i="19"/>
  <c r="S994" i="19"/>
  <c r="R994" i="19"/>
  <c r="S993" i="19"/>
  <c r="R993" i="19"/>
  <c r="S992" i="19"/>
  <c r="R992" i="19"/>
  <c r="S991" i="19"/>
  <c r="R991" i="19"/>
  <c r="N991" i="19"/>
  <c r="S990" i="19"/>
  <c r="R990" i="19"/>
  <c r="N990" i="19"/>
  <c r="S989" i="19"/>
  <c r="R989" i="19"/>
  <c r="I989" i="19"/>
  <c r="H989" i="19"/>
  <c r="G989" i="19"/>
  <c r="S988" i="19"/>
  <c r="R988" i="19"/>
  <c r="S987" i="19"/>
  <c r="S986" i="19"/>
  <c r="S985" i="19"/>
  <c r="R985" i="19"/>
  <c r="S984" i="19"/>
  <c r="R984" i="19"/>
  <c r="I984" i="19"/>
  <c r="H984" i="19"/>
  <c r="G984" i="19"/>
  <c r="S983" i="19"/>
  <c r="R983" i="19"/>
  <c r="S982" i="19"/>
  <c r="R982" i="19"/>
  <c r="S981" i="19"/>
  <c r="R981" i="19"/>
  <c r="S980" i="19"/>
  <c r="R980" i="19"/>
  <c r="S979" i="19"/>
  <c r="R979" i="19"/>
  <c r="S978" i="19"/>
  <c r="R978" i="19"/>
  <c r="S977" i="19"/>
  <c r="R977" i="19"/>
  <c r="N977" i="19"/>
  <c r="S976" i="19"/>
  <c r="R976" i="19"/>
  <c r="S975" i="19"/>
  <c r="R975" i="19"/>
  <c r="S974" i="19"/>
  <c r="R974" i="19"/>
  <c r="S973" i="19"/>
  <c r="R973" i="19"/>
  <c r="S972" i="19"/>
  <c r="R972" i="19"/>
  <c r="N972" i="19"/>
  <c r="S971" i="19"/>
  <c r="R971" i="19"/>
  <c r="S970" i="19"/>
  <c r="R970" i="19"/>
  <c r="S969" i="19"/>
  <c r="R969" i="19"/>
  <c r="S968" i="19"/>
  <c r="R968" i="19"/>
  <c r="N968" i="19"/>
  <c r="S967" i="19"/>
  <c r="R967" i="19"/>
  <c r="S966" i="19"/>
  <c r="R966" i="19"/>
  <c r="S965" i="19"/>
  <c r="R965" i="19"/>
  <c r="S964" i="19"/>
  <c r="R964" i="19"/>
  <c r="S963" i="19"/>
  <c r="R963" i="19"/>
  <c r="S962" i="19"/>
  <c r="R962" i="19"/>
  <c r="I962" i="19"/>
  <c r="G962" i="19"/>
  <c r="D962" i="19"/>
  <c r="S961" i="19"/>
  <c r="R961" i="19"/>
  <c r="I961" i="19"/>
  <c r="H961" i="19"/>
  <c r="G961" i="19"/>
  <c r="S960" i="19"/>
  <c r="R960" i="19"/>
  <c r="N960" i="19"/>
  <c r="C960" i="19"/>
  <c r="H960" i="19" s="1"/>
  <c r="S959" i="19"/>
  <c r="S958" i="19"/>
  <c r="R958" i="19"/>
  <c r="S957" i="19"/>
  <c r="R957" i="19"/>
  <c r="I957" i="19"/>
  <c r="H957" i="19"/>
  <c r="G957" i="19" s="1"/>
  <c r="S956" i="19"/>
  <c r="R956" i="19"/>
  <c r="S955" i="19"/>
  <c r="R955" i="19"/>
  <c r="S954" i="19"/>
  <c r="R954" i="19"/>
  <c r="N954" i="19"/>
  <c r="S953" i="19"/>
  <c r="R953" i="19"/>
  <c r="S952" i="19"/>
  <c r="R952" i="19"/>
  <c r="S951" i="19"/>
  <c r="R951" i="19"/>
  <c r="S950" i="19"/>
  <c r="R950" i="19"/>
  <c r="S949" i="19"/>
  <c r="R949" i="19"/>
  <c r="N949" i="19"/>
  <c r="S948" i="19"/>
  <c r="R948" i="19"/>
  <c r="S947" i="19"/>
  <c r="R947" i="19"/>
  <c r="S946" i="19"/>
  <c r="R946" i="19"/>
  <c r="S945" i="19"/>
  <c r="R945" i="19"/>
  <c r="S944" i="19"/>
  <c r="R944" i="19"/>
  <c r="S943" i="19"/>
  <c r="R943" i="19"/>
  <c r="S942" i="19"/>
  <c r="R942" i="19"/>
  <c r="S941" i="19"/>
  <c r="R941" i="19"/>
  <c r="S940" i="19"/>
  <c r="R940" i="19"/>
  <c r="I940" i="19"/>
  <c r="H940" i="19"/>
  <c r="G940" i="19"/>
  <c r="S939" i="19"/>
  <c r="R939" i="19"/>
  <c r="S938" i="19"/>
  <c r="S937" i="19"/>
  <c r="R937" i="19"/>
  <c r="S936" i="19"/>
  <c r="R936" i="19"/>
  <c r="I936" i="19"/>
  <c r="H936" i="19"/>
  <c r="G936" i="19" s="1"/>
  <c r="S935" i="19"/>
  <c r="R935" i="19"/>
  <c r="N935" i="19"/>
  <c r="S934" i="19"/>
  <c r="R934" i="19"/>
  <c r="S933" i="19"/>
  <c r="R933" i="19"/>
  <c r="S932" i="19"/>
  <c r="R932" i="19"/>
  <c r="S931" i="19"/>
  <c r="R931" i="19"/>
  <c r="S930" i="19"/>
  <c r="R930" i="19"/>
  <c r="S929" i="19"/>
  <c r="R929" i="19"/>
  <c r="N929" i="19"/>
  <c r="S928" i="19"/>
  <c r="R928" i="19"/>
  <c r="S927" i="19"/>
  <c r="R927" i="19"/>
  <c r="S926" i="19"/>
  <c r="R926" i="19"/>
  <c r="S925" i="19"/>
  <c r="R925" i="19"/>
  <c r="S924" i="19"/>
  <c r="R924" i="19"/>
  <c r="S923" i="19"/>
  <c r="R923" i="19"/>
  <c r="S922" i="19"/>
  <c r="R922" i="19"/>
  <c r="N922" i="19"/>
  <c r="S921" i="19"/>
  <c r="R921" i="19"/>
  <c r="S920" i="19"/>
  <c r="R920" i="19"/>
  <c r="S919" i="19"/>
  <c r="R919" i="19"/>
  <c r="N919" i="19"/>
  <c r="S918" i="19"/>
  <c r="R918" i="19"/>
  <c r="N918" i="19"/>
  <c r="S917" i="19"/>
  <c r="R917" i="19"/>
  <c r="S916" i="19"/>
  <c r="R916" i="19"/>
  <c r="S915" i="19"/>
  <c r="R915" i="19"/>
  <c r="S914" i="19"/>
  <c r="R914" i="19"/>
  <c r="S913" i="19"/>
  <c r="R913" i="19"/>
  <c r="S912" i="19"/>
  <c r="R912" i="19"/>
  <c r="N912" i="19"/>
  <c r="I912" i="19"/>
  <c r="G912" i="19"/>
  <c r="D912" i="19"/>
  <c r="S911" i="19"/>
  <c r="R911" i="19"/>
  <c r="I911" i="19"/>
  <c r="H911" i="19"/>
  <c r="G911" i="19" s="1"/>
  <c r="S910" i="19"/>
  <c r="M910" i="19"/>
  <c r="L910" i="19"/>
  <c r="S909" i="19"/>
  <c r="M909" i="19"/>
  <c r="L909" i="19"/>
  <c r="S908" i="19"/>
  <c r="M908" i="19"/>
  <c r="L908" i="19"/>
  <c r="S907" i="19"/>
  <c r="R907" i="19"/>
  <c r="I907" i="19"/>
  <c r="H907" i="19"/>
  <c r="G907" i="19" s="1"/>
  <c r="S906" i="19"/>
  <c r="M906" i="19"/>
  <c r="L906" i="19"/>
  <c r="S905" i="19"/>
  <c r="R905" i="19"/>
  <c r="M905" i="19"/>
  <c r="L905" i="19"/>
  <c r="G905" i="19"/>
  <c r="S904" i="19"/>
  <c r="M904" i="19"/>
  <c r="L904" i="19"/>
  <c r="S903" i="19"/>
  <c r="M903" i="19"/>
  <c r="L903" i="19"/>
  <c r="S902" i="19"/>
  <c r="M902" i="19"/>
  <c r="L902" i="19"/>
  <c r="S901" i="19"/>
  <c r="M901" i="19"/>
  <c r="L901" i="19"/>
  <c r="S900" i="19"/>
  <c r="M900" i="19"/>
  <c r="L900" i="19"/>
  <c r="C900" i="19"/>
  <c r="H900" i="19" s="1"/>
  <c r="S899" i="19"/>
  <c r="M899" i="19"/>
  <c r="L899" i="19"/>
  <c r="S898" i="19"/>
  <c r="M898" i="19"/>
  <c r="L898" i="19"/>
  <c r="S897" i="19"/>
  <c r="M897" i="19"/>
  <c r="L897" i="19"/>
  <c r="S896" i="19"/>
  <c r="M896" i="19"/>
  <c r="L896" i="19"/>
  <c r="S895" i="19"/>
  <c r="M895" i="19"/>
  <c r="L895" i="19"/>
  <c r="S894" i="19"/>
  <c r="M894" i="19"/>
  <c r="L894" i="19"/>
  <c r="S893" i="19"/>
  <c r="M893" i="19"/>
  <c r="L893" i="19"/>
  <c r="S892" i="19"/>
  <c r="M892" i="19"/>
  <c r="L892" i="19"/>
  <c r="S891" i="19"/>
  <c r="M891" i="19"/>
  <c r="L891" i="19"/>
  <c r="S890" i="19"/>
  <c r="R890" i="19"/>
  <c r="I890" i="19"/>
  <c r="H890" i="19"/>
  <c r="S889" i="19"/>
  <c r="M889" i="19"/>
  <c r="L889" i="19"/>
  <c r="S888" i="19"/>
  <c r="M888" i="19"/>
  <c r="L888" i="19"/>
  <c r="E888" i="19"/>
  <c r="S887" i="19"/>
  <c r="N887" i="19"/>
  <c r="M887" i="19"/>
  <c r="L887" i="19"/>
  <c r="S886" i="19"/>
  <c r="R886" i="19"/>
  <c r="I886" i="19"/>
  <c r="H886" i="19"/>
  <c r="G886" i="19" s="1"/>
  <c r="S885" i="19"/>
  <c r="M885" i="19"/>
  <c r="L885" i="19"/>
  <c r="S884" i="19"/>
  <c r="M884" i="19"/>
  <c r="L884" i="19"/>
  <c r="S883" i="19"/>
  <c r="R883" i="19"/>
  <c r="M883" i="19"/>
  <c r="L883" i="19"/>
  <c r="G883" i="19"/>
  <c r="S882" i="19"/>
  <c r="M882" i="19"/>
  <c r="L882" i="19"/>
  <c r="S881" i="19"/>
  <c r="M881" i="19"/>
  <c r="L881" i="19"/>
  <c r="S880" i="19"/>
  <c r="M880" i="19"/>
  <c r="L880" i="19"/>
  <c r="S879" i="19"/>
  <c r="M879" i="19"/>
  <c r="L879" i="19"/>
  <c r="S878" i="19"/>
  <c r="N878" i="19"/>
  <c r="M878" i="19"/>
  <c r="L878" i="19"/>
  <c r="S877" i="19"/>
  <c r="M877" i="19"/>
  <c r="L877" i="19"/>
  <c r="S876" i="19"/>
  <c r="M876" i="19"/>
  <c r="L876" i="19"/>
  <c r="S875" i="19"/>
  <c r="M875" i="19"/>
  <c r="L875" i="19"/>
  <c r="S874" i="19"/>
  <c r="M874" i="19"/>
  <c r="L874" i="19"/>
  <c r="S873" i="19"/>
  <c r="M873" i="19"/>
  <c r="L873" i="19"/>
  <c r="S872" i="19"/>
  <c r="M872" i="19"/>
  <c r="L872" i="19"/>
  <c r="S871" i="19"/>
  <c r="M871" i="19"/>
  <c r="L871" i="19"/>
  <c r="S870" i="19"/>
  <c r="M870" i="19"/>
  <c r="L870" i="19"/>
  <c r="S869" i="19"/>
  <c r="M869" i="19"/>
  <c r="L869" i="19"/>
  <c r="S868" i="19"/>
  <c r="M868" i="19"/>
  <c r="L868" i="19"/>
  <c r="S867" i="19"/>
  <c r="M867" i="19"/>
  <c r="L867" i="19"/>
  <c r="S866" i="19"/>
  <c r="R866" i="19"/>
  <c r="S865" i="19"/>
  <c r="R865" i="19"/>
  <c r="I865" i="19"/>
  <c r="H865" i="19"/>
  <c r="G865" i="19"/>
  <c r="D865" i="19"/>
  <c r="C865" i="19"/>
  <c r="S864" i="19"/>
  <c r="R864" i="19"/>
  <c r="I864" i="19"/>
  <c r="H864" i="19"/>
  <c r="S863" i="19"/>
  <c r="R863" i="19"/>
  <c r="S862" i="19"/>
  <c r="S861" i="19"/>
  <c r="S860" i="19"/>
  <c r="R860" i="19"/>
  <c r="S859" i="19"/>
  <c r="R859" i="19"/>
  <c r="I859" i="19"/>
  <c r="H859" i="19"/>
  <c r="G859" i="19"/>
  <c r="S858" i="19"/>
  <c r="R858" i="19"/>
  <c r="S857" i="19"/>
  <c r="R857" i="19"/>
  <c r="S856" i="19"/>
  <c r="R856" i="19"/>
  <c r="S855" i="19"/>
  <c r="R855" i="19"/>
  <c r="S854" i="19"/>
  <c r="R854" i="19"/>
  <c r="S853" i="19"/>
  <c r="R853" i="19"/>
  <c r="S852" i="19"/>
  <c r="R852" i="19"/>
  <c r="N852" i="19"/>
  <c r="S851" i="19"/>
  <c r="R851" i="19"/>
  <c r="S850" i="19"/>
  <c r="R850" i="19"/>
  <c r="S849" i="19"/>
  <c r="R849" i="19"/>
  <c r="S848" i="19"/>
  <c r="R848" i="19"/>
  <c r="N848" i="19"/>
  <c r="S847" i="19"/>
  <c r="R847" i="19"/>
  <c r="S846" i="19"/>
  <c r="R846" i="19"/>
  <c r="S845" i="19"/>
  <c r="R845" i="19"/>
  <c r="N845" i="19"/>
  <c r="S844" i="19"/>
  <c r="R844" i="19"/>
  <c r="N844" i="19"/>
  <c r="S843" i="19"/>
  <c r="R843" i="19"/>
  <c r="N843" i="19"/>
  <c r="S842" i="19"/>
  <c r="R842" i="19"/>
  <c r="I842" i="19"/>
  <c r="H842" i="19"/>
  <c r="S841" i="19"/>
  <c r="R841" i="19"/>
  <c r="S840" i="19"/>
  <c r="S839" i="19"/>
  <c r="S838" i="19"/>
  <c r="R838" i="19"/>
  <c r="S837" i="19"/>
  <c r="R837" i="19"/>
  <c r="I837" i="19"/>
  <c r="H837" i="19"/>
  <c r="G837" i="19" s="1"/>
  <c r="S836" i="19"/>
  <c r="R836" i="19"/>
  <c r="S835" i="19"/>
  <c r="R835" i="19"/>
  <c r="S834" i="19"/>
  <c r="R834" i="19"/>
  <c r="S833" i="19"/>
  <c r="R833" i="19"/>
  <c r="N833" i="19"/>
  <c r="S832" i="19"/>
  <c r="R832" i="19"/>
  <c r="S831" i="19"/>
  <c r="R831" i="19"/>
  <c r="S830" i="19"/>
  <c r="R830" i="19"/>
  <c r="S829" i="19"/>
  <c r="R829" i="19"/>
  <c r="N829" i="19"/>
  <c r="S828" i="19"/>
  <c r="R828" i="19"/>
  <c r="S827" i="19"/>
  <c r="R827" i="19"/>
  <c r="S826" i="19"/>
  <c r="R826" i="19"/>
  <c r="N826" i="19"/>
  <c r="S825" i="19"/>
  <c r="R825" i="19"/>
  <c r="S824" i="19"/>
  <c r="R824" i="19"/>
  <c r="S823" i="19"/>
  <c r="R823" i="19"/>
  <c r="S822" i="19"/>
  <c r="R822" i="19"/>
  <c r="S821" i="19"/>
  <c r="R821" i="19"/>
  <c r="N821" i="19"/>
  <c r="S820" i="19"/>
  <c r="R820" i="19"/>
  <c r="S819" i="19"/>
  <c r="R819" i="19"/>
  <c r="S818" i="19"/>
  <c r="R818" i="19"/>
  <c r="S817" i="19"/>
  <c r="R817" i="19"/>
  <c r="N817" i="19"/>
  <c r="S816" i="19"/>
  <c r="R816" i="19"/>
  <c r="S815" i="19"/>
  <c r="R815" i="19"/>
  <c r="D815" i="19"/>
  <c r="I815" i="19" s="1"/>
  <c r="G815" i="19" s="1"/>
  <c r="S814" i="19"/>
  <c r="R814" i="19"/>
  <c r="I814" i="19"/>
  <c r="H814" i="19"/>
  <c r="G814" i="19" s="1"/>
  <c r="S813" i="19"/>
  <c r="R813" i="19"/>
  <c r="S812" i="19"/>
  <c r="S811" i="19"/>
  <c r="R811" i="19"/>
  <c r="S810" i="19"/>
  <c r="R810" i="19"/>
  <c r="I810" i="19"/>
  <c r="H810" i="19"/>
  <c r="G810" i="19"/>
  <c r="S809" i="19"/>
  <c r="R809" i="19"/>
  <c r="S808" i="19"/>
  <c r="R808" i="19"/>
  <c r="S807" i="19"/>
  <c r="R807" i="19"/>
  <c r="N807" i="19"/>
  <c r="S806" i="19"/>
  <c r="R806" i="19"/>
  <c r="S805" i="19"/>
  <c r="R805" i="19"/>
  <c r="S804" i="19"/>
  <c r="R804" i="19"/>
  <c r="S803" i="19"/>
  <c r="R803" i="19"/>
  <c r="S802" i="19"/>
  <c r="R802" i="19"/>
  <c r="S801" i="19"/>
  <c r="R801" i="19"/>
  <c r="S800" i="19"/>
  <c r="R800" i="19"/>
  <c r="S799" i="19"/>
  <c r="R799" i="19"/>
  <c r="N799" i="19"/>
  <c r="S798" i="19"/>
  <c r="R798" i="19"/>
  <c r="S797" i="19"/>
  <c r="R797" i="19"/>
  <c r="N797" i="19"/>
  <c r="S796" i="19"/>
  <c r="R796" i="19"/>
  <c r="C796" i="19"/>
  <c r="H796" i="19" s="1"/>
  <c r="S795" i="19"/>
  <c r="R795" i="19"/>
  <c r="S794" i="19"/>
  <c r="R794" i="19"/>
  <c r="N794" i="19"/>
  <c r="S793" i="19"/>
  <c r="R793" i="19"/>
  <c r="I793" i="19"/>
  <c r="G793" i="19" s="1"/>
  <c r="H793" i="19"/>
  <c r="S792" i="19"/>
  <c r="R792" i="19"/>
  <c r="N792" i="19"/>
  <c r="S791" i="19"/>
  <c r="S790" i="19"/>
  <c r="R790" i="19"/>
  <c r="S789" i="19"/>
  <c r="R789" i="19"/>
  <c r="I789" i="19"/>
  <c r="H789" i="19"/>
  <c r="G789" i="19" s="1"/>
  <c r="S788" i="19"/>
  <c r="R788" i="19"/>
  <c r="S787" i="19"/>
  <c r="R787" i="19"/>
  <c r="S786" i="19"/>
  <c r="R786" i="19"/>
  <c r="S785" i="19"/>
  <c r="R785" i="19"/>
  <c r="S784" i="19"/>
  <c r="R784" i="19"/>
  <c r="S783" i="19"/>
  <c r="R783" i="19"/>
  <c r="S782" i="19"/>
  <c r="R782" i="19"/>
  <c r="S781" i="19"/>
  <c r="R781" i="19"/>
  <c r="S780" i="19"/>
  <c r="R780" i="19"/>
  <c r="S779" i="19"/>
  <c r="R779" i="19"/>
  <c r="S778" i="19"/>
  <c r="R778" i="19"/>
  <c r="N778" i="19"/>
  <c r="S777" i="19"/>
  <c r="R777" i="19"/>
  <c r="S776" i="19"/>
  <c r="R776" i="19"/>
  <c r="S775" i="19"/>
  <c r="R775" i="19"/>
  <c r="S774" i="19"/>
  <c r="R774" i="19"/>
  <c r="S773" i="19"/>
  <c r="R773" i="19"/>
  <c r="N773" i="19"/>
  <c r="S772" i="19"/>
  <c r="R772" i="19"/>
  <c r="S771" i="19"/>
  <c r="R771" i="19"/>
  <c r="S770" i="19"/>
  <c r="R770" i="19"/>
  <c r="S769" i="19"/>
  <c r="R769" i="19"/>
  <c r="S768" i="19"/>
  <c r="R768" i="19"/>
  <c r="S767" i="19"/>
  <c r="R767" i="19"/>
  <c r="N767" i="19"/>
  <c r="S766" i="19"/>
  <c r="R766" i="19"/>
  <c r="N766" i="19"/>
  <c r="S765" i="19"/>
  <c r="R765" i="19"/>
  <c r="N765" i="19"/>
  <c r="I765" i="19"/>
  <c r="G765" i="19"/>
  <c r="D765" i="19"/>
  <c r="S764" i="19"/>
  <c r="R764" i="19"/>
  <c r="I764" i="19"/>
  <c r="H764" i="19"/>
  <c r="G764" i="19" s="1"/>
  <c r="S763" i="19"/>
  <c r="M763" i="19"/>
  <c r="L763" i="19"/>
  <c r="S762" i="19"/>
  <c r="M762" i="19"/>
  <c r="L762" i="19"/>
  <c r="S761" i="19"/>
  <c r="M761" i="19"/>
  <c r="L761" i="19"/>
  <c r="S760" i="19"/>
  <c r="R760" i="19"/>
  <c r="I760" i="19"/>
  <c r="H760" i="19"/>
  <c r="G760" i="19" s="1"/>
  <c r="S759" i="19"/>
  <c r="M759" i="19"/>
  <c r="L759" i="19"/>
  <c r="S758" i="19"/>
  <c r="R758" i="19"/>
  <c r="N758" i="19"/>
  <c r="M758" i="19"/>
  <c r="L758" i="19"/>
  <c r="G758" i="19"/>
  <c r="S757" i="19"/>
  <c r="M757" i="19"/>
  <c r="L757" i="19"/>
  <c r="S756" i="19"/>
  <c r="M756" i="19"/>
  <c r="L756" i="19"/>
  <c r="S755" i="19"/>
  <c r="N755" i="19"/>
  <c r="M755" i="19"/>
  <c r="L755" i="19"/>
  <c r="S754" i="19"/>
  <c r="M754" i="19"/>
  <c r="L754" i="19"/>
  <c r="S753" i="19"/>
  <c r="M753" i="19"/>
  <c r="L753" i="19"/>
  <c r="S752" i="19"/>
  <c r="N752" i="19"/>
  <c r="M752" i="19"/>
  <c r="L752" i="19"/>
  <c r="S751" i="19"/>
  <c r="M751" i="19"/>
  <c r="L751" i="19"/>
  <c r="S750" i="19"/>
  <c r="M750" i="19"/>
  <c r="L750" i="19"/>
  <c r="S749" i="19"/>
  <c r="N749" i="19"/>
  <c r="M749" i="19"/>
  <c r="L749" i="19"/>
  <c r="S748" i="19"/>
  <c r="N748" i="19"/>
  <c r="M748" i="19"/>
  <c r="L748" i="19"/>
  <c r="S747" i="19"/>
  <c r="M747" i="19"/>
  <c r="L747" i="19"/>
  <c r="S746" i="19"/>
  <c r="M746" i="19"/>
  <c r="L746" i="19"/>
  <c r="S745" i="19"/>
  <c r="M745" i="19"/>
  <c r="L745" i="19"/>
  <c r="S744" i="19"/>
  <c r="N744" i="19"/>
  <c r="M744" i="19"/>
  <c r="L744" i="19"/>
  <c r="S743" i="19"/>
  <c r="R743" i="19"/>
  <c r="I743" i="19"/>
  <c r="H743" i="19"/>
  <c r="G743" i="19"/>
  <c r="S742" i="19"/>
  <c r="M742" i="19"/>
  <c r="L742" i="19"/>
  <c r="D742" i="19"/>
  <c r="I742" i="19" s="1"/>
  <c r="S741" i="19"/>
  <c r="M741" i="19"/>
  <c r="L741" i="19"/>
  <c r="S740" i="19"/>
  <c r="M740" i="19"/>
  <c r="L740" i="19"/>
  <c r="S739" i="19"/>
  <c r="R739" i="19"/>
  <c r="I739" i="19"/>
  <c r="H739" i="19"/>
  <c r="G739" i="19"/>
  <c r="S738" i="19"/>
  <c r="M738" i="19"/>
  <c r="L738" i="19"/>
  <c r="S737" i="19"/>
  <c r="M737" i="19"/>
  <c r="L737" i="19"/>
  <c r="S736" i="19"/>
  <c r="R736" i="19"/>
  <c r="N736" i="19"/>
  <c r="M736" i="19"/>
  <c r="L736" i="19"/>
  <c r="G736" i="19"/>
  <c r="S735" i="19"/>
  <c r="M735" i="19"/>
  <c r="L735" i="19"/>
  <c r="S734" i="19"/>
  <c r="M734" i="19"/>
  <c r="L734" i="19"/>
  <c r="S733" i="19"/>
  <c r="M733" i="19"/>
  <c r="L733" i="19"/>
  <c r="S732" i="19"/>
  <c r="M732" i="19"/>
  <c r="L732" i="19"/>
  <c r="S731" i="19"/>
  <c r="M731" i="19"/>
  <c r="L731" i="19"/>
  <c r="S730" i="19"/>
  <c r="N730" i="19"/>
  <c r="M730" i="19"/>
  <c r="L730" i="19"/>
  <c r="S729" i="19"/>
  <c r="N729" i="19"/>
  <c r="M729" i="19"/>
  <c r="L729" i="19"/>
  <c r="S728" i="19"/>
  <c r="M728" i="19"/>
  <c r="L728" i="19"/>
  <c r="S727" i="19"/>
  <c r="M727" i="19"/>
  <c r="L727" i="19"/>
  <c r="S726" i="19"/>
  <c r="M726" i="19"/>
  <c r="L726" i="19"/>
  <c r="S725" i="19"/>
  <c r="M725" i="19"/>
  <c r="L725" i="19"/>
  <c r="S724" i="19"/>
  <c r="M724" i="19"/>
  <c r="L724" i="19"/>
  <c r="S723" i="19"/>
  <c r="M723" i="19"/>
  <c r="L723" i="19"/>
  <c r="S722" i="19"/>
  <c r="N722" i="19"/>
  <c r="M722" i="19"/>
  <c r="L722" i="19"/>
  <c r="S721" i="19"/>
  <c r="M721" i="19"/>
  <c r="L721" i="19"/>
  <c r="S720" i="19"/>
  <c r="M720" i="19"/>
  <c r="L720" i="19"/>
  <c r="S719" i="19"/>
  <c r="R719" i="19"/>
  <c r="S718" i="19"/>
  <c r="R718" i="19"/>
  <c r="D718" i="19"/>
  <c r="I718" i="19" s="1"/>
  <c r="C718" i="19"/>
  <c r="H718" i="19" s="1"/>
  <c r="G718" i="19" s="1"/>
  <c r="S717" i="19"/>
  <c r="R717" i="19"/>
  <c r="I717" i="19"/>
  <c r="H717" i="19"/>
  <c r="G717" i="19"/>
  <c r="S716" i="19"/>
  <c r="R716" i="19"/>
  <c r="N716" i="19"/>
  <c r="S715" i="19"/>
  <c r="S714" i="19"/>
  <c r="S713" i="19"/>
  <c r="R713" i="19"/>
  <c r="N713" i="19"/>
  <c r="S712" i="19"/>
  <c r="R712" i="19"/>
  <c r="I712" i="19"/>
  <c r="H712" i="19"/>
  <c r="G712" i="19" s="1"/>
  <c r="S711" i="19"/>
  <c r="R711" i="19"/>
  <c r="S710" i="19"/>
  <c r="R710" i="19"/>
  <c r="S709" i="19"/>
  <c r="R709" i="19"/>
  <c r="S708" i="19"/>
  <c r="R708" i="19"/>
  <c r="S707" i="19"/>
  <c r="R707" i="19"/>
  <c r="S706" i="19"/>
  <c r="R706" i="19"/>
  <c r="S705" i="19"/>
  <c r="R705" i="19"/>
  <c r="S704" i="19"/>
  <c r="R704" i="19"/>
  <c r="N704" i="19"/>
  <c r="S703" i="19"/>
  <c r="R703" i="19"/>
  <c r="S702" i="19"/>
  <c r="R702" i="19"/>
  <c r="S701" i="19"/>
  <c r="R701" i="19"/>
  <c r="S700" i="19"/>
  <c r="R700" i="19"/>
  <c r="N700" i="19"/>
  <c r="S699" i="19"/>
  <c r="R699" i="19"/>
  <c r="N699" i="19"/>
  <c r="S698" i="19"/>
  <c r="R698" i="19"/>
  <c r="N698" i="19"/>
  <c r="S697" i="19"/>
  <c r="R697" i="19"/>
  <c r="S696" i="19"/>
  <c r="R696" i="19"/>
  <c r="S695" i="19"/>
  <c r="R695" i="19"/>
  <c r="I695" i="19"/>
  <c r="H695" i="19"/>
  <c r="G695" i="19"/>
  <c r="S694" i="19"/>
  <c r="R694" i="19"/>
  <c r="S693" i="19"/>
  <c r="S692" i="19"/>
  <c r="N692" i="19"/>
  <c r="S691" i="19"/>
  <c r="R691" i="19"/>
  <c r="S690" i="19"/>
  <c r="R690" i="19"/>
  <c r="I690" i="19"/>
  <c r="G690" i="19" s="1"/>
  <c r="H690" i="19"/>
  <c r="S689" i="19"/>
  <c r="R689" i="19"/>
  <c r="S688" i="19"/>
  <c r="R688" i="19"/>
  <c r="N688" i="19"/>
  <c r="S687" i="19"/>
  <c r="R687" i="19"/>
  <c r="S686" i="19"/>
  <c r="R686" i="19"/>
  <c r="S685" i="19"/>
  <c r="R685" i="19"/>
  <c r="N685" i="19"/>
  <c r="S684" i="19"/>
  <c r="R684" i="19"/>
  <c r="S683" i="19"/>
  <c r="R683" i="19"/>
  <c r="S682" i="19"/>
  <c r="R682" i="19"/>
  <c r="N682" i="19"/>
  <c r="S681" i="19"/>
  <c r="R681" i="19"/>
  <c r="S680" i="19"/>
  <c r="R680" i="19"/>
  <c r="S679" i="19"/>
  <c r="R679" i="19"/>
  <c r="N679" i="19"/>
  <c r="S678" i="19"/>
  <c r="R678" i="19"/>
  <c r="S677" i="19"/>
  <c r="R677" i="19"/>
  <c r="S676" i="19"/>
  <c r="R676" i="19"/>
  <c r="S675" i="19"/>
  <c r="R675" i="19"/>
  <c r="S674" i="19"/>
  <c r="R674" i="19"/>
  <c r="S673" i="19"/>
  <c r="R673" i="19"/>
  <c r="S672" i="19"/>
  <c r="R672" i="19"/>
  <c r="N672" i="19"/>
  <c r="S671" i="19"/>
  <c r="R671" i="19"/>
  <c r="S670" i="19"/>
  <c r="R670" i="19"/>
  <c r="S669" i="19"/>
  <c r="R669" i="19"/>
  <c r="N669" i="19"/>
  <c r="S668" i="19"/>
  <c r="R668" i="19"/>
  <c r="I668" i="19"/>
  <c r="G668" i="19" s="1"/>
  <c r="D668" i="19"/>
  <c r="S667" i="19"/>
  <c r="R667" i="19"/>
  <c r="I667" i="19"/>
  <c r="H667" i="19"/>
  <c r="G667" i="19" s="1"/>
  <c r="S666" i="19"/>
  <c r="R666" i="19"/>
  <c r="S665" i="19"/>
  <c r="S664" i="19"/>
  <c r="R664" i="19"/>
  <c r="S663" i="19"/>
  <c r="R663" i="19"/>
  <c r="I663" i="19"/>
  <c r="H663" i="19"/>
  <c r="G663" i="19"/>
  <c r="S662" i="19"/>
  <c r="R662" i="19"/>
  <c r="N662" i="19"/>
  <c r="S661" i="19"/>
  <c r="R661" i="19"/>
  <c r="N661" i="19"/>
  <c r="S660" i="19"/>
  <c r="R660" i="19"/>
  <c r="S659" i="19"/>
  <c r="R659" i="19"/>
  <c r="S658" i="19"/>
  <c r="R658" i="19"/>
  <c r="S657" i="19"/>
  <c r="R657" i="19"/>
  <c r="N657" i="19"/>
  <c r="S656" i="19"/>
  <c r="R656" i="19"/>
  <c r="N656" i="19"/>
  <c r="S655" i="19"/>
  <c r="R655" i="19"/>
  <c r="S654" i="19"/>
  <c r="R654" i="19"/>
  <c r="S653" i="19"/>
  <c r="R653" i="19"/>
  <c r="S652" i="19"/>
  <c r="R652" i="19"/>
  <c r="S651" i="19"/>
  <c r="R651" i="19"/>
  <c r="S650" i="19"/>
  <c r="R650" i="19"/>
  <c r="S649" i="19"/>
  <c r="R649" i="19"/>
  <c r="N649" i="19"/>
  <c r="S648" i="19"/>
  <c r="R648" i="19"/>
  <c r="S647" i="19"/>
  <c r="R647" i="19"/>
  <c r="S646" i="19"/>
  <c r="R646" i="19"/>
  <c r="I646" i="19"/>
  <c r="H646" i="19"/>
  <c r="G646" i="19" s="1"/>
  <c r="S645" i="19"/>
  <c r="R645" i="19"/>
  <c r="S644" i="19"/>
  <c r="N644" i="19"/>
  <c r="S643" i="19"/>
  <c r="R643" i="19"/>
  <c r="N643" i="19"/>
  <c r="S642" i="19"/>
  <c r="R642" i="19"/>
  <c r="I642" i="19"/>
  <c r="H642" i="19"/>
  <c r="G642" i="19"/>
  <c r="S641" i="19"/>
  <c r="R641" i="19"/>
  <c r="N641" i="19"/>
  <c r="S640" i="19"/>
  <c r="R640" i="19"/>
  <c r="S639" i="19"/>
  <c r="R639" i="19"/>
  <c r="S638" i="19"/>
  <c r="R638" i="19"/>
  <c r="S637" i="19"/>
  <c r="R637" i="19"/>
  <c r="N637" i="19"/>
  <c r="S636" i="19"/>
  <c r="R636" i="19"/>
  <c r="S635" i="19"/>
  <c r="R635" i="19"/>
  <c r="N635" i="19"/>
  <c r="S634" i="19"/>
  <c r="R634" i="19"/>
  <c r="S633" i="19"/>
  <c r="R633" i="19"/>
  <c r="S632" i="19"/>
  <c r="R632" i="19"/>
  <c r="N632" i="19"/>
  <c r="S631" i="19"/>
  <c r="R631" i="19"/>
  <c r="S630" i="19"/>
  <c r="R630" i="19"/>
  <c r="S629" i="19"/>
  <c r="R629" i="19"/>
  <c r="S628" i="19"/>
  <c r="R628" i="19"/>
  <c r="S627" i="19"/>
  <c r="R627" i="19"/>
  <c r="N627" i="19"/>
  <c r="S626" i="19"/>
  <c r="R626" i="19"/>
  <c r="S625" i="19"/>
  <c r="R625" i="19"/>
  <c r="N625" i="19"/>
  <c r="S624" i="19"/>
  <c r="R624" i="19"/>
  <c r="S623" i="19"/>
  <c r="R623" i="19"/>
  <c r="S622" i="19"/>
  <c r="R622" i="19"/>
  <c r="N622" i="19"/>
  <c r="S621" i="19"/>
  <c r="R621" i="19"/>
  <c r="S620" i="19"/>
  <c r="R620" i="19"/>
  <c r="S619" i="19"/>
  <c r="R619" i="19"/>
  <c r="S618" i="19"/>
  <c r="R618" i="19"/>
  <c r="N618" i="19"/>
  <c r="I618" i="19"/>
  <c r="G618" i="19"/>
  <c r="D618" i="19"/>
  <c r="S617" i="19"/>
  <c r="R617" i="19"/>
  <c r="I617" i="19"/>
  <c r="H617" i="19"/>
  <c r="G617" i="19"/>
  <c r="S616" i="19"/>
  <c r="M616" i="19"/>
  <c r="L616" i="19"/>
  <c r="S615" i="19"/>
  <c r="M615" i="19"/>
  <c r="L615" i="19"/>
  <c r="S614" i="19"/>
  <c r="M614" i="19"/>
  <c r="L614" i="19"/>
  <c r="S613" i="19"/>
  <c r="R613" i="19"/>
  <c r="I613" i="19"/>
  <c r="H613" i="19"/>
  <c r="G613" i="19"/>
  <c r="S612" i="19"/>
  <c r="M612" i="19"/>
  <c r="L612" i="19"/>
  <c r="S611" i="19"/>
  <c r="R611" i="19"/>
  <c r="M611" i="19"/>
  <c r="L611" i="19"/>
  <c r="G611" i="19"/>
  <c r="S610" i="19"/>
  <c r="M610" i="19"/>
  <c r="L610" i="19"/>
  <c r="S609" i="19"/>
  <c r="M609" i="19"/>
  <c r="L609" i="19"/>
  <c r="S608" i="19"/>
  <c r="M608" i="19"/>
  <c r="L608" i="19"/>
  <c r="S607" i="19"/>
  <c r="N607" i="19"/>
  <c r="M607" i="19"/>
  <c r="L607" i="19"/>
  <c r="S606" i="19"/>
  <c r="N606" i="19"/>
  <c r="M606" i="19"/>
  <c r="L606" i="19"/>
  <c r="S605" i="19"/>
  <c r="M605" i="19"/>
  <c r="L605" i="19"/>
  <c r="S604" i="19"/>
  <c r="M604" i="19"/>
  <c r="L604" i="19"/>
  <c r="S603" i="19"/>
  <c r="M603" i="19"/>
  <c r="L603" i="19"/>
  <c r="S602" i="19"/>
  <c r="M602" i="19"/>
  <c r="L602" i="19"/>
  <c r="S601" i="19"/>
  <c r="N601" i="19"/>
  <c r="M601" i="19"/>
  <c r="L601" i="19"/>
  <c r="S600" i="19"/>
  <c r="M600" i="19"/>
  <c r="L600" i="19"/>
  <c r="S599" i="19"/>
  <c r="M599" i="19"/>
  <c r="L599" i="19"/>
  <c r="S598" i="19"/>
  <c r="N598" i="19"/>
  <c r="M598" i="19"/>
  <c r="L598" i="19"/>
  <c r="S597" i="19"/>
  <c r="M597" i="19"/>
  <c r="L597" i="19"/>
  <c r="S596" i="19"/>
  <c r="R596" i="19"/>
  <c r="I596" i="19"/>
  <c r="G596" i="19" s="1"/>
  <c r="H596" i="19"/>
  <c r="S595" i="19"/>
  <c r="M595" i="19"/>
  <c r="L595" i="19"/>
  <c r="S594" i="19"/>
  <c r="M594" i="19"/>
  <c r="L594" i="19"/>
  <c r="S593" i="19"/>
  <c r="M593" i="19"/>
  <c r="L593" i="19"/>
  <c r="S592" i="19"/>
  <c r="R592" i="19"/>
  <c r="I592" i="19"/>
  <c r="H592" i="19"/>
  <c r="S591" i="19"/>
  <c r="M591" i="19"/>
  <c r="L591" i="19"/>
  <c r="S590" i="19"/>
  <c r="M590" i="19"/>
  <c r="L590" i="19"/>
  <c r="S589" i="19"/>
  <c r="R589" i="19"/>
  <c r="M589" i="19"/>
  <c r="L589" i="19"/>
  <c r="G589" i="19"/>
  <c r="S588" i="19"/>
  <c r="M588" i="19"/>
  <c r="L588" i="19"/>
  <c r="S587" i="19"/>
  <c r="M587" i="19"/>
  <c r="L587" i="19"/>
  <c r="S586" i="19"/>
  <c r="N586" i="19"/>
  <c r="M586" i="19"/>
  <c r="L586" i="19"/>
  <c r="S585" i="19"/>
  <c r="M585" i="19"/>
  <c r="L585" i="19"/>
  <c r="S584" i="19"/>
  <c r="M584" i="19"/>
  <c r="L584" i="19"/>
  <c r="S583" i="19"/>
  <c r="M583" i="19"/>
  <c r="L583" i="19"/>
  <c r="S582" i="19"/>
  <c r="M582" i="19"/>
  <c r="L582" i="19"/>
  <c r="S581" i="19"/>
  <c r="M581" i="19"/>
  <c r="L581" i="19"/>
  <c r="S580" i="19"/>
  <c r="M580" i="19"/>
  <c r="L580" i="19"/>
  <c r="S579" i="19"/>
  <c r="M579" i="19"/>
  <c r="L579" i="19"/>
  <c r="S578" i="19"/>
  <c r="M578" i="19"/>
  <c r="L578" i="19"/>
  <c r="S577" i="19"/>
  <c r="M577" i="19"/>
  <c r="L577" i="19"/>
  <c r="S576" i="19"/>
  <c r="M576" i="19"/>
  <c r="L576" i="19"/>
  <c r="S575" i="19"/>
  <c r="M575" i="19"/>
  <c r="L575" i="19"/>
  <c r="S574" i="19"/>
  <c r="M574" i="19"/>
  <c r="L574" i="19"/>
  <c r="S573" i="19"/>
  <c r="M573" i="19"/>
  <c r="L573" i="19"/>
  <c r="S572" i="19"/>
  <c r="R572" i="19"/>
  <c r="S571" i="19"/>
  <c r="R571" i="19"/>
  <c r="D571" i="19"/>
  <c r="I571" i="19" s="1"/>
  <c r="C571" i="19"/>
  <c r="H571" i="19" s="1"/>
  <c r="G571" i="19" s="1"/>
  <c r="S570" i="19"/>
  <c r="R570" i="19"/>
  <c r="I570" i="19"/>
  <c r="H570" i="19"/>
  <c r="G570" i="19"/>
  <c r="S569" i="19"/>
  <c r="R569" i="19"/>
  <c r="S568" i="19"/>
  <c r="S567" i="19"/>
  <c r="S566" i="19"/>
  <c r="R566" i="19"/>
  <c r="S565" i="19"/>
  <c r="R565" i="19"/>
  <c r="I565" i="19"/>
  <c r="H565" i="19"/>
  <c r="G565" i="19"/>
  <c r="S564" i="19"/>
  <c r="R564" i="19"/>
  <c r="S563" i="19"/>
  <c r="R563" i="19"/>
  <c r="S562" i="19"/>
  <c r="R562" i="19"/>
  <c r="S561" i="19"/>
  <c r="R561" i="19"/>
  <c r="S560" i="19"/>
  <c r="R560" i="19"/>
  <c r="S559" i="19"/>
  <c r="R559" i="19"/>
  <c r="S558" i="19"/>
  <c r="R558" i="19"/>
  <c r="S557" i="19"/>
  <c r="R557" i="19"/>
  <c r="S556" i="19"/>
  <c r="R556" i="19"/>
  <c r="S555" i="19"/>
  <c r="R555" i="19"/>
  <c r="N555" i="19"/>
  <c r="S554" i="19"/>
  <c r="R554" i="19"/>
  <c r="S553" i="19"/>
  <c r="R553" i="19"/>
  <c r="S552" i="19"/>
  <c r="R552" i="19"/>
  <c r="S551" i="19"/>
  <c r="R551" i="19"/>
  <c r="S550" i="19"/>
  <c r="R550" i="19"/>
  <c r="S549" i="19"/>
  <c r="R549" i="19"/>
  <c r="S548" i="19"/>
  <c r="R548" i="19"/>
  <c r="I548" i="19"/>
  <c r="H548" i="19"/>
  <c r="G548" i="19" s="1"/>
  <c r="S547" i="19"/>
  <c r="R547" i="19"/>
  <c r="N547" i="19"/>
  <c r="S546" i="19"/>
  <c r="S545" i="19"/>
  <c r="S544" i="19"/>
  <c r="R544" i="19"/>
  <c r="S543" i="19"/>
  <c r="R543" i="19"/>
  <c r="I543" i="19"/>
  <c r="H543" i="19"/>
  <c r="G543" i="19"/>
  <c r="S542" i="19"/>
  <c r="R542" i="19"/>
  <c r="D542" i="19"/>
  <c r="I542" i="19" s="1"/>
  <c r="S541" i="19"/>
  <c r="R541" i="19"/>
  <c r="S540" i="19"/>
  <c r="R540" i="19"/>
  <c r="N540" i="19"/>
  <c r="S539" i="19"/>
  <c r="R539" i="19"/>
  <c r="N539" i="19"/>
  <c r="S538" i="19"/>
  <c r="R538" i="19"/>
  <c r="S537" i="19"/>
  <c r="R537" i="19"/>
  <c r="S536" i="19"/>
  <c r="R536" i="19"/>
  <c r="S535" i="19"/>
  <c r="R535" i="19"/>
  <c r="S534" i="19"/>
  <c r="R534" i="19"/>
  <c r="S533" i="19"/>
  <c r="R533" i="19"/>
  <c r="S532" i="19"/>
  <c r="R532" i="19"/>
  <c r="S531" i="19"/>
  <c r="R531" i="19"/>
  <c r="S530" i="19"/>
  <c r="R530" i="19"/>
  <c r="N530" i="19"/>
  <c r="S529" i="19"/>
  <c r="R529" i="19"/>
  <c r="S528" i="19"/>
  <c r="R528" i="19"/>
  <c r="S527" i="19"/>
  <c r="R527" i="19"/>
  <c r="S526" i="19"/>
  <c r="R526" i="19"/>
  <c r="C526" i="19"/>
  <c r="H526" i="19" s="1"/>
  <c r="S525" i="19"/>
  <c r="R525" i="19"/>
  <c r="S524" i="19"/>
  <c r="R524" i="19"/>
  <c r="S523" i="19"/>
  <c r="R523" i="19"/>
  <c r="S522" i="19"/>
  <c r="R522" i="19"/>
  <c r="H522" i="19"/>
  <c r="S521" i="19"/>
  <c r="R521" i="19"/>
  <c r="D521" i="19"/>
  <c r="I521" i="19" s="1"/>
  <c r="G521" i="19" s="1"/>
  <c r="S520" i="19"/>
  <c r="R520" i="19"/>
  <c r="I520" i="19"/>
  <c r="H520" i="19"/>
  <c r="G520" i="19"/>
  <c r="S519" i="19"/>
  <c r="R519" i="19"/>
  <c r="S518" i="19"/>
  <c r="S517" i="19"/>
  <c r="R517" i="19"/>
  <c r="S516" i="19"/>
  <c r="R516" i="19"/>
  <c r="I516" i="19"/>
  <c r="H516" i="19"/>
  <c r="G516" i="19"/>
  <c r="S515" i="19"/>
  <c r="R515" i="19"/>
  <c r="S514" i="19"/>
  <c r="R514" i="19"/>
  <c r="S513" i="19"/>
  <c r="R513" i="19"/>
  <c r="N513" i="19"/>
  <c r="S512" i="19"/>
  <c r="R512" i="19"/>
  <c r="S511" i="19"/>
  <c r="R511" i="19"/>
  <c r="N511" i="19"/>
  <c r="S510" i="19"/>
  <c r="R510" i="19"/>
  <c r="S509" i="19"/>
  <c r="R509" i="19"/>
  <c r="S508" i="19"/>
  <c r="R508" i="19"/>
  <c r="S507" i="19"/>
  <c r="R507" i="19"/>
  <c r="S506" i="19"/>
  <c r="R506" i="19"/>
  <c r="S505" i="19"/>
  <c r="R505" i="19"/>
  <c r="N505" i="19"/>
  <c r="S504" i="19"/>
  <c r="R504" i="19"/>
  <c r="S503" i="19"/>
  <c r="R503" i="19"/>
  <c r="S502" i="19"/>
  <c r="R502" i="19"/>
  <c r="S501" i="19"/>
  <c r="R501" i="19"/>
  <c r="N501" i="19"/>
  <c r="S500" i="19"/>
  <c r="R500" i="19"/>
  <c r="S499" i="19"/>
  <c r="R499" i="19"/>
  <c r="I499" i="19"/>
  <c r="H499" i="19"/>
  <c r="G499" i="19"/>
  <c r="S498" i="19"/>
  <c r="R498" i="19"/>
  <c r="S497" i="19"/>
  <c r="N497" i="19"/>
  <c r="S496" i="19"/>
  <c r="R496" i="19"/>
  <c r="S495" i="19"/>
  <c r="R495" i="19"/>
  <c r="I495" i="19"/>
  <c r="H495" i="19"/>
  <c r="G495" i="19"/>
  <c r="S494" i="19"/>
  <c r="R494" i="19"/>
  <c r="S493" i="19"/>
  <c r="R493" i="19"/>
  <c r="S492" i="19"/>
  <c r="R492" i="19"/>
  <c r="S491" i="19"/>
  <c r="R491" i="19"/>
  <c r="S490" i="19"/>
  <c r="R490" i="19"/>
  <c r="S489" i="19"/>
  <c r="R489" i="19"/>
  <c r="S488" i="19"/>
  <c r="R488" i="19"/>
  <c r="S487" i="19"/>
  <c r="R487" i="19"/>
  <c r="S486" i="19"/>
  <c r="R486" i="19"/>
  <c r="S485" i="19"/>
  <c r="R485" i="19"/>
  <c r="S484" i="19"/>
  <c r="R484" i="19"/>
  <c r="S483" i="19"/>
  <c r="R483" i="19"/>
  <c r="S482" i="19"/>
  <c r="R482" i="19"/>
  <c r="S481" i="19"/>
  <c r="R481" i="19"/>
  <c r="S480" i="19"/>
  <c r="R480" i="19"/>
  <c r="S479" i="19"/>
  <c r="R479" i="19"/>
  <c r="N479" i="19"/>
  <c r="S478" i="19"/>
  <c r="R478" i="19"/>
  <c r="S477" i="19"/>
  <c r="R477" i="19"/>
  <c r="S476" i="19"/>
  <c r="R476" i="19"/>
  <c r="S475" i="19"/>
  <c r="R475" i="19"/>
  <c r="S474" i="19"/>
  <c r="R474" i="19"/>
  <c r="S473" i="19"/>
  <c r="R473" i="19"/>
  <c r="S472" i="19"/>
  <c r="R472" i="19"/>
  <c r="S471" i="19"/>
  <c r="R471" i="19"/>
  <c r="G471" i="19"/>
  <c r="S470" i="19"/>
  <c r="R470" i="19"/>
  <c r="G470" i="19"/>
  <c r="S469" i="19"/>
  <c r="R469" i="19"/>
  <c r="G469" i="19"/>
  <c r="S468" i="19"/>
  <c r="R468" i="19"/>
  <c r="G468" i="19"/>
  <c r="S467" i="19"/>
  <c r="R467" i="19"/>
  <c r="G467" i="19"/>
  <c r="S466" i="19"/>
  <c r="R466" i="19"/>
  <c r="G466" i="19"/>
  <c r="S465" i="19"/>
  <c r="R465" i="19"/>
  <c r="G465" i="19"/>
  <c r="S464" i="19"/>
  <c r="R464" i="19"/>
  <c r="G464" i="19"/>
  <c r="S463" i="19"/>
  <c r="R463" i="19"/>
  <c r="G463" i="19"/>
  <c r="S462" i="19"/>
  <c r="R462" i="19"/>
  <c r="G462" i="19"/>
  <c r="S461" i="19"/>
  <c r="R461" i="19"/>
  <c r="G461" i="19"/>
  <c r="S460" i="19"/>
  <c r="R460" i="19"/>
  <c r="G460" i="19"/>
  <c r="S459" i="19"/>
  <c r="R459" i="19"/>
  <c r="G459" i="19"/>
  <c r="S458" i="19"/>
  <c r="R458" i="19"/>
  <c r="G458" i="19"/>
  <c r="S457" i="19"/>
  <c r="R457" i="19"/>
  <c r="G457" i="19"/>
  <c r="S456" i="19"/>
  <c r="R456" i="19"/>
  <c r="G456" i="19"/>
  <c r="S455" i="19"/>
  <c r="R455" i="19"/>
  <c r="G455" i="19"/>
  <c r="S454" i="19"/>
  <c r="R454" i="19"/>
  <c r="G454" i="19"/>
  <c r="S453" i="19"/>
  <c r="R453" i="19"/>
  <c r="G453" i="19"/>
  <c r="S452" i="19"/>
  <c r="R452" i="19"/>
  <c r="G452" i="19"/>
  <c r="S451" i="19"/>
  <c r="R451" i="19"/>
  <c r="G451" i="19"/>
  <c r="S450" i="19"/>
  <c r="R450" i="19"/>
  <c r="G450" i="19"/>
  <c r="S449" i="19"/>
  <c r="R449" i="19"/>
  <c r="G449" i="19"/>
  <c r="S448" i="19"/>
  <c r="R448" i="19"/>
  <c r="G448" i="19"/>
  <c r="S447" i="19"/>
  <c r="R447" i="19"/>
  <c r="G447" i="19"/>
  <c r="S446" i="19"/>
  <c r="R446" i="19"/>
  <c r="G446" i="19"/>
  <c r="S445" i="19"/>
  <c r="R445" i="19"/>
  <c r="G445" i="19"/>
  <c r="S444" i="19"/>
  <c r="R444" i="19"/>
  <c r="G444" i="19"/>
  <c r="S443" i="19"/>
  <c r="R443" i="19"/>
  <c r="G443" i="19"/>
  <c r="S442" i="19"/>
  <c r="R442" i="19"/>
  <c r="G442" i="19"/>
  <c r="S441" i="19"/>
  <c r="R441" i="19"/>
  <c r="G441" i="19"/>
  <c r="S440" i="19"/>
  <c r="R440" i="19"/>
  <c r="G440" i="19"/>
  <c r="S439" i="19"/>
  <c r="R439" i="19"/>
  <c r="G439" i="19"/>
  <c r="S438" i="19"/>
  <c r="R438" i="19"/>
  <c r="G438" i="19"/>
  <c r="S437" i="19"/>
  <c r="R437" i="19"/>
  <c r="G437" i="19"/>
  <c r="S436" i="19"/>
  <c r="R436" i="19"/>
  <c r="G436" i="19"/>
  <c r="S435" i="19"/>
  <c r="R435" i="19"/>
  <c r="S434" i="19"/>
  <c r="R434" i="19"/>
  <c r="S433" i="19"/>
  <c r="R433" i="19"/>
  <c r="S432" i="19"/>
  <c r="R432" i="19"/>
  <c r="S431" i="19"/>
  <c r="R431" i="19"/>
  <c r="S430" i="19"/>
  <c r="R430" i="19"/>
  <c r="S429" i="19"/>
  <c r="M429" i="19"/>
  <c r="L429" i="19"/>
  <c r="S428" i="19"/>
  <c r="M428" i="19"/>
  <c r="L428" i="19"/>
  <c r="S427" i="19"/>
  <c r="M427" i="19"/>
  <c r="L427" i="19"/>
  <c r="S426" i="19"/>
  <c r="M426" i="19"/>
  <c r="L426" i="19"/>
  <c r="S425" i="19"/>
  <c r="R425" i="19"/>
  <c r="S424" i="19"/>
  <c r="R424" i="19"/>
  <c r="S423" i="19"/>
  <c r="R423" i="19"/>
  <c r="S422" i="19"/>
  <c r="R422" i="19"/>
  <c r="G422" i="19"/>
  <c r="S421" i="19"/>
  <c r="R421" i="19"/>
  <c r="G421" i="19"/>
  <c r="S420" i="19"/>
  <c r="R420" i="19"/>
  <c r="G420" i="19"/>
  <c r="S419" i="19"/>
  <c r="R419" i="19"/>
  <c r="G419" i="19"/>
  <c r="S418" i="19"/>
  <c r="R418" i="19"/>
  <c r="G418" i="19"/>
  <c r="S417" i="19"/>
  <c r="R417" i="19"/>
  <c r="G417" i="19"/>
  <c r="S416" i="19"/>
  <c r="R416" i="19"/>
  <c r="G416" i="19"/>
  <c r="S415" i="19"/>
  <c r="R415" i="19"/>
  <c r="G415" i="19"/>
  <c r="S414" i="19"/>
  <c r="R414" i="19"/>
  <c r="G414" i="19"/>
  <c r="S413" i="19"/>
  <c r="R413" i="19"/>
  <c r="G413" i="19"/>
  <c r="S412" i="19"/>
  <c r="R412" i="19"/>
  <c r="G412" i="19"/>
  <c r="S411" i="19"/>
  <c r="R411" i="19"/>
  <c r="G411" i="19"/>
  <c r="S410" i="19"/>
  <c r="R410" i="19"/>
  <c r="G410" i="19"/>
  <c r="S409" i="19"/>
  <c r="R409" i="19"/>
  <c r="G409" i="19"/>
  <c r="S408" i="19"/>
  <c r="R408" i="19"/>
  <c r="G408" i="19"/>
  <c r="S407" i="19"/>
  <c r="R407" i="19"/>
  <c r="G407" i="19"/>
  <c r="S406" i="19"/>
  <c r="R406" i="19"/>
  <c r="G406" i="19"/>
  <c r="S405" i="19"/>
  <c r="R405" i="19"/>
  <c r="G405" i="19"/>
  <c r="S404" i="19"/>
  <c r="R404" i="19"/>
  <c r="G404" i="19"/>
  <c r="S403" i="19"/>
  <c r="R403" i="19"/>
  <c r="G403" i="19"/>
  <c r="S402" i="19"/>
  <c r="R402" i="19"/>
  <c r="G402" i="19"/>
  <c r="S401" i="19"/>
  <c r="R401" i="19"/>
  <c r="G401" i="19"/>
  <c r="S400" i="19"/>
  <c r="R400" i="19"/>
  <c r="G400" i="19"/>
  <c r="S399" i="19"/>
  <c r="R399" i="19"/>
  <c r="G399" i="19"/>
  <c r="S398" i="19"/>
  <c r="R398" i="19"/>
  <c r="G398" i="19"/>
  <c r="S397" i="19"/>
  <c r="R397" i="19"/>
  <c r="G397" i="19"/>
  <c r="S396" i="19"/>
  <c r="R396" i="19"/>
  <c r="G396" i="19"/>
  <c r="S395" i="19"/>
  <c r="R395" i="19"/>
  <c r="G395" i="19"/>
  <c r="S394" i="19"/>
  <c r="R394" i="19"/>
  <c r="G394" i="19"/>
  <c r="S393" i="19"/>
  <c r="R393" i="19"/>
  <c r="G393" i="19"/>
  <c r="S392" i="19"/>
  <c r="R392" i="19"/>
  <c r="G392" i="19"/>
  <c r="S391" i="19"/>
  <c r="R391" i="19"/>
  <c r="G391" i="19"/>
  <c r="S390" i="19"/>
  <c r="R390" i="19"/>
  <c r="G390" i="19"/>
  <c r="S389" i="19"/>
  <c r="S388" i="19"/>
  <c r="S387" i="19"/>
  <c r="R387" i="19"/>
  <c r="G387" i="19"/>
  <c r="S386" i="19"/>
  <c r="R386" i="19"/>
  <c r="G386" i="19"/>
  <c r="S385" i="19"/>
  <c r="M385" i="19"/>
  <c r="L385" i="19"/>
  <c r="S384" i="19"/>
  <c r="M384" i="19"/>
  <c r="L384" i="19"/>
  <c r="S383" i="19"/>
  <c r="R383" i="19"/>
  <c r="S382" i="19"/>
  <c r="R382" i="19"/>
  <c r="S381" i="19"/>
  <c r="R381" i="19"/>
  <c r="S380" i="19"/>
  <c r="R380" i="19"/>
  <c r="S379" i="19"/>
  <c r="R379" i="19"/>
  <c r="S378" i="19"/>
  <c r="R378" i="19"/>
  <c r="S377" i="19"/>
  <c r="R377" i="19"/>
  <c r="S376" i="19"/>
  <c r="R376" i="19"/>
  <c r="S375" i="19"/>
  <c r="R375" i="19"/>
  <c r="S374" i="19"/>
  <c r="S373" i="19"/>
  <c r="R373" i="19"/>
  <c r="G373" i="19"/>
  <c r="S372" i="19"/>
  <c r="R372" i="19"/>
  <c r="G372" i="19"/>
  <c r="S371" i="19"/>
  <c r="R371" i="19"/>
  <c r="G371" i="19"/>
  <c r="S370" i="19"/>
  <c r="R370" i="19"/>
  <c r="G370" i="19"/>
  <c r="S369" i="19"/>
  <c r="R369" i="19"/>
  <c r="G369" i="19"/>
  <c r="S368" i="19"/>
  <c r="R368" i="19"/>
  <c r="G368" i="19"/>
  <c r="S367" i="19"/>
  <c r="R367" i="19"/>
  <c r="G367" i="19"/>
  <c r="S366" i="19"/>
  <c r="R366" i="19"/>
  <c r="G366" i="19"/>
  <c r="S365" i="19"/>
  <c r="R365" i="19"/>
  <c r="G365" i="19"/>
  <c r="S364" i="19"/>
  <c r="R364" i="19"/>
  <c r="G364" i="19"/>
  <c r="S363" i="19"/>
  <c r="R363" i="19"/>
  <c r="G363" i="19"/>
  <c r="S362" i="19"/>
  <c r="R362" i="19"/>
  <c r="G362" i="19"/>
  <c r="S361" i="19"/>
  <c r="R361" i="19"/>
  <c r="G361" i="19"/>
  <c r="S360" i="19"/>
  <c r="R360" i="19"/>
  <c r="G360" i="19"/>
  <c r="S359" i="19"/>
  <c r="R359" i="19"/>
  <c r="G359" i="19"/>
  <c r="S358" i="19"/>
  <c r="R358" i="19"/>
  <c r="G358" i="19"/>
  <c r="S357" i="19"/>
  <c r="R357" i="19"/>
  <c r="G357" i="19"/>
  <c r="S356" i="19"/>
  <c r="R356" i="19"/>
  <c r="G356" i="19"/>
  <c r="S355" i="19"/>
  <c r="R355" i="19"/>
  <c r="G355" i="19"/>
  <c r="S354" i="19"/>
  <c r="R354" i="19"/>
  <c r="G354" i="19"/>
  <c r="S353" i="19"/>
  <c r="R353" i="19"/>
  <c r="G353" i="19"/>
  <c r="S352" i="19"/>
  <c r="R352" i="19"/>
  <c r="G352" i="19"/>
  <c r="S351" i="19"/>
  <c r="R351" i="19"/>
  <c r="G351" i="19"/>
  <c r="S350" i="19"/>
  <c r="R350" i="19"/>
  <c r="G350" i="19"/>
  <c r="S349" i="19"/>
  <c r="R349" i="19"/>
  <c r="G349" i="19"/>
  <c r="S348" i="19"/>
  <c r="R348" i="19"/>
  <c r="G348" i="19"/>
  <c r="S347" i="19"/>
  <c r="R347" i="19"/>
  <c r="G347" i="19"/>
  <c r="S346" i="19"/>
  <c r="R346" i="19"/>
  <c r="G346" i="19"/>
  <c r="S345" i="19"/>
  <c r="R345" i="19"/>
  <c r="G345" i="19"/>
  <c r="S344" i="19"/>
  <c r="R344" i="19"/>
  <c r="G344" i="19"/>
  <c r="S343" i="19"/>
  <c r="R343" i="19"/>
  <c r="G343" i="19"/>
  <c r="S342" i="19"/>
  <c r="R342" i="19"/>
  <c r="G342" i="19"/>
  <c r="S341" i="19"/>
  <c r="R341" i="19"/>
  <c r="G341" i="19"/>
  <c r="S340" i="19"/>
  <c r="R340" i="19"/>
  <c r="G340" i="19"/>
  <c r="S339" i="19"/>
  <c r="S338" i="19"/>
  <c r="S337" i="19"/>
  <c r="R337" i="19"/>
  <c r="G337" i="19"/>
  <c r="S336" i="19"/>
  <c r="R336" i="19"/>
  <c r="G336" i="19"/>
  <c r="S335" i="19"/>
  <c r="R335" i="19"/>
  <c r="S334" i="19"/>
  <c r="R334" i="19"/>
  <c r="S333" i="19"/>
  <c r="S332" i="19"/>
  <c r="R332" i="19"/>
  <c r="S331" i="19"/>
  <c r="R331" i="19"/>
  <c r="S330" i="19"/>
  <c r="R330" i="19"/>
  <c r="S329" i="19"/>
  <c r="R329" i="19"/>
  <c r="S328" i="19"/>
  <c r="M328" i="19"/>
  <c r="L328" i="19"/>
  <c r="S327" i="19"/>
  <c r="M327" i="19"/>
  <c r="L327" i="19"/>
  <c r="S326" i="19"/>
  <c r="M326" i="19"/>
  <c r="L326" i="19"/>
  <c r="S325" i="19"/>
  <c r="R325" i="19"/>
  <c r="S324" i="19"/>
  <c r="R324" i="19"/>
  <c r="S323" i="19"/>
  <c r="S322" i="19"/>
  <c r="R322" i="19"/>
  <c r="G322" i="19"/>
  <c r="S321" i="19"/>
  <c r="R321" i="19"/>
  <c r="G321" i="19"/>
  <c r="S320" i="19"/>
  <c r="R320" i="19"/>
  <c r="G320" i="19"/>
  <c r="S319" i="19"/>
  <c r="R319" i="19"/>
  <c r="G319" i="19"/>
  <c r="S318" i="19"/>
  <c r="R318" i="19"/>
  <c r="G318" i="19"/>
  <c r="S317" i="19"/>
  <c r="R317" i="19"/>
  <c r="G317" i="19"/>
  <c r="S316" i="19"/>
  <c r="R316" i="19"/>
  <c r="G316" i="19"/>
  <c r="S315" i="19"/>
  <c r="R315" i="19"/>
  <c r="G315" i="19"/>
  <c r="S314" i="19"/>
  <c r="R314" i="19"/>
  <c r="G314" i="19"/>
  <c r="S313" i="19"/>
  <c r="R313" i="19"/>
  <c r="G313" i="19"/>
  <c r="S312" i="19"/>
  <c r="R312" i="19"/>
  <c r="G312" i="19"/>
  <c r="S311" i="19"/>
  <c r="R311" i="19"/>
  <c r="G311" i="19"/>
  <c r="S310" i="19"/>
  <c r="R310" i="19"/>
  <c r="G310" i="19"/>
  <c r="S309" i="19"/>
  <c r="R309" i="19"/>
  <c r="G309" i="19"/>
  <c r="S308" i="19"/>
  <c r="R308" i="19"/>
  <c r="G308" i="19"/>
  <c r="S307" i="19"/>
  <c r="R307" i="19"/>
  <c r="G307" i="19"/>
  <c r="S306" i="19"/>
  <c r="R306" i="19"/>
  <c r="G306" i="19"/>
  <c r="S305" i="19"/>
  <c r="R305" i="19"/>
  <c r="G305" i="19"/>
  <c r="S304" i="19"/>
  <c r="R304" i="19"/>
  <c r="G304" i="19"/>
  <c r="S303" i="19"/>
  <c r="R303" i="19"/>
  <c r="G303" i="19"/>
  <c r="S302" i="19"/>
  <c r="R302" i="19"/>
  <c r="G302" i="19"/>
  <c r="S301" i="19"/>
  <c r="R301" i="19"/>
  <c r="G301" i="19"/>
  <c r="S300" i="19"/>
  <c r="R300" i="19"/>
  <c r="G300" i="19"/>
  <c r="S299" i="19"/>
  <c r="R299" i="19"/>
  <c r="G299" i="19"/>
  <c r="S298" i="19"/>
  <c r="R298" i="19"/>
  <c r="G298" i="19"/>
  <c r="S297" i="19"/>
  <c r="R297" i="19"/>
  <c r="G297" i="19"/>
  <c r="S296" i="19"/>
  <c r="R296" i="19"/>
  <c r="G296" i="19"/>
  <c r="S295" i="19"/>
  <c r="R295" i="19"/>
  <c r="G295" i="19"/>
  <c r="S294" i="19"/>
  <c r="R294" i="19"/>
  <c r="G294" i="19"/>
  <c r="S293" i="19"/>
  <c r="R293" i="19"/>
  <c r="G293" i="19"/>
  <c r="S292" i="19"/>
  <c r="R292" i="19"/>
  <c r="G292" i="19"/>
  <c r="S291" i="19"/>
  <c r="R291" i="19"/>
  <c r="G291" i="19"/>
  <c r="S290" i="19"/>
  <c r="R290" i="19"/>
  <c r="G290" i="19"/>
  <c r="S289" i="19"/>
  <c r="S288" i="19"/>
  <c r="S287" i="19"/>
  <c r="R287" i="19"/>
  <c r="G287" i="19"/>
  <c r="S286" i="19"/>
  <c r="R286" i="19"/>
  <c r="G286" i="19"/>
  <c r="S285" i="19"/>
  <c r="M285" i="19"/>
  <c r="L285" i="19"/>
  <c r="S284" i="19"/>
  <c r="M284" i="19"/>
  <c r="L284" i="19"/>
  <c r="S283" i="19"/>
  <c r="M283" i="19"/>
  <c r="L283" i="19"/>
  <c r="S282" i="19"/>
  <c r="R282" i="19"/>
  <c r="S281" i="19"/>
  <c r="R281" i="19"/>
  <c r="S280" i="19"/>
  <c r="S279" i="19"/>
  <c r="R279" i="19"/>
  <c r="S278" i="19"/>
  <c r="R278" i="19"/>
  <c r="S277" i="19"/>
  <c r="R277" i="19"/>
  <c r="S276" i="19"/>
  <c r="R276" i="19"/>
  <c r="S275" i="19"/>
  <c r="R275" i="19"/>
  <c r="S274" i="19"/>
  <c r="R274" i="19"/>
  <c r="G274" i="19"/>
  <c r="S273" i="19"/>
  <c r="R273" i="19"/>
  <c r="G273" i="19"/>
  <c r="S272" i="19"/>
  <c r="R272" i="19"/>
  <c r="G272" i="19"/>
  <c r="S271" i="19"/>
  <c r="R271" i="19"/>
  <c r="S270" i="19"/>
  <c r="R270" i="19"/>
  <c r="S269" i="19"/>
  <c r="R269" i="19"/>
  <c r="G269" i="19"/>
  <c r="S268" i="19"/>
  <c r="R268" i="19"/>
  <c r="G268" i="19"/>
  <c r="S267" i="19"/>
  <c r="R267" i="19"/>
  <c r="G267" i="19"/>
  <c r="S266" i="19"/>
  <c r="R266" i="19"/>
  <c r="G266" i="19"/>
  <c r="S265" i="19"/>
  <c r="R265" i="19"/>
  <c r="G265" i="19"/>
  <c r="S264" i="19"/>
  <c r="R264" i="19"/>
  <c r="G264" i="19"/>
  <c r="S263" i="19"/>
  <c r="R263" i="19"/>
  <c r="G263" i="19"/>
  <c r="S262" i="19"/>
  <c r="R262" i="19"/>
  <c r="G262" i="19"/>
  <c r="S261" i="19"/>
  <c r="R261" i="19"/>
  <c r="G261" i="19"/>
  <c r="S260" i="19"/>
  <c r="R260" i="19"/>
  <c r="G260" i="19"/>
  <c r="S259" i="19"/>
  <c r="R259" i="19"/>
  <c r="G259" i="19"/>
  <c r="S258" i="19"/>
  <c r="R258" i="19"/>
  <c r="G258" i="19"/>
  <c r="S257" i="19"/>
  <c r="R257" i="19"/>
  <c r="G257" i="19"/>
  <c r="S256" i="19"/>
  <c r="R256" i="19"/>
  <c r="G256" i="19"/>
  <c r="S255" i="19"/>
  <c r="R255" i="19"/>
  <c r="G255" i="19"/>
  <c r="S254" i="19"/>
  <c r="R254" i="19"/>
  <c r="G254" i="19"/>
  <c r="S253" i="19"/>
  <c r="R253" i="19"/>
  <c r="G253" i="19"/>
  <c r="S252" i="19"/>
  <c r="R252" i="19"/>
  <c r="G252" i="19"/>
  <c r="S251" i="19"/>
  <c r="R251" i="19"/>
  <c r="G251" i="19"/>
  <c r="S250" i="19"/>
  <c r="R250" i="19"/>
  <c r="G250" i="19"/>
  <c r="S249" i="19"/>
  <c r="R249" i="19"/>
  <c r="G249" i="19"/>
  <c r="S248" i="19"/>
  <c r="R248" i="19"/>
  <c r="G248" i="19"/>
  <c r="S247" i="19"/>
  <c r="R247" i="19"/>
  <c r="G247" i="19"/>
  <c r="S246" i="19"/>
  <c r="R246" i="19"/>
  <c r="G246" i="19"/>
  <c r="S245" i="19"/>
  <c r="R245" i="19"/>
  <c r="G245" i="19"/>
  <c r="S244" i="19"/>
  <c r="R244" i="19"/>
  <c r="G244" i="19"/>
  <c r="S243" i="19"/>
  <c r="R243" i="19"/>
  <c r="G243" i="19"/>
  <c r="S242" i="19"/>
  <c r="R242" i="19"/>
  <c r="G242" i="19"/>
  <c r="S241" i="19"/>
  <c r="R241" i="19"/>
  <c r="G241" i="19"/>
  <c r="S240" i="19"/>
  <c r="R240" i="19"/>
  <c r="G240" i="19"/>
  <c r="S239" i="19"/>
  <c r="R239" i="19"/>
  <c r="G239" i="19"/>
  <c r="S238" i="19"/>
  <c r="R238" i="19"/>
  <c r="G238" i="19"/>
  <c r="S237" i="19"/>
  <c r="R237" i="19"/>
  <c r="G237" i="19"/>
  <c r="S236" i="19"/>
  <c r="R236" i="19"/>
  <c r="G236" i="19"/>
  <c r="S235" i="19"/>
  <c r="R235" i="19"/>
  <c r="G235" i="19"/>
  <c r="S234" i="19"/>
  <c r="S233" i="19"/>
  <c r="S232" i="19"/>
  <c r="R232" i="19"/>
  <c r="G232" i="19"/>
  <c r="S231" i="19"/>
  <c r="R231" i="19"/>
  <c r="G231" i="19"/>
  <c r="S230" i="19"/>
  <c r="R230" i="19"/>
  <c r="S229" i="19"/>
  <c r="R229" i="19"/>
  <c r="S228" i="19"/>
  <c r="R228" i="19"/>
  <c r="S227" i="19"/>
  <c r="R227" i="19"/>
  <c r="S226" i="19"/>
  <c r="R226" i="19"/>
  <c r="S225" i="19"/>
  <c r="R225" i="19"/>
  <c r="S224" i="19"/>
  <c r="R224" i="19"/>
  <c r="S223" i="19"/>
  <c r="R223" i="19"/>
  <c r="G223" i="19"/>
  <c r="S222" i="19"/>
  <c r="R222" i="19"/>
  <c r="G222" i="19"/>
  <c r="S221" i="19"/>
  <c r="R221" i="19"/>
  <c r="S220" i="19"/>
  <c r="R220" i="19"/>
  <c r="S219" i="19"/>
  <c r="R219" i="19"/>
  <c r="S218" i="19"/>
  <c r="R218" i="19"/>
  <c r="G218" i="19"/>
  <c r="S217" i="19"/>
  <c r="R217" i="19"/>
  <c r="G217" i="19"/>
  <c r="S216" i="19"/>
  <c r="R216" i="19"/>
  <c r="G216" i="19"/>
  <c r="S215" i="19"/>
  <c r="R215" i="19"/>
  <c r="G215" i="19"/>
  <c r="S214" i="19"/>
  <c r="R214" i="19"/>
  <c r="G214" i="19"/>
  <c r="S213" i="19"/>
  <c r="R213" i="19"/>
  <c r="G213" i="19"/>
  <c r="S212" i="19"/>
  <c r="R212" i="19"/>
  <c r="G212" i="19"/>
  <c r="S211" i="19"/>
  <c r="R211" i="19"/>
  <c r="G211" i="19"/>
  <c r="S210" i="19"/>
  <c r="R210" i="19"/>
  <c r="G210" i="19"/>
  <c r="S209" i="19"/>
  <c r="R209" i="19"/>
  <c r="G209" i="19"/>
  <c r="S208" i="19"/>
  <c r="R208" i="19"/>
  <c r="G208" i="19"/>
  <c r="S207" i="19"/>
  <c r="R207" i="19"/>
  <c r="G207" i="19"/>
  <c r="S206" i="19"/>
  <c r="R206" i="19"/>
  <c r="G206" i="19"/>
  <c r="S205" i="19"/>
  <c r="R205" i="19"/>
  <c r="G205" i="19"/>
  <c r="S204" i="19"/>
  <c r="R204" i="19"/>
  <c r="G204" i="19"/>
  <c r="S203" i="19"/>
  <c r="R203" i="19"/>
  <c r="G203" i="19"/>
  <c r="S202" i="19"/>
  <c r="R202" i="19"/>
  <c r="G202" i="19"/>
  <c r="S201" i="19"/>
  <c r="R201" i="19"/>
  <c r="G201" i="19"/>
  <c r="S200" i="19"/>
  <c r="R200" i="19"/>
  <c r="G200" i="19"/>
  <c r="S199" i="19"/>
  <c r="R199" i="19"/>
  <c r="G199" i="19"/>
  <c r="S198" i="19"/>
  <c r="R198" i="19"/>
  <c r="G198" i="19"/>
  <c r="S197" i="19"/>
  <c r="R197" i="19"/>
  <c r="G197" i="19"/>
  <c r="S196" i="19"/>
  <c r="R196" i="19"/>
  <c r="G196" i="19"/>
  <c r="S195" i="19"/>
  <c r="R195" i="19"/>
  <c r="G195" i="19"/>
  <c r="S194" i="19"/>
  <c r="R194" i="19"/>
  <c r="G194" i="19"/>
  <c r="S193" i="19"/>
  <c r="R193" i="19"/>
  <c r="G193" i="19"/>
  <c r="S192" i="19"/>
  <c r="R192" i="19"/>
  <c r="G192" i="19"/>
  <c r="S191" i="19"/>
  <c r="R191" i="19"/>
  <c r="G191" i="19"/>
  <c r="S190" i="19"/>
  <c r="R190" i="19"/>
  <c r="G190" i="19"/>
  <c r="S189" i="19"/>
  <c r="R189" i="19"/>
  <c r="G189" i="19"/>
  <c r="S188" i="19"/>
  <c r="R188" i="19"/>
  <c r="G188" i="19"/>
  <c r="S187" i="19"/>
  <c r="R187" i="19"/>
  <c r="G187" i="19"/>
  <c r="S186" i="19"/>
  <c r="R186" i="19"/>
  <c r="G186" i="19"/>
  <c r="S185" i="19"/>
  <c r="R185" i="19"/>
  <c r="G185" i="19"/>
  <c r="S184" i="19"/>
  <c r="R184" i="19"/>
  <c r="G184" i="19"/>
  <c r="S183" i="19"/>
  <c r="S182" i="19"/>
  <c r="S181" i="19"/>
  <c r="R181" i="19"/>
  <c r="G181" i="19"/>
  <c r="S180" i="19"/>
  <c r="R180" i="19"/>
  <c r="G180" i="19"/>
  <c r="S179" i="19"/>
  <c r="R179" i="19"/>
  <c r="S178" i="19"/>
  <c r="R178" i="19"/>
  <c r="S177" i="19"/>
  <c r="R177" i="19"/>
  <c r="S176" i="19"/>
  <c r="R176" i="19"/>
  <c r="S175" i="19"/>
  <c r="R175" i="19"/>
  <c r="S174" i="19"/>
  <c r="R174" i="19"/>
  <c r="S173" i="19"/>
  <c r="R173" i="19"/>
  <c r="G173" i="19"/>
  <c r="S172" i="19"/>
  <c r="R172" i="19"/>
  <c r="G172" i="19"/>
  <c r="S171" i="19"/>
  <c r="R171" i="19"/>
  <c r="S170" i="19"/>
  <c r="R170" i="19"/>
  <c r="S169" i="19"/>
  <c r="R169" i="19"/>
  <c r="G169" i="19"/>
  <c r="S168" i="19"/>
  <c r="R168" i="19"/>
  <c r="G168" i="19"/>
  <c r="S167" i="19"/>
  <c r="R167" i="19"/>
  <c r="G167" i="19"/>
  <c r="S166" i="19"/>
  <c r="R166" i="19"/>
  <c r="S165" i="19"/>
  <c r="R165" i="19"/>
  <c r="S164" i="19"/>
  <c r="R164" i="19"/>
  <c r="G164" i="19"/>
  <c r="S163" i="19"/>
  <c r="R163" i="19"/>
  <c r="G163" i="19"/>
  <c r="S162" i="19"/>
  <c r="R162" i="19"/>
  <c r="G162" i="19"/>
  <c r="S161" i="19"/>
  <c r="R161" i="19"/>
  <c r="G161" i="19"/>
  <c r="S160" i="19"/>
  <c r="R160" i="19"/>
  <c r="G160" i="19"/>
  <c r="S159" i="19"/>
  <c r="R159" i="19"/>
  <c r="G159" i="19"/>
  <c r="S158" i="19"/>
  <c r="R158" i="19"/>
  <c r="G158" i="19"/>
  <c r="S157" i="19"/>
  <c r="R157" i="19"/>
  <c r="G157" i="19"/>
  <c r="S156" i="19"/>
  <c r="R156" i="19"/>
  <c r="G156" i="19"/>
  <c r="S155" i="19"/>
  <c r="R155" i="19"/>
  <c r="G155" i="19"/>
  <c r="S154" i="19"/>
  <c r="R154" i="19"/>
  <c r="G154" i="19"/>
  <c r="S153" i="19"/>
  <c r="R153" i="19"/>
  <c r="G153" i="19"/>
  <c r="S152" i="19"/>
  <c r="R152" i="19"/>
  <c r="G152" i="19"/>
  <c r="S151" i="19"/>
  <c r="R151" i="19"/>
  <c r="G151" i="19"/>
  <c r="S150" i="19"/>
  <c r="R150" i="19"/>
  <c r="G150" i="19"/>
  <c r="S149" i="19"/>
  <c r="R149" i="19"/>
  <c r="G149" i="19"/>
  <c r="S148" i="19"/>
  <c r="R148" i="19"/>
  <c r="G148" i="19"/>
  <c r="S147" i="19"/>
  <c r="R147" i="19"/>
  <c r="G147" i="19"/>
  <c r="S146" i="19"/>
  <c r="R146" i="19"/>
  <c r="G146" i="19"/>
  <c r="S145" i="19"/>
  <c r="R145" i="19"/>
  <c r="G145" i="19"/>
  <c r="S144" i="19"/>
  <c r="R144" i="19"/>
  <c r="G144" i="19"/>
  <c r="S143" i="19"/>
  <c r="R143" i="19"/>
  <c r="G143" i="19"/>
  <c r="S142" i="19"/>
  <c r="R142" i="19"/>
  <c r="G142" i="19"/>
  <c r="S141" i="19"/>
  <c r="R141" i="19"/>
  <c r="G141" i="19"/>
  <c r="S140" i="19"/>
  <c r="R140" i="19"/>
  <c r="G140" i="19"/>
  <c r="S139" i="19"/>
  <c r="R139" i="19"/>
  <c r="G139" i="19"/>
  <c r="S138" i="19"/>
  <c r="R138" i="19"/>
  <c r="G138" i="19"/>
  <c r="S137" i="19"/>
  <c r="R137" i="19"/>
  <c r="G137" i="19"/>
  <c r="S136" i="19"/>
  <c r="R136" i="19"/>
  <c r="G136" i="19"/>
  <c r="S135" i="19"/>
  <c r="R135" i="19"/>
  <c r="G135" i="19"/>
  <c r="S134" i="19"/>
  <c r="R134" i="19"/>
  <c r="G134" i="19"/>
  <c r="S133" i="19"/>
  <c r="R133" i="19"/>
  <c r="G133" i="19"/>
  <c r="S132" i="19"/>
  <c r="R132" i="19"/>
  <c r="G132" i="19"/>
  <c r="S131" i="19"/>
  <c r="R131" i="19"/>
  <c r="G131" i="19"/>
  <c r="S130" i="19"/>
  <c r="R130" i="19"/>
  <c r="G130" i="19"/>
  <c r="S129" i="19"/>
  <c r="S128" i="19"/>
  <c r="S127" i="19"/>
  <c r="R127" i="19"/>
  <c r="G127" i="19"/>
  <c r="S126" i="19"/>
  <c r="R126" i="19"/>
  <c r="G126" i="19"/>
  <c r="S125" i="19"/>
  <c r="R125" i="19"/>
  <c r="S124" i="19"/>
  <c r="R124" i="19"/>
  <c r="S123" i="19"/>
  <c r="R123" i="19"/>
  <c r="S122" i="19"/>
  <c r="R122" i="19"/>
  <c r="S121" i="19"/>
  <c r="R121" i="19"/>
  <c r="S120" i="19"/>
  <c r="R120" i="19"/>
  <c r="S119" i="19"/>
  <c r="R119" i="19"/>
  <c r="S118" i="19"/>
  <c r="R118" i="19"/>
  <c r="G118" i="19"/>
  <c r="S117" i="19"/>
  <c r="R117" i="19"/>
  <c r="G117" i="19"/>
  <c r="S116" i="19"/>
  <c r="R116" i="19"/>
  <c r="S115" i="19"/>
  <c r="R115" i="19"/>
  <c r="G115" i="19"/>
  <c r="S114" i="19"/>
  <c r="R114" i="19"/>
  <c r="G114" i="19"/>
  <c r="S113" i="19"/>
  <c r="R113" i="19"/>
  <c r="G113" i="19"/>
  <c r="S112" i="19"/>
  <c r="R112" i="19"/>
  <c r="S111" i="19"/>
  <c r="R111" i="19"/>
  <c r="S110" i="19"/>
  <c r="R110" i="19"/>
  <c r="S109" i="19"/>
  <c r="R109" i="19"/>
  <c r="S108" i="19"/>
  <c r="R108" i="19"/>
  <c r="G108" i="19"/>
  <c r="S107" i="19"/>
  <c r="R107" i="19"/>
  <c r="S106" i="19"/>
  <c r="R106" i="19"/>
  <c r="G106" i="19"/>
  <c r="S105" i="19"/>
  <c r="R105" i="19"/>
  <c r="G105" i="19"/>
  <c r="S104" i="19"/>
  <c r="R104" i="19"/>
  <c r="S103" i="19"/>
  <c r="S102" i="19"/>
  <c r="S101" i="19"/>
  <c r="R101" i="19"/>
  <c r="S100" i="19"/>
  <c r="E100" i="19"/>
  <c r="R100" i="19" s="1"/>
  <c r="S99" i="19"/>
  <c r="R99" i="19"/>
  <c r="G99" i="19"/>
  <c r="S98" i="19"/>
  <c r="R98" i="19"/>
  <c r="G98" i="19"/>
  <c r="S97" i="19"/>
  <c r="R97" i="19"/>
  <c r="G97" i="19"/>
  <c r="S96" i="19"/>
  <c r="R96" i="19"/>
  <c r="G96" i="19"/>
  <c r="S95" i="19"/>
  <c r="R95" i="19"/>
  <c r="G95" i="19"/>
  <c r="S94" i="19"/>
  <c r="R94" i="19"/>
  <c r="G94" i="19"/>
  <c r="S93" i="19"/>
  <c r="R93" i="19"/>
  <c r="G93" i="19"/>
  <c r="S92" i="19"/>
  <c r="R92" i="19"/>
  <c r="G92" i="19"/>
  <c r="S91" i="19"/>
  <c r="R91" i="19"/>
  <c r="G91" i="19"/>
  <c r="S90" i="19"/>
  <c r="R90" i="19"/>
  <c r="G90" i="19"/>
  <c r="S89" i="19"/>
  <c r="R89" i="19"/>
  <c r="G89" i="19"/>
  <c r="S88" i="19"/>
  <c r="S87" i="19"/>
  <c r="S86" i="19"/>
  <c r="S85" i="19"/>
  <c r="S84" i="19"/>
  <c r="S83" i="19"/>
  <c r="S82" i="19"/>
  <c r="E82" i="19"/>
  <c r="S81" i="19"/>
  <c r="S80" i="19"/>
  <c r="S79" i="19"/>
  <c r="S78" i="19"/>
  <c r="S77" i="19"/>
  <c r="R77" i="19"/>
  <c r="G77" i="19"/>
  <c r="S76" i="19"/>
  <c r="S75" i="19"/>
  <c r="R75" i="19"/>
  <c r="G75" i="19"/>
  <c r="S74" i="19"/>
  <c r="R74" i="19"/>
  <c r="G74" i="19"/>
  <c r="S73" i="19"/>
  <c r="R73" i="19"/>
  <c r="G73" i="19"/>
  <c r="S72" i="19"/>
  <c r="R72" i="19"/>
  <c r="G72" i="19"/>
  <c r="S71" i="19"/>
  <c r="R71" i="19"/>
  <c r="S70" i="19"/>
  <c r="S69" i="19"/>
  <c r="S68" i="19"/>
  <c r="S67" i="19"/>
  <c r="S66" i="19"/>
  <c r="R66" i="19"/>
  <c r="S65" i="19"/>
  <c r="S64" i="19"/>
  <c r="S63" i="19"/>
  <c r="S62" i="19"/>
  <c r="S61" i="19"/>
  <c r="S60" i="19"/>
  <c r="S59" i="19"/>
  <c r="S58" i="19"/>
  <c r="S57" i="19"/>
  <c r="S56" i="19"/>
  <c r="S55" i="19"/>
  <c r="M55" i="19"/>
  <c r="S54" i="19"/>
  <c r="K54" i="19"/>
  <c r="S51" i="19"/>
  <c r="S50" i="19"/>
  <c r="S49" i="19"/>
  <c r="S48" i="19"/>
  <c r="S47" i="19"/>
  <c r="S46" i="19"/>
  <c r="S45" i="19"/>
  <c r="S44" i="19"/>
  <c r="S43" i="19"/>
  <c r="S42" i="19"/>
  <c r="S41" i="19"/>
  <c r="S40" i="19"/>
  <c r="S39" i="19"/>
  <c r="S38" i="19"/>
  <c r="E38" i="19"/>
  <c r="S37" i="19"/>
  <c r="S36" i="19"/>
  <c r="S35" i="19"/>
  <c r="S34" i="19"/>
  <c r="S33" i="19"/>
  <c r="M33" i="19"/>
  <c r="L33" i="19"/>
  <c r="S32" i="19"/>
  <c r="R32" i="19"/>
  <c r="G32" i="19"/>
  <c r="S31" i="19"/>
  <c r="R31" i="19"/>
  <c r="G31" i="19"/>
  <c r="S30" i="19"/>
  <c r="R30" i="19"/>
  <c r="G30" i="19"/>
  <c r="S29" i="19"/>
  <c r="R29" i="19"/>
  <c r="G29" i="19"/>
  <c r="S28" i="19"/>
  <c r="R28" i="19"/>
  <c r="G28" i="19"/>
  <c r="S27" i="19"/>
  <c r="R27" i="19"/>
  <c r="G27" i="19"/>
  <c r="S26" i="19"/>
  <c r="R26" i="19"/>
  <c r="G26" i="19"/>
  <c r="S25" i="19"/>
  <c r="R25" i="19"/>
  <c r="G25" i="19"/>
  <c r="S24" i="19"/>
  <c r="R24" i="19"/>
  <c r="G24" i="19"/>
  <c r="S23" i="19"/>
  <c r="R23" i="19"/>
  <c r="S22" i="19"/>
  <c r="R22" i="19"/>
  <c r="S21" i="19"/>
  <c r="R21" i="19"/>
  <c r="G21" i="19"/>
  <c r="S20" i="19"/>
  <c r="R20" i="19"/>
  <c r="G20" i="19"/>
  <c r="S19" i="19"/>
  <c r="M19" i="19"/>
  <c r="L19" i="19"/>
  <c r="S18" i="19"/>
  <c r="R18" i="19"/>
  <c r="G18" i="19"/>
  <c r="S17" i="19"/>
  <c r="M17" i="19"/>
  <c r="L17" i="19"/>
  <c r="S16" i="19"/>
  <c r="R16" i="19"/>
  <c r="G16" i="19"/>
  <c r="S15" i="19"/>
  <c r="R15" i="19"/>
  <c r="G15" i="19"/>
  <c r="S14" i="19"/>
  <c r="R14" i="19"/>
  <c r="G14" i="19"/>
  <c r="S13" i="19"/>
  <c r="R13" i="19"/>
  <c r="G13" i="19"/>
  <c r="S12" i="19"/>
  <c r="R12" i="19"/>
  <c r="G12" i="19"/>
  <c r="S11" i="19"/>
  <c r="R11" i="19"/>
  <c r="G11" i="19"/>
  <c r="S10" i="19"/>
  <c r="R10" i="19"/>
  <c r="G10" i="19"/>
  <c r="S9" i="19"/>
  <c r="R9" i="19"/>
  <c r="G9" i="19"/>
  <c r="S8" i="19"/>
  <c r="R8" i="19"/>
  <c r="G8" i="19"/>
  <c r="S7" i="19"/>
  <c r="R7" i="19"/>
  <c r="G7" i="19"/>
  <c r="S6" i="19"/>
  <c r="R6" i="19"/>
  <c r="G6" i="19"/>
  <c r="S5" i="19"/>
  <c r="R5" i="19"/>
  <c r="G5" i="19"/>
  <c r="S4" i="19"/>
  <c r="R4" i="19"/>
  <c r="G4" i="19"/>
  <c r="S3" i="19"/>
  <c r="R3" i="19"/>
  <c r="S2" i="19"/>
  <c r="R2" i="19"/>
  <c r="N2" i="19"/>
  <c r="L41" i="26"/>
  <c r="K41" i="26"/>
  <c r="J41" i="26"/>
  <c r="I41" i="26"/>
  <c r="H41" i="26"/>
  <c r="G41" i="26"/>
  <c r="F41" i="26"/>
  <c r="E41" i="26"/>
  <c r="D41" i="26"/>
  <c r="C41" i="26"/>
  <c r="L40" i="26"/>
  <c r="K40" i="26"/>
  <c r="J40" i="26"/>
  <c r="I40" i="26"/>
  <c r="H40" i="26"/>
  <c r="G40" i="26"/>
  <c r="F40" i="26"/>
  <c r="E40" i="26"/>
  <c r="D40" i="26"/>
  <c r="C40" i="26"/>
  <c r="L39" i="26"/>
  <c r="K39" i="26"/>
  <c r="J39" i="26"/>
  <c r="I39" i="26"/>
  <c r="H39" i="26"/>
  <c r="G39" i="26"/>
  <c r="F39" i="26"/>
  <c r="E39" i="26"/>
  <c r="D39" i="26"/>
  <c r="C39" i="26"/>
  <c r="L38" i="26"/>
  <c r="K38" i="26"/>
  <c r="J38" i="26"/>
  <c r="I38" i="26"/>
  <c r="H38" i="26"/>
  <c r="G38" i="26"/>
  <c r="F38" i="26"/>
  <c r="E38" i="26"/>
  <c r="D38" i="26"/>
  <c r="C38" i="26"/>
  <c r="L37" i="26"/>
  <c r="K37" i="26"/>
  <c r="J37" i="26"/>
  <c r="I37" i="26"/>
  <c r="H37" i="26"/>
  <c r="G37" i="26"/>
  <c r="F37" i="26"/>
  <c r="E37" i="26"/>
  <c r="D37" i="26"/>
  <c r="C37" i="26"/>
  <c r="L36" i="26"/>
  <c r="K36" i="26"/>
  <c r="J36" i="26"/>
  <c r="I36" i="26"/>
  <c r="H36" i="26"/>
  <c r="G36" i="26"/>
  <c r="F36" i="26"/>
  <c r="E36" i="26"/>
  <c r="D36" i="26"/>
  <c r="C36" i="26"/>
  <c r="L35" i="26"/>
  <c r="K35" i="26"/>
  <c r="J35" i="26"/>
  <c r="I35" i="26"/>
  <c r="H35" i="26"/>
  <c r="G35" i="26"/>
  <c r="F35" i="26"/>
  <c r="E35" i="26"/>
  <c r="D35" i="26"/>
  <c r="C35" i="26"/>
  <c r="L34" i="26"/>
  <c r="K34" i="26"/>
  <c r="J34" i="26"/>
  <c r="I34" i="26"/>
  <c r="H34" i="26"/>
  <c r="G34" i="26"/>
  <c r="F34" i="26"/>
  <c r="E34" i="26"/>
  <c r="D34" i="26"/>
  <c r="C34" i="26"/>
  <c r="L33" i="26"/>
  <c r="K33" i="26"/>
  <c r="J33" i="26"/>
  <c r="I33" i="26"/>
  <c r="H33" i="26"/>
  <c r="G33" i="26"/>
  <c r="F33" i="26"/>
  <c r="E33" i="26"/>
  <c r="D33" i="26"/>
  <c r="C33" i="26"/>
  <c r="L32" i="26"/>
  <c r="K32" i="26"/>
  <c r="J32" i="26"/>
  <c r="I32" i="26"/>
  <c r="H32" i="26"/>
  <c r="G32" i="26"/>
  <c r="F32" i="26"/>
  <c r="E32" i="26"/>
  <c r="D32" i="26"/>
  <c r="C32" i="26"/>
  <c r="L31" i="26"/>
  <c r="K31" i="26"/>
  <c r="J31" i="26"/>
  <c r="I31" i="26"/>
  <c r="H31" i="26"/>
  <c r="G31" i="26"/>
  <c r="F31" i="26"/>
  <c r="E31" i="26"/>
  <c r="D31" i="26"/>
  <c r="C31" i="26"/>
  <c r="L30" i="26"/>
  <c r="K30" i="26"/>
  <c r="J30" i="26"/>
  <c r="I30" i="26"/>
  <c r="H30" i="26"/>
  <c r="G30" i="26"/>
  <c r="F30" i="26"/>
  <c r="E30" i="26"/>
  <c r="D30" i="26"/>
  <c r="C30" i="26"/>
  <c r="L29" i="26"/>
  <c r="K29" i="26"/>
  <c r="J29" i="26"/>
  <c r="I29" i="26"/>
  <c r="H29" i="26"/>
  <c r="G29" i="26"/>
  <c r="F29" i="26"/>
  <c r="E29" i="26"/>
  <c r="D29" i="26"/>
  <c r="C29" i="26"/>
  <c r="L28" i="26"/>
  <c r="K28" i="26"/>
  <c r="J28" i="26"/>
  <c r="I28" i="26"/>
  <c r="H28" i="26"/>
  <c r="G28" i="26"/>
  <c r="F28" i="26"/>
  <c r="E28" i="26"/>
  <c r="D28" i="26"/>
  <c r="C28" i="26"/>
  <c r="L27" i="26"/>
  <c r="K27" i="26"/>
  <c r="J27" i="26"/>
  <c r="I27" i="26"/>
  <c r="H27" i="26"/>
  <c r="G27" i="26"/>
  <c r="F27" i="26"/>
  <c r="E27" i="26"/>
  <c r="D27" i="26"/>
  <c r="C27" i="26"/>
  <c r="L26" i="26"/>
  <c r="K26" i="26"/>
  <c r="J26" i="26"/>
  <c r="I26" i="26"/>
  <c r="H26" i="26"/>
  <c r="G26" i="26"/>
  <c r="F26" i="26"/>
  <c r="E26" i="26"/>
  <c r="D26" i="26"/>
  <c r="C26" i="26"/>
  <c r="I25" i="26"/>
  <c r="H25" i="26"/>
  <c r="G25" i="26"/>
  <c r="D25" i="26"/>
  <c r="B23" i="26"/>
  <c r="L22" i="26"/>
  <c r="K22" i="26"/>
  <c r="J22" i="26"/>
  <c r="I22" i="26"/>
  <c r="H22" i="26"/>
  <c r="G22" i="26"/>
  <c r="F22" i="26"/>
  <c r="E22" i="26"/>
  <c r="D22" i="26"/>
  <c r="C22" i="26"/>
  <c r="L21" i="26"/>
  <c r="K21" i="26"/>
  <c r="J21" i="26"/>
  <c r="I21" i="26"/>
  <c r="H21" i="26"/>
  <c r="G21" i="26"/>
  <c r="F21" i="26"/>
  <c r="E21" i="26"/>
  <c r="D21" i="26"/>
  <c r="C21" i="26"/>
  <c r="L20" i="26"/>
  <c r="K20" i="26"/>
  <c r="J20" i="26"/>
  <c r="I20" i="26"/>
  <c r="H20" i="26"/>
  <c r="G20" i="26"/>
  <c r="F20" i="26"/>
  <c r="E20" i="26"/>
  <c r="D20" i="26"/>
  <c r="C20" i="26"/>
  <c r="L19" i="26"/>
  <c r="K19" i="26"/>
  <c r="J19" i="26"/>
  <c r="I19" i="26"/>
  <c r="H19" i="26"/>
  <c r="G19" i="26"/>
  <c r="F19" i="26"/>
  <c r="E19" i="26"/>
  <c r="D19" i="26"/>
  <c r="C19" i="26"/>
  <c r="L18" i="26"/>
  <c r="K18" i="26"/>
  <c r="J18" i="26"/>
  <c r="I18" i="26"/>
  <c r="H18" i="26"/>
  <c r="G18" i="26"/>
  <c r="F18" i="26"/>
  <c r="E18" i="26"/>
  <c r="D18" i="26"/>
  <c r="C18" i="26"/>
  <c r="L17" i="26"/>
  <c r="K17" i="26"/>
  <c r="J17" i="26"/>
  <c r="I17" i="26"/>
  <c r="H17" i="26"/>
  <c r="G17" i="26"/>
  <c r="F17" i="26"/>
  <c r="E17" i="26"/>
  <c r="D17" i="26"/>
  <c r="C17" i="26"/>
  <c r="L16" i="26"/>
  <c r="K16" i="26"/>
  <c r="J16" i="26"/>
  <c r="I16" i="26"/>
  <c r="H16" i="26"/>
  <c r="G16" i="26"/>
  <c r="F16" i="26"/>
  <c r="E16" i="26"/>
  <c r="D16" i="26"/>
  <c r="C16" i="26"/>
  <c r="L15" i="26"/>
  <c r="K15" i="26"/>
  <c r="J15" i="26"/>
  <c r="I15" i="26"/>
  <c r="H15" i="26"/>
  <c r="G15" i="26"/>
  <c r="F15" i="26"/>
  <c r="E15" i="26"/>
  <c r="D15" i="26"/>
  <c r="C15" i="26"/>
  <c r="L14" i="26"/>
  <c r="K14" i="26"/>
  <c r="J14" i="26"/>
  <c r="I14" i="26"/>
  <c r="H14" i="26"/>
  <c r="G14" i="26"/>
  <c r="F14" i="26"/>
  <c r="E14" i="26"/>
  <c r="D14" i="26"/>
  <c r="C14" i="26"/>
  <c r="L13" i="26"/>
  <c r="K13" i="26"/>
  <c r="J13" i="26"/>
  <c r="I13" i="26"/>
  <c r="H13" i="26"/>
  <c r="G13" i="26"/>
  <c r="F13" i="26"/>
  <c r="E13" i="26"/>
  <c r="D13" i="26"/>
  <c r="C13" i="26"/>
  <c r="L12" i="26"/>
  <c r="K12" i="26"/>
  <c r="J12" i="26"/>
  <c r="I12" i="26"/>
  <c r="H12" i="26"/>
  <c r="G12" i="26"/>
  <c r="F12" i="26"/>
  <c r="E12" i="26"/>
  <c r="D12" i="26"/>
  <c r="C12" i="26"/>
  <c r="L11" i="26"/>
  <c r="K11" i="26"/>
  <c r="J11" i="26"/>
  <c r="I11" i="26"/>
  <c r="H11" i="26"/>
  <c r="G11" i="26"/>
  <c r="F11" i="26"/>
  <c r="E11" i="26"/>
  <c r="D11" i="26"/>
  <c r="C11" i="26"/>
  <c r="L10" i="26"/>
  <c r="K10" i="26"/>
  <c r="J10" i="26"/>
  <c r="I10" i="26"/>
  <c r="H10" i="26"/>
  <c r="G10" i="26"/>
  <c r="F10" i="26"/>
  <c r="E10" i="26"/>
  <c r="D10" i="26"/>
  <c r="C10" i="26"/>
  <c r="L9" i="26"/>
  <c r="K9" i="26"/>
  <c r="J9" i="26"/>
  <c r="I9" i="26"/>
  <c r="H9" i="26"/>
  <c r="G9" i="26"/>
  <c r="F9" i="26"/>
  <c r="E9" i="26"/>
  <c r="D9" i="26"/>
  <c r="C9" i="26"/>
  <c r="L8" i="26"/>
  <c r="K8" i="26"/>
  <c r="J8" i="26"/>
  <c r="I8" i="26"/>
  <c r="H8" i="26"/>
  <c r="G8" i="26"/>
  <c r="F8" i="26"/>
  <c r="E8" i="26"/>
  <c r="D8" i="26"/>
  <c r="C8" i="26"/>
  <c r="L7" i="26"/>
  <c r="K7" i="26"/>
  <c r="J7" i="26"/>
  <c r="I7" i="26"/>
  <c r="H7" i="26"/>
  <c r="G7" i="26"/>
  <c r="F7" i="26"/>
  <c r="E7" i="26"/>
  <c r="D7" i="26"/>
  <c r="C7" i="26"/>
  <c r="L6" i="26"/>
  <c r="K6" i="26"/>
  <c r="J6" i="26"/>
  <c r="I6" i="26"/>
  <c r="H6" i="26"/>
  <c r="G6" i="26"/>
  <c r="F6" i="26"/>
  <c r="E6" i="26"/>
  <c r="D6" i="26"/>
  <c r="C6" i="26"/>
  <c r="L5" i="26"/>
  <c r="K5" i="26"/>
  <c r="J5" i="26"/>
  <c r="I5" i="26"/>
  <c r="H5" i="26"/>
  <c r="G5" i="26"/>
  <c r="F5" i="26"/>
  <c r="E5" i="26"/>
  <c r="D5" i="26"/>
  <c r="C5" i="26"/>
  <c r="L4" i="26"/>
  <c r="K4" i="26"/>
  <c r="J4" i="26"/>
  <c r="I4" i="26"/>
  <c r="H4" i="26"/>
  <c r="G4" i="26"/>
  <c r="F4" i="26"/>
  <c r="E4" i="26"/>
  <c r="D4" i="26"/>
  <c r="C4" i="26"/>
  <c r="L3" i="26"/>
  <c r="L25" i="26" s="1"/>
  <c r="K3" i="26"/>
  <c r="K25" i="26" s="1"/>
  <c r="J3" i="26"/>
  <c r="J25" i="26" s="1"/>
  <c r="I3" i="26"/>
  <c r="H3" i="26"/>
  <c r="G3" i="26"/>
  <c r="F3" i="26"/>
  <c r="F25" i="26" s="1"/>
  <c r="E3" i="26"/>
  <c r="E25" i="26" s="1"/>
  <c r="D3" i="26"/>
  <c r="C3" i="26"/>
  <c r="C25" i="26" s="1"/>
  <c r="O54" i="18"/>
  <c r="E1184" i="23" s="1"/>
  <c r="P53" i="18"/>
  <c r="Q53" i="18" s="1"/>
  <c r="E1190" i="23" s="1"/>
  <c r="J53" i="18"/>
  <c r="K53" i="18" s="1"/>
  <c r="D1190" i="23" s="1"/>
  <c r="P52" i="18"/>
  <c r="J52" i="18" s="1"/>
  <c r="O52" i="18"/>
  <c r="N52" i="18"/>
  <c r="H52" i="18"/>
  <c r="G52" i="18"/>
  <c r="D1180" i="23" s="1"/>
  <c r="P51" i="18"/>
  <c r="J51" i="18" s="1"/>
  <c r="O51" i="18"/>
  <c r="N51" i="18"/>
  <c r="C2635" i="19" s="1"/>
  <c r="H2635" i="19" s="1"/>
  <c r="G2635" i="19" s="1"/>
  <c r="H51" i="18"/>
  <c r="G51" i="18"/>
  <c r="P50" i="18"/>
  <c r="J50" i="18" s="1"/>
  <c r="O50" i="18"/>
  <c r="N50" i="18"/>
  <c r="R50" i="18" s="1"/>
  <c r="H50" i="18"/>
  <c r="G50" i="18"/>
  <c r="P49" i="18"/>
  <c r="Q49" i="18" s="1"/>
  <c r="E1186" i="23" s="1"/>
  <c r="J49" i="18"/>
  <c r="K49" i="18" s="1"/>
  <c r="D1186" i="23" s="1"/>
  <c r="Q48" i="18"/>
  <c r="O48" i="18"/>
  <c r="E1185" i="23" s="1"/>
  <c r="N48" i="18"/>
  <c r="H48" i="18"/>
  <c r="H44" i="18"/>
  <c r="F44" i="18"/>
  <c r="E44" i="18"/>
  <c r="H43" i="18"/>
  <c r="F43" i="18"/>
  <c r="E43" i="18"/>
  <c r="H42" i="18"/>
  <c r="F42" i="18"/>
  <c r="E42" i="18"/>
  <c r="M41" i="18"/>
  <c r="F40" i="18"/>
  <c r="E40" i="18"/>
  <c r="R39" i="18"/>
  <c r="Q39" i="18"/>
  <c r="Q40" i="18" s="1"/>
  <c r="P39" i="18"/>
  <c r="O39" i="18"/>
  <c r="N39" i="18"/>
  <c r="H39" i="18"/>
  <c r="F39" i="18"/>
  <c r="R38" i="18"/>
  <c r="Q38" i="18"/>
  <c r="P38" i="18"/>
  <c r="O38" i="18"/>
  <c r="N38" i="18"/>
  <c r="H38" i="18"/>
  <c r="F38" i="18"/>
  <c r="H37" i="18"/>
  <c r="F37" i="18"/>
  <c r="P34" i="18"/>
  <c r="N34" i="18"/>
  <c r="M34" i="18"/>
  <c r="R33" i="18"/>
  <c r="E1136" i="23" s="1"/>
  <c r="Q33" i="18"/>
  <c r="D1136" i="23" s="1"/>
  <c r="P33" i="18"/>
  <c r="O33" i="18"/>
  <c r="D1130" i="23" s="1"/>
  <c r="N33" i="18"/>
  <c r="Q31" i="18"/>
  <c r="O31" i="18"/>
  <c r="M31" i="18"/>
  <c r="H31" i="18"/>
  <c r="Q30" i="18"/>
  <c r="O30" i="18"/>
  <c r="M30" i="18"/>
  <c r="R29" i="18"/>
  <c r="P29" i="18"/>
  <c r="N29" i="18"/>
  <c r="J29" i="18"/>
  <c r="K27" i="18"/>
  <c r="R26" i="18"/>
  <c r="E3052" i="23" s="1"/>
  <c r="Q26" i="18"/>
  <c r="D3052" i="23" s="1"/>
  <c r="P26" i="18"/>
  <c r="N26" i="18"/>
  <c r="M26" i="18"/>
  <c r="D3017" i="23" s="1"/>
  <c r="R25" i="18"/>
  <c r="E1113" i="23" s="1"/>
  <c r="Q25" i="18"/>
  <c r="D1113" i="23" s="1"/>
  <c r="P25" i="18"/>
  <c r="E1111" i="23" s="1"/>
  <c r="O25" i="18"/>
  <c r="D1111" i="23" s="1"/>
  <c r="N25" i="18"/>
  <c r="M25" i="18" s="1"/>
  <c r="R24" i="18"/>
  <c r="P24" i="18"/>
  <c r="E1110" i="23" s="1"/>
  <c r="O24" i="18"/>
  <c r="D1110" i="23" s="1"/>
  <c r="N24" i="18"/>
  <c r="E1108" i="23" s="1"/>
  <c r="M24" i="18"/>
  <c r="D1108" i="23" s="1"/>
  <c r="R21" i="18"/>
  <c r="P21" i="18"/>
  <c r="N21" i="18"/>
  <c r="R20" i="18"/>
  <c r="P20" i="18"/>
  <c r="E3032" i="23" s="1"/>
  <c r="O20" i="18"/>
  <c r="D3032" i="23" s="1"/>
  <c r="N20" i="18"/>
  <c r="E3013" i="23" s="1"/>
  <c r="M20" i="18"/>
  <c r="D3013" i="23" s="1"/>
  <c r="R19" i="18"/>
  <c r="Q19" i="18" s="1"/>
  <c r="D3047" i="23" s="1"/>
  <c r="P19" i="18"/>
  <c r="N19" i="18"/>
  <c r="R18" i="18"/>
  <c r="R22" i="18" s="1"/>
  <c r="E3050" i="23" s="1"/>
  <c r="P18" i="18"/>
  <c r="E3030" i="23" s="1"/>
  <c r="O18" i="18"/>
  <c r="D3030" i="23" s="1"/>
  <c r="N18" i="18"/>
  <c r="R17" i="18"/>
  <c r="E3045" i="23" s="1"/>
  <c r="Q17" i="18"/>
  <c r="D3045" i="23" s="1"/>
  <c r="P17" i="18"/>
  <c r="N17" i="18"/>
  <c r="R16" i="18"/>
  <c r="E3044" i="23" s="1"/>
  <c r="Q16" i="18"/>
  <c r="D3044" i="23" s="1"/>
  <c r="P16" i="18"/>
  <c r="N16" i="18"/>
  <c r="E3009" i="23" s="1"/>
  <c r="M16" i="18"/>
  <c r="R15" i="18"/>
  <c r="E3043" i="23" s="1"/>
  <c r="Q15" i="18"/>
  <c r="D3043" i="23" s="1"/>
  <c r="P15" i="18"/>
  <c r="N15" i="18"/>
  <c r="M15" i="18"/>
  <c r="D3008" i="23" s="1"/>
  <c r="R14" i="18"/>
  <c r="E3042" i="23" s="1"/>
  <c r="Q14" i="18"/>
  <c r="D3042" i="23" s="1"/>
  <c r="P14" i="18"/>
  <c r="O14" i="18"/>
  <c r="D3026" i="23" s="1"/>
  <c r="N14" i="18"/>
  <c r="M14" i="18"/>
  <c r="P11" i="18"/>
  <c r="N11" i="18"/>
  <c r="J11" i="18" s="1"/>
  <c r="E2986" i="23" s="1"/>
  <c r="R10" i="18"/>
  <c r="E3040" i="23" s="1"/>
  <c r="Q10" i="18"/>
  <c r="D3040" i="23" s="1"/>
  <c r="P10" i="18"/>
  <c r="E3023" i="23" s="1"/>
  <c r="O10" i="18"/>
  <c r="N10" i="18"/>
  <c r="M10" i="18"/>
  <c r="D3004" i="23" s="1"/>
  <c r="R9" i="18"/>
  <c r="E3039" i="23" s="1"/>
  <c r="Q9" i="18"/>
  <c r="D3039" i="23" s="1"/>
  <c r="H9" i="18"/>
  <c r="D2984" i="23" s="1"/>
  <c r="R8" i="18"/>
  <c r="Q8" i="18"/>
  <c r="P8" i="18"/>
  <c r="E3022" i="23" s="1"/>
  <c r="O8" i="18"/>
  <c r="D3022" i="23" s="1"/>
  <c r="N8" i="18"/>
  <c r="M8" i="18"/>
  <c r="D3003" i="23" s="1"/>
  <c r="P7" i="18"/>
  <c r="E3021" i="23" s="1"/>
  <c r="O7" i="18"/>
  <c r="D3021" i="23" s="1"/>
  <c r="N7" i="18"/>
  <c r="P6" i="18"/>
  <c r="J6" i="18" s="1"/>
  <c r="E2981" i="23" s="1"/>
  <c r="N6" i="18"/>
  <c r="E3001" i="23" s="1"/>
  <c r="M6" i="18"/>
  <c r="P5" i="18"/>
  <c r="O5" i="18" s="1"/>
  <c r="N5" i="18"/>
  <c r="M5" i="18"/>
  <c r="D3000" i="23" s="1"/>
  <c r="S1" i="18"/>
  <c r="M120" i="17"/>
  <c r="K120" i="17"/>
  <c r="J120" i="17"/>
  <c r="I120" i="17"/>
  <c r="H120" i="17"/>
  <c r="F120" i="17"/>
  <c r="E120" i="17"/>
  <c r="M90" i="17"/>
  <c r="H87" i="17"/>
  <c r="L79" i="17"/>
  <c r="K79" i="17"/>
  <c r="G79" i="17"/>
  <c r="F79" i="17"/>
  <c r="I67" i="17"/>
  <c r="I66" i="17"/>
  <c r="O64" i="17"/>
  <c r="N64" i="17"/>
  <c r="M64" i="17"/>
  <c r="I64" i="17"/>
  <c r="O63" i="17"/>
  <c r="N63" i="17"/>
  <c r="M63" i="17"/>
  <c r="I63" i="17"/>
  <c r="I62" i="17"/>
  <c r="O61" i="17"/>
  <c r="N61" i="17"/>
  <c r="M61" i="17"/>
  <c r="I61" i="17"/>
  <c r="O60" i="17"/>
  <c r="E1039" i="23" s="1"/>
  <c r="N60" i="17"/>
  <c r="M60" i="17"/>
  <c r="I60" i="17"/>
  <c r="O59" i="17"/>
  <c r="N59" i="17"/>
  <c r="M59" i="17"/>
  <c r="I59" i="17"/>
  <c r="N56" i="17"/>
  <c r="M56" i="17"/>
  <c r="K56" i="17"/>
  <c r="J56" i="17"/>
  <c r="I56" i="17"/>
  <c r="H56" i="17"/>
  <c r="F56" i="17"/>
  <c r="E56" i="17"/>
  <c r="N55" i="17"/>
  <c r="M55" i="17"/>
  <c r="K55" i="17"/>
  <c r="J55" i="17"/>
  <c r="I55" i="17"/>
  <c r="H55" i="17"/>
  <c r="F55" i="17"/>
  <c r="E55" i="17"/>
  <c r="N53" i="17"/>
  <c r="M53" i="17"/>
  <c r="K53" i="17"/>
  <c r="J53" i="17"/>
  <c r="I53" i="17"/>
  <c r="H53" i="17"/>
  <c r="N52" i="17"/>
  <c r="M52" i="17"/>
  <c r="K52" i="17"/>
  <c r="J52" i="17"/>
  <c r="H52" i="17"/>
  <c r="E52" i="17"/>
  <c r="N51" i="17"/>
  <c r="K51" i="17"/>
  <c r="J51" i="17"/>
  <c r="N50" i="17"/>
  <c r="M50" i="17"/>
  <c r="K50" i="17"/>
  <c r="J50" i="17"/>
  <c r="H50" i="17"/>
  <c r="F50" i="17"/>
  <c r="E50" i="17"/>
  <c r="N49" i="17"/>
  <c r="M49" i="17"/>
  <c r="K49" i="17"/>
  <c r="J49" i="17"/>
  <c r="H49" i="17"/>
  <c r="F49" i="17"/>
  <c r="E49" i="17"/>
  <c r="N48" i="17"/>
  <c r="M48" i="17"/>
  <c r="D1002" i="23" s="1"/>
  <c r="K48" i="17"/>
  <c r="J48" i="17"/>
  <c r="I48" i="17"/>
  <c r="H48" i="17"/>
  <c r="F48" i="17"/>
  <c r="D2415" i="19" s="1"/>
  <c r="I2415" i="19" s="1"/>
  <c r="G2415" i="19" s="1"/>
  <c r="E48" i="17"/>
  <c r="N47" i="17"/>
  <c r="M47" i="17"/>
  <c r="K47" i="17"/>
  <c r="F47" i="17"/>
  <c r="E47" i="17"/>
  <c r="N44" i="17"/>
  <c r="F44" i="17"/>
  <c r="Q43" i="17"/>
  <c r="K42" i="17"/>
  <c r="F42" i="17"/>
  <c r="K41" i="17"/>
  <c r="F41" i="17"/>
  <c r="K40" i="17"/>
  <c r="F40" i="17"/>
  <c r="C2391" i="19"/>
  <c r="H2391" i="19" s="1"/>
  <c r="F34" i="17"/>
  <c r="F33" i="17"/>
  <c r="E33" i="17"/>
  <c r="G26" i="1" s="1"/>
  <c r="F32" i="17"/>
  <c r="E32" i="17"/>
  <c r="F31" i="17"/>
  <c r="E31" i="17"/>
  <c r="F30" i="17"/>
  <c r="E30" i="17"/>
  <c r="F29" i="17"/>
  <c r="E29" i="17"/>
  <c r="E915" i="23" s="1"/>
  <c r="F28" i="17"/>
  <c r="M22" i="17"/>
  <c r="E2977" i="23" s="1"/>
  <c r="L22" i="17"/>
  <c r="G22" i="17"/>
  <c r="H22" i="17" s="1"/>
  <c r="D2977" i="23" s="1"/>
  <c r="L21" i="17"/>
  <c r="L20" i="17"/>
  <c r="G20" i="17" s="1"/>
  <c r="K20" i="17"/>
  <c r="J20" i="17"/>
  <c r="F20" i="17"/>
  <c r="L19" i="17"/>
  <c r="K19" i="17"/>
  <c r="M19" i="17" s="1"/>
  <c r="E2974" i="23" s="1"/>
  <c r="J19" i="17"/>
  <c r="G19" i="17"/>
  <c r="F19" i="17"/>
  <c r="E19" i="17"/>
  <c r="D910" i="23" s="1"/>
  <c r="L18" i="17"/>
  <c r="G18" i="17" s="1"/>
  <c r="K18" i="17"/>
  <c r="C2505" i="19" s="1"/>
  <c r="H2505" i="19" s="1"/>
  <c r="G2505" i="19" s="1"/>
  <c r="L17" i="17"/>
  <c r="K17" i="17"/>
  <c r="J17" i="17"/>
  <c r="G17" i="17"/>
  <c r="L16" i="17"/>
  <c r="G16" i="17"/>
  <c r="K15" i="17"/>
  <c r="J15" i="17"/>
  <c r="K14" i="17"/>
  <c r="M14" i="17" s="1"/>
  <c r="J14" i="17"/>
  <c r="N14" i="17" s="1"/>
  <c r="E14" i="17"/>
  <c r="L12" i="17"/>
  <c r="G12" i="17" s="1"/>
  <c r="L11" i="17"/>
  <c r="M11" i="17" s="1"/>
  <c r="E2966" i="23" s="1"/>
  <c r="G11" i="17"/>
  <c r="H11" i="17" s="1"/>
  <c r="D2966" i="23" s="1"/>
  <c r="L10" i="17"/>
  <c r="K10" i="17"/>
  <c r="J10" i="17"/>
  <c r="G10" i="17"/>
  <c r="F10" i="17"/>
  <c r="D2951" i="23" s="1"/>
  <c r="E10" i="17"/>
  <c r="L9" i="17"/>
  <c r="K9" i="17"/>
  <c r="J9" i="17"/>
  <c r="G9" i="17"/>
  <c r="E9" i="17"/>
  <c r="L8" i="17"/>
  <c r="G8" i="17" s="1"/>
  <c r="K8" i="17"/>
  <c r="M8" i="17" s="1"/>
  <c r="E2963" i="23" s="1"/>
  <c r="F8" i="17"/>
  <c r="D2949" i="23" s="1"/>
  <c r="L7" i="17"/>
  <c r="G7" i="17" s="1"/>
  <c r="K7" i="17"/>
  <c r="J7" i="17"/>
  <c r="L6" i="17"/>
  <c r="K5" i="17"/>
  <c r="J5" i="17"/>
  <c r="F5" i="17"/>
  <c r="D2960" i="23" s="1"/>
  <c r="E5" i="17"/>
  <c r="K4" i="17"/>
  <c r="J4" i="17"/>
  <c r="P1" i="17"/>
  <c r="O75" i="16"/>
  <c r="M75" i="16"/>
  <c r="H75" i="16" s="1"/>
  <c r="L75" i="16"/>
  <c r="G75" i="16"/>
  <c r="I75" i="16" s="1"/>
  <c r="D2943" i="23" s="1"/>
  <c r="M74" i="16"/>
  <c r="L74" i="16"/>
  <c r="H74" i="16"/>
  <c r="H76" i="16" s="1"/>
  <c r="G74" i="16"/>
  <c r="M73" i="16"/>
  <c r="L73" i="16"/>
  <c r="L76" i="16" s="1"/>
  <c r="H73" i="16"/>
  <c r="M70" i="16"/>
  <c r="N70" i="16" s="1"/>
  <c r="E2939" i="23" s="1"/>
  <c r="H70" i="16"/>
  <c r="I70" i="16" s="1"/>
  <c r="D2939" i="23" s="1"/>
  <c r="M69" i="16"/>
  <c r="H69" i="16" s="1"/>
  <c r="I69" i="16" s="1"/>
  <c r="D2938" i="23" s="1"/>
  <c r="M68" i="16"/>
  <c r="L68" i="16"/>
  <c r="O68" i="16" s="1"/>
  <c r="H68" i="16"/>
  <c r="G68" i="16"/>
  <c r="I68" i="16" s="1"/>
  <c r="D2937" i="23" s="1"/>
  <c r="M67" i="16"/>
  <c r="H67" i="16" s="1"/>
  <c r="L67" i="16"/>
  <c r="C2320" i="19" s="1"/>
  <c r="H2320" i="19" s="1"/>
  <c r="G67" i="16"/>
  <c r="M66" i="16"/>
  <c r="L66" i="16"/>
  <c r="H66" i="16"/>
  <c r="M65" i="16"/>
  <c r="L65" i="16"/>
  <c r="H65" i="16"/>
  <c r="M64" i="16"/>
  <c r="H64" i="16" s="1"/>
  <c r="L64" i="16"/>
  <c r="M63" i="16"/>
  <c r="H63" i="16" s="1"/>
  <c r="L63" i="16"/>
  <c r="C2316" i="19" s="1"/>
  <c r="H2316" i="19" s="1"/>
  <c r="G63" i="16"/>
  <c r="M62" i="16"/>
  <c r="H62" i="16" s="1"/>
  <c r="L62" i="16"/>
  <c r="O62" i="16" s="1"/>
  <c r="G62" i="16"/>
  <c r="O61" i="16"/>
  <c r="M61" i="16"/>
  <c r="L61" i="16"/>
  <c r="H61" i="16"/>
  <c r="M60" i="16"/>
  <c r="H60" i="16" s="1"/>
  <c r="L60" i="16"/>
  <c r="M59" i="16"/>
  <c r="L59" i="16"/>
  <c r="H59" i="16"/>
  <c r="M58" i="16"/>
  <c r="L58" i="16"/>
  <c r="H58" i="16"/>
  <c r="G58" i="16"/>
  <c r="M57" i="16"/>
  <c r="H57" i="16" s="1"/>
  <c r="L57" i="16"/>
  <c r="O57" i="16" s="1"/>
  <c r="G57" i="16"/>
  <c r="M56" i="16"/>
  <c r="H56" i="16" s="1"/>
  <c r="L56" i="16"/>
  <c r="M55" i="16"/>
  <c r="L55" i="16"/>
  <c r="N55" i="16" s="1"/>
  <c r="E2924" i="23" s="1"/>
  <c r="H55" i="16"/>
  <c r="M54" i="16"/>
  <c r="L54" i="16"/>
  <c r="H54" i="16"/>
  <c r="G54" i="16"/>
  <c r="M51" i="16"/>
  <c r="L51" i="16"/>
  <c r="H51" i="16"/>
  <c r="G51" i="16"/>
  <c r="M50" i="16"/>
  <c r="H50" i="16" s="1"/>
  <c r="L50" i="16"/>
  <c r="G50" i="16"/>
  <c r="M48" i="16"/>
  <c r="N48" i="16" s="1"/>
  <c r="E2917" i="23" s="1"/>
  <c r="H48" i="16"/>
  <c r="I48" i="16" s="1"/>
  <c r="D2917" i="23" s="1"/>
  <c r="M47" i="16"/>
  <c r="H47" i="16" s="1"/>
  <c r="L47" i="16"/>
  <c r="K47" i="16"/>
  <c r="G47" i="16"/>
  <c r="M46" i="16"/>
  <c r="H46" i="16" s="1"/>
  <c r="L46" i="16"/>
  <c r="K46" i="16"/>
  <c r="M45" i="16"/>
  <c r="L45" i="16"/>
  <c r="H45" i="16"/>
  <c r="G45" i="16"/>
  <c r="M44" i="16"/>
  <c r="L44" i="16"/>
  <c r="K44" i="16"/>
  <c r="F44" i="16"/>
  <c r="D898" i="23" s="1"/>
  <c r="M42" i="16"/>
  <c r="H42" i="16" s="1"/>
  <c r="L42" i="16"/>
  <c r="M41" i="16"/>
  <c r="N41" i="16" s="1"/>
  <c r="E2910" i="23" s="1"/>
  <c r="L41" i="16"/>
  <c r="H41" i="16"/>
  <c r="M39" i="16"/>
  <c r="M38" i="16"/>
  <c r="H38" i="16" s="1"/>
  <c r="L38" i="16"/>
  <c r="K38" i="16"/>
  <c r="M37" i="16"/>
  <c r="H37" i="16" s="1"/>
  <c r="L37" i="16"/>
  <c r="K37" i="16"/>
  <c r="M36" i="16"/>
  <c r="H36" i="16" s="1"/>
  <c r="L36" i="16"/>
  <c r="K36" i="16"/>
  <c r="O35" i="16"/>
  <c r="M35" i="16"/>
  <c r="L35" i="16"/>
  <c r="N35" i="16" s="1"/>
  <c r="E2904" i="23" s="1"/>
  <c r="K35" i="16"/>
  <c r="H35" i="16"/>
  <c r="G35" i="16"/>
  <c r="D2853" i="23" s="1"/>
  <c r="M34" i="16"/>
  <c r="H34" i="16" s="1"/>
  <c r="L34" i="16"/>
  <c r="K34" i="16"/>
  <c r="G34" i="16"/>
  <c r="M33" i="16"/>
  <c r="H33" i="16" s="1"/>
  <c r="L33" i="16"/>
  <c r="K33" i="16"/>
  <c r="G33" i="16"/>
  <c r="N32" i="16"/>
  <c r="E2901" i="23" s="1"/>
  <c r="M32" i="16"/>
  <c r="H32" i="16" s="1"/>
  <c r="L32" i="16"/>
  <c r="K32" i="16"/>
  <c r="M31" i="16"/>
  <c r="L31" i="16"/>
  <c r="O31" i="16" s="1"/>
  <c r="K31" i="16"/>
  <c r="G31" i="16"/>
  <c r="M30" i="16"/>
  <c r="H30" i="16" s="1"/>
  <c r="L30" i="16"/>
  <c r="K30" i="16"/>
  <c r="G30" i="16"/>
  <c r="M29" i="16"/>
  <c r="L29" i="16"/>
  <c r="K29" i="16"/>
  <c r="H29" i="16"/>
  <c r="G29" i="16"/>
  <c r="M28" i="16"/>
  <c r="H28" i="16" s="1"/>
  <c r="L28" i="16"/>
  <c r="K28" i="16"/>
  <c r="M27" i="16"/>
  <c r="H27" i="16" s="1"/>
  <c r="L27" i="16"/>
  <c r="O27" i="16" s="1"/>
  <c r="K27" i="16"/>
  <c r="J27" i="16"/>
  <c r="G27" i="16"/>
  <c r="M26" i="16"/>
  <c r="L26" i="16"/>
  <c r="M25" i="16"/>
  <c r="L25" i="16"/>
  <c r="O25" i="16" s="1"/>
  <c r="K25" i="16"/>
  <c r="H25" i="16"/>
  <c r="G25" i="16"/>
  <c r="M24" i="16"/>
  <c r="H24" i="16" s="1"/>
  <c r="L24" i="16"/>
  <c r="K24" i="16"/>
  <c r="G24" i="16"/>
  <c r="M16" i="16"/>
  <c r="H16" i="16" s="1"/>
  <c r="L16" i="16"/>
  <c r="M14" i="16"/>
  <c r="N14" i="16" s="1"/>
  <c r="H14" i="16"/>
  <c r="I14" i="16" s="1"/>
  <c r="M13" i="16"/>
  <c r="L13" i="16"/>
  <c r="K13" i="16"/>
  <c r="H13" i="16"/>
  <c r="G13" i="16"/>
  <c r="D2818" i="23" s="1"/>
  <c r="F13" i="16"/>
  <c r="D878" i="23" s="1"/>
  <c r="M12" i="16"/>
  <c r="N12" i="16" s="1"/>
  <c r="H12" i="16"/>
  <c r="I12" i="16" s="1"/>
  <c r="M11" i="16"/>
  <c r="H11" i="16" s="1"/>
  <c r="L11" i="16"/>
  <c r="L15" i="16" s="1"/>
  <c r="E2820" i="23" s="1"/>
  <c r="K11" i="16"/>
  <c r="F11" i="16"/>
  <c r="Q9" i="16"/>
  <c r="C9" i="16" s="1"/>
  <c r="M8" i="16"/>
  <c r="H8" i="16" s="1"/>
  <c r="L8" i="16"/>
  <c r="K8" i="16"/>
  <c r="O9" i="16" s="1"/>
  <c r="M7" i="16"/>
  <c r="L7" i="16"/>
  <c r="K7" i="16"/>
  <c r="L9" i="16" s="1"/>
  <c r="H7" i="16"/>
  <c r="Q6" i="16"/>
  <c r="C6" i="16" s="1"/>
  <c r="M5" i="16"/>
  <c r="L5" i="16"/>
  <c r="K5" i="16"/>
  <c r="O6" i="16" s="1"/>
  <c r="H5" i="16"/>
  <c r="G5" i="16"/>
  <c r="D2812" i="23" s="1"/>
  <c r="M4" i="16"/>
  <c r="L4" i="16"/>
  <c r="K4" i="16"/>
  <c r="H4" i="16"/>
  <c r="G4" i="16"/>
  <c r="D2811" i="23" s="1"/>
  <c r="F4" i="16"/>
  <c r="G6" i="16" s="1"/>
  <c r="P1" i="16"/>
  <c r="M50" i="14"/>
  <c r="L50" i="14"/>
  <c r="G50" i="14" s="1"/>
  <c r="D2761" i="23" s="1"/>
  <c r="K50" i="14"/>
  <c r="U50" i="14" s="1"/>
  <c r="H50" i="14"/>
  <c r="C50" i="14"/>
  <c r="U49" i="14"/>
  <c r="T49" i="14"/>
  <c r="S49" i="14"/>
  <c r="R49" i="14"/>
  <c r="O47" i="14"/>
  <c r="M47" i="14"/>
  <c r="L47" i="14"/>
  <c r="K47" i="14"/>
  <c r="S47" i="14" s="1"/>
  <c r="H47" i="14"/>
  <c r="G47" i="14"/>
  <c r="F47" i="14"/>
  <c r="R47" i="14" s="1"/>
  <c r="C47" i="14"/>
  <c r="S46" i="14"/>
  <c r="M46" i="14"/>
  <c r="H46" i="14" s="1"/>
  <c r="L46" i="14"/>
  <c r="K46" i="14"/>
  <c r="C46" i="14"/>
  <c r="M45" i="14"/>
  <c r="H45" i="14" s="1"/>
  <c r="L45" i="14"/>
  <c r="K45" i="14"/>
  <c r="C45" i="14"/>
  <c r="M43" i="14"/>
  <c r="L43" i="14"/>
  <c r="K43" i="14"/>
  <c r="S43" i="14" s="1"/>
  <c r="H43" i="14"/>
  <c r="G43" i="14"/>
  <c r="F43" i="14"/>
  <c r="C43" i="14"/>
  <c r="M42" i="14"/>
  <c r="L42" i="14"/>
  <c r="K42" i="14"/>
  <c r="H42" i="14"/>
  <c r="G42" i="14"/>
  <c r="F42" i="14"/>
  <c r="C42" i="14"/>
  <c r="M41" i="14"/>
  <c r="H41" i="14" s="1"/>
  <c r="L41" i="14"/>
  <c r="K41" i="14"/>
  <c r="G41" i="14"/>
  <c r="F41" i="14"/>
  <c r="C41" i="14"/>
  <c r="M40" i="14"/>
  <c r="L40" i="14"/>
  <c r="U40" i="14" s="1"/>
  <c r="K40" i="14"/>
  <c r="S40" i="14" s="1"/>
  <c r="H40" i="14"/>
  <c r="G40" i="14"/>
  <c r="F40" i="14"/>
  <c r="R40" i="14" s="1"/>
  <c r="C40" i="14"/>
  <c r="M39" i="14"/>
  <c r="H39" i="14" s="1"/>
  <c r="L39" i="14"/>
  <c r="K39" i="14"/>
  <c r="O39" i="14" s="1"/>
  <c r="C39" i="14"/>
  <c r="M38" i="14"/>
  <c r="L38" i="14"/>
  <c r="K38" i="14"/>
  <c r="H38" i="14"/>
  <c r="C38" i="14"/>
  <c r="T37" i="14"/>
  <c r="R37" i="14"/>
  <c r="O37" i="14"/>
  <c r="M37" i="14"/>
  <c r="H37" i="14" s="1"/>
  <c r="L37" i="14"/>
  <c r="K37" i="14"/>
  <c r="S37" i="14" s="1"/>
  <c r="G37" i="14"/>
  <c r="F37" i="14"/>
  <c r="D483" i="23" s="1"/>
  <c r="C37" i="14"/>
  <c r="N36" i="14"/>
  <c r="E2795" i="23" s="1"/>
  <c r="M36" i="14"/>
  <c r="L36" i="14"/>
  <c r="D1876" i="19" s="1"/>
  <c r="I1876" i="19" s="1"/>
  <c r="K36" i="14"/>
  <c r="H36" i="14"/>
  <c r="G36" i="14"/>
  <c r="C36" i="14"/>
  <c r="O35" i="14"/>
  <c r="M35" i="14"/>
  <c r="L35" i="14"/>
  <c r="K35" i="14"/>
  <c r="S35" i="14" s="1"/>
  <c r="H35" i="14"/>
  <c r="G35" i="14"/>
  <c r="D2746" i="23" s="1"/>
  <c r="F35" i="14"/>
  <c r="C35" i="14"/>
  <c r="M34" i="14"/>
  <c r="L34" i="14"/>
  <c r="K34" i="14"/>
  <c r="S34" i="14" s="1"/>
  <c r="H34" i="14"/>
  <c r="C34" i="14"/>
  <c r="M33" i="14"/>
  <c r="H33" i="14" s="1"/>
  <c r="L33" i="14"/>
  <c r="K33" i="14"/>
  <c r="F33" i="14"/>
  <c r="R33" i="14" s="1"/>
  <c r="C33" i="14"/>
  <c r="M32" i="14"/>
  <c r="H32" i="14" s="1"/>
  <c r="L32" i="14"/>
  <c r="K32" i="14"/>
  <c r="S32" i="14" s="1"/>
  <c r="G32" i="14"/>
  <c r="F32" i="14"/>
  <c r="C32" i="14"/>
  <c r="M31" i="14"/>
  <c r="H31" i="14" s="1"/>
  <c r="L31" i="14"/>
  <c r="K31" i="14"/>
  <c r="C31" i="14"/>
  <c r="O30" i="14"/>
  <c r="M30" i="14"/>
  <c r="L30" i="14"/>
  <c r="U30" i="14" s="1"/>
  <c r="K30" i="14"/>
  <c r="S30" i="14" s="1"/>
  <c r="H30" i="14"/>
  <c r="G30" i="14"/>
  <c r="D2741" i="23" s="1"/>
  <c r="F30" i="14"/>
  <c r="T30" i="14" s="1"/>
  <c r="C30" i="14"/>
  <c r="M29" i="14"/>
  <c r="N29" i="14" s="1"/>
  <c r="E2788" i="23" s="1"/>
  <c r="L29" i="14"/>
  <c r="K29" i="14"/>
  <c r="O29" i="14" s="1"/>
  <c r="H29" i="14"/>
  <c r="G29" i="14"/>
  <c r="C29" i="14"/>
  <c r="M28" i="14"/>
  <c r="L28" i="14"/>
  <c r="N28" i="14" s="1"/>
  <c r="E2787" i="23" s="1"/>
  <c r="K28" i="14"/>
  <c r="U28" i="14" s="1"/>
  <c r="H28" i="14"/>
  <c r="G28" i="14"/>
  <c r="F28" i="14"/>
  <c r="C28" i="14"/>
  <c r="M26" i="14"/>
  <c r="L26" i="14"/>
  <c r="N26" i="14" s="1"/>
  <c r="E2785" i="23" s="1"/>
  <c r="K26" i="14"/>
  <c r="H26" i="14"/>
  <c r="G26" i="14"/>
  <c r="F26" i="14"/>
  <c r="C26" i="14"/>
  <c r="N25" i="14"/>
  <c r="E2784" i="23" s="1"/>
  <c r="M25" i="14"/>
  <c r="L25" i="14"/>
  <c r="K25" i="14"/>
  <c r="E1912" i="19" s="1"/>
  <c r="H25" i="14"/>
  <c r="G25" i="14"/>
  <c r="F25" i="14"/>
  <c r="C25" i="14"/>
  <c r="M24" i="14"/>
  <c r="H24" i="14" s="1"/>
  <c r="L24" i="14"/>
  <c r="K24" i="14"/>
  <c r="G24" i="14"/>
  <c r="D2735" i="23" s="1"/>
  <c r="F24" i="14"/>
  <c r="C24" i="14"/>
  <c r="M22" i="14"/>
  <c r="H22" i="14" s="1"/>
  <c r="L22" i="14"/>
  <c r="K22" i="14"/>
  <c r="F22" i="14" s="1"/>
  <c r="C22" i="14"/>
  <c r="M21" i="14"/>
  <c r="L21" i="14"/>
  <c r="K21" i="14"/>
  <c r="H21" i="14"/>
  <c r="C21" i="14"/>
  <c r="M20" i="14"/>
  <c r="L20" i="14"/>
  <c r="K20" i="14"/>
  <c r="H20" i="14"/>
  <c r="C20" i="14"/>
  <c r="M19" i="14"/>
  <c r="H19" i="14" s="1"/>
  <c r="L19" i="14"/>
  <c r="N19" i="14" s="1"/>
  <c r="E2778" i="23" s="1"/>
  <c r="K19" i="14"/>
  <c r="O19" i="14" s="1"/>
  <c r="G19" i="14"/>
  <c r="F19" i="14"/>
  <c r="C19" i="14"/>
  <c r="M18" i="14"/>
  <c r="L18" i="14"/>
  <c r="K18" i="14"/>
  <c r="S18" i="14" s="1"/>
  <c r="I18" i="14"/>
  <c r="D2777" i="23" s="1"/>
  <c r="H18" i="14"/>
  <c r="G18" i="14"/>
  <c r="D2729" i="23" s="1"/>
  <c r="F18" i="14"/>
  <c r="C18" i="14"/>
  <c r="M17" i="14"/>
  <c r="L17" i="14"/>
  <c r="K17" i="14"/>
  <c r="O17" i="14" s="1"/>
  <c r="H17" i="14"/>
  <c r="C17" i="14"/>
  <c r="M16" i="14"/>
  <c r="L16" i="14"/>
  <c r="K16" i="14"/>
  <c r="H16" i="14"/>
  <c r="G16" i="14"/>
  <c r="C16" i="14"/>
  <c r="M15" i="14"/>
  <c r="H15" i="14" s="1"/>
  <c r="L15" i="14"/>
  <c r="K15" i="14"/>
  <c r="S15" i="14" s="1"/>
  <c r="C15" i="14"/>
  <c r="M14" i="14"/>
  <c r="L14" i="14"/>
  <c r="K14" i="14"/>
  <c r="E1901" i="19" s="1"/>
  <c r="H14" i="14"/>
  <c r="G14" i="14"/>
  <c r="F14" i="14"/>
  <c r="C14" i="14"/>
  <c r="M13" i="14"/>
  <c r="L13" i="14"/>
  <c r="N13" i="14" s="1"/>
  <c r="E2772" i="23" s="1"/>
  <c r="K13" i="14"/>
  <c r="S13" i="14" s="1"/>
  <c r="H13" i="14"/>
  <c r="G13" i="14"/>
  <c r="D2724" i="23" s="1"/>
  <c r="F13" i="14"/>
  <c r="C13" i="14"/>
  <c r="M12" i="14"/>
  <c r="L12" i="14"/>
  <c r="K12" i="14"/>
  <c r="O12" i="14" s="1"/>
  <c r="H12" i="14"/>
  <c r="G12" i="14"/>
  <c r="F12" i="14"/>
  <c r="C12" i="14"/>
  <c r="M11" i="14"/>
  <c r="N11" i="14" s="1"/>
  <c r="E2770" i="23" s="1"/>
  <c r="L11" i="14"/>
  <c r="K11" i="14"/>
  <c r="H11" i="14"/>
  <c r="G11" i="14"/>
  <c r="F11" i="14"/>
  <c r="C11" i="14"/>
  <c r="O10" i="14"/>
  <c r="M10" i="14"/>
  <c r="L10" i="14"/>
  <c r="K10" i="14"/>
  <c r="S10" i="14" s="1"/>
  <c r="C10" i="14"/>
  <c r="R9" i="14"/>
  <c r="O9" i="14"/>
  <c r="M9" i="14"/>
  <c r="L9" i="14"/>
  <c r="N9" i="14" s="1"/>
  <c r="E2768" i="23" s="1"/>
  <c r="K9" i="14"/>
  <c r="S9" i="14" s="1"/>
  <c r="H9" i="14"/>
  <c r="G9" i="14"/>
  <c r="F9" i="14"/>
  <c r="D455" i="23" s="1"/>
  <c r="C9" i="14"/>
  <c r="M8" i="14"/>
  <c r="L8" i="14"/>
  <c r="K8" i="14"/>
  <c r="U8" i="14" s="1"/>
  <c r="H8" i="14"/>
  <c r="C8" i="14"/>
  <c r="M7" i="14"/>
  <c r="H7" i="14" s="1"/>
  <c r="L7" i="14"/>
  <c r="K7" i="14"/>
  <c r="F7" i="14"/>
  <c r="R7" i="14" s="1"/>
  <c r="C7" i="14"/>
  <c r="M6" i="14"/>
  <c r="H6" i="14" s="1"/>
  <c r="L6" i="14"/>
  <c r="K6" i="14"/>
  <c r="C6" i="14"/>
  <c r="M5" i="14"/>
  <c r="L5" i="14"/>
  <c r="C1845" i="19" s="1"/>
  <c r="H1845" i="19" s="1"/>
  <c r="K5" i="14"/>
  <c r="C5" i="14"/>
  <c r="U4" i="14"/>
  <c r="S4" i="14"/>
  <c r="O4" i="14"/>
  <c r="M4" i="14"/>
  <c r="L4" i="14"/>
  <c r="K4" i="14"/>
  <c r="E450" i="23" s="1"/>
  <c r="H4" i="14"/>
  <c r="G4" i="14"/>
  <c r="F4" i="14"/>
  <c r="C4" i="14"/>
  <c r="P1" i="14"/>
  <c r="B1" i="14"/>
  <c r="M50" i="13"/>
  <c r="L50" i="13"/>
  <c r="N50" i="13" s="1"/>
  <c r="E2713" i="23" s="1"/>
  <c r="K50" i="13"/>
  <c r="H50" i="13"/>
  <c r="G50" i="13"/>
  <c r="F50" i="13"/>
  <c r="C50" i="13"/>
  <c r="U49" i="13"/>
  <c r="T49" i="13"/>
  <c r="S49" i="13"/>
  <c r="R49" i="13"/>
  <c r="M47" i="13"/>
  <c r="L47" i="13"/>
  <c r="K47" i="13"/>
  <c r="H47" i="13"/>
  <c r="C47" i="13"/>
  <c r="S46" i="13"/>
  <c r="M46" i="13"/>
  <c r="L46" i="13"/>
  <c r="K46" i="13"/>
  <c r="C1693" i="19" s="1"/>
  <c r="H1693" i="19" s="1"/>
  <c r="H46" i="13"/>
  <c r="G46" i="13"/>
  <c r="D2663" i="23" s="1"/>
  <c r="F46" i="13"/>
  <c r="J46" i="13" s="1"/>
  <c r="C46" i="13"/>
  <c r="M45" i="13"/>
  <c r="H45" i="13" s="1"/>
  <c r="L45" i="13"/>
  <c r="K45" i="13"/>
  <c r="C1692" i="19" s="1"/>
  <c r="H1692" i="19" s="1"/>
  <c r="F45" i="13"/>
  <c r="C45" i="13"/>
  <c r="M43" i="13"/>
  <c r="N43" i="13" s="1"/>
  <c r="E2707" i="23" s="1"/>
  <c r="L43" i="13"/>
  <c r="K43" i="13"/>
  <c r="H43" i="13"/>
  <c r="G43" i="13"/>
  <c r="D2660" i="23" s="1"/>
  <c r="C43" i="13"/>
  <c r="M42" i="13"/>
  <c r="H42" i="13" s="1"/>
  <c r="L42" i="13"/>
  <c r="K42" i="13"/>
  <c r="C42" i="13"/>
  <c r="O41" i="13"/>
  <c r="M41" i="13"/>
  <c r="L41" i="13"/>
  <c r="K41" i="13"/>
  <c r="S41" i="13" s="1"/>
  <c r="H41" i="13"/>
  <c r="G41" i="13"/>
  <c r="D2658" i="23" s="1"/>
  <c r="F41" i="13"/>
  <c r="C41" i="13"/>
  <c r="M40" i="13"/>
  <c r="L40" i="13"/>
  <c r="U40" i="13" s="1"/>
  <c r="K40" i="13"/>
  <c r="C1687" i="19" s="1"/>
  <c r="H1687" i="19" s="1"/>
  <c r="H40" i="13"/>
  <c r="G40" i="13"/>
  <c r="C40" i="13"/>
  <c r="M39" i="13"/>
  <c r="L39" i="13"/>
  <c r="N39" i="13" s="1"/>
  <c r="E2703" i="23" s="1"/>
  <c r="K39" i="13"/>
  <c r="H39" i="13"/>
  <c r="G39" i="13"/>
  <c r="D2656" i="23" s="1"/>
  <c r="C39" i="13"/>
  <c r="U38" i="13"/>
  <c r="S38" i="13"/>
  <c r="M38" i="13"/>
  <c r="H38" i="13" s="1"/>
  <c r="L38" i="13"/>
  <c r="K38" i="13"/>
  <c r="F38" i="13"/>
  <c r="C38" i="13"/>
  <c r="M37" i="13"/>
  <c r="L37" i="13"/>
  <c r="K37" i="13"/>
  <c r="C1779" i="19" s="1"/>
  <c r="H1779" i="19" s="1"/>
  <c r="H37" i="13"/>
  <c r="G37" i="13"/>
  <c r="F37" i="13"/>
  <c r="C37" i="13"/>
  <c r="M36" i="13"/>
  <c r="H36" i="13" s="1"/>
  <c r="L36" i="13"/>
  <c r="K36" i="13"/>
  <c r="G36" i="13"/>
  <c r="D2653" i="23" s="1"/>
  <c r="C36" i="13"/>
  <c r="O35" i="13"/>
  <c r="M35" i="13"/>
  <c r="L35" i="13"/>
  <c r="U35" i="13" s="1"/>
  <c r="K35" i="13"/>
  <c r="S35" i="13" s="1"/>
  <c r="H35" i="13"/>
  <c r="G35" i="13"/>
  <c r="F35" i="13"/>
  <c r="C35" i="13"/>
  <c r="M34" i="13"/>
  <c r="L34" i="13"/>
  <c r="U34" i="13" s="1"/>
  <c r="K34" i="13"/>
  <c r="S34" i="13" s="1"/>
  <c r="F34" i="13"/>
  <c r="C34" i="13"/>
  <c r="U33" i="13"/>
  <c r="S33" i="13"/>
  <c r="O33" i="13"/>
  <c r="M33" i="13"/>
  <c r="L33" i="13"/>
  <c r="K33" i="13"/>
  <c r="H33" i="13"/>
  <c r="G33" i="13"/>
  <c r="F33" i="13"/>
  <c r="T33" i="13" s="1"/>
  <c r="C33" i="13"/>
  <c r="M32" i="13"/>
  <c r="H32" i="13" s="1"/>
  <c r="L32" i="13"/>
  <c r="K32" i="13"/>
  <c r="C32" i="13"/>
  <c r="M31" i="13"/>
  <c r="L31" i="13"/>
  <c r="N31" i="13" s="1"/>
  <c r="E2695" i="23" s="1"/>
  <c r="K31" i="13"/>
  <c r="H31" i="13"/>
  <c r="G31" i="13"/>
  <c r="F31" i="13"/>
  <c r="C31" i="13"/>
  <c r="M30" i="13"/>
  <c r="H30" i="13" s="1"/>
  <c r="L30" i="13"/>
  <c r="U30" i="13" s="1"/>
  <c r="K30" i="13"/>
  <c r="F30" i="13"/>
  <c r="J30" i="13" s="1"/>
  <c r="C30" i="13"/>
  <c r="M29" i="13"/>
  <c r="H29" i="13" s="1"/>
  <c r="L29" i="13"/>
  <c r="K29" i="13"/>
  <c r="C1676" i="19" s="1"/>
  <c r="H1676" i="19" s="1"/>
  <c r="F29" i="13"/>
  <c r="C29" i="13"/>
  <c r="M28" i="13"/>
  <c r="L28" i="13"/>
  <c r="N28" i="13" s="1"/>
  <c r="K28" i="13"/>
  <c r="C28" i="13"/>
  <c r="M26" i="13"/>
  <c r="L26" i="13"/>
  <c r="K26" i="13"/>
  <c r="E1768" i="19" s="1"/>
  <c r="F26" i="13"/>
  <c r="C26" i="13"/>
  <c r="M25" i="13"/>
  <c r="L25" i="13"/>
  <c r="K25" i="13"/>
  <c r="H25" i="13"/>
  <c r="C25" i="13"/>
  <c r="M24" i="13"/>
  <c r="L24" i="13"/>
  <c r="N24" i="13" s="1"/>
  <c r="E2688" i="23" s="1"/>
  <c r="K24" i="13"/>
  <c r="H24" i="13"/>
  <c r="G24" i="13"/>
  <c r="D2641" i="23" s="1"/>
  <c r="C24" i="13"/>
  <c r="M22" i="13"/>
  <c r="H22" i="13" s="1"/>
  <c r="L22" i="13"/>
  <c r="K22" i="13"/>
  <c r="C22" i="13"/>
  <c r="M21" i="13"/>
  <c r="L21" i="13"/>
  <c r="N21" i="13" s="1"/>
  <c r="E2685" i="23" s="1"/>
  <c r="K21" i="13"/>
  <c r="H21" i="13"/>
  <c r="G21" i="13"/>
  <c r="F21" i="13"/>
  <c r="C21" i="13"/>
  <c r="N1716" i="19" s="1"/>
  <c r="M20" i="13"/>
  <c r="H20" i="13" s="1"/>
  <c r="L20" i="13"/>
  <c r="K20" i="13"/>
  <c r="C20" i="13"/>
  <c r="M19" i="13"/>
  <c r="L19" i="13"/>
  <c r="K19" i="13"/>
  <c r="O19" i="13" s="1"/>
  <c r="F19" i="13"/>
  <c r="C19" i="13"/>
  <c r="M18" i="13"/>
  <c r="H18" i="13" s="1"/>
  <c r="L18" i="13"/>
  <c r="K18" i="13"/>
  <c r="O18" i="13" s="1"/>
  <c r="C18" i="13"/>
  <c r="M17" i="13"/>
  <c r="L17" i="13"/>
  <c r="K17" i="13"/>
  <c r="H17" i="13"/>
  <c r="G17" i="13"/>
  <c r="F17" i="13"/>
  <c r="C17" i="13"/>
  <c r="M16" i="13"/>
  <c r="H16" i="13" s="1"/>
  <c r="L16" i="13"/>
  <c r="K16" i="13"/>
  <c r="C16" i="13"/>
  <c r="M15" i="13"/>
  <c r="L15" i="13"/>
  <c r="K15" i="13"/>
  <c r="C1757" i="19" s="1"/>
  <c r="H1757" i="19" s="1"/>
  <c r="F15" i="13"/>
  <c r="R15" i="13" s="1"/>
  <c r="C15" i="13"/>
  <c r="M14" i="13"/>
  <c r="L14" i="13"/>
  <c r="K14" i="13"/>
  <c r="H14" i="13"/>
  <c r="G14" i="13"/>
  <c r="D2631" i="23" s="1"/>
  <c r="C14" i="13"/>
  <c r="M13" i="13"/>
  <c r="L13" i="13"/>
  <c r="N13" i="13" s="1"/>
  <c r="E2677" i="23" s="1"/>
  <c r="K13" i="13"/>
  <c r="H13" i="13"/>
  <c r="I13" i="13" s="1"/>
  <c r="D2677" i="23" s="1"/>
  <c r="G13" i="13"/>
  <c r="D2630" i="23" s="1"/>
  <c r="C13" i="13"/>
  <c r="M12" i="13"/>
  <c r="H12" i="13" s="1"/>
  <c r="L12" i="13"/>
  <c r="D1754" i="19" s="1"/>
  <c r="I1754" i="19" s="1"/>
  <c r="K12" i="13"/>
  <c r="S12" i="13" s="1"/>
  <c r="C12" i="13"/>
  <c r="M11" i="13"/>
  <c r="L11" i="13"/>
  <c r="U11" i="13" s="1"/>
  <c r="K11" i="13"/>
  <c r="H11" i="13"/>
  <c r="G11" i="13"/>
  <c r="D2628" i="23" s="1"/>
  <c r="F11" i="13"/>
  <c r="R11" i="13" s="1"/>
  <c r="C11" i="13"/>
  <c r="O10" i="13"/>
  <c r="M10" i="13"/>
  <c r="L10" i="13"/>
  <c r="U10" i="13" s="1"/>
  <c r="K10" i="13"/>
  <c r="H10" i="13"/>
  <c r="G10" i="13"/>
  <c r="C10" i="13"/>
  <c r="M9" i="13"/>
  <c r="L9" i="13"/>
  <c r="N9" i="13" s="1"/>
  <c r="E2673" i="23" s="1"/>
  <c r="K9" i="13"/>
  <c r="S9" i="13" s="1"/>
  <c r="H9" i="13"/>
  <c r="G9" i="13"/>
  <c r="C9" i="13"/>
  <c r="S8" i="13"/>
  <c r="M8" i="13"/>
  <c r="H8" i="13" s="1"/>
  <c r="L8" i="13"/>
  <c r="U8" i="13" s="1"/>
  <c r="K8" i="13"/>
  <c r="F8" i="13"/>
  <c r="C8" i="13"/>
  <c r="M7" i="13"/>
  <c r="L7" i="13"/>
  <c r="K7" i="13"/>
  <c r="H7" i="13"/>
  <c r="G7" i="13"/>
  <c r="D2624" i="23" s="1"/>
  <c r="F7" i="13"/>
  <c r="C7" i="13"/>
  <c r="M6" i="13"/>
  <c r="H6" i="13" s="1"/>
  <c r="L6" i="13"/>
  <c r="G6" i="13" s="1"/>
  <c r="K6" i="13"/>
  <c r="C6" i="13"/>
  <c r="M5" i="13"/>
  <c r="L5" i="13"/>
  <c r="N5" i="13" s="1"/>
  <c r="E2669" i="23" s="1"/>
  <c r="K5" i="13"/>
  <c r="S5" i="13" s="1"/>
  <c r="H5" i="13"/>
  <c r="G5" i="13"/>
  <c r="D2622" i="23" s="1"/>
  <c r="F5" i="13"/>
  <c r="R5" i="13" s="1"/>
  <c r="C5" i="13"/>
  <c r="M4" i="13"/>
  <c r="H4" i="13" s="1"/>
  <c r="L4" i="13"/>
  <c r="K4" i="13"/>
  <c r="F4" i="13"/>
  <c r="C4" i="13"/>
  <c r="P1" i="13"/>
  <c r="B1" i="13"/>
  <c r="N66" i="15"/>
  <c r="N65" i="15"/>
  <c r="E570" i="23" s="1"/>
  <c r="I65" i="15"/>
  <c r="D570" i="23" s="1"/>
  <c r="N64" i="15"/>
  <c r="N63" i="15"/>
  <c r="N62" i="15"/>
  <c r="E567" i="23" s="1"/>
  <c r="N61" i="15"/>
  <c r="N60" i="15"/>
  <c r="K43" i="15"/>
  <c r="U40" i="15"/>
  <c r="T40" i="15"/>
  <c r="S40" i="15"/>
  <c r="R40" i="15"/>
  <c r="U39" i="15"/>
  <c r="T39" i="15"/>
  <c r="S39" i="15"/>
  <c r="R39" i="15"/>
  <c r="M35" i="15"/>
  <c r="H35" i="15" s="1"/>
  <c r="L35" i="15"/>
  <c r="K35" i="15"/>
  <c r="S35" i="15" s="1"/>
  <c r="G35" i="15"/>
  <c r="F35" i="15"/>
  <c r="C35" i="15"/>
  <c r="M34" i="15"/>
  <c r="L34" i="15"/>
  <c r="G34" i="15" s="1"/>
  <c r="D527" i="23" s="1"/>
  <c r="K34" i="15"/>
  <c r="H34" i="15"/>
  <c r="C34" i="15"/>
  <c r="N33" i="15"/>
  <c r="E560" i="23" s="1"/>
  <c r="M33" i="15"/>
  <c r="L33" i="15"/>
  <c r="K33" i="15"/>
  <c r="H33" i="15"/>
  <c r="G33" i="15"/>
  <c r="C33" i="15"/>
  <c r="M32" i="15"/>
  <c r="L32" i="15"/>
  <c r="K32" i="15"/>
  <c r="S32" i="15" s="1"/>
  <c r="F32" i="15"/>
  <c r="J32" i="15" s="1"/>
  <c r="C32" i="15"/>
  <c r="M31" i="15"/>
  <c r="L31" i="15"/>
  <c r="K31" i="15"/>
  <c r="H31" i="15"/>
  <c r="G31" i="15"/>
  <c r="D524" i="23" s="1"/>
  <c r="F31" i="15"/>
  <c r="D602" i="23" s="1"/>
  <c r="C31" i="15"/>
  <c r="M30" i="15"/>
  <c r="H30" i="15" s="1"/>
  <c r="L30" i="15"/>
  <c r="K30" i="15"/>
  <c r="C30" i="15"/>
  <c r="M29" i="15"/>
  <c r="L29" i="15"/>
  <c r="N29" i="15" s="1"/>
  <c r="E556" i="23" s="1"/>
  <c r="K29" i="15"/>
  <c r="O29" i="15" s="1"/>
  <c r="H29" i="15"/>
  <c r="G29" i="15"/>
  <c r="D522" i="23" s="1"/>
  <c r="F29" i="15"/>
  <c r="R29" i="15" s="1"/>
  <c r="C29" i="15"/>
  <c r="M28" i="15"/>
  <c r="H28" i="15" s="1"/>
  <c r="L28" i="15"/>
  <c r="K28" i="15"/>
  <c r="F28" i="15"/>
  <c r="C28" i="15"/>
  <c r="M27" i="15"/>
  <c r="L27" i="15"/>
  <c r="K27" i="15"/>
  <c r="H27" i="15"/>
  <c r="F27" i="15"/>
  <c r="C27" i="15"/>
  <c r="M26" i="15"/>
  <c r="H26" i="15" s="1"/>
  <c r="L26" i="15"/>
  <c r="K26" i="15"/>
  <c r="C26" i="15"/>
  <c r="M25" i="15"/>
  <c r="L25" i="15"/>
  <c r="K25" i="15"/>
  <c r="H25" i="15"/>
  <c r="G25" i="15"/>
  <c r="D518" i="23" s="1"/>
  <c r="C25" i="15"/>
  <c r="M24" i="15"/>
  <c r="L24" i="15"/>
  <c r="K24" i="15"/>
  <c r="H24" i="15"/>
  <c r="G24" i="15"/>
  <c r="F24" i="15"/>
  <c r="C24" i="15"/>
  <c r="M23" i="15"/>
  <c r="H23" i="15" s="1"/>
  <c r="L23" i="15"/>
  <c r="K23" i="15"/>
  <c r="G23" i="15"/>
  <c r="F23" i="15"/>
  <c r="D594" i="23" s="1"/>
  <c r="C23" i="15"/>
  <c r="M22" i="15"/>
  <c r="L22" i="15"/>
  <c r="K22" i="15"/>
  <c r="H22" i="15"/>
  <c r="C22" i="15"/>
  <c r="M21" i="15"/>
  <c r="N21" i="15" s="1"/>
  <c r="E548" i="23" s="1"/>
  <c r="L21" i="15"/>
  <c r="K21" i="15"/>
  <c r="S21" i="15" s="1"/>
  <c r="F21" i="15"/>
  <c r="R21" i="15" s="1"/>
  <c r="C21" i="15"/>
  <c r="M20" i="15"/>
  <c r="L20" i="15"/>
  <c r="U20" i="15" s="1"/>
  <c r="K20" i="15"/>
  <c r="O20" i="15" s="1"/>
  <c r="H20" i="15"/>
  <c r="G20" i="15"/>
  <c r="C20" i="15"/>
  <c r="M19" i="15"/>
  <c r="H19" i="15" s="1"/>
  <c r="L19" i="15"/>
  <c r="K19" i="15"/>
  <c r="G19" i="15"/>
  <c r="C19" i="15"/>
  <c r="M18" i="15"/>
  <c r="L18" i="15"/>
  <c r="K18" i="15"/>
  <c r="H18" i="15"/>
  <c r="G18" i="15"/>
  <c r="C18" i="15"/>
  <c r="N1955" i="19" s="1"/>
  <c r="M17" i="15"/>
  <c r="H17" i="15" s="1"/>
  <c r="L17" i="15"/>
  <c r="K17" i="15"/>
  <c r="S17" i="15" s="1"/>
  <c r="G17" i="15"/>
  <c r="F17" i="15"/>
  <c r="C17" i="15"/>
  <c r="M16" i="15"/>
  <c r="L16" i="15"/>
  <c r="K16" i="15"/>
  <c r="S16" i="15" s="1"/>
  <c r="H16" i="15"/>
  <c r="G16" i="15"/>
  <c r="C16" i="15"/>
  <c r="M15" i="15"/>
  <c r="H15" i="15" s="1"/>
  <c r="L15" i="15"/>
  <c r="K15" i="15"/>
  <c r="C15" i="15"/>
  <c r="M14" i="15"/>
  <c r="L14" i="15"/>
  <c r="K14" i="15"/>
  <c r="F14" i="15"/>
  <c r="C14" i="15"/>
  <c r="M13" i="15"/>
  <c r="L13" i="15"/>
  <c r="K13" i="15"/>
  <c r="S13" i="15" s="1"/>
  <c r="F13" i="15"/>
  <c r="R13" i="15" s="1"/>
  <c r="C13" i="15"/>
  <c r="M11" i="15"/>
  <c r="H11" i="15" s="1"/>
  <c r="L11" i="15"/>
  <c r="K11" i="15"/>
  <c r="S11" i="15" s="1"/>
  <c r="F11" i="15"/>
  <c r="C11" i="15"/>
  <c r="M10" i="15"/>
  <c r="H10" i="15" s="1"/>
  <c r="L10" i="15"/>
  <c r="K10" i="15"/>
  <c r="F10" i="15"/>
  <c r="R10" i="15" s="1"/>
  <c r="C10" i="15"/>
  <c r="N1947" i="19" s="1"/>
  <c r="M9" i="15"/>
  <c r="H9" i="15" s="1"/>
  <c r="L9" i="15"/>
  <c r="N9" i="15" s="1"/>
  <c r="E536" i="23" s="1"/>
  <c r="K9" i="15"/>
  <c r="C9" i="15"/>
  <c r="S8" i="15"/>
  <c r="M8" i="15"/>
  <c r="L8" i="15"/>
  <c r="K8" i="15"/>
  <c r="E2010" i="19" s="1"/>
  <c r="H8" i="15"/>
  <c r="G8" i="15"/>
  <c r="F8" i="15"/>
  <c r="R8" i="15" s="1"/>
  <c r="C8" i="15"/>
  <c r="M7" i="15"/>
  <c r="H7" i="15" s="1"/>
  <c r="L7" i="15"/>
  <c r="K7" i="15"/>
  <c r="F7" i="15"/>
  <c r="J7" i="15" s="1"/>
  <c r="C7" i="15"/>
  <c r="M6" i="15"/>
  <c r="L6" i="15"/>
  <c r="K6" i="15"/>
  <c r="C6" i="15"/>
  <c r="M5" i="15"/>
  <c r="L5" i="15"/>
  <c r="K5" i="15"/>
  <c r="C5" i="15"/>
  <c r="M4" i="15"/>
  <c r="L4" i="15"/>
  <c r="K4" i="15"/>
  <c r="O4" i="15" s="1"/>
  <c r="H4" i="15"/>
  <c r="G4" i="15"/>
  <c r="C4" i="15"/>
  <c r="P1" i="15"/>
  <c r="M71" i="28"/>
  <c r="H71" i="28" s="1"/>
  <c r="L71" i="28"/>
  <c r="K71" i="28"/>
  <c r="C71" i="28"/>
  <c r="M70" i="28"/>
  <c r="H70" i="28" s="1"/>
  <c r="L70" i="28"/>
  <c r="K70" i="28"/>
  <c r="O70" i="28" s="1"/>
  <c r="C70" i="28"/>
  <c r="M69" i="28"/>
  <c r="H69" i="28" s="1"/>
  <c r="L69" i="28"/>
  <c r="K69" i="28"/>
  <c r="C69" i="28"/>
  <c r="M68" i="28"/>
  <c r="H68" i="28" s="1"/>
  <c r="L68" i="28"/>
  <c r="K68" i="28"/>
  <c r="O68" i="28" s="1"/>
  <c r="F68" i="28"/>
  <c r="C68" i="28"/>
  <c r="O67" i="28"/>
  <c r="M67" i="28"/>
  <c r="L67" i="28"/>
  <c r="K67" i="28"/>
  <c r="E2233" i="19" s="1"/>
  <c r="H67" i="28"/>
  <c r="G67" i="28"/>
  <c r="D738" i="23" s="1"/>
  <c r="F67" i="28"/>
  <c r="C67" i="28"/>
  <c r="M66" i="28"/>
  <c r="H66" i="28" s="1"/>
  <c r="L66" i="28"/>
  <c r="K66" i="28"/>
  <c r="C66" i="28"/>
  <c r="M65" i="28"/>
  <c r="L65" i="28"/>
  <c r="K65" i="28"/>
  <c r="H65" i="28"/>
  <c r="G65" i="28"/>
  <c r="D736" i="23" s="1"/>
  <c r="C65" i="28"/>
  <c r="O64" i="28"/>
  <c r="M64" i="28"/>
  <c r="H64" i="28" s="1"/>
  <c r="L64" i="28"/>
  <c r="N64" i="28" s="1"/>
  <c r="E769" i="23" s="1"/>
  <c r="K64" i="28"/>
  <c r="G64" i="28"/>
  <c r="D735" i="23" s="1"/>
  <c r="F64" i="28"/>
  <c r="D803" i="23" s="1"/>
  <c r="C64" i="28"/>
  <c r="M63" i="28"/>
  <c r="L63" i="28"/>
  <c r="K63" i="28"/>
  <c r="F63" i="28" s="1"/>
  <c r="H63" i="28"/>
  <c r="G63" i="28"/>
  <c r="C63" i="28"/>
  <c r="M62" i="28"/>
  <c r="L62" i="28"/>
  <c r="K62" i="28"/>
  <c r="H62" i="28"/>
  <c r="C62" i="28"/>
  <c r="M61" i="28"/>
  <c r="L61" i="28"/>
  <c r="D2227" i="19" s="1"/>
  <c r="I2227" i="19" s="1"/>
  <c r="K61" i="28"/>
  <c r="F61" i="28" s="1"/>
  <c r="H61" i="28"/>
  <c r="I61" i="28" s="1"/>
  <c r="D766" i="23" s="1"/>
  <c r="G61" i="28"/>
  <c r="D732" i="23" s="1"/>
  <c r="C61" i="28"/>
  <c r="M60" i="28"/>
  <c r="H60" i="28" s="1"/>
  <c r="L60" i="28"/>
  <c r="K60" i="28"/>
  <c r="F60" i="28"/>
  <c r="D799" i="23" s="1"/>
  <c r="C60" i="28"/>
  <c r="M59" i="28"/>
  <c r="L59" i="28"/>
  <c r="N59" i="28" s="1"/>
  <c r="E764" i="23" s="1"/>
  <c r="K59" i="28"/>
  <c r="O59" i="28" s="1"/>
  <c r="H59" i="28"/>
  <c r="C59" i="28"/>
  <c r="O58" i="28"/>
  <c r="M58" i="28"/>
  <c r="L58" i="28"/>
  <c r="K58" i="28"/>
  <c r="H58" i="28"/>
  <c r="G58" i="28"/>
  <c r="F58" i="28"/>
  <c r="C58" i="28"/>
  <c r="M57" i="28"/>
  <c r="H57" i="28" s="1"/>
  <c r="L57" i="28"/>
  <c r="K57" i="28"/>
  <c r="O57" i="28" s="1"/>
  <c r="F57" i="28"/>
  <c r="D796" i="23" s="1"/>
  <c r="C57" i="28"/>
  <c r="M56" i="28"/>
  <c r="L56" i="28"/>
  <c r="K56" i="28"/>
  <c r="O56" i="28" s="1"/>
  <c r="H56" i="28"/>
  <c r="G56" i="28"/>
  <c r="D727" i="23" s="1"/>
  <c r="F56" i="28"/>
  <c r="C56" i="28"/>
  <c r="O55" i="28"/>
  <c r="M55" i="28"/>
  <c r="H55" i="28" s="1"/>
  <c r="L55" i="28"/>
  <c r="K55" i="28"/>
  <c r="F55" i="28"/>
  <c r="C55" i="28"/>
  <c r="M54" i="28"/>
  <c r="L54" i="28"/>
  <c r="K54" i="28"/>
  <c r="O54" i="28" s="1"/>
  <c r="H54" i="28"/>
  <c r="G54" i="28"/>
  <c r="D725" i="23" s="1"/>
  <c r="F54" i="28"/>
  <c r="C54" i="28"/>
  <c r="M53" i="28"/>
  <c r="L53" i="28"/>
  <c r="D2219" i="19" s="1"/>
  <c r="I2219" i="19" s="1"/>
  <c r="K53" i="28"/>
  <c r="E792" i="23" s="1"/>
  <c r="H53" i="28"/>
  <c r="G53" i="28"/>
  <c r="F53" i="28"/>
  <c r="C53" i="28"/>
  <c r="M52" i="28"/>
  <c r="L52" i="28"/>
  <c r="K52" i="28"/>
  <c r="H52" i="28"/>
  <c r="G52" i="28"/>
  <c r="D723" i="23" s="1"/>
  <c r="F52" i="28"/>
  <c r="D791" i="23" s="1"/>
  <c r="C52" i="28"/>
  <c r="M51" i="28"/>
  <c r="H51" i="28" s="1"/>
  <c r="L51" i="28"/>
  <c r="D2217" i="19" s="1"/>
  <c r="I2217" i="19" s="1"/>
  <c r="K51" i="28"/>
  <c r="C51" i="28"/>
  <c r="O50" i="28"/>
  <c r="M50" i="28"/>
  <c r="L50" i="28"/>
  <c r="N50" i="28" s="1"/>
  <c r="E755" i="23" s="1"/>
  <c r="K50" i="28"/>
  <c r="H50" i="28"/>
  <c r="G50" i="28"/>
  <c r="C50" i="28"/>
  <c r="M49" i="28"/>
  <c r="H49" i="28" s="1"/>
  <c r="L49" i="28"/>
  <c r="K49" i="28"/>
  <c r="O49" i="28" s="1"/>
  <c r="C49" i="28"/>
  <c r="N2183" i="19" s="1"/>
  <c r="M47" i="28"/>
  <c r="L47" i="28"/>
  <c r="G47" i="28" s="1"/>
  <c r="K47" i="28"/>
  <c r="F47" i="28" s="1"/>
  <c r="H47" i="28"/>
  <c r="C47" i="28"/>
  <c r="M46" i="28"/>
  <c r="H46" i="28" s="1"/>
  <c r="L46" i="28"/>
  <c r="N46" i="28" s="1"/>
  <c r="E751" i="23" s="1"/>
  <c r="K46" i="28"/>
  <c r="G46" i="28"/>
  <c r="C46" i="28"/>
  <c r="M45" i="28"/>
  <c r="N45" i="28" s="1"/>
  <c r="E750" i="23" s="1"/>
  <c r="L45" i="28"/>
  <c r="K45" i="28"/>
  <c r="O45" i="28" s="1"/>
  <c r="G45" i="28"/>
  <c r="F45" i="28"/>
  <c r="C45" i="28"/>
  <c r="M44" i="28"/>
  <c r="D2178" i="19" s="1"/>
  <c r="I2178" i="19" s="1"/>
  <c r="L44" i="28"/>
  <c r="K44" i="28"/>
  <c r="O44" i="28" s="1"/>
  <c r="H44" i="28"/>
  <c r="G44" i="28"/>
  <c r="D715" i="23" s="1"/>
  <c r="F44" i="28"/>
  <c r="C44" i="28"/>
  <c r="M43" i="28"/>
  <c r="L43" i="28"/>
  <c r="K43" i="28"/>
  <c r="H43" i="28"/>
  <c r="F43" i="28"/>
  <c r="D782" i="23" s="1"/>
  <c r="C43" i="28"/>
  <c r="M42" i="28"/>
  <c r="N42" i="28" s="1"/>
  <c r="E747" i="23" s="1"/>
  <c r="L42" i="28"/>
  <c r="K42" i="28"/>
  <c r="H42" i="28"/>
  <c r="I42" i="28" s="1"/>
  <c r="D747" i="23" s="1"/>
  <c r="G42" i="28"/>
  <c r="D713" i="23" s="1"/>
  <c r="C42" i="28"/>
  <c r="M41" i="28"/>
  <c r="M47" i="15" s="1"/>
  <c r="L41" i="28"/>
  <c r="G41" i="28" s="1"/>
  <c r="K41" i="28"/>
  <c r="H41" i="28"/>
  <c r="C41" i="28"/>
  <c r="M40" i="28"/>
  <c r="L40" i="28"/>
  <c r="K40" i="28"/>
  <c r="H40" i="28"/>
  <c r="C40" i="28"/>
  <c r="M35" i="28"/>
  <c r="L35" i="28"/>
  <c r="K35" i="28"/>
  <c r="H35" i="28"/>
  <c r="C35" i="28"/>
  <c r="M34" i="28"/>
  <c r="L34" i="28"/>
  <c r="N34" i="28" s="1"/>
  <c r="E673" i="23" s="1"/>
  <c r="K34" i="28"/>
  <c r="H34" i="28"/>
  <c r="G34" i="28"/>
  <c r="F34" i="28"/>
  <c r="C34" i="28"/>
  <c r="M33" i="28"/>
  <c r="H33" i="28" s="1"/>
  <c r="L33" i="28"/>
  <c r="K33" i="28"/>
  <c r="C33" i="28"/>
  <c r="M32" i="28"/>
  <c r="L32" i="28"/>
  <c r="K32" i="28"/>
  <c r="S32" i="28" s="1"/>
  <c r="H32" i="28"/>
  <c r="C32" i="28"/>
  <c r="M31" i="28"/>
  <c r="L31" i="28"/>
  <c r="N31" i="28" s="1"/>
  <c r="E670" i="23" s="1"/>
  <c r="K31" i="28"/>
  <c r="H31" i="28"/>
  <c r="G31" i="28"/>
  <c r="F31" i="28"/>
  <c r="R31" i="28" s="1"/>
  <c r="C31" i="28"/>
  <c r="M30" i="28"/>
  <c r="L30" i="28"/>
  <c r="U30" i="28" s="1"/>
  <c r="K30" i="28"/>
  <c r="F30" i="28" s="1"/>
  <c r="J30" i="28"/>
  <c r="H30" i="28"/>
  <c r="G30" i="28"/>
  <c r="C30" i="28"/>
  <c r="M29" i="28"/>
  <c r="H29" i="28" s="1"/>
  <c r="L29" i="28"/>
  <c r="D2135" i="19" s="1"/>
  <c r="I2135" i="19" s="1"/>
  <c r="K29" i="28"/>
  <c r="S29" i="28" s="1"/>
  <c r="C29" i="28"/>
  <c r="M28" i="28"/>
  <c r="L28" i="28"/>
  <c r="K28" i="28"/>
  <c r="U28" i="28" s="1"/>
  <c r="H28" i="28"/>
  <c r="G28" i="28"/>
  <c r="D633" i="23" s="1"/>
  <c r="F28" i="28"/>
  <c r="C28" i="28"/>
  <c r="S27" i="28"/>
  <c r="R27" i="28"/>
  <c r="O27" i="28"/>
  <c r="M27" i="28"/>
  <c r="L27" i="28"/>
  <c r="K27" i="28"/>
  <c r="H27" i="28"/>
  <c r="G27" i="28"/>
  <c r="F27" i="28"/>
  <c r="C27" i="28"/>
  <c r="M26" i="28"/>
  <c r="L26" i="28"/>
  <c r="N26" i="28" s="1"/>
  <c r="E665" i="23" s="1"/>
  <c r="K26" i="28"/>
  <c r="H26" i="28"/>
  <c r="C26" i="28"/>
  <c r="M25" i="28"/>
  <c r="L25" i="28"/>
  <c r="K25" i="28"/>
  <c r="H25" i="28"/>
  <c r="G25" i="28"/>
  <c r="F25" i="28"/>
  <c r="C25" i="28"/>
  <c r="M24" i="28"/>
  <c r="L24" i="28"/>
  <c r="K24" i="28"/>
  <c r="H24" i="28"/>
  <c r="C24" i="28"/>
  <c r="M23" i="28"/>
  <c r="H23" i="28" s="1"/>
  <c r="L23" i="28"/>
  <c r="K23" i="28"/>
  <c r="C23" i="28"/>
  <c r="M22" i="28"/>
  <c r="L22" i="28"/>
  <c r="K22" i="28"/>
  <c r="S22" i="28" s="1"/>
  <c r="H22" i="28"/>
  <c r="G22" i="28"/>
  <c r="F22" i="28"/>
  <c r="C22" i="28"/>
  <c r="M21" i="28"/>
  <c r="H21" i="28" s="1"/>
  <c r="L21" i="28"/>
  <c r="K21" i="28"/>
  <c r="O21" i="28" s="1"/>
  <c r="G21" i="28"/>
  <c r="C21" i="28"/>
  <c r="M20" i="28"/>
  <c r="L20" i="28"/>
  <c r="N20" i="28" s="1"/>
  <c r="E659" i="23" s="1"/>
  <c r="K20" i="28"/>
  <c r="O20" i="28" s="1"/>
  <c r="H20" i="28"/>
  <c r="I20" i="28" s="1"/>
  <c r="D659" i="23" s="1"/>
  <c r="G20" i="28"/>
  <c r="D625" i="23" s="1"/>
  <c r="C20" i="28"/>
  <c r="N2126" i="19" s="1"/>
  <c r="M19" i="28"/>
  <c r="H19" i="28" s="1"/>
  <c r="L19" i="28"/>
  <c r="K19" i="28"/>
  <c r="U19" i="28" s="1"/>
  <c r="F19" i="28"/>
  <c r="C19" i="28"/>
  <c r="M18" i="28"/>
  <c r="L18" i="28"/>
  <c r="N18" i="28" s="1"/>
  <c r="E657" i="23" s="1"/>
  <c r="K18" i="28"/>
  <c r="H18" i="28"/>
  <c r="G18" i="28"/>
  <c r="D623" i="23" s="1"/>
  <c r="F18" i="28"/>
  <c r="R18" i="28" s="1"/>
  <c r="C18" i="28"/>
  <c r="M17" i="28"/>
  <c r="N17" i="28" s="1"/>
  <c r="E656" i="23" s="1"/>
  <c r="L17" i="28"/>
  <c r="K17" i="28"/>
  <c r="O17" i="28" s="1"/>
  <c r="H17" i="28"/>
  <c r="G17" i="28"/>
  <c r="D622" i="23" s="1"/>
  <c r="C17" i="28"/>
  <c r="M16" i="28"/>
  <c r="L16" i="28"/>
  <c r="D2122" i="19" s="1"/>
  <c r="I2122" i="19" s="1"/>
  <c r="K16" i="28"/>
  <c r="H16" i="28"/>
  <c r="G16" i="28"/>
  <c r="D621" i="23" s="1"/>
  <c r="F16" i="28"/>
  <c r="R16" i="28" s="1"/>
  <c r="C16" i="28"/>
  <c r="M15" i="28"/>
  <c r="H15" i="28" s="1"/>
  <c r="L15" i="28"/>
  <c r="E620" i="23" s="1"/>
  <c r="K15" i="28"/>
  <c r="F15" i="28"/>
  <c r="C15" i="28"/>
  <c r="O14" i="28"/>
  <c r="M14" i="28"/>
  <c r="L14" i="28"/>
  <c r="K14" i="28"/>
  <c r="C2056" i="19" s="1"/>
  <c r="H2056" i="19" s="1"/>
  <c r="F14" i="28"/>
  <c r="C14" i="28"/>
  <c r="N2088" i="19" s="1"/>
  <c r="M13" i="28"/>
  <c r="L13" i="28"/>
  <c r="K13" i="28"/>
  <c r="G13" i="28"/>
  <c r="C13" i="28"/>
  <c r="M11" i="28"/>
  <c r="H11" i="28" s="1"/>
  <c r="L11" i="28"/>
  <c r="K11" i="28"/>
  <c r="D2053" i="19" s="1"/>
  <c r="I2053" i="19" s="1"/>
  <c r="C11" i="28"/>
  <c r="M10" i="28"/>
  <c r="H10" i="28" s="1"/>
  <c r="L10" i="28"/>
  <c r="K10" i="28"/>
  <c r="F10" i="28"/>
  <c r="C10" i="28"/>
  <c r="M9" i="28"/>
  <c r="H9" i="28" s="1"/>
  <c r="L9" i="28"/>
  <c r="K9" i="28"/>
  <c r="C9" i="28"/>
  <c r="M8" i="28"/>
  <c r="L8" i="28"/>
  <c r="N8" i="28" s="1"/>
  <c r="E647" i="23" s="1"/>
  <c r="K8" i="28"/>
  <c r="U8" i="28" s="1"/>
  <c r="H8" i="28"/>
  <c r="G8" i="28"/>
  <c r="D613" i="23" s="1"/>
  <c r="F8" i="28"/>
  <c r="J8" i="28" s="1"/>
  <c r="C8" i="28"/>
  <c r="S7" i="28"/>
  <c r="M7" i="28"/>
  <c r="H7" i="28" s="1"/>
  <c r="L7" i="28"/>
  <c r="K7" i="28"/>
  <c r="C7" i="28"/>
  <c r="M6" i="28"/>
  <c r="L6" i="28"/>
  <c r="K6" i="28"/>
  <c r="U6" i="28" s="1"/>
  <c r="G6" i="28"/>
  <c r="F6" i="28"/>
  <c r="C6" i="28"/>
  <c r="M5" i="28"/>
  <c r="L5" i="28"/>
  <c r="K5" i="28"/>
  <c r="C5" i="28"/>
  <c r="S4" i="28"/>
  <c r="M4" i="28"/>
  <c r="H4" i="28" s="1"/>
  <c r="L4" i="28"/>
  <c r="K4" i="28"/>
  <c r="O4" i="28" s="1"/>
  <c r="G4" i="28"/>
  <c r="F4" i="28"/>
  <c r="C4" i="28"/>
  <c r="P1" i="28"/>
  <c r="M50" i="11"/>
  <c r="L50" i="11"/>
  <c r="K50" i="11"/>
  <c r="H50" i="11"/>
  <c r="G50" i="11"/>
  <c r="D2478" i="23" s="1"/>
  <c r="C50" i="11"/>
  <c r="U49" i="11"/>
  <c r="T49" i="11"/>
  <c r="S49" i="11"/>
  <c r="R49" i="11"/>
  <c r="C49" i="11"/>
  <c r="M47" i="11"/>
  <c r="H47" i="11" s="1"/>
  <c r="L47" i="11"/>
  <c r="C1451" i="19" s="1"/>
  <c r="H1451" i="19" s="1"/>
  <c r="K47" i="11"/>
  <c r="S47" i="11" s="1"/>
  <c r="C47" i="11"/>
  <c r="M46" i="11"/>
  <c r="L46" i="11"/>
  <c r="N46" i="11" s="1"/>
  <c r="E2522" i="23" s="1"/>
  <c r="K46" i="11"/>
  <c r="U46" i="11" s="1"/>
  <c r="H46" i="11"/>
  <c r="G46" i="11"/>
  <c r="D2475" i="23" s="1"/>
  <c r="F46" i="11"/>
  <c r="C46" i="11"/>
  <c r="M45" i="11"/>
  <c r="L45" i="11"/>
  <c r="U45" i="11" s="1"/>
  <c r="K45" i="11"/>
  <c r="H45" i="11"/>
  <c r="G45" i="11"/>
  <c r="C45" i="11"/>
  <c r="M43" i="11"/>
  <c r="H43" i="11" s="1"/>
  <c r="L43" i="11"/>
  <c r="K43" i="11"/>
  <c r="C1494" i="19" s="1"/>
  <c r="H1494" i="19" s="1"/>
  <c r="F43" i="11"/>
  <c r="D348" i="23" s="1"/>
  <c r="C43" i="11"/>
  <c r="M42" i="11"/>
  <c r="H42" i="11" s="1"/>
  <c r="L42" i="11"/>
  <c r="K42" i="11"/>
  <c r="C42" i="11"/>
  <c r="M41" i="11"/>
  <c r="L41" i="11"/>
  <c r="K41" i="11"/>
  <c r="U41" i="11" s="1"/>
  <c r="H41" i="11"/>
  <c r="G41" i="11"/>
  <c r="F41" i="11"/>
  <c r="T41" i="11" s="1"/>
  <c r="C41" i="11"/>
  <c r="M40" i="11"/>
  <c r="H40" i="11" s="1"/>
  <c r="L40" i="11"/>
  <c r="K40" i="11"/>
  <c r="U40" i="11" s="1"/>
  <c r="C40" i="11"/>
  <c r="M39" i="11"/>
  <c r="H39" i="11" s="1"/>
  <c r="L39" i="11"/>
  <c r="K39" i="11"/>
  <c r="C1490" i="19" s="1"/>
  <c r="H1490" i="19" s="1"/>
  <c r="F39" i="11"/>
  <c r="C39" i="11"/>
  <c r="M38" i="11"/>
  <c r="L38" i="11"/>
  <c r="G38" i="11" s="1"/>
  <c r="K38" i="11"/>
  <c r="C1392" i="19" s="1"/>
  <c r="H1392" i="19" s="1"/>
  <c r="H38" i="11"/>
  <c r="C38" i="11"/>
  <c r="M37" i="11"/>
  <c r="L37" i="11"/>
  <c r="C1440" i="19" s="1"/>
  <c r="H1440" i="19" s="1"/>
  <c r="K37" i="11"/>
  <c r="H37" i="11"/>
  <c r="G37" i="11"/>
  <c r="D2466" i="23" s="1"/>
  <c r="C37" i="11"/>
  <c r="M36" i="11"/>
  <c r="H36" i="11" s="1"/>
  <c r="L36" i="11"/>
  <c r="K36" i="11"/>
  <c r="F36" i="11"/>
  <c r="J36" i="11" s="1"/>
  <c r="C36" i="11"/>
  <c r="M35" i="11"/>
  <c r="H35" i="11" s="1"/>
  <c r="L35" i="11"/>
  <c r="K35" i="11"/>
  <c r="S35" i="11" s="1"/>
  <c r="G35" i="11"/>
  <c r="F35" i="11"/>
  <c r="C35" i="11"/>
  <c r="M34" i="11"/>
  <c r="H34" i="11" s="1"/>
  <c r="L34" i="11"/>
  <c r="K34" i="11"/>
  <c r="C34" i="11"/>
  <c r="M33" i="11"/>
  <c r="N33" i="11" s="1"/>
  <c r="E2509" i="23" s="1"/>
  <c r="L33" i="11"/>
  <c r="K33" i="11"/>
  <c r="S33" i="11" s="1"/>
  <c r="H33" i="11"/>
  <c r="G33" i="11"/>
  <c r="F33" i="11"/>
  <c r="C33" i="11"/>
  <c r="M32" i="11"/>
  <c r="H32" i="11" s="1"/>
  <c r="L32" i="11"/>
  <c r="D1435" i="19" s="1"/>
  <c r="I1435" i="19" s="1"/>
  <c r="K32" i="11"/>
  <c r="F32" i="11"/>
  <c r="C32" i="11"/>
  <c r="M31" i="11"/>
  <c r="H31" i="11" s="1"/>
  <c r="L31" i="11"/>
  <c r="K31" i="11"/>
  <c r="S31" i="11" s="1"/>
  <c r="G31" i="11"/>
  <c r="F31" i="11"/>
  <c r="C31" i="11"/>
  <c r="M30" i="11"/>
  <c r="H30" i="11" s="1"/>
  <c r="L30" i="11"/>
  <c r="K30" i="11"/>
  <c r="C30" i="11"/>
  <c r="N1384" i="19" s="1"/>
  <c r="M29" i="11"/>
  <c r="L29" i="11"/>
  <c r="N29" i="11" s="1"/>
  <c r="E2505" i="23" s="1"/>
  <c r="K29" i="11"/>
  <c r="H29" i="11"/>
  <c r="G29" i="11"/>
  <c r="D2458" i="23" s="1"/>
  <c r="C29" i="11"/>
  <c r="M28" i="11"/>
  <c r="H28" i="11" s="1"/>
  <c r="L28" i="11"/>
  <c r="S28" i="11" s="1"/>
  <c r="K28" i="11"/>
  <c r="F28" i="11"/>
  <c r="C28" i="11"/>
  <c r="M26" i="11"/>
  <c r="L26" i="11"/>
  <c r="K26" i="11"/>
  <c r="E331" i="23" s="1"/>
  <c r="H26" i="11"/>
  <c r="G26" i="11"/>
  <c r="D2455" i="23" s="1"/>
  <c r="F26" i="11"/>
  <c r="J26" i="11" s="1"/>
  <c r="C26" i="11"/>
  <c r="M25" i="11"/>
  <c r="H25" i="11" s="1"/>
  <c r="L25" i="11"/>
  <c r="K25" i="11"/>
  <c r="C25" i="11"/>
  <c r="S24" i="11"/>
  <c r="R24" i="11"/>
  <c r="O24" i="11"/>
  <c r="M24" i="11"/>
  <c r="H24" i="11" s="1"/>
  <c r="L24" i="11"/>
  <c r="K24" i="11"/>
  <c r="E329" i="23" s="1"/>
  <c r="F24" i="11"/>
  <c r="D329" i="23" s="1"/>
  <c r="C24" i="11"/>
  <c r="S22" i="11"/>
  <c r="M22" i="11"/>
  <c r="H22" i="11" s="1"/>
  <c r="L22" i="11"/>
  <c r="K22" i="11"/>
  <c r="C22" i="11"/>
  <c r="S21" i="11"/>
  <c r="O21" i="11"/>
  <c r="M21" i="11"/>
  <c r="L21" i="11"/>
  <c r="K21" i="11"/>
  <c r="C1375" i="19" s="1"/>
  <c r="H1375" i="19" s="1"/>
  <c r="H21" i="11"/>
  <c r="G21" i="11"/>
  <c r="F21" i="11"/>
  <c r="C21" i="11"/>
  <c r="M20" i="11"/>
  <c r="H20" i="11" s="1"/>
  <c r="L20" i="11"/>
  <c r="K20" i="11"/>
  <c r="C20" i="11"/>
  <c r="M19" i="11"/>
  <c r="L19" i="11"/>
  <c r="K19" i="11"/>
  <c r="H19" i="11"/>
  <c r="F19" i="11"/>
  <c r="R19" i="11" s="1"/>
  <c r="C19" i="11"/>
  <c r="M18" i="11"/>
  <c r="H18" i="11" s="1"/>
  <c r="L18" i="11"/>
  <c r="K18" i="11"/>
  <c r="D1372" i="19" s="1"/>
  <c r="I1372" i="19" s="1"/>
  <c r="G18" i="11"/>
  <c r="D2447" i="23" s="1"/>
  <c r="F18" i="11"/>
  <c r="C18" i="11"/>
  <c r="U17" i="11"/>
  <c r="S17" i="11"/>
  <c r="O17" i="11"/>
  <c r="M17" i="11"/>
  <c r="H17" i="11" s="1"/>
  <c r="L17" i="11"/>
  <c r="K17" i="11"/>
  <c r="G17" i="11"/>
  <c r="F17" i="11"/>
  <c r="C17" i="11"/>
  <c r="M16" i="11"/>
  <c r="L16" i="11"/>
  <c r="K16" i="11"/>
  <c r="U16" i="11" s="1"/>
  <c r="H16" i="11"/>
  <c r="G16" i="11"/>
  <c r="C16" i="11"/>
  <c r="M15" i="11"/>
  <c r="L15" i="11"/>
  <c r="K15" i="11"/>
  <c r="O15" i="11" s="1"/>
  <c r="H15" i="11"/>
  <c r="G15" i="11"/>
  <c r="D2444" i="23" s="1"/>
  <c r="C15" i="11"/>
  <c r="M14" i="11"/>
  <c r="H14" i="11" s="1"/>
  <c r="L14" i="11"/>
  <c r="C1416" i="19" s="1"/>
  <c r="H1416" i="19" s="1"/>
  <c r="K14" i="11"/>
  <c r="C1465" i="19" s="1"/>
  <c r="H1465" i="19" s="1"/>
  <c r="G14" i="11"/>
  <c r="D2443" i="23" s="1"/>
  <c r="F14" i="11"/>
  <c r="C14" i="11"/>
  <c r="M13" i="11"/>
  <c r="L13" i="11"/>
  <c r="C1415" i="19" s="1"/>
  <c r="H1415" i="19" s="1"/>
  <c r="K13" i="11"/>
  <c r="H13" i="11"/>
  <c r="G13" i="11"/>
  <c r="F13" i="11"/>
  <c r="D318" i="23" s="1"/>
  <c r="C13" i="11"/>
  <c r="M12" i="11"/>
  <c r="H12" i="11" s="1"/>
  <c r="L12" i="11"/>
  <c r="K12" i="11"/>
  <c r="C1366" i="19" s="1"/>
  <c r="H1366" i="19" s="1"/>
  <c r="C12" i="11"/>
  <c r="M11" i="11"/>
  <c r="L11" i="11"/>
  <c r="K11" i="11"/>
  <c r="F11" i="11" s="1"/>
  <c r="H11" i="11"/>
  <c r="G11" i="11"/>
  <c r="D2440" i="23" s="1"/>
  <c r="C11" i="11"/>
  <c r="M10" i="11"/>
  <c r="H10" i="11" s="1"/>
  <c r="L10" i="11"/>
  <c r="U10" i="11" s="1"/>
  <c r="K10" i="11"/>
  <c r="C1461" i="19" s="1"/>
  <c r="H1461" i="19" s="1"/>
  <c r="C10" i="11"/>
  <c r="N1412" i="19" s="1"/>
  <c r="M9" i="11"/>
  <c r="H9" i="11" s="1"/>
  <c r="L9" i="11"/>
  <c r="K9" i="11"/>
  <c r="S9" i="11" s="1"/>
  <c r="F9" i="11"/>
  <c r="C9" i="11"/>
  <c r="M8" i="11"/>
  <c r="H8" i="11" s="1"/>
  <c r="L8" i="11"/>
  <c r="K8" i="11"/>
  <c r="S8" i="11" s="1"/>
  <c r="G8" i="11"/>
  <c r="C8" i="11"/>
  <c r="M7" i="11"/>
  <c r="L7" i="11"/>
  <c r="K7" i="11"/>
  <c r="H7" i="11"/>
  <c r="G7" i="11"/>
  <c r="F7" i="11"/>
  <c r="C7" i="11"/>
  <c r="M6" i="11"/>
  <c r="H6" i="11" s="1"/>
  <c r="L6" i="11"/>
  <c r="K6" i="11"/>
  <c r="U6" i="11" s="1"/>
  <c r="G6" i="11"/>
  <c r="F6" i="11"/>
  <c r="C6" i="11"/>
  <c r="M5" i="11"/>
  <c r="L5" i="11"/>
  <c r="G5" i="11" s="1"/>
  <c r="K5" i="11"/>
  <c r="E1456" i="19" s="1"/>
  <c r="H5" i="11"/>
  <c r="F5" i="11"/>
  <c r="D310" i="23" s="1"/>
  <c r="C5" i="11"/>
  <c r="M4" i="11"/>
  <c r="L4" i="11"/>
  <c r="K4" i="11"/>
  <c r="O4" i="11" s="1"/>
  <c r="G4" i="11"/>
  <c r="C4" i="11"/>
  <c r="P1" i="11"/>
  <c r="B1" i="11"/>
  <c r="M50" i="9"/>
  <c r="L50" i="9"/>
  <c r="K50" i="9"/>
  <c r="H50" i="9"/>
  <c r="C50" i="9"/>
  <c r="U49" i="9"/>
  <c r="T49" i="9"/>
  <c r="S49" i="9"/>
  <c r="R49" i="9"/>
  <c r="C49" i="9"/>
  <c r="M47" i="9"/>
  <c r="L47" i="9"/>
  <c r="K47" i="9"/>
  <c r="H47" i="9"/>
  <c r="G47" i="9"/>
  <c r="D2288" i="23" s="1"/>
  <c r="F47" i="9"/>
  <c r="C47" i="9"/>
  <c r="M46" i="9"/>
  <c r="H46" i="9" s="1"/>
  <c r="L46" i="9"/>
  <c r="K46" i="9"/>
  <c r="C46" i="9"/>
  <c r="N1106" i="19" s="1"/>
  <c r="S45" i="9"/>
  <c r="M45" i="9"/>
  <c r="N45" i="9" s="1"/>
  <c r="E2333" i="23" s="1"/>
  <c r="L45" i="9"/>
  <c r="K45" i="9"/>
  <c r="O45" i="9" s="1"/>
  <c r="H45" i="9"/>
  <c r="G45" i="9"/>
  <c r="D2286" i="23" s="1"/>
  <c r="F45" i="9"/>
  <c r="J45" i="9" s="1"/>
  <c r="C45" i="9"/>
  <c r="U43" i="9"/>
  <c r="M43" i="9"/>
  <c r="N43" i="9" s="1"/>
  <c r="E2331" i="23" s="1"/>
  <c r="L43" i="9"/>
  <c r="K43" i="9"/>
  <c r="E1200" i="19" s="1"/>
  <c r="R1200" i="19" s="1"/>
  <c r="H43" i="9"/>
  <c r="G43" i="9"/>
  <c r="D2284" i="23" s="1"/>
  <c r="F43" i="9"/>
  <c r="C43" i="9"/>
  <c r="M42" i="9"/>
  <c r="N42" i="9" s="1"/>
  <c r="E2330" i="23" s="1"/>
  <c r="L42" i="9"/>
  <c r="K42" i="9"/>
  <c r="O42" i="9" s="1"/>
  <c r="H42" i="9"/>
  <c r="G42" i="9"/>
  <c r="F42" i="9"/>
  <c r="R42" i="9" s="1"/>
  <c r="C42" i="9"/>
  <c r="N1151" i="19" s="1"/>
  <c r="M41" i="9"/>
  <c r="H41" i="9" s="1"/>
  <c r="L41" i="9"/>
  <c r="N41" i="9" s="1"/>
  <c r="E2329" i="23" s="1"/>
  <c r="K41" i="9"/>
  <c r="G41" i="9"/>
  <c r="D2282" i="23" s="1"/>
  <c r="C41" i="9"/>
  <c r="M40" i="9"/>
  <c r="H40" i="9" s="1"/>
  <c r="L40" i="9"/>
  <c r="K40" i="9"/>
  <c r="C40" i="9"/>
  <c r="M39" i="9"/>
  <c r="L39" i="9"/>
  <c r="K39" i="9"/>
  <c r="H39" i="9"/>
  <c r="C39" i="9"/>
  <c r="N1148" i="19" s="1"/>
  <c r="M38" i="9"/>
  <c r="L38" i="9"/>
  <c r="C1147" i="19" s="1"/>
  <c r="H1147" i="19" s="1"/>
  <c r="K38" i="9"/>
  <c r="C1195" i="19" s="1"/>
  <c r="H1195" i="19" s="1"/>
  <c r="H38" i="9"/>
  <c r="C38" i="9"/>
  <c r="R37" i="9"/>
  <c r="M37" i="9"/>
  <c r="H37" i="9" s="1"/>
  <c r="L37" i="9"/>
  <c r="K37" i="9"/>
  <c r="G37" i="9"/>
  <c r="D2278" i="23" s="1"/>
  <c r="F37" i="9"/>
  <c r="C37" i="9"/>
  <c r="M36" i="9"/>
  <c r="N36" i="9" s="1"/>
  <c r="L36" i="9"/>
  <c r="K36" i="9"/>
  <c r="C36" i="9"/>
  <c r="N1096" i="19" s="1"/>
  <c r="M35" i="9"/>
  <c r="L35" i="9"/>
  <c r="K35" i="9"/>
  <c r="E1192" i="19" s="1"/>
  <c r="H35" i="9"/>
  <c r="G35" i="9"/>
  <c r="F35" i="9"/>
  <c r="C35" i="9"/>
  <c r="M34" i="9"/>
  <c r="L34" i="9"/>
  <c r="U34" i="9" s="1"/>
  <c r="K34" i="9"/>
  <c r="H34" i="9"/>
  <c r="C34" i="9"/>
  <c r="M33" i="9"/>
  <c r="H33" i="9" s="1"/>
  <c r="L33" i="9"/>
  <c r="K33" i="9"/>
  <c r="C1093" i="19" s="1"/>
  <c r="H1093" i="19" s="1"/>
  <c r="F33" i="9"/>
  <c r="C33" i="9"/>
  <c r="M32" i="9"/>
  <c r="H32" i="9" s="1"/>
  <c r="L32" i="9"/>
  <c r="N32" i="9" s="1"/>
  <c r="E2320" i="23" s="1"/>
  <c r="K32" i="9"/>
  <c r="E1189" i="19" s="1"/>
  <c r="C32" i="9"/>
  <c r="M31" i="9"/>
  <c r="L31" i="9"/>
  <c r="K31" i="9"/>
  <c r="S31" i="9" s="1"/>
  <c r="H31" i="9"/>
  <c r="G31" i="9"/>
  <c r="F31" i="9"/>
  <c r="C31" i="9"/>
  <c r="M30" i="9"/>
  <c r="L30" i="9"/>
  <c r="K30" i="9"/>
  <c r="E1187" i="19" s="1"/>
  <c r="I30" i="9"/>
  <c r="D2318" i="23" s="1"/>
  <c r="H30" i="9"/>
  <c r="G30" i="9"/>
  <c r="D2271" i="23" s="1"/>
  <c r="C30" i="9"/>
  <c r="O29" i="9"/>
  <c r="M29" i="9"/>
  <c r="L29" i="9"/>
  <c r="K29" i="9"/>
  <c r="S29" i="9" s="1"/>
  <c r="C29" i="9"/>
  <c r="M28" i="9"/>
  <c r="L28" i="9"/>
  <c r="K28" i="9"/>
  <c r="H28" i="9"/>
  <c r="F28" i="9"/>
  <c r="R28" i="9" s="1"/>
  <c r="C28" i="9"/>
  <c r="M26" i="9"/>
  <c r="H26" i="9" s="1"/>
  <c r="L26" i="9"/>
  <c r="K26" i="9"/>
  <c r="O26" i="9" s="1"/>
  <c r="G26" i="9"/>
  <c r="D2267" i="23" s="1"/>
  <c r="C26" i="9"/>
  <c r="M25" i="9"/>
  <c r="L25" i="9"/>
  <c r="K25" i="9"/>
  <c r="S25" i="9" s="1"/>
  <c r="H25" i="9"/>
  <c r="G25" i="9"/>
  <c r="F25" i="9"/>
  <c r="C25" i="9"/>
  <c r="S24" i="9"/>
  <c r="M24" i="9"/>
  <c r="L24" i="9"/>
  <c r="K24" i="9"/>
  <c r="C1084" i="19" s="1"/>
  <c r="H1084" i="19" s="1"/>
  <c r="H24" i="9"/>
  <c r="C24" i="9"/>
  <c r="M22" i="9"/>
  <c r="L22" i="9"/>
  <c r="K22" i="9"/>
  <c r="C1179" i="19" s="1"/>
  <c r="H1179" i="19" s="1"/>
  <c r="H22" i="9"/>
  <c r="F22" i="9"/>
  <c r="C22" i="9"/>
  <c r="N1130" i="19" s="1"/>
  <c r="O21" i="9"/>
  <c r="M21" i="9"/>
  <c r="L21" i="9"/>
  <c r="K21" i="9"/>
  <c r="H21" i="9"/>
  <c r="G21" i="9"/>
  <c r="D2262" i="23" s="1"/>
  <c r="F21" i="9"/>
  <c r="C21" i="9"/>
  <c r="O20" i="9"/>
  <c r="M20" i="9"/>
  <c r="N20" i="9" s="1"/>
  <c r="E2308" i="23" s="1"/>
  <c r="L20" i="9"/>
  <c r="K20" i="9"/>
  <c r="S20" i="9" s="1"/>
  <c r="H20" i="9"/>
  <c r="C20" i="9"/>
  <c r="M19" i="9"/>
  <c r="H19" i="9" s="1"/>
  <c r="L19" i="9"/>
  <c r="G19" i="9" s="1"/>
  <c r="K19" i="9"/>
  <c r="C19" i="9"/>
  <c r="M18" i="9"/>
  <c r="H18" i="9" s="1"/>
  <c r="L18" i="9"/>
  <c r="K18" i="9"/>
  <c r="U18" i="9" s="1"/>
  <c r="F18" i="9"/>
  <c r="C18" i="9"/>
  <c r="M17" i="9"/>
  <c r="H17" i="9" s="1"/>
  <c r="L17" i="9"/>
  <c r="N17" i="9" s="1"/>
  <c r="E2305" i="23" s="1"/>
  <c r="K17" i="9"/>
  <c r="O17" i="9" s="1"/>
  <c r="G17" i="9"/>
  <c r="F17" i="9"/>
  <c r="C17" i="9"/>
  <c r="O16" i="9"/>
  <c r="M16" i="9"/>
  <c r="L16" i="9"/>
  <c r="K16" i="9"/>
  <c r="H16" i="9"/>
  <c r="G16" i="9"/>
  <c r="D2257" i="23" s="1"/>
  <c r="C16" i="9"/>
  <c r="S15" i="9"/>
  <c r="O15" i="9"/>
  <c r="M15" i="9"/>
  <c r="H15" i="9" s="1"/>
  <c r="L15" i="9"/>
  <c r="N15" i="9" s="1"/>
  <c r="E2303" i="23" s="1"/>
  <c r="K15" i="9"/>
  <c r="C1075" i="19" s="1"/>
  <c r="H1075" i="19" s="1"/>
  <c r="G15" i="9"/>
  <c r="D2256" i="23" s="1"/>
  <c r="F15" i="9"/>
  <c r="J15" i="9" s="1"/>
  <c r="C15" i="9"/>
  <c r="M14" i="9"/>
  <c r="L14" i="9"/>
  <c r="K14" i="9"/>
  <c r="H14" i="9"/>
  <c r="C14" i="9"/>
  <c r="M13" i="9"/>
  <c r="H13" i="9" s="1"/>
  <c r="L13" i="9"/>
  <c r="K13" i="9"/>
  <c r="C13" i="9"/>
  <c r="N1121" i="19" s="1"/>
  <c r="M12" i="9"/>
  <c r="L12" i="9"/>
  <c r="K12" i="9"/>
  <c r="H12" i="9"/>
  <c r="G12" i="9"/>
  <c r="F12" i="9"/>
  <c r="C12" i="9"/>
  <c r="M11" i="9"/>
  <c r="H11" i="9" s="1"/>
  <c r="L11" i="9"/>
  <c r="K11" i="9"/>
  <c r="O11" i="9" s="1"/>
  <c r="F11" i="9"/>
  <c r="C11" i="9"/>
  <c r="M10" i="9"/>
  <c r="L10" i="9"/>
  <c r="K10" i="9"/>
  <c r="H10" i="9"/>
  <c r="G10" i="9"/>
  <c r="D2251" i="23" s="1"/>
  <c r="F10" i="9"/>
  <c r="C10" i="9"/>
  <c r="M9" i="9"/>
  <c r="N9" i="9" s="1"/>
  <c r="E2297" i="23" s="1"/>
  <c r="L9" i="9"/>
  <c r="K9" i="9"/>
  <c r="C1069" i="19" s="1"/>
  <c r="H1069" i="19" s="1"/>
  <c r="H9" i="9"/>
  <c r="C9" i="9"/>
  <c r="O8" i="9"/>
  <c r="M8" i="9"/>
  <c r="L8" i="9"/>
  <c r="D1116" i="19" s="1"/>
  <c r="I1116" i="19" s="1"/>
  <c r="K8" i="9"/>
  <c r="H8" i="9"/>
  <c r="G8" i="9"/>
  <c r="D2249" i="23" s="1"/>
  <c r="F8" i="9"/>
  <c r="C8" i="9"/>
  <c r="M7" i="9"/>
  <c r="H7" i="9" s="1"/>
  <c r="L7" i="9"/>
  <c r="K7" i="9"/>
  <c r="C7" i="9"/>
  <c r="M6" i="9"/>
  <c r="H6" i="9" s="1"/>
  <c r="L6" i="9"/>
  <c r="K6" i="9"/>
  <c r="G6" i="9"/>
  <c r="F6" i="9"/>
  <c r="C6" i="9"/>
  <c r="M5" i="9"/>
  <c r="L5" i="9"/>
  <c r="K5" i="9"/>
  <c r="H5" i="9"/>
  <c r="G5" i="9"/>
  <c r="D2246" i="23" s="1"/>
  <c r="C5" i="9"/>
  <c r="M4" i="9"/>
  <c r="L4" i="9"/>
  <c r="N4" i="9" s="1"/>
  <c r="E2292" i="23" s="1"/>
  <c r="K4" i="9"/>
  <c r="O4" i="9" s="1"/>
  <c r="H4" i="9"/>
  <c r="G4" i="9"/>
  <c r="D2245" i="23" s="1"/>
  <c r="F4" i="9"/>
  <c r="R4" i="9" s="1"/>
  <c r="C4" i="9"/>
  <c r="P1" i="9"/>
  <c r="B1" i="9"/>
  <c r="M50" i="12"/>
  <c r="H50" i="12" s="1"/>
  <c r="L50" i="12"/>
  <c r="G50" i="12" s="1"/>
  <c r="K50" i="12"/>
  <c r="C50" i="12"/>
  <c r="U49" i="12"/>
  <c r="T49" i="12"/>
  <c r="S49" i="12"/>
  <c r="R49" i="12"/>
  <c r="C49" i="12"/>
  <c r="M47" i="12"/>
  <c r="L47" i="12"/>
  <c r="K47" i="12"/>
  <c r="S47" i="12" s="1"/>
  <c r="H47" i="12"/>
  <c r="C47" i="12"/>
  <c r="M46" i="12"/>
  <c r="L46" i="12"/>
  <c r="K46" i="12"/>
  <c r="S46" i="12" s="1"/>
  <c r="F46" i="12"/>
  <c r="C46" i="12"/>
  <c r="M45" i="12"/>
  <c r="H45" i="12" s="1"/>
  <c r="L45" i="12"/>
  <c r="K45" i="12"/>
  <c r="U45" i="12" s="1"/>
  <c r="C45" i="12"/>
  <c r="M43" i="12"/>
  <c r="H43" i="12" s="1"/>
  <c r="L43" i="12"/>
  <c r="K43" i="12"/>
  <c r="C43" i="12"/>
  <c r="M42" i="12"/>
  <c r="L42" i="12"/>
  <c r="K42" i="12"/>
  <c r="H42" i="12"/>
  <c r="C42" i="12"/>
  <c r="M41" i="12"/>
  <c r="H41" i="12" s="1"/>
  <c r="L41" i="12"/>
  <c r="N41" i="12" s="1"/>
  <c r="E2611" i="23" s="1"/>
  <c r="K41" i="12"/>
  <c r="G41" i="12"/>
  <c r="F41" i="12"/>
  <c r="C41" i="12"/>
  <c r="S40" i="12"/>
  <c r="O40" i="12"/>
  <c r="M40" i="12"/>
  <c r="L40" i="12"/>
  <c r="U40" i="12" s="1"/>
  <c r="K40" i="12"/>
  <c r="H40" i="12"/>
  <c r="G40" i="12"/>
  <c r="T40" i="12" s="1"/>
  <c r="F40" i="12"/>
  <c r="C40" i="12"/>
  <c r="M39" i="12"/>
  <c r="L39" i="12"/>
  <c r="K39" i="12"/>
  <c r="O39" i="12" s="1"/>
  <c r="H39" i="12"/>
  <c r="C39" i="12"/>
  <c r="M38" i="12"/>
  <c r="L38" i="12"/>
  <c r="K38" i="12"/>
  <c r="F38" i="12" s="1"/>
  <c r="H38" i="12"/>
  <c r="G38" i="12"/>
  <c r="C38" i="12"/>
  <c r="M37" i="12"/>
  <c r="H37" i="12" s="1"/>
  <c r="L37" i="12"/>
  <c r="U37" i="12" s="1"/>
  <c r="K37" i="12"/>
  <c r="C37" i="12"/>
  <c r="M36" i="12"/>
  <c r="H36" i="12" s="1"/>
  <c r="L36" i="12"/>
  <c r="K36" i="12"/>
  <c r="C1633" i="19" s="1"/>
  <c r="H1633" i="19" s="1"/>
  <c r="F36" i="12"/>
  <c r="R36" i="12" s="1"/>
  <c r="C36" i="12"/>
  <c r="M35" i="12"/>
  <c r="H35" i="12" s="1"/>
  <c r="L35" i="12"/>
  <c r="N35" i="12" s="1"/>
  <c r="E2605" i="23" s="1"/>
  <c r="K35" i="12"/>
  <c r="C35" i="12"/>
  <c r="N1536" i="19" s="1"/>
  <c r="M34" i="12"/>
  <c r="L34" i="12"/>
  <c r="K34" i="12"/>
  <c r="O34" i="12" s="1"/>
  <c r="H34" i="12"/>
  <c r="G34" i="12"/>
  <c r="D2557" i="23" s="1"/>
  <c r="F34" i="12"/>
  <c r="C34" i="12"/>
  <c r="U33" i="12"/>
  <c r="M33" i="12"/>
  <c r="L33" i="12"/>
  <c r="C1582" i="19" s="1"/>
  <c r="H1582" i="19" s="1"/>
  <c r="K33" i="12"/>
  <c r="F33" i="12" s="1"/>
  <c r="J33" i="12"/>
  <c r="H33" i="12"/>
  <c r="G33" i="12"/>
  <c r="D2556" i="23" s="1"/>
  <c r="C33" i="12"/>
  <c r="M32" i="12"/>
  <c r="H32" i="12" s="1"/>
  <c r="L32" i="12"/>
  <c r="K32" i="12"/>
  <c r="S32" i="12" s="1"/>
  <c r="C32" i="12"/>
  <c r="M31" i="12"/>
  <c r="L31" i="12"/>
  <c r="K31" i="12"/>
  <c r="H31" i="12"/>
  <c r="G31" i="12"/>
  <c r="C31" i="12"/>
  <c r="M30" i="12"/>
  <c r="H30" i="12" s="1"/>
  <c r="L30" i="12"/>
  <c r="K30" i="12"/>
  <c r="C1531" i="19" s="1"/>
  <c r="H1531" i="19" s="1"/>
  <c r="G30" i="12"/>
  <c r="F30" i="12"/>
  <c r="C30" i="12"/>
  <c r="M29" i="12"/>
  <c r="H29" i="12" s="1"/>
  <c r="L29" i="12"/>
  <c r="K29" i="12"/>
  <c r="G29" i="12"/>
  <c r="F29" i="12"/>
  <c r="C29" i="12"/>
  <c r="N1530" i="19" s="1"/>
  <c r="M28" i="12"/>
  <c r="L28" i="12"/>
  <c r="K28" i="12"/>
  <c r="O28" i="12" s="1"/>
  <c r="C28" i="12"/>
  <c r="M26" i="12"/>
  <c r="H26" i="12" s="1"/>
  <c r="L26" i="12"/>
  <c r="K26" i="12"/>
  <c r="D1527" i="19" s="1"/>
  <c r="I1527" i="19" s="1"/>
  <c r="F26" i="12"/>
  <c r="R26" i="12" s="1"/>
  <c r="C26" i="12"/>
  <c r="M25" i="12"/>
  <c r="L25" i="12"/>
  <c r="U25" i="12" s="1"/>
  <c r="K25" i="12"/>
  <c r="H25" i="12"/>
  <c r="G25" i="12"/>
  <c r="D2548" i="23" s="1"/>
  <c r="F25" i="12"/>
  <c r="C25" i="12"/>
  <c r="S24" i="12"/>
  <c r="O24" i="12"/>
  <c r="M24" i="12"/>
  <c r="L24" i="12"/>
  <c r="K24" i="12"/>
  <c r="H24" i="12"/>
  <c r="G24" i="12"/>
  <c r="F24" i="12"/>
  <c r="C24" i="12"/>
  <c r="M22" i="12"/>
  <c r="L22" i="12"/>
  <c r="K22" i="12"/>
  <c r="H22" i="12"/>
  <c r="G22" i="12"/>
  <c r="D2545" i="23" s="1"/>
  <c r="F22" i="12"/>
  <c r="C22" i="12"/>
  <c r="M21" i="12"/>
  <c r="H21" i="12" s="1"/>
  <c r="L21" i="12"/>
  <c r="K21" i="12"/>
  <c r="F21" i="12"/>
  <c r="C21" i="12"/>
  <c r="M20" i="12"/>
  <c r="L20" i="12"/>
  <c r="N20" i="12" s="1"/>
  <c r="E2590" i="23" s="1"/>
  <c r="K20" i="12"/>
  <c r="U20" i="12" s="1"/>
  <c r="H20" i="12"/>
  <c r="G20" i="12"/>
  <c r="D2543" i="23" s="1"/>
  <c r="F20" i="12"/>
  <c r="R20" i="12" s="1"/>
  <c r="C20" i="12"/>
  <c r="M19" i="12"/>
  <c r="L19" i="12"/>
  <c r="K19" i="12"/>
  <c r="S19" i="12" s="1"/>
  <c r="H19" i="12"/>
  <c r="C19" i="12"/>
  <c r="M18" i="12"/>
  <c r="L18" i="12"/>
  <c r="K18" i="12"/>
  <c r="O18" i="12" s="1"/>
  <c r="H18" i="12"/>
  <c r="G18" i="12"/>
  <c r="D2541" i="23" s="1"/>
  <c r="F18" i="12"/>
  <c r="C18" i="12"/>
  <c r="M17" i="12"/>
  <c r="H17" i="12" s="1"/>
  <c r="L17" i="12"/>
  <c r="K17" i="12"/>
  <c r="C17" i="12"/>
  <c r="S16" i="12"/>
  <c r="M16" i="12"/>
  <c r="H16" i="12" s="1"/>
  <c r="L16" i="12"/>
  <c r="K16" i="12"/>
  <c r="O16" i="12" s="1"/>
  <c r="G16" i="12"/>
  <c r="F16" i="12"/>
  <c r="C16" i="12"/>
  <c r="N1517" i="19" s="1"/>
  <c r="M15" i="12"/>
  <c r="H15" i="12" s="1"/>
  <c r="L15" i="12"/>
  <c r="K15" i="12"/>
  <c r="F15" i="12"/>
  <c r="J15" i="12" s="1"/>
  <c r="C15" i="12"/>
  <c r="S14" i="12"/>
  <c r="M14" i="12"/>
  <c r="H14" i="12" s="1"/>
  <c r="L14" i="12"/>
  <c r="U14" i="12" s="1"/>
  <c r="K14" i="12"/>
  <c r="O14" i="12" s="1"/>
  <c r="G14" i="12"/>
  <c r="F14" i="12"/>
  <c r="R14" i="12" s="1"/>
  <c r="C14" i="12"/>
  <c r="M13" i="12"/>
  <c r="L13" i="12"/>
  <c r="K13" i="12"/>
  <c r="S13" i="12" s="1"/>
  <c r="H13" i="12"/>
  <c r="G13" i="12"/>
  <c r="D2536" i="23" s="1"/>
  <c r="C13" i="12"/>
  <c r="M12" i="12"/>
  <c r="H12" i="12" s="1"/>
  <c r="L12" i="12"/>
  <c r="K12" i="12"/>
  <c r="S12" i="12" s="1"/>
  <c r="C12" i="12"/>
  <c r="M11" i="12"/>
  <c r="L11" i="12"/>
  <c r="K11" i="12"/>
  <c r="H11" i="12"/>
  <c r="F11" i="12"/>
  <c r="J11" i="12" s="1"/>
  <c r="C11" i="12"/>
  <c r="M10" i="12"/>
  <c r="H10" i="12" s="1"/>
  <c r="L10" i="12"/>
  <c r="K10" i="12"/>
  <c r="U10" i="12" s="1"/>
  <c r="F10" i="12"/>
  <c r="C10" i="12"/>
  <c r="U9" i="12"/>
  <c r="S9" i="12"/>
  <c r="O9" i="12"/>
  <c r="M9" i="12"/>
  <c r="H9" i="12" s="1"/>
  <c r="L9" i="12"/>
  <c r="K9" i="12"/>
  <c r="G9" i="12"/>
  <c r="T9" i="12" s="1"/>
  <c r="F9" i="12"/>
  <c r="C9" i="12"/>
  <c r="M8" i="12"/>
  <c r="L8" i="12"/>
  <c r="K8" i="12"/>
  <c r="H8" i="12"/>
  <c r="C8" i="12"/>
  <c r="M7" i="12"/>
  <c r="L7" i="12"/>
  <c r="K7" i="12"/>
  <c r="U7" i="12" s="1"/>
  <c r="H7" i="12"/>
  <c r="G7" i="12"/>
  <c r="D2530" i="23" s="1"/>
  <c r="F7" i="12"/>
  <c r="D359" i="23" s="1"/>
  <c r="C7" i="12"/>
  <c r="M6" i="12"/>
  <c r="L6" i="12"/>
  <c r="K6" i="12"/>
  <c r="S6" i="12" s="1"/>
  <c r="H6" i="12"/>
  <c r="C6" i="12"/>
  <c r="M5" i="12"/>
  <c r="H5" i="12" s="1"/>
  <c r="L5" i="12"/>
  <c r="N5" i="12" s="1"/>
  <c r="E2575" i="23" s="1"/>
  <c r="K5" i="12"/>
  <c r="O5" i="12" s="1"/>
  <c r="C5" i="12"/>
  <c r="B357" i="23" s="1"/>
  <c r="M4" i="12"/>
  <c r="H4" i="12" s="1"/>
  <c r="L4" i="12"/>
  <c r="K4" i="12"/>
  <c r="F4" i="12"/>
  <c r="C4" i="12"/>
  <c r="P1" i="12"/>
  <c r="B1" i="12"/>
  <c r="S50" i="10"/>
  <c r="M50" i="10"/>
  <c r="L50" i="10"/>
  <c r="K50" i="10"/>
  <c r="E307" i="23" s="1"/>
  <c r="F50" i="10"/>
  <c r="C50" i="10"/>
  <c r="U49" i="10"/>
  <c r="T49" i="10"/>
  <c r="S49" i="10"/>
  <c r="R49" i="10"/>
  <c r="C49" i="10"/>
  <c r="M47" i="10"/>
  <c r="L47" i="10"/>
  <c r="C1304" i="19" s="1"/>
  <c r="H1304" i="19" s="1"/>
  <c r="K47" i="10"/>
  <c r="O47" i="10" s="1"/>
  <c r="H47" i="10"/>
  <c r="G47" i="10"/>
  <c r="F47" i="10"/>
  <c r="C47" i="10"/>
  <c r="M46" i="10"/>
  <c r="L46" i="10"/>
  <c r="K46" i="10"/>
  <c r="H46" i="10"/>
  <c r="G46" i="10"/>
  <c r="D2381" i="23" s="1"/>
  <c r="C46" i="10"/>
  <c r="M45" i="10"/>
  <c r="H45" i="10" s="1"/>
  <c r="L45" i="10"/>
  <c r="K45" i="10"/>
  <c r="C45" i="10"/>
  <c r="M43" i="10"/>
  <c r="N43" i="10" s="1"/>
  <c r="E2425" i="23" s="1"/>
  <c r="L43" i="10"/>
  <c r="K43" i="10"/>
  <c r="O43" i="10" s="1"/>
  <c r="H43" i="10"/>
  <c r="G43" i="10"/>
  <c r="D2378" i="23" s="1"/>
  <c r="F43" i="10"/>
  <c r="T43" i="10" s="1"/>
  <c r="C43" i="10"/>
  <c r="M42" i="10"/>
  <c r="H42" i="10" s="1"/>
  <c r="L42" i="10"/>
  <c r="K42" i="10"/>
  <c r="C42" i="10"/>
  <c r="M41" i="10"/>
  <c r="L41" i="10"/>
  <c r="K41" i="10"/>
  <c r="C1248" i="19" s="1"/>
  <c r="H1248" i="19" s="1"/>
  <c r="H41" i="10"/>
  <c r="I41" i="10" s="1"/>
  <c r="D2423" i="23" s="1"/>
  <c r="G41" i="10"/>
  <c r="D2376" i="23" s="1"/>
  <c r="C41" i="10"/>
  <c r="N1345" i="19" s="1"/>
  <c r="M40" i="10"/>
  <c r="H40" i="10" s="1"/>
  <c r="L40" i="10"/>
  <c r="K40" i="10"/>
  <c r="C40" i="10"/>
  <c r="M39" i="10"/>
  <c r="L39" i="10"/>
  <c r="K39" i="10"/>
  <c r="G39" i="10"/>
  <c r="F39" i="10"/>
  <c r="C39" i="10"/>
  <c r="M38" i="10"/>
  <c r="L38" i="10"/>
  <c r="K38" i="10"/>
  <c r="O38" i="10" s="1"/>
  <c r="H38" i="10"/>
  <c r="F38" i="10"/>
  <c r="C38" i="10"/>
  <c r="M37" i="10"/>
  <c r="H37" i="10" s="1"/>
  <c r="L37" i="10"/>
  <c r="U37" i="10" s="1"/>
  <c r="K37" i="10"/>
  <c r="G37" i="10"/>
  <c r="F37" i="10"/>
  <c r="R37" i="10" s="1"/>
  <c r="C37" i="10"/>
  <c r="M36" i="10"/>
  <c r="L36" i="10"/>
  <c r="K36" i="10"/>
  <c r="H36" i="10"/>
  <c r="G36" i="10"/>
  <c r="D2371" i="23" s="1"/>
  <c r="C36" i="10"/>
  <c r="M35" i="10"/>
  <c r="H35" i="10" s="1"/>
  <c r="L35" i="10"/>
  <c r="K35" i="10"/>
  <c r="C35" i="10"/>
  <c r="M34" i="10"/>
  <c r="H34" i="10" s="1"/>
  <c r="L34" i="10"/>
  <c r="K34" i="10"/>
  <c r="C34" i="10"/>
  <c r="M33" i="10"/>
  <c r="L33" i="10"/>
  <c r="D1289" i="19" s="1"/>
  <c r="I1289" i="19" s="1"/>
  <c r="K33" i="10"/>
  <c r="S33" i="10" s="1"/>
  <c r="H33" i="10"/>
  <c r="F33" i="10"/>
  <c r="C33" i="10"/>
  <c r="M32" i="10"/>
  <c r="L32" i="10"/>
  <c r="K32" i="10"/>
  <c r="O32" i="10" s="1"/>
  <c r="H32" i="10"/>
  <c r="G32" i="10"/>
  <c r="D2367" i="23" s="1"/>
  <c r="C32" i="10"/>
  <c r="M31" i="10"/>
  <c r="H31" i="10" s="1"/>
  <c r="L31" i="10"/>
  <c r="K31" i="10"/>
  <c r="C31" i="10"/>
  <c r="S30" i="10"/>
  <c r="M30" i="10"/>
  <c r="H30" i="10" s="1"/>
  <c r="L30" i="10"/>
  <c r="K30" i="10"/>
  <c r="F30" i="10" s="1"/>
  <c r="C30" i="10"/>
  <c r="M29" i="10"/>
  <c r="L29" i="10"/>
  <c r="K29" i="10"/>
  <c r="H29" i="10"/>
  <c r="F29" i="10"/>
  <c r="C29" i="10"/>
  <c r="M28" i="10"/>
  <c r="L28" i="10"/>
  <c r="K28" i="10"/>
  <c r="H28" i="10"/>
  <c r="G28" i="10"/>
  <c r="D2363" i="23" s="1"/>
  <c r="C28" i="10"/>
  <c r="M26" i="10"/>
  <c r="L26" i="10"/>
  <c r="K26" i="10"/>
  <c r="S26" i="10" s="1"/>
  <c r="H26" i="10"/>
  <c r="G26" i="10"/>
  <c r="F26" i="10"/>
  <c r="C26" i="10"/>
  <c r="S25" i="10"/>
  <c r="M25" i="10"/>
  <c r="L25" i="10"/>
  <c r="K25" i="10"/>
  <c r="H25" i="10"/>
  <c r="G25" i="10"/>
  <c r="D2360" i="23" s="1"/>
  <c r="C25" i="10"/>
  <c r="M24" i="10"/>
  <c r="H24" i="10" s="1"/>
  <c r="L24" i="10"/>
  <c r="K24" i="10"/>
  <c r="S24" i="10" s="1"/>
  <c r="C24" i="10"/>
  <c r="M22" i="10"/>
  <c r="L22" i="10"/>
  <c r="C1277" i="19" s="1"/>
  <c r="H1277" i="19" s="1"/>
  <c r="K22" i="10"/>
  <c r="H22" i="10"/>
  <c r="G22" i="10"/>
  <c r="C22" i="10"/>
  <c r="M21" i="10"/>
  <c r="H21" i="10" s="1"/>
  <c r="L21" i="10"/>
  <c r="K21" i="10"/>
  <c r="D1228" i="19" s="1"/>
  <c r="I1228" i="19" s="1"/>
  <c r="C21" i="10"/>
  <c r="M20" i="10"/>
  <c r="H20" i="10" s="1"/>
  <c r="L20" i="10"/>
  <c r="C1275" i="19" s="1"/>
  <c r="H1275" i="19" s="1"/>
  <c r="G1275" i="19" s="1"/>
  <c r="K20" i="10"/>
  <c r="G20" i="10"/>
  <c r="F20" i="10"/>
  <c r="J20" i="10" s="1"/>
  <c r="C20" i="10"/>
  <c r="N1275" i="19" s="1"/>
  <c r="M19" i="10"/>
  <c r="D1226" i="19" s="1"/>
  <c r="I1226" i="19" s="1"/>
  <c r="L19" i="10"/>
  <c r="K19" i="10"/>
  <c r="S19" i="10" s="1"/>
  <c r="H19" i="10"/>
  <c r="F19" i="10"/>
  <c r="C19" i="10"/>
  <c r="M18" i="10"/>
  <c r="L18" i="10"/>
  <c r="K18" i="10"/>
  <c r="U18" i="10" s="1"/>
  <c r="H18" i="10"/>
  <c r="G18" i="10"/>
  <c r="D2353" i="23" s="1"/>
  <c r="C18" i="10"/>
  <c r="M17" i="10"/>
  <c r="H17" i="10" s="1"/>
  <c r="L17" i="10"/>
  <c r="K17" i="10"/>
  <c r="C17" i="10"/>
  <c r="M16" i="10"/>
  <c r="L16" i="10"/>
  <c r="K16" i="10"/>
  <c r="H16" i="10"/>
  <c r="G16" i="10"/>
  <c r="D2351" i="23" s="1"/>
  <c r="F16" i="10"/>
  <c r="C16" i="10"/>
  <c r="S15" i="10"/>
  <c r="O15" i="10"/>
  <c r="M15" i="10"/>
  <c r="L15" i="10"/>
  <c r="K15" i="10"/>
  <c r="H15" i="10"/>
  <c r="G15" i="10"/>
  <c r="F15" i="10"/>
  <c r="C15" i="10"/>
  <c r="N1222" i="19" s="1"/>
  <c r="M14" i="10"/>
  <c r="L14" i="10"/>
  <c r="K14" i="10"/>
  <c r="F14" i="10" s="1"/>
  <c r="R14" i="10" s="1"/>
  <c r="J14" i="10"/>
  <c r="H14" i="10"/>
  <c r="G14" i="10"/>
  <c r="D2349" i="23" s="1"/>
  <c r="C14" i="10"/>
  <c r="M13" i="10"/>
  <c r="H13" i="10" s="1"/>
  <c r="L13" i="10"/>
  <c r="N13" i="10" s="1"/>
  <c r="E2395" i="23" s="1"/>
  <c r="K13" i="10"/>
  <c r="O13" i="10" s="1"/>
  <c r="C13" i="10"/>
  <c r="U12" i="10"/>
  <c r="M12" i="10"/>
  <c r="L12" i="10"/>
  <c r="K12" i="10"/>
  <c r="H12" i="10"/>
  <c r="C12" i="10"/>
  <c r="M11" i="10"/>
  <c r="H11" i="10" s="1"/>
  <c r="L11" i="10"/>
  <c r="N11" i="10" s="1"/>
  <c r="E2393" i="23" s="1"/>
  <c r="K11" i="10"/>
  <c r="S11" i="10" s="1"/>
  <c r="G11" i="10"/>
  <c r="F11" i="10"/>
  <c r="C11" i="10"/>
  <c r="O10" i="10"/>
  <c r="M10" i="10"/>
  <c r="L10" i="10"/>
  <c r="U10" i="10" s="1"/>
  <c r="K10" i="10"/>
  <c r="H10" i="10"/>
  <c r="G10" i="10"/>
  <c r="D2345" i="23" s="1"/>
  <c r="C10" i="10"/>
  <c r="M9" i="10"/>
  <c r="H9" i="10" s="1"/>
  <c r="L9" i="10"/>
  <c r="K9" i="10"/>
  <c r="S9" i="10" s="1"/>
  <c r="C9" i="10"/>
  <c r="M8" i="10"/>
  <c r="L8" i="10"/>
  <c r="D1312" i="19" s="1"/>
  <c r="I1312" i="19" s="1"/>
  <c r="K8" i="10"/>
  <c r="H8" i="10"/>
  <c r="G8" i="10"/>
  <c r="F8" i="10"/>
  <c r="C8" i="10"/>
  <c r="N7" i="10"/>
  <c r="E2389" i="23" s="1"/>
  <c r="M7" i="10"/>
  <c r="L7" i="10"/>
  <c r="K7" i="10"/>
  <c r="S7" i="10" s="1"/>
  <c r="H7" i="10"/>
  <c r="G7" i="10"/>
  <c r="F7" i="10"/>
  <c r="C7" i="10"/>
  <c r="M6" i="10"/>
  <c r="L6" i="10"/>
  <c r="C1261" i="19" s="1"/>
  <c r="H1261" i="19" s="1"/>
  <c r="K6" i="10"/>
  <c r="H6" i="10"/>
  <c r="G6" i="10"/>
  <c r="D2341" i="23" s="1"/>
  <c r="C6" i="10"/>
  <c r="M5" i="10"/>
  <c r="H5" i="10" s="1"/>
  <c r="L5" i="10"/>
  <c r="K5" i="10"/>
  <c r="C5" i="10"/>
  <c r="M4" i="10"/>
  <c r="H4" i="10" s="1"/>
  <c r="L4" i="10"/>
  <c r="K4" i="10"/>
  <c r="G4" i="10"/>
  <c r="F4" i="10"/>
  <c r="C4" i="10"/>
  <c r="P1" i="10"/>
  <c r="B1" i="10"/>
  <c r="N1210" i="19" s="1"/>
  <c r="M50" i="7"/>
  <c r="H50" i="7" s="1"/>
  <c r="L50" i="7"/>
  <c r="K50" i="7"/>
  <c r="F50" i="7"/>
  <c r="C50" i="7"/>
  <c r="U49" i="7"/>
  <c r="T49" i="7"/>
  <c r="S49" i="7"/>
  <c r="R49" i="7"/>
  <c r="C49" i="7"/>
  <c r="M47" i="7"/>
  <c r="L47" i="7"/>
  <c r="K47" i="7"/>
  <c r="C813" i="19" s="1"/>
  <c r="H813" i="19" s="1"/>
  <c r="H47" i="7"/>
  <c r="G47" i="7"/>
  <c r="D2100" i="23" s="1"/>
  <c r="F47" i="7"/>
  <c r="J47" i="7" s="1"/>
  <c r="C47" i="7"/>
  <c r="M46" i="7"/>
  <c r="H46" i="7" s="1"/>
  <c r="L46" i="7"/>
  <c r="K46" i="7"/>
  <c r="C46" i="7"/>
  <c r="M45" i="7"/>
  <c r="H45" i="7" s="1"/>
  <c r="L45" i="7"/>
  <c r="D860" i="19" s="1"/>
  <c r="I860" i="19" s="1"/>
  <c r="K45" i="7"/>
  <c r="O45" i="7" s="1"/>
  <c r="G45" i="7"/>
  <c r="F45" i="7"/>
  <c r="C45" i="7"/>
  <c r="M43" i="7"/>
  <c r="H43" i="7" s="1"/>
  <c r="L43" i="7"/>
  <c r="K43" i="7"/>
  <c r="U43" i="7" s="1"/>
  <c r="C43" i="7"/>
  <c r="M42" i="7"/>
  <c r="H42" i="7" s="1"/>
  <c r="L42" i="7"/>
  <c r="K42" i="7"/>
  <c r="G42" i="7"/>
  <c r="F42" i="7"/>
  <c r="C42" i="7"/>
  <c r="M41" i="7"/>
  <c r="H41" i="7" s="1"/>
  <c r="L41" i="7"/>
  <c r="K41" i="7"/>
  <c r="C41" i="7"/>
  <c r="M40" i="7"/>
  <c r="L40" i="7"/>
  <c r="N40" i="7" s="1"/>
  <c r="E2140" i="23" s="1"/>
  <c r="K40" i="7"/>
  <c r="S40" i="7" s="1"/>
  <c r="H40" i="7"/>
  <c r="G40" i="7"/>
  <c r="D2093" i="23" s="1"/>
  <c r="F40" i="7"/>
  <c r="J40" i="7" s="1"/>
  <c r="C40" i="7"/>
  <c r="M39" i="7"/>
  <c r="H39" i="7" s="1"/>
  <c r="L39" i="7"/>
  <c r="K39" i="7"/>
  <c r="C39" i="7"/>
  <c r="S38" i="7"/>
  <c r="M38" i="7"/>
  <c r="H38" i="7" s="1"/>
  <c r="L38" i="7"/>
  <c r="K38" i="7"/>
  <c r="O38" i="7" s="1"/>
  <c r="F38" i="7"/>
  <c r="C38" i="7"/>
  <c r="M37" i="7"/>
  <c r="H37" i="7" s="1"/>
  <c r="L37" i="7"/>
  <c r="K37" i="7"/>
  <c r="U37" i="7" s="1"/>
  <c r="C37" i="7"/>
  <c r="M36" i="7"/>
  <c r="L36" i="7"/>
  <c r="C851" i="19" s="1"/>
  <c r="H851" i="19" s="1"/>
  <c r="K36" i="7"/>
  <c r="S36" i="7" s="1"/>
  <c r="H36" i="7"/>
  <c r="G36" i="7"/>
  <c r="D2089" i="23" s="1"/>
  <c r="F36" i="7"/>
  <c r="J36" i="7" s="1"/>
  <c r="C36" i="7"/>
  <c r="M35" i="7"/>
  <c r="H35" i="7" s="1"/>
  <c r="L35" i="7"/>
  <c r="K35" i="7"/>
  <c r="C801" i="19" s="1"/>
  <c r="H801" i="19" s="1"/>
  <c r="C35" i="7"/>
  <c r="S34" i="7"/>
  <c r="M34" i="7"/>
  <c r="L34" i="7"/>
  <c r="K34" i="7"/>
  <c r="O34" i="7" s="1"/>
  <c r="G34" i="7"/>
  <c r="F34" i="7"/>
  <c r="C34" i="7"/>
  <c r="M33" i="7"/>
  <c r="L33" i="7"/>
  <c r="N33" i="7" s="1"/>
  <c r="E2133" i="23" s="1"/>
  <c r="K33" i="7"/>
  <c r="C799" i="19" s="1"/>
  <c r="H799" i="19" s="1"/>
  <c r="H33" i="7"/>
  <c r="G33" i="7"/>
  <c r="D2086" i="23" s="1"/>
  <c r="C33" i="7"/>
  <c r="O32" i="7"/>
  <c r="M32" i="7"/>
  <c r="L32" i="7"/>
  <c r="C847" i="19" s="1"/>
  <c r="H847" i="19" s="1"/>
  <c r="K32" i="7"/>
  <c r="S32" i="7" s="1"/>
  <c r="H32" i="7"/>
  <c r="G32" i="7"/>
  <c r="D2085" i="23" s="1"/>
  <c r="F32" i="7"/>
  <c r="J32" i="7" s="1"/>
  <c r="C32" i="7"/>
  <c r="M31" i="7"/>
  <c r="H31" i="7" s="1"/>
  <c r="L31" i="7"/>
  <c r="K31" i="7"/>
  <c r="C31" i="7"/>
  <c r="M30" i="7"/>
  <c r="L30" i="7"/>
  <c r="K30" i="7"/>
  <c r="E147" i="23" s="1"/>
  <c r="G30" i="7"/>
  <c r="F30" i="7"/>
  <c r="R30" i="7" s="1"/>
  <c r="C30" i="7"/>
  <c r="M29" i="7"/>
  <c r="L29" i="7"/>
  <c r="K29" i="7"/>
  <c r="U29" i="7" s="1"/>
  <c r="G29" i="7"/>
  <c r="C29" i="7"/>
  <c r="S28" i="7"/>
  <c r="M28" i="7"/>
  <c r="L28" i="7"/>
  <c r="N28" i="7" s="1"/>
  <c r="K28" i="7"/>
  <c r="O28" i="7" s="1"/>
  <c r="H28" i="7"/>
  <c r="G28" i="7"/>
  <c r="D2081" i="23" s="1"/>
  <c r="F28" i="7"/>
  <c r="C28" i="7"/>
  <c r="M26" i="7"/>
  <c r="H26" i="7" s="1"/>
  <c r="L26" i="7"/>
  <c r="K26" i="7"/>
  <c r="C26" i="7"/>
  <c r="N841" i="19" s="1"/>
  <c r="S25" i="7"/>
  <c r="R25" i="7"/>
  <c r="O25" i="7"/>
  <c r="M25" i="7"/>
  <c r="L25" i="7"/>
  <c r="N25" i="7" s="1"/>
  <c r="K25" i="7"/>
  <c r="E142" i="23" s="1"/>
  <c r="H25" i="7"/>
  <c r="G25" i="7"/>
  <c r="D2078" i="23" s="1"/>
  <c r="F25" i="7"/>
  <c r="J25" i="7" s="1"/>
  <c r="C25" i="7"/>
  <c r="M24" i="7"/>
  <c r="H24" i="7" s="1"/>
  <c r="L24" i="7"/>
  <c r="K24" i="7"/>
  <c r="S24" i="7" s="1"/>
  <c r="C24" i="7"/>
  <c r="M22" i="7"/>
  <c r="N22" i="7" s="1"/>
  <c r="E2122" i="23" s="1"/>
  <c r="L22" i="7"/>
  <c r="K22" i="7"/>
  <c r="S22" i="7" s="1"/>
  <c r="H22" i="7"/>
  <c r="G22" i="7"/>
  <c r="D2075" i="23" s="1"/>
  <c r="F22" i="7"/>
  <c r="R22" i="7" s="1"/>
  <c r="C22" i="7"/>
  <c r="N885" i="19" s="1"/>
  <c r="M21" i="7"/>
  <c r="H21" i="7" s="1"/>
  <c r="L21" i="7"/>
  <c r="C835" i="19" s="1"/>
  <c r="H835" i="19" s="1"/>
  <c r="K21" i="7"/>
  <c r="C21" i="7"/>
  <c r="O20" i="7"/>
  <c r="M20" i="7"/>
  <c r="H20" i="7" s="1"/>
  <c r="L20" i="7"/>
  <c r="C834" i="19" s="1"/>
  <c r="H834" i="19" s="1"/>
  <c r="G834" i="19" s="1"/>
  <c r="K20" i="7"/>
  <c r="S20" i="7" s="1"/>
  <c r="G20" i="7"/>
  <c r="T20" i="7" s="1"/>
  <c r="F20" i="7"/>
  <c r="R20" i="7" s="1"/>
  <c r="C20" i="7"/>
  <c r="M19" i="7"/>
  <c r="L19" i="7"/>
  <c r="K19" i="7"/>
  <c r="E882" i="19" s="1"/>
  <c r="G19" i="7"/>
  <c r="D2072" i="23" s="1"/>
  <c r="C19" i="7"/>
  <c r="R18" i="7"/>
  <c r="M18" i="7"/>
  <c r="L18" i="7"/>
  <c r="C832" i="19" s="1"/>
  <c r="H832" i="19" s="1"/>
  <c r="K18" i="7"/>
  <c r="H18" i="7"/>
  <c r="G18" i="7"/>
  <c r="D2071" i="23" s="1"/>
  <c r="F18" i="7"/>
  <c r="J18" i="7" s="1"/>
  <c r="C18" i="7"/>
  <c r="M17" i="7"/>
  <c r="H17" i="7" s="1"/>
  <c r="L17" i="7"/>
  <c r="K17" i="7"/>
  <c r="C17" i="7"/>
  <c r="N783" i="19" s="1"/>
  <c r="M16" i="7"/>
  <c r="H16" i="7" s="1"/>
  <c r="L16" i="7"/>
  <c r="K16" i="7"/>
  <c r="S16" i="7" s="1"/>
  <c r="F16" i="7"/>
  <c r="C16" i="7"/>
  <c r="M15" i="7"/>
  <c r="H15" i="7" s="1"/>
  <c r="L15" i="7"/>
  <c r="N15" i="7" s="1"/>
  <c r="E2115" i="23" s="1"/>
  <c r="K15" i="7"/>
  <c r="C15" i="7"/>
  <c r="M14" i="7"/>
  <c r="L14" i="7"/>
  <c r="N14" i="7" s="1"/>
  <c r="E2114" i="23" s="1"/>
  <c r="K14" i="7"/>
  <c r="S14" i="7" s="1"/>
  <c r="H14" i="7"/>
  <c r="G14" i="7"/>
  <c r="D2067" i="23" s="1"/>
  <c r="F14" i="7"/>
  <c r="R14" i="7" s="1"/>
  <c r="C14" i="7"/>
  <c r="M13" i="7"/>
  <c r="H13" i="7" s="1"/>
  <c r="L13" i="7"/>
  <c r="K13" i="7"/>
  <c r="S13" i="7" s="1"/>
  <c r="C13" i="7"/>
  <c r="N779" i="19" s="1"/>
  <c r="M12" i="7"/>
  <c r="H12" i="7" s="1"/>
  <c r="L12" i="7"/>
  <c r="N12" i="7" s="1"/>
  <c r="E2112" i="23" s="1"/>
  <c r="K12" i="7"/>
  <c r="S12" i="7" s="1"/>
  <c r="G12" i="7"/>
  <c r="T12" i="7" s="1"/>
  <c r="F12" i="7"/>
  <c r="C12" i="7"/>
  <c r="U11" i="7"/>
  <c r="M11" i="7"/>
  <c r="N11" i="7" s="1"/>
  <c r="E2111" i="23" s="1"/>
  <c r="L11" i="7"/>
  <c r="C825" i="19" s="1"/>
  <c r="H825" i="19" s="1"/>
  <c r="K11" i="7"/>
  <c r="H11" i="7"/>
  <c r="G11" i="7"/>
  <c r="D2064" i="23" s="1"/>
  <c r="C11" i="7"/>
  <c r="M10" i="7"/>
  <c r="L10" i="7"/>
  <c r="K10" i="7"/>
  <c r="C873" i="19" s="1"/>
  <c r="H873" i="19" s="1"/>
  <c r="H10" i="7"/>
  <c r="G10" i="7"/>
  <c r="D2063" i="23" s="1"/>
  <c r="F10" i="7"/>
  <c r="C10" i="7"/>
  <c r="M9" i="7"/>
  <c r="H9" i="7" s="1"/>
  <c r="L9" i="7"/>
  <c r="K9" i="7"/>
  <c r="C9" i="7"/>
  <c r="M8" i="7"/>
  <c r="H8" i="7" s="1"/>
  <c r="L8" i="7"/>
  <c r="K8" i="7"/>
  <c r="G8" i="7"/>
  <c r="F8" i="7"/>
  <c r="C8" i="7"/>
  <c r="M7" i="7"/>
  <c r="L7" i="7"/>
  <c r="N7" i="7" s="1"/>
  <c r="E2107" i="23" s="1"/>
  <c r="K7" i="7"/>
  <c r="E870" i="19" s="1"/>
  <c r="J870" i="19" s="1"/>
  <c r="H7" i="7"/>
  <c r="G7" i="7"/>
  <c r="C7" i="7"/>
  <c r="M6" i="7"/>
  <c r="L6" i="7"/>
  <c r="K6" i="7"/>
  <c r="S6" i="7" s="1"/>
  <c r="H6" i="7"/>
  <c r="G6" i="7"/>
  <c r="D2059" i="23" s="1"/>
  <c r="F6" i="7"/>
  <c r="R6" i="7" s="1"/>
  <c r="C6" i="7"/>
  <c r="U5" i="7"/>
  <c r="M5" i="7"/>
  <c r="H5" i="7" s="1"/>
  <c r="L5" i="7"/>
  <c r="K5" i="7"/>
  <c r="C5" i="7"/>
  <c r="M4" i="7"/>
  <c r="H4" i="7" s="1"/>
  <c r="L4" i="7"/>
  <c r="G4" i="7" s="1"/>
  <c r="K4" i="7"/>
  <c r="S4" i="7" s="1"/>
  <c r="F4" i="7"/>
  <c r="R4" i="7" s="1"/>
  <c r="C4" i="7"/>
  <c r="P1" i="7"/>
  <c r="B1" i="7"/>
  <c r="M50" i="8"/>
  <c r="H50" i="8" s="1"/>
  <c r="L50" i="8"/>
  <c r="K50" i="8"/>
  <c r="G50" i="8"/>
  <c r="F50" i="8"/>
  <c r="C50" i="8"/>
  <c r="U49" i="8"/>
  <c r="T49" i="8"/>
  <c r="S49" i="8"/>
  <c r="R49" i="8"/>
  <c r="C49" i="8"/>
  <c r="M47" i="8"/>
  <c r="H47" i="8" s="1"/>
  <c r="L47" i="8"/>
  <c r="K47" i="8"/>
  <c r="O47" i="8" s="1"/>
  <c r="C47" i="8"/>
  <c r="N1010" i="19" s="1"/>
  <c r="M46" i="8"/>
  <c r="L46" i="8"/>
  <c r="G46" i="8" s="1"/>
  <c r="K46" i="8"/>
  <c r="S46" i="8" s="1"/>
  <c r="H46" i="8"/>
  <c r="C46" i="8"/>
  <c r="M45" i="8"/>
  <c r="H45" i="8" s="1"/>
  <c r="L45" i="8"/>
  <c r="K45" i="8"/>
  <c r="G45" i="8"/>
  <c r="F45" i="8"/>
  <c r="C45" i="8"/>
  <c r="N958" i="19" s="1"/>
  <c r="M43" i="8"/>
  <c r="L43" i="8"/>
  <c r="K43" i="8"/>
  <c r="U43" i="8" s="1"/>
  <c r="H43" i="8"/>
  <c r="G43" i="8"/>
  <c r="C43" i="8"/>
  <c r="M42" i="8"/>
  <c r="H42" i="8" s="1"/>
  <c r="L42" i="8"/>
  <c r="K42" i="8"/>
  <c r="U42" i="8" s="1"/>
  <c r="G42" i="8"/>
  <c r="F42" i="8"/>
  <c r="C42" i="8"/>
  <c r="U41" i="8"/>
  <c r="S41" i="8"/>
  <c r="M41" i="8"/>
  <c r="L41" i="8"/>
  <c r="D1003" i="19" s="1"/>
  <c r="I1003" i="19" s="1"/>
  <c r="K41" i="8"/>
  <c r="O41" i="8" s="1"/>
  <c r="H41" i="8"/>
  <c r="G41" i="8"/>
  <c r="D2188" i="23" s="1"/>
  <c r="F41" i="8"/>
  <c r="C41" i="8"/>
  <c r="M40" i="8"/>
  <c r="H40" i="8" s="1"/>
  <c r="L40" i="8"/>
  <c r="K40" i="8"/>
  <c r="S40" i="8" s="1"/>
  <c r="C40" i="8"/>
  <c r="M39" i="8"/>
  <c r="L39" i="8"/>
  <c r="K39" i="8"/>
  <c r="C952" i="19" s="1"/>
  <c r="H952" i="19" s="1"/>
  <c r="H39" i="8"/>
  <c r="G39" i="8"/>
  <c r="D2186" i="23" s="1"/>
  <c r="C39" i="8"/>
  <c r="M38" i="8"/>
  <c r="H38" i="8" s="1"/>
  <c r="L38" i="8"/>
  <c r="G38" i="8" s="1"/>
  <c r="K38" i="8"/>
  <c r="F38" i="8"/>
  <c r="C38" i="8"/>
  <c r="U37" i="8"/>
  <c r="M37" i="8"/>
  <c r="L37" i="8"/>
  <c r="K37" i="8"/>
  <c r="H37" i="8"/>
  <c r="G37" i="8"/>
  <c r="D2184" i="23" s="1"/>
  <c r="F37" i="8"/>
  <c r="C37" i="8"/>
  <c r="O36" i="8"/>
  <c r="M36" i="8"/>
  <c r="H36" i="8" s="1"/>
  <c r="L36" i="8"/>
  <c r="K36" i="8"/>
  <c r="C1046" i="19" s="1"/>
  <c r="H1046" i="19" s="1"/>
  <c r="C36" i="8"/>
  <c r="U35" i="8"/>
  <c r="S35" i="8"/>
  <c r="M35" i="8"/>
  <c r="L35" i="8"/>
  <c r="K35" i="8"/>
  <c r="H35" i="8"/>
  <c r="G35" i="8"/>
  <c r="D2182" i="23" s="1"/>
  <c r="F35" i="8"/>
  <c r="R35" i="8" s="1"/>
  <c r="C35" i="8"/>
  <c r="M34" i="8"/>
  <c r="H34" i="8" s="1"/>
  <c r="L34" i="8"/>
  <c r="K34" i="8"/>
  <c r="C34" i="8"/>
  <c r="M33" i="8"/>
  <c r="L33" i="8"/>
  <c r="K33" i="8"/>
  <c r="H33" i="8"/>
  <c r="G33" i="8"/>
  <c r="D2180" i="23" s="1"/>
  <c r="F33" i="8"/>
  <c r="C33" i="8"/>
  <c r="O32" i="8"/>
  <c r="M32" i="8"/>
  <c r="H32" i="8" s="1"/>
  <c r="L32" i="8"/>
  <c r="K32" i="8"/>
  <c r="S32" i="8" s="1"/>
  <c r="C32" i="8"/>
  <c r="M31" i="8"/>
  <c r="L31" i="8"/>
  <c r="K31" i="8"/>
  <c r="U31" i="8" s="1"/>
  <c r="H31" i="8"/>
  <c r="G31" i="8"/>
  <c r="D2178" i="23" s="1"/>
  <c r="F31" i="8"/>
  <c r="J31" i="8" s="1"/>
  <c r="C31" i="8"/>
  <c r="M30" i="8"/>
  <c r="H30" i="8" s="1"/>
  <c r="L30" i="8"/>
  <c r="C992" i="19" s="1"/>
  <c r="H992" i="19" s="1"/>
  <c r="K30" i="8"/>
  <c r="F30" i="8" s="1"/>
  <c r="G30" i="8"/>
  <c r="C30" i="8"/>
  <c r="N29" i="8"/>
  <c r="E2223" i="23" s="1"/>
  <c r="M29" i="8"/>
  <c r="L29" i="8"/>
  <c r="D1039" i="19" s="1"/>
  <c r="I1039" i="19" s="1"/>
  <c r="K29" i="8"/>
  <c r="U29" i="8" s="1"/>
  <c r="H29" i="8"/>
  <c r="G29" i="8"/>
  <c r="F29" i="8"/>
  <c r="C29" i="8"/>
  <c r="M28" i="8"/>
  <c r="L28" i="8"/>
  <c r="K28" i="8"/>
  <c r="C28" i="8"/>
  <c r="N941" i="19" s="1"/>
  <c r="M26" i="8"/>
  <c r="L26" i="8"/>
  <c r="C988" i="19" s="1"/>
  <c r="H988" i="19" s="1"/>
  <c r="K26" i="8"/>
  <c r="H26" i="8"/>
  <c r="G26" i="8"/>
  <c r="F26" i="8"/>
  <c r="R26" i="8" s="1"/>
  <c r="C26" i="8"/>
  <c r="M25" i="8"/>
  <c r="H25" i="8" s="1"/>
  <c r="L25" i="8"/>
  <c r="K25" i="8"/>
  <c r="S25" i="8" s="1"/>
  <c r="C25" i="8"/>
  <c r="N938" i="19" s="1"/>
  <c r="S24" i="8"/>
  <c r="M24" i="8"/>
  <c r="L24" i="8"/>
  <c r="U24" i="8" s="1"/>
  <c r="K24" i="8"/>
  <c r="H24" i="8"/>
  <c r="G24" i="8"/>
  <c r="D2171" i="23" s="1"/>
  <c r="F24" i="8"/>
  <c r="D188" i="23" s="1"/>
  <c r="C24" i="8"/>
  <c r="M22" i="8"/>
  <c r="H22" i="8" s="1"/>
  <c r="L22" i="8"/>
  <c r="K22" i="8"/>
  <c r="C22" i="8"/>
  <c r="R21" i="8"/>
  <c r="M21" i="8"/>
  <c r="L21" i="8"/>
  <c r="U21" i="8" s="1"/>
  <c r="K21" i="8"/>
  <c r="S21" i="8" s="1"/>
  <c r="H21" i="8"/>
  <c r="F21" i="8"/>
  <c r="D185" i="23" s="1"/>
  <c r="C21" i="8"/>
  <c r="M20" i="8"/>
  <c r="H20" i="8" s="1"/>
  <c r="L20" i="8"/>
  <c r="N20" i="8" s="1"/>
  <c r="E2214" i="23" s="1"/>
  <c r="K20" i="8"/>
  <c r="U20" i="8" s="1"/>
  <c r="F20" i="8"/>
  <c r="C20" i="8"/>
  <c r="M19" i="8"/>
  <c r="L19" i="8"/>
  <c r="K19" i="8"/>
  <c r="H19" i="8"/>
  <c r="G19" i="8"/>
  <c r="D2166" i="23" s="1"/>
  <c r="F19" i="8"/>
  <c r="R19" i="8" s="1"/>
  <c r="C19" i="8"/>
  <c r="M18" i="8"/>
  <c r="H18" i="8" s="1"/>
  <c r="L18" i="8"/>
  <c r="K18" i="8"/>
  <c r="S18" i="8" s="1"/>
  <c r="C18" i="8"/>
  <c r="N979" i="19" s="1"/>
  <c r="S17" i="8"/>
  <c r="M17" i="8"/>
  <c r="L17" i="8"/>
  <c r="K17" i="8"/>
  <c r="H17" i="8"/>
  <c r="G17" i="8"/>
  <c r="D2164" i="23" s="1"/>
  <c r="F17" i="8"/>
  <c r="C17" i="8"/>
  <c r="M16" i="8"/>
  <c r="H16" i="8" s="1"/>
  <c r="L16" i="8"/>
  <c r="K16" i="8"/>
  <c r="G16" i="8"/>
  <c r="F16" i="8"/>
  <c r="C16" i="8"/>
  <c r="M15" i="8"/>
  <c r="L15" i="8"/>
  <c r="K15" i="8"/>
  <c r="H15" i="8"/>
  <c r="G15" i="8"/>
  <c r="D2162" i="23" s="1"/>
  <c r="F15" i="8"/>
  <c r="C15" i="8"/>
  <c r="M14" i="8"/>
  <c r="H14" i="8" s="1"/>
  <c r="L14" i="8"/>
  <c r="N14" i="8" s="1"/>
  <c r="E2208" i="23" s="1"/>
  <c r="K14" i="8"/>
  <c r="S14" i="8" s="1"/>
  <c r="C14" i="8"/>
  <c r="M13" i="8"/>
  <c r="L13" i="8"/>
  <c r="K13" i="8"/>
  <c r="H13" i="8"/>
  <c r="F13" i="8"/>
  <c r="R13" i="8" s="1"/>
  <c r="C13" i="8"/>
  <c r="M12" i="8"/>
  <c r="H12" i="8" s="1"/>
  <c r="L12" i="8"/>
  <c r="K12" i="8"/>
  <c r="G12" i="8"/>
  <c r="C12" i="8"/>
  <c r="U11" i="8"/>
  <c r="S11" i="8"/>
  <c r="R11" i="8"/>
  <c r="M11" i="8"/>
  <c r="L11" i="8"/>
  <c r="C972" i="19" s="1"/>
  <c r="H972" i="19" s="1"/>
  <c r="K11" i="8"/>
  <c r="O11" i="8" s="1"/>
  <c r="H11" i="8"/>
  <c r="G11" i="8"/>
  <c r="D2158" i="23" s="1"/>
  <c r="F11" i="8"/>
  <c r="C11" i="8"/>
  <c r="N924" i="19" s="1"/>
  <c r="M10" i="8"/>
  <c r="H10" i="8" s="1"/>
  <c r="L10" i="8"/>
  <c r="K10" i="8"/>
  <c r="C10" i="8"/>
  <c r="M9" i="8"/>
  <c r="L9" i="8"/>
  <c r="K9" i="8"/>
  <c r="H9" i="8"/>
  <c r="C9" i="8"/>
  <c r="M8" i="8"/>
  <c r="H8" i="8" s="1"/>
  <c r="L8" i="8"/>
  <c r="K8" i="8"/>
  <c r="C921" i="19" s="1"/>
  <c r="H921" i="19" s="1"/>
  <c r="F8" i="8"/>
  <c r="C8" i="8"/>
  <c r="M7" i="8"/>
  <c r="L7" i="8"/>
  <c r="K7" i="8"/>
  <c r="H7" i="8"/>
  <c r="G7" i="8"/>
  <c r="D2154" i="23" s="1"/>
  <c r="F7" i="8"/>
  <c r="R7" i="8" s="1"/>
  <c r="C7" i="8"/>
  <c r="M6" i="8"/>
  <c r="H6" i="8" s="1"/>
  <c r="L6" i="8"/>
  <c r="C967" i="19" s="1"/>
  <c r="H967" i="19" s="1"/>
  <c r="K6" i="8"/>
  <c r="C6" i="8"/>
  <c r="M5" i="8"/>
  <c r="L5" i="8"/>
  <c r="K5" i="8"/>
  <c r="U5" i="8" s="1"/>
  <c r="H5" i="8"/>
  <c r="C5" i="8"/>
  <c r="M4" i="8"/>
  <c r="L4" i="8"/>
  <c r="K4" i="8"/>
  <c r="F4" i="8"/>
  <c r="C4" i="8"/>
  <c r="P1" i="8"/>
  <c r="B1" i="8"/>
  <c r="M50" i="6"/>
  <c r="H50" i="6" s="1"/>
  <c r="L50" i="6"/>
  <c r="K50" i="6"/>
  <c r="F50" i="6"/>
  <c r="C50" i="6"/>
  <c r="N719" i="19" s="1"/>
  <c r="U49" i="6"/>
  <c r="T49" i="6"/>
  <c r="S49" i="6"/>
  <c r="R49" i="6"/>
  <c r="C49" i="6"/>
  <c r="M47" i="6"/>
  <c r="L47" i="6"/>
  <c r="D763" i="19" s="1"/>
  <c r="I763" i="19" s="1"/>
  <c r="K47" i="6"/>
  <c r="H47" i="6"/>
  <c r="C47" i="6"/>
  <c r="M46" i="6"/>
  <c r="H46" i="6" s="1"/>
  <c r="L46" i="6"/>
  <c r="K46" i="6"/>
  <c r="S46" i="6" s="1"/>
  <c r="F46" i="6"/>
  <c r="C46" i="6"/>
  <c r="M45" i="6"/>
  <c r="L45" i="6"/>
  <c r="K45" i="6"/>
  <c r="H45" i="6"/>
  <c r="G45" i="6"/>
  <c r="F45" i="6"/>
  <c r="R45" i="6" s="1"/>
  <c r="C45" i="6"/>
  <c r="N664" i="19" s="1"/>
  <c r="M43" i="6"/>
  <c r="H43" i="6" s="1"/>
  <c r="L43" i="6"/>
  <c r="K43" i="6"/>
  <c r="S43" i="6" s="1"/>
  <c r="F43" i="6"/>
  <c r="R43" i="6" s="1"/>
  <c r="C43" i="6"/>
  <c r="M42" i="6"/>
  <c r="H42" i="6" s="1"/>
  <c r="L42" i="6"/>
  <c r="G42" i="6" s="1"/>
  <c r="K42" i="6"/>
  <c r="F42" i="6" s="1"/>
  <c r="C42" i="6"/>
  <c r="N710" i="19" s="1"/>
  <c r="M41" i="6"/>
  <c r="L41" i="6"/>
  <c r="K41" i="6"/>
  <c r="H41" i="6"/>
  <c r="G41" i="6"/>
  <c r="D2000" i="23" s="1"/>
  <c r="F41" i="6"/>
  <c r="R41" i="6" s="1"/>
  <c r="C41" i="6"/>
  <c r="M40" i="6"/>
  <c r="L40" i="6"/>
  <c r="K40" i="6"/>
  <c r="H40" i="6"/>
  <c r="C40" i="6"/>
  <c r="M39" i="6"/>
  <c r="H39" i="6" s="1"/>
  <c r="L39" i="6"/>
  <c r="N39" i="6" s="1"/>
  <c r="E2045" i="23" s="1"/>
  <c r="K39" i="6"/>
  <c r="S39" i="6" s="1"/>
  <c r="C39" i="6"/>
  <c r="M38" i="6"/>
  <c r="H38" i="6" s="1"/>
  <c r="L38" i="6"/>
  <c r="K38" i="6"/>
  <c r="F38" i="6" s="1"/>
  <c r="C38" i="6"/>
  <c r="M37" i="6"/>
  <c r="H37" i="6" s="1"/>
  <c r="L37" i="6"/>
  <c r="C705" i="19" s="1"/>
  <c r="H705" i="19" s="1"/>
  <c r="K37" i="6"/>
  <c r="S37" i="6" s="1"/>
  <c r="G37" i="6"/>
  <c r="F37" i="6"/>
  <c r="R37" i="6" s="1"/>
  <c r="C37" i="6"/>
  <c r="N753" i="19" s="1"/>
  <c r="M36" i="6"/>
  <c r="L36" i="6"/>
  <c r="K36" i="6"/>
  <c r="S36" i="6" s="1"/>
  <c r="H36" i="6"/>
  <c r="C36" i="6"/>
  <c r="M35" i="6"/>
  <c r="H35" i="6" s="1"/>
  <c r="L35" i="6"/>
  <c r="K35" i="6"/>
  <c r="U35" i="6" s="1"/>
  <c r="F35" i="6"/>
  <c r="C35" i="6"/>
  <c r="M34" i="6"/>
  <c r="L34" i="6"/>
  <c r="K34" i="6"/>
  <c r="H34" i="6"/>
  <c r="G34" i="6"/>
  <c r="D1993" i="23" s="1"/>
  <c r="C34" i="6"/>
  <c r="N702" i="19" s="1"/>
  <c r="M33" i="6"/>
  <c r="H33" i="6" s="1"/>
  <c r="L33" i="6"/>
  <c r="K33" i="6"/>
  <c r="S33" i="6" s="1"/>
  <c r="G33" i="6"/>
  <c r="D1992" i="23" s="1"/>
  <c r="F33" i="6"/>
  <c r="C33" i="6"/>
  <c r="M32" i="6"/>
  <c r="L32" i="6"/>
  <c r="K32" i="6"/>
  <c r="H32" i="6"/>
  <c r="C32" i="6"/>
  <c r="M31" i="6"/>
  <c r="H31" i="6" s="1"/>
  <c r="L31" i="6"/>
  <c r="K31" i="6"/>
  <c r="S31" i="6" s="1"/>
  <c r="F31" i="6"/>
  <c r="C31" i="6"/>
  <c r="M30" i="6"/>
  <c r="L30" i="6"/>
  <c r="E1989" i="23" s="1"/>
  <c r="K30" i="6"/>
  <c r="U30" i="6" s="1"/>
  <c r="H30" i="6"/>
  <c r="C30" i="6"/>
  <c r="M29" i="6"/>
  <c r="L29" i="6"/>
  <c r="K29" i="6"/>
  <c r="H29" i="6"/>
  <c r="G29" i="6"/>
  <c r="D1988" i="23" s="1"/>
  <c r="F29" i="6"/>
  <c r="C29" i="6"/>
  <c r="M28" i="6"/>
  <c r="L28" i="6"/>
  <c r="K28" i="6"/>
  <c r="H28" i="6"/>
  <c r="C28" i="6"/>
  <c r="O26" i="6"/>
  <c r="M26" i="6"/>
  <c r="H26" i="6" s="1"/>
  <c r="L26" i="6"/>
  <c r="D694" i="19" s="1"/>
  <c r="I694" i="19" s="1"/>
  <c r="K26" i="6"/>
  <c r="S26" i="6" s="1"/>
  <c r="G26" i="6"/>
  <c r="D1985" i="23" s="1"/>
  <c r="F26" i="6"/>
  <c r="C26" i="6"/>
  <c r="M25" i="6"/>
  <c r="L25" i="6"/>
  <c r="K25" i="6"/>
  <c r="C741" i="19" s="1"/>
  <c r="H741" i="19" s="1"/>
  <c r="H25" i="6"/>
  <c r="C25" i="6"/>
  <c r="N693" i="19" s="1"/>
  <c r="S24" i="6"/>
  <c r="R24" i="6"/>
  <c r="O24" i="6"/>
  <c r="M24" i="6"/>
  <c r="L24" i="6"/>
  <c r="U24" i="6" s="1"/>
  <c r="K24" i="6"/>
  <c r="F24" i="6"/>
  <c r="C24" i="6"/>
  <c r="M22" i="6"/>
  <c r="L22" i="6"/>
  <c r="G22" i="6" s="1"/>
  <c r="D1981" i="23" s="1"/>
  <c r="K22" i="6"/>
  <c r="S22" i="6" s="1"/>
  <c r="H22" i="6"/>
  <c r="C22" i="6"/>
  <c r="N738" i="19" s="1"/>
  <c r="M21" i="6"/>
  <c r="H21" i="6" s="1"/>
  <c r="L21" i="6"/>
  <c r="K21" i="6"/>
  <c r="F21" i="6" s="1"/>
  <c r="C21" i="6"/>
  <c r="U20" i="6"/>
  <c r="T20" i="6"/>
  <c r="M20" i="6"/>
  <c r="L20" i="6"/>
  <c r="K20" i="6"/>
  <c r="H20" i="6"/>
  <c r="G20" i="6"/>
  <c r="D1979" i="23" s="1"/>
  <c r="F20" i="6"/>
  <c r="C20" i="6"/>
  <c r="N687" i="19" s="1"/>
  <c r="M19" i="6"/>
  <c r="N19" i="6" s="1"/>
  <c r="E2025" i="23" s="1"/>
  <c r="L19" i="6"/>
  <c r="C686" i="19" s="1"/>
  <c r="H686" i="19" s="1"/>
  <c r="K19" i="6"/>
  <c r="H19" i="6"/>
  <c r="G19" i="6"/>
  <c r="D1978" i="23" s="1"/>
  <c r="F19" i="6"/>
  <c r="R19" i="6" s="1"/>
  <c r="C19" i="6"/>
  <c r="M18" i="6"/>
  <c r="L18" i="6"/>
  <c r="K18" i="6"/>
  <c r="C637" i="19" s="1"/>
  <c r="H637" i="19" s="1"/>
  <c r="H18" i="6"/>
  <c r="C18" i="6"/>
  <c r="M17" i="6"/>
  <c r="H17" i="6" s="1"/>
  <c r="L17" i="6"/>
  <c r="N17" i="6" s="1"/>
  <c r="E2023" i="23" s="1"/>
  <c r="K17" i="6"/>
  <c r="C17" i="6"/>
  <c r="M16" i="6"/>
  <c r="L16" i="6"/>
  <c r="K16" i="6"/>
  <c r="H16" i="6"/>
  <c r="G16" i="6"/>
  <c r="D1975" i="23" s="1"/>
  <c r="C16" i="6"/>
  <c r="M15" i="6"/>
  <c r="D731" i="19" s="1"/>
  <c r="I728" i="19" s="1"/>
  <c r="L15" i="6"/>
  <c r="K15" i="6"/>
  <c r="O15" i="6" s="1"/>
  <c r="H15" i="6"/>
  <c r="G15" i="6"/>
  <c r="D1974" i="23" s="1"/>
  <c r="F15" i="6"/>
  <c r="R15" i="6" s="1"/>
  <c r="C15" i="6"/>
  <c r="M14" i="6"/>
  <c r="L14" i="6"/>
  <c r="G14" i="6" s="1"/>
  <c r="D1973" i="23" s="1"/>
  <c r="K14" i="6"/>
  <c r="D633" i="19" s="1"/>
  <c r="I633" i="19" s="1"/>
  <c r="H14" i="6"/>
  <c r="I14" i="6" s="1"/>
  <c r="D2020" i="23" s="1"/>
  <c r="C14" i="6"/>
  <c r="M13" i="6"/>
  <c r="H13" i="6" s="1"/>
  <c r="L13" i="6"/>
  <c r="K13" i="6"/>
  <c r="C13" i="6"/>
  <c r="M12" i="6"/>
  <c r="L12" i="6"/>
  <c r="K12" i="6"/>
  <c r="H12" i="6"/>
  <c r="G12" i="6"/>
  <c r="D1971" i="23" s="1"/>
  <c r="C12" i="6"/>
  <c r="M11" i="6"/>
  <c r="L11" i="6"/>
  <c r="E1970" i="23" s="1"/>
  <c r="K11" i="6"/>
  <c r="O11" i="6" s="1"/>
  <c r="G11" i="6"/>
  <c r="D1970" i="23" s="1"/>
  <c r="F11" i="6"/>
  <c r="R11" i="6" s="1"/>
  <c r="C11" i="6"/>
  <c r="M10" i="6"/>
  <c r="L10" i="6"/>
  <c r="K10" i="6"/>
  <c r="U10" i="6" s="1"/>
  <c r="H10" i="6"/>
  <c r="C10" i="6"/>
  <c r="O9" i="6"/>
  <c r="M9" i="6"/>
  <c r="H9" i="6" s="1"/>
  <c r="L9" i="6"/>
  <c r="C676" i="19" s="1"/>
  <c r="H676" i="19" s="1"/>
  <c r="K9" i="6"/>
  <c r="U9" i="6" s="1"/>
  <c r="F9" i="6"/>
  <c r="C9" i="6"/>
  <c r="M8" i="6"/>
  <c r="L8" i="6"/>
  <c r="K8" i="6"/>
  <c r="H8" i="6"/>
  <c r="G8" i="6"/>
  <c r="D1967" i="23" s="1"/>
  <c r="F8" i="6"/>
  <c r="C8" i="6"/>
  <c r="N724" i="19" s="1"/>
  <c r="U7" i="6"/>
  <c r="S7" i="6"/>
  <c r="O7" i="6"/>
  <c r="M7" i="6"/>
  <c r="D626" i="19" s="1"/>
  <c r="I626" i="19" s="1"/>
  <c r="L7" i="6"/>
  <c r="C674" i="19" s="1"/>
  <c r="H674" i="19" s="1"/>
  <c r="K7" i="6"/>
  <c r="C626" i="19" s="1"/>
  <c r="H626" i="19" s="1"/>
  <c r="H7" i="6"/>
  <c r="G7" i="6"/>
  <c r="D1966" i="23" s="1"/>
  <c r="F7" i="6"/>
  <c r="C7" i="6"/>
  <c r="M6" i="6"/>
  <c r="L6" i="6"/>
  <c r="G6" i="6" s="1"/>
  <c r="D1965" i="23" s="1"/>
  <c r="K6" i="6"/>
  <c r="S6" i="6" s="1"/>
  <c r="H6" i="6"/>
  <c r="C6" i="6"/>
  <c r="M5" i="6"/>
  <c r="H5" i="6" s="1"/>
  <c r="L5" i="6"/>
  <c r="K5" i="6"/>
  <c r="O5" i="6" s="1"/>
  <c r="F5" i="6"/>
  <c r="R5" i="6" s="1"/>
  <c r="C5" i="6"/>
  <c r="M4" i="6"/>
  <c r="L4" i="6"/>
  <c r="K4" i="6"/>
  <c r="U4" i="6" s="1"/>
  <c r="C4" i="6"/>
  <c r="N720" i="19" s="1"/>
  <c r="P1" i="6"/>
  <c r="B1" i="6"/>
  <c r="M50" i="5"/>
  <c r="L50" i="5"/>
  <c r="K50" i="5"/>
  <c r="G50" i="5"/>
  <c r="F50" i="5"/>
  <c r="C50" i="5"/>
  <c r="U49" i="5"/>
  <c r="T49" i="5"/>
  <c r="S49" i="5"/>
  <c r="R49" i="5"/>
  <c r="C49" i="5"/>
  <c r="M47" i="5"/>
  <c r="L47" i="5"/>
  <c r="K47" i="5"/>
  <c r="F47" i="5" s="1"/>
  <c r="H47" i="5"/>
  <c r="G47" i="5"/>
  <c r="D1912" i="23" s="1"/>
  <c r="C47" i="5"/>
  <c r="M46" i="5"/>
  <c r="H46" i="5" s="1"/>
  <c r="L46" i="5"/>
  <c r="K46" i="5"/>
  <c r="C46" i="5"/>
  <c r="O45" i="5"/>
  <c r="M45" i="5"/>
  <c r="L45" i="5"/>
  <c r="U45" i="5" s="1"/>
  <c r="K45" i="5"/>
  <c r="C517" i="19" s="1"/>
  <c r="H517" i="19" s="1"/>
  <c r="H45" i="5"/>
  <c r="G45" i="5"/>
  <c r="F45" i="5"/>
  <c r="T45" i="5" s="1"/>
  <c r="C45" i="5"/>
  <c r="M43" i="5"/>
  <c r="H43" i="5" s="1"/>
  <c r="L43" i="5"/>
  <c r="C564" i="19" s="1"/>
  <c r="H564" i="19" s="1"/>
  <c r="K43" i="5"/>
  <c r="E612" i="19" s="1"/>
  <c r="F43" i="5"/>
  <c r="C43" i="5"/>
  <c r="O42" i="5"/>
  <c r="M42" i="5"/>
  <c r="L42" i="5"/>
  <c r="E1907" i="23" s="1"/>
  <c r="K42" i="5"/>
  <c r="H42" i="5"/>
  <c r="G42" i="5"/>
  <c r="F42" i="5"/>
  <c r="C42" i="5"/>
  <c r="M41" i="5"/>
  <c r="L41" i="5"/>
  <c r="K41" i="5"/>
  <c r="H41" i="5"/>
  <c r="C41" i="5"/>
  <c r="M40" i="5"/>
  <c r="L40" i="5"/>
  <c r="C561" i="19" s="1"/>
  <c r="H561" i="19" s="1"/>
  <c r="K40" i="5"/>
  <c r="F40" i="5" s="1"/>
  <c r="H40" i="5"/>
  <c r="G40" i="5"/>
  <c r="D1905" i="23" s="1"/>
  <c r="C40" i="5"/>
  <c r="N512" i="19" s="1"/>
  <c r="M39" i="5"/>
  <c r="H39" i="5" s="1"/>
  <c r="L39" i="5"/>
  <c r="K39" i="5"/>
  <c r="F39" i="5"/>
  <c r="C39" i="5"/>
  <c r="M38" i="5"/>
  <c r="L38" i="5"/>
  <c r="K38" i="5"/>
  <c r="S38" i="5" s="1"/>
  <c r="H38" i="5"/>
  <c r="G38" i="5"/>
  <c r="F38" i="5"/>
  <c r="T38" i="5" s="1"/>
  <c r="C38" i="5"/>
  <c r="M37" i="5"/>
  <c r="L37" i="5"/>
  <c r="C558" i="19" s="1"/>
  <c r="H558" i="19" s="1"/>
  <c r="K37" i="5"/>
  <c r="H37" i="5"/>
  <c r="C37" i="5"/>
  <c r="M36" i="5"/>
  <c r="L36" i="5"/>
  <c r="S36" i="5" s="1"/>
  <c r="K36" i="5"/>
  <c r="C508" i="19" s="1"/>
  <c r="H508" i="19" s="1"/>
  <c r="H36" i="5"/>
  <c r="G36" i="5"/>
  <c r="C36" i="5"/>
  <c r="M35" i="5"/>
  <c r="H35" i="5" s="1"/>
  <c r="L35" i="5"/>
  <c r="K35" i="5"/>
  <c r="E604" i="19" s="1"/>
  <c r="F35" i="5"/>
  <c r="C35" i="5"/>
  <c r="M34" i="5"/>
  <c r="L34" i="5"/>
  <c r="K34" i="5"/>
  <c r="H34" i="5"/>
  <c r="G34" i="5"/>
  <c r="F34" i="5"/>
  <c r="T34" i="5" s="1"/>
  <c r="C34" i="5"/>
  <c r="M33" i="5"/>
  <c r="L33" i="5"/>
  <c r="K33" i="5"/>
  <c r="H33" i="5"/>
  <c r="C33" i="5"/>
  <c r="M32" i="5"/>
  <c r="L32" i="5"/>
  <c r="K32" i="5"/>
  <c r="F32" i="5" s="1"/>
  <c r="H32" i="5"/>
  <c r="G32" i="5"/>
  <c r="D1897" i="23" s="1"/>
  <c r="C32" i="5"/>
  <c r="M31" i="5"/>
  <c r="H31" i="5" s="1"/>
  <c r="L31" i="5"/>
  <c r="K31" i="5"/>
  <c r="F31" i="5"/>
  <c r="C31" i="5"/>
  <c r="M30" i="5"/>
  <c r="L30" i="5"/>
  <c r="K30" i="5"/>
  <c r="G30" i="5"/>
  <c r="F30" i="5"/>
  <c r="C30" i="5"/>
  <c r="M29" i="5"/>
  <c r="M44" i="5" s="1"/>
  <c r="L29" i="5"/>
  <c r="K29" i="5"/>
  <c r="C598" i="19" s="1"/>
  <c r="H598" i="19" s="1"/>
  <c r="C29" i="5"/>
  <c r="N550" i="19" s="1"/>
  <c r="M28" i="5"/>
  <c r="L28" i="5"/>
  <c r="D597" i="19" s="1"/>
  <c r="I597" i="19" s="1"/>
  <c r="K28" i="5"/>
  <c r="F28" i="5" s="1"/>
  <c r="H28" i="5"/>
  <c r="G28" i="5"/>
  <c r="C28" i="5"/>
  <c r="M26" i="5"/>
  <c r="L26" i="5"/>
  <c r="K26" i="5"/>
  <c r="C595" i="19" s="1"/>
  <c r="H595" i="19" s="1"/>
  <c r="H26" i="5"/>
  <c r="C26" i="5"/>
  <c r="N595" i="19" s="1"/>
  <c r="M25" i="5"/>
  <c r="L25" i="5"/>
  <c r="K25" i="5"/>
  <c r="C594" i="19" s="1"/>
  <c r="H594" i="19" s="1"/>
  <c r="H25" i="5"/>
  <c r="G25" i="5"/>
  <c r="C25" i="5"/>
  <c r="U24" i="5"/>
  <c r="M24" i="5"/>
  <c r="H24" i="5" s="1"/>
  <c r="L24" i="5"/>
  <c r="K24" i="5"/>
  <c r="C24" i="5"/>
  <c r="M22" i="5"/>
  <c r="L22" i="5"/>
  <c r="E1887" i="23" s="1"/>
  <c r="K22" i="5"/>
  <c r="H22" i="5"/>
  <c r="G22" i="5"/>
  <c r="D1887" i="23" s="1"/>
  <c r="C22" i="5"/>
  <c r="M21" i="5"/>
  <c r="H21" i="5" s="1"/>
  <c r="L21" i="5"/>
  <c r="K21" i="5"/>
  <c r="F21" i="5"/>
  <c r="C21" i="5"/>
  <c r="U20" i="5"/>
  <c r="T20" i="5"/>
  <c r="S20" i="5"/>
  <c r="O20" i="5"/>
  <c r="M20" i="5"/>
  <c r="H20" i="5" s="1"/>
  <c r="L20" i="5"/>
  <c r="K20" i="5"/>
  <c r="E43" i="23" s="1"/>
  <c r="G20" i="5"/>
  <c r="F20" i="5"/>
  <c r="C20" i="5"/>
  <c r="M19" i="5"/>
  <c r="L19" i="5"/>
  <c r="D539" i="19" s="1"/>
  <c r="I539" i="19" s="1"/>
  <c r="K19" i="5"/>
  <c r="O19" i="5" s="1"/>
  <c r="C19" i="5"/>
  <c r="M18" i="5"/>
  <c r="L18" i="5"/>
  <c r="D587" i="19" s="1"/>
  <c r="I587" i="19" s="1"/>
  <c r="K18" i="5"/>
  <c r="F18" i="5" s="1"/>
  <c r="H18" i="5"/>
  <c r="G18" i="5"/>
  <c r="D1883" i="23" s="1"/>
  <c r="C18" i="5"/>
  <c r="M17" i="5"/>
  <c r="H17" i="5" s="1"/>
  <c r="L17" i="5"/>
  <c r="K17" i="5"/>
  <c r="U17" i="5" s="1"/>
  <c r="C17" i="5"/>
  <c r="N537" i="19" s="1"/>
  <c r="M16" i="5"/>
  <c r="L16" i="5"/>
  <c r="K16" i="5"/>
  <c r="H16" i="5"/>
  <c r="G16" i="5"/>
  <c r="F16" i="5"/>
  <c r="C16" i="5"/>
  <c r="M15" i="5"/>
  <c r="N15" i="5" s="1"/>
  <c r="E1927" i="23" s="1"/>
  <c r="L15" i="5"/>
  <c r="K15" i="5"/>
  <c r="O15" i="5" s="1"/>
  <c r="H15" i="5"/>
  <c r="C15" i="5"/>
  <c r="M14" i="5"/>
  <c r="L14" i="5"/>
  <c r="D534" i="19" s="1"/>
  <c r="I534" i="19" s="1"/>
  <c r="K14" i="5"/>
  <c r="C583" i="19" s="1"/>
  <c r="H583" i="19" s="1"/>
  <c r="H14" i="5"/>
  <c r="G14" i="5"/>
  <c r="D1879" i="23" s="1"/>
  <c r="C14" i="5"/>
  <c r="N486" i="19" s="1"/>
  <c r="M13" i="5"/>
  <c r="H13" i="5" s="1"/>
  <c r="L13" i="5"/>
  <c r="K13" i="5"/>
  <c r="F13" i="5"/>
  <c r="C13" i="5"/>
  <c r="M12" i="5"/>
  <c r="L12" i="5"/>
  <c r="N12" i="5" s="1"/>
  <c r="E1924" i="23" s="1"/>
  <c r="K12" i="5"/>
  <c r="E35" i="23" s="1"/>
  <c r="H12" i="5"/>
  <c r="G12" i="5"/>
  <c r="F12" i="5"/>
  <c r="T12" i="5" s="1"/>
  <c r="C12" i="5"/>
  <c r="N581" i="19" s="1"/>
  <c r="M11" i="5"/>
  <c r="L11" i="5"/>
  <c r="K11" i="5"/>
  <c r="E580" i="19" s="1"/>
  <c r="H11" i="5"/>
  <c r="C11" i="5"/>
  <c r="M10" i="5"/>
  <c r="L10" i="5"/>
  <c r="K10" i="5"/>
  <c r="S10" i="5" s="1"/>
  <c r="H10" i="5"/>
  <c r="G10" i="5"/>
  <c r="D1875" i="23" s="1"/>
  <c r="C10" i="5"/>
  <c r="M9" i="5"/>
  <c r="H9" i="5" s="1"/>
  <c r="L9" i="5"/>
  <c r="K9" i="5"/>
  <c r="C578" i="19" s="1"/>
  <c r="H578" i="19" s="1"/>
  <c r="C9" i="5"/>
  <c r="M8" i="5"/>
  <c r="L8" i="5"/>
  <c r="K8" i="5"/>
  <c r="H8" i="5"/>
  <c r="G8" i="5"/>
  <c r="F8" i="5"/>
  <c r="C8" i="5"/>
  <c r="O7" i="5"/>
  <c r="M7" i="5"/>
  <c r="D479" i="19" s="1"/>
  <c r="I479" i="19" s="1"/>
  <c r="L7" i="5"/>
  <c r="C527" i="19" s="1"/>
  <c r="H527" i="19" s="1"/>
  <c r="K7" i="5"/>
  <c r="H7" i="5"/>
  <c r="C7" i="5"/>
  <c r="N576" i="19" s="1"/>
  <c r="M6" i="5"/>
  <c r="L6" i="5"/>
  <c r="K6" i="5"/>
  <c r="S6" i="5" s="1"/>
  <c r="H6" i="5"/>
  <c r="G6" i="5"/>
  <c r="F6" i="5"/>
  <c r="C6" i="5"/>
  <c r="M5" i="5"/>
  <c r="H5" i="5" s="1"/>
  <c r="L5" i="5"/>
  <c r="K5" i="5"/>
  <c r="F5" i="5"/>
  <c r="C5" i="5"/>
  <c r="M4" i="5"/>
  <c r="L4" i="5"/>
  <c r="E1869" i="23" s="1"/>
  <c r="K4" i="5"/>
  <c r="H4" i="5"/>
  <c r="G4" i="5"/>
  <c r="F4" i="5"/>
  <c r="R4" i="5" s="1"/>
  <c r="C4" i="5"/>
  <c r="P1" i="5"/>
  <c r="B1" i="5"/>
  <c r="F68" i="4"/>
  <c r="F67" i="4"/>
  <c r="E327" i="19" s="1"/>
  <c r="N66" i="4"/>
  <c r="F66" i="4"/>
  <c r="N63" i="4"/>
  <c r="J63" i="4"/>
  <c r="E1759" i="23" s="1"/>
  <c r="H63" i="4"/>
  <c r="F63" i="4"/>
  <c r="R57" i="4"/>
  <c r="E1856" i="23" s="1"/>
  <c r="P57" i="4"/>
  <c r="N57" i="4"/>
  <c r="J57" i="4"/>
  <c r="H57" i="4"/>
  <c r="D1753" i="23" s="1"/>
  <c r="F57" i="4"/>
  <c r="E1700" i="23" s="1"/>
  <c r="R56" i="4"/>
  <c r="N56" i="4"/>
  <c r="E1805" i="23" s="1"/>
  <c r="L56" i="4"/>
  <c r="D1805" i="23" s="1"/>
  <c r="J56" i="4"/>
  <c r="F56" i="4"/>
  <c r="R55" i="4"/>
  <c r="E1854" i="23" s="1"/>
  <c r="P55" i="4"/>
  <c r="D1854" i="23" s="1"/>
  <c r="N55" i="4"/>
  <c r="J55" i="4"/>
  <c r="E1751" i="23" s="1"/>
  <c r="H55" i="4"/>
  <c r="D1751" i="23" s="1"/>
  <c r="F55" i="4"/>
  <c r="R54" i="4"/>
  <c r="P54" i="4"/>
  <c r="N54" i="4"/>
  <c r="E1803" i="23" s="1"/>
  <c r="L54" i="4"/>
  <c r="D1803" i="23" s="1"/>
  <c r="J54" i="4"/>
  <c r="F54" i="4"/>
  <c r="D54" i="4"/>
  <c r="R53" i="4"/>
  <c r="N53" i="4"/>
  <c r="L53" i="4"/>
  <c r="D1802" i="23" s="1"/>
  <c r="J53" i="4"/>
  <c r="F53" i="4"/>
  <c r="R51" i="4"/>
  <c r="N51" i="4"/>
  <c r="E1800" i="23" s="1"/>
  <c r="L51" i="4"/>
  <c r="D1800" i="23" s="1"/>
  <c r="J51" i="4"/>
  <c r="F51" i="4"/>
  <c r="D51" i="4"/>
  <c r="R50" i="4"/>
  <c r="E1849" i="23" s="1"/>
  <c r="P50" i="4"/>
  <c r="D1849" i="23" s="1"/>
  <c r="N50" i="4"/>
  <c r="J50" i="4"/>
  <c r="E1746" i="23" s="1"/>
  <c r="H50" i="4"/>
  <c r="D1746" i="23" s="1"/>
  <c r="F50" i="4"/>
  <c r="R49" i="4"/>
  <c r="P49" i="4"/>
  <c r="D1848" i="23" s="1"/>
  <c r="N49" i="4"/>
  <c r="J49" i="4"/>
  <c r="F49" i="4"/>
  <c r="E1692" i="23" s="1"/>
  <c r="D49" i="4"/>
  <c r="D1692" i="23" s="1"/>
  <c r="R48" i="4"/>
  <c r="N48" i="4"/>
  <c r="L48" i="4"/>
  <c r="D1797" i="23" s="1"/>
  <c r="J48" i="4"/>
  <c r="E1744" i="23" s="1"/>
  <c r="H48" i="4"/>
  <c r="D1744" i="23" s="1"/>
  <c r="F48" i="4"/>
  <c r="R47" i="4"/>
  <c r="E1846" i="23" s="1"/>
  <c r="P47" i="4"/>
  <c r="D1846" i="23" s="1"/>
  <c r="N47" i="4"/>
  <c r="J47" i="4"/>
  <c r="S47" i="2" s="1"/>
  <c r="H47" i="4"/>
  <c r="D1743" i="23" s="1"/>
  <c r="F47" i="4"/>
  <c r="E1690" i="23" s="1"/>
  <c r="D47" i="4"/>
  <c r="R46" i="4"/>
  <c r="N46" i="4"/>
  <c r="E1795" i="23" s="1"/>
  <c r="L46" i="4"/>
  <c r="D1795" i="23" s="1"/>
  <c r="J46" i="4"/>
  <c r="F46" i="4"/>
  <c r="R45" i="4"/>
  <c r="E1844" i="23" s="1"/>
  <c r="P45" i="4"/>
  <c r="D1844" i="23" s="1"/>
  <c r="N45" i="4"/>
  <c r="J45" i="4"/>
  <c r="E1741" i="23" s="1"/>
  <c r="H45" i="4"/>
  <c r="D1741" i="23" s="1"/>
  <c r="F45" i="4"/>
  <c r="R44" i="4"/>
  <c r="P44" i="4"/>
  <c r="D1843" i="23" s="1"/>
  <c r="N44" i="4"/>
  <c r="E1793" i="23" s="1"/>
  <c r="L44" i="4"/>
  <c r="J44" i="4"/>
  <c r="F44" i="4"/>
  <c r="E1687" i="23" s="1"/>
  <c r="D44" i="4"/>
  <c r="R42" i="4"/>
  <c r="E1841" i="23" s="1"/>
  <c r="P42" i="4"/>
  <c r="D1841" i="23" s="1"/>
  <c r="N42" i="4"/>
  <c r="J42" i="4"/>
  <c r="F42" i="4"/>
  <c r="E1685" i="23" s="1"/>
  <c r="R41" i="4"/>
  <c r="N41" i="4"/>
  <c r="E1790" i="23" s="1"/>
  <c r="L41" i="4"/>
  <c r="D1790" i="23" s="1"/>
  <c r="J41" i="4"/>
  <c r="F41" i="4"/>
  <c r="D41" i="4"/>
  <c r="R40" i="4"/>
  <c r="E1839" i="23" s="1"/>
  <c r="P40" i="4"/>
  <c r="D1839" i="23" s="1"/>
  <c r="N40" i="4"/>
  <c r="J40" i="4"/>
  <c r="E1736" i="23" s="1"/>
  <c r="H40" i="4"/>
  <c r="D1736" i="23" s="1"/>
  <c r="F40" i="4"/>
  <c r="R38" i="4"/>
  <c r="P38" i="4"/>
  <c r="N38" i="4"/>
  <c r="E1788" i="23" s="1"/>
  <c r="L38" i="4"/>
  <c r="D1788" i="23" s="1"/>
  <c r="J38" i="4"/>
  <c r="F38" i="4"/>
  <c r="D38" i="4"/>
  <c r="R35" i="4"/>
  <c r="N35" i="4"/>
  <c r="L35" i="4"/>
  <c r="D1787" i="23" s="1"/>
  <c r="J35" i="4"/>
  <c r="E1734" i="23" s="1"/>
  <c r="F35" i="4"/>
  <c r="R34" i="4"/>
  <c r="E1836" i="23" s="1"/>
  <c r="P34" i="4"/>
  <c r="D1836" i="23" s="1"/>
  <c r="N34" i="4"/>
  <c r="J34" i="4"/>
  <c r="H34" i="4"/>
  <c r="D1733" i="23" s="1"/>
  <c r="F34" i="4"/>
  <c r="R33" i="4"/>
  <c r="N33" i="4"/>
  <c r="E1785" i="23" s="1"/>
  <c r="L33" i="4"/>
  <c r="D1785" i="23" s="1"/>
  <c r="J33" i="4"/>
  <c r="F33" i="4"/>
  <c r="D33" i="4"/>
  <c r="R32" i="4"/>
  <c r="E1834" i="23" s="1"/>
  <c r="P32" i="4"/>
  <c r="D1834" i="23" s="1"/>
  <c r="N32" i="4"/>
  <c r="J32" i="4"/>
  <c r="H32" i="4"/>
  <c r="D1731" i="23" s="1"/>
  <c r="F32" i="4"/>
  <c r="R31" i="4"/>
  <c r="P31" i="4"/>
  <c r="D1833" i="23" s="1"/>
  <c r="N31" i="4"/>
  <c r="E1783" i="23" s="1"/>
  <c r="L31" i="4"/>
  <c r="J31" i="4"/>
  <c r="F31" i="4"/>
  <c r="E1677" i="23" s="1"/>
  <c r="D31" i="4"/>
  <c r="D1677" i="23" s="1"/>
  <c r="R30" i="4"/>
  <c r="N30" i="4"/>
  <c r="L30" i="4" s="1"/>
  <c r="J30" i="4"/>
  <c r="E1729" i="23" s="1"/>
  <c r="H30" i="4"/>
  <c r="D1729" i="23" s="1"/>
  <c r="F30" i="4"/>
  <c r="R29" i="4"/>
  <c r="E1831" i="23" s="1"/>
  <c r="P29" i="4"/>
  <c r="D1831" i="23" s="1"/>
  <c r="N29" i="4"/>
  <c r="J29" i="4"/>
  <c r="F29" i="4"/>
  <c r="E1675" i="23" s="1"/>
  <c r="D29" i="4"/>
  <c r="N28" i="4"/>
  <c r="J28" i="4"/>
  <c r="E1727" i="23" s="1"/>
  <c r="H28" i="4"/>
  <c r="F28" i="4"/>
  <c r="R27" i="4"/>
  <c r="P27" i="4"/>
  <c r="D1830" i="23" s="1"/>
  <c r="N27" i="4"/>
  <c r="L27" i="4"/>
  <c r="D1779" i="23" s="1"/>
  <c r="J27" i="4"/>
  <c r="F27" i="4"/>
  <c r="E1673" i="23" s="1"/>
  <c r="D27" i="4"/>
  <c r="R26" i="4"/>
  <c r="N26" i="4"/>
  <c r="J26" i="4"/>
  <c r="E1725" i="23" s="1"/>
  <c r="F26" i="4"/>
  <c r="R25" i="4"/>
  <c r="E1828" i="23" s="1"/>
  <c r="P25" i="4"/>
  <c r="D1828" i="23" s="1"/>
  <c r="N25" i="4"/>
  <c r="J25" i="4"/>
  <c r="H25" i="4"/>
  <c r="D1724" i="23" s="1"/>
  <c r="F25" i="4"/>
  <c r="D25" i="4"/>
  <c r="D1671" i="23" s="1"/>
  <c r="R24" i="4"/>
  <c r="N24" i="4"/>
  <c r="E1776" i="23" s="1"/>
  <c r="L24" i="4"/>
  <c r="D1776" i="23" s="1"/>
  <c r="J24" i="4"/>
  <c r="F24" i="4"/>
  <c r="D24" i="4"/>
  <c r="R23" i="4"/>
  <c r="E1826" i="23" s="1"/>
  <c r="P23" i="4"/>
  <c r="D1826" i="23" s="1"/>
  <c r="N23" i="4"/>
  <c r="J23" i="4"/>
  <c r="E1722" i="23" s="1"/>
  <c r="H23" i="4"/>
  <c r="D1722" i="23" s="1"/>
  <c r="F23" i="4"/>
  <c r="R22" i="4"/>
  <c r="P22" i="4"/>
  <c r="D1825" i="23" s="1"/>
  <c r="N22" i="4"/>
  <c r="E1774" i="23" s="1"/>
  <c r="J22" i="4"/>
  <c r="F22" i="4"/>
  <c r="E1668" i="23" s="1"/>
  <c r="D22" i="4"/>
  <c r="D1668" i="23" s="1"/>
  <c r="R21" i="4"/>
  <c r="N21" i="4"/>
  <c r="L21" i="4"/>
  <c r="D1773" i="23" s="1"/>
  <c r="J21" i="4"/>
  <c r="F21" i="4"/>
  <c r="R19" i="4"/>
  <c r="N19" i="4"/>
  <c r="E1771" i="23" s="1"/>
  <c r="L19" i="4"/>
  <c r="D1771" i="23" s="1"/>
  <c r="J19" i="4"/>
  <c r="F19" i="4"/>
  <c r="R18" i="4"/>
  <c r="N18" i="4"/>
  <c r="J18" i="4"/>
  <c r="E1717" i="23" s="1"/>
  <c r="H18" i="4"/>
  <c r="D1717" i="23" s="1"/>
  <c r="F18" i="4"/>
  <c r="S18" i="2" s="1"/>
  <c r="E1434" i="23" s="1"/>
  <c r="R17" i="4"/>
  <c r="P17" i="4"/>
  <c r="D1820" i="23" s="1"/>
  <c r="N17" i="4"/>
  <c r="E1769" i="23" s="1"/>
  <c r="L17" i="4"/>
  <c r="J17" i="4"/>
  <c r="F17" i="4"/>
  <c r="E1663" i="23" s="1"/>
  <c r="D17" i="4"/>
  <c r="R16" i="4"/>
  <c r="N16" i="4"/>
  <c r="L16" i="4"/>
  <c r="D1768" i="23" s="1"/>
  <c r="J16" i="4"/>
  <c r="E1715" i="23" s="1"/>
  <c r="H16" i="4"/>
  <c r="D1715" i="23" s="1"/>
  <c r="F16" i="4"/>
  <c r="R15" i="4"/>
  <c r="E1818" i="23" s="1"/>
  <c r="P15" i="4"/>
  <c r="D1818" i="23" s="1"/>
  <c r="N15" i="4"/>
  <c r="J15" i="4"/>
  <c r="H15" i="4"/>
  <c r="D1714" i="23" s="1"/>
  <c r="F15" i="4"/>
  <c r="D15" i="4"/>
  <c r="D1661" i="23" s="1"/>
  <c r="R14" i="4"/>
  <c r="N14" i="4"/>
  <c r="E1766" i="23" s="1"/>
  <c r="L14" i="4"/>
  <c r="J14" i="4"/>
  <c r="F14" i="4"/>
  <c r="R13" i="4"/>
  <c r="P13" i="4"/>
  <c r="D1816" i="23" s="1"/>
  <c r="N13" i="4"/>
  <c r="J13" i="4"/>
  <c r="E1712" i="23" s="1"/>
  <c r="H13" i="4"/>
  <c r="F13" i="4"/>
  <c r="R12" i="4"/>
  <c r="P12" i="4"/>
  <c r="N12" i="4"/>
  <c r="J12" i="4"/>
  <c r="F12" i="4"/>
  <c r="E1658" i="23" s="1"/>
  <c r="D12" i="4"/>
  <c r="R11" i="4"/>
  <c r="N11" i="4"/>
  <c r="J11" i="4"/>
  <c r="F11" i="4"/>
  <c r="T1" i="4"/>
  <c r="F70" i="3"/>
  <c r="D70" i="3"/>
  <c r="F69" i="3"/>
  <c r="D69" i="3"/>
  <c r="D1864" i="23" s="1"/>
  <c r="N68" i="3"/>
  <c r="F68" i="3"/>
  <c r="E1863" i="23" s="1"/>
  <c r="D68" i="3"/>
  <c r="D1863" i="23" s="1"/>
  <c r="N67" i="3"/>
  <c r="E1866" i="23" s="1"/>
  <c r="L67" i="3"/>
  <c r="D1866" i="23" s="1"/>
  <c r="F67" i="3"/>
  <c r="E1862" i="23" s="1"/>
  <c r="D67" i="3"/>
  <c r="D1862" i="23" s="1"/>
  <c r="F66" i="3"/>
  <c r="D66" i="3" s="1"/>
  <c r="N63" i="3"/>
  <c r="E1650" i="23" s="1"/>
  <c r="L63" i="3"/>
  <c r="J63" i="3"/>
  <c r="F63" i="3"/>
  <c r="N57" i="3"/>
  <c r="J57" i="3"/>
  <c r="E1585" i="23" s="1"/>
  <c r="H57" i="3"/>
  <c r="D1585" i="23" s="1"/>
  <c r="F57" i="3"/>
  <c r="D57" i="3"/>
  <c r="N56" i="3"/>
  <c r="L56" i="3"/>
  <c r="D1643" i="23" s="1"/>
  <c r="J56" i="3"/>
  <c r="E1584" i="23" s="1"/>
  <c r="H56" i="3"/>
  <c r="D1584" i="23" s="1"/>
  <c r="F56" i="3"/>
  <c r="D56" i="3"/>
  <c r="N55" i="3"/>
  <c r="E1642" i="23" s="1"/>
  <c r="L55" i="3"/>
  <c r="D1642" i="23" s="1"/>
  <c r="J55" i="3"/>
  <c r="H55" i="3"/>
  <c r="D1583" i="23" s="1"/>
  <c r="F55" i="3"/>
  <c r="N54" i="3"/>
  <c r="E1641" i="23" s="1"/>
  <c r="L54" i="3"/>
  <c r="D1641" i="23" s="1"/>
  <c r="J54" i="3"/>
  <c r="H54" i="3" s="1"/>
  <c r="F54" i="3"/>
  <c r="E1523" i="23" s="1"/>
  <c r="D54" i="3"/>
  <c r="D1523" i="23" s="1"/>
  <c r="N53" i="3"/>
  <c r="J53" i="3"/>
  <c r="H53" i="3"/>
  <c r="D1581" i="23" s="1"/>
  <c r="F53" i="3"/>
  <c r="E1522" i="23" s="1"/>
  <c r="D53" i="3"/>
  <c r="D1522" i="23" s="1"/>
  <c r="N51" i="3"/>
  <c r="J51" i="3"/>
  <c r="E1579" i="23" s="1"/>
  <c r="H51" i="3"/>
  <c r="D1579" i="23" s="1"/>
  <c r="F51" i="3"/>
  <c r="D51" i="3"/>
  <c r="D1520" i="23" s="1"/>
  <c r="N50" i="3"/>
  <c r="E1637" i="23" s="1"/>
  <c r="L50" i="3"/>
  <c r="D1637" i="23" s="1"/>
  <c r="J50" i="3"/>
  <c r="E1578" i="23" s="1"/>
  <c r="H50" i="3"/>
  <c r="D1578" i="23" s="1"/>
  <c r="F50" i="3"/>
  <c r="E1519" i="23" s="1"/>
  <c r="D50" i="3"/>
  <c r="N49" i="3"/>
  <c r="E1636" i="23" s="1"/>
  <c r="L49" i="3"/>
  <c r="D1636" i="23" s="1"/>
  <c r="J49" i="3"/>
  <c r="H49" i="3"/>
  <c r="D1577" i="23" s="1"/>
  <c r="F49" i="3"/>
  <c r="E1518" i="23" s="1"/>
  <c r="D49" i="3"/>
  <c r="D1518" i="23" s="1"/>
  <c r="N48" i="3"/>
  <c r="E1635" i="23" s="1"/>
  <c r="L48" i="3"/>
  <c r="D1635" i="23" s="1"/>
  <c r="J48" i="3"/>
  <c r="E1576" i="23" s="1"/>
  <c r="H48" i="3"/>
  <c r="F48" i="3"/>
  <c r="E1517" i="23" s="1"/>
  <c r="D48" i="3"/>
  <c r="D1517" i="23" s="1"/>
  <c r="N47" i="3"/>
  <c r="J47" i="3"/>
  <c r="E1575" i="23" s="1"/>
  <c r="H47" i="3"/>
  <c r="D1575" i="23" s="1"/>
  <c r="F47" i="3"/>
  <c r="D47" i="3"/>
  <c r="N46" i="3"/>
  <c r="L46" i="3"/>
  <c r="D1633" i="23" s="1"/>
  <c r="J46" i="3"/>
  <c r="E1574" i="23" s="1"/>
  <c r="H46" i="3"/>
  <c r="D1574" i="23" s="1"/>
  <c r="F46" i="3"/>
  <c r="D46" i="3"/>
  <c r="N45" i="3"/>
  <c r="E1632" i="23" s="1"/>
  <c r="L45" i="3"/>
  <c r="D1632" i="23" s="1"/>
  <c r="J45" i="3"/>
  <c r="H45" i="3"/>
  <c r="D1573" i="23" s="1"/>
  <c r="F45" i="3"/>
  <c r="N44" i="3"/>
  <c r="E1631" i="23" s="1"/>
  <c r="L44" i="3"/>
  <c r="D1631" i="23" s="1"/>
  <c r="J44" i="3"/>
  <c r="H44" i="3"/>
  <c r="F44" i="3"/>
  <c r="E1513" i="23" s="1"/>
  <c r="D44" i="3"/>
  <c r="D1513" i="23" s="1"/>
  <c r="N42" i="3"/>
  <c r="L42" i="3"/>
  <c r="J42" i="3"/>
  <c r="E1570" i="23" s="1"/>
  <c r="H42" i="3"/>
  <c r="D1570" i="23" s="1"/>
  <c r="F42" i="3"/>
  <c r="D42" i="3"/>
  <c r="D1511" i="23" s="1"/>
  <c r="N41" i="3"/>
  <c r="J41" i="3"/>
  <c r="E1569" i="23" s="1"/>
  <c r="H41" i="3"/>
  <c r="D1569" i="23" s="1"/>
  <c r="F41" i="3"/>
  <c r="D41" i="3"/>
  <c r="N40" i="3"/>
  <c r="E1627" i="23" s="1"/>
  <c r="L40" i="3"/>
  <c r="D1627" i="23" s="1"/>
  <c r="J40" i="3"/>
  <c r="E1568" i="23" s="1"/>
  <c r="H40" i="3"/>
  <c r="D1568" i="23" s="1"/>
  <c r="F40" i="3"/>
  <c r="E1509" i="23" s="1"/>
  <c r="D40" i="3"/>
  <c r="N39" i="3"/>
  <c r="E1626" i="23" s="1"/>
  <c r="L39" i="3"/>
  <c r="D1626" i="23" s="1"/>
  <c r="J39" i="3"/>
  <c r="H39" i="3"/>
  <c r="F39" i="3"/>
  <c r="D39" i="3"/>
  <c r="N38" i="3"/>
  <c r="E1625" i="23" s="1"/>
  <c r="L38" i="3"/>
  <c r="D1625" i="23" s="1"/>
  <c r="J38" i="3"/>
  <c r="H38" i="3"/>
  <c r="D1566" i="23" s="1"/>
  <c r="F38" i="3"/>
  <c r="E1507" i="23" s="1"/>
  <c r="D38" i="3"/>
  <c r="D1507" i="23" s="1"/>
  <c r="N37" i="3"/>
  <c r="J37" i="3"/>
  <c r="E1565" i="23" s="1"/>
  <c r="H37" i="3"/>
  <c r="D1565" i="23" s="1"/>
  <c r="F37" i="3"/>
  <c r="J37" i="2" s="1"/>
  <c r="E1337" i="23" s="1"/>
  <c r="N36" i="3"/>
  <c r="J36" i="3"/>
  <c r="E1564" i="23" s="1"/>
  <c r="H36" i="3"/>
  <c r="F36" i="3"/>
  <c r="N35" i="3"/>
  <c r="E1622" i="23" s="1"/>
  <c r="L35" i="3"/>
  <c r="D1622" i="23" s="1"/>
  <c r="J35" i="3"/>
  <c r="E1563" i="23" s="1"/>
  <c r="H35" i="3"/>
  <c r="D1563" i="23" s="1"/>
  <c r="F35" i="3"/>
  <c r="N34" i="3"/>
  <c r="E1621" i="23" s="1"/>
  <c r="L34" i="3"/>
  <c r="J34" i="3"/>
  <c r="F34" i="3"/>
  <c r="E1503" i="23" s="1"/>
  <c r="D34" i="3"/>
  <c r="N33" i="3"/>
  <c r="E1620" i="23" s="1"/>
  <c r="L33" i="3"/>
  <c r="D1620" i="23" s="1"/>
  <c r="J33" i="3"/>
  <c r="F33" i="3"/>
  <c r="E1502" i="23" s="1"/>
  <c r="D33" i="3"/>
  <c r="N32" i="3"/>
  <c r="J32" i="3"/>
  <c r="E1560" i="23" s="1"/>
  <c r="H32" i="3"/>
  <c r="F32" i="3"/>
  <c r="E1501" i="23" s="1"/>
  <c r="N31" i="3"/>
  <c r="J31" i="3"/>
  <c r="E1559" i="23" s="1"/>
  <c r="H31" i="3"/>
  <c r="F31" i="3"/>
  <c r="N30" i="3"/>
  <c r="E1617" i="23" s="1"/>
  <c r="L30" i="3"/>
  <c r="D1617" i="23" s="1"/>
  <c r="J30" i="3"/>
  <c r="F30" i="3"/>
  <c r="N29" i="3"/>
  <c r="E1616" i="23" s="1"/>
  <c r="L29" i="3"/>
  <c r="J29" i="3"/>
  <c r="F29" i="3"/>
  <c r="E1498" i="23" s="1"/>
  <c r="D29" i="3"/>
  <c r="N27" i="3"/>
  <c r="E1615" i="23" s="1"/>
  <c r="L27" i="3"/>
  <c r="D1615" i="23" s="1"/>
  <c r="J27" i="3"/>
  <c r="F27" i="3"/>
  <c r="E1497" i="23" s="1"/>
  <c r="D27" i="3"/>
  <c r="N26" i="3"/>
  <c r="E1614" i="23" s="1"/>
  <c r="L26" i="3"/>
  <c r="D1614" i="23" s="1"/>
  <c r="J26" i="3"/>
  <c r="E1555" i="23" s="1"/>
  <c r="F26" i="3"/>
  <c r="O26" i="2" s="1"/>
  <c r="E1390" i="23" s="1"/>
  <c r="N25" i="3"/>
  <c r="E1613" i="23" s="1"/>
  <c r="L25" i="3"/>
  <c r="D1613" i="23" s="1"/>
  <c r="J25" i="3"/>
  <c r="H25" i="3"/>
  <c r="D1554" i="23" s="1"/>
  <c r="F25" i="3"/>
  <c r="E1495" i="23" s="1"/>
  <c r="D25" i="3"/>
  <c r="D1495" i="23" s="1"/>
  <c r="N24" i="3"/>
  <c r="E1612" i="23" s="1"/>
  <c r="L24" i="3"/>
  <c r="D1612" i="23" s="1"/>
  <c r="J24" i="3"/>
  <c r="E1553" i="23" s="1"/>
  <c r="H24" i="3"/>
  <c r="F24" i="3"/>
  <c r="E1494" i="23" s="1"/>
  <c r="D24" i="3"/>
  <c r="D1494" i="23" s="1"/>
  <c r="N23" i="3"/>
  <c r="L23" i="3"/>
  <c r="D1611" i="23" s="1"/>
  <c r="J23" i="3"/>
  <c r="E1552" i="23" s="1"/>
  <c r="H23" i="3"/>
  <c r="D1552" i="23" s="1"/>
  <c r="F23" i="3"/>
  <c r="D23" i="3"/>
  <c r="N22" i="3"/>
  <c r="E1610" i="23" s="1"/>
  <c r="L22" i="3"/>
  <c r="J22" i="3"/>
  <c r="E1551" i="23" s="1"/>
  <c r="H22" i="3"/>
  <c r="D1551" i="23" s="1"/>
  <c r="F22" i="3"/>
  <c r="N21" i="3"/>
  <c r="E1609" i="23" s="1"/>
  <c r="L21" i="3"/>
  <c r="D1609" i="23" s="1"/>
  <c r="J21" i="3"/>
  <c r="F21" i="3"/>
  <c r="D21" i="3"/>
  <c r="N19" i="3"/>
  <c r="J19" i="3"/>
  <c r="F19" i="3"/>
  <c r="E1489" i="23" s="1"/>
  <c r="D19" i="3"/>
  <c r="D1489" i="23" s="1"/>
  <c r="N18" i="3"/>
  <c r="L18" i="3"/>
  <c r="D1606" i="23" s="1"/>
  <c r="J18" i="3"/>
  <c r="E1547" i="23" s="1"/>
  <c r="H18" i="3"/>
  <c r="D1547" i="23" s="1"/>
  <c r="F18" i="3"/>
  <c r="N17" i="3"/>
  <c r="E1605" i="23" s="1"/>
  <c r="L17" i="3"/>
  <c r="J17" i="3"/>
  <c r="E1546" i="23" s="1"/>
  <c r="H17" i="3"/>
  <c r="D1546" i="23" s="1"/>
  <c r="F17" i="3"/>
  <c r="N16" i="3"/>
  <c r="E1604" i="23" s="1"/>
  <c r="L16" i="3"/>
  <c r="D1604" i="23" s="1"/>
  <c r="J16" i="3"/>
  <c r="E1545" i="23" s="1"/>
  <c r="H16" i="3"/>
  <c r="D1545" i="23" s="1"/>
  <c r="F16" i="3"/>
  <c r="E1486" i="23" s="1"/>
  <c r="N15" i="3"/>
  <c r="E1603" i="23" s="1"/>
  <c r="L15" i="3"/>
  <c r="D1603" i="23" s="1"/>
  <c r="J15" i="3"/>
  <c r="H15" i="3"/>
  <c r="D1544" i="23" s="1"/>
  <c r="F15" i="3"/>
  <c r="E1485" i="23" s="1"/>
  <c r="D15" i="3"/>
  <c r="D1485" i="23" s="1"/>
  <c r="N14" i="3"/>
  <c r="E1602" i="23" s="1"/>
  <c r="L14" i="3"/>
  <c r="J14" i="3"/>
  <c r="E1543" i="23" s="1"/>
  <c r="H14" i="3"/>
  <c r="F14" i="3"/>
  <c r="E1484" i="23" s="1"/>
  <c r="D14" i="3"/>
  <c r="D1484" i="23" s="1"/>
  <c r="N13" i="3"/>
  <c r="L13" i="3"/>
  <c r="J13" i="3"/>
  <c r="E1542" i="23" s="1"/>
  <c r="H13" i="3"/>
  <c r="F13" i="3"/>
  <c r="D13" i="3"/>
  <c r="N12" i="3"/>
  <c r="E1600" i="23" s="1"/>
  <c r="L12" i="3"/>
  <c r="J12" i="3"/>
  <c r="E1541" i="23" s="1"/>
  <c r="H12" i="3"/>
  <c r="D1541" i="23" s="1"/>
  <c r="F12" i="3"/>
  <c r="D12" i="3"/>
  <c r="N11" i="3"/>
  <c r="E1599" i="23" s="1"/>
  <c r="L11" i="3"/>
  <c r="C224" i="19" s="1"/>
  <c r="H224" i="19" s="1"/>
  <c r="J11" i="3"/>
  <c r="E1540" i="23" s="1"/>
  <c r="H11" i="3"/>
  <c r="F11" i="3"/>
  <c r="N9" i="3"/>
  <c r="E1597" i="23" s="1"/>
  <c r="L9" i="3"/>
  <c r="J9" i="3"/>
  <c r="E1538" i="23" s="1"/>
  <c r="H9" i="3"/>
  <c r="D1538" i="23" s="1"/>
  <c r="F9" i="3"/>
  <c r="N8" i="3"/>
  <c r="E1596" i="23" s="1"/>
  <c r="L8" i="3"/>
  <c r="D1596" i="23" s="1"/>
  <c r="J8" i="3"/>
  <c r="E1537" i="23" s="1"/>
  <c r="F8" i="3"/>
  <c r="E1478" i="23" s="1"/>
  <c r="D8" i="3"/>
  <c r="N7" i="3"/>
  <c r="L7" i="3"/>
  <c r="J7" i="3"/>
  <c r="F7" i="3"/>
  <c r="D7" i="3"/>
  <c r="D1477" i="23" s="1"/>
  <c r="R1" i="3"/>
  <c r="J67" i="2"/>
  <c r="J65" i="2"/>
  <c r="J64" i="2"/>
  <c r="E1364" i="23" s="1"/>
  <c r="G64" i="2"/>
  <c r="D1364" i="23" s="1"/>
  <c r="O49" i="2"/>
  <c r="E1412" i="23" s="1"/>
  <c r="M49" i="2"/>
  <c r="D1412" i="23" s="1"/>
  <c r="O41" i="2"/>
  <c r="E1404" i="23" s="1"/>
  <c r="U1" i="2"/>
  <c r="H158" i="1"/>
  <c r="H157" i="1"/>
  <c r="H156" i="1"/>
  <c r="H155" i="1"/>
  <c r="H154" i="1"/>
  <c r="H153" i="1"/>
  <c r="H152" i="1"/>
  <c r="H151" i="1"/>
  <c r="H150" i="1"/>
  <c r="H149" i="1"/>
  <c r="H148" i="1"/>
  <c r="H147" i="1"/>
  <c r="H146" i="1"/>
  <c r="H145" i="1"/>
  <c r="H144" i="1"/>
  <c r="H143" i="1"/>
  <c r="H142" i="1"/>
  <c r="H141" i="1"/>
  <c r="H140" i="1"/>
  <c r="H139" i="1"/>
  <c r="D139" i="1"/>
  <c r="H138" i="1"/>
  <c r="H137" i="1"/>
  <c r="H136" i="1"/>
  <c r="H135" i="1"/>
  <c r="G135" i="1"/>
  <c r="H134" i="1"/>
  <c r="G134" i="1"/>
  <c r="H133" i="1"/>
  <c r="G133" i="1"/>
  <c r="H132" i="1"/>
  <c r="G132" i="1"/>
  <c r="H131" i="1"/>
  <c r="G131" i="1"/>
  <c r="H130" i="1"/>
  <c r="G130" i="1"/>
  <c r="H129" i="1"/>
  <c r="G129" i="1"/>
  <c r="H128" i="1"/>
  <c r="G128" i="1"/>
  <c r="H127" i="1"/>
  <c r="G127" i="1"/>
  <c r="H126" i="1"/>
  <c r="H125" i="1"/>
  <c r="H124" i="1"/>
  <c r="H123" i="1"/>
  <c r="H122" i="1"/>
  <c r="H121" i="1"/>
  <c r="H120" i="1"/>
  <c r="H119" i="1"/>
  <c r="H118" i="1"/>
  <c r="H117" i="1"/>
  <c r="H116" i="1"/>
  <c r="H115" i="1"/>
  <c r="H114" i="1"/>
  <c r="H113" i="1"/>
  <c r="H112" i="1"/>
  <c r="H111" i="1"/>
  <c r="H109" i="1"/>
  <c r="H108" i="1"/>
  <c r="H106" i="1"/>
  <c r="H105" i="1"/>
  <c r="H104" i="1"/>
  <c r="H103" i="1"/>
  <c r="H102" i="1"/>
  <c r="H101" i="1"/>
  <c r="H100" i="1"/>
  <c r="H99" i="1"/>
  <c r="H98" i="1"/>
  <c r="H97" i="1"/>
  <c r="H96" i="1"/>
  <c r="H95" i="1"/>
  <c r="H94" i="1"/>
  <c r="O93" i="1"/>
  <c r="C3" i="1" s="1"/>
  <c r="I93" i="1" s="1"/>
  <c r="M93" i="1" s="1"/>
  <c r="G91" i="1"/>
  <c r="I65" i="1"/>
  <c r="E70" i="19" s="1"/>
  <c r="R70" i="19" s="1"/>
  <c r="I64" i="1"/>
  <c r="E69" i="19" s="1"/>
  <c r="R63" i="1"/>
  <c r="I63" i="1"/>
  <c r="I62" i="1"/>
  <c r="E67" i="19" s="1"/>
  <c r="N60" i="1"/>
  <c r="L60" i="1"/>
  <c r="R59" i="1"/>
  <c r="G59" i="1"/>
  <c r="F59" i="1"/>
  <c r="G58" i="1"/>
  <c r="F58" i="1"/>
  <c r="R57" i="1"/>
  <c r="G57" i="1"/>
  <c r="F57" i="1"/>
  <c r="G56" i="1"/>
  <c r="F56" i="1"/>
  <c r="I56" i="1" s="1"/>
  <c r="R55" i="1"/>
  <c r="G55" i="1"/>
  <c r="F55" i="1"/>
  <c r="N54" i="1"/>
  <c r="G54" i="1"/>
  <c r="F54" i="1"/>
  <c r="G53" i="1"/>
  <c r="F53" i="1"/>
  <c r="R52" i="1"/>
  <c r="G52" i="1"/>
  <c r="F52" i="1"/>
  <c r="I52" i="1" s="1"/>
  <c r="G51" i="1"/>
  <c r="F51" i="1"/>
  <c r="F50" i="1"/>
  <c r="I50" i="1" s="1"/>
  <c r="P48" i="1"/>
  <c r="P46" i="1"/>
  <c r="Q44" i="1"/>
  <c r="I44" i="1"/>
  <c r="G44" i="1"/>
  <c r="C22" i="19" s="1"/>
  <c r="H22" i="19" s="1"/>
  <c r="G22" i="19" s="1"/>
  <c r="Q43" i="1"/>
  <c r="R42" i="1"/>
  <c r="I42" i="1"/>
  <c r="I41" i="1"/>
  <c r="E53" i="19" s="1"/>
  <c r="J53" i="19" s="1"/>
  <c r="I40" i="1"/>
  <c r="R39" i="1"/>
  <c r="R37" i="1"/>
  <c r="C101" i="19" s="1"/>
  <c r="H101" i="19" s="1"/>
  <c r="G101" i="19" s="1"/>
  <c r="I37" i="1"/>
  <c r="E51" i="19" s="1"/>
  <c r="I36" i="1"/>
  <c r="R35" i="1"/>
  <c r="I35" i="1"/>
  <c r="E49" i="19" s="1"/>
  <c r="I34" i="1"/>
  <c r="I33" i="1"/>
  <c r="E47" i="19" s="1"/>
  <c r="R32" i="1"/>
  <c r="I32" i="1"/>
  <c r="R31" i="1"/>
  <c r="I31" i="1"/>
  <c r="R30" i="1"/>
  <c r="R29" i="1"/>
  <c r="R28" i="1"/>
  <c r="R27" i="1"/>
  <c r="I27" i="1"/>
  <c r="R26" i="1"/>
  <c r="I26" i="1"/>
  <c r="R25" i="1"/>
  <c r="I25" i="1"/>
  <c r="R24" i="1"/>
  <c r="I24" i="1"/>
  <c r="Q29" i="17" s="1"/>
  <c r="R23" i="1"/>
  <c r="I23" i="1"/>
  <c r="G23" i="1"/>
  <c r="R22" i="1"/>
  <c r="R21" i="1"/>
  <c r="I21" i="1"/>
  <c r="R20" i="1"/>
  <c r="I20" i="1"/>
  <c r="R19" i="1"/>
  <c r="I19" i="1"/>
  <c r="E41" i="19" s="1"/>
  <c r="R18" i="1"/>
  <c r="E85" i="19" s="1"/>
  <c r="I18" i="1"/>
  <c r="O17" i="1"/>
  <c r="I17" i="1"/>
  <c r="R15" i="1"/>
  <c r="E84" i="19" s="1"/>
  <c r="R14" i="1"/>
  <c r="E83" i="19" s="1"/>
  <c r="R83" i="19" s="1"/>
  <c r="R13" i="1"/>
  <c r="I13" i="1"/>
  <c r="R12" i="1"/>
  <c r="I12" i="1"/>
  <c r="R11" i="1"/>
  <c r="I11" i="1"/>
  <c r="R10" i="1"/>
  <c r="E79" i="19" s="1"/>
  <c r="I10" i="1"/>
  <c r="E34" i="19" s="1"/>
  <c r="P8" i="1"/>
  <c r="M8" i="1"/>
  <c r="J8" i="1"/>
  <c r="G8" i="1"/>
  <c r="F8" i="1"/>
  <c r="E8" i="1"/>
  <c r="J7" i="1"/>
  <c r="G7" i="1"/>
  <c r="E109" i="1" s="1"/>
  <c r="E110" i="1" s="1"/>
  <c r="F7" i="1"/>
  <c r="E7" i="1"/>
  <c r="J6" i="1"/>
  <c r="C6" i="1"/>
  <c r="S1" i="1"/>
  <c r="C1" i="1"/>
  <c r="A1830" i="19"/>
  <c r="A2165" i="19"/>
  <c r="A2607" i="19"/>
  <c r="A238" i="19"/>
  <c r="A371" i="19"/>
  <c r="A693" i="19"/>
  <c r="A1814" i="19"/>
  <c r="A1556" i="19"/>
  <c r="A2342" i="19"/>
  <c r="A682" i="19"/>
  <c r="A1051" i="19"/>
  <c r="A602" i="19"/>
  <c r="A1635" i="19"/>
  <c r="A1832" i="19"/>
  <c r="A1557" i="19"/>
  <c r="A2306" i="19"/>
  <c r="A1558" i="19"/>
  <c r="A741" i="19"/>
  <c r="A991" i="19"/>
  <c r="A841" i="19"/>
  <c r="A2114" i="19"/>
  <c r="A2219" i="19"/>
  <c r="A1888" i="19"/>
  <c r="A230" i="19"/>
  <c r="A66" i="19"/>
  <c r="A596" i="19"/>
  <c r="A2029" i="19"/>
  <c r="A1756" i="19"/>
  <c r="A1851" i="19"/>
  <c r="A759" i="19"/>
  <c r="A381" i="19"/>
  <c r="A447" i="19"/>
  <c r="A2640" i="19"/>
  <c r="A2095" i="19"/>
  <c r="A1967" i="19"/>
  <c r="A592" i="19"/>
  <c r="A1604" i="19"/>
  <c r="A810" i="19"/>
  <c r="A2420" i="19"/>
  <c r="A1417" i="19"/>
  <c r="A961" i="19"/>
  <c r="A2089" i="19"/>
  <c r="A1223" i="19"/>
  <c r="A1987" i="19"/>
  <c r="A2305" i="19"/>
  <c r="A1796" i="19"/>
  <c r="A1098" i="19"/>
  <c r="A666" i="19"/>
  <c r="A2391" i="19"/>
  <c r="A2636" i="19"/>
  <c r="A1592" i="19"/>
  <c r="A1130" i="19"/>
  <c r="A767" i="19"/>
  <c r="A417" i="19"/>
  <c r="A33" i="19"/>
  <c r="A1916" i="19"/>
  <c r="A1194" i="19"/>
  <c r="A505" i="19"/>
  <c r="A335" i="19"/>
  <c r="A750" i="19"/>
  <c r="A2217" i="19"/>
  <c r="A2141" i="19"/>
  <c r="A2127" i="19"/>
  <c r="A2318" i="19"/>
  <c r="A502" i="19"/>
  <c r="A512" i="19"/>
  <c r="A2514" i="19"/>
  <c r="A2651" i="19"/>
  <c r="A2536" i="19"/>
  <c r="A2456" i="19"/>
  <c r="A669" i="19"/>
  <c r="A2583" i="19"/>
  <c r="A631" i="19"/>
  <c r="A673" i="19"/>
  <c r="A2209" i="19"/>
  <c r="A1675" i="19"/>
  <c r="A816" i="19"/>
  <c r="A2206" i="19"/>
  <c r="A2272" i="19"/>
  <c r="A1293" i="19"/>
  <c r="A2373" i="19"/>
  <c r="A2441" i="19"/>
  <c r="A1809" i="19"/>
  <c r="A2510" i="19"/>
  <c r="A358" i="19"/>
  <c r="A2463" i="19"/>
  <c r="A857" i="19"/>
  <c r="A11" i="19"/>
  <c r="A2368" i="19"/>
  <c r="A200" i="19"/>
  <c r="A998" i="19"/>
  <c r="A383" i="19"/>
  <c r="A74" i="19"/>
  <c r="A1500" i="19"/>
  <c r="A193" i="19"/>
  <c r="A1532" i="19"/>
  <c r="A248" i="19"/>
  <c r="A1806" i="19"/>
  <c r="A1612" i="19"/>
  <c r="A1894" i="19"/>
  <c r="A1745" i="19"/>
  <c r="A2145" i="19"/>
  <c r="A508" i="19"/>
  <c r="A1244" i="19"/>
  <c r="A1467" i="19"/>
  <c r="A350" i="19"/>
  <c r="A1578" i="19"/>
  <c r="A990" i="19"/>
  <c r="A659" i="19"/>
  <c r="A1650" i="19"/>
  <c r="A2347" i="19"/>
  <c r="A1969" i="19"/>
  <c r="A1325" i="19"/>
  <c r="A137" i="19"/>
  <c r="A478" i="19"/>
  <c r="A1001" i="19"/>
  <c r="A1028" i="19"/>
  <c r="A1340" i="19"/>
  <c r="A28" i="19"/>
  <c r="A1269" i="19"/>
  <c r="A184" i="19"/>
  <c r="A1860" i="19"/>
  <c r="A1331" i="19"/>
  <c r="A345" i="19"/>
  <c r="A701" i="19"/>
  <c r="A1882" i="19"/>
  <c r="A931" i="19"/>
  <c r="A2117" i="19"/>
  <c r="A1180" i="19"/>
  <c r="A1248" i="19"/>
  <c r="A1562" i="19"/>
  <c r="A627" i="19"/>
  <c r="A10" i="19"/>
  <c r="A2283" i="19"/>
  <c r="A2502" i="19"/>
  <c r="A1854" i="19"/>
  <c r="A366" i="19"/>
  <c r="A438" i="19"/>
  <c r="A405" i="19"/>
  <c r="A2337" i="19"/>
  <c r="A1904" i="19"/>
  <c r="A2557" i="19"/>
  <c r="A1543" i="19"/>
  <c r="A1229" i="19"/>
  <c r="A318" i="19"/>
  <c r="A355" i="19"/>
  <c r="A898" i="19"/>
  <c r="A1555" i="19"/>
  <c r="A2316" i="19"/>
  <c r="A1179" i="19"/>
  <c r="A1435" i="19"/>
  <c r="A619" i="19"/>
  <c r="A938" i="19"/>
  <c r="A2356" i="19"/>
  <c r="A1626" i="19"/>
  <c r="A1078" i="19"/>
  <c r="A402" i="19"/>
  <c r="A756" i="19"/>
  <c r="A78" i="19"/>
  <c r="A2605" i="19"/>
  <c r="A1483" i="19"/>
  <c r="A1238" i="19"/>
  <c r="A166" i="19"/>
  <c r="A1129" i="19"/>
  <c r="A760" i="19"/>
  <c r="A1652" i="19"/>
  <c r="A988" i="19"/>
  <c r="A824" i="19"/>
  <c r="A529" i="19"/>
  <c r="A811" i="19"/>
  <c r="A2415" i="19"/>
  <c r="A1772" i="19"/>
  <c r="A2585" i="19"/>
  <c r="A1161" i="19"/>
  <c r="A121" i="19"/>
  <c r="A554" i="19"/>
  <c r="A2402" i="19"/>
  <c r="A1309" i="19"/>
  <c r="A861" i="19"/>
  <c r="A39" i="19"/>
  <c r="A694" i="19"/>
  <c r="A854" i="19"/>
  <c r="A2172" i="19"/>
  <c r="A2481" i="19"/>
  <c r="A42" i="19"/>
  <c r="A448" i="19"/>
  <c r="A903" i="19"/>
  <c r="A778" i="19"/>
  <c r="A2621" i="19"/>
  <c r="A2577" i="19"/>
  <c r="A2296" i="19"/>
  <c r="A1162" i="19"/>
  <c r="A260" i="19"/>
  <c r="A2562" i="19"/>
  <c r="A1540" i="19"/>
  <c r="A2525" i="19"/>
  <c r="A1084" i="19"/>
  <c r="A249" i="19"/>
  <c r="A1541" i="19"/>
  <c r="A445" i="19"/>
  <c r="A1699" i="19"/>
  <c r="A2485" i="19"/>
  <c r="A1466" i="19"/>
  <c r="A960" i="19"/>
  <c r="A2468" i="19"/>
  <c r="A1660" i="19"/>
  <c r="A89" i="19"/>
  <c r="A2188" i="19"/>
  <c r="A2361" i="19"/>
  <c r="A2530" i="19"/>
  <c r="A1303" i="19"/>
  <c r="A601" i="19"/>
  <c r="A2480" i="19"/>
  <c r="A190" i="19"/>
  <c r="A313" i="19"/>
  <c r="A2011" i="19"/>
  <c r="A1333" i="19"/>
  <c r="A1548" i="19"/>
  <c r="A784" i="19"/>
  <c r="A1479" i="19"/>
  <c r="A1576" i="19"/>
  <c r="A296" i="19"/>
  <c r="A1853" i="19"/>
  <c r="A570" i="19"/>
  <c r="A1948" i="19"/>
  <c r="A45" i="19"/>
  <c r="A1602" i="19"/>
  <c r="A1126" i="19"/>
  <c r="A2495" i="19"/>
  <c r="A273" i="19"/>
  <c r="A185" i="19"/>
  <c r="A1089" i="19"/>
  <c r="A507" i="19"/>
  <c r="A2181" i="19"/>
  <c r="A263" i="19"/>
  <c r="A1011" i="19"/>
  <c r="A740" i="19"/>
  <c r="A1300" i="19"/>
  <c r="A649" i="19"/>
  <c r="A2240" i="19"/>
  <c r="A2406" i="19"/>
  <c r="A404" i="19"/>
  <c r="A2124" i="19"/>
  <c r="A251" i="19"/>
  <c r="A904" i="19"/>
  <c r="A1434" i="19"/>
  <c r="A1261" i="19"/>
  <c r="A881" i="19"/>
  <c r="A1134" i="19"/>
  <c r="A1609" i="19"/>
  <c r="A521" i="19"/>
  <c r="A145" i="19"/>
  <c r="A1584" i="19"/>
  <c r="A1142" i="19"/>
  <c r="A1586" i="19"/>
  <c r="A2478" i="19"/>
  <c r="A1783" i="19"/>
  <c r="A777" i="19"/>
  <c r="A1144" i="19"/>
  <c r="A1177" i="19"/>
  <c r="A1654" i="19"/>
  <c r="A1863" i="19"/>
  <c r="A1407" i="19"/>
  <c r="A16" i="19"/>
  <c r="A953" i="19"/>
  <c r="A1930" i="19"/>
  <c r="A2333" i="19"/>
  <c r="A2626" i="19"/>
  <c r="A2015" i="19"/>
  <c r="A1100" i="19"/>
  <c r="A1413" i="19"/>
  <c r="A2012" i="19"/>
  <c r="A1027" i="19"/>
  <c r="A2056" i="19"/>
  <c r="A2654" i="19"/>
  <c r="A2637" i="19"/>
  <c r="A1779" i="19"/>
  <c r="A455" i="19"/>
  <c r="A32" i="19"/>
  <c r="A1117" i="19"/>
  <c r="A2611" i="19"/>
  <c r="A2440" i="19"/>
  <c r="A2010" i="19"/>
  <c r="A1418" i="19"/>
  <c r="A1345" i="19"/>
  <c r="A253" i="19"/>
  <c r="A2467" i="19"/>
  <c r="A1700" i="19"/>
  <c r="A1750" i="19"/>
  <c r="A993" i="19"/>
  <c r="A268" i="19"/>
  <c r="A1112" i="19"/>
  <c r="A2466" i="19"/>
  <c r="A2183" i="19"/>
  <c r="A346" i="19"/>
  <c r="A1064" i="19"/>
  <c r="A722" i="19"/>
  <c r="A2451" i="19"/>
  <c r="A2100" i="19"/>
  <c r="A1220" i="19"/>
  <c r="A1476" i="19"/>
  <c r="A1079" i="19"/>
  <c r="A520" i="19"/>
  <c r="A1754" i="19"/>
  <c r="A1971" i="19"/>
  <c r="A236" i="19"/>
  <c r="A865" i="19"/>
  <c r="A53" i="19"/>
  <c r="A113" i="19"/>
  <c r="A2294" i="19"/>
  <c r="A1168" i="19"/>
  <c r="A652" i="19"/>
  <c r="A2281" i="19"/>
  <c r="A486" i="19"/>
  <c r="A2616" i="19"/>
  <c r="A2566" i="19"/>
  <c r="A2600" i="19"/>
  <c r="A1390" i="19"/>
  <c r="A319" i="19"/>
  <c r="A82" i="19"/>
  <c r="A1523" i="19"/>
  <c r="A2238" i="19"/>
  <c r="A2635" i="19"/>
  <c r="A1122" i="19"/>
  <c r="A228" i="19"/>
  <c r="A1148" i="19"/>
  <c r="A766" i="19"/>
  <c r="A161" i="19"/>
  <c r="A2349" i="19"/>
  <c r="A856" i="19"/>
  <c r="A1598" i="19"/>
  <c r="A2331" i="19"/>
  <c r="A1376" i="19"/>
  <c r="A788" i="19"/>
  <c r="A2076" i="19"/>
  <c r="A2302" i="19"/>
  <c r="A2311" i="19"/>
  <c r="A2097" i="19"/>
  <c r="A920" i="19"/>
  <c r="A2509" i="19"/>
  <c r="A780" i="19"/>
  <c r="A1398" i="19"/>
  <c r="A1774" i="19"/>
  <c r="A797" i="19"/>
  <c r="A761" i="19"/>
  <c r="A2088" i="19"/>
  <c r="A2068" i="19"/>
  <c r="A888" i="19"/>
  <c r="A261" i="19"/>
  <c r="A1427" i="19"/>
  <c r="A748" i="19"/>
  <c r="A884" i="19"/>
  <c r="A177" i="19"/>
  <c r="A2405" i="19"/>
  <c r="A840" i="19"/>
  <c r="A1565" i="19"/>
  <c r="A414" i="19"/>
  <c r="A54" i="19"/>
  <c r="A1549" i="19"/>
  <c r="A421" i="19"/>
  <c r="A2243" i="19"/>
  <c r="A719" i="19"/>
  <c r="A215" i="19"/>
  <c r="A1502" i="19"/>
  <c r="A1133" i="19"/>
  <c r="A775" i="19"/>
  <c r="A1420" i="19"/>
  <c r="A2449" i="19"/>
  <c r="A1275" i="19"/>
  <c r="A1982" i="19"/>
  <c r="A41" i="19"/>
  <c r="A499" i="19"/>
  <c r="A635" i="19"/>
  <c r="A2429" i="19"/>
  <c r="A1825" i="19"/>
  <c r="A2182" i="19"/>
  <c r="A1763" i="19"/>
  <c r="A2499" i="19"/>
  <c r="A739" i="19"/>
  <c r="A2144" i="19"/>
  <c r="A2341" i="19"/>
  <c r="A1664" i="19"/>
  <c r="A2131" i="19"/>
  <c r="A1501" i="19"/>
  <c r="A150" i="19"/>
  <c r="A930" i="19"/>
  <c r="A2138" i="19"/>
  <c r="A1791" i="19"/>
  <c r="A1608" i="19"/>
  <c r="A1266" i="19"/>
  <c r="A535" i="19"/>
  <c r="A2134" i="19"/>
  <c r="A1778" i="19"/>
  <c r="A2162" i="19"/>
  <c r="A2184" i="19"/>
  <c r="A1985" i="19"/>
  <c r="A771" i="19"/>
  <c r="A2227" i="19"/>
  <c r="A2439" i="19"/>
  <c r="A1852" i="19"/>
  <c r="A1375" i="19"/>
  <c r="A1039" i="19"/>
  <c r="A772" i="19"/>
  <c r="A1841" i="19"/>
  <c r="A1493" i="19"/>
  <c r="A2051" i="19"/>
  <c r="A653" i="19"/>
  <c r="A509" i="19"/>
  <c r="A1460" i="19"/>
  <c r="A2435" i="19"/>
  <c r="A1247" i="19"/>
  <c r="A487" i="19"/>
  <c r="A615" i="19"/>
  <c r="A2262" i="19"/>
  <c r="A2606" i="19"/>
  <c r="A1958" i="19"/>
  <c r="A338" i="19"/>
  <c r="A2542" i="19"/>
  <c r="A2332" i="19"/>
  <c r="A1338" i="19"/>
  <c r="A1659" i="19"/>
  <c r="A224" i="19"/>
  <c r="A254" i="19"/>
  <c r="A2098" i="19"/>
  <c r="A2249" i="19"/>
  <c r="A670" i="19"/>
  <c r="A1507" i="19"/>
  <c r="A2601" i="19"/>
  <c r="A1975" i="19"/>
  <c r="A1319" i="19"/>
  <c r="A885" i="19"/>
  <c r="A695" i="19"/>
  <c r="A1196" i="19"/>
  <c r="A2043" i="19"/>
  <c r="A1920" i="19"/>
  <c r="A2501" i="19"/>
  <c r="A747" i="19"/>
  <c r="A2108" i="19"/>
  <c r="A1559" i="19"/>
  <c r="A2447" i="19"/>
  <c r="A1310" i="19"/>
  <c r="A1553" i="19"/>
  <c r="A444" i="19"/>
  <c r="A409" i="19"/>
  <c r="A1777" i="19"/>
  <c r="A1095" i="19"/>
  <c r="A1528" i="19"/>
  <c r="A2282" i="19"/>
  <c r="A484" i="19"/>
  <c r="A1009" i="19"/>
  <c r="A2244" i="19"/>
  <c r="A2109" i="19"/>
  <c r="A943" i="19"/>
  <c r="A2308" i="19"/>
  <c r="A1895" i="19"/>
  <c r="A2006" i="19"/>
  <c r="A2465" i="19"/>
  <c r="A483" i="19"/>
  <c r="A410" i="19"/>
  <c r="A1710" i="19"/>
  <c r="A922" i="19"/>
  <c r="A573" i="19"/>
  <c r="A1384" i="19"/>
  <c r="A641" i="19"/>
  <c r="A1335" i="19"/>
  <c r="A1487" i="19"/>
  <c r="A558" i="19"/>
  <c r="A1422" i="19"/>
  <c r="A997" i="19"/>
  <c r="A2018" i="19"/>
  <c r="A804" i="19"/>
  <c r="A1441" i="19"/>
  <c r="A958" i="19"/>
  <c r="A2544" i="19"/>
  <c r="A1485" i="19"/>
  <c r="A1836" i="19"/>
  <c r="A370" i="19"/>
  <c r="A645" i="19"/>
  <c r="A950" i="19"/>
  <c r="A1677" i="19"/>
  <c r="A1867" i="19"/>
  <c r="A742" i="19"/>
  <c r="A1837" i="19"/>
  <c r="A2592" i="19"/>
  <c r="A2655" i="19"/>
  <c r="A1150" i="19"/>
  <c r="A1636" i="19"/>
  <c r="A2320" i="19"/>
  <c r="A458" i="19"/>
  <c r="A165" i="19"/>
  <c r="A632" i="19"/>
  <c r="A435" i="19"/>
  <c r="A905" i="19"/>
  <c r="A133" i="19"/>
  <c r="A2324" i="19"/>
  <c r="A2471" i="19"/>
  <c r="A1561" i="19"/>
  <c r="A2520" i="19"/>
  <c r="A992" i="19"/>
  <c r="A1182" i="19"/>
  <c r="A2588" i="19"/>
  <c r="A1400" i="19"/>
  <c r="A902" i="19"/>
  <c r="A575" i="19"/>
  <c r="A1141" i="19"/>
  <c r="A2573" i="19"/>
  <c r="A1381" i="19"/>
  <c r="A1784" i="19"/>
  <c r="A2370" i="19"/>
  <c r="A1567" i="19"/>
  <c r="A1292" i="19"/>
  <c r="A406" i="19"/>
  <c r="A333" i="19"/>
  <c r="A2201" i="19"/>
  <c r="A1768" i="19"/>
  <c r="A1408" i="19"/>
  <c r="A210" i="19"/>
  <c r="A459" i="19"/>
  <c r="A2173" i="19"/>
  <c r="A1720" i="19"/>
  <c r="A2026" i="19"/>
  <c r="A1227" i="19"/>
  <c r="A1017" i="19"/>
  <c r="A899" i="19"/>
  <c r="A156" i="19"/>
  <c r="A2434" i="19"/>
  <c r="A2523" i="19"/>
  <c r="A1525" i="19"/>
  <c r="A216" i="19"/>
  <c r="A293" i="19"/>
  <c r="A929" i="19"/>
  <c r="A1857" i="19"/>
  <c r="A2021" i="19"/>
  <c r="A566" i="19"/>
  <c r="A1509" i="19"/>
  <c r="A2572" i="19"/>
  <c r="A2512" i="19"/>
  <c r="A1428" i="19"/>
  <c r="A754" i="19"/>
  <c r="A500" i="19"/>
  <c r="A1999" i="19"/>
  <c r="A2549" i="19"/>
  <c r="A886" i="19"/>
  <c r="A143" i="19"/>
  <c r="A736" i="19"/>
  <c r="A1585" i="19"/>
  <c r="A2460" i="19"/>
  <c r="A1344" i="19"/>
  <c r="A599" i="19"/>
  <c r="A1388" i="19"/>
  <c r="A2483" i="19"/>
  <c r="A1092" i="19"/>
  <c r="A681" i="19"/>
  <c r="A369" i="19"/>
  <c r="A218" i="19"/>
  <c r="A1876" i="19"/>
  <c r="A1665" i="19"/>
  <c r="A164" i="19"/>
  <c r="A799" i="19"/>
  <c r="A952" i="19"/>
  <c r="A1260" i="19"/>
  <c r="A2158" i="19"/>
  <c r="A842" i="19"/>
  <c r="A936" i="19"/>
  <c r="A2384" i="19"/>
  <c r="A1462" i="19"/>
  <c r="A1299" i="19"/>
  <c r="A464" i="19"/>
  <c r="A595" i="19"/>
  <c r="A977" i="19"/>
  <c r="A1355" i="19"/>
  <c r="A2254" i="19"/>
  <c r="A286" i="19"/>
  <c r="A490" i="19"/>
  <c r="A2268" i="19"/>
  <c r="A1405" i="19"/>
  <c r="A413" i="19"/>
  <c r="A1657" i="19"/>
  <c r="A2185" i="19"/>
  <c r="A826" i="19"/>
  <c r="A2035" i="19"/>
  <c r="A869" i="19"/>
  <c r="A9" i="19"/>
  <c r="A2263" i="19"/>
  <c r="A480" i="19"/>
  <c r="A468" i="19"/>
  <c r="A932" i="19"/>
  <c r="A1818" i="19"/>
  <c r="A116" i="19"/>
  <c r="A1533" i="19"/>
  <c r="A1210" i="19"/>
  <c r="A1346" i="19"/>
  <c r="A2555" i="19"/>
  <c r="A446" i="19"/>
  <c r="A2045" i="19"/>
  <c r="A1110" i="19"/>
  <c r="A1798" i="19"/>
  <c r="A1596" i="19"/>
  <c r="A2421" i="19"/>
  <c r="A675" i="19"/>
  <c r="A678" i="19"/>
  <c r="A274" i="19"/>
  <c r="A1878" i="19"/>
  <c r="A1123" i="19"/>
  <c r="A1714" i="19"/>
  <c r="A1032" i="19"/>
  <c r="A921" i="19"/>
  <c r="A1680" i="19"/>
  <c r="A714" i="19"/>
  <c r="A2543" i="19"/>
  <c r="A2242" i="19"/>
  <c r="A1416" i="19"/>
  <c r="A1611" i="19"/>
  <c r="A1140" i="19"/>
  <c r="A1928" i="19"/>
  <c r="A2360" i="19"/>
  <c r="A823" i="19"/>
  <c r="A528" i="19"/>
  <c r="A1683" i="19"/>
  <c r="A382" i="19"/>
  <c r="A471" i="19"/>
  <c r="A1424" i="19"/>
  <c r="A963" i="19"/>
  <c r="A1211" i="19"/>
  <c r="A493" i="19"/>
  <c r="A550" i="19"/>
  <c r="A2427" i="19"/>
  <c r="A2602" i="19"/>
  <c r="A1773" i="19"/>
  <c r="A839" i="19"/>
  <c r="A593" i="19"/>
  <c r="A1804" i="19"/>
  <c r="A2130" i="19"/>
  <c r="A1762" i="19"/>
  <c r="A2591" i="19"/>
  <c r="A2192" i="19"/>
  <c r="A418" i="19"/>
  <c r="A1328" i="19"/>
  <c r="A2013" i="19"/>
  <c r="A1935" i="19"/>
  <c r="A1840" i="19"/>
  <c r="A642" i="19"/>
  <c r="A658" i="19"/>
  <c r="A2078" i="19"/>
  <c r="A1649" i="19"/>
  <c r="A1002" i="19"/>
  <c r="A202" i="19"/>
  <c r="A851" i="19"/>
  <c r="A2002" i="19"/>
  <c r="A2258" i="19"/>
  <c r="A1986" i="19"/>
  <c r="A470" i="19"/>
  <c r="A450" i="19"/>
  <c r="A1599" i="19"/>
  <c r="A2014" i="19"/>
  <c r="A1520" i="19"/>
  <c r="A211" i="19"/>
  <c r="A380" i="19"/>
  <c r="A2582" i="19"/>
  <c r="A2187" i="19"/>
  <c r="A1096" i="19"/>
  <c r="A281" i="19"/>
  <c r="A511" i="19"/>
  <c r="A1449" i="19"/>
  <c r="A1111" i="19"/>
  <c r="A757" i="19"/>
  <c r="A2411" i="19"/>
  <c r="A389" i="19"/>
  <c r="A2524" i="19"/>
  <c r="A1733" i="19"/>
  <c r="A1014" i="19"/>
  <c r="A1574" i="19"/>
  <c r="A2647" i="19"/>
  <c r="A1942" i="19"/>
  <c r="A1569" i="19"/>
  <c r="A368" i="19"/>
  <c r="A711" i="19"/>
  <c r="A2105" i="19"/>
  <c r="A2403" i="19"/>
  <c r="A2007" i="19"/>
  <c r="A56" i="19"/>
  <c r="A50" i="19"/>
  <c r="A112" i="19"/>
  <c r="A29" i="19"/>
  <c r="A2070" i="19"/>
  <c r="A1757" i="19"/>
  <c r="A697" i="19"/>
  <c r="A2377" i="19"/>
  <c r="A427" i="19"/>
  <c r="A1719" i="19"/>
  <c r="A855" i="19"/>
  <c r="A1628" i="19"/>
  <c r="A800" i="19"/>
  <c r="A2210" i="19"/>
  <c r="A1761" i="19"/>
  <c r="A1152" i="19"/>
  <c r="A1522" i="19"/>
  <c r="A1392" i="19"/>
  <c r="A549" i="19"/>
  <c r="A1674" i="19"/>
  <c r="A751" i="19"/>
  <c r="A2039" i="19"/>
  <c r="A1412" i="19"/>
  <c r="A2079" i="19"/>
  <c r="A136" i="19"/>
  <c r="A1465" i="19"/>
  <c r="A1189" i="19"/>
  <c r="A2493" i="19"/>
  <c r="A634" i="19"/>
  <c r="A1452" i="19"/>
  <c r="A1149" i="19"/>
  <c r="A1437" i="19"/>
  <c r="A2476" i="19"/>
  <c r="A159" i="19"/>
  <c r="A1176" i="19"/>
  <c r="A2355" i="19"/>
  <c r="A817" i="19"/>
  <c r="A1429" i="19"/>
  <c r="A2565" i="19"/>
  <c r="A2120" i="19"/>
  <c r="A1922" i="19"/>
  <c r="A582" i="19"/>
  <c r="A1432" i="19"/>
  <c r="A2053" i="19"/>
  <c r="A1181" i="19"/>
  <c r="A668" i="19"/>
  <c r="A52" i="19"/>
  <c r="A481" i="19"/>
  <c r="A1914" i="19"/>
  <c r="A640" i="19"/>
  <c r="A2339" i="19"/>
  <c r="A1267" i="19"/>
  <c r="A1508" i="19"/>
  <c r="A860" i="19"/>
  <c r="A2082" i="19"/>
  <c r="A2340" i="19"/>
  <c r="A2225" i="19"/>
  <c r="A956" i="19"/>
  <c r="A391" i="19"/>
  <c r="A2366" i="19"/>
  <c r="A1965" i="19"/>
  <c r="A1369" i="19"/>
  <c r="A553" i="19"/>
  <c r="A663" i="19"/>
  <c r="A2255" i="19"/>
  <c r="A2571" i="19"/>
  <c r="A1291" i="19"/>
  <c r="A2642" i="19"/>
  <c r="A776" i="19"/>
  <c r="A1054" i="19"/>
  <c r="A518" i="19"/>
  <c r="A2445" i="19"/>
  <c r="A1403" i="19"/>
  <c r="A1813" i="19"/>
  <c r="A170" i="19"/>
  <c r="A76" i="19"/>
  <c r="A2425" i="19"/>
  <c r="A1131" i="19"/>
  <c r="A859" i="19"/>
  <c r="A155" i="19"/>
  <c r="A805" i="19"/>
  <c r="A1984" i="19"/>
  <c r="A1721" i="19"/>
  <c r="A1510" i="19"/>
  <c r="A1443" i="19"/>
  <c r="A1357" i="19"/>
  <c r="A2563" i="19"/>
  <c r="A1237" i="19"/>
  <c r="A555" i="19"/>
  <c r="A724" i="19"/>
  <c r="A2304" i="19"/>
  <c r="A2474" i="19"/>
  <c r="A2032" i="19"/>
  <c r="A1474" i="19"/>
  <c r="A986" i="19"/>
  <c r="A30" i="19"/>
  <c r="A1747" i="19"/>
  <c r="A1052" i="19"/>
  <c r="A1448" i="19"/>
  <c r="A1031" i="19"/>
  <c r="A2094" i="19"/>
  <c r="A2096" i="19"/>
  <c r="A1178" i="19"/>
  <c r="A862" i="19"/>
  <c r="A633" i="19"/>
  <c r="A1797" i="19"/>
  <c r="A2561" i="19"/>
  <c r="A2620" i="19"/>
  <c r="A1295" i="19"/>
  <c r="A463" i="19"/>
  <c r="A2470" i="19"/>
  <c r="A1396" i="19"/>
  <c r="A1906" i="19"/>
  <c r="A630" i="19"/>
  <c r="A617" i="19"/>
  <c r="A395" i="19"/>
  <c r="A894" i="19"/>
  <c r="A2618" i="19"/>
  <c r="A949" i="19"/>
  <c r="A875" i="19"/>
  <c r="A2234" i="19"/>
  <c r="A712" i="19"/>
  <c r="A2087" i="19"/>
  <c r="A2116" i="19"/>
  <c r="A2531" i="19"/>
  <c r="A1924" i="19"/>
  <c r="A2151" i="19"/>
  <c r="A516" i="19"/>
  <c r="A726" i="19"/>
  <c r="A1290" i="19"/>
  <c r="A873" i="19"/>
  <c r="A70" i="19"/>
  <c r="A1393" i="19"/>
  <c r="A1221" i="19"/>
  <c r="A2548" i="19"/>
  <c r="A198" i="19"/>
  <c r="A1667" i="19"/>
  <c r="A1872" i="19"/>
  <c r="A2504" i="19"/>
  <c r="A764" i="19"/>
  <c r="A1795" i="19"/>
  <c r="A1742" i="19"/>
  <c r="A1298" i="19"/>
  <c r="A399" i="19"/>
  <c r="A1511" i="19"/>
  <c r="A1892" i="19"/>
  <c r="A1061" i="19"/>
  <c r="A197" i="19"/>
  <c r="A2166" i="19"/>
  <c r="A109" i="19"/>
  <c r="A301" i="19"/>
  <c r="A2055" i="19"/>
  <c r="A2414" i="19"/>
  <c r="A1121" i="19"/>
  <c r="A2084" i="19"/>
  <c r="A354" i="19"/>
  <c r="A2190" i="19"/>
  <c r="A1347" i="19"/>
  <c r="A1167" i="19"/>
  <c r="A62" i="19"/>
  <c r="A1972" i="19"/>
  <c r="A2489" i="19"/>
  <c r="A737" i="19"/>
  <c r="A671" i="19"/>
  <c r="A1566" i="19"/>
  <c r="A1726" i="19"/>
  <c r="A328" i="19"/>
  <c r="A2353" i="19"/>
  <c r="A906" i="19"/>
  <c r="A25" i="19"/>
  <c r="A1623" i="19"/>
  <c r="A2067" i="19"/>
  <c r="A1979" i="19"/>
  <c r="A974" i="19"/>
  <c r="A534" i="19"/>
  <c r="A2148" i="19"/>
  <c r="A2099" i="19"/>
  <c r="A1634" i="19"/>
  <c r="A259" i="19"/>
  <c r="A167" i="19"/>
  <c r="A1455" i="19"/>
  <c r="A1644" i="19"/>
  <c r="A394" i="19"/>
  <c r="A213" i="19"/>
  <c r="A1998" i="19"/>
  <c r="A2107" i="19"/>
  <c r="A495" i="19"/>
  <c r="A1063" i="19"/>
  <c r="A2517" i="19"/>
  <c r="A1622" i="19"/>
  <c r="A423" i="19"/>
  <c r="A1094" i="19"/>
  <c r="A2086" i="19"/>
  <c r="A2216" i="19"/>
  <c r="A462" i="19"/>
  <c r="A1005" i="19"/>
  <c r="A2292" i="19"/>
  <c r="A1217" i="19"/>
  <c r="A1693" i="19"/>
  <c r="A436" i="19"/>
  <c r="A2550" i="19"/>
  <c r="A612" i="19"/>
  <c r="A825" i="19"/>
  <c r="A657" i="19"/>
  <c r="A2155" i="19"/>
  <c r="A98" i="19"/>
  <c r="A1737" i="19"/>
  <c r="A1937" i="19"/>
  <c r="A2269" i="19"/>
  <c r="A1751" i="19"/>
  <c r="A158" i="19"/>
  <c r="A1749" i="19"/>
  <c r="A1067" i="19"/>
  <c r="A1198" i="19"/>
  <c r="A978" i="19"/>
  <c r="A847" i="19"/>
  <c r="A955" i="19"/>
  <c r="A2559" i="19"/>
  <c r="A878" i="19"/>
  <c r="A994" i="19"/>
  <c r="A539" i="19"/>
  <c r="A1828" i="19"/>
  <c r="A2442" i="19"/>
  <c r="A773" i="19"/>
  <c r="A2487" i="19"/>
  <c r="A614" i="19"/>
  <c r="A2386" i="19"/>
  <c r="A639" i="19"/>
  <c r="A522" i="19"/>
  <c r="A1911" i="19"/>
  <c r="A987" i="19"/>
  <c r="A1377" i="19"/>
  <c r="A1873" i="19"/>
  <c r="A510" i="19"/>
  <c r="A1041" i="19"/>
  <c r="A1887" i="19"/>
  <c r="A1234" i="19"/>
  <c r="A271" i="19"/>
  <c r="A1379" i="19"/>
  <c r="A2208" i="19"/>
  <c r="A2064" i="19"/>
  <c r="A1727" i="19"/>
  <c r="A363" i="19"/>
  <c r="A1729" i="19"/>
  <c r="A1711" i="19"/>
  <c r="A1893" i="19"/>
  <c r="A1036" i="19"/>
  <c r="A2315" i="19"/>
  <c r="A160" i="19"/>
  <c r="A812" i="19"/>
  <c r="A1305" i="19"/>
  <c r="A1679" i="19"/>
  <c r="A2278" i="19"/>
  <c r="A1651" i="19"/>
  <c r="A22" i="19"/>
  <c r="A1055" i="19"/>
  <c r="A1488" i="19"/>
  <c r="A2040" i="19"/>
  <c r="A1529" i="19"/>
  <c r="A1337" i="19"/>
  <c r="A134" i="19"/>
  <c r="A2019" i="19"/>
  <c r="A1128" i="19"/>
  <c r="A1594" i="19"/>
  <c r="A547" i="19"/>
  <c r="A1640" i="19"/>
  <c r="A1643" i="19"/>
  <c r="A1370" i="19"/>
  <c r="A241" i="19"/>
  <c r="A2578" i="19"/>
  <c r="A877" i="19"/>
  <c r="A680" i="19"/>
  <c r="A868" i="19"/>
  <c r="A2228" i="19"/>
  <c r="A55" i="19"/>
  <c r="A1688" i="19"/>
  <c r="A828" i="19"/>
  <c r="A1844" i="19"/>
  <c r="A690" i="19"/>
  <c r="A108" i="19"/>
  <c r="A2372" i="19"/>
  <c r="A2395" i="19"/>
  <c r="A2392" i="19"/>
  <c r="A443" i="19"/>
  <c r="A1786" i="19"/>
  <c r="A2464" i="19"/>
  <c r="A1327" i="19"/>
  <c r="A530" i="19"/>
  <c r="A48" i="19"/>
  <c r="A375" i="19"/>
  <c r="A2486" i="19"/>
  <c r="A850" i="19"/>
  <c r="A1349" i="19"/>
  <c r="A822" i="19"/>
  <c r="A1871" i="19"/>
  <c r="A1423" i="19"/>
  <c r="A838" i="19"/>
  <c r="A576" i="19"/>
  <c r="A1414" i="19"/>
  <c r="A1835" i="19"/>
  <c r="A367" i="19"/>
  <c r="A565" i="19"/>
  <c r="A1539" i="19"/>
  <c r="A1495" i="19"/>
  <c r="A2104" i="19"/>
  <c r="A1409" i="19"/>
  <c r="A442" i="19"/>
  <c r="A2376" i="19"/>
  <c r="A1215" i="19"/>
  <c r="A86" i="19"/>
  <c r="A12" i="19"/>
  <c r="A1431" i="19"/>
  <c r="A2506" i="19"/>
  <c r="A1093" i="19"/>
  <c r="A225" i="19"/>
  <c r="A2629" i="19"/>
  <c r="A1607" i="19"/>
  <c r="A774" i="19"/>
  <c r="A532" i="19"/>
  <c r="A2472" i="19"/>
  <c r="A1868" i="19"/>
  <c r="A2265" i="19"/>
  <c r="A334" i="19"/>
  <c r="A2394" i="19"/>
  <c r="A2264" i="19"/>
  <c r="A2560" i="19"/>
  <c r="A683" i="19"/>
  <c r="A2567" i="19"/>
  <c r="A1997" i="19"/>
  <c r="A58" i="19"/>
  <c r="A2454" i="19"/>
  <c r="A2036" i="19"/>
  <c r="A893" i="19"/>
  <c r="A171" i="19"/>
  <c r="A2500" i="19"/>
  <c r="A1421" i="19"/>
  <c r="A311" i="19"/>
  <c r="A1822" i="19"/>
  <c r="A2261" i="19"/>
  <c r="A923" i="19"/>
  <c r="A620" i="19"/>
  <c r="A1461" i="19"/>
  <c r="A1312" i="19"/>
  <c r="A473" i="19"/>
  <c r="A232" i="19"/>
  <c r="A1995" i="19"/>
  <c r="A246" i="19"/>
  <c r="A322" i="19"/>
  <c r="A1869" i="19"/>
  <c r="A1546" i="19"/>
  <c r="A1146" i="19"/>
  <c r="A299" i="19"/>
  <c r="A941" i="19"/>
  <c r="A2652" i="19"/>
  <c r="A1099" i="19"/>
  <c r="A1283" i="19"/>
  <c r="A81" i="19"/>
  <c r="A1531" i="19"/>
  <c r="A2428" i="19"/>
  <c r="A779" i="19"/>
  <c r="A2422" i="19"/>
  <c r="A650" i="19"/>
  <c r="A2083" i="19"/>
  <c r="A2374" i="19"/>
  <c r="A105" i="19"/>
  <c r="A2146" i="19"/>
  <c r="A173" i="19"/>
  <c r="A1157" i="19"/>
  <c r="A2274" i="19"/>
  <c r="A762" i="19"/>
  <c r="A175" i="19"/>
  <c r="A1753" i="19"/>
  <c r="A429" i="19"/>
  <c r="A1633" i="19"/>
  <c r="A910" i="19"/>
  <c r="A2132" i="19"/>
  <c r="A705" i="19"/>
  <c r="A332" i="19"/>
  <c r="A1057" i="19"/>
  <c r="A67" i="19"/>
  <c r="A1151" i="19"/>
  <c r="A1959" i="19"/>
  <c r="A2446" i="19"/>
  <c r="A199" i="19"/>
  <c r="A815" i="19"/>
  <c r="A1671" i="19"/>
  <c r="A1297" i="19"/>
  <c r="A709" i="19"/>
  <c r="A1775" i="19"/>
  <c r="A2298" i="19"/>
  <c r="A1544" i="19"/>
  <c r="A622" i="19"/>
  <c r="A1200" i="19"/>
  <c r="A1687" i="19"/>
  <c r="A796" i="19"/>
  <c r="A2444" i="19"/>
  <c r="A1884" i="19"/>
  <c r="A713" i="19"/>
  <c r="A577" i="19"/>
  <c r="A2160" i="19"/>
  <c r="A1239" i="19"/>
  <c r="A374" i="19"/>
  <c r="A206" i="19"/>
  <c r="A2595" i="19"/>
  <c r="A2143" i="19"/>
  <c r="A1171" i="19"/>
  <c r="A1383" i="19"/>
  <c r="A1921" i="19"/>
  <c r="A1450" i="19"/>
  <c r="A970" i="19"/>
  <c r="A180" i="19"/>
  <c r="A1615" i="19"/>
  <c r="A1301" i="19"/>
  <c r="A569" i="19"/>
  <c r="A1989" i="19"/>
  <c r="A2110" i="19"/>
  <c r="A1974" i="19"/>
  <c r="A1808" i="19"/>
  <c r="A2293" i="19"/>
  <c r="A1834" i="19"/>
  <c r="A1222" i="19"/>
  <c r="A2538" i="19"/>
  <c r="A2540" i="19"/>
  <c r="A1642" i="19"/>
  <c r="A1306" i="19"/>
  <c r="A396" i="19"/>
  <c r="A1877" i="19"/>
  <c r="A2547" i="19"/>
  <c r="A7" i="19"/>
  <c r="A2513" i="19"/>
  <c r="A644" i="19"/>
  <c r="A1321" i="19"/>
  <c r="A1923" i="19"/>
  <c r="A1695" i="19"/>
  <c r="A556" i="19"/>
  <c r="A795" i="19"/>
  <c r="A2291" i="19"/>
  <c r="A1288" i="19"/>
  <c r="A227" i="19"/>
  <c r="A1715" i="19"/>
  <c r="A401" i="19"/>
  <c r="A728" i="19"/>
  <c r="A1764" i="19"/>
  <c r="A142" i="19"/>
  <c r="A2385" i="19"/>
  <c r="A426" i="19"/>
  <c r="A1080" i="19"/>
  <c r="A1996" i="19"/>
  <c r="A351" i="19"/>
  <c r="A1738" i="19"/>
  <c r="A814" i="19"/>
  <c r="A1025" i="19"/>
  <c r="A2025" i="19"/>
  <c r="A948" i="19"/>
  <c r="A37" i="19"/>
  <c r="A1481" i="19"/>
  <c r="A1848" i="19"/>
  <c r="A1789" i="19"/>
  <c r="A1322" i="19"/>
  <c r="A1552" i="19"/>
  <c r="A270" i="19"/>
  <c r="A472" i="19"/>
  <c r="A2430" i="19"/>
  <c r="A928" i="19"/>
  <c r="A181" i="19"/>
  <c r="A1910" i="19"/>
  <c r="A1771" i="19"/>
  <c r="A1324" i="19"/>
  <c r="A1706" i="19"/>
  <c r="A2280" i="19"/>
  <c r="A312" i="19"/>
  <c r="A2505" i="19"/>
  <c r="A2046" i="19"/>
  <c r="A1516" i="19"/>
  <c r="A1442" i="19"/>
  <c r="A244" i="19"/>
  <c r="A1707" i="19"/>
  <c r="A1513" i="19"/>
  <c r="A1632" i="19"/>
  <c r="A2630" i="19"/>
  <c r="A1970" i="19"/>
  <c r="A378" i="19"/>
  <c r="A1619" i="19"/>
  <c r="A1909" i="19"/>
  <c r="A951" i="19"/>
  <c r="A4" i="19"/>
  <c r="A1458" i="19"/>
  <c r="A2153" i="19"/>
  <c r="A2073" i="19"/>
  <c r="A1776" i="19"/>
  <c r="A524" i="19"/>
  <c r="A2424" i="19"/>
  <c r="A925" i="19"/>
  <c r="A924" i="19"/>
  <c r="A890" i="19"/>
  <c r="A2118" i="19"/>
  <c r="A1802" i="19"/>
  <c r="A1521" i="19"/>
  <c r="A1926" i="19"/>
  <c r="A1655" i="19"/>
  <c r="A1760" i="19"/>
  <c r="A542" i="19"/>
  <c r="A2518" i="19"/>
  <c r="A1231" i="19"/>
  <c r="A656" i="19"/>
  <c r="A2198" i="19"/>
  <c r="A1912" i="19"/>
  <c r="A2612" i="19"/>
  <c r="A976" i="19"/>
  <c r="A1947" i="19"/>
  <c r="A2113" i="19"/>
  <c r="A415" i="19"/>
  <c r="A80" i="19"/>
  <c r="A1590" i="19"/>
  <c r="A59" i="19"/>
  <c r="A1160" i="19"/>
  <c r="A1722" i="19"/>
  <c r="A1696" i="19"/>
  <c r="A1717" i="19"/>
  <c r="A1662" i="19"/>
  <c r="A2123" i="19"/>
  <c r="A1579" i="19"/>
  <c r="A629" i="19"/>
  <c r="A195" i="19"/>
  <c r="A1827" i="19"/>
  <c r="A819" i="19"/>
  <c r="A2400" i="19"/>
  <c r="A618" i="19"/>
  <c r="A2284" i="19"/>
  <c r="A285" i="19"/>
  <c r="A1966" i="19"/>
  <c r="A2257" i="19"/>
  <c r="A611" i="19"/>
  <c r="A2226" i="19"/>
  <c r="A706" i="19"/>
  <c r="A2092" i="19"/>
  <c r="A1663" i="19"/>
  <c r="A887" i="19"/>
  <c r="A945" i="19"/>
  <c r="A1716" i="19"/>
  <c r="A2211" i="19"/>
  <c r="A1062" i="19"/>
  <c r="A1601" i="19"/>
  <c r="A1402" i="19"/>
  <c r="A849" i="19"/>
  <c r="A813" i="19"/>
  <c r="A2537" i="19"/>
  <c r="A1850" i="19"/>
  <c r="A315" i="19"/>
  <c r="A1204" i="19"/>
  <c r="A1862" i="19"/>
  <c r="A720" i="19"/>
  <c r="A325" i="19"/>
  <c r="A1225" i="19"/>
  <c r="A1183" i="19"/>
  <c r="A2287" i="19"/>
  <c r="A1538" i="19"/>
  <c r="A559" i="19"/>
  <c r="A625" i="19"/>
  <c r="A157" i="19"/>
  <c r="A1803" i="19"/>
  <c r="A2325" i="19"/>
  <c r="A2142" i="19"/>
  <c r="A2354" i="19"/>
  <c r="A44" i="19"/>
  <c r="A613" i="19"/>
  <c r="A2215" i="19"/>
  <c r="A2270" i="19"/>
  <c r="A1249" i="19"/>
  <c r="A585" i="19"/>
  <c r="A1983" i="19"/>
  <c r="A2631" i="19"/>
  <c r="A1226" i="19"/>
  <c r="A191" i="19"/>
  <c r="A2619" i="19"/>
  <c r="A1792" i="19"/>
  <c r="A935" i="19"/>
  <c r="A546" i="19"/>
  <c r="A996" i="19"/>
  <c r="A2175" i="19"/>
  <c r="A858" i="19"/>
  <c r="A1316" i="19"/>
  <c r="A1281" i="19"/>
  <c r="A2419" i="19"/>
  <c r="A1708" i="19"/>
  <c r="A830" i="19"/>
  <c r="A1444" i="19"/>
  <c r="A2633" i="19"/>
  <c r="A844" i="19"/>
  <c r="A1191" i="19"/>
  <c r="A1453" i="19"/>
  <c r="A1468" i="19"/>
  <c r="A428" i="19"/>
  <c r="A2519" i="19"/>
  <c r="A1723" i="19"/>
  <c r="A1637" i="19"/>
  <c r="A330" i="19"/>
  <c r="A1954" i="19"/>
  <c r="A73" i="19"/>
  <c r="A973" i="19"/>
  <c r="A900" i="19"/>
  <c r="A2168" i="19"/>
  <c r="A1016" i="19"/>
  <c r="A485" i="19"/>
  <c r="A2488" i="19"/>
  <c r="A1573" i="19"/>
  <c r="A1433" i="19"/>
  <c r="A2390" i="19"/>
  <c r="A837" i="19"/>
  <c r="A1003" i="19"/>
  <c r="A966" i="19"/>
  <c r="A1486" i="19"/>
  <c r="A1992" i="19"/>
  <c r="A586" i="19"/>
  <c r="A2195" i="19"/>
  <c r="A242" i="19"/>
  <c r="A2532" i="19"/>
  <c r="A2334" i="19"/>
  <c r="A258" i="19"/>
  <c r="A2646" i="19"/>
  <c r="A870" i="19"/>
  <c r="A2179" i="19"/>
  <c r="A2220" i="19"/>
  <c r="A2436" i="19"/>
  <c r="A1473" i="19"/>
  <c r="A1580" i="19"/>
  <c r="A276" i="19"/>
  <c r="A661" i="19"/>
  <c r="A1478" i="19"/>
  <c r="A144" i="19"/>
  <c r="A1676" i="19"/>
  <c r="A1440" i="19"/>
  <c r="A2071" i="19"/>
  <c r="A1043" i="19"/>
  <c r="A439" i="19"/>
  <c r="A135" i="19"/>
  <c r="A2297" i="19"/>
  <c r="A1394" i="19"/>
  <c r="A1883" i="19"/>
  <c r="A35" i="19"/>
  <c r="A2213" i="19"/>
  <c r="A386" i="19"/>
  <c r="A918" i="19"/>
  <c r="A2239" i="19"/>
  <c r="A571" i="19"/>
  <c r="A1793" i="19"/>
  <c r="A179" i="19"/>
  <c r="A1101" i="19"/>
  <c r="A243" i="19"/>
  <c r="A397" i="19"/>
  <c r="A2180" i="19"/>
  <c r="A1058" i="19"/>
  <c r="A20" i="19"/>
  <c r="A540" i="19"/>
  <c r="A1527" i="19"/>
  <c r="A2363" i="19"/>
  <c r="A453" i="19"/>
  <c r="A1897" i="19"/>
  <c r="A1625" i="19"/>
  <c r="A1265" i="19"/>
  <c r="A1350" i="19"/>
  <c r="A498" i="19"/>
  <c r="A1831" i="19"/>
  <c r="A356" i="19"/>
  <c r="A2137" i="19"/>
  <c r="A2157" i="19"/>
  <c r="A392" i="19"/>
  <c r="A541" i="19"/>
  <c r="A2492" i="19"/>
  <c r="A1563" i="19"/>
  <c r="A1686" i="19"/>
  <c r="A1360" i="19"/>
  <c r="A1470" i="19"/>
  <c r="A2580" i="19"/>
  <c r="A2027" i="19"/>
  <c r="A2279" i="19"/>
  <c r="A178" i="19"/>
  <c r="A1214" i="19"/>
  <c r="A2177" i="19"/>
  <c r="A102" i="19"/>
  <c r="A1518" i="19"/>
  <c r="A648" i="19"/>
  <c r="A1081" i="19"/>
  <c r="A883" i="19"/>
  <c r="A1951" i="19"/>
  <c r="A1550" i="19"/>
  <c r="A434" i="19"/>
  <c r="A2574" i="19"/>
  <c r="A64" i="19"/>
  <c r="A233" i="19"/>
  <c r="A379" i="19"/>
  <c r="A1961" i="19"/>
  <c r="A469" i="19"/>
  <c r="A2608" i="19"/>
  <c r="A2314" i="19"/>
  <c r="A2288" i="19"/>
  <c r="A1195" i="19"/>
  <c r="A2401" i="19"/>
  <c r="A1038" i="19"/>
  <c r="A1026" i="19"/>
  <c r="A2037" i="19"/>
  <c r="A1503" i="19"/>
  <c r="A716" i="19"/>
  <c r="A1273" i="19"/>
  <c r="A1276" i="19"/>
  <c r="A84" i="19"/>
  <c r="A1963" i="19"/>
  <c r="A1748" i="19"/>
  <c r="A1311" i="19"/>
  <c r="A400" i="19"/>
  <c r="A353" i="19"/>
  <c r="A2009" i="19"/>
  <c r="A1472" i="19"/>
  <c r="A1158" i="19"/>
  <c r="A2140" i="19"/>
  <c r="A2236" i="19"/>
  <c r="A2016" i="19"/>
  <c r="A176" i="19"/>
  <c r="A284" i="19"/>
  <c r="A2593" i="19"/>
  <c r="A2069" i="19"/>
  <c r="A677" i="19"/>
  <c r="A51" i="19"/>
  <c r="A1469" i="19"/>
  <c r="A937" i="19"/>
  <c r="A947" i="19"/>
  <c r="A1770" i="19"/>
  <c r="A2387" i="19"/>
  <c r="A388" i="19"/>
  <c r="A562" i="19"/>
  <c r="A2066" i="19"/>
  <c r="A1728" i="19"/>
  <c r="A341" i="19"/>
  <c r="A2214" i="19"/>
  <c r="A2431" i="19"/>
  <c r="A591" i="19"/>
  <c r="A1395" i="19"/>
  <c r="A1296" i="19"/>
  <c r="A763" i="19"/>
  <c r="A79" i="19"/>
  <c r="A545" i="19"/>
  <c r="A2005" i="19"/>
  <c r="A730" i="19"/>
  <c r="A685" i="19"/>
  <c r="A2438" i="19"/>
  <c r="A969" i="19"/>
  <c r="A283" i="19"/>
  <c r="A2398" i="19"/>
  <c r="A584" i="19"/>
  <c r="A912" i="19"/>
  <c r="A297" i="19"/>
  <c r="A40" i="19"/>
  <c r="A2248" i="19"/>
  <c r="A302" i="19"/>
  <c r="A2062" i="19"/>
  <c r="A437" i="19"/>
  <c r="A2554" i="19"/>
  <c r="A2396" i="19"/>
  <c r="A579" i="19"/>
  <c r="A1085" i="19"/>
  <c r="A981" i="19"/>
  <c r="A1489" i="19"/>
  <c r="A1477" i="19"/>
  <c r="A2348" i="19"/>
  <c r="A1175" i="19"/>
  <c r="A1891" i="19"/>
  <c r="A17" i="19"/>
  <c r="A1155" i="19"/>
  <c r="A1630" i="19"/>
  <c r="A1015" i="19"/>
  <c r="A831" i="19"/>
  <c r="A1743" i="19"/>
  <c r="A2128" i="19"/>
  <c r="A501" i="19"/>
  <c r="A1781" i="19"/>
  <c r="A26" i="19"/>
  <c r="A2196" i="19"/>
  <c r="A422" i="19"/>
  <c r="A1213" i="19"/>
  <c r="A2170" i="19"/>
  <c r="A298" i="19"/>
  <c r="A1438" i="19"/>
  <c r="A832" i="19"/>
  <c r="A90" i="19"/>
  <c r="A95" i="19"/>
  <c r="A1944" i="19"/>
  <c r="A1304" i="19"/>
  <c r="A1505" i="19"/>
  <c r="A149" i="19"/>
  <c r="A1116" i="19"/>
  <c r="A1735" i="19"/>
  <c r="A580" i="19"/>
  <c r="A1218" i="19"/>
  <c r="A1091" i="19"/>
  <c r="A1365" i="19"/>
  <c r="A864" i="19"/>
  <c r="A2237" i="19"/>
  <c r="A1568" i="19"/>
  <c r="A2526" i="19"/>
  <c r="A1537" i="19"/>
  <c r="A2397" i="19"/>
  <c r="A1870" i="19"/>
  <c r="A564" i="19"/>
  <c r="A306" i="19"/>
  <c r="A879" i="19"/>
  <c r="A321" i="19"/>
  <c r="A1855" i="19"/>
  <c r="A707" i="19"/>
  <c r="A835" i="19"/>
  <c r="A92" i="19"/>
  <c r="A674" i="19"/>
  <c r="A942" i="19"/>
  <c r="A63" i="19"/>
  <c r="A226" i="19"/>
  <c r="A834" i="19"/>
  <c r="A517" i="19"/>
  <c r="A1823" i="19"/>
  <c r="A1697" i="19"/>
  <c r="A892" i="19"/>
  <c r="A833" i="19"/>
  <c r="A2323" i="19"/>
  <c r="A1268" i="19"/>
  <c r="A1137" i="19"/>
  <c r="A2205" i="19"/>
  <c r="A2312" i="19"/>
  <c r="A2459" i="19"/>
  <c r="A808" i="19"/>
  <c r="A1490" i="19"/>
  <c r="A1673" i="19"/>
  <c r="A2224" i="19"/>
  <c r="A1810" i="19"/>
  <c r="A1730" i="19"/>
  <c r="A1709" i="19"/>
  <c r="A2147" i="19"/>
  <c r="A1245" i="19"/>
  <c r="A876" i="19"/>
  <c r="A1647" i="19"/>
  <c r="A24" i="19"/>
  <c r="A791" i="19"/>
  <c r="A1694" i="19"/>
  <c r="A880" i="19"/>
  <c r="A1246" i="19"/>
  <c r="A2622" i="19"/>
  <c r="A2650" i="19"/>
  <c r="A1000" i="19"/>
  <c r="A106" i="19"/>
  <c r="A2346" i="19"/>
  <c r="A793" i="19"/>
  <c r="A1978" i="19"/>
  <c r="A304" i="19"/>
  <c r="A2516" i="19"/>
  <c r="A2522" i="19"/>
  <c r="A1102" i="19"/>
  <c r="A1071" i="19"/>
  <c r="A2310" i="19"/>
  <c r="A515" i="19"/>
  <c r="A1692" i="19"/>
  <c r="A357" i="19"/>
  <c r="A1279" i="19"/>
  <c r="A2539" i="19"/>
  <c r="A360" i="19"/>
  <c r="A2197" i="19"/>
  <c r="A456" i="19"/>
  <c r="A2152" i="19"/>
  <c r="A691" i="19"/>
  <c r="A2458" i="19"/>
  <c r="A2212" i="19"/>
  <c r="A359" i="19"/>
  <c r="A1206" i="19"/>
  <c r="A946" i="19"/>
  <c r="A2031" i="19"/>
  <c r="A196" i="19"/>
  <c r="A848" i="19"/>
  <c r="A148" i="19"/>
  <c r="A2004" i="19"/>
  <c r="A187" i="19"/>
  <c r="A126" i="19"/>
  <c r="A1896" i="19"/>
  <c r="A583" i="19"/>
  <c r="A1617" i="19"/>
  <c r="A2247" i="19"/>
  <c r="A1980" i="19"/>
  <c r="A408" i="19"/>
  <c r="A2587" i="19"/>
  <c r="A1271" i="19"/>
  <c r="A999" i="19"/>
  <c r="A727" i="19"/>
  <c r="A1127" i="19"/>
  <c r="A1766" i="19"/>
  <c r="A91" i="19"/>
  <c r="A672" i="19"/>
  <c r="A1351" i="19"/>
  <c r="A621" i="19"/>
  <c r="A186" i="19"/>
  <c r="A452" i="19"/>
  <c r="A718" i="19"/>
  <c r="A1046" i="19"/>
  <c r="A803" i="19"/>
  <c r="A989" i="19"/>
  <c r="A1816" i="19"/>
  <c r="A1212" i="19"/>
  <c r="A1259" i="19"/>
  <c r="A2614" i="19"/>
  <c r="A1551" i="19"/>
  <c r="A807" i="19"/>
  <c r="A1053" i="19"/>
  <c r="A1991" i="19"/>
  <c r="A1718" i="19"/>
  <c r="A2189" i="19"/>
  <c r="A174" i="19"/>
  <c r="A38" i="19"/>
  <c r="A2575" i="19"/>
  <c r="A1013" i="19"/>
  <c r="A708" i="19"/>
  <c r="A2649" i="19"/>
  <c r="A1034" i="19"/>
  <c r="A36" i="19"/>
  <c r="A1243" i="19"/>
  <c r="A2409" i="19"/>
  <c r="A2230" i="19"/>
  <c r="A2328" i="19"/>
  <c r="A69" i="19"/>
  <c r="A1610" i="19"/>
  <c r="A715" i="19"/>
  <c r="A561" i="19"/>
  <c r="A1908" i="19"/>
  <c r="A1138" i="19"/>
  <c r="A806" i="19"/>
  <c r="A971" i="19"/>
  <c r="A1188" i="19"/>
  <c r="A1339" i="19"/>
  <c r="A1668" i="19"/>
  <c r="A2407" i="19"/>
  <c r="A234" i="19"/>
  <c r="A1224" i="19"/>
  <c r="A1903" i="19"/>
  <c r="A2455" i="19"/>
  <c r="A604" i="19"/>
  <c r="A291" i="19"/>
  <c r="A972" i="19"/>
  <c r="A2581" i="19"/>
  <c r="A551" i="19"/>
  <c r="A829" i="19"/>
  <c r="A154" i="19"/>
  <c r="A1203" i="19"/>
  <c r="A189" i="19"/>
  <c r="A1391" i="19"/>
  <c r="A2423" i="19"/>
  <c r="A1050" i="19"/>
  <c r="A1535" i="19"/>
  <c r="A1799" i="19"/>
  <c r="A290" i="19"/>
  <c r="A2417" i="19"/>
  <c r="A221" i="19"/>
  <c r="A384" i="19"/>
  <c r="A2194" i="19"/>
  <c r="A255" i="19"/>
  <c r="A874" i="19"/>
  <c r="A2020" i="19"/>
  <c r="A441" i="19"/>
  <c r="A608" i="19"/>
  <c r="A1591" i="19"/>
  <c r="A552" i="19"/>
  <c r="A1661" i="19"/>
  <c r="A1364" i="19"/>
  <c r="A1106" i="19"/>
  <c r="A1504" i="19"/>
  <c r="A1913" i="19"/>
  <c r="A919" i="19"/>
  <c r="A1386" i="19"/>
  <c r="A744" i="19"/>
  <c r="A420" i="19"/>
  <c r="A138" i="19"/>
  <c r="A280" i="19"/>
  <c r="A2081" i="19"/>
  <c r="A2154" i="19"/>
  <c r="A1209" i="19"/>
  <c r="A1317" i="19"/>
  <c r="A1519" i="19"/>
  <c r="A1554" i="19"/>
  <c r="A1193" i="19"/>
  <c r="A2023" i="19"/>
  <c r="A2319" i="19"/>
  <c r="A247" i="19"/>
  <c r="A2260" i="19"/>
  <c r="A1192" i="19"/>
  <c r="A1787" i="19"/>
  <c r="A2545" i="19"/>
  <c r="A240" i="19"/>
  <c r="A2645" i="19"/>
  <c r="A574" i="19"/>
  <c r="A457" i="19"/>
  <c r="A533" i="19"/>
  <c r="A1587" i="19"/>
  <c r="A2369" i="19"/>
  <c r="A568" i="19"/>
  <c r="A1725" i="19"/>
  <c r="A496" i="19"/>
  <c r="A2121" i="19"/>
  <c r="A205" i="19"/>
  <c r="A1201" i="19"/>
  <c r="A2169" i="19"/>
  <c r="A1270" i="19"/>
  <c r="A646" i="19"/>
  <c r="A1703" i="19"/>
  <c r="A609" i="19"/>
  <c r="A2090" i="19"/>
  <c r="A288" i="19"/>
  <c r="A934" i="19"/>
  <c r="A1380" i="19"/>
  <c r="A2000" i="19"/>
  <c r="A1941" i="19"/>
  <c r="A2491" i="19"/>
  <c r="A2047" i="19"/>
  <c r="A1755" i="19"/>
  <c r="A265" i="19"/>
  <c r="A272" i="19"/>
  <c r="A337" i="19"/>
  <c r="A523" i="19"/>
  <c r="A203" i="19"/>
  <c r="A1530" i="19"/>
  <c r="A1282" i="19"/>
  <c r="A1512" i="19"/>
  <c r="A544" i="19"/>
  <c r="A34" i="19"/>
  <c r="A2484" i="19"/>
  <c r="A1690" i="19"/>
  <c r="A237" i="19"/>
  <c r="A349" i="19"/>
  <c r="A651" i="19"/>
  <c r="A643" i="19"/>
  <c r="A364" i="19"/>
  <c r="A1945" i="19"/>
  <c r="A1274" i="19"/>
  <c r="A1811" i="19"/>
  <c r="A2112" i="19"/>
  <c r="A2028" i="19"/>
  <c r="A1859" i="19"/>
  <c r="A818" i="19"/>
  <c r="A1885" i="19"/>
  <c r="A27" i="19"/>
  <c r="A940" i="19"/>
  <c r="A1656" i="19"/>
  <c r="A2075" i="19"/>
  <c r="A2054" i="19"/>
  <c r="A119" i="19"/>
  <c r="A1702" i="19"/>
  <c r="A340" i="19"/>
  <c r="A2289" i="19"/>
  <c r="A692" i="19"/>
  <c r="A2497" i="19"/>
  <c r="A2252" i="19"/>
  <c r="A1962" i="19"/>
  <c r="A607" i="19"/>
  <c r="A1174" i="19"/>
  <c r="A6" i="19"/>
  <c r="A2639" i="19"/>
  <c r="A872" i="19"/>
  <c r="A1077" i="19"/>
  <c r="A2271" i="19"/>
  <c r="A2529" i="19"/>
  <c r="A1919" i="19"/>
  <c r="A1040" i="19"/>
  <c r="A2060" i="19"/>
  <c r="A954" i="19"/>
  <c r="A2052" i="19"/>
  <c r="A182" i="19"/>
  <c r="A65" i="19"/>
  <c r="A1889" i="19"/>
  <c r="A2477" i="19"/>
  <c r="A2379" i="19"/>
  <c r="A1374" i="19"/>
  <c r="A2232" i="19"/>
  <c r="A1185" i="19"/>
  <c r="A2250" i="19"/>
  <c r="A2343" i="19"/>
  <c r="A597" i="19"/>
  <c r="A309" i="19"/>
  <c r="A2365" i="19"/>
  <c r="A264" i="19"/>
  <c r="A2034" i="19"/>
  <c r="A1973" i="19"/>
  <c r="A2218" i="19"/>
  <c r="A563" i="19"/>
  <c r="A2063" i="19"/>
  <c r="A219" i="19"/>
  <c r="A1560" i="19"/>
  <c r="A1143" i="19"/>
  <c r="A1019" i="19"/>
  <c r="A2617" i="19"/>
  <c r="A770" i="19"/>
  <c r="A2527" i="19"/>
  <c r="A605" i="19"/>
  <c r="A1600" i="19"/>
  <c r="A1946" i="19"/>
  <c r="A275" i="19"/>
  <c r="A809" i="19"/>
  <c r="A2253" i="19"/>
  <c r="A1426" i="19"/>
  <c r="A749" i="19"/>
  <c r="A2008" i="19"/>
  <c r="A1564" i="19"/>
  <c r="A1156" i="19"/>
  <c r="A49" i="19"/>
  <c r="A2122" i="19"/>
  <c r="A664" i="19"/>
  <c r="A1547" i="19"/>
  <c r="A1524" i="19"/>
  <c r="A122" i="19"/>
  <c r="A2345" i="19"/>
  <c r="A2322" i="19"/>
  <c r="A1901" i="19"/>
  <c r="A845" i="19"/>
  <c r="A786" i="19"/>
  <c r="A979" i="19"/>
  <c r="A626" i="19"/>
  <c r="A123" i="19"/>
  <c r="A68" i="19"/>
  <c r="A721" i="19"/>
  <c r="A1436" i="19"/>
  <c r="A2490" i="19"/>
  <c r="A479" i="19"/>
  <c r="A1949" i="19"/>
  <c r="A2623" i="19"/>
  <c r="A1308" i="19"/>
  <c r="A1256" i="19"/>
  <c r="A1236" i="19"/>
  <c r="A688" i="19"/>
  <c r="A1782" i="19"/>
  <c r="A548" i="19"/>
  <c r="A2511" i="19"/>
  <c r="A1646" i="19"/>
  <c r="A329" i="19"/>
  <c r="A1399" i="19"/>
  <c r="A1581" i="19"/>
  <c r="A262" i="19"/>
  <c r="A2150" i="19"/>
  <c r="A2295" i="19"/>
  <c r="A168" i="19"/>
  <c r="A1618" i="19"/>
  <c r="A1842" i="19"/>
  <c r="A610" i="19"/>
  <c r="A1950" i="19"/>
  <c r="A2604" i="19"/>
  <c r="A1254" i="19"/>
  <c r="A1406" i="19"/>
  <c r="A1821" i="19"/>
  <c r="A1812" i="19"/>
  <c r="A316" i="19"/>
  <c r="A2404" i="19"/>
  <c r="A733" i="19"/>
  <c r="A2551" i="19"/>
  <c r="A933" i="19"/>
  <c r="A2498" i="19"/>
  <c r="A2352" i="19"/>
  <c r="A2590" i="19"/>
  <c r="A1132" i="19"/>
  <c r="A1597" i="19"/>
  <c r="A2133" i="19"/>
  <c r="A782" i="19"/>
  <c r="A1021" i="19"/>
  <c r="A387" i="19"/>
  <c r="A61" i="19"/>
  <c r="A1545" i="19"/>
  <c r="A1454" i="19"/>
  <c r="A267" i="19"/>
  <c r="A1899" i="19"/>
  <c r="A129" i="19"/>
  <c r="A1287" i="19"/>
  <c r="A2309" i="19"/>
  <c r="A204" i="19"/>
  <c r="A1780" i="19"/>
  <c r="A1744" i="19"/>
  <c r="A2111" i="19"/>
  <c r="A1163" i="19"/>
  <c r="A2085" i="19"/>
  <c r="A1104" i="19"/>
  <c r="A2159" i="19"/>
  <c r="A130" i="19"/>
  <c r="A2065" i="19"/>
  <c r="A1731" i="19"/>
  <c r="A1277" i="19"/>
  <c r="A1631" i="19"/>
  <c r="A1169" i="19"/>
  <c r="A2479" i="19"/>
  <c r="A1075" i="19"/>
  <c r="A1090" i="19"/>
  <c r="A889" i="19"/>
  <c r="A2597" i="19"/>
  <c r="A1614" i="19"/>
  <c r="A2494" i="19"/>
  <c r="A1682" i="19"/>
  <c r="A1368" i="19"/>
  <c r="A2461" i="19"/>
  <c r="A1029" i="19"/>
  <c r="A1829" i="19"/>
  <c r="A687" i="19"/>
  <c r="A1759" i="19"/>
  <c r="A163" i="19"/>
  <c r="A2171" i="19"/>
  <c r="A411" i="19"/>
  <c r="A111" i="19"/>
  <c r="A172" i="19"/>
  <c r="A843" i="19"/>
  <c r="A1672" i="19"/>
  <c r="A1108" i="19"/>
  <c r="A1241" i="19"/>
  <c r="A2641" i="19"/>
  <c r="A342" i="19"/>
  <c r="A2653" i="19"/>
  <c r="A1583" i="19"/>
  <c r="A2564" i="19"/>
  <c r="A598" i="19"/>
  <c r="A474" i="19"/>
  <c r="A128" i="19"/>
  <c r="A2106" i="19"/>
  <c r="A2203" i="19"/>
  <c r="A1595" i="19"/>
  <c r="A2389" i="19"/>
  <c r="A1186" i="19"/>
  <c r="A2174" i="19"/>
  <c r="A1170" i="19"/>
  <c r="A525" i="19"/>
  <c r="A1940" i="19"/>
  <c r="A94" i="19"/>
  <c r="A1588" i="19"/>
  <c r="A2412" i="19"/>
  <c r="A2050" i="19"/>
  <c r="A1385" i="19"/>
  <c r="A2393" i="19"/>
  <c r="A2266" i="19"/>
  <c r="A1484" i="19"/>
  <c r="A1534" i="19"/>
  <c r="A1258" i="19"/>
  <c r="A85" i="19"/>
  <c r="A2267" i="19"/>
  <c r="A765" i="19"/>
  <c r="A1088" i="19"/>
  <c r="A2149" i="19"/>
  <c r="A120" i="19"/>
  <c r="A1890" i="19"/>
  <c r="A307" i="19"/>
  <c r="A1074" i="19"/>
  <c r="A118" i="19"/>
  <c r="A798" i="19"/>
  <c r="A2644" i="19"/>
  <c r="A18" i="19"/>
  <c r="A497" i="19"/>
  <c r="A300" i="19"/>
  <c r="A1952" i="19"/>
  <c r="A1931" i="19"/>
  <c r="A1572" i="19"/>
  <c r="A1336" i="19"/>
  <c r="A1024" i="19"/>
  <c r="A1107" i="19"/>
  <c r="A2286" i="19"/>
  <c r="A1329" i="19"/>
  <c r="A1320" i="19"/>
  <c r="A732" i="19"/>
  <c r="A492" i="19"/>
  <c r="A1049" i="19"/>
  <c r="A1820" i="19"/>
  <c r="A1627" i="19"/>
  <c r="A1713" i="19"/>
  <c r="A1115" i="19"/>
  <c r="A217" i="19"/>
  <c r="A2030" i="19"/>
  <c r="A96" i="19"/>
  <c r="A2176" i="19"/>
  <c r="A846" i="19"/>
  <c r="A1069" i="19"/>
  <c r="A1953" i="19"/>
  <c r="A31" i="19"/>
  <c r="A787" i="19"/>
  <c r="A1125" i="19"/>
  <c r="A1964" i="19"/>
  <c r="A1641" i="19"/>
  <c r="A2101" i="19"/>
  <c r="A2164" i="19"/>
  <c r="A2001" i="19"/>
  <c r="A1817" i="19"/>
  <c r="A1463" i="19"/>
  <c r="A1022" i="19"/>
  <c r="A1045" i="19"/>
  <c r="A853" i="19"/>
  <c r="A101" i="19"/>
  <c r="A153" i="19"/>
  <c r="A152" i="19"/>
  <c r="A1824" i="19"/>
  <c r="A1905" i="19"/>
  <c r="A1083" i="19"/>
  <c r="A1620" i="19"/>
  <c r="A700" i="19"/>
  <c r="A1109" i="19"/>
  <c r="A214" i="19"/>
  <c r="A2613" i="19"/>
  <c r="A1159" i="19"/>
  <c r="A1457" i="19"/>
  <c r="A83" i="19"/>
  <c r="A1678" i="19"/>
  <c r="A1205" i="19"/>
  <c r="A1605" i="19"/>
  <c r="A431" i="19"/>
  <c r="A320" i="19"/>
  <c r="A1968" i="19"/>
  <c r="A1187" i="19"/>
  <c r="A901" i="19"/>
  <c r="A911" i="19"/>
  <c r="A2589" i="19"/>
  <c r="A209" i="19"/>
  <c r="A287" i="19"/>
  <c r="A77" i="19"/>
  <c r="A1929" i="19"/>
  <c r="A1669" i="19"/>
  <c r="A1864" i="19"/>
  <c r="A1856" i="19"/>
  <c r="A820" i="19"/>
  <c r="A1330" i="19"/>
  <c r="A2503" i="19"/>
  <c r="A114" i="19"/>
  <c r="A1250" i="19"/>
  <c r="A2330" i="19"/>
  <c r="A745" i="19"/>
  <c r="A477" i="19"/>
  <c r="A1446" i="19"/>
  <c r="A2364" i="19"/>
  <c r="A2125" i="19"/>
  <c r="A433" i="19"/>
  <c r="A1933" i="19"/>
  <c r="A660" i="19"/>
  <c r="A699" i="19"/>
  <c r="A2433" i="19"/>
  <c r="A256" i="19"/>
  <c r="A783" i="19"/>
  <c r="A758" i="19"/>
  <c r="A482" i="19"/>
  <c r="A308" i="19"/>
  <c r="A735" i="19"/>
  <c r="A1464" i="19"/>
  <c r="A1372" i="19"/>
  <c r="A594" i="19"/>
  <c r="A738" i="19"/>
  <c r="A2003" i="19"/>
  <c r="A222" i="19"/>
  <c r="A2615" i="19"/>
  <c r="A1589" i="19"/>
  <c r="A2061" i="19"/>
  <c r="A2570" i="19"/>
  <c r="A1939" i="19"/>
  <c r="A2632" i="19"/>
  <c r="A1805" i="19"/>
  <c r="A1915" i="19"/>
  <c r="A2048" i="19"/>
  <c r="A1332" i="19"/>
  <c r="A1517" i="19"/>
  <c r="A2049" i="19"/>
  <c r="A1166" i="19"/>
  <c r="A2586" i="19"/>
  <c r="A1918" i="19"/>
  <c r="A2452" i="19"/>
  <c r="A223" i="19"/>
  <c r="A146" i="19"/>
  <c r="A141" i="19"/>
  <c r="A257" i="19"/>
  <c r="A1767" i="19"/>
  <c r="A2507" i="19"/>
  <c r="A914" i="19"/>
  <c r="A662" i="19"/>
  <c r="A188" i="19"/>
  <c r="A1120" i="19"/>
  <c r="A2329" i="19"/>
  <c r="A1934" i="19"/>
  <c r="A1839" i="19"/>
  <c r="A1145" i="19"/>
  <c r="A1023" i="19"/>
  <c r="A588" i="19"/>
  <c r="A454" i="19"/>
  <c r="A1136" i="19"/>
  <c r="A466" i="19"/>
  <c r="A801" i="19"/>
  <c r="A1846" i="19"/>
  <c r="A654" i="19"/>
  <c r="A279" i="19"/>
  <c r="A1459" i="19"/>
  <c r="A1114" i="19"/>
  <c r="A2199" i="19"/>
  <c r="A926" i="19"/>
  <c r="A2115" i="19"/>
  <c r="A1020" i="19"/>
  <c r="A2541" i="19"/>
  <c r="A2223" i="19"/>
  <c r="A1758" i="19"/>
  <c r="A1361" i="19"/>
  <c r="A43" i="19"/>
  <c r="A1648" i="19"/>
  <c r="A1135" i="19"/>
  <c r="A344" i="19"/>
  <c r="A289" i="19"/>
  <c r="A430" i="19"/>
  <c r="A1411" i="19"/>
  <c r="A1917" i="19"/>
  <c r="A314" i="19"/>
  <c r="A2473" i="19"/>
  <c r="A2515" i="19"/>
  <c r="A785" i="19"/>
  <c r="A2303" i="19"/>
  <c r="A2528" i="19"/>
  <c r="A908" i="19"/>
  <c r="A1359" i="19"/>
  <c r="A2167" i="19"/>
  <c r="A1826" i="19"/>
  <c r="A147" i="19"/>
  <c r="A1582" i="19"/>
  <c r="A1861" i="19"/>
  <c r="A2553" i="19"/>
  <c r="A768" i="19"/>
  <c r="A2453" i="19"/>
  <c r="A704" i="19"/>
  <c r="A1097" i="19"/>
  <c r="A1047" i="19"/>
  <c r="A278" i="19"/>
  <c r="A2163" i="19"/>
  <c r="A636" i="19"/>
  <c r="A1451" i="19"/>
  <c r="A1378" i="19"/>
  <c r="A1685" i="19"/>
  <c r="A909" i="19"/>
  <c r="A1315" i="19"/>
  <c r="A2273" i="19"/>
  <c r="A1240" i="19"/>
  <c r="A2556" i="19"/>
  <c r="A1230" i="19"/>
  <c r="A2059" i="19"/>
  <c r="A2275" i="19"/>
  <c r="A294" i="19"/>
  <c r="A1358" i="19"/>
  <c r="A2024" i="19"/>
  <c r="A702" i="19"/>
  <c r="A1542" i="19"/>
  <c r="A2596" i="19"/>
  <c r="A347" i="19"/>
  <c r="A1732" i="19"/>
  <c r="A2204" i="19"/>
  <c r="A514" i="19"/>
  <c r="A2535" i="19"/>
  <c r="A2259" i="19"/>
  <c r="A1371" i="19"/>
  <c r="A2408" i="19"/>
  <c r="A1498" i="19"/>
  <c r="A2231" i="19"/>
  <c r="A327" i="19"/>
  <c r="A192" i="19"/>
  <c r="A1704" i="19"/>
  <c r="A132" i="19"/>
  <c r="A1794" i="19"/>
  <c r="A2648" i="19"/>
  <c r="A115" i="19"/>
  <c r="A494" i="19"/>
  <c r="A1076" i="19"/>
  <c r="A967" i="19"/>
  <c r="A852" i="19"/>
  <c r="A2221" i="19"/>
  <c r="A2350" i="19"/>
  <c r="A2093" i="19"/>
  <c r="A2327" i="19"/>
  <c r="A531" i="19"/>
  <c r="A753" i="19"/>
  <c r="A519" i="19"/>
  <c r="A2299" i="19"/>
  <c r="A1624" i="19"/>
  <c r="A1139" i="19"/>
  <c r="A985" i="19"/>
  <c r="A46" i="19"/>
  <c r="A1242" i="19"/>
  <c r="A1404" i="19"/>
  <c r="A1173" i="19"/>
  <c r="A2610" i="19"/>
  <c r="A2058" i="19"/>
  <c r="A1042" i="19"/>
  <c r="A917" i="19"/>
  <c r="A393" i="19"/>
  <c r="A1172" i="19"/>
  <c r="A2552" i="19"/>
  <c r="A1066" i="19"/>
  <c r="A99" i="19"/>
  <c r="A1666" i="19"/>
  <c r="A336" i="19"/>
  <c r="A2496" i="19"/>
  <c r="A1366" i="19"/>
  <c r="A1943" i="19"/>
  <c r="A245" i="19"/>
  <c r="A2359" i="19"/>
  <c r="A491" i="19"/>
  <c r="A125" i="19"/>
  <c r="A362" i="19"/>
  <c r="A1313" i="19"/>
  <c r="A2200" i="19"/>
  <c r="A2628" i="19"/>
  <c r="A506" i="19"/>
  <c r="A2599" i="19"/>
  <c r="A2256" i="19"/>
  <c r="A717" i="19"/>
  <c r="A1087" i="19"/>
  <c r="A1354" i="19"/>
  <c r="A212" i="19"/>
  <c r="A5" i="19"/>
  <c r="A2139" i="19"/>
  <c r="A1154" i="19"/>
  <c r="A1318" i="19"/>
  <c r="A2426" i="19"/>
  <c r="A1105" i="19"/>
  <c r="A821" i="19"/>
  <c r="A1506" i="19"/>
  <c r="A2222" i="19"/>
  <c r="A2202" i="19"/>
  <c r="A310" i="19"/>
  <c r="A2482" i="19"/>
  <c r="A1653" i="19"/>
  <c r="A1705" i="19"/>
  <c r="A1838" i="19"/>
  <c r="A2462" i="19"/>
  <c r="A1352" i="19"/>
  <c r="A1865" i="19"/>
  <c r="A536" i="19"/>
  <c r="A21" i="19"/>
  <c r="A1285" i="19"/>
  <c r="A1765" i="19"/>
  <c r="A2156" i="19"/>
  <c r="A623" i="19"/>
  <c r="A269" i="19"/>
  <c r="A1119" i="19"/>
  <c r="A2357" i="19"/>
  <c r="A897" i="19"/>
  <c r="A1577" i="19"/>
  <c r="A752" i="19"/>
  <c r="A1410" i="19"/>
  <c r="A710" i="19"/>
  <c r="A1739" i="19"/>
  <c r="A460" i="19"/>
  <c r="A2276" i="19"/>
  <c r="A1356" i="19"/>
  <c r="A235" i="19"/>
  <c r="A1800" i="19"/>
  <c r="A2367" i="19"/>
  <c r="A1645" i="19"/>
  <c r="A863" i="19"/>
  <c r="A1278" i="19"/>
  <c r="A1389" i="19"/>
  <c r="A151" i="19"/>
  <c r="A2533" i="19"/>
  <c r="A1033" i="19"/>
  <c r="A723" i="19"/>
  <c r="A913" i="19"/>
  <c r="A2041" i="19"/>
  <c r="A959" i="19"/>
  <c r="A1367" i="19"/>
  <c r="A1255" i="19"/>
  <c r="A2624" i="19"/>
  <c r="A1314" i="19"/>
  <c r="A2432" i="19"/>
  <c r="A1341" i="19"/>
  <c r="A1082" i="19"/>
  <c r="A1681" i="19"/>
  <c r="A252" i="19"/>
  <c r="A412" i="19"/>
  <c r="A1752" i="19"/>
  <c r="A1613" i="19"/>
  <c r="A1785" i="19"/>
  <c r="A1734" i="19"/>
  <c r="A504" i="19"/>
  <c r="A743" i="19"/>
  <c r="A527" i="19"/>
  <c r="A1343" i="19"/>
  <c r="A975" i="19"/>
  <c r="A1272" i="19"/>
  <c r="A1065" i="19"/>
  <c r="A1037" i="19"/>
  <c r="A1208" i="19"/>
  <c r="A131" i="19"/>
  <c r="A891" i="19"/>
  <c r="A1907" i="19"/>
  <c r="A1056" i="19"/>
  <c r="A2569" i="19"/>
  <c r="A1197" i="19"/>
  <c r="A1741" i="19"/>
  <c r="A1900" i="19"/>
  <c r="A1845" i="19"/>
  <c r="A1684" i="19"/>
  <c r="A292" i="19"/>
  <c r="A207" i="19"/>
  <c r="A1008" i="19"/>
  <c r="A1492" i="19"/>
  <c r="A1113" i="19"/>
  <c r="A1788" i="19"/>
  <c r="A13" i="19"/>
  <c r="A590" i="19"/>
  <c r="A2017" i="19"/>
  <c r="A2241" i="19"/>
  <c r="A1012" i="19"/>
  <c r="A1847" i="19"/>
  <c r="A2399" i="19"/>
  <c r="A624" i="19"/>
  <c r="A1616" i="19"/>
  <c r="A1736" i="19"/>
  <c r="A2338" i="19"/>
  <c r="A343" i="19"/>
  <c r="A432" i="19"/>
  <c r="A882" i="19"/>
  <c r="A1858" i="19"/>
  <c r="A1334" i="19"/>
  <c r="A907" i="19"/>
  <c r="A983" i="19"/>
  <c r="A1232" i="19"/>
  <c r="A2336" i="19"/>
  <c r="A2321" i="19"/>
  <c r="A513" i="19"/>
  <c r="A1004" i="19"/>
  <c r="A425" i="19"/>
  <c r="A331" i="19"/>
  <c r="A1439" i="19"/>
  <c r="A1790" i="19"/>
  <c r="A538" i="19"/>
  <c r="A802" i="19"/>
  <c r="A2307" i="19"/>
  <c r="A2457" i="19"/>
  <c r="A419" i="19"/>
  <c r="A1815" i="19"/>
  <c r="A871" i="19"/>
  <c r="A1724" i="19"/>
  <c r="A1496" i="19"/>
  <c r="A239" i="19"/>
  <c r="A616" i="19"/>
  <c r="A628" i="19"/>
  <c r="A1202" i="19"/>
  <c r="A679" i="19"/>
  <c r="A915" i="19"/>
  <c r="A398" i="19"/>
  <c r="A755" i="19"/>
  <c r="A2245" i="19"/>
  <c r="A1866" i="19"/>
  <c r="A1988" i="19"/>
  <c r="A140" i="19"/>
  <c r="A305" i="19"/>
  <c r="A1302" i="19"/>
  <c r="A1060" i="19"/>
  <c r="A461" i="19"/>
  <c r="A1184" i="19"/>
  <c r="A1843" i="19"/>
  <c r="A100" i="19"/>
  <c r="A1153" i="19"/>
  <c r="A449" i="19"/>
  <c r="A1307" i="19"/>
  <c r="A1010" i="19"/>
  <c r="A2235" i="19"/>
  <c r="A2290" i="19"/>
  <c r="A348" i="19"/>
  <c r="A1286" i="19"/>
  <c r="A1938" i="19"/>
  <c r="A1362" i="19"/>
  <c r="A1165" i="19"/>
  <c r="A2579" i="19"/>
  <c r="A962" i="19"/>
  <c r="A231" i="19"/>
  <c r="A836" i="19"/>
  <c r="A503" i="19"/>
  <c r="A1257" i="19"/>
  <c r="A2072" i="19"/>
  <c r="A1219" i="19"/>
  <c r="A1190" i="19"/>
  <c r="A600" i="19"/>
  <c r="A1536" i="19"/>
  <c r="A2594" i="19"/>
  <c r="A1401" i="19"/>
  <c r="A603" i="19"/>
  <c r="A1886" i="19"/>
  <c r="A2378" i="19"/>
  <c r="A390" i="19"/>
  <c r="A465" i="19"/>
  <c r="A790" i="19"/>
  <c r="A2136" i="19"/>
  <c r="A939" i="19"/>
  <c r="A2418" i="19"/>
  <c r="A698" i="19"/>
  <c r="A655" i="19"/>
  <c r="A1621" i="19"/>
  <c r="A2625" i="19"/>
  <c r="A2508" i="19"/>
  <c r="A1216" i="19"/>
  <c r="A1007" i="19"/>
  <c r="A1807" i="19"/>
  <c r="A317" i="19"/>
  <c r="A984" i="19"/>
  <c r="A2301" i="19"/>
  <c r="A794" i="19"/>
  <c r="A696" i="19"/>
  <c r="A2413" i="19"/>
  <c r="A1252" i="19"/>
  <c r="A2126" i="19"/>
  <c r="A2603" i="19"/>
  <c r="A19" i="19"/>
  <c r="A1526" i="19"/>
  <c r="A2609" i="19"/>
  <c r="A201" i="19"/>
  <c r="A2371" i="19"/>
  <c r="A1447" i="19"/>
  <c r="A2102" i="19"/>
  <c r="A2568" i="19"/>
  <c r="A980" i="19"/>
  <c r="A1147" i="19"/>
  <c r="A2643" i="19"/>
  <c r="A827" i="19"/>
  <c r="A1494" i="19"/>
  <c r="A2313" i="19"/>
  <c r="A303" i="19"/>
  <c r="A2103" i="19"/>
  <c r="A1658" i="19"/>
  <c r="A1875" i="19"/>
  <c r="A1881" i="19"/>
  <c r="A537" i="19"/>
  <c r="A557" i="19"/>
  <c r="A72" i="19"/>
  <c r="A1018" i="19"/>
  <c r="A2627" i="19"/>
  <c r="A1956" i="19"/>
  <c r="A2186" i="19"/>
  <c r="A1603" i="19"/>
  <c r="A2598" i="19"/>
  <c r="A1199" i="19"/>
  <c r="A1880" i="19"/>
  <c r="A1373" i="19"/>
  <c r="A2534" i="19"/>
  <c r="A684" i="19"/>
  <c r="A295" i="19"/>
  <c r="A1639" i="19"/>
  <c r="A2416" i="19"/>
  <c r="A2178" i="19"/>
  <c r="A1348" i="19"/>
  <c r="A2546" i="19"/>
  <c r="A689" i="19"/>
  <c r="A1164" i="19"/>
  <c r="A1981" i="19"/>
  <c r="A560" i="19"/>
  <c r="A1698" i="19"/>
  <c r="A1342" i="19"/>
  <c r="A1874" i="19"/>
  <c r="A475" i="19"/>
  <c r="A416" i="19"/>
  <c r="A2448" i="19"/>
  <c r="A2362" i="19"/>
  <c r="A2044" i="19"/>
  <c r="A1207" i="19"/>
  <c r="A1746" i="19"/>
  <c r="A1068" i="19"/>
  <c r="A2638" i="19"/>
  <c r="A667" i="19"/>
  <c r="A2475" i="19"/>
  <c r="A489" i="19"/>
  <c r="A2057" i="19"/>
  <c r="A982" i="19"/>
  <c r="A1976" i="19"/>
  <c r="A781" i="19"/>
  <c r="A2317" i="19"/>
  <c r="A2277" i="19"/>
  <c r="A1228" i="19"/>
  <c r="A183" i="19"/>
  <c r="A194" i="19"/>
  <c r="A676" i="19"/>
  <c r="A1977" i="19"/>
  <c r="A440" i="19"/>
  <c r="A1960" i="19"/>
  <c r="A1515" i="19"/>
  <c r="A326" i="19"/>
  <c r="A1048" i="19"/>
  <c r="A1419" i="19"/>
  <c r="A1927" i="19"/>
  <c r="A686" i="19"/>
  <c r="A1491" i="19"/>
  <c r="A2521" i="19"/>
  <c r="A895" i="19"/>
  <c r="A1932" i="19"/>
  <c r="A665" i="19"/>
  <c r="A1570" i="19"/>
  <c r="A1397" i="19"/>
  <c r="A2193" i="19"/>
  <c r="A1691" i="19"/>
  <c r="A1670" i="19"/>
  <c r="A1086" i="19"/>
  <c r="A1957" i="19"/>
  <c r="A1629" i="19"/>
  <c r="A1712" i="19"/>
  <c r="A968" i="19"/>
  <c r="A1514" i="19"/>
  <c r="A1471" i="19"/>
  <c r="A104" i="19"/>
  <c r="A1955" i="19"/>
  <c r="A746" i="19"/>
  <c r="A1425" i="19"/>
  <c r="A734" i="19"/>
  <c r="A896" i="19"/>
  <c r="A964" i="19"/>
  <c r="A578" i="19"/>
  <c r="A1593" i="19"/>
  <c r="A1482" i="19"/>
  <c r="A2326" i="19"/>
  <c r="A1262" i="19"/>
  <c r="A250" i="19"/>
  <c r="A47" i="19"/>
  <c r="A2558" i="19"/>
  <c r="A1035" i="19"/>
  <c r="A220" i="19"/>
  <c r="A1289" i="19"/>
  <c r="A2038" i="19"/>
  <c r="A637" i="19"/>
  <c r="A1070" i="19"/>
  <c r="A1118" i="19"/>
  <c r="A944" i="19"/>
  <c r="A2335" i="19"/>
  <c r="A57" i="19"/>
  <c r="A526" i="19"/>
  <c r="A867" i="19"/>
  <c r="A2161" i="19"/>
  <c r="A352" i="19"/>
  <c r="A277" i="19"/>
  <c r="A2300" i="19"/>
  <c r="A1638" i="19"/>
  <c r="A1294" i="19"/>
  <c r="A2381" i="19"/>
  <c r="A1575" i="19"/>
  <c r="A15" i="19"/>
  <c r="A2443" i="19"/>
  <c r="A1006" i="19"/>
  <c r="A1456" i="19"/>
  <c r="A1769" i="19"/>
  <c r="A385" i="19"/>
  <c r="A467" i="19"/>
  <c r="A2380" i="19"/>
  <c r="A1103" i="19"/>
  <c r="A2077" i="19"/>
  <c r="A2129" i="19"/>
  <c r="A1819" i="19"/>
  <c r="A1936" i="19"/>
  <c r="A1044" i="19"/>
  <c r="A3" i="19"/>
  <c r="A60" i="19"/>
  <c r="A2410" i="19"/>
  <c r="A2042" i="19"/>
  <c r="A488" i="19"/>
  <c r="A323" i="19"/>
  <c r="A572" i="19"/>
  <c r="A1990" i="19"/>
  <c r="A266" i="19"/>
  <c r="A2251" i="19"/>
  <c r="A282" i="19"/>
  <c r="A2344" i="19"/>
  <c r="A581" i="19"/>
  <c r="A1571" i="19"/>
  <c r="A1833" i="19"/>
  <c r="A127" i="19"/>
  <c r="A2229" i="19"/>
  <c r="A139" i="19"/>
  <c r="A117" i="19"/>
  <c r="A88" i="19"/>
  <c r="A2437" i="19"/>
  <c r="A2091" i="19"/>
  <c r="A1235" i="19"/>
  <c r="A916" i="19"/>
  <c r="A2285" i="19"/>
  <c r="A2469" i="19"/>
  <c r="A2022" i="19"/>
  <c r="A731" i="19"/>
  <c r="A1415" i="19"/>
  <c r="A93" i="19"/>
  <c r="A339" i="19"/>
  <c r="A1701" i="19"/>
  <c r="A2119" i="19"/>
  <c r="A2576" i="19"/>
  <c r="A377" i="19"/>
  <c r="A729" i="19"/>
  <c r="A124" i="19"/>
  <c r="A403" i="19"/>
  <c r="A1993" i="19"/>
  <c r="A2388" i="19"/>
  <c r="A14" i="19"/>
  <c r="A589" i="19"/>
  <c r="A1606" i="19"/>
  <c r="A1323" i="19"/>
  <c r="A1233" i="19"/>
  <c r="A1280" i="19"/>
  <c r="A2634" i="19"/>
  <c r="A2375" i="19"/>
  <c r="A110" i="19"/>
  <c r="A957" i="19"/>
  <c r="A2358" i="19"/>
  <c r="A451" i="19"/>
  <c r="A1497" i="19"/>
  <c r="A2080" i="19"/>
  <c r="A703" i="19"/>
  <c r="A1264" i="19"/>
  <c r="A8" i="19"/>
  <c r="A1387" i="19"/>
  <c r="A1499" i="19"/>
  <c r="A1284" i="19"/>
  <c r="A995" i="19"/>
  <c r="A2233" i="19"/>
  <c r="A71" i="19"/>
  <c r="A376" i="19"/>
  <c r="A1253" i="19"/>
  <c r="A103" i="19"/>
  <c r="A361" i="19"/>
  <c r="A866" i="19"/>
  <c r="A162" i="19"/>
  <c r="A169" i="19"/>
  <c r="A1363" i="19"/>
  <c r="A2135" i="19"/>
  <c r="A87" i="19"/>
  <c r="A792" i="19"/>
  <c r="A407" i="19"/>
  <c r="A1849" i="19"/>
  <c r="A373" i="19"/>
  <c r="A208" i="19"/>
  <c r="A97" i="19"/>
  <c r="A23" i="19"/>
  <c r="A647" i="19"/>
  <c r="A927" i="19"/>
  <c r="A587" i="19"/>
  <c r="A1689" i="19"/>
  <c r="A1445" i="19"/>
  <c r="A1475" i="19"/>
  <c r="A2191" i="19"/>
  <c r="A2382" i="19"/>
  <c r="A1073" i="19"/>
  <c r="A638" i="19"/>
  <c r="A476" i="19"/>
  <c r="A1801" i="19"/>
  <c r="A365" i="19"/>
  <c r="A1251" i="19"/>
  <c r="A965" i="19"/>
  <c r="A1902" i="19"/>
  <c r="A1430" i="19"/>
  <c r="A789" i="19"/>
  <c r="A372" i="19"/>
  <c r="A1030" i="19"/>
  <c r="A1898" i="19"/>
  <c r="A769" i="19"/>
  <c r="A424" i="19"/>
  <c r="A1059" i="19"/>
  <c r="A75" i="19"/>
  <c r="A2351" i="19"/>
  <c r="A567" i="19"/>
  <c r="A1353" i="19"/>
  <c r="A324" i="19"/>
  <c r="A2584" i="19"/>
  <c r="A1740" i="19"/>
  <c r="A2450" i="19"/>
  <c r="A543" i="19"/>
  <c r="A1382" i="19"/>
  <c r="A1925" i="19"/>
  <c r="A606" i="19"/>
  <c r="A1879" i="19"/>
  <c r="A1326" i="19"/>
  <c r="A107" i="19"/>
  <c r="A2207" i="19"/>
  <c r="A1480" i="19"/>
  <c r="A1263" i="19"/>
  <c r="A1994" i="19"/>
  <c r="A1072" i="19"/>
  <c r="A229" i="19"/>
  <c r="A2246" i="19"/>
  <c r="A2033" i="19"/>
  <c r="A2074" i="19"/>
  <c r="A1124" i="19"/>
  <c r="A725" i="19"/>
  <c r="A2383" i="19"/>
  <c r="A2" i="19"/>
  <c r="C534" i="19" l="1"/>
  <c r="H534" i="19" s="1"/>
  <c r="G534" i="19" s="1"/>
  <c r="E581" i="19"/>
  <c r="C1486" i="19"/>
  <c r="H1486" i="19" s="1"/>
  <c r="D1716" i="19"/>
  <c r="I1716" i="19" s="1"/>
  <c r="U8" i="8"/>
  <c r="T15" i="8"/>
  <c r="N6" i="7"/>
  <c r="E2106" i="23" s="1"/>
  <c r="N18" i="7"/>
  <c r="E2118" i="23" s="1"/>
  <c r="N32" i="7"/>
  <c r="E2132" i="23" s="1"/>
  <c r="D850" i="19"/>
  <c r="I850" i="19" s="1"/>
  <c r="D866" i="19"/>
  <c r="I866" i="19" s="1"/>
  <c r="U19" i="9"/>
  <c r="I37" i="9"/>
  <c r="D2325" i="23" s="1"/>
  <c r="I4" i="15"/>
  <c r="D531" i="23" s="1"/>
  <c r="T8" i="15"/>
  <c r="U19" i="15"/>
  <c r="N17" i="13"/>
  <c r="E2681" i="23" s="1"/>
  <c r="U18" i="14"/>
  <c r="U32" i="14"/>
  <c r="N40" i="12"/>
  <c r="E2610" i="23" s="1"/>
  <c r="D519" i="19"/>
  <c r="I519" i="19" s="1"/>
  <c r="N20" i="6"/>
  <c r="E2026" i="23" s="1"/>
  <c r="I15" i="8"/>
  <c r="D2209" i="23" s="1"/>
  <c r="O6" i="7"/>
  <c r="S35" i="7"/>
  <c r="O26" i="10"/>
  <c r="I7" i="12"/>
  <c r="D2577" i="23" s="1"/>
  <c r="O9" i="9"/>
  <c r="I29" i="11"/>
  <c r="D2505" i="23" s="1"/>
  <c r="O35" i="11"/>
  <c r="U39" i="11"/>
  <c r="J52" i="28"/>
  <c r="O11" i="15"/>
  <c r="U16" i="15"/>
  <c r="N18" i="14"/>
  <c r="E2777" i="23" s="1"/>
  <c r="O25" i="8"/>
  <c r="N19" i="10"/>
  <c r="E2401" i="23" s="1"/>
  <c r="J7" i="12"/>
  <c r="U16" i="9"/>
  <c r="S30" i="9"/>
  <c r="I15" i="11"/>
  <c r="D2491" i="23" s="1"/>
  <c r="J43" i="11"/>
  <c r="O30" i="28"/>
  <c r="O26" i="13"/>
  <c r="N46" i="13"/>
  <c r="E2710" i="23" s="1"/>
  <c r="O18" i="14"/>
  <c r="E893" i="19"/>
  <c r="O48" i="2"/>
  <c r="E1411" i="23" s="1"/>
  <c r="O39" i="11"/>
  <c r="S30" i="28"/>
  <c r="S4" i="15"/>
  <c r="O16" i="15"/>
  <c r="S26" i="13"/>
  <c r="C737" i="19"/>
  <c r="H737" i="19" s="1"/>
  <c r="C1254" i="19"/>
  <c r="H1254" i="19" s="1"/>
  <c r="I29" i="6"/>
  <c r="D2035" i="23" s="1"/>
  <c r="D1025" i="19"/>
  <c r="I1025" i="19" s="1"/>
  <c r="O19" i="10"/>
  <c r="N7" i="12"/>
  <c r="E2577" i="23" s="1"/>
  <c r="N26" i="12"/>
  <c r="E2596" i="23" s="1"/>
  <c r="O5" i="11"/>
  <c r="T33" i="11"/>
  <c r="S39" i="11"/>
  <c r="N52" i="28"/>
  <c r="E757" i="23" s="1"/>
  <c r="O8" i="15"/>
  <c r="U26" i="13"/>
  <c r="O46" i="13"/>
  <c r="N24" i="16"/>
  <c r="M20" i="17"/>
  <c r="E2975" i="23" s="1"/>
  <c r="J9" i="18"/>
  <c r="E2984" i="23" s="1"/>
  <c r="Q50" i="18"/>
  <c r="E1187" i="23" s="1"/>
  <c r="E737" i="19"/>
  <c r="D480" i="19"/>
  <c r="I480" i="19" s="1"/>
  <c r="N30" i="5"/>
  <c r="E1942" i="23" s="1"/>
  <c r="N10" i="7"/>
  <c r="E2110" i="23" s="1"/>
  <c r="D1202" i="19"/>
  <c r="I1202" i="19" s="1"/>
  <c r="S5" i="11"/>
  <c r="N8" i="13"/>
  <c r="E2672" i="23" s="1"/>
  <c r="N33" i="14"/>
  <c r="E2792" i="23" s="1"/>
  <c r="N34" i="16"/>
  <c r="E2903" i="23" s="1"/>
  <c r="C906" i="19"/>
  <c r="H906" i="19" s="1"/>
  <c r="C727" i="19"/>
  <c r="H727" i="19" s="1"/>
  <c r="E1905" i="19"/>
  <c r="J5" i="11"/>
  <c r="U33" i="6"/>
  <c r="S7" i="12"/>
  <c r="R35" i="9"/>
  <c r="U19" i="7"/>
  <c r="O24" i="10"/>
  <c r="D697" i="19"/>
  <c r="I697" i="19" s="1"/>
  <c r="O7" i="10"/>
  <c r="S43" i="11"/>
  <c r="D2114" i="19"/>
  <c r="I2114" i="19" s="1"/>
  <c r="C839" i="19"/>
  <c r="H839" i="19" s="1"/>
  <c r="S40" i="2"/>
  <c r="E1453" i="23" s="1"/>
  <c r="D532" i="19"/>
  <c r="I532" i="19" s="1"/>
  <c r="O21" i="6"/>
  <c r="S47" i="8"/>
  <c r="S30" i="7"/>
  <c r="O33" i="7"/>
  <c r="I40" i="7"/>
  <c r="D2140" i="23" s="1"/>
  <c r="D863" i="19"/>
  <c r="I863" i="19" s="1"/>
  <c r="N39" i="10"/>
  <c r="E2421" i="23" s="1"/>
  <c r="D1254" i="19"/>
  <c r="I1254" i="19" s="1"/>
  <c r="U35" i="12"/>
  <c r="N10" i="9"/>
  <c r="E2298" i="23" s="1"/>
  <c r="U24" i="9"/>
  <c r="U22" i="11"/>
  <c r="U30" i="11"/>
  <c r="U43" i="11"/>
  <c r="O19" i="28"/>
  <c r="D2102" i="19"/>
  <c r="I2102" i="19" s="1"/>
  <c r="S20" i="15"/>
  <c r="O15" i="13"/>
  <c r="I28" i="14"/>
  <c r="R30" i="14"/>
  <c r="N74" i="16"/>
  <c r="E2942" i="23" s="1"/>
  <c r="J13" i="11"/>
  <c r="M46" i="15"/>
  <c r="O8" i="28"/>
  <c r="N16" i="28"/>
  <c r="E655" i="23" s="1"/>
  <c r="S19" i="28"/>
  <c r="S28" i="28"/>
  <c r="S19" i="14"/>
  <c r="N30" i="16"/>
  <c r="E2899" i="23" s="1"/>
  <c r="D722" i="19"/>
  <c r="I722" i="19" s="1"/>
  <c r="U4" i="5"/>
  <c r="R7" i="12"/>
  <c r="O43" i="11"/>
  <c r="S47" i="7"/>
  <c r="O14" i="10"/>
  <c r="O31" i="9"/>
  <c r="U35" i="9"/>
  <c r="S42" i="9"/>
  <c r="O9" i="11"/>
  <c r="O33" i="11"/>
  <c r="S8" i="28"/>
  <c r="O37" i="13"/>
  <c r="J24" i="18"/>
  <c r="C734" i="19"/>
  <c r="H734" i="19" s="1"/>
  <c r="E2219" i="19"/>
  <c r="O4" i="7"/>
  <c r="S10" i="7"/>
  <c r="O16" i="7"/>
  <c r="S21" i="6"/>
  <c r="O33" i="6"/>
  <c r="N36" i="7"/>
  <c r="E2136" i="23" s="1"/>
  <c r="O47" i="7"/>
  <c r="U9" i="5"/>
  <c r="O12" i="5"/>
  <c r="R12" i="5"/>
  <c r="N38" i="5"/>
  <c r="E1950" i="23" s="1"/>
  <c r="I22" i="6"/>
  <c r="D2028" i="23" s="1"/>
  <c r="I41" i="6"/>
  <c r="D2047" i="23" s="1"/>
  <c r="I24" i="8"/>
  <c r="D2218" i="23" s="1"/>
  <c r="U26" i="8"/>
  <c r="D777" i="19"/>
  <c r="I777" i="19" s="1"/>
  <c r="U14" i="10"/>
  <c r="U42" i="9"/>
  <c r="N26" i="11"/>
  <c r="E2502" i="23" s="1"/>
  <c r="T6" i="28"/>
  <c r="S37" i="13"/>
  <c r="R51" i="18"/>
  <c r="D972" i="19"/>
  <c r="I972" i="19" s="1"/>
  <c r="G972" i="19" s="1"/>
  <c r="C1460" i="19"/>
  <c r="H1460" i="19" s="1"/>
  <c r="U24" i="7"/>
  <c r="C104" i="19"/>
  <c r="H104" i="19" s="1"/>
  <c r="G104" i="19" s="1"/>
  <c r="S45" i="2"/>
  <c r="E1458" i="23" s="1"/>
  <c r="S12" i="5"/>
  <c r="R38" i="5"/>
  <c r="N12" i="6"/>
  <c r="E2018" i="23" s="1"/>
  <c r="O37" i="6"/>
  <c r="T17" i="8"/>
  <c r="N37" i="8"/>
  <c r="E2231" i="23" s="1"/>
  <c r="D825" i="19"/>
  <c r="I825" i="19" s="1"/>
  <c r="G825" i="19" s="1"/>
  <c r="O40" i="7"/>
  <c r="S17" i="9"/>
  <c r="D1196" i="19"/>
  <c r="I1196" i="19" s="1"/>
  <c r="O26" i="11"/>
  <c r="O53" i="28"/>
  <c r="U29" i="13"/>
  <c r="O40" i="13"/>
  <c r="T14" i="14"/>
  <c r="U20" i="14"/>
  <c r="O40" i="14"/>
  <c r="E1182" i="19"/>
  <c r="E1460" i="19"/>
  <c r="M15" i="2"/>
  <c r="D1379" i="23" s="1"/>
  <c r="R13" i="11"/>
  <c r="S26" i="11"/>
  <c r="C652" i="19"/>
  <c r="H652" i="19" s="1"/>
  <c r="S9" i="6"/>
  <c r="U37" i="6"/>
  <c r="N8" i="7"/>
  <c r="E2108" i="23" s="1"/>
  <c r="O37" i="7"/>
  <c r="D1276" i="19"/>
  <c r="I1276" i="19" s="1"/>
  <c r="T25" i="12"/>
  <c r="U36" i="12"/>
  <c r="S11" i="9"/>
  <c r="N25" i="9"/>
  <c r="E2313" i="23" s="1"/>
  <c r="J24" i="11"/>
  <c r="I50" i="11"/>
  <c r="D2525" i="23" s="1"/>
  <c r="O21" i="15"/>
  <c r="T7" i="13"/>
  <c r="S29" i="13"/>
  <c r="N35" i="13"/>
  <c r="E2699" i="23" s="1"/>
  <c r="T18" i="14"/>
  <c r="G24" i="1"/>
  <c r="E1166" i="19"/>
  <c r="E1633" i="19"/>
  <c r="R40" i="7"/>
  <c r="O15" i="2"/>
  <c r="E1379" i="23" s="1"/>
  <c r="O35" i="2"/>
  <c r="E1398" i="23" s="1"/>
  <c r="J47" i="2"/>
  <c r="E1347" i="23" s="1"/>
  <c r="D958" i="19"/>
  <c r="I958" i="19" s="1"/>
  <c r="U20" i="7"/>
  <c r="N45" i="7"/>
  <c r="E2145" i="23" s="1"/>
  <c r="S37" i="10"/>
  <c r="D1404" i="19"/>
  <c r="I1404" i="19" s="1"/>
  <c r="G1404" i="19" s="1"/>
  <c r="M32" i="18"/>
  <c r="C1706" i="19"/>
  <c r="H1706" i="19" s="1"/>
  <c r="O27" i="2"/>
  <c r="E1391" i="23" s="1"/>
  <c r="O31" i="2"/>
  <c r="U13" i="5"/>
  <c r="D593" i="19"/>
  <c r="I593" i="19" s="1"/>
  <c r="N11" i="8"/>
  <c r="E2205" i="23" s="1"/>
  <c r="U17" i="8"/>
  <c r="T24" i="8"/>
  <c r="N41" i="8"/>
  <c r="E2235" i="23" s="1"/>
  <c r="N45" i="8"/>
  <c r="E2239" i="23" s="1"/>
  <c r="U34" i="7"/>
  <c r="S45" i="7"/>
  <c r="D1322" i="19"/>
  <c r="I1322" i="19" s="1"/>
  <c r="U30" i="10"/>
  <c r="T33" i="12"/>
  <c r="O36" i="12"/>
  <c r="O25" i="9"/>
  <c r="U7" i="11"/>
  <c r="N24" i="11"/>
  <c r="E2500" i="23" s="1"/>
  <c r="O31" i="11"/>
  <c r="S14" i="28"/>
  <c r="U27" i="28"/>
  <c r="U45" i="13"/>
  <c r="O43" i="14"/>
  <c r="N61" i="16"/>
  <c r="E2930" i="23" s="1"/>
  <c r="C484" i="19"/>
  <c r="H484" i="19" s="1"/>
  <c r="D1144" i="19"/>
  <c r="I1144" i="19" s="1"/>
  <c r="D1706" i="19"/>
  <c r="I1706" i="19" s="1"/>
  <c r="C1747" i="19"/>
  <c r="H1747" i="19" s="1"/>
  <c r="O10" i="7"/>
  <c r="I55" i="1"/>
  <c r="O33" i="2"/>
  <c r="E1396" i="23" s="1"/>
  <c r="J9" i="2"/>
  <c r="E1309" i="23" s="1"/>
  <c r="C226" i="19"/>
  <c r="H226" i="19" s="1"/>
  <c r="G226" i="19" s="1"/>
  <c r="D536" i="19"/>
  <c r="I536" i="19" s="1"/>
  <c r="N4" i="8"/>
  <c r="R29" i="8"/>
  <c r="U50" i="8"/>
  <c r="U21" i="7"/>
  <c r="U45" i="7"/>
  <c r="D1290" i="19"/>
  <c r="I1290" i="19" s="1"/>
  <c r="S36" i="12"/>
  <c r="T37" i="9"/>
  <c r="U7" i="13"/>
  <c r="N33" i="13"/>
  <c r="E2697" i="23" s="1"/>
  <c r="C630" i="19"/>
  <c r="H630" i="19" s="1"/>
  <c r="C811" i="19"/>
  <c r="H811" i="19" s="1"/>
  <c r="V2361" i="19"/>
  <c r="V1742" i="19"/>
  <c r="V1261" i="19"/>
  <c r="V2375" i="19"/>
  <c r="V2417" i="19"/>
  <c r="V418" i="19"/>
  <c r="V1130" i="19"/>
  <c r="V2601" i="19"/>
  <c r="V2621" i="19"/>
  <c r="V2646" i="19"/>
  <c r="V4" i="19"/>
  <c r="V2265" i="19"/>
  <c r="V12" i="19"/>
  <c r="V1246" i="19"/>
  <c r="V619" i="19"/>
  <c r="V153" i="19"/>
  <c r="F34" i="6"/>
  <c r="D653" i="19"/>
  <c r="I653" i="19" s="1"/>
  <c r="D1230" i="23"/>
  <c r="E1230" i="23"/>
  <c r="L44" i="5"/>
  <c r="E72" i="23"/>
  <c r="U50" i="5"/>
  <c r="S50" i="5"/>
  <c r="E1974" i="23"/>
  <c r="C682" i="19"/>
  <c r="H682" i="19" s="1"/>
  <c r="G25" i="6"/>
  <c r="D741" i="19"/>
  <c r="I741" i="19" s="1"/>
  <c r="N45" i="10"/>
  <c r="E2427" i="23" s="1"/>
  <c r="U28" i="9"/>
  <c r="S28" i="9"/>
  <c r="S26" i="14"/>
  <c r="U26" i="14"/>
  <c r="V371" i="19"/>
  <c r="V416" i="19"/>
  <c r="E2121" i="19"/>
  <c r="S15" i="28"/>
  <c r="O15" i="28"/>
  <c r="D635" i="23"/>
  <c r="T30" i="28"/>
  <c r="S31" i="15"/>
  <c r="E602" i="23"/>
  <c r="O31" i="15"/>
  <c r="C577" i="19"/>
  <c r="H577" i="19" s="1"/>
  <c r="U8" i="5"/>
  <c r="S8" i="5"/>
  <c r="O8" i="5"/>
  <c r="G14" i="9"/>
  <c r="D1171" i="19"/>
  <c r="I1171" i="19" s="1"/>
  <c r="D1122" i="19"/>
  <c r="I1122" i="19" s="1"/>
  <c r="F60" i="1"/>
  <c r="D1508" i="23"/>
  <c r="M39" i="2"/>
  <c r="L23" i="5"/>
  <c r="D525" i="19"/>
  <c r="I525" i="19" s="1"/>
  <c r="I25" i="5"/>
  <c r="U42" i="5"/>
  <c r="S42" i="5"/>
  <c r="U12" i="6"/>
  <c r="D2004" i="23"/>
  <c r="T45" i="6"/>
  <c r="S10" i="8"/>
  <c r="O10" i="8"/>
  <c r="C780" i="19"/>
  <c r="H780" i="19" s="1"/>
  <c r="O14" i="7"/>
  <c r="N12" i="11"/>
  <c r="E2488" i="23" s="1"/>
  <c r="U15" i="11"/>
  <c r="D1472" i="19"/>
  <c r="I1472" i="19" s="1"/>
  <c r="U21" i="11"/>
  <c r="N25" i="11"/>
  <c r="K44" i="11"/>
  <c r="N22" i="13"/>
  <c r="E2686" i="23" s="1"/>
  <c r="U31" i="13"/>
  <c r="O31" i="13"/>
  <c r="S31" i="13"/>
  <c r="C1920" i="19"/>
  <c r="H1920" i="19" s="1"/>
  <c r="S33" i="14"/>
  <c r="O33" i="14"/>
  <c r="V424" i="19"/>
  <c r="V432" i="19"/>
  <c r="E3003" i="23"/>
  <c r="J8" i="18"/>
  <c r="E2983" i="23" s="1"/>
  <c r="E31" i="23"/>
  <c r="E735" i="19"/>
  <c r="U19" i="6"/>
  <c r="S19" i="6"/>
  <c r="O19" i="6"/>
  <c r="C638" i="19"/>
  <c r="H638" i="19" s="1"/>
  <c r="H19" i="13"/>
  <c r="N19" i="13"/>
  <c r="E2683" i="23" s="1"/>
  <c r="J24" i="14"/>
  <c r="T24" i="14"/>
  <c r="S53" i="2"/>
  <c r="N8" i="5"/>
  <c r="E1920" i="23" s="1"/>
  <c r="N42" i="5"/>
  <c r="E1954" i="23" s="1"/>
  <c r="E761" i="19"/>
  <c r="U45" i="6"/>
  <c r="E1029" i="19"/>
  <c r="O19" i="8"/>
  <c r="I18" i="7"/>
  <c r="D2118" i="23" s="1"/>
  <c r="U15" i="28"/>
  <c r="U18" i="28"/>
  <c r="E691" i="23"/>
  <c r="S18" i="28"/>
  <c r="O18" i="28"/>
  <c r="L49" i="15"/>
  <c r="S19" i="13"/>
  <c r="V2452" i="19"/>
  <c r="N24" i="28"/>
  <c r="E663" i="23" s="1"/>
  <c r="U24" i="28"/>
  <c r="E128" i="19"/>
  <c r="T6" i="5"/>
  <c r="R6" i="5"/>
  <c r="E1890" i="23"/>
  <c r="E545" i="19"/>
  <c r="D545" i="19"/>
  <c r="I545" i="19" s="1"/>
  <c r="C545" i="19"/>
  <c r="H545" i="19" s="1"/>
  <c r="D594" i="19"/>
  <c r="I594" i="19" s="1"/>
  <c r="C599" i="19"/>
  <c r="H599" i="19" s="1"/>
  <c r="C502" i="19"/>
  <c r="H502" i="19" s="1"/>
  <c r="D554" i="19"/>
  <c r="I554" i="19" s="1"/>
  <c r="C554" i="19"/>
  <c r="H554" i="19" s="1"/>
  <c r="D638" i="19"/>
  <c r="I638" i="19" s="1"/>
  <c r="E757" i="19"/>
  <c r="C757" i="19"/>
  <c r="H757" i="19" s="1"/>
  <c r="S41" i="6"/>
  <c r="D1029" i="19"/>
  <c r="I1029" i="19" s="1"/>
  <c r="N19" i="8"/>
  <c r="E2213" i="23" s="1"/>
  <c r="S28" i="10"/>
  <c r="O28" i="10"/>
  <c r="U50" i="10"/>
  <c r="N50" i="10"/>
  <c r="E2431" i="23" s="1"/>
  <c r="G50" i="9"/>
  <c r="D2290" i="23" s="1"/>
  <c r="U50" i="9"/>
  <c r="U4" i="28"/>
  <c r="L42" i="15"/>
  <c r="E814" i="23" s="1"/>
  <c r="U19" i="13"/>
  <c r="U37" i="13"/>
  <c r="N37" i="13"/>
  <c r="E2701" i="23" s="1"/>
  <c r="S24" i="14"/>
  <c r="C1816" i="19"/>
  <c r="H1816" i="19" s="1"/>
  <c r="C1911" i="19"/>
  <c r="H1911" i="19" s="1"/>
  <c r="O24" i="14"/>
  <c r="E2951" i="23"/>
  <c r="M10" i="17"/>
  <c r="H23" i="10"/>
  <c r="H27" i="10" s="1"/>
  <c r="E2363" i="23"/>
  <c r="D1284" i="19"/>
  <c r="I1284" i="19" s="1"/>
  <c r="F46" i="10"/>
  <c r="S46" i="10"/>
  <c r="E1350" i="19"/>
  <c r="R1350" i="19" s="1"/>
  <c r="V1350" i="19" s="1"/>
  <c r="U46" i="10"/>
  <c r="O46" i="10"/>
  <c r="I5" i="9"/>
  <c r="D2293" i="23" s="1"/>
  <c r="D1178" i="19"/>
  <c r="I1178" i="19" s="1"/>
  <c r="H29" i="9"/>
  <c r="N29" i="9"/>
  <c r="E2317" i="23" s="1"/>
  <c r="D800" i="23"/>
  <c r="J61" i="28"/>
  <c r="D2847" i="23"/>
  <c r="J29" i="16"/>
  <c r="I29" i="16"/>
  <c r="D2898" i="23" s="1"/>
  <c r="E2960" i="23"/>
  <c r="M5" i="17"/>
  <c r="N5" i="17" s="1"/>
  <c r="E1508" i="23"/>
  <c r="J39" i="2"/>
  <c r="E1339" i="23" s="1"/>
  <c r="C584" i="19"/>
  <c r="H584" i="19" s="1"/>
  <c r="C487" i="19"/>
  <c r="H487" i="19" s="1"/>
  <c r="O30" i="5"/>
  <c r="O41" i="6"/>
  <c r="S33" i="8"/>
  <c r="O15" i="7"/>
  <c r="U15" i="7"/>
  <c r="N21" i="9"/>
  <c r="E2309" i="23" s="1"/>
  <c r="C1408" i="19"/>
  <c r="H1408" i="19" s="1"/>
  <c r="N6" i="11"/>
  <c r="E2482" i="23" s="1"/>
  <c r="I4" i="16"/>
  <c r="J83" i="19"/>
  <c r="G83" i="19" s="1"/>
  <c r="C1350" i="19"/>
  <c r="H1350" i="19" s="1"/>
  <c r="U7" i="8"/>
  <c r="S7" i="8"/>
  <c r="O7" i="8"/>
  <c r="U8" i="10"/>
  <c r="S8" i="10"/>
  <c r="J28" i="2"/>
  <c r="E1328" i="23" s="1"/>
  <c r="N7" i="6"/>
  <c r="E2013" i="23" s="1"/>
  <c r="D968" i="19"/>
  <c r="I968" i="19" s="1"/>
  <c r="N7" i="8"/>
  <c r="E2201" i="23" s="1"/>
  <c r="S19" i="8"/>
  <c r="S36" i="8"/>
  <c r="U28" i="10"/>
  <c r="J57" i="2"/>
  <c r="E1357" i="23" s="1"/>
  <c r="F20" i="4"/>
  <c r="E1731" i="23"/>
  <c r="S32" i="2"/>
  <c r="E1448" i="23" s="1"/>
  <c r="E1697" i="23"/>
  <c r="S54" i="2"/>
  <c r="E1467" i="23" s="1"/>
  <c r="S30" i="5"/>
  <c r="C726" i="19"/>
  <c r="H726" i="19" s="1"/>
  <c r="E726" i="19"/>
  <c r="S10" i="6"/>
  <c r="T19" i="8"/>
  <c r="U33" i="8"/>
  <c r="I6" i="10"/>
  <c r="D2388" i="23" s="1"/>
  <c r="F25" i="10"/>
  <c r="D1232" i="19"/>
  <c r="I1232" i="19" s="1"/>
  <c r="U25" i="10"/>
  <c r="O25" i="10"/>
  <c r="N43" i="12"/>
  <c r="E2613" i="23" s="1"/>
  <c r="O13" i="11"/>
  <c r="U13" i="11"/>
  <c r="S13" i="11"/>
  <c r="O13" i="28"/>
  <c r="U13" i="28"/>
  <c r="O61" i="28"/>
  <c r="U11" i="14"/>
  <c r="K10" i="16"/>
  <c r="Q9" i="3" s="1"/>
  <c r="O4" i="16"/>
  <c r="L6" i="16"/>
  <c r="J43" i="4"/>
  <c r="D487" i="19"/>
  <c r="I487" i="19" s="1"/>
  <c r="U30" i="5"/>
  <c r="N10" i="6"/>
  <c r="E2016" i="23" s="1"/>
  <c r="D726" i="19"/>
  <c r="I726" i="19" s="1"/>
  <c r="U41" i="6"/>
  <c r="U19" i="8"/>
  <c r="C824" i="19"/>
  <c r="H824" i="19" s="1"/>
  <c r="E2063" i="23"/>
  <c r="D873" i="19"/>
  <c r="I873" i="19" s="1"/>
  <c r="O12" i="7"/>
  <c r="R39" i="10"/>
  <c r="T39" i="10"/>
  <c r="O34" i="28"/>
  <c r="S34" i="28"/>
  <c r="U4" i="13"/>
  <c r="S4" i="13"/>
  <c r="R43" i="14"/>
  <c r="T43" i="14"/>
  <c r="D2843" i="23"/>
  <c r="J25" i="16"/>
  <c r="I25" i="16"/>
  <c r="D2894" i="23" s="1"/>
  <c r="N73" i="16"/>
  <c r="E2941" i="23" s="1"/>
  <c r="D1126" i="19"/>
  <c r="I1126" i="19" s="1"/>
  <c r="J1182" i="19"/>
  <c r="R1182" i="19"/>
  <c r="V1182" i="19" s="1"/>
  <c r="R2219" i="19"/>
  <c r="J2219" i="19"/>
  <c r="J13" i="2"/>
  <c r="E1313" i="23" s="1"/>
  <c r="C971" i="19"/>
  <c r="H971" i="19" s="1"/>
  <c r="N10" i="8"/>
  <c r="E2204" i="23" s="1"/>
  <c r="D995" i="19"/>
  <c r="I995" i="19" s="1"/>
  <c r="C995" i="19"/>
  <c r="H995" i="19" s="1"/>
  <c r="N33" i="8"/>
  <c r="E2227" i="23" s="1"/>
  <c r="E732" i="19"/>
  <c r="U16" i="6"/>
  <c r="F32" i="10"/>
  <c r="S32" i="10"/>
  <c r="C1203" i="19"/>
  <c r="H1203" i="19" s="1"/>
  <c r="O46" i="9"/>
  <c r="S6" i="11"/>
  <c r="O6" i="11"/>
  <c r="E1044" i="19"/>
  <c r="J1044" i="19" s="1"/>
  <c r="C1044" i="19"/>
  <c r="H1044" i="19" s="1"/>
  <c r="U34" i="8"/>
  <c r="E166" i="23"/>
  <c r="S50" i="7"/>
  <c r="D1072" i="19"/>
  <c r="I1072" i="19" s="1"/>
  <c r="S12" i="9"/>
  <c r="E2324" i="23"/>
  <c r="O36" i="9"/>
  <c r="M36" i="28"/>
  <c r="N4" i="15"/>
  <c r="E531" i="23" s="1"/>
  <c r="D2006" i="19"/>
  <c r="I2006" i="19" s="1"/>
  <c r="D1941" i="19"/>
  <c r="I1941" i="19" s="1"/>
  <c r="D1978" i="19"/>
  <c r="I1978" i="19" s="1"/>
  <c r="N8" i="15"/>
  <c r="E535" i="23" s="1"/>
  <c r="U8" i="15"/>
  <c r="D1699" i="19"/>
  <c r="I1699" i="19" s="1"/>
  <c r="N4" i="13"/>
  <c r="E2668" i="23" s="1"/>
  <c r="R7" i="13"/>
  <c r="D481" i="23"/>
  <c r="J35" i="14"/>
  <c r="T35" i="14"/>
  <c r="N19" i="17"/>
  <c r="O58" i="16"/>
  <c r="N58" i="16"/>
  <c r="E2927" i="23" s="1"/>
  <c r="D910" i="19"/>
  <c r="I910" i="19" s="1"/>
  <c r="E1865" i="23"/>
  <c r="C170" i="19"/>
  <c r="H170" i="19" s="1"/>
  <c r="G170" i="19" s="1"/>
  <c r="U31" i="28"/>
  <c r="O31" i="28"/>
  <c r="S31" i="28"/>
  <c r="H8" i="17"/>
  <c r="D2963" i="23" s="1"/>
  <c r="N28" i="6"/>
  <c r="D696" i="19"/>
  <c r="I696" i="19" s="1"/>
  <c r="C696" i="19"/>
  <c r="H696" i="19" s="1"/>
  <c r="D2470" i="23"/>
  <c r="I41" i="11"/>
  <c r="D2517" i="23" s="1"/>
  <c r="F65" i="28"/>
  <c r="O65" i="28"/>
  <c r="D2720" i="23"/>
  <c r="T9" i="14"/>
  <c r="U7" i="7"/>
  <c r="G29" i="10"/>
  <c r="S29" i="10"/>
  <c r="E1163" i="19"/>
  <c r="U6" i="9"/>
  <c r="O6" i="9"/>
  <c r="S6" i="9"/>
  <c r="C2199" i="19"/>
  <c r="H2199" i="19" s="1"/>
  <c r="N65" i="28"/>
  <c r="E770" i="23" s="1"/>
  <c r="U14" i="14"/>
  <c r="S14" i="14"/>
  <c r="O14" i="2"/>
  <c r="E1378" i="23" s="1"/>
  <c r="T16" i="5"/>
  <c r="R16" i="5"/>
  <c r="N32" i="6"/>
  <c r="E2038" i="23" s="1"/>
  <c r="D748" i="19"/>
  <c r="I748" i="19" s="1"/>
  <c r="R17" i="8"/>
  <c r="C993" i="19"/>
  <c r="H993" i="19" s="1"/>
  <c r="D993" i="19"/>
  <c r="I993" i="19" s="1"/>
  <c r="D1053" i="19"/>
  <c r="I1053" i="19" s="1"/>
  <c r="D1005" i="19"/>
  <c r="I1005" i="19" s="1"/>
  <c r="M23" i="7"/>
  <c r="M27" i="7" s="1"/>
  <c r="E159" i="23"/>
  <c r="C808" i="19"/>
  <c r="H808" i="19" s="1"/>
  <c r="G808" i="19" s="1"/>
  <c r="U42" i="7"/>
  <c r="S42" i="7"/>
  <c r="O42" i="7"/>
  <c r="E372" i="23"/>
  <c r="C1521" i="19"/>
  <c r="H1521" i="19" s="1"/>
  <c r="G1521" i="19" s="1"/>
  <c r="O20" i="12"/>
  <c r="F31" i="12"/>
  <c r="E383" i="23"/>
  <c r="C1204" i="19"/>
  <c r="H1204" i="19" s="1"/>
  <c r="U47" i="9"/>
  <c r="E1204" i="19"/>
  <c r="S47" i="9"/>
  <c r="U47" i="14"/>
  <c r="I51" i="16"/>
  <c r="D2920" i="23" s="1"/>
  <c r="C563" i="19"/>
  <c r="H563" i="19" s="1"/>
  <c r="G563" i="19" s="1"/>
  <c r="F39" i="8"/>
  <c r="J39" i="8" s="1"/>
  <c r="U39" i="8"/>
  <c r="S39" i="8"/>
  <c r="C778" i="19"/>
  <c r="H778" i="19" s="1"/>
  <c r="C875" i="19"/>
  <c r="H875" i="19" s="1"/>
  <c r="U12" i="7"/>
  <c r="O18" i="7"/>
  <c r="C784" i="19"/>
  <c r="H784" i="19" s="1"/>
  <c r="S18" i="7"/>
  <c r="D1065" i="19"/>
  <c r="I1065" i="19" s="1"/>
  <c r="U5" i="9"/>
  <c r="O8" i="2"/>
  <c r="R8" i="7"/>
  <c r="T8" i="7"/>
  <c r="S39" i="7"/>
  <c r="D805" i="19"/>
  <c r="I805" i="19" s="1"/>
  <c r="U39" i="7"/>
  <c r="D2357" i="23"/>
  <c r="I22" i="10"/>
  <c r="D2404" i="23" s="1"/>
  <c r="D1204" i="19"/>
  <c r="I1204" i="19" s="1"/>
  <c r="D1157" i="19"/>
  <c r="I1157" i="19" s="1"/>
  <c r="N47" i="9"/>
  <c r="E2335" i="23" s="1"/>
  <c r="M42" i="15"/>
  <c r="D1736" i="19"/>
  <c r="I1736" i="19" s="1"/>
  <c r="N41" i="13"/>
  <c r="E2705" i="23" s="1"/>
  <c r="U41" i="13"/>
  <c r="D952" i="19"/>
  <c r="I952" i="19" s="1"/>
  <c r="O30" i="2"/>
  <c r="E1393" i="23" s="1"/>
  <c r="J30" i="2"/>
  <c r="E1330" i="23" s="1"/>
  <c r="E1682" i="23"/>
  <c r="S38" i="2"/>
  <c r="M44" i="7"/>
  <c r="M48" i="7" s="1"/>
  <c r="H24" i="6"/>
  <c r="D740" i="19"/>
  <c r="I740" i="19" s="1"/>
  <c r="F18" i="10"/>
  <c r="S18" i="10"/>
  <c r="O18" i="10"/>
  <c r="E607" i="19"/>
  <c r="R607" i="19" s="1"/>
  <c r="V607" i="19" s="1"/>
  <c r="S5" i="6"/>
  <c r="O10" i="5"/>
  <c r="U35" i="5"/>
  <c r="E1903" i="23"/>
  <c r="D559" i="19"/>
  <c r="I559" i="19" s="1"/>
  <c r="C559" i="19"/>
  <c r="H559" i="19" s="1"/>
  <c r="D607" i="19"/>
  <c r="I607" i="19" s="1"/>
  <c r="U38" i="5"/>
  <c r="U8" i="6"/>
  <c r="S43" i="8"/>
  <c r="F5" i="12"/>
  <c r="R5" i="12" s="1"/>
  <c r="C1506" i="19"/>
  <c r="H1506" i="19" s="1"/>
  <c r="S5" i="12"/>
  <c r="U5" i="12"/>
  <c r="S34" i="12"/>
  <c r="K44" i="6"/>
  <c r="C647" i="19"/>
  <c r="H647" i="19" s="1"/>
  <c r="D604" i="19"/>
  <c r="I604" i="19" s="1"/>
  <c r="D556" i="19"/>
  <c r="I556" i="19" s="1"/>
  <c r="C556" i="19"/>
  <c r="H556" i="19" s="1"/>
  <c r="E1967" i="23"/>
  <c r="D675" i="19"/>
  <c r="I675" i="19" s="1"/>
  <c r="C675" i="19"/>
  <c r="H675" i="19" s="1"/>
  <c r="E1977" i="23"/>
  <c r="D734" i="19"/>
  <c r="I734" i="19" s="1"/>
  <c r="O22" i="7"/>
  <c r="F10" i="10"/>
  <c r="S10" i="10"/>
  <c r="F22" i="10"/>
  <c r="S22" i="10"/>
  <c r="C1326" i="19"/>
  <c r="H1326" i="19" s="1"/>
  <c r="C1229" i="19"/>
  <c r="H1229" i="19" s="1"/>
  <c r="U22" i="10"/>
  <c r="O22" i="10"/>
  <c r="U34" i="12"/>
  <c r="N37" i="9"/>
  <c r="S37" i="9"/>
  <c r="U37" i="9"/>
  <c r="N53" i="28"/>
  <c r="E758" i="23" s="1"/>
  <c r="S27" i="15"/>
  <c r="O27" i="15"/>
  <c r="Q42" i="17"/>
  <c r="S22" i="2"/>
  <c r="T8" i="5"/>
  <c r="R8" i="5"/>
  <c r="O38" i="5"/>
  <c r="R35" i="14"/>
  <c r="N67" i="16"/>
  <c r="E2936" i="23" s="1"/>
  <c r="O67" i="16"/>
  <c r="D824" i="19"/>
  <c r="I824" i="19" s="1"/>
  <c r="F36" i="10"/>
  <c r="U36" i="10"/>
  <c r="S28" i="8"/>
  <c r="O28" i="8"/>
  <c r="U32" i="10"/>
  <c r="N37" i="11"/>
  <c r="E2513" i="23" s="1"/>
  <c r="O17" i="2"/>
  <c r="E1381" i="23" s="1"/>
  <c r="T4" i="5"/>
  <c r="D488" i="19"/>
  <c r="I488" i="19" s="1"/>
  <c r="C488" i="19"/>
  <c r="H488" i="19" s="1"/>
  <c r="O16" i="5"/>
  <c r="U16" i="5"/>
  <c r="S16" i="5"/>
  <c r="E585" i="19"/>
  <c r="E745" i="19"/>
  <c r="C745" i="19"/>
  <c r="H745" i="19" s="1"/>
  <c r="C648" i="19"/>
  <c r="H648" i="19" s="1"/>
  <c r="O29" i="6"/>
  <c r="U29" i="6"/>
  <c r="S29" i="6"/>
  <c r="C928" i="19"/>
  <c r="H928" i="19" s="1"/>
  <c r="U15" i="8"/>
  <c r="S15" i="8"/>
  <c r="O15" i="8"/>
  <c r="H30" i="7"/>
  <c r="D796" i="19"/>
  <c r="I796" i="19" s="1"/>
  <c r="D896" i="19"/>
  <c r="I896" i="19" s="1"/>
  <c r="U33" i="7"/>
  <c r="S13" i="10"/>
  <c r="J25" i="2"/>
  <c r="E1325" i="23" s="1"/>
  <c r="T42" i="5"/>
  <c r="S45" i="5"/>
  <c r="E731" i="19"/>
  <c r="J731" i="19" s="1"/>
  <c r="U15" i="6"/>
  <c r="S15" i="6"/>
  <c r="E1988" i="23"/>
  <c r="C697" i="19"/>
  <c r="H697" i="19" s="1"/>
  <c r="G697" i="19" s="1"/>
  <c r="E176" i="23"/>
  <c r="U12" i="8"/>
  <c r="N15" i="8"/>
  <c r="E2209" i="23" s="1"/>
  <c r="D1252" i="19"/>
  <c r="I1252" i="19" s="1"/>
  <c r="S20" i="12"/>
  <c r="G24" i="9"/>
  <c r="D1181" i="19"/>
  <c r="I1181" i="19" s="1"/>
  <c r="D1329" i="19"/>
  <c r="I1329" i="19" s="1"/>
  <c r="D1280" i="19"/>
  <c r="I1280" i="19" s="1"/>
  <c r="N34" i="12"/>
  <c r="E2604" i="23" s="1"/>
  <c r="C1444" i="19"/>
  <c r="H1444" i="19" s="1"/>
  <c r="N41" i="11"/>
  <c r="E2517" i="23" s="1"/>
  <c r="K42" i="15"/>
  <c r="N4" i="16"/>
  <c r="E3038" i="23"/>
  <c r="R12" i="18"/>
  <c r="E3017" i="23"/>
  <c r="J26" i="18"/>
  <c r="E2998" i="23" s="1"/>
  <c r="U12" i="5"/>
  <c r="D551" i="19"/>
  <c r="I551" i="19" s="1"/>
  <c r="D508" i="19"/>
  <c r="I508" i="19" s="1"/>
  <c r="G508" i="19" s="1"/>
  <c r="N45" i="5"/>
  <c r="E1957" i="23" s="1"/>
  <c r="U13" i="6"/>
  <c r="N21" i="6"/>
  <c r="E2027" i="23" s="1"/>
  <c r="U32" i="6"/>
  <c r="D706" i="19"/>
  <c r="I706" i="19" s="1"/>
  <c r="D1294" i="19"/>
  <c r="I1294" i="19" s="1"/>
  <c r="C1294" i="19"/>
  <c r="H1294" i="19" s="1"/>
  <c r="E376" i="23"/>
  <c r="E1621" i="19"/>
  <c r="C1525" i="19"/>
  <c r="H1525" i="19" s="1"/>
  <c r="C1621" i="19"/>
  <c r="H1621" i="19" s="1"/>
  <c r="U21" i="9"/>
  <c r="S21" i="9"/>
  <c r="U4" i="11"/>
  <c r="S4" i="11"/>
  <c r="N68" i="28"/>
  <c r="E773" i="23" s="1"/>
  <c r="U24" i="13"/>
  <c r="J63" i="17"/>
  <c r="E57" i="23"/>
  <c r="E603" i="19"/>
  <c r="C603" i="19"/>
  <c r="H603" i="19" s="1"/>
  <c r="D619" i="19"/>
  <c r="I619" i="19" s="1"/>
  <c r="G619" i="19" s="1"/>
  <c r="C572" i="19"/>
  <c r="H572" i="19" s="1"/>
  <c r="D724" i="19"/>
  <c r="I724" i="19" s="1"/>
  <c r="C871" i="19"/>
  <c r="H871" i="19" s="1"/>
  <c r="U8" i="7"/>
  <c r="F6" i="10"/>
  <c r="J6" i="10" s="1"/>
  <c r="C1310" i="19"/>
  <c r="H1310" i="19" s="1"/>
  <c r="D1213" i="19"/>
  <c r="I1213" i="19" s="1"/>
  <c r="U6" i="10"/>
  <c r="C1626" i="19"/>
  <c r="H1626" i="19" s="1"/>
  <c r="C1530" i="19"/>
  <c r="H1530" i="19" s="1"/>
  <c r="S29" i="12"/>
  <c r="K72" i="28"/>
  <c r="O53" i="2"/>
  <c r="D518" i="19"/>
  <c r="I518" i="19" s="1"/>
  <c r="N50" i="5"/>
  <c r="I33" i="6"/>
  <c r="D2039" i="23" s="1"/>
  <c r="U46" i="7"/>
  <c r="U39" i="10"/>
  <c r="O39" i="10"/>
  <c r="H46" i="12"/>
  <c r="G77" i="17" s="1"/>
  <c r="N46" i="12"/>
  <c r="E2616" i="23" s="1"/>
  <c r="N16" i="11"/>
  <c r="E2492" i="23" s="1"/>
  <c r="U16" i="28"/>
  <c r="O16" i="28"/>
  <c r="T18" i="28"/>
  <c r="I25" i="15"/>
  <c r="D552" i="23" s="1"/>
  <c r="H39" i="16"/>
  <c r="I39" i="16" s="1"/>
  <c r="D2908" i="23" s="1"/>
  <c r="N39" i="16"/>
  <c r="E2908" i="23" s="1"/>
  <c r="D504" i="19"/>
  <c r="I504" i="19" s="1"/>
  <c r="C843" i="19"/>
  <c r="H843" i="19" s="1"/>
  <c r="C1546" i="19"/>
  <c r="H1546" i="19" s="1"/>
  <c r="E573" i="19"/>
  <c r="C573" i="19"/>
  <c r="H573" i="19" s="1"/>
  <c r="N16" i="5"/>
  <c r="E1928" i="23" s="1"/>
  <c r="N19" i="5"/>
  <c r="E1931" i="23" s="1"/>
  <c r="N34" i="5"/>
  <c r="E1946" i="23" s="1"/>
  <c r="N37" i="5"/>
  <c r="E1949" i="23" s="1"/>
  <c r="D727" i="19"/>
  <c r="I727" i="19" s="1"/>
  <c r="N36" i="6"/>
  <c r="E2042" i="23" s="1"/>
  <c r="D939" i="19"/>
  <c r="I939" i="19" s="1"/>
  <c r="C939" i="19"/>
  <c r="H939" i="19" s="1"/>
  <c r="I37" i="8"/>
  <c r="D2231" i="23" s="1"/>
  <c r="C876" i="19"/>
  <c r="H876" i="19" s="1"/>
  <c r="U13" i="7"/>
  <c r="D1318" i="19"/>
  <c r="I1318" i="19" s="1"/>
  <c r="N35" i="9"/>
  <c r="N7" i="11"/>
  <c r="E2483" i="23" s="1"/>
  <c r="O16" i="11"/>
  <c r="S36" i="11"/>
  <c r="O36" i="11"/>
  <c r="O6" i="28"/>
  <c r="D687" i="23"/>
  <c r="J14" i="28"/>
  <c r="U14" i="13"/>
  <c r="U21" i="13"/>
  <c r="O21" i="13"/>
  <c r="I43" i="13"/>
  <c r="D2707" i="23" s="1"/>
  <c r="R46" i="13"/>
  <c r="C895" i="19"/>
  <c r="H895" i="19" s="1"/>
  <c r="C1039" i="19"/>
  <c r="H1039" i="19" s="1"/>
  <c r="C1959" i="19"/>
  <c r="H1959" i="19" s="1"/>
  <c r="U22" i="15"/>
  <c r="O5" i="13"/>
  <c r="D450" i="23"/>
  <c r="T4" i="14"/>
  <c r="R4" i="14"/>
  <c r="J4" i="14"/>
  <c r="O28" i="14"/>
  <c r="U36" i="14"/>
  <c r="O36" i="14"/>
  <c r="O29" i="16"/>
  <c r="N29" i="16"/>
  <c r="E2898" i="23" s="1"/>
  <c r="C536" i="19"/>
  <c r="H536" i="19" s="1"/>
  <c r="C782" i="19"/>
  <c r="H782" i="19" s="1"/>
  <c r="E884" i="19"/>
  <c r="J884" i="19" s="1"/>
  <c r="D1056" i="19"/>
  <c r="I1056" i="19" s="1"/>
  <c r="D115" i="23"/>
  <c r="S14" i="6"/>
  <c r="C666" i="19"/>
  <c r="H666" i="19" s="1"/>
  <c r="G666" i="19" s="1"/>
  <c r="E763" i="19"/>
  <c r="O6" i="10"/>
  <c r="O11" i="10"/>
  <c r="O17" i="10"/>
  <c r="E1321" i="19"/>
  <c r="U29" i="12"/>
  <c r="C1070" i="19"/>
  <c r="H1070" i="19" s="1"/>
  <c r="U10" i="9"/>
  <c r="O22" i="9"/>
  <c r="E1179" i="19"/>
  <c r="C1082" i="19"/>
  <c r="H1082" i="19" s="1"/>
  <c r="S16" i="11"/>
  <c r="U19" i="11"/>
  <c r="S19" i="11"/>
  <c r="O19" i="11"/>
  <c r="U50" i="11"/>
  <c r="S6" i="28"/>
  <c r="C2174" i="19"/>
  <c r="H2174" i="19" s="1"/>
  <c r="L43" i="15"/>
  <c r="D573" i="19"/>
  <c r="I573" i="19" s="1"/>
  <c r="S34" i="5"/>
  <c r="D628" i="19"/>
  <c r="I628" i="19" s="1"/>
  <c r="E725" i="19"/>
  <c r="U14" i="6"/>
  <c r="U17" i="6"/>
  <c r="I26" i="6"/>
  <c r="D2032" i="23" s="1"/>
  <c r="N40" i="6"/>
  <c r="E2046" i="23" s="1"/>
  <c r="E2006" i="23"/>
  <c r="D716" i="19"/>
  <c r="I716" i="19" s="1"/>
  <c r="C716" i="19"/>
  <c r="H716" i="19" s="1"/>
  <c r="J24" i="8"/>
  <c r="O29" i="8"/>
  <c r="D999" i="19"/>
  <c r="I999" i="19" s="1"/>
  <c r="O8" i="7"/>
  <c r="O36" i="7"/>
  <c r="S6" i="10"/>
  <c r="S39" i="10"/>
  <c r="C1250" i="19"/>
  <c r="H1250" i="19" s="1"/>
  <c r="C1347" i="19"/>
  <c r="H1347" i="19" s="1"/>
  <c r="U43" i="10"/>
  <c r="S43" i="10"/>
  <c r="U13" i="9"/>
  <c r="S13" i="9"/>
  <c r="D1429" i="19"/>
  <c r="I1429" i="19" s="1"/>
  <c r="M43" i="15"/>
  <c r="S19" i="15"/>
  <c r="N22" i="15"/>
  <c r="E549" i="23" s="1"/>
  <c r="O35" i="15"/>
  <c r="U5" i="13"/>
  <c r="C1658" i="19"/>
  <c r="H1658" i="19" s="1"/>
  <c r="S11" i="13"/>
  <c r="O11" i="13"/>
  <c r="N40" i="13"/>
  <c r="E2704" i="23" s="1"/>
  <c r="D2715" i="23"/>
  <c r="I4" i="14"/>
  <c r="H10" i="14"/>
  <c r="N10" i="14"/>
  <c r="E2769" i="23" s="1"/>
  <c r="O25" i="14"/>
  <c r="S28" i="14"/>
  <c r="I13" i="16"/>
  <c r="D2833" i="23" s="1"/>
  <c r="P40" i="18"/>
  <c r="C774" i="19"/>
  <c r="H774" i="19" s="1"/>
  <c r="C791" i="19"/>
  <c r="H791" i="19" s="1"/>
  <c r="C1003" i="19"/>
  <c r="H1003" i="19" s="1"/>
  <c r="G1003" i="19" s="1"/>
  <c r="E1039" i="19"/>
  <c r="C1930" i="19"/>
  <c r="H1930" i="19" s="1"/>
  <c r="D1979" i="19"/>
  <c r="I1979" i="19" s="1"/>
  <c r="N42" i="11"/>
  <c r="E2518" i="23" s="1"/>
  <c r="C1445" i="19"/>
  <c r="H1445" i="19" s="1"/>
  <c r="C640" i="19"/>
  <c r="H640" i="19" s="1"/>
  <c r="D326" i="19"/>
  <c r="I326" i="19" s="1"/>
  <c r="E326" i="19"/>
  <c r="R326" i="19" s="1"/>
  <c r="V326" i="19" s="1"/>
  <c r="N4" i="5"/>
  <c r="E1916" i="23" s="1"/>
  <c r="G561" i="19"/>
  <c r="S11" i="6"/>
  <c r="N26" i="8"/>
  <c r="E2220" i="23" s="1"/>
  <c r="S8" i="7"/>
  <c r="S35" i="9"/>
  <c r="S14" i="11"/>
  <c r="O14" i="11"/>
  <c r="O46" i="11"/>
  <c r="S16" i="28"/>
  <c r="M41" i="15"/>
  <c r="K45" i="15"/>
  <c r="M36" i="15"/>
  <c r="U35" i="15"/>
  <c r="U25" i="14"/>
  <c r="N25" i="16"/>
  <c r="E2894" i="23" s="1"/>
  <c r="N68" i="16"/>
  <c r="E2937" i="23" s="1"/>
  <c r="D791" i="19"/>
  <c r="I791" i="19" s="1"/>
  <c r="E873" i="19"/>
  <c r="E879" i="19"/>
  <c r="D921" i="19"/>
  <c r="I921" i="19" s="1"/>
  <c r="C1455" i="19"/>
  <c r="H1455" i="19" s="1"/>
  <c r="E201" i="23"/>
  <c r="E1047" i="19"/>
  <c r="R1047" i="19" s="1"/>
  <c r="V1047" i="19" s="1"/>
  <c r="C1047" i="19"/>
  <c r="H1047" i="19" s="1"/>
  <c r="J20" i="3"/>
  <c r="O4" i="5"/>
  <c r="E1879" i="23"/>
  <c r="D583" i="19"/>
  <c r="I583" i="19" s="1"/>
  <c r="U34" i="5"/>
  <c r="U11" i="6"/>
  <c r="N43" i="6"/>
  <c r="E2049" i="23" s="1"/>
  <c r="S47" i="6"/>
  <c r="O26" i="8"/>
  <c r="S29" i="8"/>
  <c r="D830" i="19"/>
  <c r="I830" i="19" s="1"/>
  <c r="D849" i="19"/>
  <c r="I849" i="19" s="1"/>
  <c r="S17" i="10"/>
  <c r="O33" i="10"/>
  <c r="N4" i="12"/>
  <c r="F13" i="12"/>
  <c r="U13" i="12"/>
  <c r="O13" i="12"/>
  <c r="S4" i="9"/>
  <c r="T8" i="9"/>
  <c r="S22" i="9"/>
  <c r="S46" i="11"/>
  <c r="I44" i="28"/>
  <c r="D749" i="23" s="1"/>
  <c r="O13" i="15"/>
  <c r="S21" i="13"/>
  <c r="V335" i="19"/>
  <c r="V783" i="19"/>
  <c r="E791" i="19"/>
  <c r="J791" i="19" s="1"/>
  <c r="C1237" i="19"/>
  <c r="H1237" i="19" s="1"/>
  <c r="D2095" i="19"/>
  <c r="I2095" i="19" s="1"/>
  <c r="U21" i="28"/>
  <c r="E3014" i="23"/>
  <c r="J21" i="18"/>
  <c r="E2995" i="23" s="1"/>
  <c r="E1985" i="23"/>
  <c r="C694" i="19"/>
  <c r="H694" i="19" s="1"/>
  <c r="E33" i="19"/>
  <c r="D33" i="19"/>
  <c r="I33" i="19" s="1"/>
  <c r="I47" i="5"/>
  <c r="D1959" i="23" s="1"/>
  <c r="G626" i="19"/>
  <c r="U26" i="6"/>
  <c r="U47" i="6"/>
  <c r="D924" i="19"/>
  <c r="I924" i="19" s="1"/>
  <c r="C924" i="19"/>
  <c r="H924" i="19" s="1"/>
  <c r="O37" i="8"/>
  <c r="S31" i="10"/>
  <c r="C1341" i="19"/>
  <c r="H1341" i="19" s="1"/>
  <c r="N36" i="12"/>
  <c r="E2606" i="23" s="1"/>
  <c r="G42" i="12"/>
  <c r="D2565" i="23" s="1"/>
  <c r="U42" i="12"/>
  <c r="U4" i="9"/>
  <c r="O10" i="9"/>
  <c r="F30" i="9"/>
  <c r="U30" i="9"/>
  <c r="D1093" i="19"/>
  <c r="I1093" i="19" s="1"/>
  <c r="E1190" i="19"/>
  <c r="S33" i="9"/>
  <c r="O33" i="9"/>
  <c r="I50" i="9"/>
  <c r="D2337" i="23" s="1"/>
  <c r="R14" i="28"/>
  <c r="D2626" i="23"/>
  <c r="I9" i="13"/>
  <c r="D2673" i="23" s="1"/>
  <c r="D1805" i="19"/>
  <c r="I1805" i="19" s="1"/>
  <c r="C19" i="19"/>
  <c r="H19" i="19" s="1"/>
  <c r="D561" i="19"/>
  <c r="I561" i="19" s="1"/>
  <c r="C581" i="19"/>
  <c r="H581" i="19" s="1"/>
  <c r="E597" i="19"/>
  <c r="R597" i="19" s="1"/>
  <c r="V597" i="19" s="1"/>
  <c r="D666" i="19"/>
  <c r="I666" i="19" s="1"/>
  <c r="D746" i="19"/>
  <c r="I746" i="19" s="1"/>
  <c r="C1073" i="19"/>
  <c r="H1073" i="19" s="1"/>
  <c r="I7" i="11"/>
  <c r="D2483" i="23" s="1"/>
  <c r="D2436" i="23"/>
  <c r="N56" i="28"/>
  <c r="E761" i="23" s="1"/>
  <c r="O33" i="16"/>
  <c r="N33" i="16"/>
  <c r="E2902" i="23" s="1"/>
  <c r="J21" i="2"/>
  <c r="J34" i="2"/>
  <c r="E1334" i="23" s="1"/>
  <c r="J42" i="2"/>
  <c r="E1342" i="23" s="1"/>
  <c r="S4" i="5"/>
  <c r="E1877" i="23"/>
  <c r="C532" i="19"/>
  <c r="H532" i="19" s="1"/>
  <c r="C510" i="19"/>
  <c r="H510" i="19" s="1"/>
  <c r="C607" i="19"/>
  <c r="H607" i="19" s="1"/>
  <c r="U43" i="5"/>
  <c r="R24" i="8"/>
  <c r="S26" i="8"/>
  <c r="S37" i="8"/>
  <c r="O11" i="7"/>
  <c r="N16" i="7"/>
  <c r="E2116" i="23" s="1"/>
  <c r="E892" i="19"/>
  <c r="C892" i="19"/>
  <c r="H892" i="19" s="1"/>
  <c r="N47" i="7"/>
  <c r="E2147" i="23" s="1"/>
  <c r="S10" i="9"/>
  <c r="U5" i="11"/>
  <c r="S12" i="11"/>
  <c r="O12" i="11"/>
  <c r="U14" i="11"/>
  <c r="U33" i="11"/>
  <c r="D639" i="23"/>
  <c r="I34" i="28"/>
  <c r="D673" i="23" s="1"/>
  <c r="J64" i="28"/>
  <c r="U29" i="15"/>
  <c r="D1856" i="19"/>
  <c r="I1856" i="19" s="1"/>
  <c r="U42" i="14"/>
  <c r="O42" i="14"/>
  <c r="N22" i="18"/>
  <c r="E3015" i="23" s="1"/>
  <c r="D581" i="19"/>
  <c r="I581" i="19" s="1"/>
  <c r="D673" i="19"/>
  <c r="I673" i="19" s="1"/>
  <c r="D681" i="19"/>
  <c r="I681" i="19" s="1"/>
  <c r="C689" i="19"/>
  <c r="H689" i="19" s="1"/>
  <c r="C1036" i="19"/>
  <c r="H1036" i="19" s="1"/>
  <c r="V1221" i="19"/>
  <c r="V2432" i="19"/>
  <c r="V2462" i="19"/>
  <c r="V2469" i="19"/>
  <c r="V2478" i="19"/>
  <c r="T7" i="12"/>
  <c r="N45" i="16"/>
  <c r="E2914" i="23" s="1"/>
  <c r="N51" i="16"/>
  <c r="E2920" i="23" s="1"/>
  <c r="D790" i="19"/>
  <c r="I790" i="19" s="1"/>
  <c r="T4" i="10"/>
  <c r="N46" i="10"/>
  <c r="E2428" i="23" s="1"/>
  <c r="I33" i="12"/>
  <c r="D2603" i="23" s="1"/>
  <c r="D1173" i="19"/>
  <c r="I1173" i="19" s="1"/>
  <c r="N17" i="15"/>
  <c r="E544" i="23" s="1"/>
  <c r="N13" i="16"/>
  <c r="J64" i="17"/>
  <c r="E896" i="19"/>
  <c r="E1168" i="19"/>
  <c r="D1399" i="19"/>
  <c r="I1399" i="19" s="1"/>
  <c r="O47" i="11"/>
  <c r="O17" i="15"/>
  <c r="D1654" i="19"/>
  <c r="I1654" i="19" s="1"/>
  <c r="I39" i="13"/>
  <c r="D2703" i="23" s="1"/>
  <c r="L44" i="14"/>
  <c r="E2755" i="23" s="1"/>
  <c r="J20" i="18"/>
  <c r="E2994" i="23" s="1"/>
  <c r="P54" i="18"/>
  <c r="E1174" i="19"/>
  <c r="O30" i="7"/>
  <c r="U35" i="7"/>
  <c r="N38" i="7"/>
  <c r="E2138" i="23" s="1"/>
  <c r="S14" i="10"/>
  <c r="D1119" i="19"/>
  <c r="I1119" i="19" s="1"/>
  <c r="O7" i="13"/>
  <c r="O29" i="13"/>
  <c r="S45" i="13"/>
  <c r="I24" i="14"/>
  <c r="D2783" i="23" s="1"/>
  <c r="D1304" i="19"/>
  <c r="I1304" i="19" s="1"/>
  <c r="C2155" i="19"/>
  <c r="H2155" i="19" s="1"/>
  <c r="S33" i="12"/>
  <c r="H23" i="9"/>
  <c r="H27" i="9" s="1"/>
  <c r="O45" i="11"/>
  <c r="I30" i="28"/>
  <c r="D669" i="23" s="1"/>
  <c r="S7" i="13"/>
  <c r="M76" i="16"/>
  <c r="D2155" i="19"/>
  <c r="I2155" i="19" s="1"/>
  <c r="N36" i="11"/>
  <c r="E2512" i="23" s="1"/>
  <c r="N70" i="28"/>
  <c r="E775" i="23" s="1"/>
  <c r="S15" i="13"/>
  <c r="J37" i="14"/>
  <c r="I50" i="14"/>
  <c r="D2809" i="23" s="1"/>
  <c r="D794" i="19"/>
  <c r="I794" i="19" s="1"/>
  <c r="C893" i="19"/>
  <c r="H893" i="19" s="1"/>
  <c r="D1091" i="19"/>
  <c r="I1091" i="19" s="1"/>
  <c r="C1662" i="19"/>
  <c r="H1662" i="19" s="1"/>
  <c r="T42" i="7"/>
  <c r="N24" i="10"/>
  <c r="E2406" i="23" s="1"/>
  <c r="R5" i="11"/>
  <c r="I67" i="28"/>
  <c r="D772" i="23" s="1"/>
  <c r="U33" i="15"/>
  <c r="N31" i="16"/>
  <c r="E2900" i="23" s="1"/>
  <c r="D2532" i="19"/>
  <c r="I2532" i="19" s="1"/>
  <c r="G2532" i="19" s="1"/>
  <c r="G1304" i="19"/>
  <c r="U6" i="15"/>
  <c r="D1687" i="19"/>
  <c r="I1687" i="19" s="1"/>
  <c r="N35" i="14"/>
  <c r="E2794" i="23" s="1"/>
  <c r="V786" i="19"/>
  <c r="V822" i="19"/>
  <c r="V1098" i="19"/>
  <c r="V1107" i="19"/>
  <c r="V1115" i="19"/>
  <c r="V2358" i="19"/>
  <c r="V2365" i="19"/>
  <c r="V1360" i="19"/>
  <c r="V1395" i="19"/>
  <c r="V502" i="19"/>
  <c r="V1882" i="19"/>
  <c r="V703" i="19"/>
  <c r="V768" i="19"/>
  <c r="V1262" i="19"/>
  <c r="V1373" i="19"/>
  <c r="V1658" i="19"/>
  <c r="V1707" i="19"/>
  <c r="V494" i="19"/>
  <c r="V544" i="19"/>
  <c r="V340" i="19"/>
  <c r="V640" i="19"/>
  <c r="V654" i="19"/>
  <c r="V662" i="19"/>
  <c r="V704" i="19"/>
  <c r="V712" i="19"/>
  <c r="V1294" i="19"/>
  <c r="V1357" i="19"/>
  <c r="V1392" i="19"/>
  <c r="V1650" i="19"/>
  <c r="V1726" i="19"/>
  <c r="V1802" i="19"/>
  <c r="V1854" i="19"/>
  <c r="V281" i="19"/>
  <c r="V296" i="19"/>
  <c r="V2650" i="19"/>
  <c r="V1125" i="19"/>
  <c r="V2644" i="19"/>
  <c r="V1254" i="19"/>
  <c r="V2493" i="19"/>
  <c r="V454" i="19"/>
  <c r="V484" i="19"/>
  <c r="V529" i="19"/>
  <c r="V536" i="19"/>
  <c r="V550" i="19"/>
  <c r="V907" i="19"/>
  <c r="V912" i="19"/>
  <c r="V936" i="19"/>
  <c r="V1113" i="19"/>
  <c r="V1122" i="19"/>
  <c r="V1213" i="19"/>
  <c r="V1238" i="19"/>
  <c r="V1399" i="19"/>
  <c r="V519" i="19"/>
  <c r="V2603" i="19"/>
  <c r="V743" i="19"/>
  <c r="V1366" i="19"/>
  <c r="V1669" i="19"/>
  <c r="V501" i="19"/>
  <c r="V89" i="19"/>
  <c r="V282" i="19"/>
  <c r="V290" i="19"/>
  <c r="V1281" i="19"/>
  <c r="V1394" i="19"/>
  <c r="V1436" i="19"/>
  <c r="V2405" i="19"/>
  <c r="V1210" i="19"/>
  <c r="V357" i="19"/>
  <c r="V552" i="19"/>
  <c r="V96" i="19"/>
  <c r="V978" i="19"/>
  <c r="V1033" i="19"/>
  <c r="V1297" i="19"/>
  <c r="V1346" i="19"/>
  <c r="V1744" i="19"/>
  <c r="V1847" i="19"/>
  <c r="V2415" i="19"/>
  <c r="V1223" i="19"/>
  <c r="V2298" i="19"/>
  <c r="V686" i="19"/>
  <c r="V687" i="19"/>
  <c r="V1144" i="19"/>
  <c r="V1153" i="19"/>
  <c r="V1283" i="19"/>
  <c r="V1324" i="19"/>
  <c r="V1362" i="19"/>
  <c r="V1439" i="19"/>
  <c r="V2545" i="19"/>
  <c r="V701" i="19"/>
  <c r="V981" i="19"/>
  <c r="V1094" i="19"/>
  <c r="V1422" i="19"/>
  <c r="V1572" i="19"/>
  <c r="V1816" i="19"/>
  <c r="V1987" i="19"/>
  <c r="V248" i="19"/>
  <c r="V268" i="19"/>
  <c r="V527" i="19"/>
  <c r="V535" i="19"/>
  <c r="V1741" i="19"/>
  <c r="V1790" i="19"/>
  <c r="V1867" i="19"/>
  <c r="V242" i="19"/>
  <c r="V1886" i="19"/>
  <c r="V447" i="19"/>
  <c r="V2334" i="19"/>
  <c r="V2357" i="19"/>
  <c r="V2607" i="19"/>
  <c r="V455" i="19"/>
  <c r="V375" i="19"/>
  <c r="V419" i="19"/>
  <c r="V2420" i="19"/>
  <c r="V2625" i="19"/>
  <c r="V865" i="19"/>
  <c r="V1569" i="19"/>
  <c r="V1577" i="19"/>
  <c r="V222" i="19"/>
  <c r="V470" i="19"/>
  <c r="V510" i="19"/>
  <c r="V517" i="19"/>
  <c r="V532" i="19"/>
  <c r="V1560" i="19"/>
  <c r="V503" i="19"/>
  <c r="V2264" i="19"/>
  <c r="V688" i="19"/>
  <c r="V989" i="19"/>
  <c r="V1200" i="19"/>
  <c r="V1270" i="19"/>
  <c r="V11" i="19"/>
  <c r="V766" i="19"/>
  <c r="V218" i="19"/>
  <c r="V1666" i="19"/>
  <c r="V1706" i="19"/>
  <c r="V1723" i="19"/>
  <c r="V2282" i="19"/>
  <c r="V2324" i="19"/>
  <c r="V236" i="19"/>
  <c r="V467" i="19"/>
  <c r="V330" i="19"/>
  <c r="V360" i="19"/>
  <c r="V1810" i="19"/>
  <c r="V1999" i="19"/>
  <c r="V1981" i="19"/>
  <c r="V2350" i="19"/>
  <c r="V914" i="19"/>
  <c r="V946" i="19"/>
  <c r="V954" i="19"/>
  <c r="V976" i="19"/>
  <c r="V2320" i="19"/>
  <c r="V104" i="19"/>
  <c r="V230" i="19"/>
  <c r="V1417" i="19"/>
  <c r="V930" i="19"/>
  <c r="V1845" i="19"/>
  <c r="V1881" i="19"/>
  <c r="V1982" i="19"/>
  <c r="V663" i="19"/>
  <c r="V809" i="19"/>
  <c r="V1419" i="19"/>
  <c r="V1678" i="19"/>
  <c r="V1679" i="19"/>
  <c r="V1721" i="19"/>
  <c r="V1403" i="19"/>
  <c r="V2310" i="19"/>
  <c r="V2475" i="19"/>
  <c r="V2513" i="19"/>
  <c r="V2627" i="19"/>
  <c r="V362" i="19"/>
  <c r="V407" i="19"/>
  <c r="V859" i="19"/>
  <c r="V947" i="19"/>
  <c r="V955" i="19"/>
  <c r="V969" i="19"/>
  <c r="V1099" i="19"/>
  <c r="V1506" i="19"/>
  <c r="V1516" i="19"/>
  <c r="V1558" i="19"/>
  <c r="V2516" i="19"/>
  <c r="V24" i="19"/>
  <c r="V72" i="19"/>
  <c r="V114" i="19"/>
  <c r="V158" i="19"/>
  <c r="V298" i="19"/>
  <c r="V1180" i="19"/>
  <c r="V1217" i="19"/>
  <c r="V1686" i="19"/>
  <c r="V1736" i="19"/>
  <c r="V1819" i="19"/>
  <c r="V1945" i="19"/>
  <c r="V2251" i="19"/>
  <c r="V2276" i="19"/>
  <c r="V2562" i="19"/>
  <c r="V123" i="19"/>
  <c r="V699" i="19"/>
  <c r="V707" i="19"/>
  <c r="V1152" i="19"/>
  <c r="V1159" i="19"/>
  <c r="V1227" i="19"/>
  <c r="V1377" i="19"/>
  <c r="V1386" i="19"/>
  <c r="V1410" i="19"/>
  <c r="V1677" i="19"/>
  <c r="V1711" i="19"/>
  <c r="V1803" i="19"/>
  <c r="V1820" i="19"/>
  <c r="V1839" i="19"/>
  <c r="V1974" i="19"/>
  <c r="V2389" i="19"/>
  <c r="V2427" i="19"/>
  <c r="V2488" i="19"/>
  <c r="V2618" i="19"/>
  <c r="AM23" i="22"/>
  <c r="K58" i="1" s="1"/>
  <c r="AM28" i="22"/>
  <c r="K63" i="1" s="1"/>
  <c r="V25" i="19"/>
  <c r="V73" i="19"/>
  <c r="V92" i="19"/>
  <c r="V139" i="19"/>
  <c r="V190" i="19"/>
  <c r="V210" i="19"/>
  <c r="V824" i="19"/>
  <c r="V883" i="19"/>
  <c r="V924" i="19"/>
  <c r="V988" i="19"/>
  <c r="V994" i="19"/>
  <c r="V1118" i="19"/>
  <c r="V1259" i="19"/>
  <c r="V1268" i="19"/>
  <c r="V1437" i="19"/>
  <c r="V1570" i="19"/>
  <c r="V1597" i="19"/>
  <c r="V1947" i="19"/>
  <c r="V2390" i="19"/>
  <c r="V2511" i="19"/>
  <c r="V2530" i="19"/>
  <c r="AO23" i="22"/>
  <c r="M58" i="1" s="1"/>
  <c r="V336" i="19"/>
  <c r="V472" i="19"/>
  <c r="V541" i="19"/>
  <c r="V561" i="19"/>
  <c r="V650" i="19"/>
  <c r="V658" i="19"/>
  <c r="V708" i="19"/>
  <c r="V716" i="19"/>
  <c r="V795" i="19"/>
  <c r="V846" i="19"/>
  <c r="V1060" i="19"/>
  <c r="V1069" i="19"/>
  <c r="V1446" i="19"/>
  <c r="V1856" i="19"/>
  <c r="V1956" i="19"/>
  <c r="V1966" i="19"/>
  <c r="V2366" i="19"/>
  <c r="V2473" i="19"/>
  <c r="V2643" i="19"/>
  <c r="AP23" i="22"/>
  <c r="N58" i="1" s="1"/>
  <c r="V774" i="19"/>
  <c r="V810" i="19"/>
  <c r="V941" i="19"/>
  <c r="V1070" i="19"/>
  <c r="V1260" i="19"/>
  <c r="V1269" i="19"/>
  <c r="V1277" i="19"/>
  <c r="V1552" i="19"/>
  <c r="V1805" i="19"/>
  <c r="V1822" i="19"/>
  <c r="V1865" i="19"/>
  <c r="V1874" i="19"/>
  <c r="V2373" i="19"/>
  <c r="V2421" i="19"/>
  <c r="V2496" i="19"/>
  <c r="V13" i="19"/>
  <c r="V66" i="19"/>
  <c r="V117" i="19"/>
  <c r="V154" i="19"/>
  <c r="V176" i="19"/>
  <c r="V198" i="19"/>
  <c r="V372" i="19"/>
  <c r="V382" i="19"/>
  <c r="V440" i="19"/>
  <c r="V491" i="19"/>
  <c r="V1177" i="19"/>
  <c r="V1284" i="19"/>
  <c r="V1307" i="19"/>
  <c r="V1380" i="19"/>
  <c r="V1389" i="19"/>
  <c r="V1404" i="19"/>
  <c r="V1413" i="19"/>
  <c r="V1655" i="19"/>
  <c r="V1696" i="19"/>
  <c r="V1714" i="19"/>
  <c r="V1815" i="19"/>
  <c r="V1823" i="19"/>
  <c r="V1958" i="19"/>
  <c r="V1968" i="19"/>
  <c r="V1977" i="19"/>
  <c r="V1995" i="19"/>
  <c r="V2005" i="19"/>
  <c r="V2043" i="19"/>
  <c r="V2270" i="19"/>
  <c r="V2543" i="19"/>
  <c r="V2556" i="19"/>
  <c r="V2600" i="19"/>
  <c r="V27" i="19"/>
  <c r="V270" i="19"/>
  <c r="V301" i="19"/>
  <c r="V329" i="19"/>
  <c r="V507" i="19"/>
  <c r="V514" i="19"/>
  <c r="V563" i="19"/>
  <c r="V631" i="19"/>
  <c r="V695" i="19"/>
  <c r="V776" i="19"/>
  <c r="V811" i="19"/>
  <c r="V966" i="19"/>
  <c r="V973" i="19"/>
  <c r="V1285" i="19"/>
  <c r="V1528" i="19"/>
  <c r="V1859" i="19"/>
  <c r="V2416" i="19"/>
  <c r="V2460" i="19"/>
  <c r="V2636" i="19"/>
  <c r="V2645" i="19"/>
  <c r="V186" i="19"/>
  <c r="V952" i="19"/>
  <c r="V1431" i="19"/>
  <c r="V119" i="19"/>
  <c r="V178" i="19"/>
  <c r="V485" i="19"/>
  <c r="V493" i="19"/>
  <c r="V543" i="19"/>
  <c r="V571" i="19"/>
  <c r="V668" i="19"/>
  <c r="V682" i="19"/>
  <c r="V718" i="19"/>
  <c r="V769" i="19"/>
  <c r="V806" i="19"/>
  <c r="V1005" i="19"/>
  <c r="V1012" i="19"/>
  <c r="V1097" i="19"/>
  <c r="V1105" i="19"/>
  <c r="V1432" i="19"/>
  <c r="V1522" i="19"/>
  <c r="V1555" i="19"/>
  <c r="V1565" i="19"/>
  <c r="V1851" i="19"/>
  <c r="V1951" i="19"/>
  <c r="V1988" i="19"/>
  <c r="V2238" i="19"/>
  <c r="V194" i="19"/>
  <c r="V214" i="19"/>
  <c r="V341" i="19"/>
  <c r="V821" i="19"/>
  <c r="V991" i="19"/>
  <c r="V1089" i="19"/>
  <c r="V1140" i="19"/>
  <c r="V1201" i="19"/>
  <c r="V1264" i="19"/>
  <c r="V1433" i="19"/>
  <c r="V1575" i="19"/>
  <c r="V1624" i="19"/>
  <c r="V1649" i="19"/>
  <c r="V1861" i="19"/>
  <c r="V1887" i="19"/>
  <c r="V1952" i="19"/>
  <c r="V1971" i="19"/>
  <c r="V1980" i="19"/>
  <c r="V2615" i="19"/>
  <c r="V2653" i="19"/>
  <c r="AM26" i="22"/>
  <c r="K61" i="1" s="1"/>
  <c r="V130" i="19"/>
  <c r="V157" i="19"/>
  <c r="V171" i="19"/>
  <c r="V208" i="19"/>
  <c r="V317" i="19"/>
  <c r="V325" i="19"/>
  <c r="V420" i="19"/>
  <c r="V553" i="19"/>
  <c r="V559" i="19"/>
  <c r="V684" i="19"/>
  <c r="V1150" i="19"/>
  <c r="V1215" i="19"/>
  <c r="V1256" i="19"/>
  <c r="V1274" i="19"/>
  <c r="V1791" i="19"/>
  <c r="V1936" i="19"/>
  <c r="V1944" i="19"/>
  <c r="V2250" i="19"/>
  <c r="V2377" i="19"/>
  <c r="V2387" i="19"/>
  <c r="V2580" i="19"/>
  <c r="V2589" i="19"/>
  <c r="V2623" i="19"/>
  <c r="V125" i="19"/>
  <c r="V140" i="19"/>
  <c r="V175" i="19"/>
  <c r="V184" i="19"/>
  <c r="V292" i="19"/>
  <c r="V378" i="19"/>
  <c r="V408" i="19"/>
  <c r="V421" i="19"/>
  <c r="V450" i="19"/>
  <c r="V457" i="19"/>
  <c r="V685" i="19"/>
  <c r="V706" i="19"/>
  <c r="V772" i="19"/>
  <c r="V779" i="19"/>
  <c r="V800" i="19"/>
  <c r="V844" i="19"/>
  <c r="V1007" i="19"/>
  <c r="V1058" i="19"/>
  <c r="V1075" i="19"/>
  <c r="V1083" i="19"/>
  <c r="V1207" i="19"/>
  <c r="V1216" i="19"/>
  <c r="V1225" i="19"/>
  <c r="V1295" i="19"/>
  <c r="V1393" i="19"/>
  <c r="V1408" i="19"/>
  <c r="V1416" i="19"/>
  <c r="V1443" i="19"/>
  <c r="V1523" i="19"/>
  <c r="V1684" i="19"/>
  <c r="V1692" i="19"/>
  <c r="V1699" i="19"/>
  <c r="V1717" i="19"/>
  <c r="V1826" i="19"/>
  <c r="V1935" i="19"/>
  <c r="V1942" i="19"/>
  <c r="V1950" i="19"/>
  <c r="V1986" i="19"/>
  <c r="V2246" i="19"/>
  <c r="V2465" i="19"/>
  <c r="V6" i="19"/>
  <c r="V217" i="19"/>
  <c r="V225" i="19"/>
  <c r="V306" i="19"/>
  <c r="V379" i="19"/>
  <c r="V395" i="19"/>
  <c r="V664" i="19"/>
  <c r="V678" i="19"/>
  <c r="V815" i="19"/>
  <c r="V830" i="19"/>
  <c r="V1068" i="19"/>
  <c r="V1100" i="19"/>
  <c r="V1108" i="19"/>
  <c r="V1208" i="19"/>
  <c r="V1266" i="19"/>
  <c r="V1275" i="19"/>
  <c r="V1376" i="19"/>
  <c r="V1384" i="19"/>
  <c r="V1425" i="19"/>
  <c r="V1434" i="19"/>
  <c r="V1541" i="19"/>
  <c r="V1960" i="19"/>
  <c r="V2436" i="19"/>
  <c r="V2459" i="19"/>
  <c r="V2555" i="19"/>
  <c r="V75" i="19"/>
  <c r="V94" i="19"/>
  <c r="V101" i="19"/>
  <c r="V110" i="19"/>
  <c r="V141" i="19"/>
  <c r="V191" i="19"/>
  <c r="V293" i="19"/>
  <c r="V409" i="19"/>
  <c r="V422" i="19"/>
  <c r="V430" i="19"/>
  <c r="V458" i="19"/>
  <c r="V620" i="19"/>
  <c r="V636" i="19"/>
  <c r="V672" i="19"/>
  <c r="V765" i="19"/>
  <c r="V794" i="19"/>
  <c r="V816" i="19"/>
  <c r="V993" i="19"/>
  <c r="V1002" i="19"/>
  <c r="V1059" i="19"/>
  <c r="V1076" i="19"/>
  <c r="V1117" i="19"/>
  <c r="V1385" i="19"/>
  <c r="V1426" i="19"/>
  <c r="V1444" i="19"/>
  <c r="V1452" i="19"/>
  <c r="V1474" i="19"/>
  <c r="V1524" i="19"/>
  <c r="V1542" i="19"/>
  <c r="V1549" i="19"/>
  <c r="V1576" i="19"/>
  <c r="V1585" i="19"/>
  <c r="V1594" i="19"/>
  <c r="V1620" i="19"/>
  <c r="V1693" i="19"/>
  <c r="V1853" i="19"/>
  <c r="V1862" i="19"/>
  <c r="V1869" i="19"/>
  <c r="V1878" i="19"/>
  <c r="V2247" i="19"/>
  <c r="V2272" i="19"/>
  <c r="V2325" i="19"/>
  <c r="V2422" i="19"/>
  <c r="V2575" i="19"/>
  <c r="V2634" i="19"/>
  <c r="V262" i="19"/>
  <c r="V269" i="19"/>
  <c r="V337" i="19"/>
  <c r="V423" i="19"/>
  <c r="V452" i="19"/>
  <c r="V569" i="19"/>
  <c r="V621" i="19"/>
  <c r="V629" i="19"/>
  <c r="V949" i="19"/>
  <c r="V1559" i="19"/>
  <c r="V1743" i="19"/>
  <c r="V28" i="19"/>
  <c r="V95" i="19"/>
  <c r="V142" i="19"/>
  <c r="V227" i="19"/>
  <c r="V256" i="19"/>
  <c r="V352" i="19"/>
  <c r="V365" i="19"/>
  <c r="V459" i="19"/>
  <c r="V673" i="19"/>
  <c r="V680" i="19"/>
  <c r="V709" i="19"/>
  <c r="V832" i="19"/>
  <c r="V918" i="19"/>
  <c r="V925" i="19"/>
  <c r="V950" i="19"/>
  <c r="V980" i="19"/>
  <c r="V1109" i="19"/>
  <c r="V1228" i="19"/>
  <c r="V1352" i="19"/>
  <c r="V1508" i="19"/>
  <c r="V1518" i="19"/>
  <c r="V1543" i="19"/>
  <c r="V1550" i="19"/>
  <c r="V1727" i="19"/>
  <c r="V1880" i="19"/>
  <c r="V2249" i="19"/>
  <c r="V2255" i="19"/>
  <c r="V2312" i="19"/>
  <c r="V2393" i="19"/>
  <c r="V2430" i="19"/>
  <c r="V2506" i="19"/>
  <c r="V1244" i="19"/>
  <c r="V2274" i="19"/>
  <c r="V2319" i="19"/>
  <c r="V2485" i="19"/>
  <c r="V2577" i="19"/>
  <c r="V2620" i="19"/>
  <c r="V2635" i="19"/>
  <c r="V513" i="19"/>
  <c r="V556" i="19"/>
  <c r="V622" i="19"/>
  <c r="V660" i="19"/>
  <c r="V818" i="19"/>
  <c r="V958" i="19"/>
  <c r="V1110" i="19"/>
  <c r="V1119" i="19"/>
  <c r="V1387" i="19"/>
  <c r="V1411" i="19"/>
  <c r="V1526" i="19"/>
  <c r="V1639" i="19"/>
  <c r="V1645" i="19"/>
  <c r="V1728" i="19"/>
  <c r="V22" i="19"/>
  <c r="V29" i="19"/>
  <c r="V70" i="19"/>
  <c r="V200" i="19"/>
  <c r="V220" i="19"/>
  <c r="V237" i="19"/>
  <c r="V257" i="19"/>
  <c r="V302" i="19"/>
  <c r="V391" i="19"/>
  <c r="V425" i="19"/>
  <c r="V528" i="19"/>
  <c r="V549" i="19"/>
  <c r="V570" i="19"/>
  <c r="V596" i="19"/>
  <c r="V611" i="19"/>
  <c r="V645" i="19"/>
  <c r="V652" i="19"/>
  <c r="V667" i="19"/>
  <c r="V775" i="19"/>
  <c r="V796" i="19"/>
  <c r="V841" i="19"/>
  <c r="V919" i="19"/>
  <c r="V935" i="19"/>
  <c r="V942" i="19"/>
  <c r="V951" i="19"/>
  <c r="V1129" i="19"/>
  <c r="V1154" i="19"/>
  <c r="V1220" i="19"/>
  <c r="V1291" i="19"/>
  <c r="V1306" i="19"/>
  <c r="V1412" i="19"/>
  <c r="V1571" i="19"/>
  <c r="V1804" i="19"/>
  <c r="V1814" i="19"/>
  <c r="V1821" i="19"/>
  <c r="V1872" i="19"/>
  <c r="V1946" i="19"/>
  <c r="V1954" i="19"/>
  <c r="V1964" i="19"/>
  <c r="V2000" i="19"/>
  <c r="V2266" i="19"/>
  <c r="V2296" i="19"/>
  <c r="V2386" i="19"/>
  <c r="V2410" i="19"/>
  <c r="V2558" i="19"/>
  <c r="V207" i="19"/>
  <c r="V244" i="19"/>
  <c r="V398" i="19"/>
  <c r="V711" i="19"/>
  <c r="V856" i="19"/>
  <c r="V1095" i="19"/>
  <c r="V1292" i="19"/>
  <c r="V1363" i="19"/>
  <c r="V1795" i="19"/>
  <c r="V1864" i="19"/>
  <c r="V2546" i="19"/>
  <c r="V113" i="19"/>
  <c r="V121" i="19"/>
  <c r="V144" i="19"/>
  <c r="V164" i="19"/>
  <c r="V180" i="19"/>
  <c r="V201" i="19"/>
  <c r="V324" i="19"/>
  <c r="V332" i="19"/>
  <c r="V347" i="19"/>
  <c r="V354" i="19"/>
  <c r="V500" i="19"/>
  <c r="V521" i="19"/>
  <c r="V624" i="19"/>
  <c r="V639" i="19"/>
  <c r="V797" i="19"/>
  <c r="V820" i="19"/>
  <c r="V842" i="19"/>
  <c r="V990" i="19"/>
  <c r="V997" i="19"/>
  <c r="V1237" i="19"/>
  <c r="V1300" i="19"/>
  <c r="V1364" i="19"/>
  <c r="V1372" i="19"/>
  <c r="V1495" i="19"/>
  <c r="V1502" i="19"/>
  <c r="V1511" i="19"/>
  <c r="V1553" i="19"/>
  <c r="V1580" i="19"/>
  <c r="V1598" i="19"/>
  <c r="V1672" i="19"/>
  <c r="V1689" i="19"/>
  <c r="V1705" i="19"/>
  <c r="V1739" i="19"/>
  <c r="V2628" i="19"/>
  <c r="V131" i="19"/>
  <c r="V2262" i="19"/>
  <c r="V2267" i="19"/>
  <c r="V2277" i="19"/>
  <c r="V2378" i="19"/>
  <c r="V2388" i="19"/>
  <c r="V2479" i="19"/>
  <c r="V172" i="19"/>
  <c r="V1138" i="19"/>
  <c r="V1390" i="19"/>
  <c r="V1840" i="19"/>
  <c r="V138" i="19"/>
  <c r="V145" i="19"/>
  <c r="V259" i="19"/>
  <c r="V304" i="19"/>
  <c r="V334" i="19"/>
  <c r="V355" i="19"/>
  <c r="V376" i="19"/>
  <c r="V538" i="19"/>
  <c r="V675" i="19"/>
  <c r="V758" i="19"/>
  <c r="V777" i="19"/>
  <c r="V785" i="19"/>
  <c r="V792" i="19"/>
  <c r="V828" i="19"/>
  <c r="V835" i="19"/>
  <c r="V886" i="19"/>
  <c r="V913" i="19"/>
  <c r="V921" i="19"/>
  <c r="V937" i="19"/>
  <c r="V975" i="19"/>
  <c r="V1073" i="19"/>
  <c r="V1131" i="19"/>
  <c r="V1139" i="19"/>
  <c r="V1148" i="19"/>
  <c r="V1157" i="19"/>
  <c r="V1231" i="19"/>
  <c r="V1279" i="19"/>
  <c r="V1521" i="19"/>
  <c r="V1538" i="19"/>
  <c r="V1564" i="19"/>
  <c r="V1573" i="19"/>
  <c r="V1591" i="19"/>
  <c r="V1641" i="19"/>
  <c r="V1665" i="19"/>
  <c r="V1673" i="19"/>
  <c r="V1681" i="19"/>
  <c r="V1697" i="19"/>
  <c r="V1722" i="19"/>
  <c r="V1833" i="19"/>
  <c r="V1875" i="19"/>
  <c r="V1940" i="19"/>
  <c r="V1957" i="19"/>
  <c r="V1976" i="19"/>
  <c r="V2268" i="19"/>
  <c r="V2352" i="19"/>
  <c r="V2412" i="19"/>
  <c r="V2487" i="19"/>
  <c r="V2535" i="19"/>
  <c r="V2590" i="19"/>
  <c r="V107" i="19"/>
  <c r="V189" i="19"/>
  <c r="V266" i="19"/>
  <c r="V342" i="19"/>
  <c r="V400" i="19"/>
  <c r="V478" i="19"/>
  <c r="V509" i="19"/>
  <c r="V516" i="19"/>
  <c r="V523" i="19"/>
  <c r="V531" i="19"/>
  <c r="V572" i="19"/>
  <c r="V633" i="19"/>
  <c r="V655" i="19"/>
  <c r="V697" i="19"/>
  <c r="V1013" i="19"/>
  <c r="V1052" i="19"/>
  <c r="V1082" i="19"/>
  <c r="V1123" i="19"/>
  <c r="V1214" i="19"/>
  <c r="V1255" i="19"/>
  <c r="V1273" i="19"/>
  <c r="V1834" i="19"/>
  <c r="V1884" i="19"/>
  <c r="V1984" i="19"/>
  <c r="V2042" i="19"/>
  <c r="V216" i="19"/>
  <c r="V369" i="19"/>
  <c r="V386" i="19"/>
  <c r="V394" i="19"/>
  <c r="V613" i="19"/>
  <c r="V626" i="19"/>
  <c r="V634" i="19"/>
  <c r="V641" i="19"/>
  <c r="V739" i="19"/>
  <c r="V807" i="19"/>
  <c r="V814" i="19"/>
  <c r="V843" i="19"/>
  <c r="V1006" i="19"/>
  <c r="V1037" i="19"/>
  <c r="V1124" i="19"/>
  <c r="V1232" i="19"/>
  <c r="V1249" i="19"/>
  <c r="V1287" i="19"/>
  <c r="V1415" i="19"/>
  <c r="V1442" i="19"/>
  <c r="V1514" i="19"/>
  <c r="V1548" i="19"/>
  <c r="V1582" i="19"/>
  <c r="V1600" i="19"/>
  <c r="V1716" i="19"/>
  <c r="V1808" i="19"/>
  <c r="V1817" i="19"/>
  <c r="V1941" i="19"/>
  <c r="V1949" i="19"/>
  <c r="V2245" i="19"/>
  <c r="V2279" i="19"/>
  <c r="V2316" i="19"/>
  <c r="V2323" i="19"/>
  <c r="V2457" i="19"/>
  <c r="V2495" i="19"/>
  <c r="V2591" i="19"/>
  <c r="V2606" i="19"/>
  <c r="V2617" i="19"/>
  <c r="V26" i="19"/>
  <c r="V74" i="19"/>
  <c r="V93" i="19"/>
  <c r="V146" i="19"/>
  <c r="V166" i="19"/>
  <c r="V196" i="19"/>
  <c r="V209" i="19"/>
  <c r="V252" i="19"/>
  <c r="V373" i="19"/>
  <c r="V439" i="19"/>
  <c r="V446" i="19"/>
  <c r="V498" i="19"/>
  <c r="V526" i="19"/>
  <c r="V547" i="19"/>
  <c r="V635" i="19"/>
  <c r="V671" i="19"/>
  <c r="V771" i="19"/>
  <c r="V799" i="19"/>
  <c r="V849" i="19"/>
  <c r="V864" i="19"/>
  <c r="V982" i="19"/>
  <c r="V1004" i="19"/>
  <c r="V1079" i="19"/>
  <c r="V1120" i="19"/>
  <c r="V1234" i="19"/>
  <c r="V1243" i="19"/>
  <c r="V1251" i="19"/>
  <c r="V1288" i="19"/>
  <c r="V1358" i="19"/>
  <c r="V1414" i="19"/>
  <c r="V1501" i="19"/>
  <c r="V1520" i="19"/>
  <c r="V1535" i="19"/>
  <c r="V1544" i="19"/>
  <c r="V1561" i="19"/>
  <c r="V1652" i="19"/>
  <c r="V1709" i="19"/>
  <c r="V1724" i="19"/>
  <c r="V1799" i="19"/>
  <c r="V1824" i="19"/>
  <c r="V1849" i="19"/>
  <c r="V1948" i="19"/>
  <c r="V1975" i="19"/>
  <c r="V1983" i="19"/>
  <c r="V1992" i="19"/>
  <c r="V2041" i="19"/>
  <c r="V2242" i="19"/>
  <c r="V2333" i="19"/>
  <c r="V2424" i="19"/>
  <c r="V2497" i="19"/>
  <c r="V2531" i="19"/>
  <c r="V2592" i="19"/>
  <c r="V2608" i="19"/>
  <c r="V2633" i="19"/>
  <c r="V232" i="19"/>
  <c r="V787" i="19"/>
  <c r="V858" i="19"/>
  <c r="V967" i="19"/>
  <c r="V1064" i="19"/>
  <c r="V1080" i="19"/>
  <c r="V1112" i="19"/>
  <c r="V1137" i="19"/>
  <c r="V1235" i="19"/>
  <c r="V1282" i="19"/>
  <c r="V1367" i="19"/>
  <c r="V1383" i="19"/>
  <c r="V1407" i="19"/>
  <c r="V1423" i="19"/>
  <c r="V1536" i="19"/>
  <c r="V1653" i="19"/>
  <c r="V1725" i="19"/>
  <c r="V1809" i="19"/>
  <c r="V1835" i="19"/>
  <c r="V1841" i="19"/>
  <c r="V1910" i="19"/>
  <c r="V1993" i="19"/>
  <c r="V2257" i="19"/>
  <c r="V2376" i="19"/>
  <c r="V2438" i="19"/>
  <c r="V2585" i="19"/>
  <c r="V224" i="19"/>
  <c r="V1503" i="19"/>
  <c r="V1512" i="19"/>
  <c r="V1545" i="19"/>
  <c r="V1718" i="19"/>
  <c r="V1735" i="19"/>
  <c r="V1842" i="19"/>
  <c r="V2461" i="19"/>
  <c r="V2649" i="19"/>
  <c r="V134" i="19"/>
  <c r="V204" i="19"/>
  <c r="V260" i="19"/>
  <c r="V368" i="19"/>
  <c r="V399" i="19"/>
  <c r="V460" i="19"/>
  <c r="V474" i="19"/>
  <c r="V520" i="19"/>
  <c r="V643" i="19"/>
  <c r="V760" i="19"/>
  <c r="V808" i="19"/>
  <c r="V836" i="19"/>
  <c r="V945" i="19"/>
  <c r="V998" i="19"/>
  <c r="V1104" i="19"/>
  <c r="V1994" i="19"/>
  <c r="V2004" i="19"/>
  <c r="V2244" i="19"/>
  <c r="V2418" i="19"/>
  <c r="V2492" i="19"/>
  <c r="V2499" i="19"/>
  <c r="V2507" i="19"/>
  <c r="V2514" i="19"/>
  <c r="V2610" i="19"/>
  <c r="V267" i="19"/>
  <c r="V666" i="19"/>
  <c r="V1065" i="19"/>
  <c r="V1229" i="19"/>
  <c r="V1368" i="19"/>
  <c r="V1478" i="19"/>
  <c r="V1504" i="19"/>
  <c r="V1688" i="19"/>
  <c r="V1885" i="19"/>
  <c r="V275" i="19"/>
  <c r="V299" i="19"/>
  <c r="V312" i="19"/>
  <c r="V434" i="19"/>
  <c r="V499" i="19"/>
  <c r="V515" i="19"/>
  <c r="V659" i="19"/>
  <c r="V694" i="19"/>
  <c r="V700" i="19"/>
  <c r="V780" i="19"/>
  <c r="V823" i="19"/>
  <c r="V851" i="19"/>
  <c r="V922" i="19"/>
  <c r="V961" i="19"/>
  <c r="V984" i="19"/>
  <c r="V999" i="19"/>
  <c r="V1066" i="19"/>
  <c r="V1581" i="19"/>
  <c r="V1590" i="19"/>
  <c r="V1617" i="19"/>
  <c r="V1786" i="19"/>
  <c r="V1827" i="19"/>
  <c r="V1836" i="19"/>
  <c r="V1843" i="19"/>
  <c r="V1852" i="19"/>
  <c r="V1868" i="19"/>
  <c r="V1877" i="19"/>
  <c r="V1969" i="19"/>
  <c r="V2594" i="19"/>
  <c r="V8" i="19"/>
  <c r="V21" i="19"/>
  <c r="V77" i="19"/>
  <c r="V205" i="19"/>
  <c r="V261" i="19"/>
  <c r="V461" i="19"/>
  <c r="V1205" i="19"/>
  <c r="V1222" i="19"/>
  <c r="V1369" i="19"/>
  <c r="V1451" i="19"/>
  <c r="V2379" i="19"/>
  <c r="V2419" i="19"/>
  <c r="V2508" i="19"/>
  <c r="V2515" i="19"/>
  <c r="V2578" i="19"/>
  <c r="V276" i="19"/>
  <c r="V319" i="19"/>
  <c r="V630" i="19"/>
  <c r="V781" i="19"/>
  <c r="V915" i="19"/>
  <c r="V985" i="19"/>
  <c r="V1000" i="19"/>
  <c r="V1074" i="19"/>
  <c r="V1539" i="19"/>
  <c r="V1720" i="19"/>
  <c r="V1979" i="19"/>
  <c r="V192" i="19"/>
  <c r="V313" i="19"/>
  <c r="V477" i="19"/>
  <c r="V537" i="19"/>
  <c r="V674" i="19"/>
  <c r="V681" i="19"/>
  <c r="V1149" i="19"/>
  <c r="V1409" i="19"/>
  <c r="V1943" i="19"/>
  <c r="V1961" i="19"/>
  <c r="V1970" i="19"/>
  <c r="V2396" i="19"/>
  <c r="V2501" i="19"/>
  <c r="V2547" i="19"/>
  <c r="V2569" i="19"/>
  <c r="V2579" i="19"/>
  <c r="V2602" i="19"/>
  <c r="V2" i="19"/>
  <c r="V9" i="19"/>
  <c r="V120" i="19"/>
  <c r="V136" i="19"/>
  <c r="V206" i="19"/>
  <c r="V219" i="19"/>
  <c r="V277" i="19"/>
  <c r="V320" i="19"/>
  <c r="V401" i="19"/>
  <c r="V436" i="19"/>
  <c r="V486" i="19"/>
  <c r="V530" i="19"/>
  <c r="V558" i="19"/>
  <c r="V592" i="19"/>
  <c r="V661" i="19"/>
  <c r="V702" i="19"/>
  <c r="V717" i="19"/>
  <c r="V803" i="19"/>
  <c r="V831" i="19"/>
  <c r="V838" i="19"/>
  <c r="V866" i="19"/>
  <c r="V1278" i="19"/>
  <c r="V1378" i="19"/>
  <c r="V1690" i="19"/>
  <c r="V1829" i="19"/>
  <c r="V90" i="19"/>
  <c r="V105" i="19"/>
  <c r="V156" i="19"/>
  <c r="V917" i="19"/>
  <c r="V1248" i="19"/>
  <c r="V1354" i="19"/>
  <c r="V1396" i="19"/>
  <c r="V1418" i="19"/>
  <c r="V1794" i="19"/>
  <c r="V1813" i="19"/>
  <c r="V1870" i="19"/>
  <c r="V2414" i="19"/>
  <c r="V2480" i="19"/>
  <c r="V2548" i="19"/>
  <c r="V2622" i="19"/>
  <c r="V30" i="19"/>
  <c r="V150" i="19"/>
  <c r="V249" i="19"/>
  <c r="V314" i="19"/>
  <c r="V344" i="19"/>
  <c r="V564" i="19"/>
  <c r="V817" i="19"/>
  <c r="V853" i="19"/>
  <c r="V933" i="19"/>
  <c r="V979" i="19"/>
  <c r="V1397" i="19"/>
  <c r="V1683" i="19"/>
  <c r="V2280" i="19"/>
  <c r="V2293" i="19"/>
  <c r="V179" i="19"/>
  <c r="V321" i="19"/>
  <c r="V358" i="19"/>
  <c r="V380" i="19"/>
  <c r="V402" i="19"/>
  <c r="V487" i="19"/>
  <c r="V940" i="19"/>
  <c r="V957" i="19"/>
  <c r="V1054" i="19"/>
  <c r="V1091" i="19"/>
  <c r="V1151" i="19"/>
  <c r="V1331" i="19"/>
  <c r="V1517" i="19"/>
  <c r="V1531" i="19"/>
  <c r="V1567" i="19"/>
  <c r="V1584" i="19"/>
  <c r="V1691" i="19"/>
  <c r="V1846" i="19"/>
  <c r="V1953" i="19"/>
  <c r="V1963" i="19"/>
  <c r="V1989" i="19"/>
  <c r="V2271" i="19"/>
  <c r="V2331" i="19"/>
  <c r="V250" i="19"/>
  <c r="V625" i="19"/>
  <c r="V696" i="19"/>
  <c r="V2517" i="19"/>
  <c r="V2652" i="19"/>
  <c r="V91" i="19"/>
  <c r="V287" i="19"/>
  <c r="V825" i="19"/>
  <c r="V855" i="19"/>
  <c r="V1286" i="19"/>
  <c r="V1445" i="19"/>
  <c r="V1532" i="19"/>
  <c r="V1745" i="19"/>
  <c r="V1831" i="19"/>
  <c r="V2398" i="19"/>
  <c r="V2582" i="19"/>
  <c r="V2640" i="19"/>
  <c r="V31" i="19"/>
  <c r="V83" i="19"/>
  <c r="V98" i="19"/>
  <c r="V238" i="19"/>
  <c r="V264" i="19"/>
  <c r="V322" i="19"/>
  <c r="V359" i="19"/>
  <c r="V403" i="19"/>
  <c r="V438" i="19"/>
  <c r="V464" i="19"/>
  <c r="V480" i="19"/>
  <c r="V560" i="19"/>
  <c r="V565" i="19"/>
  <c r="V647" i="19"/>
  <c r="V669" i="19"/>
  <c r="V690" i="19"/>
  <c r="V719" i="19"/>
  <c r="V798" i="19"/>
  <c r="V833" i="19"/>
  <c r="V926" i="19"/>
  <c r="V965" i="19"/>
  <c r="V1061" i="19"/>
  <c r="V1143" i="19"/>
  <c r="V1241" i="19"/>
  <c r="V1429" i="19"/>
  <c r="V1438" i="19"/>
  <c r="V1938" i="19"/>
  <c r="V2503" i="19"/>
  <c r="V1857" i="19"/>
  <c r="V2273" i="19"/>
  <c r="V2384" i="19"/>
  <c r="V2399" i="19"/>
  <c r="V2483" i="19"/>
  <c r="V2563" i="19"/>
  <c r="V2573" i="19"/>
  <c r="V2641" i="19"/>
  <c r="V2647" i="19"/>
  <c r="V5" i="19"/>
  <c r="V115" i="19"/>
  <c r="V132" i="19"/>
  <c r="V152" i="19"/>
  <c r="V202" i="19"/>
  <c r="V245" i="19"/>
  <c r="V258" i="19"/>
  <c r="V272" i="19"/>
  <c r="V303" i="19"/>
  <c r="V316" i="19"/>
  <c r="V331" i="19"/>
  <c r="V397" i="19"/>
  <c r="V481" i="19"/>
  <c r="V540" i="19"/>
  <c r="V566" i="19"/>
  <c r="V648" i="19"/>
  <c r="V656" i="19"/>
  <c r="V670" i="19"/>
  <c r="V691" i="19"/>
  <c r="V770" i="19"/>
  <c r="V813" i="19"/>
  <c r="V826" i="19"/>
  <c r="V848" i="19"/>
  <c r="V972" i="19"/>
  <c r="V1011" i="19"/>
  <c r="V1093" i="19"/>
  <c r="V1103" i="19"/>
  <c r="V1209" i="19"/>
  <c r="V1218" i="19"/>
  <c r="V1257" i="19"/>
  <c r="V1304" i="19"/>
  <c r="V1391" i="19"/>
  <c r="V1398" i="19"/>
  <c r="V1453" i="19"/>
  <c r="V1534" i="19"/>
  <c r="V1676" i="19"/>
  <c r="V1708" i="19"/>
  <c r="V1798" i="19"/>
  <c r="V1807" i="19"/>
  <c r="V1848" i="19"/>
  <c r="V1873" i="19"/>
  <c r="V1883" i="19"/>
  <c r="V1939" i="19"/>
  <c r="V2305" i="19"/>
  <c r="V2423" i="19"/>
  <c r="V2450" i="19"/>
  <c r="V2512" i="19"/>
  <c r="V151" i="19"/>
  <c r="V414" i="19"/>
  <c r="V1135" i="19"/>
  <c r="V1233" i="19"/>
  <c r="V99" i="19"/>
  <c r="V968" i="19"/>
  <c r="V1242" i="19"/>
  <c r="V1250" i="19"/>
  <c r="V2626" i="19"/>
  <c r="V133" i="19"/>
  <c r="V251" i="19"/>
  <c r="V381" i="19"/>
  <c r="V923" i="19"/>
  <c r="V939" i="19"/>
  <c r="V1219" i="19"/>
  <c r="V1374" i="19"/>
  <c r="V1674" i="19"/>
  <c r="V390" i="19"/>
  <c r="V932" i="19"/>
  <c r="V1525" i="19"/>
  <c r="V1659" i="19"/>
  <c r="V366" i="19"/>
  <c r="V1305" i="19"/>
  <c r="V2456" i="19"/>
  <c r="V367" i="19"/>
  <c r="V512" i="19"/>
  <c r="V676" i="19"/>
  <c r="V1090" i="19"/>
  <c r="V1290" i="19"/>
  <c r="V1298" i="19"/>
  <c r="V1440" i="19"/>
  <c r="V1587" i="19"/>
  <c r="V482" i="19"/>
  <c r="V1299" i="19"/>
  <c r="V2392" i="19"/>
  <c r="V2572" i="19"/>
  <c r="V170" i="19"/>
  <c r="V649" i="19"/>
  <c r="V834" i="19"/>
  <c r="V2385" i="19"/>
  <c r="V163" i="19"/>
  <c r="V827" i="19"/>
  <c r="V995" i="19"/>
  <c r="V1141" i="19"/>
  <c r="V1554" i="19"/>
  <c r="V1702" i="19"/>
  <c r="V2243" i="19"/>
  <c r="V1812" i="19"/>
  <c r="V2391" i="19"/>
  <c r="V2619" i="19"/>
  <c r="V2642" i="19"/>
  <c r="V15" i="19"/>
  <c r="V100" i="19"/>
  <c r="V108" i="19"/>
  <c r="V116" i="19"/>
  <c r="V199" i="19"/>
  <c r="V211" i="19"/>
  <c r="V239" i="19"/>
  <c r="V307" i="19"/>
  <c r="V348" i="19"/>
  <c r="V396" i="19"/>
  <c r="V435" i="19"/>
  <c r="V442" i="19"/>
  <c r="V448" i="19"/>
  <c r="V483" i="19"/>
  <c r="V489" i="19"/>
  <c r="V504" i="19"/>
  <c r="V511" i="19"/>
  <c r="V525" i="19"/>
  <c r="V562" i="19"/>
  <c r="V628" i="19"/>
  <c r="V683" i="19"/>
  <c r="V789" i="19"/>
  <c r="V801" i="19"/>
  <c r="V854" i="19"/>
  <c r="V905" i="19"/>
  <c r="V983" i="19"/>
  <c r="V996" i="19"/>
  <c r="V1212" i="19"/>
  <c r="V1272" i="19"/>
  <c r="V1388" i="19"/>
  <c r="V1424" i="19"/>
  <c r="V1509" i="19"/>
  <c r="V1588" i="19"/>
  <c r="V1667" i="19"/>
  <c r="V1682" i="19"/>
  <c r="V1710" i="19"/>
  <c r="V1863" i="19"/>
  <c r="V1965" i="19"/>
  <c r="V1973" i="19"/>
  <c r="V2301" i="19"/>
  <c r="V2322" i="19"/>
  <c r="V2351" i="19"/>
  <c r="V2370" i="19"/>
  <c r="V2455" i="19"/>
  <c r="V2477" i="19"/>
  <c r="V2505" i="19"/>
  <c r="V2571" i="19"/>
  <c r="V2595" i="19"/>
  <c r="V490" i="19"/>
  <c r="V657" i="19"/>
  <c r="V790" i="19"/>
  <c r="V1668" i="19"/>
  <c r="V2302" i="19"/>
  <c r="V2486" i="19"/>
  <c r="V16" i="19"/>
  <c r="V23" i="19"/>
  <c r="V165" i="19"/>
  <c r="V188" i="19"/>
  <c r="V349" i="19"/>
  <c r="V468" i="19"/>
  <c r="V551" i="19"/>
  <c r="V677" i="19"/>
  <c r="V948" i="19"/>
  <c r="V1128" i="19"/>
  <c r="V1293" i="19"/>
  <c r="V1441" i="19"/>
  <c r="V1448" i="19"/>
  <c r="V1651" i="19"/>
  <c r="V1734" i="19"/>
  <c r="V1850" i="19"/>
  <c r="V2435" i="19"/>
  <c r="V109" i="19"/>
  <c r="V212" i="19"/>
  <c r="V240" i="19"/>
  <c r="V361" i="19"/>
  <c r="V415" i="19"/>
  <c r="V1510" i="19"/>
  <c r="V10" i="19"/>
  <c r="V235" i="19"/>
  <c r="V241" i="19"/>
  <c r="V343" i="19"/>
  <c r="V383" i="19"/>
  <c r="V437" i="19"/>
  <c r="V456" i="19"/>
  <c r="V533" i="19"/>
  <c r="V637" i="19"/>
  <c r="V698" i="19"/>
  <c r="V1361" i="19"/>
  <c r="V1382" i="19"/>
  <c r="V1527" i="19"/>
  <c r="V1574" i="19"/>
  <c r="V1828" i="19"/>
  <c r="V2252" i="19"/>
  <c r="V2317" i="19"/>
  <c r="V2448" i="19"/>
  <c r="V2458" i="19"/>
  <c r="V2464" i="19"/>
  <c r="V2471" i="19"/>
  <c r="V2500" i="19"/>
  <c r="V2614" i="19"/>
  <c r="V863" i="19"/>
  <c r="V911" i="19"/>
  <c r="V2281" i="19"/>
  <c r="V2470" i="19"/>
  <c r="V111" i="19"/>
  <c r="V118" i="19"/>
  <c r="V147" i="19"/>
  <c r="V159" i="19"/>
  <c r="V181" i="19"/>
  <c r="V253" i="19"/>
  <c r="V273" i="19"/>
  <c r="V309" i="19"/>
  <c r="V350" i="19"/>
  <c r="V356" i="19"/>
  <c r="V404" i="19"/>
  <c r="V410" i="19"/>
  <c r="V444" i="19"/>
  <c r="V469" i="19"/>
  <c r="V492" i="19"/>
  <c r="V539" i="19"/>
  <c r="V623" i="19"/>
  <c r="V705" i="19"/>
  <c r="V713" i="19"/>
  <c r="V784" i="19"/>
  <c r="V804" i="19"/>
  <c r="V829" i="19"/>
  <c r="V857" i="19"/>
  <c r="V890" i="19"/>
  <c r="V934" i="19"/>
  <c r="V970" i="19"/>
  <c r="V977" i="19"/>
  <c r="V1030" i="19"/>
  <c r="V1062" i="19"/>
  <c r="V1084" i="19"/>
  <c r="V1092" i="19"/>
  <c r="V1136" i="19"/>
  <c r="V1184" i="19"/>
  <c r="V1206" i="19"/>
  <c r="V1236" i="19"/>
  <c r="V1258" i="19"/>
  <c r="V1265" i="19"/>
  <c r="V1713" i="19"/>
  <c r="V1866" i="19"/>
  <c r="V1959" i="19"/>
  <c r="V2304" i="19"/>
  <c r="V2359" i="19"/>
  <c r="V2533" i="19"/>
  <c r="V2565" i="19"/>
  <c r="V2583" i="19"/>
  <c r="V2597" i="19"/>
  <c r="V135" i="19"/>
  <c r="V173" i="19"/>
  <c r="V291" i="19"/>
  <c r="V392" i="19"/>
  <c r="V920" i="19"/>
  <c r="V963" i="19"/>
  <c r="V992" i="19"/>
  <c r="V1063" i="19"/>
  <c r="V1077" i="19"/>
  <c r="V1114" i="19"/>
  <c r="V1662" i="19"/>
  <c r="V2295" i="19"/>
  <c r="V2400" i="19"/>
  <c r="V2449" i="19"/>
  <c r="V18" i="19"/>
  <c r="V112" i="19"/>
  <c r="V148" i="19"/>
  <c r="V167" i="19"/>
  <c r="V254" i="19"/>
  <c r="V274" i="19"/>
  <c r="V310" i="19"/>
  <c r="V351" i="19"/>
  <c r="V363" i="19"/>
  <c r="V377" i="19"/>
  <c r="V445" i="19"/>
  <c r="V638" i="19"/>
  <c r="V1071" i="19"/>
  <c r="V1078" i="19"/>
  <c r="V1086" i="19"/>
  <c r="V1145" i="19"/>
  <c r="V1230" i="19"/>
  <c r="V1245" i="19"/>
  <c r="V1267" i="19"/>
  <c r="V1348" i="19"/>
  <c r="V1599" i="19"/>
  <c r="V1830" i="19"/>
  <c r="V1991" i="19"/>
  <c r="V2494" i="19"/>
  <c r="V2557" i="19"/>
  <c r="V2566" i="19"/>
  <c r="V2584" i="19"/>
  <c r="V2598" i="19"/>
  <c r="V2616" i="19"/>
  <c r="V2651" i="19"/>
  <c r="V534" i="19"/>
  <c r="V632" i="19"/>
  <c r="V1937" i="19"/>
  <c r="V2437" i="19"/>
  <c r="V2474" i="19"/>
  <c r="V2509" i="19"/>
  <c r="V2528" i="19"/>
  <c r="V2567" i="19"/>
  <c r="V2629" i="19"/>
  <c r="V229" i="19"/>
  <c r="V393" i="19"/>
  <c r="V431" i="19"/>
  <c r="V778" i="19"/>
  <c r="V1101" i="19"/>
  <c r="V1276" i="19"/>
  <c r="V1537" i="19"/>
  <c r="V1551" i="19"/>
  <c r="V1654" i="19"/>
  <c r="V1671" i="19"/>
  <c r="V97" i="19"/>
  <c r="V149" i="19"/>
  <c r="V161" i="19"/>
  <c r="V168" i="19"/>
  <c r="V215" i="19"/>
  <c r="V255" i="19"/>
  <c r="V311" i="19"/>
  <c r="V364" i="19"/>
  <c r="V370" i="19"/>
  <c r="V406" i="19"/>
  <c r="V412" i="19"/>
  <c r="V522" i="19"/>
  <c r="V554" i="19"/>
  <c r="V646" i="19"/>
  <c r="V653" i="19"/>
  <c r="V1102" i="19"/>
  <c r="V1116" i="19"/>
  <c r="V1224" i="19"/>
  <c r="V1356" i="19"/>
  <c r="V1370" i="19"/>
  <c r="V1420" i="19"/>
  <c r="V1515" i="19"/>
  <c r="V1593" i="19"/>
  <c r="V1647" i="19"/>
  <c r="V1792" i="19"/>
  <c r="V1801" i="19"/>
  <c r="V1978" i="19"/>
  <c r="V2239" i="19"/>
  <c r="V2306" i="19"/>
  <c r="V2313" i="19"/>
  <c r="V2395" i="19"/>
  <c r="V2411" i="19"/>
  <c r="V2451" i="19"/>
  <c r="V2466" i="19"/>
  <c r="V2489" i="19"/>
  <c r="V2576" i="19"/>
  <c r="V2586" i="19"/>
  <c r="V2630" i="19"/>
  <c r="V837" i="19"/>
  <c r="V1001" i="19"/>
  <c r="V32" i="19"/>
  <c r="V106" i="19"/>
  <c r="V122" i="19"/>
  <c r="V137" i="19"/>
  <c r="V143" i="19"/>
  <c r="V155" i="19"/>
  <c r="V185" i="19"/>
  <c r="V197" i="19"/>
  <c r="V203" i="19"/>
  <c r="V305" i="19"/>
  <c r="V819" i="19"/>
  <c r="V1160" i="19"/>
  <c r="V1247" i="19"/>
  <c r="V1421" i="19"/>
  <c r="V1738" i="19"/>
  <c r="V1876" i="19"/>
  <c r="V1890" i="19"/>
  <c r="V1962" i="19"/>
  <c r="V1985" i="19"/>
  <c r="V2002" i="19"/>
  <c r="V2014" i="19"/>
  <c r="V2240" i="19"/>
  <c r="V2248" i="19"/>
  <c r="V2269" i="19"/>
  <c r="V2291" i="19"/>
  <c r="V2403" i="19"/>
  <c r="V2425" i="19"/>
  <c r="V2559" i="19"/>
  <c r="V2593" i="19"/>
  <c r="V2624" i="19"/>
  <c r="V346" i="19"/>
  <c r="V413" i="19"/>
  <c r="V433" i="19"/>
  <c r="V465" i="19"/>
  <c r="V495" i="19"/>
  <c r="V542" i="19"/>
  <c r="V555" i="19"/>
  <c r="V618" i="19"/>
  <c r="V773" i="19"/>
  <c r="V944" i="19"/>
  <c r="V1371" i="19"/>
  <c r="V1648" i="19"/>
  <c r="V7" i="19"/>
  <c r="V20" i="19"/>
  <c r="V162" i="19"/>
  <c r="V169" i="19"/>
  <c r="V736" i="19"/>
  <c r="V788" i="19"/>
  <c r="V845" i="19"/>
  <c r="V852" i="19"/>
  <c r="V960" i="19"/>
  <c r="V1010" i="19"/>
  <c r="V1081" i="19"/>
  <c r="V1499" i="19"/>
  <c r="V1507" i="19"/>
  <c r="V1530" i="19"/>
  <c r="V1562" i="19"/>
  <c r="V1578" i="19"/>
  <c r="V1811" i="19"/>
  <c r="V1818" i="19"/>
  <c r="V2439" i="19"/>
  <c r="V2453" i="19"/>
  <c r="V2490" i="19"/>
  <c r="V2587" i="19"/>
  <c r="V14" i="19"/>
  <c r="V231" i="19"/>
  <c r="V278" i="19"/>
  <c r="V286" i="19"/>
  <c r="V294" i="19"/>
  <c r="V300" i="19"/>
  <c r="V318" i="19"/>
  <c r="V441" i="19"/>
  <c r="V466" i="19"/>
  <c r="V496" i="19"/>
  <c r="V524" i="19"/>
  <c r="V548" i="19"/>
  <c r="V589" i="19"/>
  <c r="V627" i="19"/>
  <c r="V689" i="19"/>
  <c r="V710" i="19"/>
  <c r="V860" i="19"/>
  <c r="V916" i="19"/>
  <c r="V974" i="19"/>
  <c r="V1067" i="19"/>
  <c r="V1096" i="19"/>
  <c r="V1132" i="19"/>
  <c r="V1226" i="19"/>
  <c r="V1240" i="19"/>
  <c r="V1540" i="19"/>
  <c r="V1657" i="19"/>
  <c r="V1955" i="19"/>
  <c r="V1972" i="19"/>
  <c r="V2241" i="19"/>
  <c r="V2260" i="19"/>
  <c r="V2299" i="19"/>
  <c r="V2308" i="19"/>
  <c r="V2363" i="19"/>
  <c r="V2383" i="19"/>
  <c r="V2397" i="19"/>
  <c r="V2426" i="19"/>
  <c r="V2454" i="19"/>
  <c r="V2468" i="19"/>
  <c r="V2484" i="19"/>
  <c r="V2504" i="19"/>
  <c r="V2561" i="19"/>
  <c r="V2609" i="19"/>
  <c r="Q253" i="19"/>
  <c r="P253" i="19"/>
  <c r="O253" i="19"/>
  <c r="P742" i="19"/>
  <c r="O742" i="19"/>
  <c r="Q742" i="19"/>
  <c r="Q527" i="19"/>
  <c r="P527" i="19"/>
  <c r="O527" i="19"/>
  <c r="Q404" i="19"/>
  <c r="O404" i="19"/>
  <c r="P404" i="19"/>
  <c r="Q1848" i="19"/>
  <c r="P1848" i="19"/>
  <c r="O1848" i="19"/>
  <c r="P660" i="19"/>
  <c r="O660" i="19"/>
  <c r="Q660" i="19"/>
  <c r="Q1210" i="19"/>
  <c r="P1210" i="19"/>
  <c r="O1210" i="19"/>
  <c r="O2163" i="19"/>
  <c r="P2163" i="19"/>
  <c r="Q2163" i="19"/>
  <c r="Q383" i="19"/>
  <c r="P383" i="19"/>
  <c r="O383" i="19"/>
  <c r="Q396" i="19"/>
  <c r="P396" i="19"/>
  <c r="O396" i="19"/>
  <c r="P413" i="19"/>
  <c r="Q413" i="19"/>
  <c r="O413" i="19"/>
  <c r="Q543" i="19"/>
  <c r="O543" i="19"/>
  <c r="P543" i="19"/>
  <c r="O778" i="19"/>
  <c r="Q778" i="19"/>
  <c r="P778" i="19"/>
  <c r="O1321" i="19"/>
  <c r="Q1321" i="19"/>
  <c r="P1321" i="19"/>
  <c r="P53" i="19"/>
  <c r="O53" i="19"/>
  <c r="Q53" i="19"/>
  <c r="P628" i="19"/>
  <c r="Q628" i="19"/>
  <c r="O628" i="19"/>
  <c r="Q676" i="19"/>
  <c r="P676" i="19"/>
  <c r="O676" i="19"/>
  <c r="O1445" i="19"/>
  <c r="P1445" i="19"/>
  <c r="Q1445" i="19"/>
  <c r="Q2304" i="19"/>
  <c r="O2304" i="19"/>
  <c r="P2304" i="19"/>
  <c r="P69" i="19"/>
  <c r="O69" i="19"/>
  <c r="Q69" i="19"/>
  <c r="Q78" i="19"/>
  <c r="P78" i="19"/>
  <c r="O78" i="19"/>
  <c r="Q233" i="19"/>
  <c r="P233" i="19"/>
  <c r="O233" i="19"/>
  <c r="P482" i="19"/>
  <c r="O482" i="19"/>
  <c r="Q482" i="19"/>
  <c r="P637" i="19"/>
  <c r="Q637" i="19"/>
  <c r="O637" i="19"/>
  <c r="P689" i="19"/>
  <c r="Q689" i="19"/>
  <c r="O689" i="19"/>
  <c r="Q928" i="19"/>
  <c r="P928" i="19"/>
  <c r="O928" i="19"/>
  <c r="Q985" i="19"/>
  <c r="P985" i="19"/>
  <c r="O985" i="19"/>
  <c r="Q370" i="19"/>
  <c r="P370" i="19"/>
  <c r="O370" i="19"/>
  <c r="O1061" i="19"/>
  <c r="Q1061" i="19"/>
  <c r="P1061" i="19"/>
  <c r="P1461" i="19"/>
  <c r="O1461" i="19"/>
  <c r="Q1461" i="19"/>
  <c r="P229" i="19"/>
  <c r="Q229" i="19"/>
  <c r="O229" i="19"/>
  <c r="P349" i="19"/>
  <c r="Q349" i="19"/>
  <c r="O349" i="19"/>
  <c r="Q521" i="19"/>
  <c r="P521" i="19"/>
  <c r="O521" i="19"/>
  <c r="P1378" i="19"/>
  <c r="O1378" i="19"/>
  <c r="Q1378" i="19"/>
  <c r="P54" i="19"/>
  <c r="Q54" i="19"/>
  <c r="O54" i="19"/>
  <c r="Q203" i="19"/>
  <c r="P203" i="19"/>
  <c r="O203" i="19"/>
  <c r="Q304" i="19"/>
  <c r="P304" i="19"/>
  <c r="O304" i="19"/>
  <c r="Q322" i="19"/>
  <c r="O322" i="19"/>
  <c r="P322" i="19"/>
  <c r="Q380" i="19"/>
  <c r="P380" i="19"/>
  <c r="O380" i="19"/>
  <c r="P393" i="19"/>
  <c r="Q393" i="19"/>
  <c r="O393" i="19"/>
  <c r="P447" i="19"/>
  <c r="Q447" i="19"/>
  <c r="O447" i="19"/>
  <c r="P694" i="19"/>
  <c r="Q694" i="19"/>
  <c r="O694" i="19"/>
  <c r="Q709" i="19"/>
  <c r="P709" i="19"/>
  <c r="O709" i="19"/>
  <c r="O796" i="19"/>
  <c r="Q796" i="19"/>
  <c r="P796" i="19"/>
  <c r="Q836" i="19"/>
  <c r="O836" i="19"/>
  <c r="P836" i="19"/>
  <c r="Q875" i="19"/>
  <c r="P875" i="19"/>
  <c r="O875" i="19"/>
  <c r="P882" i="19"/>
  <c r="Q882" i="19"/>
  <c r="O882" i="19"/>
  <c r="O1475" i="19"/>
  <c r="P1475" i="19"/>
  <c r="Q1475" i="19"/>
  <c r="Q2135" i="19"/>
  <c r="O2135" i="19"/>
  <c r="P2135" i="19"/>
  <c r="Q2364" i="19"/>
  <c r="P2364" i="19"/>
  <c r="O2364" i="19"/>
  <c r="Q297" i="19"/>
  <c r="P297" i="19"/>
  <c r="O297" i="19"/>
  <c r="Q328" i="19"/>
  <c r="P328" i="19"/>
  <c r="O328" i="19"/>
  <c r="P1055" i="19"/>
  <c r="O1055" i="19"/>
  <c r="Q1055" i="19"/>
  <c r="Q1487" i="19"/>
  <c r="P1487" i="19"/>
  <c r="O1487" i="19"/>
  <c r="P1662" i="19"/>
  <c r="Q1662" i="19"/>
  <c r="O1662" i="19"/>
  <c r="Q19" i="19"/>
  <c r="P19" i="19"/>
  <c r="O19" i="19"/>
  <c r="Q887" i="19"/>
  <c r="O887" i="19"/>
  <c r="P887" i="19"/>
  <c r="O1025" i="19"/>
  <c r="P1025" i="19"/>
  <c r="Q1025" i="19"/>
  <c r="O1822" i="19"/>
  <c r="Q1822" i="19"/>
  <c r="P1822" i="19"/>
  <c r="Q2597" i="19"/>
  <c r="P2597" i="19"/>
  <c r="O2597" i="19"/>
  <c r="Q734" i="19"/>
  <c r="P734" i="19"/>
  <c r="O734" i="19"/>
  <c r="Q1044" i="19"/>
  <c r="P1044" i="19"/>
  <c r="O1044" i="19"/>
  <c r="O1101" i="19"/>
  <c r="Q1101" i="19"/>
  <c r="P1101" i="19"/>
  <c r="O2217" i="19"/>
  <c r="Q2217" i="19"/>
  <c r="P2217" i="19"/>
  <c r="Q316" i="19"/>
  <c r="P316" i="19"/>
  <c r="O316" i="19"/>
  <c r="O417" i="19"/>
  <c r="Q417" i="19"/>
  <c r="P417" i="19"/>
  <c r="P737" i="19"/>
  <c r="O737" i="19"/>
  <c r="Q737" i="19"/>
  <c r="Q1669" i="19"/>
  <c r="P1669" i="19"/>
  <c r="O1669" i="19"/>
  <c r="Q28" i="19"/>
  <c r="O28" i="19"/>
  <c r="P28" i="19"/>
  <c r="Q96" i="19"/>
  <c r="P96" i="19"/>
  <c r="O96" i="19"/>
  <c r="P835" i="19"/>
  <c r="O835" i="19"/>
  <c r="Q835" i="19"/>
  <c r="O975" i="19"/>
  <c r="Q975" i="19"/>
  <c r="P975" i="19"/>
  <c r="P980" i="19"/>
  <c r="O980" i="19"/>
  <c r="Q980" i="19"/>
  <c r="P1009" i="19"/>
  <c r="O1009" i="19"/>
  <c r="Q1009" i="19"/>
  <c r="Q1257" i="19"/>
  <c r="P1257" i="19"/>
  <c r="O1257" i="19"/>
  <c r="O1752" i="19"/>
  <c r="Q1752" i="19"/>
  <c r="P1752" i="19"/>
  <c r="O1964" i="19"/>
  <c r="Q1964" i="19"/>
  <c r="P1964" i="19"/>
  <c r="P87" i="19"/>
  <c r="O87" i="19"/>
  <c r="Q87" i="19"/>
  <c r="Q241" i="19"/>
  <c r="P241" i="19"/>
  <c r="O241" i="19"/>
  <c r="P610" i="19"/>
  <c r="O610" i="19"/>
  <c r="Q610" i="19"/>
  <c r="Q746" i="19"/>
  <c r="O746" i="19"/>
  <c r="P746" i="19"/>
  <c r="Q795" i="19"/>
  <c r="P795" i="19"/>
  <c r="O795" i="19"/>
  <c r="O966" i="19"/>
  <c r="Q966" i="19"/>
  <c r="P966" i="19"/>
  <c r="Q1076" i="19"/>
  <c r="P1076" i="19"/>
  <c r="O1076" i="19"/>
  <c r="O1372" i="19"/>
  <c r="P1372" i="19"/>
  <c r="Q1372" i="19"/>
  <c r="Q185" i="19"/>
  <c r="P185" i="19"/>
  <c r="O185" i="19"/>
  <c r="Q583" i="19"/>
  <c r="P583" i="19"/>
  <c r="O583" i="19"/>
  <c r="Q648" i="19"/>
  <c r="P648" i="19"/>
  <c r="O648" i="19"/>
  <c r="O799" i="19"/>
  <c r="Q799" i="19"/>
  <c r="P799" i="19"/>
  <c r="Q971" i="19"/>
  <c r="O971" i="19"/>
  <c r="P971" i="19"/>
  <c r="O1518" i="19"/>
  <c r="P1518" i="19"/>
  <c r="Q1518" i="19"/>
  <c r="P1727" i="19"/>
  <c r="Q1727" i="19"/>
  <c r="O1727" i="19"/>
  <c r="O43" i="19"/>
  <c r="P43" i="19"/>
  <c r="Q43" i="19"/>
  <c r="P109" i="19"/>
  <c r="Q109" i="19"/>
  <c r="O109" i="19"/>
  <c r="Q137" i="19"/>
  <c r="P137" i="19"/>
  <c r="O137" i="19"/>
  <c r="Q429" i="19"/>
  <c r="P429" i="19"/>
  <c r="O429" i="19"/>
  <c r="P641" i="19"/>
  <c r="Q641" i="19"/>
  <c r="O641" i="19"/>
  <c r="O948" i="19"/>
  <c r="Q948" i="19"/>
  <c r="P948" i="19"/>
  <c r="Q1005" i="19"/>
  <c r="P1005" i="19"/>
  <c r="O1005" i="19"/>
  <c r="O1112" i="19"/>
  <c r="P1112" i="19"/>
  <c r="Q1112" i="19"/>
  <c r="P1243" i="19"/>
  <c r="Q1243" i="19"/>
  <c r="O1243" i="19"/>
  <c r="P1479" i="19"/>
  <c r="Q1479" i="19"/>
  <c r="O1479" i="19"/>
  <c r="P2044" i="19"/>
  <c r="O2044" i="19"/>
  <c r="Q2044" i="19"/>
  <c r="O2297" i="19"/>
  <c r="P2297" i="19"/>
  <c r="Q2297" i="19"/>
  <c r="P2423" i="19"/>
  <c r="Q2423" i="19"/>
  <c r="O2423" i="19"/>
  <c r="P299" i="19"/>
  <c r="O299" i="19"/>
  <c r="Q299" i="19"/>
  <c r="Q697" i="19"/>
  <c r="P697" i="19"/>
  <c r="O697" i="19"/>
  <c r="P726" i="19"/>
  <c r="O726" i="19"/>
  <c r="Q726" i="19"/>
  <c r="O995" i="19"/>
  <c r="P995" i="19"/>
  <c r="Q995" i="19"/>
  <c r="P1258" i="19"/>
  <c r="O1258" i="19"/>
  <c r="Q1258" i="19"/>
  <c r="Q1355" i="19"/>
  <c r="P1355" i="19"/>
  <c r="O1355" i="19"/>
  <c r="Q617" i="19"/>
  <c r="P617" i="19"/>
  <c r="O617" i="19"/>
  <c r="O1937" i="19"/>
  <c r="Q1937" i="19"/>
  <c r="P1937" i="19"/>
  <c r="Q38" i="19"/>
  <c r="P38" i="19"/>
  <c r="O38" i="19"/>
  <c r="P49" i="19"/>
  <c r="O49" i="19"/>
  <c r="Q49" i="19"/>
  <c r="O79" i="19"/>
  <c r="P79" i="19"/>
  <c r="Q79" i="19"/>
  <c r="Q97" i="19"/>
  <c r="P97" i="19"/>
  <c r="O97" i="19"/>
  <c r="Q159" i="19"/>
  <c r="P159" i="19"/>
  <c r="O159" i="19"/>
  <c r="Q186" i="19"/>
  <c r="P186" i="19"/>
  <c r="O186" i="19"/>
  <c r="Q345" i="19"/>
  <c r="P345" i="19"/>
  <c r="O345" i="19"/>
  <c r="P474" i="19"/>
  <c r="O474" i="19"/>
  <c r="Q474" i="19"/>
  <c r="P760" i="19"/>
  <c r="O760" i="19"/>
  <c r="Q760" i="19"/>
  <c r="O805" i="19"/>
  <c r="P805" i="19"/>
  <c r="Q805" i="19"/>
  <c r="P812" i="19"/>
  <c r="O812" i="19"/>
  <c r="Q812" i="19"/>
  <c r="Q832" i="19"/>
  <c r="P832" i="19"/>
  <c r="O832" i="19"/>
  <c r="Q860" i="19"/>
  <c r="P860" i="19"/>
  <c r="O860" i="19"/>
  <c r="Q929" i="19"/>
  <c r="P929" i="19"/>
  <c r="O929" i="19"/>
  <c r="P1083" i="19"/>
  <c r="Q1083" i="19"/>
  <c r="O1083" i="19"/>
  <c r="O1124" i="19"/>
  <c r="Q1124" i="19"/>
  <c r="P1124" i="19"/>
  <c r="Q1244" i="19"/>
  <c r="O1244" i="19"/>
  <c r="P1244" i="19"/>
  <c r="P1276" i="19"/>
  <c r="Q1276" i="19"/>
  <c r="O1276" i="19"/>
  <c r="O1845" i="19"/>
  <c r="P1845" i="19"/>
  <c r="Q1845" i="19"/>
  <c r="Q2077" i="19"/>
  <c r="O2077" i="19"/>
  <c r="P2077" i="19"/>
  <c r="Q2358" i="19"/>
  <c r="P2358" i="19"/>
  <c r="O2358" i="19"/>
  <c r="Q2450" i="19"/>
  <c r="O2450" i="19"/>
  <c r="P2450" i="19"/>
  <c r="Q640" i="19"/>
  <c r="P640" i="19"/>
  <c r="O640" i="19"/>
  <c r="P103" i="19"/>
  <c r="Q103" i="19"/>
  <c r="O103" i="19"/>
  <c r="Q152" i="19"/>
  <c r="O152" i="19"/>
  <c r="P152" i="19"/>
  <c r="Q222" i="19"/>
  <c r="O222" i="19"/>
  <c r="P222" i="19"/>
  <c r="P239" i="19"/>
  <c r="O239" i="19"/>
  <c r="Q239" i="19"/>
  <c r="Q372" i="19"/>
  <c r="P372" i="19"/>
  <c r="O372" i="19"/>
  <c r="P545" i="19"/>
  <c r="O545" i="19"/>
  <c r="Q545" i="19"/>
  <c r="O695" i="19"/>
  <c r="Q695" i="19"/>
  <c r="P695" i="19"/>
  <c r="Q736" i="19"/>
  <c r="P736" i="19"/>
  <c r="O736" i="19"/>
  <c r="Q810" i="19"/>
  <c r="P810" i="19"/>
  <c r="O810" i="19"/>
  <c r="O851" i="19"/>
  <c r="P851" i="19"/>
  <c r="Q851" i="19"/>
  <c r="P940" i="19"/>
  <c r="O940" i="19"/>
  <c r="Q940" i="19"/>
  <c r="O973" i="19"/>
  <c r="P973" i="19"/>
  <c r="Q973" i="19"/>
  <c r="P1152" i="19"/>
  <c r="O1152" i="19"/>
  <c r="Q1152" i="19"/>
  <c r="O1827" i="19"/>
  <c r="P1827" i="19"/>
  <c r="Q1827" i="19"/>
  <c r="Q14" i="19"/>
  <c r="P14" i="19"/>
  <c r="O14" i="19"/>
  <c r="O50" i="19"/>
  <c r="Q50" i="19"/>
  <c r="P50" i="19"/>
  <c r="P61" i="19"/>
  <c r="O61" i="19"/>
  <c r="Q61" i="19"/>
  <c r="P139" i="19"/>
  <c r="Q139" i="19"/>
  <c r="O139" i="19"/>
  <c r="Q187" i="19"/>
  <c r="O187" i="19"/>
  <c r="P187" i="19"/>
  <c r="Q261" i="19"/>
  <c r="O261" i="19"/>
  <c r="P261" i="19"/>
  <c r="O377" i="19"/>
  <c r="Q377" i="19"/>
  <c r="P377" i="19"/>
  <c r="Q416" i="19"/>
  <c r="P416" i="19"/>
  <c r="O416" i="19"/>
  <c r="P522" i="19"/>
  <c r="O522" i="19"/>
  <c r="Q522" i="19"/>
  <c r="P873" i="19"/>
  <c r="Q873" i="19"/>
  <c r="O873" i="19"/>
  <c r="P983" i="19"/>
  <c r="O983" i="19"/>
  <c r="Q983" i="19"/>
  <c r="P1036" i="19"/>
  <c r="Q1036" i="19"/>
  <c r="O1036" i="19"/>
  <c r="Q1069" i="19"/>
  <c r="P1069" i="19"/>
  <c r="O1069" i="19"/>
  <c r="Q1142" i="19"/>
  <c r="O1142" i="19"/>
  <c r="P1142" i="19"/>
  <c r="Q1271" i="19"/>
  <c r="P1271" i="19"/>
  <c r="O1271" i="19"/>
  <c r="P1386" i="19"/>
  <c r="O1386" i="19"/>
  <c r="Q1386" i="19"/>
  <c r="O1841" i="19"/>
  <c r="P1841" i="19"/>
  <c r="Q1841" i="19"/>
  <c r="P2253" i="19"/>
  <c r="Q2253" i="19"/>
  <c r="O2253" i="19"/>
  <c r="Q275" i="19"/>
  <c r="P275" i="19"/>
  <c r="O275" i="19"/>
  <c r="P647" i="19"/>
  <c r="O647" i="19"/>
  <c r="Q647" i="19"/>
  <c r="O703" i="19"/>
  <c r="P703" i="19"/>
  <c r="Q703" i="19"/>
  <c r="Q67" i="19"/>
  <c r="P67" i="19"/>
  <c r="O67" i="19"/>
  <c r="P15" i="19"/>
  <c r="O15" i="19"/>
  <c r="Q15" i="19"/>
  <c r="P23" i="19"/>
  <c r="O23" i="19"/>
  <c r="Q23" i="19"/>
  <c r="Q108" i="19"/>
  <c r="P108" i="19"/>
  <c r="O108" i="19"/>
  <c r="P369" i="19"/>
  <c r="Q369" i="19"/>
  <c r="O369" i="19"/>
  <c r="Q488" i="19"/>
  <c r="P488" i="19"/>
  <c r="O488" i="19"/>
  <c r="P201" i="19"/>
  <c r="O201" i="19"/>
  <c r="Q201" i="19"/>
  <c r="P421" i="19"/>
  <c r="Q421" i="19"/>
  <c r="O421" i="19"/>
  <c r="Q432" i="19"/>
  <c r="P432" i="19"/>
  <c r="O432" i="19"/>
  <c r="P731" i="19"/>
  <c r="Q731" i="19"/>
  <c r="O731" i="19"/>
  <c r="P189" i="19"/>
  <c r="Q189" i="19"/>
  <c r="O189" i="19"/>
  <c r="Q289" i="19"/>
  <c r="P289" i="19"/>
  <c r="O289" i="19"/>
  <c r="Q401" i="19"/>
  <c r="P401" i="19"/>
  <c r="O401" i="19"/>
  <c r="P409" i="19"/>
  <c r="Q409" i="19"/>
  <c r="O409" i="19"/>
  <c r="Q336" i="19"/>
  <c r="P336" i="19"/>
  <c r="O336" i="19"/>
  <c r="P457" i="19"/>
  <c r="O457" i="19"/>
  <c r="Q457" i="19"/>
  <c r="Q552" i="19"/>
  <c r="P552" i="19"/>
  <c r="O552" i="19"/>
  <c r="O1015" i="19"/>
  <c r="Q1015" i="19"/>
  <c r="P1015" i="19"/>
  <c r="P1073" i="19"/>
  <c r="O1073" i="19"/>
  <c r="Q1073" i="19"/>
  <c r="O2542" i="19"/>
  <c r="P2542" i="19"/>
  <c r="Q2542" i="19"/>
  <c r="Q119" i="19"/>
  <c r="P119" i="19"/>
  <c r="O119" i="19"/>
  <c r="Q134" i="19"/>
  <c r="O134" i="19"/>
  <c r="P134" i="19"/>
  <c r="Q217" i="19"/>
  <c r="P217" i="19"/>
  <c r="O217" i="19"/>
  <c r="P291" i="19"/>
  <c r="O291" i="19"/>
  <c r="Q291" i="19"/>
  <c r="P363" i="19"/>
  <c r="O363" i="19"/>
  <c r="Q363" i="19"/>
  <c r="Q385" i="19"/>
  <c r="P385" i="19"/>
  <c r="O385" i="19"/>
  <c r="Q439" i="19"/>
  <c r="P439" i="19"/>
  <c r="O439" i="19"/>
  <c r="Q674" i="19"/>
  <c r="P674" i="19"/>
  <c r="O674" i="19"/>
  <c r="Q721" i="19"/>
  <c r="P721" i="19"/>
  <c r="O721" i="19"/>
  <c r="Q784" i="19"/>
  <c r="O784" i="19"/>
  <c r="P784" i="19"/>
  <c r="O900" i="19"/>
  <c r="P900" i="19"/>
  <c r="Q900" i="19"/>
  <c r="P1737" i="19"/>
  <c r="O1737" i="19"/>
  <c r="Q1737" i="19"/>
  <c r="Q30" i="19"/>
  <c r="P30" i="19"/>
  <c r="O30" i="19"/>
  <c r="P147" i="19"/>
  <c r="O147" i="19"/>
  <c r="Q147" i="19"/>
  <c r="Q296" i="19"/>
  <c r="P296" i="19"/>
  <c r="O296" i="19"/>
  <c r="P698" i="19"/>
  <c r="O698" i="19"/>
  <c r="Q698" i="19"/>
  <c r="Q1157" i="19"/>
  <c r="P1157" i="19"/>
  <c r="O1157" i="19"/>
  <c r="Q1392" i="19"/>
  <c r="O1392" i="19"/>
  <c r="P1392" i="19"/>
  <c r="P75" i="19"/>
  <c r="O75" i="19"/>
  <c r="Q75" i="19"/>
  <c r="Q204" i="19"/>
  <c r="P204" i="19"/>
  <c r="O204" i="19"/>
  <c r="Q226" i="19"/>
  <c r="P226" i="19"/>
  <c r="O226" i="19"/>
  <c r="Q252" i="19"/>
  <c r="P252" i="19"/>
  <c r="O252" i="19"/>
  <c r="O518" i="19"/>
  <c r="Q518" i="19"/>
  <c r="P518" i="19"/>
  <c r="P561" i="19"/>
  <c r="Q561" i="19"/>
  <c r="O561" i="19"/>
  <c r="Q568" i="19"/>
  <c r="P568" i="19"/>
  <c r="O568" i="19"/>
  <c r="Q833" i="19"/>
  <c r="O833" i="19"/>
  <c r="P833" i="19"/>
  <c r="Q1063" i="19"/>
  <c r="P1063" i="19"/>
  <c r="O1063" i="19"/>
  <c r="O2119" i="19"/>
  <c r="Q2119" i="19"/>
  <c r="P2119" i="19"/>
  <c r="P5" i="19"/>
  <c r="O5" i="19"/>
  <c r="Q5" i="19"/>
  <c r="Q81" i="19"/>
  <c r="P81" i="19"/>
  <c r="O81" i="19"/>
  <c r="P111" i="19"/>
  <c r="O111" i="19"/>
  <c r="Q111" i="19"/>
  <c r="Q120" i="19"/>
  <c r="O120" i="19"/>
  <c r="P120" i="19"/>
  <c r="P209" i="19"/>
  <c r="Q209" i="19"/>
  <c r="O209" i="19"/>
  <c r="P364" i="19"/>
  <c r="O364" i="19"/>
  <c r="Q364" i="19"/>
  <c r="Q382" i="19"/>
  <c r="O382" i="19"/>
  <c r="P382" i="19"/>
  <c r="Q449" i="19"/>
  <c r="O449" i="19"/>
  <c r="P449" i="19"/>
  <c r="P511" i="19"/>
  <c r="Q511" i="19"/>
  <c r="O511" i="19"/>
  <c r="P671" i="19"/>
  <c r="O671" i="19"/>
  <c r="Q671" i="19"/>
  <c r="Q718" i="19"/>
  <c r="P718" i="19"/>
  <c r="O718" i="19"/>
  <c r="P952" i="19"/>
  <c r="O952" i="19"/>
  <c r="Q952" i="19"/>
  <c r="Q1224" i="19"/>
  <c r="P1224" i="19"/>
  <c r="O1224" i="19"/>
  <c r="P1507" i="19"/>
  <c r="O1507" i="19"/>
  <c r="Q1507" i="19"/>
  <c r="P2056" i="19"/>
  <c r="O2056" i="19"/>
  <c r="Q2056" i="19"/>
  <c r="Q408" i="19"/>
  <c r="P408" i="19"/>
  <c r="O408" i="19"/>
  <c r="Q507" i="19"/>
  <c r="P507" i="19"/>
  <c r="O507" i="19"/>
  <c r="O576" i="19"/>
  <c r="Q576" i="19"/>
  <c r="P576" i="19"/>
  <c r="P600" i="19"/>
  <c r="O600" i="19"/>
  <c r="Q600" i="19"/>
  <c r="P722" i="19"/>
  <c r="O722" i="19"/>
  <c r="Q722" i="19"/>
  <c r="O791" i="19"/>
  <c r="Q791" i="19"/>
  <c r="P791" i="19"/>
  <c r="Q866" i="19"/>
  <c r="P866" i="19"/>
  <c r="O866" i="19"/>
  <c r="Q144" i="19"/>
  <c r="P144" i="19"/>
  <c r="O144" i="19"/>
  <c r="P1627" i="19"/>
  <c r="Q1627" i="19"/>
  <c r="O1627" i="19"/>
  <c r="P91" i="19"/>
  <c r="Q91" i="19"/>
  <c r="O91" i="19"/>
  <c r="P153" i="19"/>
  <c r="O153" i="19"/>
  <c r="Q153" i="19"/>
  <c r="Q325" i="19"/>
  <c r="P325" i="19"/>
  <c r="O325" i="19"/>
  <c r="P425" i="19"/>
  <c r="O425" i="19"/>
  <c r="Q425" i="19"/>
  <c r="Q441" i="19"/>
  <c r="P441" i="19"/>
  <c r="O441" i="19"/>
  <c r="P716" i="19"/>
  <c r="Q716" i="19"/>
  <c r="O716" i="19"/>
  <c r="O1252" i="19"/>
  <c r="Q1252" i="19"/>
  <c r="P1252" i="19"/>
  <c r="Q57" i="19"/>
  <c r="O57" i="19"/>
  <c r="P57" i="19"/>
  <c r="Q82" i="19"/>
  <c r="P82" i="19"/>
  <c r="O82" i="19"/>
  <c r="Q696" i="19"/>
  <c r="P696" i="19"/>
  <c r="O696" i="19"/>
  <c r="Q898" i="19"/>
  <c r="P898" i="19"/>
  <c r="O898" i="19"/>
  <c r="Q1366" i="19"/>
  <c r="O1366" i="19"/>
  <c r="P1366" i="19"/>
  <c r="Q1497" i="19"/>
  <c r="O1497" i="19"/>
  <c r="P1497" i="19"/>
  <c r="P1623" i="19"/>
  <c r="O1623" i="19"/>
  <c r="Q1623" i="19"/>
  <c r="Q285" i="19"/>
  <c r="P285" i="19"/>
  <c r="O285" i="19"/>
  <c r="P307" i="19"/>
  <c r="O307" i="19"/>
  <c r="Q307" i="19"/>
  <c r="Q536" i="19"/>
  <c r="P536" i="19"/>
  <c r="O536" i="19"/>
  <c r="Q607" i="19"/>
  <c r="P607" i="19"/>
  <c r="O607" i="19"/>
  <c r="Q811" i="19"/>
  <c r="O811" i="19"/>
  <c r="P811" i="19"/>
  <c r="O1360" i="19"/>
  <c r="P1360" i="19"/>
  <c r="Q1360" i="19"/>
  <c r="O1509" i="19"/>
  <c r="Q1509" i="19"/>
  <c r="P1509" i="19"/>
  <c r="P1688" i="19"/>
  <c r="Q1688" i="19"/>
  <c r="O1688" i="19"/>
  <c r="O193" i="19"/>
  <c r="Q193" i="19"/>
  <c r="P193" i="19"/>
  <c r="P13" i="19"/>
  <c r="O13" i="19"/>
  <c r="Q13" i="19"/>
  <c r="Q70" i="19"/>
  <c r="O70" i="19"/>
  <c r="P70" i="19"/>
  <c r="P93" i="19"/>
  <c r="Q93" i="19"/>
  <c r="O93" i="19"/>
  <c r="Q138" i="19"/>
  <c r="P138" i="19"/>
  <c r="O138" i="19"/>
  <c r="P494" i="19"/>
  <c r="O494" i="19"/>
  <c r="Q494" i="19"/>
  <c r="Q738" i="19"/>
  <c r="P738" i="19"/>
  <c r="O738" i="19"/>
  <c r="Q744" i="19"/>
  <c r="P744" i="19"/>
  <c r="O744" i="19"/>
  <c r="P841" i="19"/>
  <c r="Q841" i="19"/>
  <c r="O841" i="19"/>
  <c r="Q868" i="19"/>
  <c r="P868" i="19"/>
  <c r="O868" i="19"/>
  <c r="O1001" i="19"/>
  <c r="P1001" i="19"/>
  <c r="Q1001" i="19"/>
  <c r="Q1177" i="19"/>
  <c r="P1177" i="19"/>
  <c r="O1177" i="19"/>
  <c r="Q1485" i="19"/>
  <c r="O1485" i="19"/>
  <c r="P1485" i="19"/>
  <c r="P1899" i="19"/>
  <c r="O1899" i="19"/>
  <c r="Q1899" i="19"/>
  <c r="O2208" i="19"/>
  <c r="Q2208" i="19"/>
  <c r="P2208" i="19"/>
  <c r="Q260" i="19"/>
  <c r="P260" i="19"/>
  <c r="O260" i="19"/>
  <c r="Q350" i="19"/>
  <c r="P350" i="19"/>
  <c r="O350" i="19"/>
  <c r="Q398" i="19"/>
  <c r="P398" i="19"/>
  <c r="O398" i="19"/>
  <c r="Q407" i="19"/>
  <c r="P407" i="19"/>
  <c r="O407" i="19"/>
  <c r="P1223" i="19"/>
  <c r="Q1223" i="19"/>
  <c r="O1223" i="19"/>
  <c r="Q1357" i="19"/>
  <c r="P1357" i="19"/>
  <c r="O1357" i="19"/>
  <c r="O1730" i="19"/>
  <c r="P1730" i="19"/>
  <c r="Q1730" i="19"/>
  <c r="O124" i="19"/>
  <c r="P124" i="19"/>
  <c r="Q124" i="19"/>
  <c r="P269" i="19"/>
  <c r="O269" i="19"/>
  <c r="Q269" i="19"/>
  <c r="Q490" i="19"/>
  <c r="O490" i="19"/>
  <c r="P490" i="19"/>
  <c r="Q526" i="19"/>
  <c r="P526" i="19"/>
  <c r="O526" i="19"/>
  <c r="O646" i="19"/>
  <c r="Q646" i="19"/>
  <c r="P646" i="19"/>
  <c r="P825" i="19"/>
  <c r="O825" i="19"/>
  <c r="Q825" i="19"/>
  <c r="Q1328" i="19"/>
  <c r="P1328" i="19"/>
  <c r="O1328" i="19"/>
  <c r="P1398" i="19"/>
  <c r="Q1398" i="19"/>
  <c r="O1398" i="19"/>
  <c r="O1458" i="19"/>
  <c r="P1458" i="19"/>
  <c r="Q1458" i="19"/>
  <c r="Q10" i="19"/>
  <c r="P10" i="19"/>
  <c r="O10" i="19"/>
  <c r="Q31" i="19"/>
  <c r="P31" i="19"/>
  <c r="O31" i="19"/>
  <c r="Q360" i="19"/>
  <c r="O360" i="19"/>
  <c r="P360" i="19"/>
  <c r="Q436" i="19"/>
  <c r="O436" i="19"/>
  <c r="P436" i="19"/>
  <c r="Q519" i="19"/>
  <c r="P519" i="19"/>
  <c r="O519" i="19"/>
  <c r="Q594" i="19"/>
  <c r="P594" i="19"/>
  <c r="O594" i="19"/>
  <c r="Q739" i="19"/>
  <c r="P739" i="19"/>
  <c r="O739" i="19"/>
  <c r="Q1059" i="19"/>
  <c r="P1059" i="19"/>
  <c r="O1059" i="19"/>
  <c r="Q1632" i="19"/>
  <c r="P1632" i="19"/>
  <c r="O1632" i="19"/>
  <c r="Q1889" i="19"/>
  <c r="P1889" i="19"/>
  <c r="O1889" i="19"/>
  <c r="Q2137" i="19"/>
  <c r="O2137" i="19"/>
  <c r="P2137" i="19"/>
  <c r="P17" i="19"/>
  <c r="O17" i="19"/>
  <c r="Q17" i="19"/>
  <c r="P116" i="19"/>
  <c r="O116" i="19"/>
  <c r="Q116" i="19"/>
  <c r="Q340" i="19"/>
  <c r="P340" i="19"/>
  <c r="O340" i="19"/>
  <c r="Q450" i="19"/>
  <c r="P450" i="19"/>
  <c r="O450" i="19"/>
  <c r="P509" i="19"/>
  <c r="O509" i="19"/>
  <c r="Q509" i="19"/>
  <c r="Q512" i="19"/>
  <c r="O512" i="19"/>
  <c r="P512" i="19"/>
  <c r="P525" i="19"/>
  <c r="O525" i="19"/>
  <c r="Q525" i="19"/>
  <c r="P549" i="19"/>
  <c r="O549" i="19"/>
  <c r="Q549" i="19"/>
  <c r="O565" i="19"/>
  <c r="P565" i="19"/>
  <c r="Q565" i="19"/>
  <c r="Q693" i="19"/>
  <c r="P693" i="19"/>
  <c r="P706" i="19"/>
  <c r="O706" i="19"/>
  <c r="Q706" i="19"/>
  <c r="Q918" i="19"/>
  <c r="P918" i="19"/>
  <c r="O918" i="19"/>
  <c r="Q989" i="19"/>
  <c r="O989" i="19"/>
  <c r="P989" i="19"/>
  <c r="O1115" i="19"/>
  <c r="P1115" i="19"/>
  <c r="Q1115" i="19"/>
  <c r="Q1196" i="19"/>
  <c r="P1196" i="19"/>
  <c r="O1196" i="19"/>
  <c r="Q1314" i="19"/>
  <c r="P1314" i="19"/>
  <c r="O1314" i="19"/>
  <c r="Q1368" i="19"/>
  <c r="O1368" i="19"/>
  <c r="P1368" i="19"/>
  <c r="P2125" i="19"/>
  <c r="O2125" i="19"/>
  <c r="Q2125" i="19"/>
  <c r="Q2339" i="19"/>
  <c r="O2339" i="19"/>
  <c r="P2339" i="19"/>
  <c r="Q51" i="19"/>
  <c r="P51" i="19"/>
  <c r="O51" i="19"/>
  <c r="Q63" i="19"/>
  <c r="P63" i="19"/>
  <c r="O63" i="19"/>
  <c r="Q212" i="19"/>
  <c r="P212" i="19"/>
  <c r="O212" i="19"/>
  <c r="P231" i="19"/>
  <c r="O231" i="19"/>
  <c r="Q231" i="19"/>
  <c r="P313" i="19"/>
  <c r="Q313" i="19"/>
  <c r="O313" i="19"/>
  <c r="P375" i="19"/>
  <c r="Q375" i="19"/>
  <c r="O375" i="19"/>
  <c r="O379" i="19"/>
  <c r="Q379" i="19"/>
  <c r="P379" i="19"/>
  <c r="P442" i="19"/>
  <c r="O442" i="19"/>
  <c r="Q442" i="19"/>
  <c r="O496" i="19"/>
  <c r="Q496" i="19"/>
  <c r="P496" i="19"/>
  <c r="O534" i="19"/>
  <c r="Q534" i="19"/>
  <c r="P534" i="19"/>
  <c r="Q540" i="19"/>
  <c r="P540" i="19"/>
  <c r="O540" i="19"/>
  <c r="P562" i="19"/>
  <c r="O562" i="19"/>
  <c r="Q562" i="19"/>
  <c r="Q572" i="19"/>
  <c r="P572" i="19"/>
  <c r="O572" i="19"/>
  <c r="Q595" i="19"/>
  <c r="P595" i="19"/>
  <c r="O595" i="19"/>
  <c r="P603" i="19"/>
  <c r="Q603" i="19"/>
  <c r="O603" i="19"/>
  <c r="P638" i="19"/>
  <c r="Q638" i="19"/>
  <c r="O638" i="19"/>
  <c r="Q719" i="19"/>
  <c r="O719" i="19"/>
  <c r="P719" i="19"/>
  <c r="O789" i="19"/>
  <c r="Q789" i="19"/>
  <c r="P789" i="19"/>
  <c r="Q849" i="19"/>
  <c r="P849" i="19"/>
  <c r="O849" i="19"/>
  <c r="Q907" i="19"/>
  <c r="O907" i="19"/>
  <c r="P907" i="19"/>
  <c r="P1281" i="19"/>
  <c r="Q1281" i="19"/>
  <c r="O1323" i="19"/>
  <c r="Q1323" i="19"/>
  <c r="P1323" i="19"/>
  <c r="O1388" i="19"/>
  <c r="P1388" i="19"/>
  <c r="Q1388" i="19"/>
  <c r="Q1438" i="19"/>
  <c r="P1438" i="19"/>
  <c r="O1438" i="19"/>
  <c r="P1706" i="19"/>
  <c r="O1706" i="19"/>
  <c r="Q1706" i="19"/>
  <c r="Q2176" i="19"/>
  <c r="P2176" i="19"/>
  <c r="O2176" i="19"/>
  <c r="Q21" i="19"/>
  <c r="P21" i="19"/>
  <c r="O21" i="19"/>
  <c r="P167" i="19"/>
  <c r="Q167" i="19"/>
  <c r="O167" i="19"/>
  <c r="Q183" i="19"/>
  <c r="P183" i="19"/>
  <c r="O183" i="19"/>
  <c r="P206" i="19"/>
  <c r="O206" i="19"/>
  <c r="Q206" i="19"/>
  <c r="P391" i="19"/>
  <c r="O391" i="19"/>
  <c r="Q391" i="19"/>
  <c r="Q435" i="19"/>
  <c r="P435" i="19"/>
  <c r="O435" i="19"/>
  <c r="Q478" i="19"/>
  <c r="P478" i="19"/>
  <c r="O478" i="19"/>
  <c r="P510" i="19"/>
  <c r="O510" i="19"/>
  <c r="Q510" i="19"/>
  <c r="Q538" i="19"/>
  <c r="O538" i="19"/>
  <c r="P538" i="19"/>
  <c r="Q547" i="19"/>
  <c r="O547" i="19"/>
  <c r="P547" i="19"/>
  <c r="O655" i="19"/>
  <c r="P655" i="19"/>
  <c r="Q655" i="19"/>
  <c r="O748" i="19"/>
  <c r="Q748" i="19"/>
  <c r="P748" i="19"/>
  <c r="P762" i="19"/>
  <c r="Q762" i="19"/>
  <c r="O762" i="19"/>
  <c r="Q782" i="19"/>
  <c r="O782" i="19"/>
  <c r="P782" i="19"/>
  <c r="O1033" i="19"/>
  <c r="Q1033" i="19"/>
  <c r="P1033" i="19"/>
  <c r="Q1145" i="19"/>
  <c r="P1145" i="19"/>
  <c r="O1145" i="19"/>
  <c r="Q1528" i="19"/>
  <c r="O1528" i="19"/>
  <c r="P1528" i="19"/>
  <c r="Q11" i="19"/>
  <c r="P11" i="19"/>
  <c r="O11" i="19"/>
  <c r="Q18" i="19"/>
  <c r="O18" i="19"/>
  <c r="P18" i="19"/>
  <c r="O40" i="19"/>
  <c r="P40" i="19"/>
  <c r="Q40" i="19"/>
  <c r="Q106" i="19"/>
  <c r="P106" i="19"/>
  <c r="O106" i="19"/>
  <c r="Q361" i="19"/>
  <c r="P361" i="19"/>
  <c r="O361" i="19"/>
  <c r="Q463" i="19"/>
  <c r="P463" i="19"/>
  <c r="O463" i="19"/>
  <c r="O532" i="19"/>
  <c r="P532" i="19"/>
  <c r="Q532" i="19"/>
  <c r="P550" i="19"/>
  <c r="O550" i="19"/>
  <c r="Q550" i="19"/>
  <c r="Q629" i="19"/>
  <c r="O629" i="19"/>
  <c r="P629" i="19"/>
  <c r="Q639" i="19"/>
  <c r="O639" i="19"/>
  <c r="P639" i="19"/>
  <c r="Q720" i="19"/>
  <c r="O720" i="19"/>
  <c r="P720" i="19"/>
  <c r="O727" i="19"/>
  <c r="Q727" i="19"/>
  <c r="P727" i="19"/>
  <c r="Q817" i="19"/>
  <c r="P817" i="19"/>
  <c r="O817" i="19"/>
  <c r="P846" i="19"/>
  <c r="O846" i="19"/>
  <c r="Q846" i="19"/>
  <c r="Q926" i="19"/>
  <c r="P926" i="19"/>
  <c r="O926" i="19"/>
  <c r="O1012" i="19"/>
  <c r="Q1012" i="19"/>
  <c r="P1012" i="19"/>
  <c r="O1094" i="19"/>
  <c r="Q1094" i="19"/>
  <c r="P1094" i="19"/>
  <c r="O1117" i="19"/>
  <c r="Q1117" i="19"/>
  <c r="P1117" i="19"/>
  <c r="O1307" i="19"/>
  <c r="P1307" i="19"/>
  <c r="Q1307" i="19"/>
  <c r="P1499" i="19"/>
  <c r="Q1499" i="19"/>
  <c r="O1499" i="19"/>
  <c r="Q1504" i="19"/>
  <c r="P1504" i="19"/>
  <c r="O1504" i="19"/>
  <c r="P2623" i="19"/>
  <c r="Q2623" i="19"/>
  <c r="O2623" i="19"/>
  <c r="O60" i="19"/>
  <c r="Q60" i="19"/>
  <c r="P60" i="19"/>
  <c r="Q145" i="19"/>
  <c r="P145" i="19"/>
  <c r="O145" i="19"/>
  <c r="O156" i="19"/>
  <c r="Q156" i="19"/>
  <c r="P156" i="19"/>
  <c r="O263" i="19"/>
  <c r="P263" i="19"/>
  <c r="Q263" i="19"/>
  <c r="Q294" i="19"/>
  <c r="P294" i="19"/>
  <c r="O294" i="19"/>
  <c r="Q353" i="19"/>
  <c r="P353" i="19"/>
  <c r="O353" i="19"/>
  <c r="P399" i="19"/>
  <c r="O399" i="19"/>
  <c r="Q399" i="19"/>
  <c r="P504" i="19"/>
  <c r="Q504" i="19"/>
  <c r="O504" i="19"/>
  <c r="P520" i="19"/>
  <c r="O520" i="19"/>
  <c r="Q520" i="19"/>
  <c r="Q581" i="19"/>
  <c r="P581" i="19"/>
  <c r="O581" i="19"/>
  <c r="Q665" i="19"/>
  <c r="P665" i="19"/>
  <c r="O665" i="19"/>
  <c r="P688" i="19"/>
  <c r="Q688" i="19"/>
  <c r="O688" i="19"/>
  <c r="Q691" i="19"/>
  <c r="O691" i="19"/>
  <c r="P691" i="19"/>
  <c r="Q711" i="19"/>
  <c r="P711" i="19"/>
  <c r="O711" i="19"/>
  <c r="P850" i="19"/>
  <c r="Q850" i="19"/>
  <c r="O850" i="19"/>
  <c r="Q938" i="19"/>
  <c r="P938" i="19"/>
  <c r="O938" i="19"/>
  <c r="P946" i="19"/>
  <c r="Q946" i="19"/>
  <c r="O946" i="19"/>
  <c r="P955" i="19"/>
  <c r="O955" i="19"/>
  <c r="Q955" i="19"/>
  <c r="Q959" i="19"/>
  <c r="O959" i="19"/>
  <c r="P959" i="19"/>
  <c r="P1191" i="19"/>
  <c r="O1191" i="19"/>
  <c r="Q1191" i="19"/>
  <c r="P1245" i="19"/>
  <c r="Q1245" i="19"/>
  <c r="O1245" i="19"/>
  <c r="Q1486" i="19"/>
  <c r="P1486" i="19"/>
  <c r="O1486" i="19"/>
  <c r="O1490" i="19"/>
  <c r="Q1490" i="19"/>
  <c r="P1490" i="19"/>
  <c r="P1553" i="19"/>
  <c r="Q1553" i="19"/>
  <c r="O1553" i="19"/>
  <c r="Q1930" i="19"/>
  <c r="O1930" i="19"/>
  <c r="P1930" i="19"/>
  <c r="Q1983" i="19"/>
  <c r="O1983" i="19"/>
  <c r="P1983" i="19"/>
  <c r="Q2094" i="19"/>
  <c r="P2094" i="19"/>
  <c r="O2094" i="19"/>
  <c r="Q99" i="19"/>
  <c r="P99" i="19"/>
  <c r="O99" i="19"/>
  <c r="P415" i="19"/>
  <c r="Q415" i="19"/>
  <c r="O415" i="19"/>
  <c r="Q460" i="19"/>
  <c r="P460" i="19"/>
  <c r="O460" i="19"/>
  <c r="Q517" i="19"/>
  <c r="P517" i="19"/>
  <c r="O517" i="19"/>
  <c r="Q523" i="19"/>
  <c r="P523" i="19"/>
  <c r="O523" i="19"/>
  <c r="P554" i="19"/>
  <c r="O554" i="19"/>
  <c r="Q554" i="19"/>
  <c r="Q570" i="19"/>
  <c r="O570" i="19"/>
  <c r="P570" i="19"/>
  <c r="O573" i="19"/>
  <c r="Q573" i="19"/>
  <c r="P573" i="19"/>
  <c r="Q596" i="19"/>
  <c r="O596" i="19"/>
  <c r="P596" i="19"/>
  <c r="O626" i="19"/>
  <c r="Q626" i="19"/>
  <c r="P626" i="19"/>
  <c r="P814" i="19"/>
  <c r="O814" i="19"/>
  <c r="Q814" i="19"/>
  <c r="P905" i="19"/>
  <c r="Q905" i="19"/>
  <c r="O905" i="19"/>
  <c r="Q1037" i="19"/>
  <c r="P1037" i="19"/>
  <c r="O1037" i="19"/>
  <c r="P1304" i="19"/>
  <c r="Q1304" i="19"/>
  <c r="O1304" i="19"/>
  <c r="Q1825" i="19"/>
  <c r="O1825" i="19"/>
  <c r="P1825" i="19"/>
  <c r="O2227" i="19"/>
  <c r="Q2227" i="19"/>
  <c r="P2227" i="19"/>
  <c r="Q344" i="19"/>
  <c r="P344" i="19"/>
  <c r="O344" i="19"/>
  <c r="P405" i="19"/>
  <c r="O405" i="19"/>
  <c r="Q405" i="19"/>
  <c r="P475" i="19"/>
  <c r="Q475" i="19"/>
  <c r="O475" i="19"/>
  <c r="P500" i="19"/>
  <c r="O500" i="19"/>
  <c r="Q500" i="19"/>
  <c r="Q541" i="19"/>
  <c r="P541" i="19"/>
  <c r="O541" i="19"/>
  <c r="O686" i="19"/>
  <c r="Q686" i="19"/>
  <c r="P686" i="19"/>
  <c r="Q707" i="19"/>
  <c r="P707" i="19"/>
  <c r="O707" i="19"/>
  <c r="Q714" i="19"/>
  <c r="P714" i="19"/>
  <c r="O714" i="19"/>
  <c r="Q815" i="19"/>
  <c r="P815" i="19"/>
  <c r="O815" i="19"/>
  <c r="Q822" i="19"/>
  <c r="P822" i="19"/>
  <c r="O822" i="19"/>
  <c r="Q878" i="19"/>
  <c r="P878" i="19"/>
  <c r="O878" i="19"/>
  <c r="Q1088" i="19"/>
  <c r="P1088" i="19"/>
  <c r="O1088" i="19"/>
  <c r="O1653" i="19"/>
  <c r="Q1653" i="19"/>
  <c r="P1653" i="19"/>
  <c r="Q2281" i="19"/>
  <c r="P2281" i="19"/>
  <c r="O2281" i="19"/>
  <c r="P2391" i="19"/>
  <c r="Q2391" i="19"/>
  <c r="O2391" i="19"/>
  <c r="Q2547" i="19"/>
  <c r="O2547" i="19"/>
  <c r="P2547" i="19"/>
  <c r="P9" i="19"/>
  <c r="O9" i="19"/>
  <c r="Q9" i="19"/>
  <c r="Q154" i="19"/>
  <c r="P154" i="19"/>
  <c r="O154" i="19"/>
  <c r="Q426" i="19"/>
  <c r="P426" i="19"/>
  <c r="O426" i="19"/>
  <c r="Q498" i="19"/>
  <c r="O498" i="19"/>
  <c r="P498" i="19"/>
  <c r="P530" i="19"/>
  <c r="O530" i="19"/>
  <c r="Q530" i="19"/>
  <c r="O602" i="19"/>
  <c r="P602" i="19"/>
  <c r="Q602" i="19"/>
  <c r="Q827" i="19"/>
  <c r="P827" i="19"/>
  <c r="O827" i="19"/>
  <c r="P990" i="19"/>
  <c r="Q990" i="19"/>
  <c r="O990" i="19"/>
  <c r="P1149" i="19"/>
  <c r="Q1149" i="19"/>
  <c r="O1149" i="19"/>
  <c r="P1234" i="19"/>
  <c r="Q1234" i="19"/>
  <c r="O1234" i="19"/>
  <c r="Q1246" i="19"/>
  <c r="O1246" i="19"/>
  <c r="P1246" i="19"/>
  <c r="O1332" i="19"/>
  <c r="P1332" i="19"/>
  <c r="Q1332" i="19"/>
  <c r="Q1345" i="19"/>
  <c r="O1345" i="19"/>
  <c r="P1345" i="19"/>
  <c r="Q3" i="19"/>
  <c r="O3" i="19"/>
  <c r="P3" i="19"/>
  <c r="Q35" i="19"/>
  <c r="P35" i="19"/>
  <c r="O35" i="19"/>
  <c r="P41" i="19"/>
  <c r="Q41" i="19"/>
  <c r="O41" i="19"/>
  <c r="Q76" i="19"/>
  <c r="O76" i="19"/>
  <c r="P76" i="19"/>
  <c r="Q135" i="19"/>
  <c r="P135" i="19"/>
  <c r="O135" i="19"/>
  <c r="Q194" i="19"/>
  <c r="P194" i="19"/>
  <c r="O194" i="19"/>
  <c r="Q197" i="19"/>
  <c r="P197" i="19"/>
  <c r="O197" i="19"/>
  <c r="Q245" i="19"/>
  <c r="O245" i="19"/>
  <c r="P245" i="19"/>
  <c r="Q248" i="19"/>
  <c r="O248" i="19"/>
  <c r="P248" i="19"/>
  <c r="Q254" i="19"/>
  <c r="O254" i="19"/>
  <c r="P254" i="19"/>
  <c r="Q284" i="19"/>
  <c r="O284" i="19"/>
  <c r="P284" i="19"/>
  <c r="P308" i="19"/>
  <c r="O308" i="19"/>
  <c r="Q308" i="19"/>
  <c r="Q314" i="19"/>
  <c r="P314" i="19"/>
  <c r="O314" i="19"/>
  <c r="Q333" i="19"/>
  <c r="P333" i="19"/>
  <c r="O333" i="19"/>
  <c r="Q384" i="19"/>
  <c r="P384" i="19"/>
  <c r="O384" i="19"/>
  <c r="Q389" i="19"/>
  <c r="P389" i="19"/>
  <c r="O389" i="19"/>
  <c r="Q448" i="19"/>
  <c r="P448" i="19"/>
  <c r="O448" i="19"/>
  <c r="Q473" i="19"/>
  <c r="P473" i="19"/>
  <c r="O473" i="19"/>
  <c r="P480" i="19"/>
  <c r="O480" i="19"/>
  <c r="Q480" i="19"/>
  <c r="O491" i="19"/>
  <c r="P491" i="19"/>
  <c r="Q491" i="19"/>
  <c r="Q539" i="19"/>
  <c r="O539" i="19"/>
  <c r="P539" i="19"/>
  <c r="P580" i="19"/>
  <c r="O580" i="19"/>
  <c r="Q580" i="19"/>
  <c r="Q615" i="19"/>
  <c r="P615" i="19"/>
  <c r="O615" i="19"/>
  <c r="O658" i="19"/>
  <c r="Q658" i="19"/>
  <c r="P658" i="19"/>
  <c r="P756" i="19"/>
  <c r="O756" i="19"/>
  <c r="Q756" i="19"/>
  <c r="Q787" i="19"/>
  <c r="O787" i="19"/>
  <c r="P787" i="19"/>
  <c r="O864" i="19"/>
  <c r="P864" i="19"/>
  <c r="Q864" i="19"/>
  <c r="P894" i="19"/>
  <c r="O894" i="19"/>
  <c r="Q894" i="19"/>
  <c r="P933" i="19"/>
  <c r="Q933" i="19"/>
  <c r="O933" i="19"/>
  <c r="Q978" i="19"/>
  <c r="P978" i="19"/>
  <c r="O978" i="19"/>
  <c r="O996" i="19"/>
  <c r="Q996" i="19"/>
  <c r="P996" i="19"/>
  <c r="Q999" i="19"/>
  <c r="P999" i="19"/>
  <c r="O999" i="19"/>
  <c r="Q1053" i="19"/>
  <c r="P1053" i="19"/>
  <c r="O1053" i="19"/>
  <c r="O1182" i="19"/>
  <c r="Q1182" i="19"/>
  <c r="P1182" i="19"/>
  <c r="Q1185" i="19"/>
  <c r="P1185" i="19"/>
  <c r="O1185" i="19"/>
  <c r="Q1207" i="19"/>
  <c r="O1207" i="19"/>
  <c r="P1207" i="19"/>
  <c r="P1214" i="19"/>
  <c r="O1214" i="19"/>
  <c r="Q1214" i="19"/>
  <c r="O1284" i="19"/>
  <c r="P1284" i="19"/>
  <c r="Q1284" i="19"/>
  <c r="P1456" i="19"/>
  <c r="Q1456" i="19"/>
  <c r="O1456" i="19"/>
  <c r="P1824" i="19"/>
  <c r="Q1824" i="19"/>
  <c r="O1824" i="19"/>
  <c r="P2081" i="19"/>
  <c r="O2081" i="19"/>
  <c r="Q2081" i="19"/>
  <c r="P2397" i="19"/>
  <c r="Q2397" i="19"/>
  <c r="O2397" i="19"/>
  <c r="O270" i="19"/>
  <c r="Q270" i="19"/>
  <c r="P270" i="19"/>
  <c r="Q279" i="19"/>
  <c r="P279" i="19"/>
  <c r="O279" i="19"/>
  <c r="P317" i="19"/>
  <c r="O317" i="19"/>
  <c r="Q317" i="19"/>
  <c r="P335" i="19"/>
  <c r="O335" i="19"/>
  <c r="Q335" i="19"/>
  <c r="Q341" i="19"/>
  <c r="P341" i="19"/>
  <c r="O341" i="19"/>
  <c r="P347" i="19"/>
  <c r="O347" i="19"/>
  <c r="Q347" i="19"/>
  <c r="Q381" i="19"/>
  <c r="P381" i="19"/>
  <c r="O381" i="19"/>
  <c r="P451" i="19"/>
  <c r="O451" i="19"/>
  <c r="Q451" i="19"/>
  <c r="Q729" i="19"/>
  <c r="P729" i="19"/>
  <c r="O729" i="19"/>
  <c r="O752" i="19"/>
  <c r="P752" i="19"/>
  <c r="Q752" i="19"/>
  <c r="Q820" i="19"/>
  <c r="P820" i="19"/>
  <c r="O820" i="19"/>
  <c r="P930" i="19"/>
  <c r="Q930" i="19"/>
  <c r="O930" i="19"/>
  <c r="Q1062" i="19"/>
  <c r="P1062" i="19"/>
  <c r="O1062" i="19"/>
  <c r="O1105" i="19"/>
  <c r="Q1105" i="19"/>
  <c r="P1105" i="19"/>
  <c r="Q1116" i="19"/>
  <c r="P1116" i="19"/>
  <c r="O1116" i="19"/>
  <c r="Q1264" i="19"/>
  <c r="P1264" i="19"/>
  <c r="O1264" i="19"/>
  <c r="Q1356" i="19"/>
  <c r="O1356" i="19"/>
  <c r="P1356" i="19"/>
  <c r="O1365" i="19"/>
  <c r="Q1365" i="19"/>
  <c r="P1365" i="19"/>
  <c r="Q1395" i="19"/>
  <c r="O1395" i="19"/>
  <c r="P1395" i="19"/>
  <c r="O1598" i="19"/>
  <c r="P1598" i="19"/>
  <c r="Q1598" i="19"/>
  <c r="O2006" i="19"/>
  <c r="Q2006" i="19"/>
  <c r="P2006" i="19"/>
  <c r="P12" i="19"/>
  <c r="O12" i="19"/>
  <c r="Q12" i="19"/>
  <c r="P29" i="19"/>
  <c r="O29" i="19"/>
  <c r="Q29" i="19"/>
  <c r="Q122" i="19"/>
  <c r="O122" i="19"/>
  <c r="P122" i="19"/>
  <c r="P163" i="19"/>
  <c r="O163" i="19"/>
  <c r="Q163" i="19"/>
  <c r="P227" i="19"/>
  <c r="Q227" i="19"/>
  <c r="O227" i="19"/>
  <c r="P257" i="19"/>
  <c r="O257" i="19"/>
  <c r="Q257" i="19"/>
  <c r="O276" i="19"/>
  <c r="P276" i="19"/>
  <c r="Q276" i="19"/>
  <c r="O323" i="19"/>
  <c r="P323" i="19"/>
  <c r="Q323" i="19"/>
  <c r="Q428" i="19"/>
  <c r="P428" i="19"/>
  <c r="O428" i="19"/>
  <c r="Q663" i="19"/>
  <c r="O663" i="19"/>
  <c r="P663" i="19"/>
  <c r="Q700" i="19"/>
  <c r="O700" i="19"/>
  <c r="P700" i="19"/>
  <c r="Q908" i="19"/>
  <c r="P908" i="19"/>
  <c r="O908" i="19"/>
  <c r="O947" i="19"/>
  <c r="P947" i="19"/>
  <c r="Q947" i="19"/>
  <c r="Q987" i="19"/>
  <c r="P987" i="19"/>
  <c r="P2052" i="19"/>
  <c r="O2052" i="19"/>
  <c r="Q2052" i="19"/>
  <c r="Q2267" i="19"/>
  <c r="P2267" i="19"/>
  <c r="O2267" i="19"/>
  <c r="O2522" i="19"/>
  <c r="Q2522" i="19"/>
  <c r="P2522" i="19"/>
  <c r="Q117" i="19"/>
  <c r="P117" i="19"/>
  <c r="O117" i="19"/>
  <c r="P173" i="19"/>
  <c r="O173" i="19"/>
  <c r="Q173" i="19"/>
  <c r="Q179" i="19"/>
  <c r="P179" i="19"/>
  <c r="O179" i="19"/>
  <c r="Q213" i="19"/>
  <c r="P213" i="19"/>
  <c r="O213" i="19"/>
  <c r="Q305" i="19"/>
  <c r="P305" i="19"/>
  <c r="O305" i="19"/>
  <c r="O330" i="19"/>
  <c r="Q330" i="19"/>
  <c r="P330" i="19"/>
  <c r="Q373" i="19"/>
  <c r="P373" i="19"/>
  <c r="O373" i="19"/>
  <c r="P386" i="19"/>
  <c r="O386" i="19"/>
  <c r="Q386" i="19"/>
  <c r="Q430" i="19"/>
  <c r="P430" i="19"/>
  <c r="O430" i="19"/>
  <c r="Q458" i="19"/>
  <c r="P458" i="19"/>
  <c r="O458" i="19"/>
  <c r="P467" i="19"/>
  <c r="Q467" i="19"/>
  <c r="O467" i="19"/>
  <c r="P564" i="19"/>
  <c r="Q564" i="19"/>
  <c r="O564" i="19"/>
  <c r="O593" i="19"/>
  <c r="Q593" i="19"/>
  <c r="P593" i="19"/>
  <c r="O613" i="19"/>
  <c r="Q613" i="19"/>
  <c r="P613" i="19"/>
  <c r="P675" i="19"/>
  <c r="O675" i="19"/>
  <c r="Q675" i="19"/>
  <c r="O705" i="19"/>
  <c r="P705" i="19"/>
  <c r="Q705" i="19"/>
  <c r="Q712" i="19"/>
  <c r="P712" i="19"/>
  <c r="O712" i="19"/>
  <c r="Q724" i="19"/>
  <c r="P724" i="19"/>
  <c r="O724" i="19"/>
  <c r="P745" i="19"/>
  <c r="O745" i="19"/>
  <c r="Q745" i="19"/>
  <c r="Q830" i="19"/>
  <c r="P830" i="19"/>
  <c r="O830" i="19"/>
  <c r="Q936" i="19"/>
  <c r="P936" i="19"/>
  <c r="O936" i="19"/>
  <c r="Q960" i="19"/>
  <c r="O960" i="19"/>
  <c r="P960" i="19"/>
  <c r="Q981" i="19"/>
  <c r="O981" i="19"/>
  <c r="P981" i="19"/>
  <c r="P1042" i="19"/>
  <c r="O1042" i="19"/>
  <c r="Q1042" i="19"/>
  <c r="Q1074" i="19"/>
  <c r="P1074" i="19"/>
  <c r="O1074" i="19"/>
  <c r="O1077" i="19"/>
  <c r="Q1077" i="19"/>
  <c r="P1077" i="19"/>
  <c r="P1099" i="19"/>
  <c r="O1099" i="19"/>
  <c r="Q1099" i="19"/>
  <c r="O1102" i="19"/>
  <c r="P1102" i="19"/>
  <c r="Q1102" i="19"/>
  <c r="P1218" i="19"/>
  <c r="O1218" i="19"/>
  <c r="Q1218" i="19"/>
  <c r="P1254" i="19"/>
  <c r="Q1254" i="19"/>
  <c r="O1254" i="19"/>
  <c r="Q1277" i="19"/>
  <c r="O1277" i="19"/>
  <c r="P1277" i="19"/>
  <c r="Q1339" i="19"/>
  <c r="P1339" i="19"/>
  <c r="O1339" i="19"/>
  <c r="P1480" i="19"/>
  <c r="O1480" i="19"/>
  <c r="Q1480" i="19"/>
  <c r="P1619" i="19"/>
  <c r="Q1619" i="19"/>
  <c r="O1619" i="19"/>
  <c r="Q1742" i="19"/>
  <c r="O1742" i="19"/>
  <c r="P1742" i="19"/>
  <c r="O1789" i="19"/>
  <c r="P1789" i="19"/>
  <c r="Q1789" i="19"/>
  <c r="Q2250" i="19"/>
  <c r="O2250" i="19"/>
  <c r="P2250" i="19"/>
  <c r="O1199" i="19"/>
  <c r="Q1199" i="19"/>
  <c r="P1199" i="19"/>
  <c r="O101" i="19"/>
  <c r="Q101" i="19"/>
  <c r="P101" i="19"/>
  <c r="Q115" i="19"/>
  <c r="O115" i="19"/>
  <c r="P115" i="19"/>
  <c r="P177" i="19"/>
  <c r="O177" i="19"/>
  <c r="Q177" i="19"/>
  <c r="P211" i="19"/>
  <c r="O211" i="19"/>
  <c r="Q211" i="19"/>
  <c r="Q268" i="19"/>
  <c r="O268" i="19"/>
  <c r="P268" i="19"/>
  <c r="P293" i="19"/>
  <c r="O293" i="19"/>
  <c r="Q293" i="19"/>
  <c r="P331" i="19"/>
  <c r="O331" i="19"/>
  <c r="Q331" i="19"/>
  <c r="P387" i="19"/>
  <c r="O387" i="19"/>
  <c r="Q387" i="19"/>
  <c r="O440" i="19"/>
  <c r="Q440" i="19"/>
  <c r="P440" i="19"/>
  <c r="Q468" i="19"/>
  <c r="P468" i="19"/>
  <c r="O468" i="19"/>
  <c r="O483" i="19"/>
  <c r="Q483" i="19"/>
  <c r="P483" i="19"/>
  <c r="Q515" i="19"/>
  <c r="P515" i="19"/>
  <c r="O515" i="19"/>
  <c r="O524" i="19"/>
  <c r="P524" i="19"/>
  <c r="Q524" i="19"/>
  <c r="O544" i="19"/>
  <c r="Q544" i="19"/>
  <c r="P544" i="19"/>
  <c r="Q567" i="19"/>
  <c r="O567" i="19"/>
  <c r="P567" i="19"/>
  <c r="Q577" i="19"/>
  <c r="P577" i="19"/>
  <c r="O577" i="19"/>
  <c r="P678" i="19"/>
  <c r="Q678" i="19"/>
  <c r="O678" i="19"/>
  <c r="Q701" i="19"/>
  <c r="P701" i="19"/>
  <c r="O701" i="19"/>
  <c r="Q749" i="19"/>
  <c r="P749" i="19"/>
  <c r="O749" i="19"/>
  <c r="P788" i="19"/>
  <c r="O788" i="19"/>
  <c r="Q788" i="19"/>
  <c r="Q816" i="19"/>
  <c r="P816" i="19"/>
  <c r="O816" i="19"/>
  <c r="O828" i="19"/>
  <c r="Q828" i="19"/>
  <c r="P828" i="19"/>
  <c r="Q862" i="19"/>
  <c r="O862" i="19"/>
  <c r="P862" i="19"/>
  <c r="P865" i="19"/>
  <c r="O865" i="19"/>
  <c r="Q865" i="19"/>
  <c r="P870" i="19"/>
  <c r="Q870" i="19"/>
  <c r="O870" i="19"/>
  <c r="O890" i="19"/>
  <c r="P890" i="19"/>
  <c r="Q890" i="19"/>
  <c r="P920" i="19"/>
  <c r="O920" i="19"/>
  <c r="Q920" i="19"/>
  <c r="Q934" i="19"/>
  <c r="O934" i="19"/>
  <c r="P934" i="19"/>
  <c r="O1114" i="19"/>
  <c r="Q1114" i="19"/>
  <c r="P1114" i="19"/>
  <c r="Q1129" i="19"/>
  <c r="P1129" i="19"/>
  <c r="O1129" i="19"/>
  <c r="Q1205" i="19"/>
  <c r="P1205" i="19"/>
  <c r="O1205" i="19"/>
  <c r="Q1371" i="19"/>
  <c r="P1371" i="19"/>
  <c r="O1371" i="19"/>
  <c r="Q1383" i="19"/>
  <c r="O1383" i="19"/>
  <c r="P1383" i="19"/>
  <c r="P1820" i="19"/>
  <c r="Q1820" i="19"/>
  <c r="O1820" i="19"/>
  <c r="Q214" i="19"/>
  <c r="P214" i="19"/>
  <c r="O214" i="19"/>
  <c r="P225" i="19"/>
  <c r="O225" i="19"/>
  <c r="Q225" i="19"/>
  <c r="P309" i="19"/>
  <c r="O309" i="19"/>
  <c r="Q309" i="19"/>
  <c r="P390" i="19"/>
  <c r="O390" i="19"/>
  <c r="Q390" i="19"/>
  <c r="Q471" i="19"/>
  <c r="P471" i="19"/>
  <c r="O471" i="19"/>
  <c r="P501" i="19"/>
  <c r="Q501" i="19"/>
  <c r="O501" i="19"/>
  <c r="Q606" i="19"/>
  <c r="O606" i="19"/>
  <c r="P606" i="19"/>
  <c r="O634" i="19"/>
  <c r="Q634" i="19"/>
  <c r="P634" i="19"/>
  <c r="O692" i="19"/>
  <c r="P692" i="19"/>
  <c r="Q692" i="19"/>
  <c r="P747" i="19"/>
  <c r="O747" i="19"/>
  <c r="Q747" i="19"/>
  <c r="Q764" i="19"/>
  <c r="P764" i="19"/>
  <c r="O764" i="19"/>
  <c r="O772" i="19"/>
  <c r="P772" i="19"/>
  <c r="Q772" i="19"/>
  <c r="Q803" i="19"/>
  <c r="O803" i="19"/>
  <c r="P803" i="19"/>
  <c r="Q821" i="19"/>
  <c r="P821" i="19"/>
  <c r="O821" i="19"/>
  <c r="O823" i="19"/>
  <c r="Q823" i="19"/>
  <c r="P823" i="19"/>
  <c r="Q881" i="19"/>
  <c r="P881" i="19"/>
  <c r="O881" i="19"/>
  <c r="Q883" i="19"/>
  <c r="P883" i="19"/>
  <c r="O883" i="19"/>
  <c r="Q1014" i="19"/>
  <c r="P1014" i="19"/>
  <c r="O1014" i="19"/>
  <c r="Q1027" i="19"/>
  <c r="P1027" i="19"/>
  <c r="O1027" i="19"/>
  <c r="P1172" i="19"/>
  <c r="O1172" i="19"/>
  <c r="Q1172" i="19"/>
  <c r="O1186" i="19"/>
  <c r="P1186" i="19"/>
  <c r="Q1186" i="19"/>
  <c r="Q1595" i="19"/>
  <c r="P1595" i="19"/>
  <c r="O1595" i="19"/>
  <c r="P1604" i="19"/>
  <c r="Q1604" i="19"/>
  <c r="O1604" i="19"/>
  <c r="O2412" i="19"/>
  <c r="Q2412" i="19"/>
  <c r="P2412" i="19"/>
  <c r="P39" i="19"/>
  <c r="O39" i="19"/>
  <c r="Q39" i="19"/>
  <c r="P45" i="19"/>
  <c r="O45" i="19"/>
  <c r="Q45" i="19"/>
  <c r="Q68" i="19"/>
  <c r="O68" i="19"/>
  <c r="P68" i="19"/>
  <c r="Q89" i="19"/>
  <c r="P89" i="19"/>
  <c r="O89" i="19"/>
  <c r="O118" i="19"/>
  <c r="Q118" i="19"/>
  <c r="P118" i="19"/>
  <c r="Q146" i="19"/>
  <c r="P146" i="19"/>
  <c r="O146" i="19"/>
  <c r="P161" i="19"/>
  <c r="Q161" i="19"/>
  <c r="O161" i="19"/>
  <c r="O180" i="19"/>
  <c r="Q180" i="19"/>
  <c r="P180" i="19"/>
  <c r="Q195" i="19"/>
  <c r="P195" i="19"/>
  <c r="O195" i="19"/>
  <c r="Q205" i="19"/>
  <c r="P205" i="19"/>
  <c r="O205" i="19"/>
  <c r="Q228" i="19"/>
  <c r="P228" i="19"/>
  <c r="O228" i="19"/>
  <c r="O255" i="19"/>
  <c r="P255" i="19"/>
  <c r="Q255" i="19"/>
  <c r="Q265" i="19"/>
  <c r="P265" i="19"/>
  <c r="O265" i="19"/>
  <c r="Q352" i="19"/>
  <c r="O352" i="19"/>
  <c r="P352" i="19"/>
  <c r="P355" i="19"/>
  <c r="O355" i="19"/>
  <c r="Q355" i="19"/>
  <c r="P443" i="19"/>
  <c r="O443" i="19"/>
  <c r="Q443" i="19"/>
  <c r="Q459" i="19"/>
  <c r="P459" i="19"/>
  <c r="O459" i="19"/>
  <c r="P465" i="19"/>
  <c r="Q465" i="19"/>
  <c r="O465" i="19"/>
  <c r="P481" i="19"/>
  <c r="O481" i="19"/>
  <c r="Q481" i="19"/>
  <c r="O492" i="19"/>
  <c r="Q492" i="19"/>
  <c r="P492" i="19"/>
  <c r="Q499" i="19"/>
  <c r="P499" i="19"/>
  <c r="O499" i="19"/>
  <c r="Q531" i="19"/>
  <c r="P531" i="19"/>
  <c r="O531" i="19"/>
  <c r="Q542" i="19"/>
  <c r="O542" i="19"/>
  <c r="P542" i="19"/>
  <c r="O590" i="19"/>
  <c r="Q590" i="19"/>
  <c r="P590" i="19"/>
  <c r="P643" i="19"/>
  <c r="O643" i="19"/>
  <c r="Q643" i="19"/>
  <c r="Q645" i="19"/>
  <c r="P645" i="19"/>
  <c r="O645" i="19"/>
  <c r="P657" i="19"/>
  <c r="Q657" i="19"/>
  <c r="O657" i="19"/>
  <c r="P683" i="19"/>
  <c r="O683" i="19"/>
  <c r="Q683" i="19"/>
  <c r="Q730" i="19"/>
  <c r="P730" i="19"/>
  <c r="O730" i="19"/>
  <c r="Q767" i="19"/>
  <c r="P767" i="19"/>
  <c r="O767" i="19"/>
  <c r="P853" i="19"/>
  <c r="Q853" i="19"/>
  <c r="O853" i="19"/>
  <c r="P879" i="19"/>
  <c r="O879" i="19"/>
  <c r="Q879" i="19"/>
  <c r="Q958" i="19"/>
  <c r="O958" i="19"/>
  <c r="P958" i="19"/>
  <c r="P976" i="19"/>
  <c r="O976" i="19"/>
  <c r="Q976" i="19"/>
  <c r="Q991" i="19"/>
  <c r="P991" i="19"/>
  <c r="O991" i="19"/>
  <c r="Q1022" i="19"/>
  <c r="P1022" i="19"/>
  <c r="O1022" i="19"/>
  <c r="P1141" i="19"/>
  <c r="O1141" i="19"/>
  <c r="Q1141" i="19"/>
  <c r="Q1144" i="19"/>
  <c r="P1144" i="19"/>
  <c r="O1144" i="19"/>
  <c r="Q1154" i="19"/>
  <c r="O1154" i="19"/>
  <c r="P1154" i="19"/>
  <c r="P1189" i="19"/>
  <c r="O1189" i="19"/>
  <c r="Q1189" i="19"/>
  <c r="O1293" i="19"/>
  <c r="Q1293" i="19"/>
  <c r="P1293" i="19"/>
  <c r="Q1496" i="19"/>
  <c r="P1496" i="19"/>
  <c r="O1496" i="19"/>
  <c r="O1641" i="19"/>
  <c r="Q1641" i="19"/>
  <c r="P1641" i="19"/>
  <c r="Q1699" i="19"/>
  <c r="P1699" i="19"/>
  <c r="O1699" i="19"/>
  <c r="Q1715" i="19"/>
  <c r="O1715" i="19"/>
  <c r="P1715" i="19"/>
  <c r="P1732" i="19"/>
  <c r="O1732" i="19"/>
  <c r="Q1732" i="19"/>
  <c r="O1808" i="19"/>
  <c r="Q1808" i="19"/>
  <c r="P1808" i="19"/>
  <c r="P2048" i="19"/>
  <c r="Q2048" i="19"/>
  <c r="O2048" i="19"/>
  <c r="Q155" i="19"/>
  <c r="P155" i="19"/>
  <c r="O155" i="19"/>
  <c r="P158" i="19"/>
  <c r="O158" i="19"/>
  <c r="Q158" i="19"/>
  <c r="P249" i="19"/>
  <c r="O249" i="19"/>
  <c r="Q249" i="19"/>
  <c r="Q274" i="19"/>
  <c r="O274" i="19"/>
  <c r="P274" i="19"/>
  <c r="P306" i="19"/>
  <c r="O306" i="19"/>
  <c r="Q306" i="19"/>
  <c r="P315" i="19"/>
  <c r="O315" i="19"/>
  <c r="Q315" i="19"/>
  <c r="Q334" i="19"/>
  <c r="O334" i="19"/>
  <c r="P334" i="19"/>
  <c r="P339" i="19"/>
  <c r="O339" i="19"/>
  <c r="Q339" i="19"/>
  <c r="P535" i="19"/>
  <c r="O535" i="19"/>
  <c r="Q535" i="19"/>
  <c r="Q627" i="19"/>
  <c r="P627" i="19"/>
  <c r="O627" i="19"/>
  <c r="P685" i="19"/>
  <c r="Q685" i="19"/>
  <c r="O685" i="19"/>
  <c r="Q1016" i="19"/>
  <c r="P1016" i="19"/>
  <c r="O1016" i="19"/>
  <c r="Q1306" i="19"/>
  <c r="P1306" i="19"/>
  <c r="O1306" i="19"/>
  <c r="O1448" i="19"/>
  <c r="P1448" i="19"/>
  <c r="Q1448" i="19"/>
  <c r="Q1612" i="19"/>
  <c r="O1612" i="19"/>
  <c r="P1612" i="19"/>
  <c r="Q65" i="19"/>
  <c r="P65" i="19"/>
  <c r="O65" i="19"/>
  <c r="P71" i="19"/>
  <c r="O71" i="19"/>
  <c r="Q71" i="19"/>
  <c r="Q74" i="19"/>
  <c r="O74" i="19"/>
  <c r="P74" i="19"/>
  <c r="P77" i="19"/>
  <c r="O77" i="19"/>
  <c r="Q77" i="19"/>
  <c r="P83" i="19"/>
  <c r="Q83" i="19"/>
  <c r="O83" i="19"/>
  <c r="P95" i="19"/>
  <c r="O95" i="19"/>
  <c r="Q95" i="19"/>
  <c r="P107" i="19"/>
  <c r="Q107" i="19"/>
  <c r="O107" i="19"/>
  <c r="P143" i="19"/>
  <c r="Q143" i="19"/>
  <c r="O143" i="19"/>
  <c r="P171" i="19"/>
  <c r="Q171" i="19"/>
  <c r="O171" i="19"/>
  <c r="Q202" i="19"/>
  <c r="P202" i="19"/>
  <c r="O202" i="19"/>
  <c r="P237" i="19"/>
  <c r="Q237" i="19"/>
  <c r="O237" i="19"/>
  <c r="Q262" i="19"/>
  <c r="P262" i="19"/>
  <c r="O262" i="19"/>
  <c r="Q362" i="19"/>
  <c r="P362" i="19"/>
  <c r="O362" i="19"/>
  <c r="O365" i="19"/>
  <c r="Q365" i="19"/>
  <c r="P365" i="19"/>
  <c r="P371" i="19"/>
  <c r="O371" i="19"/>
  <c r="Q371" i="19"/>
  <c r="Q397" i="19"/>
  <c r="O397" i="19"/>
  <c r="P397" i="19"/>
  <c r="Q427" i="19"/>
  <c r="P427" i="19"/>
  <c r="O427" i="19"/>
  <c r="Q434" i="19"/>
  <c r="O434" i="19"/>
  <c r="P434" i="19"/>
  <c r="Q456" i="19"/>
  <c r="O456" i="19"/>
  <c r="P456" i="19"/>
  <c r="Q497" i="19"/>
  <c r="P497" i="19"/>
  <c r="O497" i="19"/>
  <c r="Q601" i="19"/>
  <c r="P601" i="19"/>
  <c r="O601" i="19"/>
  <c r="O620" i="19"/>
  <c r="Q620" i="19"/>
  <c r="P620" i="19"/>
  <c r="P650" i="19"/>
  <c r="Q650" i="19"/>
  <c r="O650" i="19"/>
  <c r="O669" i="19"/>
  <c r="Q669" i="19"/>
  <c r="P669" i="19"/>
  <c r="P708" i="19"/>
  <c r="O708" i="19"/>
  <c r="Q708" i="19"/>
  <c r="O717" i="19"/>
  <c r="Q717" i="19"/>
  <c r="P717" i="19"/>
  <c r="Q753" i="19"/>
  <c r="P753" i="19"/>
  <c r="O753" i="19"/>
  <c r="O757" i="19"/>
  <c r="Q757" i="19"/>
  <c r="P757" i="19"/>
  <c r="Q834" i="19"/>
  <c r="O834" i="19"/>
  <c r="P834" i="19"/>
  <c r="P967" i="19"/>
  <c r="Q967" i="19"/>
  <c r="O967" i="19"/>
  <c r="P1043" i="19"/>
  <c r="O1043" i="19"/>
  <c r="Q1043" i="19"/>
  <c r="P1054" i="19"/>
  <c r="Q1054" i="19"/>
  <c r="O1054" i="19"/>
  <c r="Q1064" i="19"/>
  <c r="P1064" i="19"/>
  <c r="O1064" i="19"/>
  <c r="O1137" i="19"/>
  <c r="Q1137" i="19"/>
  <c r="P1137" i="19"/>
  <c r="O1259" i="19"/>
  <c r="Q1259" i="19"/>
  <c r="P1259" i="19"/>
  <c r="Q1262" i="19"/>
  <c r="P1262" i="19"/>
  <c r="O1262" i="19"/>
  <c r="O1521" i="19"/>
  <c r="Q1521" i="19"/>
  <c r="P1521" i="19"/>
  <c r="Q1596" i="19"/>
  <c r="P1596" i="19"/>
  <c r="O1596" i="19"/>
  <c r="O1617" i="19"/>
  <c r="Q1617" i="19"/>
  <c r="P1617" i="19"/>
  <c r="Q1633" i="19"/>
  <c r="P1633" i="19"/>
  <c r="O1633" i="19"/>
  <c r="Q1744" i="19"/>
  <c r="O1744" i="19"/>
  <c r="P1744" i="19"/>
  <c r="O1988" i="19"/>
  <c r="Q1988" i="19"/>
  <c r="P1988" i="19"/>
  <c r="P2084" i="19"/>
  <c r="Q2084" i="19"/>
  <c r="O2084" i="19"/>
  <c r="Q2309" i="19"/>
  <c r="P2309" i="19"/>
  <c r="Q94" i="19"/>
  <c r="P94" i="19"/>
  <c r="O94" i="19"/>
  <c r="Q132" i="19"/>
  <c r="O132" i="19"/>
  <c r="P132" i="19"/>
  <c r="Q250" i="19"/>
  <c r="P250" i="19"/>
  <c r="O250" i="19"/>
  <c r="P283" i="19"/>
  <c r="O283" i="19"/>
  <c r="Q283" i="19"/>
  <c r="Q337" i="19"/>
  <c r="P337" i="19"/>
  <c r="O337" i="19"/>
  <c r="O342" i="19"/>
  <c r="Q342" i="19"/>
  <c r="P342" i="19"/>
  <c r="Q410" i="19"/>
  <c r="P410" i="19"/>
  <c r="O410" i="19"/>
  <c r="Q418" i="19"/>
  <c r="P418" i="19"/>
  <c r="O418" i="19"/>
  <c r="P437" i="19"/>
  <c r="O437" i="19"/>
  <c r="Q437" i="19"/>
  <c r="Q453" i="19"/>
  <c r="P453" i="19"/>
  <c r="O453" i="19"/>
  <c r="Q461" i="19"/>
  <c r="P461" i="19"/>
  <c r="O461" i="19"/>
  <c r="Q469" i="19"/>
  <c r="O469" i="19"/>
  <c r="P469" i="19"/>
  <c r="P485" i="19"/>
  <c r="Q485" i="19"/>
  <c r="O485" i="19"/>
  <c r="P514" i="19"/>
  <c r="O514" i="19"/>
  <c r="Q514" i="19"/>
  <c r="Q529" i="19"/>
  <c r="O529" i="19"/>
  <c r="P529" i="19"/>
  <c r="Q560" i="19"/>
  <c r="P560" i="19"/>
  <c r="O560" i="19"/>
  <c r="Q569" i="19"/>
  <c r="O569" i="19"/>
  <c r="P569" i="19"/>
  <c r="P587" i="19"/>
  <c r="O587" i="19"/>
  <c r="Q587" i="19"/>
  <c r="Q614" i="19"/>
  <c r="P614" i="19"/>
  <c r="O614" i="19"/>
  <c r="P673" i="19"/>
  <c r="Q673" i="19"/>
  <c r="O673" i="19"/>
  <c r="Q702" i="19"/>
  <c r="P702" i="19"/>
  <c r="O702" i="19"/>
  <c r="Q766" i="19"/>
  <c r="O766" i="19"/>
  <c r="P766" i="19"/>
  <c r="P768" i="19"/>
  <c r="O768" i="19"/>
  <c r="Q768" i="19"/>
  <c r="Q797" i="19"/>
  <c r="P797" i="19"/>
  <c r="O797" i="19"/>
  <c r="P904" i="19"/>
  <c r="O904" i="19"/>
  <c r="Q904" i="19"/>
  <c r="P931" i="19"/>
  <c r="O931" i="19"/>
  <c r="Q931" i="19"/>
  <c r="O986" i="19"/>
  <c r="Q986" i="19"/>
  <c r="P986" i="19"/>
  <c r="P1019" i="19"/>
  <c r="Q1019" i="19"/>
  <c r="O1019" i="19"/>
  <c r="O1032" i="19"/>
  <c r="P1032" i="19"/>
  <c r="Q1032" i="19"/>
  <c r="P1158" i="19"/>
  <c r="Q1158" i="19"/>
  <c r="O1158" i="19"/>
  <c r="O1232" i="19"/>
  <c r="Q1232" i="19"/>
  <c r="P1232" i="19"/>
  <c r="O1324" i="19"/>
  <c r="Q1324" i="19"/>
  <c r="P1324" i="19"/>
  <c r="Q1420" i="19"/>
  <c r="O1420" i="19"/>
  <c r="P1420" i="19"/>
  <c r="Q1425" i="19"/>
  <c r="P1425" i="19"/>
  <c r="O1425" i="19"/>
  <c r="Q1433" i="19"/>
  <c r="P1433" i="19"/>
  <c r="O1433" i="19"/>
  <c r="P1502" i="19"/>
  <c r="O1502" i="19"/>
  <c r="Q1502" i="19"/>
  <c r="Q1536" i="19"/>
  <c r="P1536" i="19"/>
  <c r="O1536" i="19"/>
  <c r="P1661" i="19"/>
  <c r="O1661" i="19"/>
  <c r="Q1661" i="19"/>
  <c r="O2089" i="19"/>
  <c r="Q2089" i="19"/>
  <c r="P2089" i="19"/>
  <c r="Q2328" i="19"/>
  <c r="O2328" i="19"/>
  <c r="P2328" i="19"/>
  <c r="Q32" i="19"/>
  <c r="P32" i="19"/>
  <c r="O32" i="19"/>
  <c r="Q58" i="19"/>
  <c r="P58" i="19"/>
  <c r="O58" i="19"/>
  <c r="O84" i="19"/>
  <c r="Q84" i="19"/>
  <c r="P84" i="19"/>
  <c r="O104" i="19"/>
  <c r="Q104" i="19"/>
  <c r="P104" i="19"/>
  <c r="Q113" i="19"/>
  <c r="P113" i="19"/>
  <c r="O113" i="19"/>
  <c r="Q164" i="19"/>
  <c r="P164" i="19"/>
  <c r="O164" i="19"/>
  <c r="P169" i="19"/>
  <c r="Q169" i="19"/>
  <c r="O169" i="19"/>
  <c r="O174" i="19"/>
  <c r="P174" i="19"/>
  <c r="Q174" i="19"/>
  <c r="Q181" i="19"/>
  <c r="P181" i="19"/>
  <c r="O181" i="19"/>
  <c r="P191" i="19"/>
  <c r="Q191" i="19"/>
  <c r="O191" i="19"/>
  <c r="O207" i="19"/>
  <c r="Q207" i="19"/>
  <c r="P207" i="19"/>
  <c r="P215" i="19"/>
  <c r="O215" i="19"/>
  <c r="Q215" i="19"/>
  <c r="Q242" i="19"/>
  <c r="P242" i="19"/>
  <c r="O242" i="19"/>
  <c r="P281" i="19"/>
  <c r="Q281" i="19"/>
  <c r="O281" i="19"/>
  <c r="Q302" i="19"/>
  <c r="O302" i="19"/>
  <c r="P302" i="19"/>
  <c r="O327" i="19"/>
  <c r="Q327" i="19"/>
  <c r="P327" i="19"/>
  <c r="Q358" i="19"/>
  <c r="O358" i="19"/>
  <c r="P358" i="19"/>
  <c r="P445" i="19"/>
  <c r="O445" i="19"/>
  <c r="Q445" i="19"/>
  <c r="P551" i="19"/>
  <c r="Q551" i="19"/>
  <c r="O551" i="19"/>
  <c r="Q571" i="19"/>
  <c r="P571" i="19"/>
  <c r="O571" i="19"/>
  <c r="P619" i="19"/>
  <c r="Q619" i="19"/>
  <c r="O619" i="19"/>
  <c r="Q621" i="19"/>
  <c r="O621" i="19"/>
  <c r="P621" i="19"/>
  <c r="Q636" i="19"/>
  <c r="P636" i="19"/>
  <c r="O636" i="19"/>
  <c r="Q656" i="19"/>
  <c r="P656" i="19"/>
  <c r="O656" i="19"/>
  <c r="Q684" i="19"/>
  <c r="P684" i="19"/>
  <c r="O684" i="19"/>
  <c r="O723" i="19"/>
  <c r="P723" i="19"/>
  <c r="Q723" i="19"/>
  <c r="Q733" i="19"/>
  <c r="O733" i="19"/>
  <c r="P733" i="19"/>
  <c r="P818" i="19"/>
  <c r="Q818" i="19"/>
  <c r="O818" i="19"/>
  <c r="O945" i="19"/>
  <c r="Q945" i="19"/>
  <c r="P945" i="19"/>
  <c r="P953" i="19"/>
  <c r="O953" i="19"/>
  <c r="Q953" i="19"/>
  <c r="Q956" i="19"/>
  <c r="O956" i="19"/>
  <c r="P956" i="19"/>
  <c r="Q1021" i="19"/>
  <c r="O1021" i="19"/>
  <c r="P1021" i="19"/>
  <c r="P1023" i="19"/>
  <c r="O1023" i="19"/>
  <c r="Q1023" i="19"/>
  <c r="O1333" i="19"/>
  <c r="P1333" i="19"/>
  <c r="Q1333" i="19"/>
  <c r="Q1347" i="19"/>
  <c r="P1347" i="19"/>
  <c r="O1347" i="19"/>
  <c r="O1362" i="19"/>
  <c r="Q1362" i="19"/>
  <c r="P1362" i="19"/>
  <c r="O1582" i="19"/>
  <c r="P1582" i="19"/>
  <c r="Q1582" i="19"/>
  <c r="Q1670" i="19"/>
  <c r="O1670" i="19"/>
  <c r="P1670" i="19"/>
  <c r="Q1993" i="19"/>
  <c r="P1993" i="19"/>
  <c r="O1993" i="19"/>
  <c r="O46" i="19"/>
  <c r="Q46" i="19"/>
  <c r="P46" i="19"/>
  <c r="Q66" i="19"/>
  <c r="P66" i="19"/>
  <c r="O66" i="19"/>
  <c r="P133" i="19"/>
  <c r="O133" i="19"/>
  <c r="Q133" i="19"/>
  <c r="O149" i="19"/>
  <c r="Q149" i="19"/>
  <c r="P149" i="19"/>
  <c r="O157" i="19"/>
  <c r="P157" i="19"/>
  <c r="Q157" i="19"/>
  <c r="P165" i="19"/>
  <c r="Q165" i="19"/>
  <c r="O165" i="19"/>
  <c r="O184" i="19"/>
  <c r="Q184" i="19"/>
  <c r="P184" i="19"/>
  <c r="O223" i="19"/>
  <c r="Q223" i="19"/>
  <c r="P223" i="19"/>
  <c r="Q240" i="19"/>
  <c r="P240" i="19"/>
  <c r="O240" i="19"/>
  <c r="Q338" i="19"/>
  <c r="P338" i="19"/>
  <c r="O338" i="19"/>
  <c r="Q438" i="19"/>
  <c r="O438" i="19"/>
  <c r="P438" i="19"/>
  <c r="O493" i="19"/>
  <c r="Q493" i="19"/>
  <c r="P493" i="19"/>
  <c r="P557" i="19"/>
  <c r="O557" i="19"/>
  <c r="Q557" i="19"/>
  <c r="Q566" i="19"/>
  <c r="P566" i="19"/>
  <c r="O566" i="19"/>
  <c r="Q586" i="19"/>
  <c r="P586" i="19"/>
  <c r="O586" i="19"/>
  <c r="P611" i="19"/>
  <c r="O611" i="19"/>
  <c r="Q611" i="19"/>
  <c r="P616" i="19"/>
  <c r="O616" i="19"/>
  <c r="Q616" i="19"/>
  <c r="P631" i="19"/>
  <c r="Q631" i="19"/>
  <c r="O631" i="19"/>
  <c r="O664" i="19"/>
  <c r="Q664" i="19"/>
  <c r="P664" i="19"/>
  <c r="Q699" i="19"/>
  <c r="P699" i="19"/>
  <c r="O699" i="19"/>
  <c r="Q755" i="19"/>
  <c r="P755" i="19"/>
  <c r="O755" i="19"/>
  <c r="P785" i="19"/>
  <c r="O785" i="19"/>
  <c r="Q785" i="19"/>
  <c r="Q804" i="19"/>
  <c r="O804" i="19"/>
  <c r="P804" i="19"/>
  <c r="O806" i="19"/>
  <c r="P806" i="19"/>
  <c r="Q806" i="19"/>
  <c r="Q831" i="19"/>
  <c r="P831" i="19"/>
  <c r="O831" i="19"/>
  <c r="Q840" i="19"/>
  <c r="P840" i="19"/>
  <c r="P854" i="19"/>
  <c r="O854" i="19"/>
  <c r="Q854" i="19"/>
  <c r="Q885" i="19"/>
  <c r="P885" i="19"/>
  <c r="O885" i="19"/>
  <c r="P899" i="19"/>
  <c r="Q899" i="19"/>
  <c r="O899" i="19"/>
  <c r="Q901" i="19"/>
  <c r="O901" i="19"/>
  <c r="P901" i="19"/>
  <c r="Q1051" i="19"/>
  <c r="O1051" i="19"/>
  <c r="P1051" i="19"/>
  <c r="Q1104" i="19"/>
  <c r="P1104" i="19"/>
  <c r="O1104" i="19"/>
  <c r="O1233" i="19"/>
  <c r="Q1233" i="19"/>
  <c r="P1233" i="19"/>
  <c r="P1236" i="19"/>
  <c r="O1236" i="19"/>
  <c r="Q1236" i="19"/>
  <c r="P1340" i="19"/>
  <c r="Q1340" i="19"/>
  <c r="O1340" i="19"/>
  <c r="O1370" i="19"/>
  <c r="Q1370" i="19"/>
  <c r="P1370" i="19"/>
  <c r="P1443" i="19"/>
  <c r="Q1443" i="19"/>
  <c r="O1443" i="19"/>
  <c r="O1705" i="19"/>
  <c r="P1705" i="19"/>
  <c r="Q1705" i="19"/>
  <c r="P1714" i="19"/>
  <c r="O1714" i="19"/>
  <c r="Q1714" i="19"/>
  <c r="Q1872" i="19"/>
  <c r="P1872" i="19"/>
  <c r="O1872" i="19"/>
  <c r="Q37" i="19"/>
  <c r="O37" i="19"/>
  <c r="P37" i="19"/>
  <c r="O114" i="19"/>
  <c r="Q114" i="19"/>
  <c r="P114" i="19"/>
  <c r="Q123" i="19"/>
  <c r="P123" i="19"/>
  <c r="O123" i="19"/>
  <c r="P141" i="19"/>
  <c r="Q141" i="19"/>
  <c r="O141" i="19"/>
  <c r="Q200" i="19"/>
  <c r="O200" i="19"/>
  <c r="P200" i="19"/>
  <c r="Q251" i="19"/>
  <c r="P251" i="19"/>
  <c r="O251" i="19"/>
  <c r="P287" i="19"/>
  <c r="Q287" i="19"/>
  <c r="O287" i="19"/>
  <c r="Q295" i="19"/>
  <c r="O295" i="19"/>
  <c r="P295" i="19"/>
  <c r="P303" i="19"/>
  <c r="O303" i="19"/>
  <c r="Q303" i="19"/>
  <c r="Q319" i="19"/>
  <c r="P319" i="19"/>
  <c r="O319" i="19"/>
  <c r="O326" i="19"/>
  <c r="Q326" i="19"/>
  <c r="P326" i="19"/>
  <c r="P329" i="19"/>
  <c r="Q329" i="19"/>
  <c r="O329" i="19"/>
  <c r="P343" i="19"/>
  <c r="O343" i="19"/>
  <c r="Q343" i="19"/>
  <c r="P351" i="19"/>
  <c r="O351" i="19"/>
  <c r="Q351" i="19"/>
  <c r="P359" i="19"/>
  <c r="O359" i="19"/>
  <c r="Q359" i="19"/>
  <c r="P395" i="19"/>
  <c r="O395" i="19"/>
  <c r="Q395" i="19"/>
  <c r="P411" i="19"/>
  <c r="Q411" i="19"/>
  <c r="O411" i="19"/>
  <c r="P419" i="19"/>
  <c r="O419" i="19"/>
  <c r="Q419" i="19"/>
  <c r="P433" i="19"/>
  <c r="O433" i="19"/>
  <c r="Q433" i="19"/>
  <c r="O462" i="19"/>
  <c r="Q462" i="19"/>
  <c r="P462" i="19"/>
  <c r="Q470" i="19"/>
  <c r="P470" i="19"/>
  <c r="O470" i="19"/>
  <c r="P537" i="19"/>
  <c r="Q537" i="19"/>
  <c r="O537" i="19"/>
  <c r="Q653" i="19"/>
  <c r="P653" i="19"/>
  <c r="O653" i="19"/>
  <c r="P681" i="19"/>
  <c r="O681" i="19"/>
  <c r="Q681" i="19"/>
  <c r="Q710" i="19"/>
  <c r="P710" i="19"/>
  <c r="O710" i="19"/>
  <c r="Q725" i="19"/>
  <c r="P725" i="19"/>
  <c r="O725" i="19"/>
  <c r="P732" i="19"/>
  <c r="O732" i="19"/>
  <c r="Q732" i="19"/>
  <c r="P740" i="19"/>
  <c r="O740" i="19"/>
  <c r="Q740" i="19"/>
  <c r="Q771" i="19"/>
  <c r="P771" i="19"/>
  <c r="O771" i="19"/>
  <c r="O775" i="19"/>
  <c r="P775" i="19"/>
  <c r="Q775" i="19"/>
  <c r="P781" i="19"/>
  <c r="Q781" i="19"/>
  <c r="O781" i="19"/>
  <c r="Q838" i="19"/>
  <c r="O838" i="19"/>
  <c r="P838" i="19"/>
  <c r="Q1011" i="19"/>
  <c r="P1011" i="19"/>
  <c r="O1011" i="19"/>
  <c r="O1056" i="19"/>
  <c r="Q1056" i="19"/>
  <c r="P1056" i="19"/>
  <c r="Q1079" i="19"/>
  <c r="P1079" i="19"/>
  <c r="O1079" i="19"/>
  <c r="Q1107" i="19"/>
  <c r="P1107" i="19"/>
  <c r="O1107" i="19"/>
  <c r="Q1110" i="19"/>
  <c r="P1110" i="19"/>
  <c r="O1110" i="19"/>
  <c r="Q1126" i="19"/>
  <c r="P1126" i="19"/>
  <c r="O1126" i="19"/>
  <c r="P1136" i="19"/>
  <c r="Q1136" i="19"/>
  <c r="O1136" i="19"/>
  <c r="P1162" i="19"/>
  <c r="O1162" i="19"/>
  <c r="Q1162" i="19"/>
  <c r="P1167" i="19"/>
  <c r="O1167" i="19"/>
  <c r="Q1167" i="19"/>
  <c r="P1169" i="19"/>
  <c r="O1169" i="19"/>
  <c r="Q1169" i="19"/>
  <c r="P1181" i="19"/>
  <c r="O1181" i="19"/>
  <c r="Q1181" i="19"/>
  <c r="Q1183" i="19"/>
  <c r="P1183" i="19"/>
  <c r="O1183" i="19"/>
  <c r="O1222" i="19"/>
  <c r="Q1222" i="19"/>
  <c r="P1222" i="19"/>
  <c r="P1263" i="19"/>
  <c r="Q1263" i="19"/>
  <c r="O1263" i="19"/>
  <c r="O1337" i="19"/>
  <c r="Q1337" i="19"/>
  <c r="P1337" i="19"/>
  <c r="O1405" i="19"/>
  <c r="Q1405" i="19"/>
  <c r="P1405" i="19"/>
  <c r="P1409" i="19"/>
  <c r="O1409" i="19"/>
  <c r="Q1409" i="19"/>
  <c r="P1681" i="19"/>
  <c r="O1681" i="19"/>
  <c r="Q1681" i="19"/>
  <c r="Q8" i="19"/>
  <c r="O8" i="19"/>
  <c r="P8" i="19"/>
  <c r="Q25" i="19"/>
  <c r="P25" i="19"/>
  <c r="O25" i="19"/>
  <c r="O33" i="19"/>
  <c r="Q33" i="19"/>
  <c r="P33" i="19"/>
  <c r="P59" i="19"/>
  <c r="Q59" i="19"/>
  <c r="O59" i="19"/>
  <c r="P85" i="19"/>
  <c r="Q85" i="19"/>
  <c r="O85" i="19"/>
  <c r="P105" i="19"/>
  <c r="Q105" i="19"/>
  <c r="O105" i="19"/>
  <c r="O110" i="19"/>
  <c r="P110" i="19"/>
  <c r="Q110" i="19"/>
  <c r="Q112" i="19"/>
  <c r="O112" i="19"/>
  <c r="P112" i="19"/>
  <c r="Q121" i="19"/>
  <c r="P121" i="19"/>
  <c r="O121" i="19"/>
  <c r="O128" i="19"/>
  <c r="Q128" i="19"/>
  <c r="P128" i="19"/>
  <c r="Q136" i="19"/>
  <c r="O136" i="19"/>
  <c r="P136" i="19"/>
  <c r="O170" i="19"/>
  <c r="Q170" i="19"/>
  <c r="P170" i="19"/>
  <c r="P175" i="19"/>
  <c r="Q175" i="19"/>
  <c r="O175" i="19"/>
  <c r="Q182" i="19"/>
  <c r="O182" i="19"/>
  <c r="P182" i="19"/>
  <c r="Q192" i="19"/>
  <c r="P192" i="19"/>
  <c r="O192" i="19"/>
  <c r="P221" i="19"/>
  <c r="Q221" i="19"/>
  <c r="O221" i="19"/>
  <c r="O235" i="19"/>
  <c r="Q235" i="19"/>
  <c r="P235" i="19"/>
  <c r="O243" i="19"/>
  <c r="Q243" i="19"/>
  <c r="P243" i="19"/>
  <c r="P259" i="19"/>
  <c r="Q259" i="19"/>
  <c r="O259" i="19"/>
  <c r="P311" i="19"/>
  <c r="Q311" i="19"/>
  <c r="O311" i="19"/>
  <c r="P367" i="19"/>
  <c r="Q367" i="19"/>
  <c r="O367" i="19"/>
  <c r="Q406" i="19"/>
  <c r="O406" i="19"/>
  <c r="P406" i="19"/>
  <c r="Q431" i="19"/>
  <c r="P431" i="19"/>
  <c r="O431" i="19"/>
  <c r="Q495" i="19"/>
  <c r="O495" i="19"/>
  <c r="P495" i="19"/>
  <c r="O502" i="19"/>
  <c r="Q502" i="19"/>
  <c r="P502" i="19"/>
  <c r="Q528" i="19"/>
  <c r="O528" i="19"/>
  <c r="P528" i="19"/>
  <c r="Q548" i="19"/>
  <c r="P548" i="19"/>
  <c r="O548" i="19"/>
  <c r="Q559" i="19"/>
  <c r="P559" i="19"/>
  <c r="O559" i="19"/>
  <c r="Q582" i="19"/>
  <c r="P582" i="19"/>
  <c r="O582" i="19"/>
  <c r="P597" i="19"/>
  <c r="O597" i="19"/>
  <c r="Q597" i="19"/>
  <c r="Q624" i="19"/>
  <c r="O624" i="19"/>
  <c r="P624" i="19"/>
  <c r="O642" i="19"/>
  <c r="Q642" i="19"/>
  <c r="P642" i="19"/>
  <c r="Q644" i="19"/>
  <c r="O644" i="19"/>
  <c r="P644" i="19"/>
  <c r="O666" i="19"/>
  <c r="Q666" i="19"/>
  <c r="P666" i="19"/>
  <c r="P670" i="19"/>
  <c r="O670" i="19"/>
  <c r="Q670" i="19"/>
  <c r="Q743" i="19"/>
  <c r="O743" i="19"/>
  <c r="P743" i="19"/>
  <c r="P769" i="19"/>
  <c r="O769" i="19"/>
  <c r="Q769" i="19"/>
  <c r="Q798" i="19"/>
  <c r="O798" i="19"/>
  <c r="P798" i="19"/>
  <c r="O939" i="19"/>
  <c r="Q939" i="19"/>
  <c r="P939" i="19"/>
  <c r="P949" i="19"/>
  <c r="Q949" i="19"/>
  <c r="O949" i="19"/>
  <c r="Q974" i="19"/>
  <c r="O974" i="19"/>
  <c r="P974" i="19"/>
  <c r="Q992" i="19"/>
  <c r="O992" i="19"/>
  <c r="P992" i="19"/>
  <c r="Q1047" i="19"/>
  <c r="P1047" i="19"/>
  <c r="O1047" i="19"/>
  <c r="Q1195" i="19"/>
  <c r="P1195" i="19"/>
  <c r="O1195" i="19"/>
  <c r="Q1283" i="19"/>
  <c r="P1283" i="19"/>
  <c r="O1283" i="19"/>
  <c r="Q1359" i="19"/>
  <c r="O1359" i="19"/>
  <c r="P1359" i="19"/>
  <c r="Q1385" i="19"/>
  <c r="O1385" i="19"/>
  <c r="P1385" i="19"/>
  <c r="Q1418" i="19"/>
  <c r="P1418" i="19"/>
  <c r="O1418" i="19"/>
  <c r="Q1524" i="19"/>
  <c r="P1524" i="19"/>
  <c r="O1524" i="19"/>
  <c r="Q1676" i="19"/>
  <c r="O1676" i="19"/>
  <c r="P1676" i="19"/>
  <c r="P1745" i="19"/>
  <c r="Q1745" i="19"/>
  <c r="O1745" i="19"/>
  <c r="Q1810" i="19"/>
  <c r="P1810" i="19"/>
  <c r="O1810" i="19"/>
  <c r="P2426" i="19"/>
  <c r="Q2426" i="19"/>
  <c r="O2426" i="19"/>
  <c r="Q2" i="19"/>
  <c r="P2" i="19"/>
  <c r="O6" i="19"/>
  <c r="Q6" i="19"/>
  <c r="P6" i="19"/>
  <c r="P22" i="19"/>
  <c r="O22" i="19"/>
  <c r="Q22" i="19"/>
  <c r="O26" i="19"/>
  <c r="Q26" i="19"/>
  <c r="P26" i="19"/>
  <c r="Q34" i="19"/>
  <c r="O34" i="19"/>
  <c r="P34" i="19"/>
  <c r="O72" i="19"/>
  <c r="Q72" i="19"/>
  <c r="P72" i="19"/>
  <c r="Q100" i="19"/>
  <c r="P100" i="19"/>
  <c r="O100" i="19"/>
  <c r="O126" i="19"/>
  <c r="Q126" i="19"/>
  <c r="P126" i="19"/>
  <c r="O130" i="19"/>
  <c r="Q130" i="19"/>
  <c r="P130" i="19"/>
  <c r="O150" i="19"/>
  <c r="P150" i="19"/>
  <c r="Q150" i="19"/>
  <c r="O198" i="19"/>
  <c r="Q198" i="19"/>
  <c r="P198" i="19"/>
  <c r="O218" i="19"/>
  <c r="P218" i="19"/>
  <c r="Q218" i="19"/>
  <c r="O246" i="19"/>
  <c r="P246" i="19"/>
  <c r="Q246" i="19"/>
  <c r="O266" i="19"/>
  <c r="Q266" i="19"/>
  <c r="P266" i="19"/>
  <c r="O272" i="19"/>
  <c r="Q272" i="19"/>
  <c r="P272" i="19"/>
  <c r="Q278" i="19"/>
  <c r="P278" i="19"/>
  <c r="O278" i="19"/>
  <c r="O300" i="19"/>
  <c r="Q300" i="19"/>
  <c r="P300" i="19"/>
  <c r="O320" i="19"/>
  <c r="Q320" i="19"/>
  <c r="P320" i="19"/>
  <c r="Q324" i="19"/>
  <c r="P324" i="19"/>
  <c r="O324" i="19"/>
  <c r="O356" i="19"/>
  <c r="Q356" i="19"/>
  <c r="P356" i="19"/>
  <c r="O402" i="19"/>
  <c r="P402" i="19"/>
  <c r="Q402" i="19"/>
  <c r="O422" i="19"/>
  <c r="Q422" i="19"/>
  <c r="P422" i="19"/>
  <c r="Q424" i="19"/>
  <c r="P424" i="19"/>
  <c r="O424" i="19"/>
  <c r="O454" i="19"/>
  <c r="Q454" i="19"/>
  <c r="P454" i="19"/>
  <c r="Q484" i="19"/>
  <c r="P484" i="19"/>
  <c r="O484" i="19"/>
  <c r="Q503" i="19"/>
  <c r="P503" i="19"/>
  <c r="O503" i="19"/>
  <c r="Q513" i="19"/>
  <c r="P513" i="19"/>
  <c r="O513" i="19"/>
  <c r="Q516" i="19"/>
  <c r="O516" i="19"/>
  <c r="P516" i="19"/>
  <c r="Q553" i="19"/>
  <c r="P553" i="19"/>
  <c r="O553" i="19"/>
  <c r="Q563" i="19"/>
  <c r="O563" i="19"/>
  <c r="P563" i="19"/>
  <c r="Q579" i="19"/>
  <c r="O579" i="19"/>
  <c r="P579" i="19"/>
  <c r="Q589" i="19"/>
  <c r="P589" i="19"/>
  <c r="O589" i="19"/>
  <c r="Q599" i="19"/>
  <c r="P599" i="19"/>
  <c r="O599" i="19"/>
  <c r="Q609" i="19"/>
  <c r="P609" i="19"/>
  <c r="O609" i="19"/>
  <c r="Q630" i="19"/>
  <c r="P630" i="19"/>
  <c r="O630" i="19"/>
  <c r="Q649" i="19"/>
  <c r="P649" i="19"/>
  <c r="O649" i="19"/>
  <c r="Q659" i="19"/>
  <c r="P659" i="19"/>
  <c r="O659" i="19"/>
  <c r="Q662" i="19"/>
  <c r="P662" i="19"/>
  <c r="O662" i="19"/>
  <c r="Q668" i="19"/>
  <c r="P668" i="19"/>
  <c r="O668" i="19"/>
  <c r="Q677" i="19"/>
  <c r="P677" i="19"/>
  <c r="O677" i="19"/>
  <c r="Q687" i="19"/>
  <c r="P687" i="19"/>
  <c r="O687" i="19"/>
  <c r="P690" i="19"/>
  <c r="O690" i="19"/>
  <c r="Q690" i="19"/>
  <c r="Q715" i="19"/>
  <c r="P715" i="19"/>
  <c r="O715" i="19"/>
  <c r="O754" i="19"/>
  <c r="P754" i="19"/>
  <c r="Q754" i="19"/>
  <c r="Q759" i="19"/>
  <c r="P759" i="19"/>
  <c r="O759" i="19"/>
  <c r="Q793" i="19"/>
  <c r="P793" i="19"/>
  <c r="O793" i="19"/>
  <c r="O808" i="19"/>
  <c r="Q808" i="19"/>
  <c r="P808" i="19"/>
  <c r="P813" i="19"/>
  <c r="Q813" i="19"/>
  <c r="O813" i="19"/>
  <c r="Q839" i="19"/>
  <c r="P839" i="19"/>
  <c r="O839" i="19"/>
  <c r="P892" i="19"/>
  <c r="O892" i="19"/>
  <c r="Q892" i="19"/>
  <c r="P895" i="19"/>
  <c r="O895" i="19"/>
  <c r="Q895" i="19"/>
  <c r="Q997" i="19"/>
  <c r="O997" i="19"/>
  <c r="P997" i="19"/>
  <c r="P1006" i="19"/>
  <c r="Q1006" i="19"/>
  <c r="O1006" i="19"/>
  <c r="Q1046" i="19"/>
  <c r="P1046" i="19"/>
  <c r="O1046" i="19"/>
  <c r="Q1060" i="19"/>
  <c r="P1060" i="19"/>
  <c r="O1060" i="19"/>
  <c r="Q1135" i="19"/>
  <c r="P1135" i="19"/>
  <c r="O1135" i="19"/>
  <c r="O1216" i="19"/>
  <c r="Q1216" i="19"/>
  <c r="P1216" i="19"/>
  <c r="P1235" i="19"/>
  <c r="O1235" i="19"/>
  <c r="Q1235" i="19"/>
  <c r="P1273" i="19"/>
  <c r="Q1273" i="19"/>
  <c r="O1273" i="19"/>
  <c r="Q1316" i="19"/>
  <c r="P1316" i="19"/>
  <c r="O1316" i="19"/>
  <c r="Q1412" i="19"/>
  <c r="P1412" i="19"/>
  <c r="O1412" i="19"/>
  <c r="O1498" i="19"/>
  <c r="Q1498" i="19"/>
  <c r="P1498" i="19"/>
  <c r="Q1717" i="19"/>
  <c r="P1717" i="19"/>
  <c r="O1717" i="19"/>
  <c r="O1757" i="19"/>
  <c r="Q1757" i="19"/>
  <c r="P1757" i="19"/>
  <c r="Q1761" i="19"/>
  <c r="O1761" i="19"/>
  <c r="P1761" i="19"/>
  <c r="Q1924" i="19"/>
  <c r="P1924" i="19"/>
  <c r="O1924" i="19"/>
  <c r="P2012" i="19"/>
  <c r="O2012" i="19"/>
  <c r="Q2012" i="19"/>
  <c r="O2266" i="19"/>
  <c r="Q2266" i="19"/>
  <c r="P2266" i="19"/>
  <c r="O4" i="19"/>
  <c r="P4" i="19"/>
  <c r="Q4" i="19"/>
  <c r="P20" i="19"/>
  <c r="O20" i="19"/>
  <c r="Q20" i="19"/>
  <c r="Q24" i="19"/>
  <c r="P24" i="19"/>
  <c r="O24" i="19"/>
  <c r="Q36" i="19"/>
  <c r="P36" i="19"/>
  <c r="O36" i="19"/>
  <c r="Q48" i="19"/>
  <c r="P48" i="19"/>
  <c r="O48" i="19"/>
  <c r="Q56" i="19"/>
  <c r="P56" i="19"/>
  <c r="O56" i="19"/>
  <c r="Q80" i="19"/>
  <c r="P80" i="19"/>
  <c r="O80" i="19"/>
  <c r="Q98" i="19"/>
  <c r="P98" i="19"/>
  <c r="O98" i="19"/>
  <c r="Q102" i="19"/>
  <c r="P102" i="19"/>
  <c r="O102" i="19"/>
  <c r="Q148" i="19"/>
  <c r="P148" i="19"/>
  <c r="O148" i="19"/>
  <c r="P196" i="19"/>
  <c r="O196" i="19"/>
  <c r="Q196" i="19"/>
  <c r="P216" i="19"/>
  <c r="O216" i="19"/>
  <c r="Q216" i="19"/>
  <c r="Q220" i="19"/>
  <c r="P220" i="19"/>
  <c r="O220" i="19"/>
  <c r="Q224" i="19"/>
  <c r="P224" i="19"/>
  <c r="O224" i="19"/>
  <c r="Q244" i="19"/>
  <c r="O244" i="19"/>
  <c r="P244" i="19"/>
  <c r="P264" i="19"/>
  <c r="O264" i="19"/>
  <c r="Q264" i="19"/>
  <c r="Q280" i="19"/>
  <c r="P280" i="19"/>
  <c r="O280" i="19"/>
  <c r="P298" i="19"/>
  <c r="O298" i="19"/>
  <c r="Q298" i="19"/>
  <c r="Q318" i="19"/>
  <c r="O318" i="19"/>
  <c r="P318" i="19"/>
  <c r="Q354" i="19"/>
  <c r="P354" i="19"/>
  <c r="O354" i="19"/>
  <c r="Q374" i="19"/>
  <c r="P374" i="19"/>
  <c r="O374" i="19"/>
  <c r="Q400" i="19"/>
  <c r="P400" i="19"/>
  <c r="O400" i="19"/>
  <c r="P420" i="19"/>
  <c r="Q420" i="19"/>
  <c r="O420" i="19"/>
  <c r="P452" i="19"/>
  <c r="Q452" i="19"/>
  <c r="O452" i="19"/>
  <c r="Q472" i="19"/>
  <c r="P472" i="19"/>
  <c r="O472" i="19"/>
  <c r="P477" i="19"/>
  <c r="O477" i="19"/>
  <c r="Q477" i="19"/>
  <c r="P487" i="19"/>
  <c r="O487" i="19"/>
  <c r="Q487" i="19"/>
  <c r="P506" i="19"/>
  <c r="O506" i="19"/>
  <c r="Q506" i="19"/>
  <c r="P556" i="19"/>
  <c r="O556" i="19"/>
  <c r="Q556" i="19"/>
  <c r="O578" i="19"/>
  <c r="P578" i="19"/>
  <c r="Q578" i="19"/>
  <c r="P588" i="19"/>
  <c r="O588" i="19"/>
  <c r="Q588" i="19"/>
  <c r="P598" i="19"/>
  <c r="O598" i="19"/>
  <c r="Q598" i="19"/>
  <c r="O608" i="19"/>
  <c r="Q608" i="19"/>
  <c r="P608" i="19"/>
  <c r="Q618" i="19"/>
  <c r="P618" i="19"/>
  <c r="O618" i="19"/>
  <c r="P623" i="19"/>
  <c r="O623" i="19"/>
  <c r="Q623" i="19"/>
  <c r="P633" i="19"/>
  <c r="O633" i="19"/>
  <c r="Q633" i="19"/>
  <c r="P652" i="19"/>
  <c r="O652" i="19"/>
  <c r="Q652" i="19"/>
  <c r="P680" i="19"/>
  <c r="O680" i="19"/>
  <c r="Q680" i="19"/>
  <c r="O741" i="19"/>
  <c r="P741" i="19"/>
  <c r="Q741" i="19"/>
  <c r="O763" i="19"/>
  <c r="P763" i="19"/>
  <c r="Q763" i="19"/>
  <c r="Q774" i="19"/>
  <c r="P774" i="19"/>
  <c r="O774" i="19"/>
  <c r="O777" i="19"/>
  <c r="Q777" i="19"/>
  <c r="P777" i="19"/>
  <c r="Q780" i="19"/>
  <c r="P780" i="19"/>
  <c r="O780" i="19"/>
  <c r="P800" i="19"/>
  <c r="O800" i="19"/>
  <c r="Q800" i="19"/>
  <c r="Q847" i="19"/>
  <c r="P847" i="19"/>
  <c r="O847" i="19"/>
  <c r="P872" i="19"/>
  <c r="Q872" i="19"/>
  <c r="O872" i="19"/>
  <c r="O909" i="19"/>
  <c r="Q909" i="19"/>
  <c r="P909" i="19"/>
  <c r="Q919" i="19"/>
  <c r="P919" i="19"/>
  <c r="O919" i="19"/>
  <c r="Q921" i="19"/>
  <c r="P921" i="19"/>
  <c r="O921" i="19"/>
  <c r="Q927" i="19"/>
  <c r="P927" i="19"/>
  <c r="O927" i="19"/>
  <c r="P993" i="19"/>
  <c r="Q993" i="19"/>
  <c r="O993" i="19"/>
  <c r="O1039" i="19"/>
  <c r="Q1039" i="19"/>
  <c r="P1039" i="19"/>
  <c r="Q1075" i="19"/>
  <c r="O1075" i="19"/>
  <c r="P1075" i="19"/>
  <c r="Q1127" i="19"/>
  <c r="P1127" i="19"/>
  <c r="O1127" i="19"/>
  <c r="Q1155" i="19"/>
  <c r="P1155" i="19"/>
  <c r="O1155" i="19"/>
  <c r="Q1219" i="19"/>
  <c r="P1219" i="19"/>
  <c r="O1219" i="19"/>
  <c r="P1221" i="19"/>
  <c r="O1221" i="19"/>
  <c r="Q1221" i="19"/>
  <c r="Q1295" i="19"/>
  <c r="O1295" i="19"/>
  <c r="P1295" i="19"/>
  <c r="O1350" i="19"/>
  <c r="P1350" i="19"/>
  <c r="Q1350" i="19"/>
  <c r="P1393" i="19"/>
  <c r="Q1393" i="19"/>
  <c r="O1393" i="19"/>
  <c r="O1399" i="19"/>
  <c r="Q1399" i="19"/>
  <c r="P1399" i="19"/>
  <c r="Q1562" i="19"/>
  <c r="P1562" i="19"/>
  <c r="O1562" i="19"/>
  <c r="Q1629" i="19"/>
  <c r="O1629" i="19"/>
  <c r="P1629" i="19"/>
  <c r="O1650" i="19"/>
  <c r="Q1650" i="19"/>
  <c r="P1650" i="19"/>
  <c r="Q1693" i="19"/>
  <c r="O1693" i="19"/>
  <c r="P1693" i="19"/>
  <c r="Q1969" i="19"/>
  <c r="O1969" i="19"/>
  <c r="P1969" i="19"/>
  <c r="P2544" i="19"/>
  <c r="O2544" i="19"/>
  <c r="Q2544" i="19"/>
  <c r="O2601" i="19"/>
  <c r="Q2601" i="19"/>
  <c r="P2601" i="19"/>
  <c r="P42" i="19"/>
  <c r="O42" i="19"/>
  <c r="Q42" i="19"/>
  <c r="Q55" i="19"/>
  <c r="P55" i="19"/>
  <c r="O55" i="19"/>
  <c r="O62" i="19"/>
  <c r="P62" i="19"/>
  <c r="Q62" i="19"/>
  <c r="Q86" i="19"/>
  <c r="P86" i="19"/>
  <c r="O86" i="19"/>
  <c r="O92" i="19"/>
  <c r="Q92" i="19"/>
  <c r="P92" i="19"/>
  <c r="O142" i="19"/>
  <c r="Q142" i="19"/>
  <c r="P142" i="19"/>
  <c r="O162" i="19"/>
  <c r="Q162" i="19"/>
  <c r="P162" i="19"/>
  <c r="Q166" i="19"/>
  <c r="P166" i="19"/>
  <c r="O166" i="19"/>
  <c r="O168" i="19"/>
  <c r="P168" i="19"/>
  <c r="Q168" i="19"/>
  <c r="O172" i="19"/>
  <c r="Q172" i="19"/>
  <c r="P172" i="19"/>
  <c r="Q176" i="19"/>
  <c r="P176" i="19"/>
  <c r="O176" i="19"/>
  <c r="O190" i="19"/>
  <c r="Q190" i="19"/>
  <c r="P190" i="19"/>
  <c r="O210" i="19"/>
  <c r="P210" i="19"/>
  <c r="Q210" i="19"/>
  <c r="O238" i="19"/>
  <c r="Q238" i="19"/>
  <c r="P238" i="19"/>
  <c r="O258" i="19"/>
  <c r="P258" i="19"/>
  <c r="Q258" i="19"/>
  <c r="Q282" i="19"/>
  <c r="O282" i="19"/>
  <c r="P282" i="19"/>
  <c r="Q288" i="19"/>
  <c r="P288" i="19"/>
  <c r="O288" i="19"/>
  <c r="O292" i="19"/>
  <c r="Q292" i="19"/>
  <c r="P292" i="19"/>
  <c r="O312" i="19"/>
  <c r="Q312" i="19"/>
  <c r="P312" i="19"/>
  <c r="O332" i="19"/>
  <c r="Q332" i="19"/>
  <c r="P332" i="19"/>
  <c r="O348" i="19"/>
  <c r="Q348" i="19"/>
  <c r="P348" i="19"/>
  <c r="O368" i="19"/>
  <c r="Q368" i="19"/>
  <c r="P368" i="19"/>
  <c r="P376" i="19"/>
  <c r="Q376" i="19"/>
  <c r="O376" i="19"/>
  <c r="O394" i="19"/>
  <c r="P394" i="19"/>
  <c r="Q394" i="19"/>
  <c r="O414" i="19"/>
  <c r="Q414" i="19"/>
  <c r="P414" i="19"/>
  <c r="O446" i="19"/>
  <c r="P446" i="19"/>
  <c r="Q446" i="19"/>
  <c r="O466" i="19"/>
  <c r="Q466" i="19"/>
  <c r="P466" i="19"/>
  <c r="Q476" i="19"/>
  <c r="P476" i="19"/>
  <c r="O476" i="19"/>
  <c r="Q486" i="19"/>
  <c r="P486" i="19"/>
  <c r="O486" i="19"/>
  <c r="Q505" i="19"/>
  <c r="P505" i="19"/>
  <c r="O505" i="19"/>
  <c r="Q546" i="19"/>
  <c r="P546" i="19"/>
  <c r="Q555" i="19"/>
  <c r="O555" i="19"/>
  <c r="P555" i="19"/>
  <c r="P575" i="19"/>
  <c r="O575" i="19"/>
  <c r="Q575" i="19"/>
  <c r="P585" i="19"/>
  <c r="Q585" i="19"/>
  <c r="O585" i="19"/>
  <c r="P592" i="19"/>
  <c r="O592" i="19"/>
  <c r="Q592" i="19"/>
  <c r="P605" i="19"/>
  <c r="O605" i="19"/>
  <c r="Q605" i="19"/>
  <c r="P612" i="19"/>
  <c r="Q612" i="19"/>
  <c r="O612" i="19"/>
  <c r="Q632" i="19"/>
  <c r="P632" i="19"/>
  <c r="O632" i="19"/>
  <c r="P651" i="19"/>
  <c r="O651" i="19"/>
  <c r="Q651" i="19"/>
  <c r="P661" i="19"/>
  <c r="O661" i="19"/>
  <c r="Q661" i="19"/>
  <c r="Q679" i="19"/>
  <c r="P679" i="19"/>
  <c r="O679" i="19"/>
  <c r="P751" i="19"/>
  <c r="O751" i="19"/>
  <c r="Q751" i="19"/>
  <c r="Q761" i="19"/>
  <c r="P761" i="19"/>
  <c r="O761" i="19"/>
  <c r="O770" i="19"/>
  <c r="Q770" i="19"/>
  <c r="P770" i="19"/>
  <c r="Q779" i="19"/>
  <c r="P779" i="19"/>
  <c r="O779" i="19"/>
  <c r="P802" i="19"/>
  <c r="O802" i="19"/>
  <c r="Q802" i="19"/>
  <c r="Q819" i="19"/>
  <c r="P819" i="19"/>
  <c r="O819" i="19"/>
  <c r="P857" i="19"/>
  <c r="Q857" i="19"/>
  <c r="O857" i="19"/>
  <c r="Q891" i="19"/>
  <c r="O891" i="19"/>
  <c r="P891" i="19"/>
  <c r="P977" i="19"/>
  <c r="Q977" i="19"/>
  <c r="O977" i="19"/>
  <c r="Q1113" i="19"/>
  <c r="P1113" i="19"/>
  <c r="O1113" i="19"/>
  <c r="P1146" i="19"/>
  <c r="Q1146" i="19"/>
  <c r="O1146" i="19"/>
  <c r="Q1266" i="19"/>
  <c r="O1266" i="19"/>
  <c r="P1266" i="19"/>
  <c r="Q1274" i="19"/>
  <c r="P1274" i="19"/>
  <c r="O1274" i="19"/>
  <c r="Q1279" i="19"/>
  <c r="P1279" i="19"/>
  <c r="O1279" i="19"/>
  <c r="Q1348" i="19"/>
  <c r="O1348" i="19"/>
  <c r="P1348" i="19"/>
  <c r="Q1516" i="19"/>
  <c r="P1516" i="19"/>
  <c r="O1516" i="19"/>
  <c r="Q1520" i="19"/>
  <c r="P1520" i="19"/>
  <c r="O1520" i="19"/>
  <c r="O1594" i="19"/>
  <c r="Q1594" i="19"/>
  <c r="P1594" i="19"/>
  <c r="O1656" i="19"/>
  <c r="Q1656" i="19"/>
  <c r="P1656" i="19"/>
  <c r="P1900" i="19"/>
  <c r="O1900" i="19"/>
  <c r="Q1900" i="19"/>
  <c r="Q2429" i="19"/>
  <c r="P2429" i="19"/>
  <c r="O2429" i="19"/>
  <c r="P7" i="19"/>
  <c r="O7" i="19"/>
  <c r="Q7" i="19"/>
  <c r="Q27" i="19"/>
  <c r="O27" i="19"/>
  <c r="P27" i="19"/>
  <c r="O47" i="19"/>
  <c r="P47" i="19"/>
  <c r="Q47" i="19"/>
  <c r="O73" i="19"/>
  <c r="Q73" i="19"/>
  <c r="P73" i="19"/>
  <c r="P125" i="19"/>
  <c r="O125" i="19"/>
  <c r="Q125" i="19"/>
  <c r="Q127" i="19"/>
  <c r="P127" i="19"/>
  <c r="O127" i="19"/>
  <c r="Q129" i="19"/>
  <c r="P129" i="19"/>
  <c r="O129" i="19"/>
  <c r="Q131" i="19"/>
  <c r="P131" i="19"/>
  <c r="O131" i="19"/>
  <c r="P151" i="19"/>
  <c r="O151" i="19"/>
  <c r="Q151" i="19"/>
  <c r="O199" i="19"/>
  <c r="Q199" i="19"/>
  <c r="P199" i="19"/>
  <c r="O219" i="19"/>
  <c r="P219" i="19"/>
  <c r="Q219" i="19"/>
  <c r="Q247" i="19"/>
  <c r="P247" i="19"/>
  <c r="O247" i="19"/>
  <c r="O267" i="19"/>
  <c r="P267" i="19"/>
  <c r="Q267" i="19"/>
  <c r="P271" i="19"/>
  <c r="O271" i="19"/>
  <c r="Q271" i="19"/>
  <c r="P273" i="19"/>
  <c r="O273" i="19"/>
  <c r="Q273" i="19"/>
  <c r="P277" i="19"/>
  <c r="O277" i="19"/>
  <c r="Q277" i="19"/>
  <c r="Q301" i="19"/>
  <c r="P301" i="19"/>
  <c r="O301" i="19"/>
  <c r="Q321" i="19"/>
  <c r="O321" i="19"/>
  <c r="P321" i="19"/>
  <c r="P357" i="19"/>
  <c r="O357" i="19"/>
  <c r="Q357" i="19"/>
  <c r="P403" i="19"/>
  <c r="O403" i="19"/>
  <c r="Q403" i="19"/>
  <c r="Q423" i="19"/>
  <c r="P423" i="19"/>
  <c r="O423" i="19"/>
  <c r="Q455" i="19"/>
  <c r="P455" i="19"/>
  <c r="O455" i="19"/>
  <c r="P533" i="19"/>
  <c r="O533" i="19"/>
  <c r="Q533" i="19"/>
  <c r="Q667" i="19"/>
  <c r="P667" i="19"/>
  <c r="O667" i="19"/>
  <c r="Q704" i="19"/>
  <c r="P704" i="19"/>
  <c r="O704" i="19"/>
  <c r="O728" i="19"/>
  <c r="P728" i="19"/>
  <c r="Q728" i="19"/>
  <c r="Q758" i="19"/>
  <c r="P758" i="19"/>
  <c r="O758" i="19"/>
  <c r="Q773" i="19"/>
  <c r="P773" i="19"/>
  <c r="O773" i="19"/>
  <c r="P776" i="19"/>
  <c r="O776" i="19"/>
  <c r="Q776" i="19"/>
  <c r="P794" i="19"/>
  <c r="Q794" i="19"/>
  <c r="O794" i="19"/>
  <c r="P807" i="19"/>
  <c r="O807" i="19"/>
  <c r="Q807" i="19"/>
  <c r="Q863" i="19"/>
  <c r="P863" i="19"/>
  <c r="O863" i="19"/>
  <c r="P903" i="19"/>
  <c r="Q903" i="19"/>
  <c r="O903" i="19"/>
  <c r="O911" i="19"/>
  <c r="Q911" i="19"/>
  <c r="P911" i="19"/>
  <c r="O1000" i="19"/>
  <c r="P1000" i="19"/>
  <c r="Q1000" i="19"/>
  <c r="O1007" i="19"/>
  <c r="P1007" i="19"/>
  <c r="Q1007" i="19"/>
  <c r="O1091" i="19"/>
  <c r="Q1091" i="19"/>
  <c r="P1091" i="19"/>
  <c r="Q1123" i="19"/>
  <c r="O1123" i="19"/>
  <c r="P1123" i="19"/>
  <c r="Q1151" i="19"/>
  <c r="P1151" i="19"/>
  <c r="O1151" i="19"/>
  <c r="Q1346" i="19"/>
  <c r="O1346" i="19"/>
  <c r="P1346" i="19"/>
  <c r="P1377" i="19"/>
  <c r="O1377" i="19"/>
  <c r="Q1377" i="19"/>
  <c r="P1435" i="19"/>
  <c r="O1435" i="19"/>
  <c r="Q1435" i="19"/>
  <c r="Q1503" i="19"/>
  <c r="O1503" i="19"/>
  <c r="P1503" i="19"/>
  <c r="Q1548" i="19"/>
  <c r="P1548" i="19"/>
  <c r="O1548" i="19"/>
  <c r="Q1614" i="19"/>
  <c r="O1614" i="19"/>
  <c r="P1614" i="19"/>
  <c r="Q1686" i="19"/>
  <c r="P1686" i="19"/>
  <c r="O1686" i="19"/>
  <c r="O2147" i="19"/>
  <c r="P2147" i="19"/>
  <c r="Q2147" i="19"/>
  <c r="P2186" i="19"/>
  <c r="O2186" i="19"/>
  <c r="Q2186" i="19"/>
  <c r="P2192" i="19"/>
  <c r="O2192" i="19"/>
  <c r="Q2192" i="19"/>
  <c r="Q2537" i="19"/>
  <c r="O2537" i="19"/>
  <c r="P2537" i="19"/>
  <c r="Q16" i="19"/>
  <c r="O16" i="19"/>
  <c r="P16" i="19"/>
  <c r="Q44" i="19"/>
  <c r="P44" i="19"/>
  <c r="O44" i="19"/>
  <c r="P52" i="19"/>
  <c r="O52" i="19"/>
  <c r="Q52" i="19"/>
  <c r="Q64" i="19"/>
  <c r="P64" i="19"/>
  <c r="O64" i="19"/>
  <c r="Q88" i="19"/>
  <c r="P88" i="19"/>
  <c r="O88" i="19"/>
  <c r="Q90" i="19"/>
  <c r="P90" i="19"/>
  <c r="O90" i="19"/>
  <c r="O140" i="19"/>
  <c r="P140" i="19"/>
  <c r="Q140" i="19"/>
  <c r="O160" i="19"/>
  <c r="Q160" i="19"/>
  <c r="P160" i="19"/>
  <c r="Q178" i="19"/>
  <c r="P178" i="19"/>
  <c r="O178" i="19"/>
  <c r="Q188" i="19"/>
  <c r="P188" i="19"/>
  <c r="O188" i="19"/>
  <c r="O208" i="19"/>
  <c r="Q208" i="19"/>
  <c r="P208" i="19"/>
  <c r="P230" i="19"/>
  <c r="Q230" i="19"/>
  <c r="O230" i="19"/>
  <c r="Q232" i="19"/>
  <c r="P232" i="19"/>
  <c r="O232" i="19"/>
  <c r="P234" i="19"/>
  <c r="O234" i="19"/>
  <c r="Q234" i="19"/>
  <c r="Q236" i="19"/>
  <c r="P236" i="19"/>
  <c r="O236" i="19"/>
  <c r="Q256" i="19"/>
  <c r="P256" i="19"/>
  <c r="O256" i="19"/>
  <c r="O286" i="19"/>
  <c r="Q286" i="19"/>
  <c r="P286" i="19"/>
  <c r="P290" i="19"/>
  <c r="O290" i="19"/>
  <c r="Q290" i="19"/>
  <c r="Q310" i="19"/>
  <c r="P310" i="19"/>
  <c r="O310" i="19"/>
  <c r="Q346" i="19"/>
  <c r="P346" i="19"/>
  <c r="O346" i="19"/>
  <c r="Q366" i="19"/>
  <c r="P366" i="19"/>
  <c r="O366" i="19"/>
  <c r="P378" i="19"/>
  <c r="O378" i="19"/>
  <c r="Q378" i="19"/>
  <c r="Q388" i="19"/>
  <c r="P388" i="19"/>
  <c r="O388" i="19"/>
  <c r="Q392" i="19"/>
  <c r="P392" i="19"/>
  <c r="O392" i="19"/>
  <c r="Q412" i="19"/>
  <c r="P412" i="19"/>
  <c r="O412" i="19"/>
  <c r="Q444" i="19"/>
  <c r="P444" i="19"/>
  <c r="O444" i="19"/>
  <c r="Q464" i="19"/>
  <c r="P464" i="19"/>
  <c r="O464" i="19"/>
  <c r="Q479" i="19"/>
  <c r="P479" i="19"/>
  <c r="O479" i="19"/>
  <c r="P489" i="19"/>
  <c r="O489" i="19"/>
  <c r="Q489" i="19"/>
  <c r="Q508" i="19"/>
  <c r="O508" i="19"/>
  <c r="P508" i="19"/>
  <c r="O558" i="19"/>
  <c r="P558" i="19"/>
  <c r="Q558" i="19"/>
  <c r="P574" i="19"/>
  <c r="Q574" i="19"/>
  <c r="O574" i="19"/>
  <c r="P584" i="19"/>
  <c r="Q584" i="19"/>
  <c r="O584" i="19"/>
  <c r="P591" i="19"/>
  <c r="Q591" i="19"/>
  <c r="O591" i="19"/>
  <c r="P604" i="19"/>
  <c r="O604" i="19"/>
  <c r="Q604" i="19"/>
  <c r="Q622" i="19"/>
  <c r="P622" i="19"/>
  <c r="O622" i="19"/>
  <c r="Q625" i="19"/>
  <c r="O625" i="19"/>
  <c r="P625" i="19"/>
  <c r="Q635" i="19"/>
  <c r="O635" i="19"/>
  <c r="P635" i="19"/>
  <c r="P654" i="19"/>
  <c r="Q654" i="19"/>
  <c r="O654" i="19"/>
  <c r="Q672" i="19"/>
  <c r="P672" i="19"/>
  <c r="O672" i="19"/>
  <c r="Q682" i="19"/>
  <c r="P682" i="19"/>
  <c r="O682" i="19"/>
  <c r="O713" i="19"/>
  <c r="Q713" i="19"/>
  <c r="P713" i="19"/>
  <c r="Q735" i="19"/>
  <c r="O735" i="19"/>
  <c r="P735" i="19"/>
  <c r="P750" i="19"/>
  <c r="Q750" i="19"/>
  <c r="O750" i="19"/>
  <c r="O765" i="19"/>
  <c r="Q765" i="19"/>
  <c r="P765" i="19"/>
  <c r="O824" i="19"/>
  <c r="Q824" i="19"/>
  <c r="P824" i="19"/>
  <c r="P844" i="19"/>
  <c r="O844" i="19"/>
  <c r="Q844" i="19"/>
  <c r="Q859" i="19"/>
  <c r="P859" i="19"/>
  <c r="O859" i="19"/>
  <c r="Q861" i="19"/>
  <c r="P861" i="19"/>
  <c r="O861" i="19"/>
  <c r="Q874" i="19"/>
  <c r="P874" i="19"/>
  <c r="O874" i="19"/>
  <c r="P888" i="19"/>
  <c r="Q888" i="19"/>
  <c r="O888" i="19"/>
  <c r="P924" i="19"/>
  <c r="O924" i="19"/>
  <c r="Q924" i="19"/>
  <c r="O998" i="19"/>
  <c r="Q998" i="19"/>
  <c r="P998" i="19"/>
  <c r="O1241" i="19"/>
  <c r="Q1241" i="19"/>
  <c r="P1241" i="19"/>
  <c r="Q1261" i="19"/>
  <c r="O1261" i="19"/>
  <c r="P1261" i="19"/>
  <c r="P1391" i="19"/>
  <c r="Q1391" i="19"/>
  <c r="O1391" i="19"/>
  <c r="Q1531" i="19"/>
  <c r="O1531" i="19"/>
  <c r="P1531" i="19"/>
  <c r="P1637" i="19"/>
  <c r="O1637" i="19"/>
  <c r="Q1637" i="19"/>
  <c r="O1776" i="19"/>
  <c r="Q1776" i="19"/>
  <c r="P1776" i="19"/>
  <c r="O2033" i="19"/>
  <c r="P2033" i="19"/>
  <c r="Q2033" i="19"/>
  <c r="P2112" i="19"/>
  <c r="Q2112" i="19"/>
  <c r="O2112" i="19"/>
  <c r="O2225" i="19"/>
  <c r="Q2225" i="19"/>
  <c r="P2225" i="19"/>
  <c r="P826" i="19"/>
  <c r="Q826" i="19"/>
  <c r="O826" i="19"/>
  <c r="Q829" i="19"/>
  <c r="P829" i="19"/>
  <c r="O829" i="19"/>
  <c r="P837" i="19"/>
  <c r="Q837" i="19"/>
  <c r="O837" i="19"/>
  <c r="Q842" i="19"/>
  <c r="P842" i="19"/>
  <c r="O842" i="19"/>
  <c r="O912" i="19"/>
  <c r="Q912" i="19"/>
  <c r="P912" i="19"/>
  <c r="P914" i="19"/>
  <c r="Q914" i="19"/>
  <c r="O914" i="19"/>
  <c r="P942" i="19"/>
  <c r="Q942" i="19"/>
  <c r="O942" i="19"/>
  <c r="P961" i="19"/>
  <c r="O961" i="19"/>
  <c r="Q961" i="19"/>
  <c r="Q965" i="19"/>
  <c r="P965" i="19"/>
  <c r="O965" i="19"/>
  <c r="P970" i="19"/>
  <c r="Q970" i="19"/>
  <c r="O970" i="19"/>
  <c r="Q1002" i="19"/>
  <c r="P1002" i="19"/>
  <c r="O1002" i="19"/>
  <c r="Q1028" i="19"/>
  <c r="P1028" i="19"/>
  <c r="O1028" i="19"/>
  <c r="O1045" i="19"/>
  <c r="Q1045" i="19"/>
  <c r="P1045" i="19"/>
  <c r="Q1066" i="19"/>
  <c r="P1066" i="19"/>
  <c r="O1066" i="19"/>
  <c r="O1086" i="19"/>
  <c r="Q1086" i="19"/>
  <c r="P1086" i="19"/>
  <c r="Q1130" i="19"/>
  <c r="O1130" i="19"/>
  <c r="P1130" i="19"/>
  <c r="P1171" i="19"/>
  <c r="O1171" i="19"/>
  <c r="Q1171" i="19"/>
  <c r="P1176" i="19"/>
  <c r="O1176" i="19"/>
  <c r="Q1176" i="19"/>
  <c r="Q1192" i="19"/>
  <c r="O1192" i="19"/>
  <c r="P1192" i="19"/>
  <c r="O1211" i="19"/>
  <c r="Q1211" i="19"/>
  <c r="P1211" i="19"/>
  <c r="P1213" i="19"/>
  <c r="O1213" i="19"/>
  <c r="Q1213" i="19"/>
  <c r="O1364" i="19"/>
  <c r="P1364" i="19"/>
  <c r="Q1364" i="19"/>
  <c r="P1367" i="19"/>
  <c r="Q1367" i="19"/>
  <c r="O1367" i="19"/>
  <c r="Q1422" i="19"/>
  <c r="P1422" i="19"/>
  <c r="O1422" i="19"/>
  <c r="Q1463" i="19"/>
  <c r="P1463" i="19"/>
  <c r="O1463" i="19"/>
  <c r="Q1526" i="19"/>
  <c r="P1526" i="19"/>
  <c r="O1526" i="19"/>
  <c r="P1685" i="19"/>
  <c r="O1685" i="19"/>
  <c r="Q1685" i="19"/>
  <c r="Q1849" i="19"/>
  <c r="P1849" i="19"/>
  <c r="O1849" i="19"/>
  <c r="P2430" i="19"/>
  <c r="Q2430" i="19"/>
  <c r="O2430" i="19"/>
  <c r="Q2560" i="19"/>
  <c r="P2560" i="19"/>
  <c r="O2560" i="19"/>
  <c r="Q852" i="19"/>
  <c r="O852" i="19"/>
  <c r="P852" i="19"/>
  <c r="P871" i="19"/>
  <c r="O871" i="19"/>
  <c r="Q871" i="19"/>
  <c r="Q880" i="19"/>
  <c r="P880" i="19"/>
  <c r="O880" i="19"/>
  <c r="O916" i="19"/>
  <c r="Q916" i="19"/>
  <c r="P916" i="19"/>
  <c r="Q937" i="19"/>
  <c r="P937" i="19"/>
  <c r="O937" i="19"/>
  <c r="Q984" i="19"/>
  <c r="P984" i="19"/>
  <c r="O984" i="19"/>
  <c r="Q1017" i="19"/>
  <c r="O1017" i="19"/>
  <c r="P1017" i="19"/>
  <c r="O1035" i="19"/>
  <c r="P1035" i="19"/>
  <c r="Q1035" i="19"/>
  <c r="O1068" i="19"/>
  <c r="Q1068" i="19"/>
  <c r="P1068" i="19"/>
  <c r="Q1093" i="19"/>
  <c r="P1093" i="19"/>
  <c r="O1093" i="19"/>
  <c r="Q1095" i="19"/>
  <c r="P1095" i="19"/>
  <c r="O1095" i="19"/>
  <c r="P1108" i="19"/>
  <c r="Q1108" i="19"/>
  <c r="O1108" i="19"/>
  <c r="O1119" i="19"/>
  <c r="P1119" i="19"/>
  <c r="Q1119" i="19"/>
  <c r="P1125" i="19"/>
  <c r="O1125" i="19"/>
  <c r="Q1125" i="19"/>
  <c r="O1166" i="19"/>
  <c r="Q1166" i="19"/>
  <c r="P1166" i="19"/>
  <c r="Q1178" i="19"/>
  <c r="P1178" i="19"/>
  <c r="O1178" i="19"/>
  <c r="Q1187" i="19"/>
  <c r="P1187" i="19"/>
  <c r="O1187" i="19"/>
  <c r="Q1286" i="19"/>
  <c r="P1286" i="19"/>
  <c r="O1286" i="19"/>
  <c r="Q1310" i="19"/>
  <c r="P1310" i="19"/>
  <c r="O1310" i="19"/>
  <c r="Q1326" i="19"/>
  <c r="P1326" i="19"/>
  <c r="O1326" i="19"/>
  <c r="O1335" i="19"/>
  <c r="P1335" i="19"/>
  <c r="Q1335" i="19"/>
  <c r="Q1533" i="19"/>
  <c r="P1533" i="19"/>
  <c r="O1533" i="19"/>
  <c r="O1576" i="19"/>
  <c r="Q1576" i="19"/>
  <c r="P1576" i="19"/>
  <c r="Q1674" i="19"/>
  <c r="P1674" i="19"/>
  <c r="O1674" i="19"/>
  <c r="O2031" i="19"/>
  <c r="P2031" i="19"/>
  <c r="Q2031" i="19"/>
  <c r="Q2239" i="19"/>
  <c r="P2239" i="19"/>
  <c r="O2239" i="19"/>
  <c r="P2265" i="19"/>
  <c r="Q2265" i="19"/>
  <c r="O2265" i="19"/>
  <c r="P2580" i="19"/>
  <c r="O2580" i="19"/>
  <c r="Q2580" i="19"/>
  <c r="P1494" i="19"/>
  <c r="O1494" i="19"/>
  <c r="Q1494" i="19"/>
  <c r="O1506" i="19"/>
  <c r="P1506" i="19"/>
  <c r="Q1506" i="19"/>
  <c r="P1621" i="19"/>
  <c r="Q1621" i="19"/>
  <c r="O1621" i="19"/>
  <c r="Q1708" i="19"/>
  <c r="O1708" i="19"/>
  <c r="P1708" i="19"/>
  <c r="P1741" i="19"/>
  <c r="O1741" i="19"/>
  <c r="Q1741" i="19"/>
  <c r="O2023" i="19"/>
  <c r="Q2023" i="19"/>
  <c r="P2023" i="19"/>
  <c r="Q2325" i="19"/>
  <c r="P2325" i="19"/>
  <c r="O2325" i="19"/>
  <c r="P2464" i="19"/>
  <c r="Q2464" i="19"/>
  <c r="O2464" i="19"/>
  <c r="Q2501" i="19"/>
  <c r="O2501" i="19"/>
  <c r="P2501" i="19"/>
  <c r="O1280" i="19"/>
  <c r="P1280" i="19"/>
  <c r="Q1280" i="19"/>
  <c r="O1313" i="19"/>
  <c r="P1313" i="19"/>
  <c r="Q1313" i="19"/>
  <c r="P1353" i="19"/>
  <c r="O1353" i="19"/>
  <c r="Q1353" i="19"/>
  <c r="P1442" i="19"/>
  <c r="Q1442" i="19"/>
  <c r="O1442" i="19"/>
  <c r="Q1474" i="19"/>
  <c r="O1474" i="19"/>
  <c r="P1474" i="19"/>
  <c r="Q1511" i="19"/>
  <c r="P1511" i="19"/>
  <c r="O1511" i="19"/>
  <c r="O1549" i="19"/>
  <c r="Q1549" i="19"/>
  <c r="P1549" i="19"/>
  <c r="O1668" i="19"/>
  <c r="Q1668" i="19"/>
  <c r="P1668" i="19"/>
  <c r="P1733" i="19"/>
  <c r="Q1733" i="19"/>
  <c r="O1733" i="19"/>
  <c r="Q1985" i="19"/>
  <c r="O1985" i="19"/>
  <c r="P1985" i="19"/>
  <c r="Q2307" i="19"/>
  <c r="P2307" i="19"/>
  <c r="O2307" i="19"/>
  <c r="Q790" i="19"/>
  <c r="P790" i="19"/>
  <c r="O790" i="19"/>
  <c r="P801" i="19"/>
  <c r="Q801" i="19"/>
  <c r="O801" i="19"/>
  <c r="P843" i="19"/>
  <c r="Q843" i="19"/>
  <c r="O843" i="19"/>
  <c r="P856" i="19"/>
  <c r="Q856" i="19"/>
  <c r="O856" i="19"/>
  <c r="Q869" i="19"/>
  <c r="P869" i="19"/>
  <c r="O869" i="19"/>
  <c r="Q886" i="19"/>
  <c r="O886" i="19"/>
  <c r="P886" i="19"/>
  <c r="O889" i="19"/>
  <c r="Q889" i="19"/>
  <c r="P889" i="19"/>
  <c r="Q917" i="19"/>
  <c r="O917" i="19"/>
  <c r="P917" i="19"/>
  <c r="P943" i="19"/>
  <c r="O943" i="19"/>
  <c r="Q943" i="19"/>
  <c r="Q962" i="19"/>
  <c r="O962" i="19"/>
  <c r="P962" i="19"/>
  <c r="P1003" i="19"/>
  <c r="O1003" i="19"/>
  <c r="Q1003" i="19"/>
  <c r="O1013" i="19"/>
  <c r="Q1013" i="19"/>
  <c r="P1013" i="19"/>
  <c r="P1024" i="19"/>
  <c r="Q1024" i="19"/>
  <c r="O1024" i="19"/>
  <c r="Q1041" i="19"/>
  <c r="O1041" i="19"/>
  <c r="P1041" i="19"/>
  <c r="Q1049" i="19"/>
  <c r="O1049" i="19"/>
  <c r="P1049" i="19"/>
  <c r="O1065" i="19"/>
  <c r="P1065" i="19"/>
  <c r="Q1065" i="19"/>
  <c r="O1067" i="19"/>
  <c r="Q1067" i="19"/>
  <c r="P1067" i="19"/>
  <c r="O1096" i="19"/>
  <c r="Q1096" i="19"/>
  <c r="P1096" i="19"/>
  <c r="Q1120" i="19"/>
  <c r="P1120" i="19"/>
  <c r="O1120" i="19"/>
  <c r="P1165" i="19"/>
  <c r="O1165" i="19"/>
  <c r="Q1165" i="19"/>
  <c r="P1184" i="19"/>
  <c r="Q1184" i="19"/>
  <c r="O1184" i="19"/>
  <c r="Q1212" i="19"/>
  <c r="O1212" i="19"/>
  <c r="P1212" i="19"/>
  <c r="Q1269" i="19"/>
  <c r="P1269" i="19"/>
  <c r="O1269" i="19"/>
  <c r="P1287" i="19"/>
  <c r="Q1287" i="19"/>
  <c r="O1287" i="19"/>
  <c r="P1289" i="19"/>
  <c r="O1289" i="19"/>
  <c r="Q1289" i="19"/>
  <c r="Q1334" i="19"/>
  <c r="P1334" i="19"/>
  <c r="O1334" i="19"/>
  <c r="O1500" i="19"/>
  <c r="Q1500" i="19"/>
  <c r="P1500" i="19"/>
  <c r="P1574" i="19"/>
  <c r="O1574" i="19"/>
  <c r="Q1574" i="19"/>
  <c r="O1639" i="19"/>
  <c r="Q1639" i="19"/>
  <c r="P1639" i="19"/>
  <c r="Q1728" i="19"/>
  <c r="P1728" i="19"/>
  <c r="O1728" i="19"/>
  <c r="P1760" i="19"/>
  <c r="O1760" i="19"/>
  <c r="Q1760" i="19"/>
  <c r="P1813" i="19"/>
  <c r="O1813" i="19"/>
  <c r="Q1813" i="19"/>
  <c r="P2327" i="19"/>
  <c r="Q2327" i="19"/>
  <c r="O2327" i="19"/>
  <c r="Q2461" i="19"/>
  <c r="O2461" i="19"/>
  <c r="P2461" i="19"/>
  <c r="Q1026" i="19"/>
  <c r="P1026" i="19"/>
  <c r="O1026" i="19"/>
  <c r="Q1038" i="19"/>
  <c r="P1038" i="19"/>
  <c r="O1038" i="19"/>
  <c r="P1070" i="19"/>
  <c r="O1070" i="19"/>
  <c r="Q1070" i="19"/>
  <c r="P1133" i="19"/>
  <c r="O1133" i="19"/>
  <c r="Q1133" i="19"/>
  <c r="P1159" i="19"/>
  <c r="O1159" i="19"/>
  <c r="Q1159" i="19"/>
  <c r="Q1197" i="19"/>
  <c r="O1197" i="19"/>
  <c r="P1197" i="19"/>
  <c r="P1268" i="19"/>
  <c r="O1268" i="19"/>
  <c r="Q1268" i="19"/>
  <c r="P1292" i="19"/>
  <c r="Q1292" i="19"/>
  <c r="O1292" i="19"/>
  <c r="Q1376" i="19"/>
  <c r="P1376" i="19"/>
  <c r="O1376" i="19"/>
  <c r="P1466" i="19"/>
  <c r="Q1466" i="19"/>
  <c r="O1466" i="19"/>
  <c r="P1476" i="19"/>
  <c r="O1476" i="19"/>
  <c r="Q1476" i="19"/>
  <c r="P1597" i="19"/>
  <c r="Q1597" i="19"/>
  <c r="O1597" i="19"/>
  <c r="O1672" i="19"/>
  <c r="Q1672" i="19"/>
  <c r="P1672" i="19"/>
  <c r="Q1724" i="19"/>
  <c r="O1724" i="19"/>
  <c r="P1724" i="19"/>
  <c r="P1736" i="19"/>
  <c r="Q1736" i="19"/>
  <c r="O1736" i="19"/>
  <c r="Q1815" i="19"/>
  <c r="P1815" i="19"/>
  <c r="O1815" i="19"/>
  <c r="Q1819" i="19"/>
  <c r="O1819" i="19"/>
  <c r="P1819" i="19"/>
  <c r="P1840" i="19"/>
  <c r="O1840" i="19"/>
  <c r="Q1840" i="19"/>
  <c r="Q1879" i="19"/>
  <c r="P1879" i="19"/>
  <c r="O1879" i="19"/>
  <c r="Q1883" i="19"/>
  <c r="P1883" i="19"/>
  <c r="O1883" i="19"/>
  <c r="O1958" i="19"/>
  <c r="P1958" i="19"/>
  <c r="Q1958" i="19"/>
  <c r="Q1974" i="19"/>
  <c r="P1974" i="19"/>
  <c r="O1974" i="19"/>
  <c r="O2021" i="19"/>
  <c r="Q2021" i="19"/>
  <c r="P2021" i="19"/>
  <c r="O2106" i="19"/>
  <c r="Q2106" i="19"/>
  <c r="P2106" i="19"/>
  <c r="Q2189" i="19"/>
  <c r="O2189" i="19"/>
  <c r="P2189" i="19"/>
  <c r="O2229" i="19"/>
  <c r="Q2229" i="19"/>
  <c r="P2229" i="19"/>
  <c r="O2363" i="19"/>
  <c r="Q2363" i="19"/>
  <c r="P2363" i="19"/>
  <c r="P2520" i="19"/>
  <c r="O2520" i="19"/>
  <c r="Q2520" i="19"/>
  <c r="Q2570" i="19"/>
  <c r="P2570" i="19"/>
  <c r="O2570" i="19"/>
  <c r="Q1018" i="19"/>
  <c r="P1018" i="19"/>
  <c r="O1018" i="19"/>
  <c r="O1052" i="19"/>
  <c r="Q1052" i="19"/>
  <c r="P1052" i="19"/>
  <c r="Q1057" i="19"/>
  <c r="O1057" i="19"/>
  <c r="P1057" i="19"/>
  <c r="P1089" i="19"/>
  <c r="Q1089" i="19"/>
  <c r="O1089" i="19"/>
  <c r="P1139" i="19"/>
  <c r="O1139" i="19"/>
  <c r="Q1139" i="19"/>
  <c r="O1161" i="19"/>
  <c r="P1161" i="19"/>
  <c r="Q1161" i="19"/>
  <c r="Q1190" i="19"/>
  <c r="P1190" i="19"/>
  <c r="O1190" i="19"/>
  <c r="P1240" i="19"/>
  <c r="O1240" i="19"/>
  <c r="Q1240" i="19"/>
  <c r="Q1251" i="19"/>
  <c r="P1251" i="19"/>
  <c r="O1251" i="19"/>
  <c r="Q1253" i="19"/>
  <c r="P1253" i="19"/>
  <c r="O1253" i="19"/>
  <c r="P1272" i="19"/>
  <c r="Q1272" i="19"/>
  <c r="O1272" i="19"/>
  <c r="P1297" i="19"/>
  <c r="O1297" i="19"/>
  <c r="Q1297" i="19"/>
  <c r="O1342" i="19"/>
  <c r="Q1342" i="19"/>
  <c r="P1342" i="19"/>
  <c r="Q1384" i="19"/>
  <c r="P1384" i="19"/>
  <c r="O1384" i="19"/>
  <c r="Q1396" i="19"/>
  <c r="P1396" i="19"/>
  <c r="O1396" i="19"/>
  <c r="O1413" i="19"/>
  <c r="Q1413" i="19"/>
  <c r="P1413" i="19"/>
  <c r="P1468" i="19"/>
  <c r="O1468" i="19"/>
  <c r="Q1468" i="19"/>
  <c r="Q1472" i="19"/>
  <c r="O1472" i="19"/>
  <c r="P1472" i="19"/>
  <c r="P1501" i="19"/>
  <c r="O1501" i="19"/>
  <c r="Q1501" i="19"/>
  <c r="Q1510" i="19"/>
  <c r="O1510" i="19"/>
  <c r="P1510" i="19"/>
  <c r="Q1542" i="19"/>
  <c r="P1542" i="19"/>
  <c r="O1542" i="19"/>
  <c r="Q1616" i="19"/>
  <c r="P1616" i="19"/>
  <c r="O1616" i="19"/>
  <c r="P1660" i="19"/>
  <c r="Q1660" i="19"/>
  <c r="O1660" i="19"/>
  <c r="P1675" i="19"/>
  <c r="Q1675" i="19"/>
  <c r="O1675" i="19"/>
  <c r="Q1895" i="19"/>
  <c r="P1895" i="19"/>
  <c r="O1895" i="19"/>
  <c r="Q1966" i="19"/>
  <c r="P1966" i="19"/>
  <c r="O1966" i="19"/>
  <c r="P2338" i="19"/>
  <c r="O2338" i="19"/>
  <c r="Q2338" i="19"/>
  <c r="O1029" i="19"/>
  <c r="P1029" i="19"/>
  <c r="Q1029" i="19"/>
  <c r="O1048" i="19"/>
  <c r="P1048" i="19"/>
  <c r="Q1048" i="19"/>
  <c r="O1072" i="19"/>
  <c r="Q1072" i="19"/>
  <c r="P1072" i="19"/>
  <c r="Q1098" i="19"/>
  <c r="P1098" i="19"/>
  <c r="O1098" i="19"/>
  <c r="Q1111" i="19"/>
  <c r="P1111" i="19"/>
  <c r="O1111" i="19"/>
  <c r="O1122" i="19"/>
  <c r="P1122" i="19"/>
  <c r="Q1122" i="19"/>
  <c r="O1175" i="19"/>
  <c r="Q1175" i="19"/>
  <c r="P1175" i="19"/>
  <c r="O1202" i="19"/>
  <c r="P1202" i="19"/>
  <c r="Q1202" i="19"/>
  <c r="O1229" i="19"/>
  <c r="P1229" i="19"/>
  <c r="Q1229" i="19"/>
  <c r="P1290" i="19"/>
  <c r="Q1290" i="19"/>
  <c r="O1290" i="19"/>
  <c r="Q1369" i="19"/>
  <c r="O1369" i="19"/>
  <c r="P1369" i="19"/>
  <c r="Q1404" i="19"/>
  <c r="O1404" i="19"/>
  <c r="P1404" i="19"/>
  <c r="P1513" i="19"/>
  <c r="O1513" i="19"/>
  <c r="Q1513" i="19"/>
  <c r="Q1803" i="19"/>
  <c r="P1803" i="19"/>
  <c r="O1803" i="19"/>
  <c r="Q1905" i="19"/>
  <c r="O1905" i="19"/>
  <c r="P1905" i="19"/>
  <c r="P1950" i="19"/>
  <c r="O1950" i="19"/>
  <c r="Q1950" i="19"/>
  <c r="P1986" i="19"/>
  <c r="O1986" i="19"/>
  <c r="Q1986" i="19"/>
  <c r="Q2010" i="19"/>
  <c r="O2010" i="19"/>
  <c r="P2010" i="19"/>
  <c r="P2102" i="19"/>
  <c r="Q2102" i="19"/>
  <c r="O2102" i="19"/>
  <c r="O2144" i="19"/>
  <c r="P2144" i="19"/>
  <c r="Q2144" i="19"/>
  <c r="Q2213" i="19"/>
  <c r="P2213" i="19"/>
  <c r="O2213" i="19"/>
  <c r="Q2317" i="19"/>
  <c r="O2317" i="19"/>
  <c r="P2317" i="19"/>
  <c r="P2403" i="19"/>
  <c r="O2403" i="19"/>
  <c r="Q2403" i="19"/>
  <c r="Q2432" i="19"/>
  <c r="O2432" i="19"/>
  <c r="P2432" i="19"/>
  <c r="P1432" i="19"/>
  <c r="O1432" i="19"/>
  <c r="Q1432" i="19"/>
  <c r="Q1437" i="19"/>
  <c r="O1437" i="19"/>
  <c r="P1437" i="19"/>
  <c r="Q1467" i="19"/>
  <c r="P1467" i="19"/>
  <c r="O1467" i="19"/>
  <c r="P1534" i="19"/>
  <c r="Q1534" i="19"/>
  <c r="O1534" i="19"/>
  <c r="O1558" i="19"/>
  <c r="Q1558" i="19"/>
  <c r="P1558" i="19"/>
  <c r="P1601" i="19"/>
  <c r="Q1601" i="19"/>
  <c r="O1601" i="19"/>
  <c r="P1773" i="19"/>
  <c r="O1773" i="19"/>
  <c r="Q1773" i="19"/>
  <c r="P1783" i="19"/>
  <c r="O1783" i="19"/>
  <c r="Q1783" i="19"/>
  <c r="P1817" i="19"/>
  <c r="O1817" i="19"/>
  <c r="Q1817" i="19"/>
  <c r="P1821" i="19"/>
  <c r="O1821" i="19"/>
  <c r="Q1821" i="19"/>
  <c r="P1829" i="19"/>
  <c r="Q1829" i="19"/>
  <c r="O1829" i="19"/>
  <c r="O2113" i="19"/>
  <c r="Q2113" i="19"/>
  <c r="P2113" i="19"/>
  <c r="Q2272" i="19"/>
  <c r="P2272" i="19"/>
  <c r="O2272" i="19"/>
  <c r="O783" i="19"/>
  <c r="P783" i="19"/>
  <c r="Q783" i="19"/>
  <c r="P786" i="19"/>
  <c r="Q786" i="19"/>
  <c r="O786" i="19"/>
  <c r="O809" i="19"/>
  <c r="Q809" i="19"/>
  <c r="P809" i="19"/>
  <c r="P893" i="19"/>
  <c r="Q893" i="19"/>
  <c r="O893" i="19"/>
  <c r="O964" i="19"/>
  <c r="Q964" i="19"/>
  <c r="P964" i="19"/>
  <c r="P1078" i="19"/>
  <c r="O1078" i="19"/>
  <c r="Q1078" i="19"/>
  <c r="O1080" i="19"/>
  <c r="Q1080" i="19"/>
  <c r="P1080" i="19"/>
  <c r="Q1082" i="19"/>
  <c r="P1082" i="19"/>
  <c r="O1082" i="19"/>
  <c r="Q1084" i="19"/>
  <c r="P1084" i="19"/>
  <c r="O1084" i="19"/>
  <c r="Q1121" i="19"/>
  <c r="P1121" i="19"/>
  <c r="O1121" i="19"/>
  <c r="P1147" i="19"/>
  <c r="Q1147" i="19"/>
  <c r="O1147" i="19"/>
  <c r="Q1170" i="19"/>
  <c r="P1170" i="19"/>
  <c r="O1170" i="19"/>
  <c r="Q1204" i="19"/>
  <c r="O1204" i="19"/>
  <c r="P1204" i="19"/>
  <c r="Q1226" i="19"/>
  <c r="P1226" i="19"/>
  <c r="O1226" i="19"/>
  <c r="P1248" i="19"/>
  <c r="O1248" i="19"/>
  <c r="Q1248" i="19"/>
  <c r="O1320" i="19"/>
  <c r="P1320" i="19"/>
  <c r="Q1320" i="19"/>
  <c r="Q1341" i="19"/>
  <c r="O1341" i="19"/>
  <c r="P1341" i="19"/>
  <c r="Q1352" i="19"/>
  <c r="O1352" i="19"/>
  <c r="P1352" i="19"/>
  <c r="O1390" i="19"/>
  <c r="Q1390" i="19"/>
  <c r="P1390" i="19"/>
  <c r="Q1397" i="19"/>
  <c r="P1397" i="19"/>
  <c r="O1397" i="19"/>
  <c r="Q1427" i="19"/>
  <c r="P1427" i="19"/>
  <c r="O1427" i="19"/>
  <c r="Q1473" i="19"/>
  <c r="P1473" i="19"/>
  <c r="O1473" i="19"/>
  <c r="O1477" i="19"/>
  <c r="Q1477" i="19"/>
  <c r="P1477" i="19"/>
  <c r="O1522" i="19"/>
  <c r="Q1522" i="19"/>
  <c r="P1522" i="19"/>
  <c r="P1525" i="19"/>
  <c r="Q1525" i="19"/>
  <c r="O1525" i="19"/>
  <c r="Q1564" i="19"/>
  <c r="P1564" i="19"/>
  <c r="O1564" i="19"/>
  <c r="O1665" i="19"/>
  <c r="Q1665" i="19"/>
  <c r="P1665" i="19"/>
  <c r="O1702" i="19"/>
  <c r="Q1702" i="19"/>
  <c r="P1702" i="19"/>
  <c r="O1842" i="19"/>
  <c r="P1842" i="19"/>
  <c r="Q1842" i="19"/>
  <c r="P1851" i="19"/>
  <c r="O1851" i="19"/>
  <c r="Q1851" i="19"/>
  <c r="Q1877" i="19"/>
  <c r="O1877" i="19"/>
  <c r="P1877" i="19"/>
  <c r="Q2104" i="19"/>
  <c r="O2104" i="19"/>
  <c r="P2104" i="19"/>
  <c r="Q2240" i="19"/>
  <c r="P2240" i="19"/>
  <c r="O2240" i="19"/>
  <c r="P2336" i="19"/>
  <c r="Q2336" i="19"/>
  <c r="O2336" i="19"/>
  <c r="Q2607" i="19"/>
  <c r="O2607" i="19"/>
  <c r="P2607" i="19"/>
  <c r="P1932" i="19"/>
  <c r="O1932" i="19"/>
  <c r="Q1932" i="19"/>
  <c r="Q1949" i="19"/>
  <c r="O1949" i="19"/>
  <c r="P1949" i="19"/>
  <c r="O2166" i="19"/>
  <c r="Q2166" i="19"/>
  <c r="P2166" i="19"/>
  <c r="P2300" i="19"/>
  <c r="Q2300" i="19"/>
  <c r="O2300" i="19"/>
  <c r="Q2352" i="19"/>
  <c r="O2352" i="19"/>
  <c r="P2352" i="19"/>
  <c r="P2498" i="19"/>
  <c r="Q2498" i="19"/>
  <c r="O2498" i="19"/>
  <c r="Q2612" i="19"/>
  <c r="O2612" i="19"/>
  <c r="P2612" i="19"/>
  <c r="O2060" i="19"/>
  <c r="P2060" i="19"/>
  <c r="Q2060" i="19"/>
  <c r="Q2083" i="19"/>
  <c r="O2083" i="19"/>
  <c r="P2083" i="19"/>
  <c r="P2103" i="19"/>
  <c r="O2103" i="19"/>
  <c r="Q2103" i="19"/>
  <c r="O2156" i="19"/>
  <c r="P2156" i="19"/>
  <c r="Q2156" i="19"/>
  <c r="O2171" i="19"/>
  <c r="Q2171" i="19"/>
  <c r="P2171" i="19"/>
  <c r="P2296" i="19"/>
  <c r="O2296" i="19"/>
  <c r="Q2296" i="19"/>
  <c r="O2456" i="19"/>
  <c r="Q2456" i="19"/>
  <c r="P2456" i="19"/>
  <c r="Q1538" i="19"/>
  <c r="O1538" i="19"/>
  <c r="P1538" i="19"/>
  <c r="P1611" i="19"/>
  <c r="Q1611" i="19"/>
  <c r="O1611" i="19"/>
  <c r="O1634" i="19"/>
  <c r="P1634" i="19"/>
  <c r="Q1634" i="19"/>
  <c r="Q1643" i="19"/>
  <c r="P1643" i="19"/>
  <c r="O1643" i="19"/>
  <c r="O1835" i="19"/>
  <c r="Q1835" i="19"/>
  <c r="P1835" i="19"/>
  <c r="O1939" i="19"/>
  <c r="Q1939" i="19"/>
  <c r="P1939" i="19"/>
  <c r="O1946" i="19"/>
  <c r="Q1946" i="19"/>
  <c r="P1946" i="19"/>
  <c r="Q2051" i="19"/>
  <c r="O2051" i="19"/>
  <c r="P2051" i="19"/>
  <c r="P2243" i="19"/>
  <c r="O2243" i="19"/>
  <c r="Q2243" i="19"/>
  <c r="P2247" i="19"/>
  <c r="O2247" i="19"/>
  <c r="Q2247" i="19"/>
  <c r="Q2252" i="19"/>
  <c r="P2252" i="19"/>
  <c r="O2252" i="19"/>
  <c r="Q2516" i="19"/>
  <c r="O2516" i="19"/>
  <c r="P2516" i="19"/>
  <c r="O1312" i="19"/>
  <c r="Q1312" i="19"/>
  <c r="P1312" i="19"/>
  <c r="P1322" i="19"/>
  <c r="Q1322" i="19"/>
  <c r="O1322" i="19"/>
  <c r="Q1336" i="19"/>
  <c r="P1336" i="19"/>
  <c r="O1336" i="19"/>
  <c r="P1375" i="19"/>
  <c r="Q1375" i="19"/>
  <c r="O1375" i="19"/>
  <c r="Q1416" i="19"/>
  <c r="P1416" i="19"/>
  <c r="O1416" i="19"/>
  <c r="Q1642" i="19"/>
  <c r="O1642" i="19"/>
  <c r="P1642" i="19"/>
  <c r="P1684" i="19"/>
  <c r="Q1684" i="19"/>
  <c r="O1684" i="19"/>
  <c r="P1687" i="19"/>
  <c r="O1687" i="19"/>
  <c r="Q1687" i="19"/>
  <c r="Q1707" i="19"/>
  <c r="P1707" i="19"/>
  <c r="O1707" i="19"/>
  <c r="Q1716" i="19"/>
  <c r="P1716" i="19"/>
  <c r="O1716" i="19"/>
  <c r="P1805" i="19"/>
  <c r="Q1805" i="19"/>
  <c r="O1805" i="19"/>
  <c r="Q1853" i="19"/>
  <c r="O1853" i="19"/>
  <c r="P1853" i="19"/>
  <c r="Q1979" i="19"/>
  <c r="P1979" i="19"/>
  <c r="O1979" i="19"/>
  <c r="Q2059" i="19"/>
  <c r="O2059" i="19"/>
  <c r="P2059" i="19"/>
  <c r="Q2080" i="19"/>
  <c r="P2080" i="19"/>
  <c r="O2080" i="19"/>
  <c r="P2101" i="19"/>
  <c r="O2101" i="19"/>
  <c r="Q2101" i="19"/>
  <c r="P2123" i="19"/>
  <c r="O2123" i="19"/>
  <c r="Q2123" i="19"/>
  <c r="Q2216" i="19"/>
  <c r="O2216" i="19"/>
  <c r="P2216" i="19"/>
  <c r="Q2230" i="19"/>
  <c r="O2230" i="19"/>
  <c r="P2230" i="19"/>
  <c r="Q2303" i="19"/>
  <c r="O2303" i="19"/>
  <c r="P2303" i="19"/>
  <c r="Q2318" i="19"/>
  <c r="P2318" i="19"/>
  <c r="O2322" i="19"/>
  <c r="P2322" i="19"/>
  <c r="Q2322" i="19"/>
  <c r="Q2345" i="19"/>
  <c r="P2345" i="19"/>
  <c r="O2345" i="19"/>
  <c r="Q2418" i="19"/>
  <c r="P2418" i="19"/>
  <c r="O2418" i="19"/>
  <c r="Q2047" i="19"/>
  <c r="P2047" i="19"/>
  <c r="O2047" i="19"/>
  <c r="Q2097" i="19"/>
  <c r="O2097" i="19"/>
  <c r="P2097" i="19"/>
  <c r="Q2116" i="19"/>
  <c r="P2116" i="19"/>
  <c r="O2116" i="19"/>
  <c r="Q2169" i="19"/>
  <c r="P2169" i="19"/>
  <c r="O2169" i="19"/>
  <c r="Q1319" i="19"/>
  <c r="O1319" i="19"/>
  <c r="P1319" i="19"/>
  <c r="Q1344" i="19"/>
  <c r="P1344" i="19"/>
  <c r="O1344" i="19"/>
  <c r="O1358" i="19"/>
  <c r="Q1358" i="19"/>
  <c r="P1358" i="19"/>
  <c r="Q1406" i="19"/>
  <c r="P1406" i="19"/>
  <c r="O1406" i="19"/>
  <c r="O1408" i="19"/>
  <c r="Q1408" i="19"/>
  <c r="P1408" i="19"/>
  <c r="O1423" i="19"/>
  <c r="Q1423" i="19"/>
  <c r="P1423" i="19"/>
  <c r="P1471" i="19"/>
  <c r="O1471" i="19"/>
  <c r="Q1471" i="19"/>
  <c r="P1489" i="19"/>
  <c r="Q1489" i="19"/>
  <c r="O1489" i="19"/>
  <c r="Q1519" i="19"/>
  <c r="P1519" i="19"/>
  <c r="O1519" i="19"/>
  <c r="Q1544" i="19"/>
  <c r="O1544" i="19"/>
  <c r="P1544" i="19"/>
  <c r="O1584" i="19"/>
  <c r="Q1584" i="19"/>
  <c r="P1584" i="19"/>
  <c r="P1679" i="19"/>
  <c r="O1679" i="19"/>
  <c r="Q1679" i="19"/>
  <c r="O1690" i="19"/>
  <c r="P1690" i="19"/>
  <c r="Q1690" i="19"/>
  <c r="Q1725" i="19"/>
  <c r="P1725" i="19"/>
  <c r="O1725" i="19"/>
  <c r="P1750" i="19"/>
  <c r="O1750" i="19"/>
  <c r="Q1750" i="19"/>
  <c r="Q1779" i="19"/>
  <c r="O1779" i="19"/>
  <c r="P1779" i="19"/>
  <c r="P1802" i="19"/>
  <c r="O1802" i="19"/>
  <c r="Q1802" i="19"/>
  <c r="P1922" i="19"/>
  <c r="Q1922" i="19"/>
  <c r="O1922" i="19"/>
  <c r="O1944" i="19"/>
  <c r="P1944" i="19"/>
  <c r="Q1944" i="19"/>
  <c r="Q2181" i="19"/>
  <c r="O2181" i="19"/>
  <c r="P2181" i="19"/>
  <c r="P2238" i="19"/>
  <c r="Q2238" i="19"/>
  <c r="O2238" i="19"/>
  <c r="O2392" i="19"/>
  <c r="Q2392" i="19"/>
  <c r="P2392" i="19"/>
  <c r="Q2473" i="19"/>
  <c r="P2473" i="19"/>
  <c r="O2473" i="19"/>
  <c r="P2526" i="19"/>
  <c r="Q2526" i="19"/>
  <c r="O2526" i="19"/>
  <c r="P902" i="19"/>
  <c r="Q902" i="19"/>
  <c r="O902" i="19"/>
  <c r="Q906" i="19"/>
  <c r="P906" i="19"/>
  <c r="O906" i="19"/>
  <c r="O910" i="19"/>
  <c r="Q910" i="19"/>
  <c r="P910" i="19"/>
  <c r="O915" i="19"/>
  <c r="Q915" i="19"/>
  <c r="P915" i="19"/>
  <c r="P923" i="19"/>
  <c r="O923" i="19"/>
  <c r="Q923" i="19"/>
  <c r="P950" i="19"/>
  <c r="O950" i="19"/>
  <c r="Q950" i="19"/>
  <c r="P968" i="19"/>
  <c r="O968" i="19"/>
  <c r="Q968" i="19"/>
  <c r="Q1031" i="19"/>
  <c r="O1031" i="19"/>
  <c r="P1031" i="19"/>
  <c r="P1081" i="19"/>
  <c r="O1081" i="19"/>
  <c r="Q1081" i="19"/>
  <c r="Q1092" i="19"/>
  <c r="P1092" i="19"/>
  <c r="O1092" i="19"/>
  <c r="Q1097" i="19"/>
  <c r="P1097" i="19"/>
  <c r="O1097" i="19"/>
  <c r="P1179" i="19"/>
  <c r="O1179" i="19"/>
  <c r="Q1179" i="19"/>
  <c r="Q1203" i="19"/>
  <c r="P1203" i="19"/>
  <c r="O1203" i="19"/>
  <c r="P1206" i="19"/>
  <c r="O1206" i="19"/>
  <c r="Q1206" i="19"/>
  <c r="Q1231" i="19"/>
  <c r="P1231" i="19"/>
  <c r="O1231" i="19"/>
  <c r="P1238" i="19"/>
  <c r="O1238" i="19"/>
  <c r="Q1238" i="19"/>
  <c r="O1301" i="19"/>
  <c r="Q1301" i="19"/>
  <c r="P1301" i="19"/>
  <c r="O1303" i="19"/>
  <c r="Q1303" i="19"/>
  <c r="P1303" i="19"/>
  <c r="Q1330" i="19"/>
  <c r="O1330" i="19"/>
  <c r="P1330" i="19"/>
  <c r="P1354" i="19"/>
  <c r="Q1354" i="19"/>
  <c r="O1354" i="19"/>
  <c r="Q1407" i="19"/>
  <c r="P1407" i="19"/>
  <c r="O1407" i="19"/>
  <c r="Q1411" i="19"/>
  <c r="O1411" i="19"/>
  <c r="P1411" i="19"/>
  <c r="O1415" i="19"/>
  <c r="Q1415" i="19"/>
  <c r="P1415" i="19"/>
  <c r="O1429" i="19"/>
  <c r="Q1429" i="19"/>
  <c r="P1429" i="19"/>
  <c r="Q1447" i="19"/>
  <c r="P1447" i="19"/>
  <c r="O1447" i="19"/>
  <c r="O1481" i="19"/>
  <c r="P1481" i="19"/>
  <c r="Q1481" i="19"/>
  <c r="Q1532" i="19"/>
  <c r="P1532" i="19"/>
  <c r="O1532" i="19"/>
  <c r="P1540" i="19"/>
  <c r="Q1540" i="19"/>
  <c r="O1540" i="19"/>
  <c r="O1659" i="19"/>
  <c r="P1659" i="19"/>
  <c r="Q1659" i="19"/>
  <c r="Q1751" i="19"/>
  <c r="O1751" i="19"/>
  <c r="P1751" i="19"/>
  <c r="Q1818" i="19"/>
  <c r="O1818" i="19"/>
  <c r="P1818" i="19"/>
  <c r="Q1888" i="19"/>
  <c r="P1888" i="19"/>
  <c r="O1888" i="19"/>
  <c r="O1952" i="19"/>
  <c r="Q1952" i="19"/>
  <c r="P1952" i="19"/>
  <c r="P2179" i="19"/>
  <c r="O2179" i="19"/>
  <c r="Q2179" i="19"/>
  <c r="Q2232" i="19"/>
  <c r="P2232" i="19"/>
  <c r="O2232" i="19"/>
  <c r="O2355" i="19"/>
  <c r="Q2355" i="19"/>
  <c r="P2355" i="19"/>
  <c r="Q2411" i="19"/>
  <c r="O2411" i="19"/>
  <c r="P2411" i="19"/>
  <c r="P2640" i="19"/>
  <c r="O2640" i="19"/>
  <c r="Q2640" i="19"/>
  <c r="O1731" i="19"/>
  <c r="P1731" i="19"/>
  <c r="Q1731" i="19"/>
  <c r="P1834" i="19"/>
  <c r="Q1834" i="19"/>
  <c r="O1834" i="19"/>
  <c r="Q1854" i="19"/>
  <c r="P1854" i="19"/>
  <c r="O1854" i="19"/>
  <c r="O1864" i="19"/>
  <c r="Q1864" i="19"/>
  <c r="P1864" i="19"/>
  <c r="Q1967" i="19"/>
  <c r="P1967" i="19"/>
  <c r="O1967" i="19"/>
  <c r="Q1997" i="19"/>
  <c r="P1997" i="19"/>
  <c r="O1997" i="19"/>
  <c r="Q2005" i="19"/>
  <c r="O2005" i="19"/>
  <c r="P2005" i="19"/>
  <c r="Q2008" i="19"/>
  <c r="P2008" i="19"/>
  <c r="O2008" i="19"/>
  <c r="O2038" i="19"/>
  <c r="Q2038" i="19"/>
  <c r="P2038" i="19"/>
  <c r="O2046" i="19"/>
  <c r="Q2046" i="19"/>
  <c r="P2046" i="19"/>
  <c r="O2057" i="19"/>
  <c r="Q2057" i="19"/>
  <c r="P2057" i="19"/>
  <c r="P2182" i="19"/>
  <c r="O2182" i="19"/>
  <c r="Q2182" i="19"/>
  <c r="O2190" i="19"/>
  <c r="Q2190" i="19"/>
  <c r="P2190" i="19"/>
  <c r="Q2224" i="19"/>
  <c r="O2224" i="19"/>
  <c r="P2224" i="19"/>
  <c r="Q2234" i="19"/>
  <c r="O2234" i="19"/>
  <c r="P2234" i="19"/>
  <c r="P2256" i="19"/>
  <c r="O2256" i="19"/>
  <c r="Q2256" i="19"/>
  <c r="P2271" i="19"/>
  <c r="O2271" i="19"/>
  <c r="Q2271" i="19"/>
  <c r="Q2401" i="19"/>
  <c r="O2401" i="19"/>
  <c r="P2401" i="19"/>
  <c r="P2510" i="19"/>
  <c r="O2510" i="19"/>
  <c r="Q2510" i="19"/>
  <c r="Q2539" i="19"/>
  <c r="P2539" i="19"/>
  <c r="O2539" i="19"/>
  <c r="P2642" i="19"/>
  <c r="O2642" i="19"/>
  <c r="Q2642" i="19"/>
  <c r="O2651" i="19"/>
  <c r="Q2651" i="19"/>
  <c r="P2651" i="19"/>
  <c r="O2342" i="19"/>
  <c r="Q2342" i="19"/>
  <c r="P2342" i="19"/>
  <c r="Q2381" i="19"/>
  <c r="O2381" i="19"/>
  <c r="P2381" i="19"/>
  <c r="O1285" i="19"/>
  <c r="P1285" i="19"/>
  <c r="Q1285" i="19"/>
  <c r="P1327" i="19"/>
  <c r="O1327" i="19"/>
  <c r="Q1327" i="19"/>
  <c r="Q1419" i="19"/>
  <c r="P1419" i="19"/>
  <c r="O1419" i="19"/>
  <c r="Q1421" i="19"/>
  <c r="P1421" i="19"/>
  <c r="O1421" i="19"/>
  <c r="Q1428" i="19"/>
  <c r="P1428" i="19"/>
  <c r="P1529" i="19"/>
  <c r="O1529" i="19"/>
  <c r="Q1529" i="19"/>
  <c r="P1578" i="19"/>
  <c r="O1578" i="19"/>
  <c r="Q1578" i="19"/>
  <c r="P1743" i="19"/>
  <c r="Q1743" i="19"/>
  <c r="O1743" i="19"/>
  <c r="P1794" i="19"/>
  <c r="O1794" i="19"/>
  <c r="Q1794" i="19"/>
  <c r="P1831" i="19"/>
  <c r="O1831" i="19"/>
  <c r="Q1831" i="19"/>
  <c r="O1896" i="19"/>
  <c r="Q1896" i="19"/>
  <c r="P1896" i="19"/>
  <c r="O1978" i="19"/>
  <c r="P1978" i="19"/>
  <c r="Q1978" i="19"/>
  <c r="O2168" i="19"/>
  <c r="P2168" i="19"/>
  <c r="Q2168" i="19"/>
  <c r="Q2249" i="19"/>
  <c r="O2249" i="19"/>
  <c r="P2249" i="19"/>
  <c r="Q2350" i="19"/>
  <c r="O2350" i="19"/>
  <c r="P2350" i="19"/>
  <c r="Q2552" i="19"/>
  <c r="P2552" i="19"/>
  <c r="O2552" i="19"/>
  <c r="Q2591" i="19"/>
  <c r="O2591" i="19"/>
  <c r="P2591" i="19"/>
  <c r="P1566" i="19"/>
  <c r="O1566" i="19"/>
  <c r="Q1566" i="19"/>
  <c r="Q1608" i="19"/>
  <c r="O1608" i="19"/>
  <c r="P1608" i="19"/>
  <c r="O1697" i="19"/>
  <c r="Q1697" i="19"/>
  <c r="P1697" i="19"/>
  <c r="Q1713" i="19"/>
  <c r="O1713" i="19"/>
  <c r="P1713" i="19"/>
  <c r="Q1746" i="19"/>
  <c r="O1746" i="19"/>
  <c r="P1746" i="19"/>
  <c r="Q1753" i="19"/>
  <c r="O1753" i="19"/>
  <c r="P1753" i="19"/>
  <c r="Q1785" i="19"/>
  <c r="O1785" i="19"/>
  <c r="P1785" i="19"/>
  <c r="P1801" i="19"/>
  <c r="Q1801" i="19"/>
  <c r="O1801" i="19"/>
  <c r="Q1858" i="19"/>
  <c r="O1858" i="19"/>
  <c r="P1858" i="19"/>
  <c r="Q1984" i="19"/>
  <c r="P1984" i="19"/>
  <c r="O1984" i="19"/>
  <c r="O1990" i="19"/>
  <c r="P1990" i="19"/>
  <c r="Q1990" i="19"/>
  <c r="P2054" i="19"/>
  <c r="Q2054" i="19"/>
  <c r="O2054" i="19"/>
  <c r="O2069" i="19"/>
  <c r="P2069" i="19"/>
  <c r="Q2069" i="19"/>
  <c r="O2107" i="19"/>
  <c r="P2107" i="19"/>
  <c r="Q2107" i="19"/>
  <c r="Q2133" i="19"/>
  <c r="O2133" i="19"/>
  <c r="P2133" i="19"/>
  <c r="Q2242" i="19"/>
  <c r="O2242" i="19"/>
  <c r="P2242" i="19"/>
  <c r="O2291" i="19"/>
  <c r="Q2291" i="19"/>
  <c r="P2291" i="19"/>
  <c r="Q2310" i="19"/>
  <c r="O2310" i="19"/>
  <c r="P2310" i="19"/>
  <c r="Q2377" i="19"/>
  <c r="O2377" i="19"/>
  <c r="P2377" i="19"/>
  <c r="P2459" i="19"/>
  <c r="O2459" i="19"/>
  <c r="Q2459" i="19"/>
  <c r="O2486" i="19"/>
  <c r="Q2486" i="19"/>
  <c r="P2486" i="19"/>
  <c r="P1008" i="19"/>
  <c r="O1008" i="19"/>
  <c r="Q1008" i="19"/>
  <c r="Q1058" i="19"/>
  <c r="O1058" i="19"/>
  <c r="P1058" i="19"/>
  <c r="P1085" i="19"/>
  <c r="O1085" i="19"/>
  <c r="Q1085" i="19"/>
  <c r="Q1132" i="19"/>
  <c r="P1132" i="19"/>
  <c r="O1132" i="19"/>
  <c r="Q1138" i="19"/>
  <c r="P1138" i="19"/>
  <c r="O1138" i="19"/>
  <c r="Q1148" i="19"/>
  <c r="P1148" i="19"/>
  <c r="O1148" i="19"/>
  <c r="Q1160" i="19"/>
  <c r="P1160" i="19"/>
  <c r="O1160" i="19"/>
  <c r="O1168" i="19"/>
  <c r="Q1168" i="19"/>
  <c r="P1168" i="19"/>
  <c r="P1188" i="19"/>
  <c r="O1188" i="19"/>
  <c r="Q1188" i="19"/>
  <c r="O1198" i="19"/>
  <c r="Q1198" i="19"/>
  <c r="P1198" i="19"/>
  <c r="Q1209" i="19"/>
  <c r="P1209" i="19"/>
  <c r="O1209" i="19"/>
  <c r="Q1215" i="19"/>
  <c r="P1215" i="19"/>
  <c r="O1215" i="19"/>
  <c r="Q1225" i="19"/>
  <c r="P1225" i="19"/>
  <c r="O1225" i="19"/>
  <c r="Q1228" i="19"/>
  <c r="P1228" i="19"/>
  <c r="O1228" i="19"/>
  <c r="Q1237" i="19"/>
  <c r="P1237" i="19"/>
  <c r="O1237" i="19"/>
  <c r="Q1247" i="19"/>
  <c r="P1247" i="19"/>
  <c r="O1247" i="19"/>
  <c r="Q1250" i="19"/>
  <c r="P1250" i="19"/>
  <c r="O1250" i="19"/>
  <c r="Q1256" i="19"/>
  <c r="P1256" i="19"/>
  <c r="O1256" i="19"/>
  <c r="Q1265" i="19"/>
  <c r="P1265" i="19"/>
  <c r="O1265" i="19"/>
  <c r="Q1275" i="19"/>
  <c r="P1275" i="19"/>
  <c r="O1275" i="19"/>
  <c r="Q1278" i="19"/>
  <c r="P1278" i="19"/>
  <c r="O1278" i="19"/>
  <c r="P1311" i="19"/>
  <c r="O1311" i="19"/>
  <c r="Q1311" i="19"/>
  <c r="P1315" i="19"/>
  <c r="O1315" i="19"/>
  <c r="Q1315" i="19"/>
  <c r="O1329" i="19"/>
  <c r="P1329" i="19"/>
  <c r="Q1329" i="19"/>
  <c r="O1374" i="19"/>
  <c r="P1374" i="19"/>
  <c r="Q1374" i="19"/>
  <c r="Q1440" i="19"/>
  <c r="P1440" i="19"/>
  <c r="O1440" i="19"/>
  <c r="Q1451" i="19"/>
  <c r="P1451" i="19"/>
  <c r="O1451" i="19"/>
  <c r="Q1462" i="19"/>
  <c r="P1462" i="19"/>
  <c r="O1462" i="19"/>
  <c r="Q1517" i="19"/>
  <c r="P1517" i="19"/>
  <c r="O1517" i="19"/>
  <c r="Q1550" i="19"/>
  <c r="O1550" i="19"/>
  <c r="P1550" i="19"/>
  <c r="Q1568" i="19"/>
  <c r="P1568" i="19"/>
  <c r="O1568" i="19"/>
  <c r="O1644" i="19"/>
  <c r="P1644" i="19"/>
  <c r="Q1644" i="19"/>
  <c r="Q1677" i="19"/>
  <c r="P1677" i="19"/>
  <c r="O1677" i="19"/>
  <c r="Q1711" i="19"/>
  <c r="P1711" i="19"/>
  <c r="O1711" i="19"/>
  <c r="O1729" i="19"/>
  <c r="P1729" i="19"/>
  <c r="Q1729" i="19"/>
  <c r="Q1913" i="19"/>
  <c r="P1913" i="19"/>
  <c r="O1913" i="19"/>
  <c r="Q1942" i="19"/>
  <c r="O1942" i="19"/>
  <c r="P1942" i="19"/>
  <c r="Q2002" i="19"/>
  <c r="P2002" i="19"/>
  <c r="O2002" i="19"/>
  <c r="O2016" i="19"/>
  <c r="Q2016" i="19"/>
  <c r="P2016" i="19"/>
  <c r="O2183" i="19"/>
  <c r="Q2183" i="19"/>
  <c r="P2183" i="19"/>
  <c r="Q2222" i="19"/>
  <c r="P2222" i="19"/>
  <c r="O2222" i="19"/>
  <c r="P2340" i="19"/>
  <c r="O2340" i="19"/>
  <c r="Q2340" i="19"/>
  <c r="Q2369" i="19"/>
  <c r="O2369" i="19"/>
  <c r="P2369" i="19"/>
  <c r="Q2380" i="19"/>
  <c r="O2380" i="19"/>
  <c r="P2380" i="19"/>
  <c r="Q2481" i="19"/>
  <c r="O2481" i="19"/>
  <c r="P2481" i="19"/>
  <c r="O2497" i="19"/>
  <c r="Q2497" i="19"/>
  <c r="P2497" i="19"/>
  <c r="P2529" i="19"/>
  <c r="Q2529" i="19"/>
  <c r="O2529" i="19"/>
  <c r="Q2559" i="19"/>
  <c r="O2559" i="19"/>
  <c r="P2559" i="19"/>
  <c r="P2646" i="19"/>
  <c r="O2646" i="19"/>
  <c r="Q2646" i="19"/>
  <c r="P845" i="19"/>
  <c r="O845" i="19"/>
  <c r="Q845" i="19"/>
  <c r="O855" i="19"/>
  <c r="Q855" i="19"/>
  <c r="P855" i="19"/>
  <c r="Q858" i="19"/>
  <c r="O858" i="19"/>
  <c r="P858" i="19"/>
  <c r="Q867" i="19"/>
  <c r="O867" i="19"/>
  <c r="P867" i="19"/>
  <c r="P877" i="19"/>
  <c r="Q877" i="19"/>
  <c r="O877" i="19"/>
  <c r="Q884" i="19"/>
  <c r="P884" i="19"/>
  <c r="O884" i="19"/>
  <c r="Q897" i="19"/>
  <c r="P897" i="19"/>
  <c r="O897" i="19"/>
  <c r="Q922" i="19"/>
  <c r="P922" i="19"/>
  <c r="O922" i="19"/>
  <c r="O932" i="19"/>
  <c r="Q932" i="19"/>
  <c r="P932" i="19"/>
  <c r="Q935" i="19"/>
  <c r="P935" i="19"/>
  <c r="O935" i="19"/>
  <c r="Q941" i="19"/>
  <c r="P941" i="19"/>
  <c r="O941" i="19"/>
  <c r="P951" i="19"/>
  <c r="Q951" i="19"/>
  <c r="O951" i="19"/>
  <c r="Q963" i="19"/>
  <c r="P963" i="19"/>
  <c r="O963" i="19"/>
  <c r="P969" i="19"/>
  <c r="Q969" i="19"/>
  <c r="O969" i="19"/>
  <c r="P979" i="19"/>
  <c r="O979" i="19"/>
  <c r="Q979" i="19"/>
  <c r="P982" i="19"/>
  <c r="O982" i="19"/>
  <c r="Q982" i="19"/>
  <c r="Q988" i="19"/>
  <c r="P988" i="19"/>
  <c r="O988" i="19"/>
  <c r="Q1010" i="19"/>
  <c r="P1010" i="19"/>
  <c r="O1010" i="19"/>
  <c r="P1034" i="19"/>
  <c r="Q1034" i="19"/>
  <c r="O1034" i="19"/>
  <c r="Q1106" i="19"/>
  <c r="P1106" i="19"/>
  <c r="O1106" i="19"/>
  <c r="Q1140" i="19"/>
  <c r="O1140" i="19"/>
  <c r="P1140" i="19"/>
  <c r="O1150" i="19"/>
  <c r="Q1150" i="19"/>
  <c r="P1150" i="19"/>
  <c r="P1153" i="19"/>
  <c r="Q1153" i="19"/>
  <c r="O1153" i="19"/>
  <c r="P1164" i="19"/>
  <c r="Q1164" i="19"/>
  <c r="O1164" i="19"/>
  <c r="P1174" i="19"/>
  <c r="O1174" i="19"/>
  <c r="Q1174" i="19"/>
  <c r="P1194" i="19"/>
  <c r="Q1194" i="19"/>
  <c r="O1194" i="19"/>
  <c r="Q1201" i="19"/>
  <c r="O1201" i="19"/>
  <c r="P1201" i="19"/>
  <c r="Q1208" i="19"/>
  <c r="P1208" i="19"/>
  <c r="O1208" i="19"/>
  <c r="P1217" i="19"/>
  <c r="O1217" i="19"/>
  <c r="Q1217" i="19"/>
  <c r="O1227" i="19"/>
  <c r="Q1227" i="19"/>
  <c r="P1227" i="19"/>
  <c r="O1230" i="19"/>
  <c r="P1230" i="19"/>
  <c r="Q1230" i="19"/>
  <c r="P1239" i="19"/>
  <c r="O1239" i="19"/>
  <c r="Q1239" i="19"/>
  <c r="Q1249" i="19"/>
  <c r="P1249" i="19"/>
  <c r="O1249" i="19"/>
  <c r="Q1267" i="19"/>
  <c r="P1267" i="19"/>
  <c r="O1267" i="19"/>
  <c r="O1282" i="19"/>
  <c r="Q1282" i="19"/>
  <c r="P1282" i="19"/>
  <c r="Q1298" i="19"/>
  <c r="O1298" i="19"/>
  <c r="P1298" i="19"/>
  <c r="Q1349" i="19"/>
  <c r="P1349" i="19"/>
  <c r="O1349" i="19"/>
  <c r="Q1380" i="19"/>
  <c r="P1380" i="19"/>
  <c r="O1380" i="19"/>
  <c r="Q1382" i="19"/>
  <c r="O1382" i="19"/>
  <c r="P1382" i="19"/>
  <c r="Q1387" i="19"/>
  <c r="P1387" i="19"/>
  <c r="O1387" i="19"/>
  <c r="Q1417" i="19"/>
  <c r="O1417" i="19"/>
  <c r="P1417" i="19"/>
  <c r="P1439" i="19"/>
  <c r="O1439" i="19"/>
  <c r="Q1439" i="19"/>
  <c r="P1457" i="19"/>
  <c r="Q1457" i="19"/>
  <c r="O1457" i="19"/>
  <c r="Q1514" i="19"/>
  <c r="O1514" i="19"/>
  <c r="P1514" i="19"/>
  <c r="P1535" i="19"/>
  <c r="Q1535" i="19"/>
  <c r="O1535" i="19"/>
  <c r="O1541" i="19"/>
  <c r="P1541" i="19"/>
  <c r="Q1541" i="19"/>
  <c r="Q1559" i="19"/>
  <c r="P1559" i="19"/>
  <c r="O1559" i="19"/>
  <c r="Q1573" i="19"/>
  <c r="P1573" i="19"/>
  <c r="O1573" i="19"/>
  <c r="Q1579" i="19"/>
  <c r="O1579" i="19"/>
  <c r="P1579" i="19"/>
  <c r="P1581" i="19"/>
  <c r="O1581" i="19"/>
  <c r="Q1581" i="19"/>
  <c r="P1591" i="19"/>
  <c r="Q1591" i="19"/>
  <c r="O1591" i="19"/>
  <c r="P1607" i="19"/>
  <c r="Q1607" i="19"/>
  <c r="O1607" i="19"/>
  <c r="Q1620" i="19"/>
  <c r="P1620" i="19"/>
  <c r="O1620" i="19"/>
  <c r="Q1630" i="19"/>
  <c r="P1630" i="19"/>
  <c r="O1630" i="19"/>
  <c r="P1651" i="19"/>
  <c r="O1651" i="19"/>
  <c r="Q1651" i="19"/>
  <c r="Q1682" i="19"/>
  <c r="O1682" i="19"/>
  <c r="P1682" i="19"/>
  <c r="Q1701" i="19"/>
  <c r="P1701" i="19"/>
  <c r="O1701" i="19"/>
  <c r="Q1703" i="19"/>
  <c r="P1703" i="19"/>
  <c r="O1703" i="19"/>
  <c r="P1812" i="19"/>
  <c r="O1812" i="19"/>
  <c r="Q1812" i="19"/>
  <c r="O1847" i="19"/>
  <c r="Q1847" i="19"/>
  <c r="P1847" i="19"/>
  <c r="P1882" i="19"/>
  <c r="Q1882" i="19"/>
  <c r="O1882" i="19"/>
  <c r="Q1928" i="19"/>
  <c r="P1928" i="19"/>
  <c r="O1928" i="19"/>
  <c r="Q1940" i="19"/>
  <c r="P1940" i="19"/>
  <c r="O1940" i="19"/>
  <c r="O1948" i="19"/>
  <c r="P1948" i="19"/>
  <c r="Q1948" i="19"/>
  <c r="P1968" i="19"/>
  <c r="Q1968" i="19"/>
  <c r="O1968" i="19"/>
  <c r="Q2014" i="19"/>
  <c r="O2014" i="19"/>
  <c r="P2014" i="19"/>
  <c r="P2017" i="19"/>
  <c r="O2017" i="19"/>
  <c r="Q2017" i="19"/>
  <c r="P2022" i="19"/>
  <c r="Q2022" i="19"/>
  <c r="O2022" i="19"/>
  <c r="Q2139" i="19"/>
  <c r="O2139" i="19"/>
  <c r="P2139" i="19"/>
  <c r="P2184" i="19"/>
  <c r="Q2184" i="19"/>
  <c r="O2184" i="19"/>
  <c r="O2191" i="19"/>
  <c r="Q2191" i="19"/>
  <c r="P2191" i="19"/>
  <c r="P2200" i="19"/>
  <c r="O2200" i="19"/>
  <c r="Q2200" i="19"/>
  <c r="O2203" i="19"/>
  <c r="P2203" i="19"/>
  <c r="Q2203" i="19"/>
  <c r="Q2220" i="19"/>
  <c r="O2220" i="19"/>
  <c r="P2220" i="19"/>
  <c r="Q2263" i="19"/>
  <c r="O2263" i="19"/>
  <c r="P2263" i="19"/>
  <c r="Q2315" i="19"/>
  <c r="P2315" i="19"/>
  <c r="Q2343" i="19"/>
  <c r="P2343" i="19"/>
  <c r="O2343" i="19"/>
  <c r="Q2378" i="19"/>
  <c r="O2378" i="19"/>
  <c r="P2378" i="19"/>
  <c r="O2551" i="19"/>
  <c r="P2551" i="19"/>
  <c r="Q2551" i="19"/>
  <c r="Q2604" i="19"/>
  <c r="P2604" i="19"/>
  <c r="O2604" i="19"/>
  <c r="Q2620" i="19"/>
  <c r="O2620" i="19"/>
  <c r="P2620" i="19"/>
  <c r="Q994" i="19"/>
  <c r="P994" i="19"/>
  <c r="O994" i="19"/>
  <c r="P1004" i="19"/>
  <c r="O1004" i="19"/>
  <c r="Q1004" i="19"/>
  <c r="O1020" i="19"/>
  <c r="Q1020" i="19"/>
  <c r="P1020" i="19"/>
  <c r="O1030" i="19"/>
  <c r="P1030" i="19"/>
  <c r="Q1030" i="19"/>
  <c r="O1040" i="19"/>
  <c r="Q1040" i="19"/>
  <c r="P1040" i="19"/>
  <c r="O1050" i="19"/>
  <c r="P1050" i="19"/>
  <c r="Q1050" i="19"/>
  <c r="O1071" i="19"/>
  <c r="Q1071" i="19"/>
  <c r="P1071" i="19"/>
  <c r="Q1090" i="19"/>
  <c r="P1090" i="19"/>
  <c r="O1090" i="19"/>
  <c r="Q1100" i="19"/>
  <c r="P1100" i="19"/>
  <c r="O1100" i="19"/>
  <c r="Q1103" i="19"/>
  <c r="P1103" i="19"/>
  <c r="O1103" i="19"/>
  <c r="P1109" i="19"/>
  <c r="Q1109" i="19"/>
  <c r="O1109" i="19"/>
  <c r="P1118" i="19"/>
  <c r="Q1118" i="19"/>
  <c r="O1118" i="19"/>
  <c r="O1128" i="19"/>
  <c r="P1128" i="19"/>
  <c r="Q1128" i="19"/>
  <c r="O1131" i="19"/>
  <c r="P1131" i="19"/>
  <c r="Q1131" i="19"/>
  <c r="Q1156" i="19"/>
  <c r="P1156" i="19"/>
  <c r="O1156" i="19"/>
  <c r="P1255" i="19"/>
  <c r="O1255" i="19"/>
  <c r="Q1255" i="19"/>
  <c r="Q1288" i="19"/>
  <c r="O1288" i="19"/>
  <c r="P1288" i="19"/>
  <c r="Q1300" i="19"/>
  <c r="P1300" i="19"/>
  <c r="O1300" i="19"/>
  <c r="O1343" i="19"/>
  <c r="Q1343" i="19"/>
  <c r="P1343" i="19"/>
  <c r="P1394" i="19"/>
  <c r="O1394" i="19"/>
  <c r="Q1394" i="19"/>
  <c r="O1401" i="19"/>
  <c r="Q1401" i="19"/>
  <c r="P1401" i="19"/>
  <c r="P1403" i="19"/>
  <c r="Q1403" i="19"/>
  <c r="O1403" i="19"/>
  <c r="Q1410" i="19"/>
  <c r="O1410" i="19"/>
  <c r="P1410" i="19"/>
  <c r="P1426" i="19"/>
  <c r="O1426" i="19"/>
  <c r="Q1426" i="19"/>
  <c r="P1452" i="19"/>
  <c r="Q1452" i="19"/>
  <c r="O1452" i="19"/>
  <c r="Q1464" i="19"/>
  <c r="P1464" i="19"/>
  <c r="O1464" i="19"/>
  <c r="P1478" i="19"/>
  <c r="Q1478" i="19"/>
  <c r="O1478" i="19"/>
  <c r="O1512" i="19"/>
  <c r="P1512" i="19"/>
  <c r="Q1512" i="19"/>
  <c r="Q1543" i="19"/>
  <c r="O1543" i="19"/>
  <c r="P1543" i="19"/>
  <c r="Q1547" i="19"/>
  <c r="P1547" i="19"/>
  <c r="O1547" i="19"/>
  <c r="P1551" i="19"/>
  <c r="O1551" i="19"/>
  <c r="Q1551" i="19"/>
  <c r="P1567" i="19"/>
  <c r="Q1567" i="19"/>
  <c r="O1567" i="19"/>
  <c r="Q1569" i="19"/>
  <c r="P1569" i="19"/>
  <c r="O1569" i="19"/>
  <c r="O1571" i="19"/>
  <c r="P1571" i="19"/>
  <c r="Q1571" i="19"/>
  <c r="P1585" i="19"/>
  <c r="O1585" i="19"/>
  <c r="Q1585" i="19"/>
  <c r="Q1610" i="19"/>
  <c r="P1610" i="19"/>
  <c r="O1610" i="19"/>
  <c r="P1622" i="19"/>
  <c r="O1622" i="19"/>
  <c r="Q1622" i="19"/>
  <c r="P1649" i="19"/>
  <c r="Q1649" i="19"/>
  <c r="O1649" i="19"/>
  <c r="O1712" i="19"/>
  <c r="Q1712" i="19"/>
  <c r="P1712" i="19"/>
  <c r="Q1775" i="19"/>
  <c r="P1775" i="19"/>
  <c r="O1775" i="19"/>
  <c r="Q1806" i="19"/>
  <c r="P1806" i="19"/>
  <c r="O1806" i="19"/>
  <c r="P1935" i="19"/>
  <c r="Q1935" i="19"/>
  <c r="O1935" i="19"/>
  <c r="Q1943" i="19"/>
  <c r="O1943" i="19"/>
  <c r="P1943" i="19"/>
  <c r="Q1951" i="19"/>
  <c r="P1951" i="19"/>
  <c r="O1951" i="19"/>
  <c r="O1962" i="19"/>
  <c r="P1962" i="19"/>
  <c r="Q1962" i="19"/>
  <c r="Q1971" i="19"/>
  <c r="P1971" i="19"/>
  <c r="O1971" i="19"/>
  <c r="O2000" i="19"/>
  <c r="Q2000" i="19"/>
  <c r="P2000" i="19"/>
  <c r="P2289" i="19"/>
  <c r="Q2289" i="19"/>
  <c r="O2289" i="19"/>
  <c r="O2306" i="19"/>
  <c r="P2306" i="19"/>
  <c r="Q2306" i="19"/>
  <c r="Q2367" i="19"/>
  <c r="P2367" i="19"/>
  <c r="O2367" i="19"/>
  <c r="P2389" i="19"/>
  <c r="O2389" i="19"/>
  <c r="Q2389" i="19"/>
  <c r="P2478" i="19"/>
  <c r="Q2478" i="19"/>
  <c r="O2478" i="19"/>
  <c r="P2487" i="19"/>
  <c r="Q2487" i="19"/>
  <c r="O2487" i="19"/>
  <c r="O2491" i="19"/>
  <c r="P2491" i="19"/>
  <c r="Q2491" i="19"/>
  <c r="P2644" i="19"/>
  <c r="O2644" i="19"/>
  <c r="Q2644" i="19"/>
  <c r="P2652" i="19"/>
  <c r="O2652" i="19"/>
  <c r="Q2652" i="19"/>
  <c r="Q792" i="19"/>
  <c r="O792" i="19"/>
  <c r="P792" i="19"/>
  <c r="Q848" i="19"/>
  <c r="P848" i="19"/>
  <c r="O848" i="19"/>
  <c r="P876" i="19"/>
  <c r="Q876" i="19"/>
  <c r="O876" i="19"/>
  <c r="O896" i="19"/>
  <c r="P896" i="19"/>
  <c r="Q896" i="19"/>
  <c r="Q913" i="19"/>
  <c r="O913" i="19"/>
  <c r="P913" i="19"/>
  <c r="O925" i="19"/>
  <c r="Q925" i="19"/>
  <c r="P925" i="19"/>
  <c r="P944" i="19"/>
  <c r="Q944" i="19"/>
  <c r="O944" i="19"/>
  <c r="Q954" i="19"/>
  <c r="O954" i="19"/>
  <c r="P954" i="19"/>
  <c r="Q957" i="19"/>
  <c r="P957" i="19"/>
  <c r="O957" i="19"/>
  <c r="P972" i="19"/>
  <c r="O972" i="19"/>
  <c r="Q972" i="19"/>
  <c r="Q1087" i="19"/>
  <c r="O1087" i="19"/>
  <c r="P1087" i="19"/>
  <c r="Q1134" i="19"/>
  <c r="P1134" i="19"/>
  <c r="Q1143" i="19"/>
  <c r="O1143" i="19"/>
  <c r="P1143" i="19"/>
  <c r="Q1163" i="19"/>
  <c r="P1163" i="19"/>
  <c r="O1163" i="19"/>
  <c r="O1173" i="19"/>
  <c r="P1173" i="19"/>
  <c r="Q1173" i="19"/>
  <c r="P1180" i="19"/>
  <c r="Q1180" i="19"/>
  <c r="O1180" i="19"/>
  <c r="P1193" i="19"/>
  <c r="O1193" i="19"/>
  <c r="Q1193" i="19"/>
  <c r="P1200" i="19"/>
  <c r="O1200" i="19"/>
  <c r="Q1200" i="19"/>
  <c r="O1220" i="19"/>
  <c r="Q1220" i="19"/>
  <c r="P1220" i="19"/>
  <c r="Q1242" i="19"/>
  <c r="P1242" i="19"/>
  <c r="O1242" i="19"/>
  <c r="P1260" i="19"/>
  <c r="O1260" i="19"/>
  <c r="Q1260" i="19"/>
  <c r="Q1270" i="19"/>
  <c r="O1270" i="19"/>
  <c r="P1270" i="19"/>
  <c r="Q1309" i="19"/>
  <c r="P1309" i="19"/>
  <c r="O1309" i="19"/>
  <c r="O1317" i="19"/>
  <c r="Q1317" i="19"/>
  <c r="P1317" i="19"/>
  <c r="Q1361" i="19"/>
  <c r="P1361" i="19"/>
  <c r="O1361" i="19"/>
  <c r="O1450" i="19"/>
  <c r="Q1450" i="19"/>
  <c r="P1450" i="19"/>
  <c r="Q1454" i="19"/>
  <c r="O1454" i="19"/>
  <c r="P1454" i="19"/>
  <c r="P1484" i="19"/>
  <c r="O1484" i="19"/>
  <c r="Q1484" i="19"/>
  <c r="Q1575" i="19"/>
  <c r="P1575" i="19"/>
  <c r="O1575" i="19"/>
  <c r="P1647" i="19"/>
  <c r="O1647" i="19"/>
  <c r="Q1647" i="19"/>
  <c r="P1678" i="19"/>
  <c r="O1678" i="19"/>
  <c r="Q1678" i="19"/>
  <c r="P1795" i="19"/>
  <c r="Q1795" i="19"/>
  <c r="O1795" i="19"/>
  <c r="Q1859" i="19"/>
  <c r="O1859" i="19"/>
  <c r="P1859" i="19"/>
  <c r="P1907" i="19"/>
  <c r="Q1907" i="19"/>
  <c r="O1907" i="19"/>
  <c r="Q1965" i="19"/>
  <c r="P1965" i="19"/>
  <c r="O1965" i="19"/>
  <c r="P2165" i="19"/>
  <c r="Q2165" i="19"/>
  <c r="O2165" i="19"/>
  <c r="O2268" i="19"/>
  <c r="Q2268" i="19"/>
  <c r="P2268" i="19"/>
  <c r="P2417" i="19"/>
  <c r="O2417" i="19"/>
  <c r="Q2417" i="19"/>
  <c r="O2509" i="19"/>
  <c r="Q2509" i="19"/>
  <c r="P2509" i="19"/>
  <c r="Q2541" i="19"/>
  <c r="P2541" i="19"/>
  <c r="O2541" i="19"/>
  <c r="Q2583" i="19"/>
  <c r="P2583" i="19"/>
  <c r="O2583" i="19"/>
  <c r="Q2639" i="19"/>
  <c r="O2639" i="19"/>
  <c r="P2639" i="19"/>
  <c r="P2585" i="19"/>
  <c r="Q2585" i="19"/>
  <c r="O2585" i="19"/>
  <c r="Q2589" i="19"/>
  <c r="O2589" i="19"/>
  <c r="P2589" i="19"/>
  <c r="O2558" i="19"/>
  <c r="Q2558" i="19"/>
  <c r="P2558" i="19"/>
  <c r="Q2264" i="19"/>
  <c r="P2264" i="19"/>
  <c r="O2264" i="19"/>
  <c r="Q2273" i="19"/>
  <c r="P2273" i="19"/>
  <c r="O2273" i="19"/>
  <c r="Q2276" i="19"/>
  <c r="O2276" i="19"/>
  <c r="P2276" i="19"/>
  <c r="Q2280" i="19"/>
  <c r="O2280" i="19"/>
  <c r="P2280" i="19"/>
  <c r="P2484" i="19"/>
  <c r="Q2484" i="19"/>
  <c r="O2484" i="19"/>
  <c r="O2566" i="19"/>
  <c r="Q2566" i="19"/>
  <c r="P2566" i="19"/>
  <c r="P2492" i="19"/>
  <c r="O2492" i="19"/>
  <c r="Q2492" i="19"/>
  <c r="P2545" i="19"/>
  <c r="Q2545" i="19"/>
  <c r="O2545" i="19"/>
  <c r="Q2549" i="19"/>
  <c r="O2549" i="19"/>
  <c r="P2549" i="19"/>
  <c r="P2602" i="19"/>
  <c r="O2602" i="19"/>
  <c r="Q2602" i="19"/>
  <c r="O1561" i="19"/>
  <c r="P1561" i="19"/>
  <c r="Q1561" i="19"/>
  <c r="P1563" i="19"/>
  <c r="Q1563" i="19"/>
  <c r="O1563" i="19"/>
  <c r="P1588" i="19"/>
  <c r="O1588" i="19"/>
  <c r="Q1588" i="19"/>
  <c r="O1590" i="19"/>
  <c r="Q1590" i="19"/>
  <c r="P1590" i="19"/>
  <c r="Q1592" i="19"/>
  <c r="P1592" i="19"/>
  <c r="O1592" i="19"/>
  <c r="Q1603" i="19"/>
  <c r="P1603" i="19"/>
  <c r="O1603" i="19"/>
  <c r="O1624" i="19"/>
  <c r="P1624" i="19"/>
  <c r="Q1624" i="19"/>
  <c r="Q1663" i="19"/>
  <c r="P1663" i="19"/>
  <c r="O1663" i="19"/>
  <c r="Q1710" i="19"/>
  <c r="O1710" i="19"/>
  <c r="P1710" i="19"/>
  <c r="Q1774" i="19"/>
  <c r="O1774" i="19"/>
  <c r="P1774" i="19"/>
  <c r="Q1788" i="19"/>
  <c r="P1788" i="19"/>
  <c r="O1788" i="19"/>
  <c r="P1793" i="19"/>
  <c r="Q1793" i="19"/>
  <c r="O1793" i="19"/>
  <c r="Q1796" i="19"/>
  <c r="O1796" i="19"/>
  <c r="P1796" i="19"/>
  <c r="O1910" i="19"/>
  <c r="P1910" i="19"/>
  <c r="Q1910" i="19"/>
  <c r="Q1960" i="19"/>
  <c r="O1960" i="19"/>
  <c r="P1960" i="19"/>
  <c r="Q1982" i="19"/>
  <c r="P1982" i="19"/>
  <c r="O1982" i="19"/>
  <c r="Q2055" i="19"/>
  <c r="P2055" i="19"/>
  <c r="O2055" i="19"/>
  <c r="O2073" i="19"/>
  <c r="P2073" i="19"/>
  <c r="Q2073" i="19"/>
  <c r="P2090" i="19"/>
  <c r="O2090" i="19"/>
  <c r="Q2090" i="19"/>
  <c r="O2093" i="19"/>
  <c r="P2093" i="19"/>
  <c r="Q2093" i="19"/>
  <c r="O2131" i="19"/>
  <c r="Q2131" i="19"/>
  <c r="P2131" i="19"/>
  <c r="Q2149" i="19"/>
  <c r="P2149" i="19"/>
  <c r="O2149" i="19"/>
  <c r="P2152" i="19"/>
  <c r="Q2152" i="19"/>
  <c r="O2152" i="19"/>
  <c r="Q2332" i="19"/>
  <c r="P2332" i="19"/>
  <c r="O2332" i="19"/>
  <c r="Q2335" i="19"/>
  <c r="O2335" i="19"/>
  <c r="P2335" i="19"/>
  <c r="Q2387" i="19"/>
  <c r="P2387" i="19"/>
  <c r="O2387" i="19"/>
  <c r="O2440" i="19"/>
  <c r="Q2440" i="19"/>
  <c r="P2440" i="19"/>
  <c r="Q2452" i="19"/>
  <c r="O2452" i="19"/>
  <c r="P2452" i="19"/>
  <c r="P2480" i="19"/>
  <c r="Q2480" i="19"/>
  <c r="O2480" i="19"/>
  <c r="P2496" i="19"/>
  <c r="Q2496" i="19"/>
  <c r="O2496" i="19"/>
  <c r="Q2523" i="19"/>
  <c r="P2523" i="19"/>
  <c r="O2523" i="19"/>
  <c r="P2576" i="19"/>
  <c r="Q2576" i="19"/>
  <c r="O2576" i="19"/>
  <c r="Q2621" i="19"/>
  <c r="O2621" i="19"/>
  <c r="P2621" i="19"/>
  <c r="Q1844" i="19"/>
  <c r="P1844" i="19"/>
  <c r="O1844" i="19"/>
  <c r="P1865" i="19"/>
  <c r="O1865" i="19"/>
  <c r="Q1865" i="19"/>
  <c r="Q1906" i="19"/>
  <c r="O1906" i="19"/>
  <c r="P1906" i="19"/>
  <c r="Q2121" i="19"/>
  <c r="O2121" i="19"/>
  <c r="P2121" i="19"/>
  <c r="O2143" i="19"/>
  <c r="P2143" i="19"/>
  <c r="Q2143" i="19"/>
  <c r="P2196" i="19"/>
  <c r="O2196" i="19"/>
  <c r="Q2196" i="19"/>
  <c r="O2275" i="19"/>
  <c r="Q2275" i="19"/>
  <c r="P2275" i="19"/>
  <c r="Q2354" i="19"/>
  <c r="O2354" i="19"/>
  <c r="P2354" i="19"/>
  <c r="P2371" i="19"/>
  <c r="O2371" i="19"/>
  <c r="Q2371" i="19"/>
  <c r="Q2421" i="19"/>
  <c r="O2421" i="19"/>
  <c r="P2421" i="19"/>
  <c r="O2490" i="19"/>
  <c r="P2490" i="19"/>
  <c r="Q2490" i="19"/>
  <c r="O2493" i="19"/>
  <c r="Q2493" i="19"/>
  <c r="P2493" i="19"/>
  <c r="Q2504" i="19"/>
  <c r="O2504" i="19"/>
  <c r="P2504" i="19"/>
  <c r="P2546" i="19"/>
  <c r="O2546" i="19"/>
  <c r="Q2546" i="19"/>
  <c r="P2572" i="19"/>
  <c r="Q2572" i="19"/>
  <c r="O2572" i="19"/>
  <c r="P2606" i="19"/>
  <c r="O2606" i="19"/>
  <c r="Q2606" i="19"/>
  <c r="P2633" i="19"/>
  <c r="Q2633" i="19"/>
  <c r="O2633" i="19"/>
  <c r="Q2637" i="19"/>
  <c r="P2637" i="19"/>
  <c r="O2637" i="19"/>
  <c r="O1626" i="19"/>
  <c r="P1626" i="19"/>
  <c r="Q1626" i="19"/>
  <c r="O1636" i="19"/>
  <c r="P1636" i="19"/>
  <c r="Q1636" i="19"/>
  <c r="O1763" i="19"/>
  <c r="Q1763" i="19"/>
  <c r="P1763" i="19"/>
  <c r="Q1765" i="19"/>
  <c r="O1765" i="19"/>
  <c r="P1765" i="19"/>
  <c r="Q1839" i="19"/>
  <c r="P1839" i="19"/>
  <c r="O1839" i="19"/>
  <c r="P1860" i="19"/>
  <c r="O1860" i="19"/>
  <c r="Q1860" i="19"/>
  <c r="Q1868" i="19"/>
  <c r="P1868" i="19"/>
  <c r="O1868" i="19"/>
  <c r="P1904" i="19"/>
  <c r="O1904" i="19"/>
  <c r="Q1904" i="19"/>
  <c r="P1917" i="19"/>
  <c r="O1917" i="19"/>
  <c r="Q1917" i="19"/>
  <c r="P1970" i="19"/>
  <c r="Q1970" i="19"/>
  <c r="O1970" i="19"/>
  <c r="P2001" i="19"/>
  <c r="O2001" i="19"/>
  <c r="Q2001" i="19"/>
  <c r="O2004" i="19"/>
  <c r="Q2004" i="19"/>
  <c r="P2004" i="19"/>
  <c r="O2025" i="19"/>
  <c r="Q2025" i="19"/>
  <c r="P2025" i="19"/>
  <c r="P2032" i="19"/>
  <c r="Q2032" i="19"/>
  <c r="O2032" i="19"/>
  <c r="O2037" i="19"/>
  <c r="Q2037" i="19"/>
  <c r="P2037" i="19"/>
  <c r="O2141" i="19"/>
  <c r="Q2141" i="19"/>
  <c r="P2141" i="19"/>
  <c r="O2155" i="19"/>
  <c r="Q2155" i="19"/>
  <c r="P2155" i="19"/>
  <c r="O2199" i="19"/>
  <c r="P2199" i="19"/>
  <c r="Q2199" i="19"/>
  <c r="P2282" i="19"/>
  <c r="Q2282" i="19"/>
  <c r="O2282" i="19"/>
  <c r="P2316" i="19"/>
  <c r="Q2316" i="19"/>
  <c r="O2316" i="19"/>
  <c r="P2408" i="19"/>
  <c r="Q2408" i="19"/>
  <c r="O2408" i="19"/>
  <c r="Q2463" i="19"/>
  <c r="O2463" i="19"/>
  <c r="P2463" i="19"/>
  <c r="Q2531" i="19"/>
  <c r="P2531" i="19"/>
  <c r="O2531" i="19"/>
  <c r="O2625" i="19"/>
  <c r="Q2625" i="19"/>
  <c r="P2625" i="19"/>
  <c r="Q1721" i="19"/>
  <c r="P1721" i="19"/>
  <c r="O1721" i="19"/>
  <c r="O1756" i="19"/>
  <c r="P1756" i="19"/>
  <c r="Q1756" i="19"/>
  <c r="O1769" i="19"/>
  <c r="Q1769" i="19"/>
  <c r="P1769" i="19"/>
  <c r="P1832" i="19"/>
  <c r="Q1832" i="19"/>
  <c r="O1832" i="19"/>
  <c r="Q1863" i="19"/>
  <c r="O1863" i="19"/>
  <c r="P1863" i="19"/>
  <c r="P1884" i="19"/>
  <c r="O1884" i="19"/>
  <c r="Q1884" i="19"/>
  <c r="O1936" i="19"/>
  <c r="Q1936" i="19"/>
  <c r="P1936" i="19"/>
  <c r="Q2007" i="19"/>
  <c r="P2007" i="19"/>
  <c r="O2007" i="19"/>
  <c r="Q2011" i="19"/>
  <c r="P2011" i="19"/>
  <c r="O2011" i="19"/>
  <c r="O2053" i="19"/>
  <c r="P2053" i="19"/>
  <c r="Q2053" i="19"/>
  <c r="Q2061" i="19"/>
  <c r="P2061" i="19"/>
  <c r="O2061" i="19"/>
  <c r="Q2111" i="19"/>
  <c r="O2111" i="19"/>
  <c r="P2111" i="19"/>
  <c r="Q2115" i="19"/>
  <c r="O2115" i="19"/>
  <c r="P2115" i="19"/>
  <c r="P2158" i="19"/>
  <c r="Q2158" i="19"/>
  <c r="O2158" i="19"/>
  <c r="O2187" i="19"/>
  <c r="Q2187" i="19"/>
  <c r="P2187" i="19"/>
  <c r="Q2219" i="19"/>
  <c r="O2219" i="19"/>
  <c r="P2219" i="19"/>
  <c r="O2221" i="19"/>
  <c r="Q2221" i="19"/>
  <c r="P2221" i="19"/>
  <c r="Q2278" i="19"/>
  <c r="P2278" i="19"/>
  <c r="O2278" i="19"/>
  <c r="P2298" i="19"/>
  <c r="Q2298" i="19"/>
  <c r="O2298" i="19"/>
  <c r="Q2320" i="19"/>
  <c r="P2320" i="19"/>
  <c r="O2320" i="19"/>
  <c r="O2359" i="19"/>
  <c r="Q2359" i="19"/>
  <c r="P2359" i="19"/>
  <c r="P2438" i="19"/>
  <c r="Q2438" i="19"/>
  <c r="O2438" i="19"/>
  <c r="Q2469" i="19"/>
  <c r="O2469" i="19"/>
  <c r="P2469" i="19"/>
  <c r="P2472" i="19"/>
  <c r="Q2472" i="19"/>
  <c r="O2472" i="19"/>
  <c r="Q2502" i="19"/>
  <c r="P2502" i="19"/>
  <c r="O2502" i="19"/>
  <c r="P2506" i="19"/>
  <c r="O2506" i="19"/>
  <c r="Q2506" i="19"/>
  <c r="P2513" i="19"/>
  <c r="Q2513" i="19"/>
  <c r="O2513" i="19"/>
  <c r="P2638" i="19"/>
  <c r="Q2638" i="19"/>
  <c r="O2638" i="19"/>
  <c r="Q2235" i="19"/>
  <c r="P2235" i="19"/>
  <c r="O2235" i="19"/>
  <c r="P2258" i="19"/>
  <c r="Q2258" i="19"/>
  <c r="O2258" i="19"/>
  <c r="O2326" i="19"/>
  <c r="Q2326" i="19"/>
  <c r="P2326" i="19"/>
  <c r="Q2346" i="19"/>
  <c r="O2346" i="19"/>
  <c r="P2346" i="19"/>
  <c r="P2379" i="19"/>
  <c r="O2379" i="19"/>
  <c r="Q2379" i="19"/>
  <c r="Q2382" i="19"/>
  <c r="P2382" i="19"/>
  <c r="O2382" i="19"/>
  <c r="P2405" i="19"/>
  <c r="O2405" i="19"/>
  <c r="Q2405" i="19"/>
  <c r="Q2533" i="19"/>
  <c r="P2533" i="19"/>
  <c r="O2533" i="19"/>
  <c r="Q2543" i="19"/>
  <c r="O2543" i="19"/>
  <c r="P2543" i="19"/>
  <c r="P2590" i="19"/>
  <c r="Q2590" i="19"/>
  <c r="O2590" i="19"/>
  <c r="P2608" i="19"/>
  <c r="Q2608" i="19"/>
  <c r="O2608" i="19"/>
  <c r="O2618" i="19"/>
  <c r="Q2618" i="19"/>
  <c r="P2618" i="19"/>
  <c r="P2650" i="19"/>
  <c r="Q2650" i="19"/>
  <c r="O2650" i="19"/>
  <c r="Q1491" i="19"/>
  <c r="P1491" i="19"/>
  <c r="O1491" i="19"/>
  <c r="Q1495" i="19"/>
  <c r="O1495" i="19"/>
  <c r="P1495" i="19"/>
  <c r="Q1539" i="19"/>
  <c r="P1539" i="19"/>
  <c r="O1539" i="19"/>
  <c r="O1556" i="19"/>
  <c r="P1556" i="19"/>
  <c r="Q1556" i="19"/>
  <c r="Q1593" i="19"/>
  <c r="P1593" i="19"/>
  <c r="O1593" i="19"/>
  <c r="Q1628" i="19"/>
  <c r="P1628" i="19"/>
  <c r="O1628" i="19"/>
  <c r="Q1657" i="19"/>
  <c r="O1657" i="19"/>
  <c r="P1657" i="19"/>
  <c r="P1666" i="19"/>
  <c r="O1666" i="19"/>
  <c r="Q1666" i="19"/>
  <c r="O1696" i="19"/>
  <c r="P1696" i="19"/>
  <c r="Q1696" i="19"/>
  <c r="P1698" i="19"/>
  <c r="O1698" i="19"/>
  <c r="Q1698" i="19"/>
  <c r="O1766" i="19"/>
  <c r="Q1766" i="19"/>
  <c r="P1766" i="19"/>
  <c r="Q1770" i="19"/>
  <c r="O1770" i="19"/>
  <c r="P1770" i="19"/>
  <c r="P1790" i="19"/>
  <c r="O1790" i="19"/>
  <c r="Q1790" i="19"/>
  <c r="Q1838" i="19"/>
  <c r="P1838" i="19"/>
  <c r="O1838" i="19"/>
  <c r="Q1852" i="19"/>
  <c r="O1852" i="19"/>
  <c r="P1852" i="19"/>
  <c r="O1857" i="19"/>
  <c r="Q1857" i="19"/>
  <c r="P1857" i="19"/>
  <c r="Q1955" i="19"/>
  <c r="P1955" i="19"/>
  <c r="O1955" i="19"/>
  <c r="Q2003" i="19"/>
  <c r="O2003" i="19"/>
  <c r="P2003" i="19"/>
  <c r="O2020" i="19"/>
  <c r="Q2020" i="19"/>
  <c r="P2020" i="19"/>
  <c r="Q2043" i="19"/>
  <c r="O2043" i="19"/>
  <c r="P2043" i="19"/>
  <c r="P2096" i="19"/>
  <c r="Q2096" i="19"/>
  <c r="O2096" i="19"/>
  <c r="Q2099" i="19"/>
  <c r="O2099" i="19"/>
  <c r="P2099" i="19"/>
  <c r="Q2148" i="19"/>
  <c r="O2148" i="19"/>
  <c r="P2148" i="19"/>
  <c r="Q2159" i="19"/>
  <c r="O2159" i="19"/>
  <c r="P2159" i="19"/>
  <c r="O2193" i="19"/>
  <c r="P2193" i="19"/>
  <c r="Q2193" i="19"/>
  <c r="Q2228" i="19"/>
  <c r="P2228" i="19"/>
  <c r="O2228" i="19"/>
  <c r="O2237" i="19"/>
  <c r="P2237" i="19"/>
  <c r="Q2237" i="19"/>
  <c r="Q2274" i="19"/>
  <c r="P2274" i="19"/>
  <c r="O2274" i="19"/>
  <c r="P2279" i="19"/>
  <c r="O2279" i="19"/>
  <c r="Q2279" i="19"/>
  <c r="Q2348" i="19"/>
  <c r="P2348" i="19"/>
  <c r="O2348" i="19"/>
  <c r="P2368" i="19"/>
  <c r="O2368" i="19"/>
  <c r="Q2368" i="19"/>
  <c r="O2414" i="19"/>
  <c r="Q2414" i="19"/>
  <c r="P2414" i="19"/>
  <c r="P2449" i="19"/>
  <c r="O2449" i="19"/>
  <c r="Q2449" i="19"/>
  <c r="Q2565" i="19"/>
  <c r="O2565" i="19"/>
  <c r="P2565" i="19"/>
  <c r="Q2575" i="19"/>
  <c r="P2575" i="19"/>
  <c r="O2575" i="19"/>
  <c r="P2587" i="19"/>
  <c r="Q2587" i="19"/>
  <c r="O2587" i="19"/>
  <c r="P2594" i="19"/>
  <c r="O2594" i="19"/>
  <c r="Q2594" i="19"/>
  <c r="Q2622" i="19"/>
  <c r="P2622" i="19"/>
  <c r="O2622" i="19"/>
  <c r="Q1694" i="19"/>
  <c r="O1694" i="19"/>
  <c r="P1694" i="19"/>
  <c r="Q1700" i="19"/>
  <c r="O1700" i="19"/>
  <c r="P1700" i="19"/>
  <c r="Q1709" i="19"/>
  <c r="P1709" i="19"/>
  <c r="O1709" i="19"/>
  <c r="O1718" i="19"/>
  <c r="Q1718" i="19"/>
  <c r="P1718" i="19"/>
  <c r="O1720" i="19"/>
  <c r="Q1720" i="19"/>
  <c r="P1720" i="19"/>
  <c r="O1768" i="19"/>
  <c r="P1768" i="19"/>
  <c r="Q1768" i="19"/>
  <c r="O1816" i="19"/>
  <c r="Q1816" i="19"/>
  <c r="P1816" i="19"/>
  <c r="O1901" i="19"/>
  <c r="Q1901" i="19"/>
  <c r="P1901" i="19"/>
  <c r="Q1918" i="19"/>
  <c r="P1918" i="19"/>
  <c r="O1918" i="19"/>
  <c r="P1920" i="19"/>
  <c r="O1920" i="19"/>
  <c r="Q1920" i="19"/>
  <c r="P2062" i="19"/>
  <c r="Q2062" i="19"/>
  <c r="O2062" i="19"/>
  <c r="Q2070" i="19"/>
  <c r="P2070" i="19"/>
  <c r="O2070" i="19"/>
  <c r="O2151" i="19"/>
  <c r="Q2151" i="19"/>
  <c r="P2151" i="19"/>
  <c r="Q2299" i="19"/>
  <c r="P2299" i="19"/>
  <c r="O2299" i="19"/>
  <c r="Q2302" i="19"/>
  <c r="O2302" i="19"/>
  <c r="P2302" i="19"/>
  <c r="P2431" i="19"/>
  <c r="O2431" i="19"/>
  <c r="Q2431" i="19"/>
  <c r="P2482" i="19"/>
  <c r="O2482" i="19"/>
  <c r="Q2482" i="19"/>
  <c r="P2488" i="19"/>
  <c r="O2488" i="19"/>
  <c r="Q2488" i="19"/>
  <c r="O2524" i="19"/>
  <c r="P2524" i="19"/>
  <c r="Q2524" i="19"/>
  <c r="Q2550" i="19"/>
  <c r="P2550" i="19"/>
  <c r="O2550" i="19"/>
  <c r="Q2581" i="19"/>
  <c r="O2581" i="19"/>
  <c r="P2581" i="19"/>
  <c r="Q2598" i="19"/>
  <c r="P2598" i="19"/>
  <c r="O2598" i="19"/>
  <c r="Q2615" i="19"/>
  <c r="P2615" i="19"/>
  <c r="O2615" i="19"/>
  <c r="Q1291" i="19"/>
  <c r="O1291" i="19"/>
  <c r="P1291" i="19"/>
  <c r="Q1381" i="19"/>
  <c r="P1381" i="19"/>
  <c r="O1381" i="19"/>
  <c r="P1400" i="19"/>
  <c r="O1400" i="19"/>
  <c r="Q1400" i="19"/>
  <c r="Q1431" i="19"/>
  <c r="P1431" i="19"/>
  <c r="O1431" i="19"/>
  <c r="Q1441" i="19"/>
  <c r="O1441" i="19"/>
  <c r="P1441" i="19"/>
  <c r="O1460" i="19"/>
  <c r="P1460" i="19"/>
  <c r="Q1460" i="19"/>
  <c r="Q1470" i="19"/>
  <c r="O1470" i="19"/>
  <c r="P1470" i="19"/>
  <c r="P1483" i="19"/>
  <c r="O1483" i="19"/>
  <c r="Q1483" i="19"/>
  <c r="P1493" i="19"/>
  <c r="Q1493" i="19"/>
  <c r="O1493" i="19"/>
  <c r="Q1530" i="19"/>
  <c r="O1530" i="19"/>
  <c r="P1530" i="19"/>
  <c r="Q1545" i="19"/>
  <c r="P1545" i="19"/>
  <c r="O1545" i="19"/>
  <c r="Q1602" i="19"/>
  <c r="P1602" i="19"/>
  <c r="O1602" i="19"/>
  <c r="P1609" i="19"/>
  <c r="O1609" i="19"/>
  <c r="Q1609" i="19"/>
  <c r="P1631" i="19"/>
  <c r="O1631" i="19"/>
  <c r="Q1631" i="19"/>
  <c r="O1638" i="19"/>
  <c r="P1638" i="19"/>
  <c r="Q1638" i="19"/>
  <c r="O1646" i="19"/>
  <c r="Q1646" i="19"/>
  <c r="P1646" i="19"/>
  <c r="Q1692" i="19"/>
  <c r="P1692" i="19"/>
  <c r="O1692" i="19"/>
  <c r="O1695" i="19"/>
  <c r="P1695" i="19"/>
  <c r="Q1695" i="19"/>
  <c r="Q1723" i="19"/>
  <c r="O1723" i="19"/>
  <c r="P1723" i="19"/>
  <c r="Q1726" i="19"/>
  <c r="O1726" i="19"/>
  <c r="P1726" i="19"/>
  <c r="Q1762" i="19"/>
  <c r="P1762" i="19"/>
  <c r="O1762" i="19"/>
  <c r="P1778" i="19"/>
  <c r="Q1778" i="19"/>
  <c r="O1778" i="19"/>
  <c r="Q1791" i="19"/>
  <c r="O1791" i="19"/>
  <c r="P1791" i="19"/>
  <c r="Q1871" i="19"/>
  <c r="O1871" i="19"/>
  <c r="P1871" i="19"/>
  <c r="Q1873" i="19"/>
  <c r="P1873" i="19"/>
  <c r="O1873" i="19"/>
  <c r="P1891" i="19"/>
  <c r="Q1891" i="19"/>
  <c r="O1891" i="19"/>
  <c r="Q1911" i="19"/>
  <c r="P1911" i="19"/>
  <c r="O1911" i="19"/>
  <c r="P1919" i="19"/>
  <c r="Q1919" i="19"/>
  <c r="O1919" i="19"/>
  <c r="O1933" i="19"/>
  <c r="P1933" i="19"/>
  <c r="Q1933" i="19"/>
  <c r="Q1995" i="19"/>
  <c r="O1995" i="19"/>
  <c r="P1995" i="19"/>
  <c r="Q2027" i="19"/>
  <c r="P2027" i="19"/>
  <c r="O2027" i="19"/>
  <c r="P2066" i="19"/>
  <c r="O2066" i="19"/>
  <c r="Q2066" i="19"/>
  <c r="Q2095" i="19"/>
  <c r="P2095" i="19"/>
  <c r="O2095" i="19"/>
  <c r="Q2150" i="19"/>
  <c r="P2150" i="19"/>
  <c r="O2150" i="19"/>
  <c r="Q2157" i="19"/>
  <c r="P2157" i="19"/>
  <c r="O2157" i="19"/>
  <c r="Q2177" i="19"/>
  <c r="P2177" i="19"/>
  <c r="O2177" i="19"/>
  <c r="Q2195" i="19"/>
  <c r="P2195" i="19"/>
  <c r="O2195" i="19"/>
  <c r="Q2197" i="19"/>
  <c r="O2197" i="19"/>
  <c r="P2197" i="19"/>
  <c r="P2210" i="19"/>
  <c r="O2210" i="19"/>
  <c r="Q2210" i="19"/>
  <c r="Q2231" i="19"/>
  <c r="P2231" i="19"/>
  <c r="O2231" i="19"/>
  <c r="O2285" i="19"/>
  <c r="Q2285" i="19"/>
  <c r="P2285" i="19"/>
  <c r="Q2321" i="19"/>
  <c r="P2321" i="19"/>
  <c r="Q2323" i="19"/>
  <c r="O2323" i="19"/>
  <c r="P2323" i="19"/>
  <c r="P2353" i="19"/>
  <c r="Q2353" i="19"/>
  <c r="O2353" i="19"/>
  <c r="Q2361" i="19"/>
  <c r="P2361" i="19"/>
  <c r="O2361" i="19"/>
  <c r="Q2416" i="19"/>
  <c r="O2416" i="19"/>
  <c r="P2416" i="19"/>
  <c r="P2436" i="19"/>
  <c r="Q2436" i="19"/>
  <c r="O2436" i="19"/>
  <c r="P2460" i="19"/>
  <c r="Q2460" i="19"/>
  <c r="O2460" i="19"/>
  <c r="P2465" i="19"/>
  <c r="Q2465" i="19"/>
  <c r="O2465" i="19"/>
  <c r="O2511" i="19"/>
  <c r="Q2511" i="19"/>
  <c r="P2511" i="19"/>
  <c r="P2556" i="19"/>
  <c r="Q2556" i="19"/>
  <c r="O2556" i="19"/>
  <c r="P2574" i="19"/>
  <c r="O2574" i="19"/>
  <c r="Q2574" i="19"/>
  <c r="P2600" i="19"/>
  <c r="O2600" i="19"/>
  <c r="Q2600" i="19"/>
  <c r="P2617" i="19"/>
  <c r="O2617" i="19"/>
  <c r="Q2617" i="19"/>
  <c r="P1294" i="19"/>
  <c r="O1294" i="19"/>
  <c r="Q1294" i="19"/>
  <c r="P1434" i="19"/>
  <c r="O1434" i="19"/>
  <c r="Q1434" i="19"/>
  <c r="P1444" i="19"/>
  <c r="O1444" i="19"/>
  <c r="Q1444" i="19"/>
  <c r="P1453" i="19"/>
  <c r="O1453" i="19"/>
  <c r="Q1453" i="19"/>
  <c r="Q1459" i="19"/>
  <c r="O1459" i="19"/>
  <c r="P1459" i="19"/>
  <c r="O1469" i="19"/>
  <c r="Q1469" i="19"/>
  <c r="P1469" i="19"/>
  <c r="P1482" i="19"/>
  <c r="O1482" i="19"/>
  <c r="Q1482" i="19"/>
  <c r="O1492" i="19"/>
  <c r="P1492" i="19"/>
  <c r="Q1492" i="19"/>
  <c r="P1527" i="19"/>
  <c r="O1527" i="19"/>
  <c r="Q1527" i="19"/>
  <c r="P1570" i="19"/>
  <c r="O1570" i="19"/>
  <c r="Q1570" i="19"/>
  <c r="Q1648" i="19"/>
  <c r="P1648" i="19"/>
  <c r="O1648" i="19"/>
  <c r="Q1671" i="19"/>
  <c r="P1671" i="19"/>
  <c r="O1671" i="19"/>
  <c r="Q1680" i="19"/>
  <c r="P1680" i="19"/>
  <c r="O1680" i="19"/>
  <c r="P1689" i="19"/>
  <c r="O1689" i="19"/>
  <c r="Q1689" i="19"/>
  <c r="Q1740" i="19"/>
  <c r="P1740" i="19"/>
  <c r="O1740" i="19"/>
  <c r="P1747" i="19"/>
  <c r="O1747" i="19"/>
  <c r="Q1747" i="19"/>
  <c r="Q1767" i="19"/>
  <c r="P1767" i="19"/>
  <c r="O1767" i="19"/>
  <c r="O1798" i="19"/>
  <c r="Q1798" i="19"/>
  <c r="P1798" i="19"/>
  <c r="Q1800" i="19"/>
  <c r="P1800" i="19"/>
  <c r="O1800" i="19"/>
  <c r="P1885" i="19"/>
  <c r="O1885" i="19"/>
  <c r="Q1885" i="19"/>
  <c r="P1887" i="19"/>
  <c r="Q1887" i="19"/>
  <c r="O1887" i="19"/>
  <c r="P1894" i="19"/>
  <c r="O1894" i="19"/>
  <c r="Q1894" i="19"/>
  <c r="Q1941" i="19"/>
  <c r="O1941" i="19"/>
  <c r="P1941" i="19"/>
  <c r="P1957" i="19"/>
  <c r="O1957" i="19"/>
  <c r="Q1957" i="19"/>
  <c r="Q1961" i="19"/>
  <c r="P1961" i="19"/>
  <c r="O1961" i="19"/>
  <c r="O1977" i="19"/>
  <c r="Q1977" i="19"/>
  <c r="P1977" i="19"/>
  <c r="Q1981" i="19"/>
  <c r="P1981" i="19"/>
  <c r="O1981" i="19"/>
  <c r="P1991" i="19"/>
  <c r="O1991" i="19"/>
  <c r="Q1991" i="19"/>
  <c r="O2009" i="19"/>
  <c r="Q2009" i="19"/>
  <c r="P2009" i="19"/>
  <c r="P2082" i="19"/>
  <c r="O2082" i="19"/>
  <c r="Q2082" i="19"/>
  <c r="Q2212" i="19"/>
  <c r="P2212" i="19"/>
  <c r="O2212" i="19"/>
  <c r="Q2214" i="19"/>
  <c r="P2214" i="19"/>
  <c r="O2214" i="19"/>
  <c r="Q2241" i="19"/>
  <c r="P2241" i="19"/>
  <c r="O2241" i="19"/>
  <c r="P2329" i="19"/>
  <c r="O2329" i="19"/>
  <c r="Q2329" i="19"/>
  <c r="O2419" i="19"/>
  <c r="Q2419" i="19"/>
  <c r="P2419" i="19"/>
  <c r="Q2441" i="19"/>
  <c r="P2441" i="19"/>
  <c r="O2441" i="19"/>
  <c r="P2470" i="19"/>
  <c r="O2470" i="19"/>
  <c r="Q2470" i="19"/>
  <c r="Q2577" i="19"/>
  <c r="O2577" i="19"/>
  <c r="P2577" i="19"/>
  <c r="Q2627" i="19"/>
  <c r="P2627" i="19"/>
  <c r="O2627" i="19"/>
  <c r="Q2645" i="19"/>
  <c r="P2645" i="19"/>
  <c r="O2645" i="19"/>
  <c r="Q1302" i="19"/>
  <c r="P1302" i="19"/>
  <c r="O1302" i="19"/>
  <c r="Q1308" i="19"/>
  <c r="O1308" i="19"/>
  <c r="P1308" i="19"/>
  <c r="Q1318" i="19"/>
  <c r="O1318" i="19"/>
  <c r="P1318" i="19"/>
  <c r="Q1325" i="19"/>
  <c r="O1325" i="19"/>
  <c r="P1325" i="19"/>
  <c r="Q1338" i="19"/>
  <c r="O1338" i="19"/>
  <c r="P1338" i="19"/>
  <c r="Q1363" i="19"/>
  <c r="O1363" i="19"/>
  <c r="P1363" i="19"/>
  <c r="Q1373" i="19"/>
  <c r="P1373" i="19"/>
  <c r="O1373" i="19"/>
  <c r="Q1389" i="19"/>
  <c r="P1389" i="19"/>
  <c r="O1389" i="19"/>
  <c r="O1414" i="19"/>
  <c r="Q1414" i="19"/>
  <c r="P1414" i="19"/>
  <c r="O1424" i="19"/>
  <c r="Q1424" i="19"/>
  <c r="P1424" i="19"/>
  <c r="Q1430" i="19"/>
  <c r="O1430" i="19"/>
  <c r="P1430" i="19"/>
  <c r="Q1449" i="19"/>
  <c r="O1449" i="19"/>
  <c r="P1449" i="19"/>
  <c r="O1572" i="19"/>
  <c r="Q1572" i="19"/>
  <c r="P1572" i="19"/>
  <c r="O1580" i="19"/>
  <c r="Q1580" i="19"/>
  <c r="P1580" i="19"/>
  <c r="P1606" i="19"/>
  <c r="Q1606" i="19"/>
  <c r="O1606" i="19"/>
  <c r="Q1613" i="19"/>
  <c r="O1613" i="19"/>
  <c r="P1613" i="19"/>
  <c r="P1618" i="19"/>
  <c r="O1618" i="19"/>
  <c r="Q1618" i="19"/>
  <c r="Q1640" i="19"/>
  <c r="O1640" i="19"/>
  <c r="P1640" i="19"/>
  <c r="O1645" i="19"/>
  <c r="P1645" i="19"/>
  <c r="Q1645" i="19"/>
  <c r="O1673" i="19"/>
  <c r="Q1673" i="19"/>
  <c r="P1673" i="19"/>
  <c r="P1691" i="19"/>
  <c r="Q1691" i="19"/>
  <c r="O1691" i="19"/>
  <c r="P1755" i="19"/>
  <c r="Q1755" i="19"/>
  <c r="O1755" i="19"/>
  <c r="O1866" i="19"/>
  <c r="Q1866" i="19"/>
  <c r="P1866" i="19"/>
  <c r="P1870" i="19"/>
  <c r="O1870" i="19"/>
  <c r="Q1870" i="19"/>
  <c r="Q1878" i="19"/>
  <c r="O1878" i="19"/>
  <c r="P1878" i="19"/>
  <c r="Q1929" i="19"/>
  <c r="P1929" i="19"/>
  <c r="O1929" i="19"/>
  <c r="Q2015" i="19"/>
  <c r="P2015" i="19"/>
  <c r="O2015" i="19"/>
  <c r="Q2065" i="19"/>
  <c r="P2065" i="19"/>
  <c r="O2065" i="19"/>
  <c r="Q2067" i="19"/>
  <c r="O2067" i="19"/>
  <c r="P2067" i="19"/>
  <c r="Q2085" i="19"/>
  <c r="P2085" i="19"/>
  <c r="O2085" i="19"/>
  <c r="P2087" i="19"/>
  <c r="O2087" i="19"/>
  <c r="Q2087" i="19"/>
  <c r="Q2105" i="19"/>
  <c r="O2105" i="19"/>
  <c r="P2105" i="19"/>
  <c r="Q2127" i="19"/>
  <c r="P2127" i="19"/>
  <c r="O2127" i="19"/>
  <c r="Q2167" i="19"/>
  <c r="O2167" i="19"/>
  <c r="P2167" i="19"/>
  <c r="P2178" i="19"/>
  <c r="Q2178" i="19"/>
  <c r="O2178" i="19"/>
  <c r="Q2248" i="19"/>
  <c r="O2248" i="19"/>
  <c r="P2248" i="19"/>
  <c r="P2257" i="19"/>
  <c r="O2257" i="19"/>
  <c r="Q2257" i="19"/>
  <c r="O2288" i="19"/>
  <c r="Q2288" i="19"/>
  <c r="P2288" i="19"/>
  <c r="Q2362" i="19"/>
  <c r="O2362" i="19"/>
  <c r="P2362" i="19"/>
  <c r="Q2376" i="19"/>
  <c r="O2376" i="19"/>
  <c r="P2376" i="19"/>
  <c r="Q2388" i="19"/>
  <c r="O2388" i="19"/>
  <c r="P2388" i="19"/>
  <c r="O2407" i="19"/>
  <c r="P2407" i="19"/>
  <c r="Q2407" i="19"/>
  <c r="Q2451" i="19"/>
  <c r="P2451" i="19"/>
  <c r="O2451" i="19"/>
  <c r="P2466" i="19"/>
  <c r="O2466" i="19"/>
  <c r="Q2466" i="19"/>
  <c r="P2512" i="19"/>
  <c r="Q2512" i="19"/>
  <c r="O2512" i="19"/>
  <c r="P2534" i="19"/>
  <c r="Q2534" i="19"/>
  <c r="O2534" i="19"/>
  <c r="P2557" i="19"/>
  <c r="O2557" i="19"/>
  <c r="Q2557" i="19"/>
  <c r="P2564" i="19"/>
  <c r="Q2564" i="19"/>
  <c r="O2564" i="19"/>
  <c r="O2631" i="19"/>
  <c r="Q2631" i="19"/>
  <c r="P2631" i="19"/>
  <c r="Q2653" i="19"/>
  <c r="P2653" i="19"/>
  <c r="O2653" i="19"/>
  <c r="O1296" i="19"/>
  <c r="Q1296" i="19"/>
  <c r="P1296" i="19"/>
  <c r="P1299" i="19"/>
  <c r="O1299" i="19"/>
  <c r="Q1299" i="19"/>
  <c r="Q1305" i="19"/>
  <c r="P1305" i="19"/>
  <c r="O1305" i="19"/>
  <c r="P1331" i="19"/>
  <c r="Q1331" i="19"/>
  <c r="O1331" i="19"/>
  <c r="P1351" i="19"/>
  <c r="Q1351" i="19"/>
  <c r="O1351" i="19"/>
  <c r="P1379" i="19"/>
  <c r="Q1379" i="19"/>
  <c r="O1379" i="19"/>
  <c r="O1402" i="19"/>
  <c r="P1402" i="19"/>
  <c r="Q1402" i="19"/>
  <c r="O1436" i="19"/>
  <c r="Q1436" i="19"/>
  <c r="P1436" i="19"/>
  <c r="P1446" i="19"/>
  <c r="O1446" i="19"/>
  <c r="Q1446" i="19"/>
  <c r="P1455" i="19"/>
  <c r="Q1455" i="19"/>
  <c r="O1455" i="19"/>
  <c r="P1465" i="19"/>
  <c r="O1465" i="19"/>
  <c r="Q1465" i="19"/>
  <c r="P1488" i="19"/>
  <c r="Q1488" i="19"/>
  <c r="O1488" i="19"/>
  <c r="P1508" i="19"/>
  <c r="Q1508" i="19"/>
  <c r="O1508" i="19"/>
  <c r="P1523" i="19"/>
  <c r="O1523" i="19"/>
  <c r="Q1523" i="19"/>
  <c r="Q1546" i="19"/>
  <c r="P1546" i="19"/>
  <c r="O1546" i="19"/>
  <c r="P1554" i="19"/>
  <c r="Q1554" i="19"/>
  <c r="O1554" i="19"/>
  <c r="O1557" i="19"/>
  <c r="Q1557" i="19"/>
  <c r="P1557" i="19"/>
  <c r="Q1560" i="19"/>
  <c r="O1560" i="19"/>
  <c r="P1560" i="19"/>
  <c r="Q1583" i="19"/>
  <c r="O1583" i="19"/>
  <c r="P1583" i="19"/>
  <c r="P1586" i="19"/>
  <c r="Q1586" i="19"/>
  <c r="O1586" i="19"/>
  <c r="O1589" i="19"/>
  <c r="Q1589" i="19"/>
  <c r="P1589" i="19"/>
  <c r="Q1600" i="19"/>
  <c r="P1600" i="19"/>
  <c r="O1600" i="19"/>
  <c r="P1652" i="19"/>
  <c r="Q1652" i="19"/>
  <c r="O1652" i="19"/>
  <c r="P1655" i="19"/>
  <c r="O1655" i="19"/>
  <c r="Q1655" i="19"/>
  <c r="O1658" i="19"/>
  <c r="Q1658" i="19"/>
  <c r="P1658" i="19"/>
  <c r="Q1667" i="19"/>
  <c r="P1667" i="19"/>
  <c r="O1667" i="19"/>
  <c r="P1704" i="19"/>
  <c r="Q1704" i="19"/>
  <c r="O1704" i="19"/>
  <c r="O1719" i="19"/>
  <c r="P1719" i="19"/>
  <c r="Q1719" i="19"/>
  <c r="P1722" i="19"/>
  <c r="Q1722" i="19"/>
  <c r="O1722" i="19"/>
  <c r="Q1735" i="19"/>
  <c r="O1735" i="19"/>
  <c r="P1735" i="19"/>
  <c r="O1876" i="19"/>
  <c r="Q1876" i="19"/>
  <c r="P1876" i="19"/>
  <c r="O1954" i="19"/>
  <c r="Q1954" i="19"/>
  <c r="P1954" i="19"/>
  <c r="Q1956" i="19"/>
  <c r="O1956" i="19"/>
  <c r="P1956" i="19"/>
  <c r="Q1992" i="19"/>
  <c r="O1992" i="19"/>
  <c r="P1992" i="19"/>
  <c r="Q1994" i="19"/>
  <c r="P1994" i="19"/>
  <c r="O1994" i="19"/>
  <c r="Q1996" i="19"/>
  <c r="P1996" i="19"/>
  <c r="O1996" i="19"/>
  <c r="O2026" i="19"/>
  <c r="P2026" i="19"/>
  <c r="Q2026" i="19"/>
  <c r="O2028" i="19"/>
  <c r="P2028" i="19"/>
  <c r="Q2028" i="19"/>
  <c r="O2063" i="19"/>
  <c r="Q2063" i="19"/>
  <c r="P2063" i="19"/>
  <c r="O2117" i="19"/>
  <c r="Q2117" i="19"/>
  <c r="P2117" i="19"/>
  <c r="Q2185" i="19"/>
  <c r="P2185" i="19"/>
  <c r="O2185" i="19"/>
  <c r="Q2244" i="19"/>
  <c r="O2244" i="19"/>
  <c r="P2244" i="19"/>
  <c r="Q2301" i="19"/>
  <c r="P2301" i="19"/>
  <c r="O2301" i="19"/>
  <c r="O2344" i="19"/>
  <c r="P2344" i="19"/>
  <c r="Q2344" i="19"/>
  <c r="P2357" i="19"/>
  <c r="Q2357" i="19"/>
  <c r="O2357" i="19"/>
  <c r="Q2386" i="19"/>
  <c r="O2386" i="19"/>
  <c r="P2386" i="19"/>
  <c r="Q2415" i="19"/>
  <c r="P2415" i="19"/>
  <c r="O2415" i="19"/>
  <c r="Q2420" i="19"/>
  <c r="P2420" i="19"/>
  <c r="O2420" i="19"/>
  <c r="P2435" i="19"/>
  <c r="O2435" i="19"/>
  <c r="Q2435" i="19"/>
  <c r="Q2445" i="19"/>
  <c r="O2445" i="19"/>
  <c r="P2445" i="19"/>
  <c r="O2479" i="19"/>
  <c r="Q2479" i="19"/>
  <c r="P2479" i="19"/>
  <c r="Q2489" i="19"/>
  <c r="P2489" i="19"/>
  <c r="O2489" i="19"/>
  <c r="P2562" i="19"/>
  <c r="Q2562" i="19"/>
  <c r="O2562" i="19"/>
  <c r="O2586" i="19"/>
  <c r="Q2586" i="19"/>
  <c r="P2586" i="19"/>
  <c r="P2592" i="19"/>
  <c r="Q2592" i="19"/>
  <c r="O2592" i="19"/>
  <c r="P1780" i="19"/>
  <c r="Q1780" i="19"/>
  <c r="O1780" i="19"/>
  <c r="Q1784" i="19"/>
  <c r="P1784" i="19"/>
  <c r="O1784" i="19"/>
  <c r="P1787" i="19"/>
  <c r="Q1787" i="19"/>
  <c r="O1787" i="19"/>
  <c r="Q1811" i="19"/>
  <c r="O1811" i="19"/>
  <c r="P1811" i="19"/>
  <c r="Q1830" i="19"/>
  <c r="O1830" i="19"/>
  <c r="P1830" i="19"/>
  <c r="Q1837" i="19"/>
  <c r="O1837" i="19"/>
  <c r="P1837" i="19"/>
  <c r="O1855" i="19"/>
  <c r="P1855" i="19"/>
  <c r="Q1855" i="19"/>
  <c r="O1874" i="19"/>
  <c r="Q1874" i="19"/>
  <c r="P1874" i="19"/>
  <c r="P1912" i="19"/>
  <c r="O1912" i="19"/>
  <c r="Q1912" i="19"/>
  <c r="P1923" i="19"/>
  <c r="Q1923" i="19"/>
  <c r="O1923" i="19"/>
  <c r="P1927" i="19"/>
  <c r="O1927" i="19"/>
  <c r="Q1927" i="19"/>
  <c r="Q1934" i="19"/>
  <c r="P1934" i="19"/>
  <c r="O1934" i="19"/>
  <c r="Q1959" i="19"/>
  <c r="O1959" i="19"/>
  <c r="P1959" i="19"/>
  <c r="O1980" i="19"/>
  <c r="Q1980" i="19"/>
  <c r="P1980" i="19"/>
  <c r="Q2013" i="19"/>
  <c r="P2013" i="19"/>
  <c r="O2013" i="19"/>
  <c r="O2018" i="19"/>
  <c r="Q2018" i="19"/>
  <c r="P2018" i="19"/>
  <c r="P2045" i="19"/>
  <c r="O2045" i="19"/>
  <c r="Q2045" i="19"/>
  <c r="Q2075" i="19"/>
  <c r="P2075" i="19"/>
  <c r="O2075" i="19"/>
  <c r="O2086" i="19"/>
  <c r="Q2086" i="19"/>
  <c r="P2086" i="19"/>
  <c r="Q2110" i="19"/>
  <c r="P2110" i="19"/>
  <c r="O2110" i="19"/>
  <c r="P2118" i="19"/>
  <c r="O2118" i="19"/>
  <c r="Q2118" i="19"/>
  <c r="O2162" i="19"/>
  <c r="Q2162" i="19"/>
  <c r="P2162" i="19"/>
  <c r="Q2205" i="19"/>
  <c r="P2205" i="19"/>
  <c r="O2205" i="19"/>
  <c r="P2215" i="19"/>
  <c r="O2215" i="19"/>
  <c r="Q2215" i="19"/>
  <c r="Q2218" i="19"/>
  <c r="P2218" i="19"/>
  <c r="O2218" i="19"/>
  <c r="Q2284" i="19"/>
  <c r="P2284" i="19"/>
  <c r="O2284" i="19"/>
  <c r="P2331" i="19"/>
  <c r="O2331" i="19"/>
  <c r="Q2331" i="19"/>
  <c r="Q2349" i="19"/>
  <c r="P2349" i="19"/>
  <c r="O2349" i="19"/>
  <c r="P2374" i="19"/>
  <c r="Q2374" i="19"/>
  <c r="O2374" i="19"/>
  <c r="P2396" i="19"/>
  <c r="Q2396" i="19"/>
  <c r="O2396" i="19"/>
  <c r="Q2443" i="19"/>
  <c r="P2443" i="19"/>
  <c r="O2443" i="19"/>
  <c r="O2514" i="19"/>
  <c r="Q2514" i="19"/>
  <c r="P2514" i="19"/>
  <c r="P2535" i="19"/>
  <c r="O2535" i="19"/>
  <c r="Q2535" i="19"/>
  <c r="Q2540" i="19"/>
  <c r="P2540" i="19"/>
  <c r="O2540" i="19"/>
  <c r="Q2593" i="19"/>
  <c r="O2593" i="19"/>
  <c r="P2593" i="19"/>
  <c r="Q2635" i="19"/>
  <c r="P2635" i="19"/>
  <c r="O2635" i="19"/>
  <c r="Q1734" i="19"/>
  <c r="P1734" i="19"/>
  <c r="O1734" i="19"/>
  <c r="Q1739" i="19"/>
  <c r="P1739" i="19"/>
  <c r="O1739" i="19"/>
  <c r="Q1850" i="19"/>
  <c r="P1850" i="19"/>
  <c r="O1850" i="19"/>
  <c r="Q1862" i="19"/>
  <c r="O1862" i="19"/>
  <c r="P1862" i="19"/>
  <c r="O1869" i="19"/>
  <c r="Q1869" i="19"/>
  <c r="P1869" i="19"/>
  <c r="Q1881" i="19"/>
  <c r="O1881" i="19"/>
  <c r="P1881" i="19"/>
  <c r="P1897" i="19"/>
  <c r="O1897" i="19"/>
  <c r="Q1897" i="19"/>
  <c r="P1909" i="19"/>
  <c r="Q1909" i="19"/>
  <c r="O1909" i="19"/>
  <c r="Q1945" i="19"/>
  <c r="P1945" i="19"/>
  <c r="O1945" i="19"/>
  <c r="O1975" i="19"/>
  <c r="P1975" i="19"/>
  <c r="Q1975" i="19"/>
  <c r="Q1987" i="19"/>
  <c r="P1987" i="19"/>
  <c r="O1987" i="19"/>
  <c r="P2030" i="19"/>
  <c r="O2030" i="19"/>
  <c r="Q2030" i="19"/>
  <c r="O2036" i="19"/>
  <c r="Q2036" i="19"/>
  <c r="P2036" i="19"/>
  <c r="P2040" i="19"/>
  <c r="O2040" i="19"/>
  <c r="Q2040" i="19"/>
  <c r="Q2049" i="19"/>
  <c r="O2049" i="19"/>
  <c r="P2049" i="19"/>
  <c r="Q2064" i="19"/>
  <c r="O2064" i="19"/>
  <c r="P2064" i="19"/>
  <c r="Q2079" i="19"/>
  <c r="O2079" i="19"/>
  <c r="P2079" i="19"/>
  <c r="P2164" i="19"/>
  <c r="Q2164" i="19"/>
  <c r="O2164" i="19"/>
  <c r="O2175" i="19"/>
  <c r="Q2175" i="19"/>
  <c r="P2175" i="19"/>
  <c r="Q2194" i="19"/>
  <c r="P2194" i="19"/>
  <c r="O2194" i="19"/>
  <c r="O2223" i="19"/>
  <c r="Q2223" i="19"/>
  <c r="P2223" i="19"/>
  <c r="P2226" i="19"/>
  <c r="O2226" i="19"/>
  <c r="Q2226" i="19"/>
  <c r="P2245" i="19"/>
  <c r="O2245" i="19"/>
  <c r="Q2245" i="19"/>
  <c r="Q2261" i="19"/>
  <c r="P2261" i="19"/>
  <c r="O2261" i="19"/>
  <c r="Q2286" i="19"/>
  <c r="P2286" i="19"/>
  <c r="O2286" i="19"/>
  <c r="Q2313" i="19"/>
  <c r="P2313" i="19"/>
  <c r="O2313" i="19"/>
  <c r="Q2333" i="19"/>
  <c r="P2333" i="19"/>
  <c r="O2333" i="19"/>
  <c r="P2366" i="19"/>
  <c r="O2366" i="19"/>
  <c r="Q2366" i="19"/>
  <c r="Q2370" i="19"/>
  <c r="P2370" i="19"/>
  <c r="O2370" i="19"/>
  <c r="P2383" i="19"/>
  <c r="O2383" i="19"/>
  <c r="Q2383" i="19"/>
  <c r="P2385" i="19"/>
  <c r="Q2385" i="19"/>
  <c r="O2385" i="19"/>
  <c r="P2398" i="19"/>
  <c r="O2398" i="19"/>
  <c r="Q2398" i="19"/>
  <c r="P2455" i="19"/>
  <c r="O2455" i="19"/>
  <c r="Q2455" i="19"/>
  <c r="O2468" i="19"/>
  <c r="Q2468" i="19"/>
  <c r="P2468" i="19"/>
  <c r="O2485" i="19"/>
  <c r="Q2485" i="19"/>
  <c r="P2485" i="19"/>
  <c r="Q2519" i="19"/>
  <c r="O2519" i="19"/>
  <c r="P2519" i="19"/>
  <c r="Q2563" i="19"/>
  <c r="P2563" i="19"/>
  <c r="O2563" i="19"/>
  <c r="Q2596" i="19"/>
  <c r="O2596" i="19"/>
  <c r="P2596" i="19"/>
  <c r="P2654" i="19"/>
  <c r="O2654" i="19"/>
  <c r="Q2654" i="19"/>
  <c r="O1998" i="19"/>
  <c r="P1998" i="19"/>
  <c r="Q1998" i="19"/>
  <c r="P2035" i="19"/>
  <c r="O2035" i="19"/>
  <c r="Q2035" i="19"/>
  <c r="O2109" i="19"/>
  <c r="Q2109" i="19"/>
  <c r="P2109" i="19"/>
  <c r="Q2161" i="19"/>
  <c r="O2161" i="19"/>
  <c r="P2161" i="19"/>
  <c r="Q2251" i="19"/>
  <c r="O2251" i="19"/>
  <c r="P2251" i="19"/>
  <c r="O2294" i="19"/>
  <c r="Q2294" i="19"/>
  <c r="P2294" i="19"/>
  <c r="P2312" i="19"/>
  <c r="Q2312" i="19"/>
  <c r="O2312" i="19"/>
  <c r="P2337" i="19"/>
  <c r="Q2337" i="19"/>
  <c r="O2337" i="19"/>
  <c r="Q2427" i="19"/>
  <c r="P2427" i="19"/>
  <c r="O2427" i="19"/>
  <c r="P2471" i="19"/>
  <c r="Q2471" i="19"/>
  <c r="O2471" i="19"/>
  <c r="O2483" i="19"/>
  <c r="Q2483" i="19"/>
  <c r="P2483" i="19"/>
  <c r="O2525" i="19"/>
  <c r="Q2525" i="19"/>
  <c r="P2525" i="19"/>
  <c r="Q2568" i="19"/>
  <c r="O2568" i="19"/>
  <c r="P2568" i="19"/>
  <c r="Q2584" i="19"/>
  <c r="O2584" i="19"/>
  <c r="P2584" i="19"/>
  <c r="O2655" i="19"/>
  <c r="P2655" i="19"/>
  <c r="Q2655" i="19"/>
  <c r="P1505" i="19"/>
  <c r="Q1505" i="19"/>
  <c r="O1505" i="19"/>
  <c r="Q1515" i="19"/>
  <c r="O1515" i="19"/>
  <c r="P1515" i="19"/>
  <c r="P1537" i="19"/>
  <c r="O1537" i="19"/>
  <c r="Q1537" i="19"/>
  <c r="O1552" i="19"/>
  <c r="Q1552" i="19"/>
  <c r="P1552" i="19"/>
  <c r="O1555" i="19"/>
  <c r="P1555" i="19"/>
  <c r="Q1555" i="19"/>
  <c r="P1565" i="19"/>
  <c r="O1565" i="19"/>
  <c r="Q1565" i="19"/>
  <c r="Q1577" i="19"/>
  <c r="O1577" i="19"/>
  <c r="P1577" i="19"/>
  <c r="O1587" i="19"/>
  <c r="Q1587" i="19"/>
  <c r="P1587" i="19"/>
  <c r="Q1599" i="19"/>
  <c r="P1599" i="19"/>
  <c r="O1599" i="19"/>
  <c r="O1605" i="19"/>
  <c r="P1605" i="19"/>
  <c r="Q1605" i="19"/>
  <c r="O1615" i="19"/>
  <c r="Q1615" i="19"/>
  <c r="P1615" i="19"/>
  <c r="Q1625" i="19"/>
  <c r="O1625" i="19"/>
  <c r="P1625" i="19"/>
  <c r="P1635" i="19"/>
  <c r="O1635" i="19"/>
  <c r="Q1635" i="19"/>
  <c r="P1654" i="19"/>
  <c r="Q1654" i="19"/>
  <c r="O1654" i="19"/>
  <c r="Q1664" i="19"/>
  <c r="P1664" i="19"/>
  <c r="O1664" i="19"/>
  <c r="Q1683" i="19"/>
  <c r="P1683" i="19"/>
  <c r="O1683" i="19"/>
  <c r="O1786" i="19"/>
  <c r="Q1786" i="19"/>
  <c r="P1786" i="19"/>
  <c r="Q1861" i="19"/>
  <c r="O1861" i="19"/>
  <c r="P1861" i="19"/>
  <c r="P1880" i="19"/>
  <c r="Q1880" i="19"/>
  <c r="O1880" i="19"/>
  <c r="O1914" i="19"/>
  <c r="Q1914" i="19"/>
  <c r="P1914" i="19"/>
  <c r="O1972" i="19"/>
  <c r="Q1972" i="19"/>
  <c r="P1972" i="19"/>
  <c r="O2074" i="19"/>
  <c r="Q2074" i="19"/>
  <c r="P2074" i="19"/>
  <c r="P2076" i="19"/>
  <c r="O2076" i="19"/>
  <c r="Q2076" i="19"/>
  <c r="Q2100" i="19"/>
  <c r="O2100" i="19"/>
  <c r="P2100" i="19"/>
  <c r="Q2114" i="19"/>
  <c r="O2114" i="19"/>
  <c r="P2114" i="19"/>
  <c r="Q2129" i="19"/>
  <c r="P2129" i="19"/>
  <c r="O2129" i="19"/>
  <c r="O2172" i="19"/>
  <c r="P2172" i="19"/>
  <c r="Q2172" i="19"/>
  <c r="Q2204" i="19"/>
  <c r="O2204" i="19"/>
  <c r="P2204" i="19"/>
  <c r="Q2206" i="19"/>
  <c r="P2206" i="19"/>
  <c r="O2206" i="19"/>
  <c r="Q2209" i="19"/>
  <c r="P2209" i="19"/>
  <c r="O2209" i="19"/>
  <c r="O2233" i="19"/>
  <c r="Q2233" i="19"/>
  <c r="P2233" i="19"/>
  <c r="Q2236" i="19"/>
  <c r="P2236" i="19"/>
  <c r="O2236" i="19"/>
  <c r="P2255" i="19"/>
  <c r="Q2255" i="19"/>
  <c r="O2255" i="19"/>
  <c r="Q2283" i="19"/>
  <c r="P2283" i="19"/>
  <c r="O2283" i="19"/>
  <c r="P2319" i="19"/>
  <c r="Q2319" i="19"/>
  <c r="O2319" i="19"/>
  <c r="Q2334" i="19"/>
  <c r="O2334" i="19"/>
  <c r="P2334" i="19"/>
  <c r="Q2375" i="19"/>
  <c r="P2375" i="19"/>
  <c r="O2375" i="19"/>
  <c r="P2393" i="19"/>
  <c r="O2393" i="19"/>
  <c r="Q2393" i="19"/>
  <c r="O2409" i="19"/>
  <c r="Q2409" i="19"/>
  <c r="P2409" i="19"/>
  <c r="P2425" i="19"/>
  <c r="Q2425" i="19"/>
  <c r="O2425" i="19"/>
  <c r="Q2458" i="19"/>
  <c r="P2458" i="19"/>
  <c r="O2458" i="19"/>
  <c r="P2536" i="19"/>
  <c r="O2536" i="19"/>
  <c r="Q2536" i="19"/>
  <c r="P2548" i="19"/>
  <c r="O2548" i="19"/>
  <c r="Q2548" i="19"/>
  <c r="P2603" i="19"/>
  <c r="Q2603" i="19"/>
  <c r="O2603" i="19"/>
  <c r="Q2628" i="19"/>
  <c r="O2628" i="19"/>
  <c r="P2628" i="19"/>
  <c r="Q2641" i="19"/>
  <c r="O2641" i="19"/>
  <c r="P2641" i="19"/>
  <c r="Q1738" i="19"/>
  <c r="P1738" i="19"/>
  <c r="O1738" i="19"/>
  <c r="P1749" i="19"/>
  <c r="O1749" i="19"/>
  <c r="Q1749" i="19"/>
  <c r="Q1759" i="19"/>
  <c r="P1759" i="19"/>
  <c r="O1759" i="19"/>
  <c r="O1772" i="19"/>
  <c r="Q1772" i="19"/>
  <c r="P1772" i="19"/>
  <c r="P1782" i="19"/>
  <c r="Q1782" i="19"/>
  <c r="O1782" i="19"/>
  <c r="O1792" i="19"/>
  <c r="Q1792" i="19"/>
  <c r="P1792" i="19"/>
  <c r="Q1804" i="19"/>
  <c r="P1804" i="19"/>
  <c r="O1804" i="19"/>
  <c r="Q1814" i="19"/>
  <c r="P1814" i="19"/>
  <c r="O1814" i="19"/>
  <c r="Q1823" i="19"/>
  <c r="P1823" i="19"/>
  <c r="O1823" i="19"/>
  <c r="Q1833" i="19"/>
  <c r="P1833" i="19"/>
  <c r="O1833" i="19"/>
  <c r="O1867" i="19"/>
  <c r="Q1867" i="19"/>
  <c r="P1867" i="19"/>
  <c r="Q1886" i="19"/>
  <c r="P1886" i="19"/>
  <c r="O1886" i="19"/>
  <c r="P1893" i="19"/>
  <c r="O1893" i="19"/>
  <c r="Q1893" i="19"/>
  <c r="Q1903" i="19"/>
  <c r="O1903" i="19"/>
  <c r="P1903" i="19"/>
  <c r="Q1916" i="19"/>
  <c r="P1916" i="19"/>
  <c r="O1916" i="19"/>
  <c r="Q1926" i="19"/>
  <c r="P1926" i="19"/>
  <c r="O1926" i="19"/>
  <c r="O2041" i="19"/>
  <c r="Q2041" i="19"/>
  <c r="P2041" i="19"/>
  <c r="Q2050" i="19"/>
  <c r="O2050" i="19"/>
  <c r="P2050" i="19"/>
  <c r="Q2058" i="19"/>
  <c r="P2058" i="19"/>
  <c r="O2058" i="19"/>
  <c r="Q2078" i="19"/>
  <c r="P2078" i="19"/>
  <c r="O2078" i="19"/>
  <c r="Q2098" i="19"/>
  <c r="P2098" i="19"/>
  <c r="O2098" i="19"/>
  <c r="P2120" i="19"/>
  <c r="O2120" i="19"/>
  <c r="Q2120" i="19"/>
  <c r="P2124" i="19"/>
  <c r="O2124" i="19"/>
  <c r="Q2124" i="19"/>
  <c r="P2128" i="19"/>
  <c r="O2128" i="19"/>
  <c r="Q2128" i="19"/>
  <c r="P2132" i="19"/>
  <c r="O2132" i="19"/>
  <c r="Q2132" i="19"/>
  <c r="P2136" i="19"/>
  <c r="O2136" i="19"/>
  <c r="Q2136" i="19"/>
  <c r="P2140" i="19"/>
  <c r="O2140" i="19"/>
  <c r="Q2140" i="19"/>
  <c r="Q2160" i="19"/>
  <c r="P2160" i="19"/>
  <c r="O2160" i="19"/>
  <c r="Q2180" i="19"/>
  <c r="O2180" i="19"/>
  <c r="P2180" i="19"/>
  <c r="Q2188" i="19"/>
  <c r="P2188" i="19"/>
  <c r="O2188" i="19"/>
  <c r="Q2246" i="19"/>
  <c r="O2246" i="19"/>
  <c r="P2246" i="19"/>
  <c r="Q2254" i="19"/>
  <c r="O2254" i="19"/>
  <c r="P2254" i="19"/>
  <c r="Q2305" i="19"/>
  <c r="O2305" i="19"/>
  <c r="P2305" i="19"/>
  <c r="Q2308" i="19"/>
  <c r="O2308" i="19"/>
  <c r="P2308" i="19"/>
  <c r="Q2311" i="19"/>
  <c r="P2311" i="19"/>
  <c r="Q2314" i="19"/>
  <c r="P2314" i="19"/>
  <c r="Q2390" i="19"/>
  <c r="O2390" i="19"/>
  <c r="P2390" i="19"/>
  <c r="P2404" i="19"/>
  <c r="O2404" i="19"/>
  <c r="Q2404" i="19"/>
  <c r="Q2434" i="19"/>
  <c r="P2434" i="19"/>
  <c r="O2434" i="19"/>
  <c r="P2447" i="19"/>
  <c r="Q2447" i="19"/>
  <c r="O2447" i="19"/>
  <c r="P2495" i="19"/>
  <c r="Q2495" i="19"/>
  <c r="O2495" i="19"/>
  <c r="O2508" i="19"/>
  <c r="P2508" i="19"/>
  <c r="Q2508" i="19"/>
  <c r="P2518" i="19"/>
  <c r="Q2518" i="19"/>
  <c r="O2518" i="19"/>
  <c r="Q2528" i="19"/>
  <c r="P2528" i="19"/>
  <c r="O2528" i="19"/>
  <c r="P2611" i="19"/>
  <c r="O2611" i="19"/>
  <c r="Q2611" i="19"/>
  <c r="O2613" i="19"/>
  <c r="P2613" i="19"/>
  <c r="Q2613" i="19"/>
  <c r="P2619" i="19"/>
  <c r="O2619" i="19"/>
  <c r="Q2619" i="19"/>
  <c r="Q2629" i="19"/>
  <c r="P2629" i="19"/>
  <c r="O2629" i="19"/>
  <c r="O1748" i="19"/>
  <c r="P1748" i="19"/>
  <c r="Q1748" i="19"/>
  <c r="O1758" i="19"/>
  <c r="P1758" i="19"/>
  <c r="Q1758" i="19"/>
  <c r="Q1771" i="19"/>
  <c r="P1771" i="19"/>
  <c r="O1771" i="19"/>
  <c r="Q1781" i="19"/>
  <c r="P1781" i="19"/>
  <c r="O1781" i="19"/>
  <c r="P1797" i="19"/>
  <c r="O1797" i="19"/>
  <c r="Q1797" i="19"/>
  <c r="P1807" i="19"/>
  <c r="O1807" i="19"/>
  <c r="Q1807" i="19"/>
  <c r="P1826" i="19"/>
  <c r="O1826" i="19"/>
  <c r="Q1826" i="19"/>
  <c r="O1836" i="19"/>
  <c r="P1836" i="19"/>
  <c r="Q1836" i="19"/>
  <c r="P1892" i="19"/>
  <c r="Q1892" i="19"/>
  <c r="O1892" i="19"/>
  <c r="Q1902" i="19"/>
  <c r="O1902" i="19"/>
  <c r="P1902" i="19"/>
  <c r="P1915" i="19"/>
  <c r="O1915" i="19"/>
  <c r="Q1915" i="19"/>
  <c r="Q1925" i="19"/>
  <c r="O1925" i="19"/>
  <c r="P1925" i="19"/>
  <c r="Q2039" i="19"/>
  <c r="P2039" i="19"/>
  <c r="O2039" i="19"/>
  <c r="P2072" i="19"/>
  <c r="O2072" i="19"/>
  <c r="Q2072" i="19"/>
  <c r="P2092" i="19"/>
  <c r="O2092" i="19"/>
  <c r="Q2092" i="19"/>
  <c r="P2146" i="19"/>
  <c r="O2146" i="19"/>
  <c r="Q2146" i="19"/>
  <c r="P2154" i="19"/>
  <c r="O2154" i="19"/>
  <c r="Q2154" i="19"/>
  <c r="P2174" i="19"/>
  <c r="O2174" i="19"/>
  <c r="Q2174" i="19"/>
  <c r="P2202" i="19"/>
  <c r="O2202" i="19"/>
  <c r="Q2202" i="19"/>
  <c r="O2260" i="19"/>
  <c r="Q2260" i="19"/>
  <c r="P2260" i="19"/>
  <c r="Q2270" i="19"/>
  <c r="P2270" i="19"/>
  <c r="O2270" i="19"/>
  <c r="P2287" i="19"/>
  <c r="O2287" i="19"/>
  <c r="Q2287" i="19"/>
  <c r="P2290" i="19"/>
  <c r="O2290" i="19"/>
  <c r="Q2290" i="19"/>
  <c r="P2293" i="19"/>
  <c r="O2293" i="19"/>
  <c r="Q2293" i="19"/>
  <c r="Q2330" i="19"/>
  <c r="O2330" i="19"/>
  <c r="P2330" i="19"/>
  <c r="O2356" i="19"/>
  <c r="Q2356" i="19"/>
  <c r="P2356" i="19"/>
  <c r="Q2373" i="19"/>
  <c r="P2373" i="19"/>
  <c r="O2373" i="19"/>
  <c r="Q2384" i="19"/>
  <c r="P2384" i="19"/>
  <c r="O2384" i="19"/>
  <c r="Q2395" i="19"/>
  <c r="P2395" i="19"/>
  <c r="O2395" i="19"/>
  <c r="Q2400" i="19"/>
  <c r="O2400" i="19"/>
  <c r="P2400" i="19"/>
  <c r="Q2439" i="19"/>
  <c r="O2439" i="19"/>
  <c r="P2439" i="19"/>
  <c r="Q2453" i="19"/>
  <c r="P2453" i="19"/>
  <c r="O2453" i="19"/>
  <c r="P2475" i="19"/>
  <c r="O2475" i="19"/>
  <c r="Q2475" i="19"/>
  <c r="P2530" i="19"/>
  <c r="O2530" i="19"/>
  <c r="Q2530" i="19"/>
  <c r="Q2554" i="19"/>
  <c r="O2554" i="19"/>
  <c r="P2554" i="19"/>
  <c r="Q2578" i="19"/>
  <c r="P2578" i="19"/>
  <c r="O2578" i="19"/>
  <c r="Q2647" i="19"/>
  <c r="P2647" i="19"/>
  <c r="O2647" i="19"/>
  <c r="Q1843" i="19"/>
  <c r="P1843" i="19"/>
  <c r="O1843" i="19"/>
  <c r="P1846" i="19"/>
  <c r="Q1846" i="19"/>
  <c r="O1846" i="19"/>
  <c r="O1856" i="19"/>
  <c r="Q1856" i="19"/>
  <c r="P1856" i="19"/>
  <c r="P1875" i="19"/>
  <c r="Q1875" i="19"/>
  <c r="O1875" i="19"/>
  <c r="P1938" i="19"/>
  <c r="Q1938" i="19"/>
  <c r="O1938" i="19"/>
  <c r="O1947" i="19"/>
  <c r="Q1947" i="19"/>
  <c r="P1947" i="19"/>
  <c r="O1953" i="19"/>
  <c r="P1953" i="19"/>
  <c r="Q1953" i="19"/>
  <c r="Q1963" i="19"/>
  <c r="P1963" i="19"/>
  <c r="O1963" i="19"/>
  <c r="O1973" i="19"/>
  <c r="Q1973" i="19"/>
  <c r="P1973" i="19"/>
  <c r="P1976" i="19"/>
  <c r="Q1976" i="19"/>
  <c r="O1976" i="19"/>
  <c r="O1989" i="19"/>
  <c r="P1989" i="19"/>
  <c r="Q1989" i="19"/>
  <c r="P1999" i="19"/>
  <c r="O1999" i="19"/>
  <c r="Q1999" i="19"/>
  <c r="Q2019" i="19"/>
  <c r="O2019" i="19"/>
  <c r="P2019" i="19"/>
  <c r="Q2024" i="19"/>
  <c r="P2024" i="19"/>
  <c r="O2024" i="19"/>
  <c r="Q2029" i="19"/>
  <c r="P2029" i="19"/>
  <c r="O2029" i="19"/>
  <c r="Q2034" i="19"/>
  <c r="P2034" i="19"/>
  <c r="O2034" i="19"/>
  <c r="P2042" i="19"/>
  <c r="O2042" i="19"/>
  <c r="Q2042" i="19"/>
  <c r="Q2071" i="19"/>
  <c r="P2071" i="19"/>
  <c r="O2071" i="19"/>
  <c r="Q2091" i="19"/>
  <c r="O2091" i="19"/>
  <c r="P2091" i="19"/>
  <c r="Q2145" i="19"/>
  <c r="P2145" i="19"/>
  <c r="O2145" i="19"/>
  <c r="O2153" i="19"/>
  <c r="P2153" i="19"/>
  <c r="Q2153" i="19"/>
  <c r="O2173" i="19"/>
  <c r="P2173" i="19"/>
  <c r="Q2173" i="19"/>
  <c r="Q2201" i="19"/>
  <c r="O2201" i="19"/>
  <c r="P2201" i="19"/>
  <c r="Q2207" i="19"/>
  <c r="O2207" i="19"/>
  <c r="P2207" i="19"/>
  <c r="Q2211" i="19"/>
  <c r="O2211" i="19"/>
  <c r="P2211" i="19"/>
  <c r="O2259" i="19"/>
  <c r="P2259" i="19"/>
  <c r="Q2259" i="19"/>
  <c r="O2269" i="19"/>
  <c r="Q2269" i="19"/>
  <c r="P2269" i="19"/>
  <c r="O2292" i="19"/>
  <c r="P2292" i="19"/>
  <c r="Q2292" i="19"/>
  <c r="P2341" i="19"/>
  <c r="Q2341" i="19"/>
  <c r="O2341" i="19"/>
  <c r="Q2360" i="19"/>
  <c r="P2360" i="19"/>
  <c r="O2360" i="19"/>
  <c r="Q2365" i="19"/>
  <c r="O2365" i="19"/>
  <c r="P2365" i="19"/>
  <c r="Q2410" i="19"/>
  <c r="O2410" i="19"/>
  <c r="P2410" i="19"/>
  <c r="Q2422" i="19"/>
  <c r="P2422" i="19"/>
  <c r="O2422" i="19"/>
  <c r="O2424" i="19"/>
  <c r="P2424" i="19"/>
  <c r="Q2424" i="19"/>
  <c r="O2448" i="19"/>
  <c r="P2448" i="19"/>
  <c r="Q2448" i="19"/>
  <c r="P2457" i="19"/>
  <c r="Q2457" i="19"/>
  <c r="O2457" i="19"/>
  <c r="Q2494" i="19"/>
  <c r="P2494" i="19"/>
  <c r="O2494" i="19"/>
  <c r="P2500" i="19"/>
  <c r="O2500" i="19"/>
  <c r="Q2500" i="19"/>
  <c r="P2517" i="19"/>
  <c r="Q2517" i="19"/>
  <c r="O2517" i="19"/>
  <c r="O2567" i="19"/>
  <c r="Q2567" i="19"/>
  <c r="P2567" i="19"/>
  <c r="Q2571" i="19"/>
  <c r="O2571" i="19"/>
  <c r="P2571" i="19"/>
  <c r="O2573" i="19"/>
  <c r="P2573" i="19"/>
  <c r="Q2573" i="19"/>
  <c r="Q2588" i="19"/>
  <c r="P2588" i="19"/>
  <c r="O2588" i="19"/>
  <c r="Q2643" i="19"/>
  <c r="P2643" i="19"/>
  <c r="O2643" i="19"/>
  <c r="P1754" i="19"/>
  <c r="Q1754" i="19"/>
  <c r="O1754" i="19"/>
  <c r="P1764" i="19"/>
  <c r="O1764" i="19"/>
  <c r="Q1764" i="19"/>
  <c r="P1777" i="19"/>
  <c r="O1777" i="19"/>
  <c r="Q1777" i="19"/>
  <c r="P1799" i="19"/>
  <c r="O1799" i="19"/>
  <c r="Q1799" i="19"/>
  <c r="O1809" i="19"/>
  <c r="Q1809" i="19"/>
  <c r="P1809" i="19"/>
  <c r="O1828" i="19"/>
  <c r="P1828" i="19"/>
  <c r="Q1828" i="19"/>
  <c r="Q1890" i="19"/>
  <c r="P1890" i="19"/>
  <c r="O1890" i="19"/>
  <c r="P1898" i="19"/>
  <c r="O1898" i="19"/>
  <c r="Q1898" i="19"/>
  <c r="P1908" i="19"/>
  <c r="O1908" i="19"/>
  <c r="Q1908" i="19"/>
  <c r="P1921" i="19"/>
  <c r="O1921" i="19"/>
  <c r="Q1921" i="19"/>
  <c r="Q1931" i="19"/>
  <c r="O1931" i="19"/>
  <c r="P1931" i="19"/>
  <c r="P2068" i="19"/>
  <c r="Q2068" i="19"/>
  <c r="O2068" i="19"/>
  <c r="Q2088" i="19"/>
  <c r="P2088" i="19"/>
  <c r="O2088" i="19"/>
  <c r="Q2108" i="19"/>
  <c r="O2108" i="19"/>
  <c r="P2108" i="19"/>
  <c r="P2122" i="19"/>
  <c r="O2122" i="19"/>
  <c r="Q2122" i="19"/>
  <c r="P2126" i="19"/>
  <c r="O2126" i="19"/>
  <c r="Q2126" i="19"/>
  <c r="P2130" i="19"/>
  <c r="Q2130" i="19"/>
  <c r="O2130" i="19"/>
  <c r="P2134" i="19"/>
  <c r="O2134" i="19"/>
  <c r="Q2134" i="19"/>
  <c r="P2138" i="19"/>
  <c r="Q2138" i="19"/>
  <c r="O2138" i="19"/>
  <c r="P2142" i="19"/>
  <c r="Q2142" i="19"/>
  <c r="O2142" i="19"/>
  <c r="Q2170" i="19"/>
  <c r="O2170" i="19"/>
  <c r="P2170" i="19"/>
  <c r="Q2198" i="19"/>
  <c r="P2198" i="19"/>
  <c r="O2198" i="19"/>
  <c r="Q2262" i="19"/>
  <c r="O2262" i="19"/>
  <c r="P2262" i="19"/>
  <c r="P2277" i="19"/>
  <c r="O2277" i="19"/>
  <c r="Q2277" i="19"/>
  <c r="Q2295" i="19"/>
  <c r="O2295" i="19"/>
  <c r="P2295" i="19"/>
  <c r="Q2324" i="19"/>
  <c r="P2324" i="19"/>
  <c r="O2324" i="19"/>
  <c r="Q2347" i="19"/>
  <c r="O2347" i="19"/>
  <c r="P2347" i="19"/>
  <c r="Q2351" i="19"/>
  <c r="P2351" i="19"/>
  <c r="O2351" i="19"/>
  <c r="P2372" i="19"/>
  <c r="O2372" i="19"/>
  <c r="Q2372" i="19"/>
  <c r="Q2394" i="19"/>
  <c r="P2394" i="19"/>
  <c r="O2394" i="19"/>
  <c r="Q2399" i="19"/>
  <c r="P2399" i="19"/>
  <c r="O2399" i="19"/>
  <c r="P2402" i="19"/>
  <c r="Q2402" i="19"/>
  <c r="O2402" i="19"/>
  <c r="P2406" i="19"/>
  <c r="Q2406" i="19"/>
  <c r="O2406" i="19"/>
  <c r="Q2446" i="19"/>
  <c r="P2446" i="19"/>
  <c r="O2446" i="19"/>
  <c r="Q2474" i="19"/>
  <c r="O2474" i="19"/>
  <c r="P2474" i="19"/>
  <c r="P2507" i="19"/>
  <c r="O2507" i="19"/>
  <c r="Q2507" i="19"/>
  <c r="O2595" i="19"/>
  <c r="Q2595" i="19"/>
  <c r="P2595" i="19"/>
  <c r="Q2610" i="19"/>
  <c r="P2610" i="19"/>
  <c r="O2610" i="19"/>
  <c r="O2614" i="19"/>
  <c r="Q2614" i="19"/>
  <c r="P2614" i="19"/>
  <c r="O2630" i="19"/>
  <c r="Q2630" i="19"/>
  <c r="P2630" i="19"/>
  <c r="O2648" i="19"/>
  <c r="Q2648" i="19"/>
  <c r="P2648" i="19"/>
  <c r="P2413" i="19"/>
  <c r="Q2413" i="19"/>
  <c r="O2413" i="19"/>
  <c r="O2428" i="19"/>
  <c r="P2428" i="19"/>
  <c r="Q2428" i="19"/>
  <c r="P2433" i="19"/>
  <c r="O2433" i="19"/>
  <c r="Q2433" i="19"/>
  <c r="O2437" i="19"/>
  <c r="Q2437" i="19"/>
  <c r="P2437" i="19"/>
  <c r="Q2442" i="19"/>
  <c r="O2442" i="19"/>
  <c r="P2442" i="19"/>
  <c r="Q2454" i="19"/>
  <c r="P2454" i="19"/>
  <c r="O2454" i="19"/>
  <c r="P2462" i="19"/>
  <c r="O2462" i="19"/>
  <c r="Q2462" i="19"/>
  <c r="P2467" i="19"/>
  <c r="O2467" i="19"/>
  <c r="Q2467" i="19"/>
  <c r="O2515" i="19"/>
  <c r="Q2515" i="19"/>
  <c r="P2515" i="19"/>
  <c r="P2527" i="19"/>
  <c r="O2527" i="19"/>
  <c r="Q2527" i="19"/>
  <c r="Q2532" i="19"/>
  <c r="P2532" i="19"/>
  <c r="O2532" i="19"/>
  <c r="Q2553" i="19"/>
  <c r="O2553" i="19"/>
  <c r="P2553" i="19"/>
  <c r="P2561" i="19"/>
  <c r="O2561" i="19"/>
  <c r="Q2561" i="19"/>
  <c r="Q2579" i="19"/>
  <c r="O2579" i="19"/>
  <c r="P2579" i="19"/>
  <c r="Q2609" i="19"/>
  <c r="P2609" i="19"/>
  <c r="O2609" i="19"/>
  <c r="O2626" i="19"/>
  <c r="P2626" i="19"/>
  <c r="Q2626" i="19"/>
  <c r="Q2632" i="19"/>
  <c r="O2632" i="19"/>
  <c r="P2632" i="19"/>
  <c r="Q2634" i="19"/>
  <c r="P2634" i="19"/>
  <c r="O2634" i="19"/>
  <c r="O2444" i="19"/>
  <c r="Q2444" i="19"/>
  <c r="P2444" i="19"/>
  <c r="Q2477" i="19"/>
  <c r="P2477" i="19"/>
  <c r="O2477" i="19"/>
  <c r="Q2555" i="19"/>
  <c r="O2555" i="19"/>
  <c r="P2555" i="19"/>
  <c r="Q2569" i="19"/>
  <c r="P2569" i="19"/>
  <c r="O2569" i="19"/>
  <c r="Q2582" i="19"/>
  <c r="O2582" i="19"/>
  <c r="P2582" i="19"/>
  <c r="Q2616" i="19"/>
  <c r="O2616" i="19"/>
  <c r="P2616" i="19"/>
  <c r="O2624" i="19"/>
  <c r="P2624" i="19"/>
  <c r="Q2624" i="19"/>
  <c r="Q2636" i="19"/>
  <c r="O2636" i="19"/>
  <c r="P2636" i="19"/>
  <c r="Q2476" i="19"/>
  <c r="O2476" i="19"/>
  <c r="P2476" i="19"/>
  <c r="Q2499" i="19"/>
  <c r="P2499" i="19"/>
  <c r="O2499" i="19"/>
  <c r="P2503" i="19"/>
  <c r="O2503" i="19"/>
  <c r="Q2503" i="19"/>
  <c r="P2505" i="19"/>
  <c r="O2505" i="19"/>
  <c r="Q2505" i="19"/>
  <c r="Q2521" i="19"/>
  <c r="O2521" i="19"/>
  <c r="P2521" i="19"/>
  <c r="Q2538" i="19"/>
  <c r="P2538" i="19"/>
  <c r="O2538" i="19"/>
  <c r="O2599" i="19"/>
  <c r="P2599" i="19"/>
  <c r="Q2599" i="19"/>
  <c r="Q2605" i="19"/>
  <c r="P2605" i="19"/>
  <c r="O2605" i="19"/>
  <c r="Q2649" i="19"/>
  <c r="O2649" i="19"/>
  <c r="P2649" i="19"/>
  <c r="D1240" i="23"/>
  <c r="E1240" i="23"/>
  <c r="E1416" i="23"/>
  <c r="E1961" i="23"/>
  <c r="E811" i="23"/>
  <c r="O72" i="28"/>
  <c r="I6" i="13"/>
  <c r="D2670" i="23" s="1"/>
  <c r="D2623" i="23"/>
  <c r="D468" i="23"/>
  <c r="R22" i="14"/>
  <c r="J22" i="14"/>
  <c r="E1123" i="23"/>
  <c r="D1123" i="23"/>
  <c r="E2588" i="19"/>
  <c r="D2826" i="23"/>
  <c r="E1051" i="23"/>
  <c r="D1051" i="23"/>
  <c r="D2185" i="23"/>
  <c r="I38" i="8"/>
  <c r="D2232" i="23" s="1"/>
  <c r="D2364" i="23"/>
  <c r="I29" i="10"/>
  <c r="D2411" i="23" s="1"/>
  <c r="D2434" i="23"/>
  <c r="I5" i="11"/>
  <c r="D2481" i="23" s="1"/>
  <c r="E1888" i="23"/>
  <c r="L27" i="5"/>
  <c r="D108" i="23"/>
  <c r="R38" i="6"/>
  <c r="J38" i="6"/>
  <c r="E837" i="23"/>
  <c r="D41" i="23"/>
  <c r="T18" i="5"/>
  <c r="J18" i="5"/>
  <c r="R18" i="5"/>
  <c r="E1666" i="23"/>
  <c r="E1739" i="23"/>
  <c r="D112" i="23"/>
  <c r="R42" i="6"/>
  <c r="J42" i="6"/>
  <c r="T42" i="6"/>
  <c r="D288" i="23"/>
  <c r="R30" i="10"/>
  <c r="J30" i="10"/>
  <c r="E2574" i="23"/>
  <c r="D383" i="23"/>
  <c r="T31" i="12"/>
  <c r="R31" i="12"/>
  <c r="J31" i="12"/>
  <c r="J1189" i="19"/>
  <c r="R1189" i="19"/>
  <c r="V1189" i="19" s="1"/>
  <c r="J732" i="19"/>
  <c r="R732" i="19"/>
  <c r="V732" i="19" s="1"/>
  <c r="D2001" i="23"/>
  <c r="I42" i="6"/>
  <c r="D2048" i="23" s="1"/>
  <c r="H23" i="12"/>
  <c r="H27" i="12" s="1"/>
  <c r="D316" i="23"/>
  <c r="T11" i="11"/>
  <c r="R11" i="11"/>
  <c r="J11" i="11"/>
  <c r="J34" i="19"/>
  <c r="E831" i="23"/>
  <c r="S45" i="15"/>
  <c r="O45" i="15"/>
  <c r="R49" i="19"/>
  <c r="V49" i="19" s="1"/>
  <c r="J49" i="19"/>
  <c r="E1253" i="23"/>
  <c r="D1253" i="23"/>
  <c r="E58" i="19"/>
  <c r="E1460" i="23"/>
  <c r="E2198" i="23"/>
  <c r="E1056" i="23"/>
  <c r="D1056" i="23"/>
  <c r="E1321" i="23"/>
  <c r="D55" i="23"/>
  <c r="T32" i="5"/>
  <c r="R32" i="5"/>
  <c r="J32" i="5"/>
  <c r="D70" i="23"/>
  <c r="J47" i="5"/>
  <c r="R47" i="5"/>
  <c r="T47" i="5"/>
  <c r="D2467" i="23"/>
  <c r="I38" i="11"/>
  <c r="D2514" i="23" s="1"/>
  <c r="D2819" i="23"/>
  <c r="D2834" i="23"/>
  <c r="R128" i="19"/>
  <c r="V128" i="19" s="1"/>
  <c r="J128" i="19"/>
  <c r="G128" i="19" s="1"/>
  <c r="E1466" i="23"/>
  <c r="E4" i="23"/>
  <c r="D4" i="23"/>
  <c r="C2" i="19"/>
  <c r="D2787" i="23"/>
  <c r="D63" i="23"/>
  <c r="T40" i="5"/>
  <c r="J40" i="5"/>
  <c r="R40" i="5"/>
  <c r="D390" i="23"/>
  <c r="T38" i="12"/>
  <c r="R38" i="12"/>
  <c r="J38" i="12"/>
  <c r="D786" i="23"/>
  <c r="J47" i="28"/>
  <c r="D1582" i="23"/>
  <c r="M54" i="2"/>
  <c r="D2193" i="23"/>
  <c r="I46" i="8"/>
  <c r="D2240" i="23" s="1"/>
  <c r="D718" i="23"/>
  <c r="I47" i="28"/>
  <c r="D752" i="23" s="1"/>
  <c r="D1782" i="23"/>
  <c r="G487" i="19"/>
  <c r="J327" i="19"/>
  <c r="R327" i="19"/>
  <c r="V327" i="19" s="1"/>
  <c r="E114" i="23"/>
  <c r="K48" i="6"/>
  <c r="D194" i="23"/>
  <c r="T30" i="8"/>
  <c r="R30" i="8"/>
  <c r="J30" i="8"/>
  <c r="D2057" i="23"/>
  <c r="I4" i="7"/>
  <c r="T4" i="7"/>
  <c r="E2819" i="23"/>
  <c r="E2834" i="23"/>
  <c r="D51" i="23"/>
  <c r="T28" i="5"/>
  <c r="R28" i="5"/>
  <c r="J28" i="5"/>
  <c r="D2572" i="23"/>
  <c r="I50" i="12"/>
  <c r="D2619" i="23" s="1"/>
  <c r="E349" i="23"/>
  <c r="K48" i="11"/>
  <c r="D2260" i="23"/>
  <c r="I19" i="9"/>
  <c r="D2307" i="23" s="1"/>
  <c r="E1909" i="23"/>
  <c r="L48" i="5"/>
  <c r="E1913" i="23" s="1"/>
  <c r="D1937" i="23"/>
  <c r="D104" i="23"/>
  <c r="R34" i="6"/>
  <c r="T34" i="6"/>
  <c r="J34" i="6"/>
  <c r="J761" i="19"/>
  <c r="R761" i="19"/>
  <c r="V761" i="19" s="1"/>
  <c r="E1207" i="23"/>
  <c r="D1207" i="23"/>
  <c r="F92" i="17"/>
  <c r="E1372" i="23"/>
  <c r="E1549" i="23"/>
  <c r="D1502" i="23"/>
  <c r="D1572" i="23"/>
  <c r="H52" i="3"/>
  <c r="D1712" i="23"/>
  <c r="C331" i="19"/>
  <c r="H331" i="19" s="1"/>
  <c r="G331" i="19" s="1"/>
  <c r="E1665" i="23"/>
  <c r="E1726" i="23"/>
  <c r="H27" i="4"/>
  <c r="B1914" i="23"/>
  <c r="B1961" i="23"/>
  <c r="B72" i="23"/>
  <c r="N522" i="19"/>
  <c r="N619" i="19"/>
  <c r="B2041" i="23"/>
  <c r="B105" i="23"/>
  <c r="B1994" i="23"/>
  <c r="N751" i="19"/>
  <c r="N703" i="19"/>
  <c r="E2094" i="23"/>
  <c r="D856" i="19"/>
  <c r="I856" i="19" s="1"/>
  <c r="D904" i="19"/>
  <c r="I904" i="19" s="1"/>
  <c r="C856" i="19"/>
  <c r="H856" i="19" s="1"/>
  <c r="N41" i="7"/>
  <c r="E2141" i="23" s="1"/>
  <c r="D370" i="23"/>
  <c r="J18" i="12"/>
  <c r="T18" i="12"/>
  <c r="D386" i="23"/>
  <c r="T34" i="12"/>
  <c r="J34" i="12"/>
  <c r="C1164" i="19"/>
  <c r="H1164" i="19" s="1"/>
  <c r="C1067" i="19"/>
  <c r="H1067" i="19" s="1"/>
  <c r="E218" i="23"/>
  <c r="E1164" i="19"/>
  <c r="S7" i="9"/>
  <c r="O7" i="9"/>
  <c r="F7" i="9"/>
  <c r="U7" i="9"/>
  <c r="E1196" i="19"/>
  <c r="E250" i="23"/>
  <c r="D1099" i="19"/>
  <c r="I1099" i="19" s="1"/>
  <c r="O39" i="9"/>
  <c r="C1099" i="19"/>
  <c r="H1099" i="19" s="1"/>
  <c r="C1196" i="19"/>
  <c r="H1196" i="19" s="1"/>
  <c r="U39" i="9"/>
  <c r="D323" i="23"/>
  <c r="R18" i="11"/>
  <c r="T18" i="11"/>
  <c r="B2504" i="23"/>
  <c r="B2457" i="23"/>
  <c r="B333" i="23"/>
  <c r="N1479" i="19"/>
  <c r="N2069" i="19"/>
  <c r="N2133" i="19"/>
  <c r="N2101" i="19"/>
  <c r="E503" i="23"/>
  <c r="D1980" i="19"/>
  <c r="I1980" i="19" s="1"/>
  <c r="C1980" i="19"/>
  <c r="H1980" i="19" s="1"/>
  <c r="D2012" i="19"/>
  <c r="I2012" i="19" s="1"/>
  <c r="N10" i="15"/>
  <c r="E537" i="23" s="1"/>
  <c r="D448" i="23"/>
  <c r="T50" i="13"/>
  <c r="R50" i="13"/>
  <c r="B2773" i="23"/>
  <c r="B2725" i="23"/>
  <c r="B460" i="23"/>
  <c r="N1854" i="19"/>
  <c r="N1901" i="19"/>
  <c r="N1806" i="19"/>
  <c r="B2785" i="23"/>
  <c r="B2737" i="23"/>
  <c r="N1818" i="19"/>
  <c r="N1866" i="19"/>
  <c r="B472" i="23"/>
  <c r="N1913" i="19"/>
  <c r="D1173" i="23"/>
  <c r="E1173" i="23"/>
  <c r="D2556" i="19"/>
  <c r="I2556" i="19" s="1"/>
  <c r="D2578" i="19"/>
  <c r="I2578" i="19" s="1"/>
  <c r="C2556" i="19"/>
  <c r="H2556" i="19" s="1"/>
  <c r="E1290" i="23"/>
  <c r="D1290" i="23"/>
  <c r="E1591" i="23"/>
  <c r="E1689" i="23"/>
  <c r="E45" i="23"/>
  <c r="D494" i="19"/>
  <c r="I494" i="19" s="1"/>
  <c r="C494" i="19"/>
  <c r="H494" i="19" s="1"/>
  <c r="U22" i="5"/>
  <c r="C591" i="19"/>
  <c r="H591" i="19" s="1"/>
  <c r="O22" i="5"/>
  <c r="F22" i="5"/>
  <c r="D72" i="23"/>
  <c r="N11" i="6"/>
  <c r="E2017" i="23" s="1"/>
  <c r="D105" i="23"/>
  <c r="J35" i="6"/>
  <c r="E173" i="23"/>
  <c r="D922" i="19"/>
  <c r="I922" i="19" s="1"/>
  <c r="E1019" i="19"/>
  <c r="C922" i="19"/>
  <c r="H922" i="19" s="1"/>
  <c r="C1019" i="19"/>
  <c r="H1019" i="19" s="1"/>
  <c r="O9" i="8"/>
  <c r="S9" i="8"/>
  <c r="N34" i="8"/>
  <c r="E2228" i="23" s="1"/>
  <c r="D2196" i="23"/>
  <c r="I50" i="8"/>
  <c r="D2243" i="23" s="1"/>
  <c r="N29" i="7"/>
  <c r="E2129" i="23" s="1"/>
  <c r="N37" i="7"/>
  <c r="E2137" i="23" s="1"/>
  <c r="B2372" i="23"/>
  <c r="B2419" i="23"/>
  <c r="B295" i="23"/>
  <c r="N1293" i="19"/>
  <c r="N1244" i="19"/>
  <c r="N1341" i="19"/>
  <c r="E2274" i="23"/>
  <c r="D1142" i="19"/>
  <c r="I1142" i="19" s="1"/>
  <c r="C1142" i="19"/>
  <c r="H1142" i="19" s="1"/>
  <c r="G33" i="9"/>
  <c r="N33" i="9"/>
  <c r="E2321" i="23" s="1"/>
  <c r="E614" i="23"/>
  <c r="D2083" i="19"/>
  <c r="I2083" i="19" s="1"/>
  <c r="C2083" i="19"/>
  <c r="H2083" i="19" s="1"/>
  <c r="D2115" i="19"/>
  <c r="I2115" i="19" s="1"/>
  <c r="G9" i="28"/>
  <c r="E708" i="23"/>
  <c r="D2077" i="19"/>
  <c r="I2077" i="19" s="1"/>
  <c r="C2077" i="19"/>
  <c r="H2077" i="19" s="1"/>
  <c r="S35" i="28"/>
  <c r="E2141" i="19"/>
  <c r="F35" i="28"/>
  <c r="E605" i="23"/>
  <c r="C1971" i="19"/>
  <c r="H1971" i="19" s="1"/>
  <c r="D1971" i="19"/>
  <c r="I1971" i="19" s="1"/>
  <c r="E2036" i="19"/>
  <c r="F34" i="15"/>
  <c r="S34" i="15"/>
  <c r="O34" i="15"/>
  <c r="U34" i="15"/>
  <c r="E2632" i="23"/>
  <c r="D1710" i="19"/>
  <c r="I1710" i="19" s="1"/>
  <c r="D1757" i="19"/>
  <c r="I1757" i="19" s="1"/>
  <c r="C1710" i="19"/>
  <c r="H1710" i="19" s="1"/>
  <c r="G15" i="13"/>
  <c r="D472" i="23"/>
  <c r="R26" i="14"/>
  <c r="E885" i="23"/>
  <c r="C2337" i="19"/>
  <c r="H2337" i="19" s="1"/>
  <c r="D2255" i="19"/>
  <c r="I2255" i="19" s="1"/>
  <c r="C2255" i="19"/>
  <c r="H2255" i="19" s="1"/>
  <c r="D885" i="23"/>
  <c r="E2337" i="19"/>
  <c r="E2970" i="23"/>
  <c r="F15" i="17"/>
  <c r="E967" i="23"/>
  <c r="D2426" i="19"/>
  <c r="I2426" i="19" s="1"/>
  <c r="G2426" i="19" s="1"/>
  <c r="D967" i="23"/>
  <c r="H54" i="17"/>
  <c r="F54" i="17"/>
  <c r="E1536" i="23"/>
  <c r="E183" i="19"/>
  <c r="E182" i="19"/>
  <c r="H7" i="3"/>
  <c r="E1493" i="23"/>
  <c r="O23" i="2"/>
  <c r="O44" i="2"/>
  <c r="J52" i="3"/>
  <c r="J44" i="2"/>
  <c r="E1572" i="23"/>
  <c r="E1583" i="23"/>
  <c r="E1765" i="23"/>
  <c r="L13" i="4"/>
  <c r="D1793" i="23"/>
  <c r="F52" i="4"/>
  <c r="E54" i="23"/>
  <c r="D503" i="19"/>
  <c r="I503" i="19" s="1"/>
  <c r="C503" i="19"/>
  <c r="H503" i="19" s="1"/>
  <c r="S31" i="5"/>
  <c r="E600" i="19"/>
  <c r="C600" i="19"/>
  <c r="H600" i="19" s="1"/>
  <c r="N38" i="8"/>
  <c r="E2232" i="23" s="1"/>
  <c r="D274" i="23"/>
  <c r="R16" i="10"/>
  <c r="I14" i="11"/>
  <c r="D2490" i="23" s="1"/>
  <c r="N32" i="11"/>
  <c r="E2508" i="23" s="1"/>
  <c r="N2073" i="19"/>
  <c r="N2105" i="19"/>
  <c r="N2137" i="19"/>
  <c r="C2109" i="19"/>
  <c r="H2109" i="19" s="1"/>
  <c r="E640" i="23"/>
  <c r="D2141" i="19"/>
  <c r="I2141" i="19" s="1"/>
  <c r="D2109" i="19"/>
  <c r="I2109" i="19" s="1"/>
  <c r="G35" i="28"/>
  <c r="E2020" i="19"/>
  <c r="C1955" i="19"/>
  <c r="H1955" i="19" s="1"/>
  <c r="D1955" i="19"/>
  <c r="I1955" i="19" s="1"/>
  <c r="E589" i="23"/>
  <c r="O18" i="15"/>
  <c r="F18" i="15"/>
  <c r="U18" i="15"/>
  <c r="S18" i="15"/>
  <c r="D2029" i="19"/>
  <c r="I2029" i="19" s="1"/>
  <c r="C1997" i="19"/>
  <c r="H1997" i="19" s="1"/>
  <c r="D1997" i="19"/>
  <c r="I1997" i="19" s="1"/>
  <c r="E520" i="23"/>
  <c r="N27" i="15"/>
  <c r="E554" i="23" s="1"/>
  <c r="G27" i="15"/>
  <c r="U27" i="15"/>
  <c r="N42" i="15"/>
  <c r="E817" i="23" s="1"/>
  <c r="E427" i="23"/>
  <c r="C1770" i="19"/>
  <c r="H1770" i="19" s="1"/>
  <c r="E1770" i="19"/>
  <c r="D1675" i="19"/>
  <c r="I1675" i="19" s="1"/>
  <c r="C1675" i="19"/>
  <c r="H1675" i="19" s="1"/>
  <c r="F28" i="13"/>
  <c r="S28" i="13"/>
  <c r="K44" i="13"/>
  <c r="D444" i="23"/>
  <c r="R45" i="13"/>
  <c r="E2844" i="23"/>
  <c r="C2284" i="19"/>
  <c r="H2284" i="19" s="1"/>
  <c r="D2337" i="19"/>
  <c r="I2337" i="19" s="1"/>
  <c r="D2284" i="19"/>
  <c r="I2284" i="19" s="1"/>
  <c r="G26" i="16"/>
  <c r="D3019" i="23"/>
  <c r="H5" i="18"/>
  <c r="D1170" i="23"/>
  <c r="E1170" i="23"/>
  <c r="D1208" i="23"/>
  <c r="E1208" i="23"/>
  <c r="Q33" i="17"/>
  <c r="D1262" i="23"/>
  <c r="E1262" i="23"/>
  <c r="I67" i="1"/>
  <c r="E1763" i="23"/>
  <c r="L11" i="4"/>
  <c r="E1767" i="23"/>
  <c r="L15" i="4"/>
  <c r="E1773" i="23"/>
  <c r="E1777" i="23"/>
  <c r="L25" i="4"/>
  <c r="D1759" i="23"/>
  <c r="D58" i="23"/>
  <c r="I19" i="6"/>
  <c r="D2025" i="23" s="1"/>
  <c r="B2182" i="23"/>
  <c r="B2229" i="23"/>
  <c r="N1045" i="19"/>
  <c r="B199" i="23"/>
  <c r="N948" i="19"/>
  <c r="N997" i="19"/>
  <c r="N815" i="19"/>
  <c r="N865" i="19"/>
  <c r="B2347" i="23"/>
  <c r="B270" i="23"/>
  <c r="B2394" i="23"/>
  <c r="N1267" i="19"/>
  <c r="N1316" i="19"/>
  <c r="D368" i="23"/>
  <c r="J16" i="12"/>
  <c r="B2437" i="23"/>
  <c r="B313" i="23"/>
  <c r="B2484" i="23"/>
  <c r="N1362" i="19"/>
  <c r="N1410" i="19"/>
  <c r="N1459" i="19"/>
  <c r="E2457" i="23"/>
  <c r="D1479" i="19"/>
  <c r="I1479" i="19" s="1"/>
  <c r="D1431" i="19"/>
  <c r="I1431" i="19" s="1"/>
  <c r="C1431" i="19"/>
  <c r="H1431" i="19" s="1"/>
  <c r="G28" i="11"/>
  <c r="U28" i="11"/>
  <c r="N30" i="11"/>
  <c r="U32" i="11"/>
  <c r="I46" i="11"/>
  <c r="D2522" i="23" s="1"/>
  <c r="N2089" i="19"/>
  <c r="N2057" i="19"/>
  <c r="N2121" i="19"/>
  <c r="D698" i="23"/>
  <c r="J25" i="28"/>
  <c r="C2075" i="19"/>
  <c r="H2075" i="19" s="1"/>
  <c r="G2075" i="19" s="1"/>
  <c r="E706" i="23"/>
  <c r="E2139" i="19"/>
  <c r="D2075" i="19"/>
  <c r="I2075" i="19" s="1"/>
  <c r="U33" i="28"/>
  <c r="O33" i="28"/>
  <c r="F33" i="28"/>
  <c r="E728" i="23"/>
  <c r="C2191" i="19"/>
  <c r="H2191" i="19" s="1"/>
  <c r="D2191" i="19"/>
  <c r="I2191" i="19" s="1"/>
  <c r="D2223" i="19"/>
  <c r="I2223" i="19" s="1"/>
  <c r="G57" i="28"/>
  <c r="E821" i="23"/>
  <c r="S43" i="15"/>
  <c r="O43" i="15"/>
  <c r="E2635" i="23"/>
  <c r="D1760" i="19"/>
  <c r="I1760" i="19" s="1"/>
  <c r="D1713" i="19"/>
  <c r="I1713" i="19" s="1"/>
  <c r="G18" i="13"/>
  <c r="C1713" i="19"/>
  <c r="H1713" i="19" s="1"/>
  <c r="G1713" i="19" s="1"/>
  <c r="B2719" i="23"/>
  <c r="B2767" i="23"/>
  <c r="N1800" i="19"/>
  <c r="N1895" i="19"/>
  <c r="B454" i="23"/>
  <c r="N1848" i="19"/>
  <c r="M44" i="14"/>
  <c r="M48" i="14" s="1"/>
  <c r="E2872" i="23"/>
  <c r="D2362" i="19"/>
  <c r="I2362" i="19" s="1"/>
  <c r="G2362" i="19" s="1"/>
  <c r="D2309" i="19"/>
  <c r="I2309" i="19" s="1"/>
  <c r="C2309" i="19"/>
  <c r="H2309" i="19" s="1"/>
  <c r="G56" i="16"/>
  <c r="O56" i="16"/>
  <c r="N56" i="16"/>
  <c r="M6" i="17"/>
  <c r="E2961" i="23" s="1"/>
  <c r="G6" i="17"/>
  <c r="E1066" i="23"/>
  <c r="D1066" i="23"/>
  <c r="E2447" i="19"/>
  <c r="E1128" i="23"/>
  <c r="D1128" i="23"/>
  <c r="O32" i="18"/>
  <c r="R1190" i="19"/>
  <c r="V1190" i="19" s="1"/>
  <c r="J1190" i="19"/>
  <c r="N1431" i="19"/>
  <c r="E1554" i="23"/>
  <c r="E24" i="23"/>
  <c r="D24" i="23"/>
  <c r="C427" i="19"/>
  <c r="H427" i="19" s="1"/>
  <c r="E427" i="19"/>
  <c r="D427" i="19"/>
  <c r="I427" i="19" s="1"/>
  <c r="S14" i="5"/>
  <c r="N29" i="5"/>
  <c r="E1941" i="23" s="1"/>
  <c r="E60" i="23"/>
  <c r="E606" i="19"/>
  <c r="F37" i="5"/>
  <c r="C606" i="19"/>
  <c r="H606" i="19" s="1"/>
  <c r="U37" i="5"/>
  <c r="S37" i="5"/>
  <c r="C509" i="19"/>
  <c r="H509" i="19" s="1"/>
  <c r="J43" i="5"/>
  <c r="D91" i="23"/>
  <c r="J21" i="6"/>
  <c r="D197" i="23"/>
  <c r="D205" i="23"/>
  <c r="J41" i="8"/>
  <c r="B2128" i="23"/>
  <c r="B2081" i="23"/>
  <c r="B145" i="23"/>
  <c r="N891" i="19"/>
  <c r="D151" i="23"/>
  <c r="J34" i="7"/>
  <c r="R34" i="7"/>
  <c r="B2138" i="23"/>
  <c r="B2091" i="23"/>
  <c r="B155" i="23"/>
  <c r="N901" i="19"/>
  <c r="N853" i="19"/>
  <c r="N804" i="19"/>
  <c r="D266" i="23"/>
  <c r="R8" i="10"/>
  <c r="I18" i="10"/>
  <c r="D2400" i="23" s="1"/>
  <c r="E374" i="23"/>
  <c r="E1619" i="19"/>
  <c r="C1619" i="19"/>
  <c r="H1619" i="19" s="1"/>
  <c r="D1523" i="19"/>
  <c r="I1523" i="19" s="1"/>
  <c r="C1523" i="19"/>
  <c r="H1523" i="19" s="1"/>
  <c r="O22" i="12"/>
  <c r="D2437" i="23"/>
  <c r="I8" i="11"/>
  <c r="D2484" i="23" s="1"/>
  <c r="H44" i="11"/>
  <c r="H48" i="11" s="1"/>
  <c r="N2189" i="19"/>
  <c r="N2221" i="19"/>
  <c r="N2157" i="19"/>
  <c r="I65" i="28"/>
  <c r="D770" i="23" s="1"/>
  <c r="D2034" i="19"/>
  <c r="I2034" i="19" s="1"/>
  <c r="D2002" i="19"/>
  <c r="I2002" i="19" s="1"/>
  <c r="E525" i="23"/>
  <c r="G32" i="15"/>
  <c r="C2002" i="19"/>
  <c r="H2002" i="19" s="1"/>
  <c r="N32" i="15"/>
  <c r="E559" i="23" s="1"/>
  <c r="D420" i="23"/>
  <c r="J21" i="13"/>
  <c r="D2723" i="23"/>
  <c r="I12" i="14"/>
  <c r="D2771" i="23" s="1"/>
  <c r="H16" i="17"/>
  <c r="D2971" i="23" s="1"/>
  <c r="R82" i="19"/>
  <c r="V82" i="19" s="1"/>
  <c r="J82" i="19"/>
  <c r="G82" i="19" s="1"/>
  <c r="J737" i="19"/>
  <c r="R737" i="19"/>
  <c r="V737" i="19" s="1"/>
  <c r="E1222" i="23"/>
  <c r="D1222" i="23"/>
  <c r="E52" i="19"/>
  <c r="E1242" i="23"/>
  <c r="D1242" i="23"/>
  <c r="J31" i="2"/>
  <c r="E1331" i="23" s="1"/>
  <c r="D1478" i="23"/>
  <c r="E1505" i="23"/>
  <c r="O36" i="2"/>
  <c r="D36" i="3"/>
  <c r="J36" i="2"/>
  <c r="E1516" i="23"/>
  <c r="O47" i="2"/>
  <c r="D1525" i="23"/>
  <c r="E1816" i="23"/>
  <c r="E1676" i="23"/>
  <c r="S30" i="2"/>
  <c r="D30" i="4"/>
  <c r="E20" i="23"/>
  <c r="D20" i="23"/>
  <c r="D328" i="19"/>
  <c r="I328" i="19" s="1"/>
  <c r="E328" i="19"/>
  <c r="C328" i="19"/>
  <c r="H328" i="19" s="1"/>
  <c r="J5" i="5"/>
  <c r="B1921" i="23"/>
  <c r="B1874" i="23"/>
  <c r="B32" i="23"/>
  <c r="N578" i="19"/>
  <c r="N481" i="19"/>
  <c r="B1925" i="23"/>
  <c r="B1878" i="23"/>
  <c r="B36" i="23"/>
  <c r="N485" i="19"/>
  <c r="N533" i="19"/>
  <c r="N582" i="19"/>
  <c r="E48" i="23"/>
  <c r="E594" i="19"/>
  <c r="J73" i="17"/>
  <c r="U25" i="5"/>
  <c r="F25" i="5"/>
  <c r="D497" i="19"/>
  <c r="I497" i="19" s="1"/>
  <c r="Z25" i="28"/>
  <c r="C497" i="19"/>
  <c r="H497" i="19" s="1"/>
  <c r="U31" i="5"/>
  <c r="E62" i="23"/>
  <c r="D511" i="19"/>
  <c r="I511" i="19" s="1"/>
  <c r="C511" i="19"/>
  <c r="H511" i="19" s="1"/>
  <c r="G511" i="19" s="1"/>
  <c r="E608" i="19"/>
  <c r="S39" i="5"/>
  <c r="C608" i="19"/>
  <c r="H608" i="19" s="1"/>
  <c r="O39" i="5"/>
  <c r="U39" i="5"/>
  <c r="E1906" i="23"/>
  <c r="D562" i="19"/>
  <c r="I562" i="19" s="1"/>
  <c r="D610" i="19"/>
  <c r="I610" i="19" s="1"/>
  <c r="G41" i="5"/>
  <c r="C562" i="19"/>
  <c r="H562" i="19" s="1"/>
  <c r="N41" i="5"/>
  <c r="E1953" i="23" s="1"/>
  <c r="N15" i="6"/>
  <c r="E2021" i="23" s="1"/>
  <c r="N33" i="6"/>
  <c r="E2039" i="23" s="1"/>
  <c r="E2005" i="23"/>
  <c r="E1595" i="19"/>
  <c r="G46" i="6"/>
  <c r="E714" i="19"/>
  <c r="C714" i="19"/>
  <c r="H714" i="19" s="1"/>
  <c r="D714" i="19"/>
  <c r="I714" i="19" s="1"/>
  <c r="N46" i="6"/>
  <c r="D762" i="19"/>
  <c r="I762" i="19" s="1"/>
  <c r="S5" i="8"/>
  <c r="D2176" i="23"/>
  <c r="T29" i="8"/>
  <c r="U4" i="7"/>
  <c r="E134" i="23"/>
  <c r="C783" i="19"/>
  <c r="H783" i="19" s="1"/>
  <c r="D783" i="19"/>
  <c r="I783" i="19" s="1"/>
  <c r="O17" i="7"/>
  <c r="F17" i="7"/>
  <c r="C880" i="19"/>
  <c r="H880" i="19" s="1"/>
  <c r="B2098" i="23"/>
  <c r="B2145" i="23"/>
  <c r="B162" i="23"/>
  <c r="N860" i="19"/>
  <c r="N908" i="19"/>
  <c r="J4" i="10"/>
  <c r="E2539" i="23"/>
  <c r="C1565" i="19"/>
  <c r="H1565" i="19" s="1"/>
  <c r="D1565" i="19"/>
  <c r="I1565" i="19" s="1"/>
  <c r="D1613" i="19"/>
  <c r="I1613" i="19" s="1"/>
  <c r="U16" i="12"/>
  <c r="I25" i="12"/>
  <c r="D2595" i="23" s="1"/>
  <c r="E2553" i="23"/>
  <c r="D1579" i="19"/>
  <c r="I1579" i="19" s="1"/>
  <c r="D1627" i="19"/>
  <c r="I1627" i="19" s="1"/>
  <c r="C1579" i="19"/>
  <c r="H1579" i="19" s="1"/>
  <c r="G1579" i="19" s="1"/>
  <c r="B2611" i="23"/>
  <c r="B393" i="23"/>
  <c r="N1638" i="19"/>
  <c r="N1590" i="19"/>
  <c r="B2564" i="23"/>
  <c r="N1542" i="19"/>
  <c r="D2266" i="23"/>
  <c r="I25" i="9"/>
  <c r="D2313" i="23" s="1"/>
  <c r="E2437" i="23"/>
  <c r="C1410" i="19"/>
  <c r="H1410" i="19" s="1"/>
  <c r="D1410" i="19"/>
  <c r="I1410" i="19" s="1"/>
  <c r="D1459" i="19"/>
  <c r="I1459" i="19" s="1"/>
  <c r="N8" i="11"/>
  <c r="E2484" i="23" s="1"/>
  <c r="E2464" i="23"/>
  <c r="D1438" i="19"/>
  <c r="I1438" i="19" s="1"/>
  <c r="D1486" i="19"/>
  <c r="I1486" i="19" s="1"/>
  <c r="C1438" i="19"/>
  <c r="H1438" i="19" s="1"/>
  <c r="N35" i="11"/>
  <c r="E2511" i="23" s="1"/>
  <c r="U35" i="11"/>
  <c r="E785" i="23"/>
  <c r="D2148" i="19"/>
  <c r="I2148" i="19" s="1"/>
  <c r="C2148" i="19"/>
  <c r="H2148" i="19" s="1"/>
  <c r="E2212" i="19"/>
  <c r="O46" i="28"/>
  <c r="F46" i="28"/>
  <c r="D807" i="23"/>
  <c r="J68" i="28"/>
  <c r="D528" i="23"/>
  <c r="I35" i="15"/>
  <c r="D562" i="23" s="1"/>
  <c r="B2648" i="23"/>
  <c r="B2695" i="23"/>
  <c r="B430" i="23"/>
  <c r="N1678" i="19"/>
  <c r="N1773" i="19"/>
  <c r="N1726" i="19"/>
  <c r="B2778" i="23"/>
  <c r="B465" i="23"/>
  <c r="B2730" i="23"/>
  <c r="N1906" i="19"/>
  <c r="N1859" i="19"/>
  <c r="N1811" i="19"/>
  <c r="D2751" i="23"/>
  <c r="T40" i="14"/>
  <c r="I40" i="14"/>
  <c r="D2799" i="23" s="1"/>
  <c r="E900" i="23"/>
  <c r="C2356" i="19"/>
  <c r="H2356" i="19" s="1"/>
  <c r="C2271" i="19"/>
  <c r="H2271" i="19" s="1"/>
  <c r="E2356" i="19"/>
  <c r="D2271" i="19"/>
  <c r="I2271" i="19" s="1"/>
  <c r="F47" i="16"/>
  <c r="D900" i="23" s="1"/>
  <c r="D919" i="23"/>
  <c r="E919" i="23"/>
  <c r="C2388" i="19"/>
  <c r="H2388" i="19" s="1"/>
  <c r="G2388" i="19" s="1"/>
  <c r="D2405" i="19"/>
  <c r="I2405" i="19" s="1"/>
  <c r="C2405" i="19"/>
  <c r="H2405" i="19" s="1"/>
  <c r="G2405" i="19" s="1"/>
  <c r="D2388" i="19"/>
  <c r="I2388" i="19" s="1"/>
  <c r="G25" i="1"/>
  <c r="D1011" i="23"/>
  <c r="D2528" i="19"/>
  <c r="I2528" i="19" s="1"/>
  <c r="G2528" i="19" s="1"/>
  <c r="E1011" i="23"/>
  <c r="E3027" i="23"/>
  <c r="O15" i="18"/>
  <c r="E1106" i="23"/>
  <c r="L26" i="18"/>
  <c r="E1163" i="23"/>
  <c r="D1163" i="23"/>
  <c r="D2577" i="19"/>
  <c r="I2577" i="19" s="1"/>
  <c r="J580" i="19"/>
  <c r="R580" i="19"/>
  <c r="V580" i="19" s="1"/>
  <c r="D795" i="19"/>
  <c r="I795" i="19" s="1"/>
  <c r="J888" i="19"/>
  <c r="R888" i="19"/>
  <c r="V888" i="19" s="1"/>
  <c r="C1372" i="19"/>
  <c r="H1372" i="19" s="1"/>
  <c r="G1372" i="19" s="1"/>
  <c r="C1609" i="19"/>
  <c r="H1609" i="19" s="1"/>
  <c r="J41" i="19"/>
  <c r="G41" i="19" s="1"/>
  <c r="R41" i="19"/>
  <c r="V41" i="19" s="1"/>
  <c r="J23" i="2"/>
  <c r="E1323" i="23" s="1"/>
  <c r="D1402" i="23"/>
  <c r="D1602" i="23"/>
  <c r="C227" i="19"/>
  <c r="H227" i="19" s="1"/>
  <c r="G227" i="19" s="1"/>
  <c r="E1550" i="23"/>
  <c r="H21" i="3"/>
  <c r="M21" i="2" s="1"/>
  <c r="E1566" i="23"/>
  <c r="O38" i="2"/>
  <c r="E1514" i="23"/>
  <c r="O45" i="2"/>
  <c r="D45" i="3"/>
  <c r="E1820" i="23"/>
  <c r="D1682" i="23"/>
  <c r="D25" i="23"/>
  <c r="E25" i="23"/>
  <c r="D428" i="19"/>
  <c r="I428" i="19" s="1"/>
  <c r="E428" i="19"/>
  <c r="E28" i="23"/>
  <c r="E574" i="19"/>
  <c r="S5" i="5"/>
  <c r="D477" i="19"/>
  <c r="I477" i="19" s="1"/>
  <c r="C477" i="19"/>
  <c r="H477" i="19" s="1"/>
  <c r="H19" i="5"/>
  <c r="B1940" i="23"/>
  <c r="B51" i="23"/>
  <c r="B1893" i="23"/>
  <c r="N549" i="19"/>
  <c r="N500" i="19"/>
  <c r="N597" i="19"/>
  <c r="B1942" i="23"/>
  <c r="B1895" i="23"/>
  <c r="B53" i="23"/>
  <c r="N599" i="19"/>
  <c r="N551" i="19"/>
  <c r="N502" i="19"/>
  <c r="E1904" i="23"/>
  <c r="D560" i="19"/>
  <c r="I560" i="19" s="1"/>
  <c r="C560" i="19"/>
  <c r="H560" i="19" s="1"/>
  <c r="G560" i="19" s="1"/>
  <c r="D608" i="19"/>
  <c r="I608" i="19" s="1"/>
  <c r="N39" i="5"/>
  <c r="E1951" i="23" s="1"/>
  <c r="G39" i="5"/>
  <c r="T39" i="5" s="1"/>
  <c r="S47" i="5"/>
  <c r="F12" i="6"/>
  <c r="O17" i="6"/>
  <c r="U25" i="6"/>
  <c r="E1024" i="19"/>
  <c r="C1024" i="19"/>
  <c r="H1024" i="19" s="1"/>
  <c r="D927" i="19"/>
  <c r="I927" i="19" s="1"/>
  <c r="E178" i="23"/>
  <c r="F14" i="8"/>
  <c r="U14" i="8"/>
  <c r="C927" i="19"/>
  <c r="H927" i="19" s="1"/>
  <c r="B2167" i="23"/>
  <c r="B2214" i="23"/>
  <c r="B184" i="23"/>
  <c r="N1030" i="19"/>
  <c r="N933" i="19"/>
  <c r="N981" i="19"/>
  <c r="I31" i="8"/>
  <c r="D2225" i="23" s="1"/>
  <c r="I41" i="8"/>
  <c r="D2235" i="23" s="1"/>
  <c r="D2060" i="23"/>
  <c r="I7" i="7"/>
  <c r="D2107" i="23" s="1"/>
  <c r="I11" i="7"/>
  <c r="D2111" i="23" s="1"/>
  <c r="E2070" i="23"/>
  <c r="D831" i="19"/>
  <c r="C831" i="19"/>
  <c r="H831" i="19" s="1"/>
  <c r="N17" i="7"/>
  <c r="E2117" i="23" s="1"/>
  <c r="G17" i="7"/>
  <c r="D880" i="19"/>
  <c r="I880" i="19" s="1"/>
  <c r="H19" i="7"/>
  <c r="H23" i="7" s="1"/>
  <c r="H27" i="7" s="1"/>
  <c r="E2125" i="23"/>
  <c r="E2083" i="23"/>
  <c r="D845" i="19"/>
  <c r="I845" i="19" s="1"/>
  <c r="C845" i="19"/>
  <c r="H845" i="19" s="1"/>
  <c r="E2095" i="23"/>
  <c r="C857" i="19"/>
  <c r="H857" i="19" s="1"/>
  <c r="G857" i="19" s="1"/>
  <c r="N42" i="7"/>
  <c r="E2142" i="23" s="1"/>
  <c r="C1308" i="19"/>
  <c r="H1308" i="19" s="1"/>
  <c r="E262" i="23"/>
  <c r="C1211" i="19"/>
  <c r="H1211" i="19" s="1"/>
  <c r="D1211" i="19"/>
  <c r="I1211" i="19" s="1"/>
  <c r="E1308" i="19"/>
  <c r="K23" i="10"/>
  <c r="O4" i="10"/>
  <c r="U4" i="10"/>
  <c r="S4" i="10"/>
  <c r="J8" i="10"/>
  <c r="E270" i="23"/>
  <c r="E1316" i="19"/>
  <c r="C1219" i="19"/>
  <c r="H1219" i="19" s="1"/>
  <c r="C1316" i="19"/>
  <c r="H1316" i="19" s="1"/>
  <c r="O12" i="10"/>
  <c r="F12" i="10"/>
  <c r="E274" i="23"/>
  <c r="E1320" i="19"/>
  <c r="C1223" i="19"/>
  <c r="H1223" i="19" s="1"/>
  <c r="C1320" i="19"/>
  <c r="H1320" i="19" s="1"/>
  <c r="D1223" i="19"/>
  <c r="I1223" i="19" s="1"/>
  <c r="O16" i="10"/>
  <c r="S16" i="10"/>
  <c r="C1227" i="19"/>
  <c r="H1227" i="19" s="1"/>
  <c r="G1227" i="19" s="1"/>
  <c r="E278" i="23"/>
  <c r="O20" i="10"/>
  <c r="U20" i="10"/>
  <c r="S20" i="10"/>
  <c r="E293" i="23"/>
  <c r="E1339" i="19"/>
  <c r="C1339" i="19"/>
  <c r="H1339" i="19" s="1"/>
  <c r="C1242" i="19"/>
  <c r="H1242" i="19" s="1"/>
  <c r="F35" i="10"/>
  <c r="U35" i="10"/>
  <c r="D1242" i="19"/>
  <c r="I1242" i="19" s="1"/>
  <c r="S35" i="10"/>
  <c r="N37" i="10"/>
  <c r="E2419" i="23" s="1"/>
  <c r="B2580" i="23"/>
  <c r="B362" i="23"/>
  <c r="B2533" i="23"/>
  <c r="N1559" i="19"/>
  <c r="N1607" i="19"/>
  <c r="N1511" i="19"/>
  <c r="S22" i="12"/>
  <c r="E2551" i="23"/>
  <c r="C1577" i="19"/>
  <c r="H1577" i="19" s="1"/>
  <c r="D1577" i="19"/>
  <c r="I1577" i="19" s="1"/>
  <c r="D1625" i="19"/>
  <c r="I1625" i="19" s="1"/>
  <c r="G28" i="12"/>
  <c r="D393" i="23"/>
  <c r="T41" i="12"/>
  <c r="R41" i="12"/>
  <c r="J41" i="12"/>
  <c r="O46" i="12"/>
  <c r="I10" i="9"/>
  <c r="D2298" i="23" s="1"/>
  <c r="D2450" i="23"/>
  <c r="I21" i="11"/>
  <c r="D2497" i="23" s="1"/>
  <c r="E347" i="23"/>
  <c r="D1396" i="19"/>
  <c r="I1396" i="19" s="1"/>
  <c r="C1493" i="19"/>
  <c r="H1493" i="19" s="1"/>
  <c r="E1493" i="19"/>
  <c r="C1396" i="19"/>
  <c r="H1396" i="19" s="1"/>
  <c r="F42" i="11"/>
  <c r="S42" i="11"/>
  <c r="U42" i="11"/>
  <c r="E683" i="23"/>
  <c r="E2116" i="19"/>
  <c r="D2052" i="19"/>
  <c r="I2052" i="19" s="1"/>
  <c r="C2052" i="19"/>
  <c r="H2052" i="19" s="1"/>
  <c r="S10" i="28"/>
  <c r="O10" i="28"/>
  <c r="U10" i="28"/>
  <c r="C2099" i="19"/>
  <c r="H2099" i="19" s="1"/>
  <c r="D2099" i="19"/>
  <c r="I2099" i="19" s="1"/>
  <c r="D2131" i="19"/>
  <c r="I2131" i="19" s="1"/>
  <c r="E630" i="23"/>
  <c r="N25" i="28"/>
  <c r="E664" i="23" s="1"/>
  <c r="U35" i="28"/>
  <c r="E780" i="23"/>
  <c r="C2143" i="19"/>
  <c r="H2143" i="19" s="1"/>
  <c r="D2143" i="19"/>
  <c r="I2143" i="19" s="1"/>
  <c r="E2207" i="19"/>
  <c r="O41" i="28"/>
  <c r="K47" i="15"/>
  <c r="F41" i="28"/>
  <c r="D721" i="23"/>
  <c r="I50" i="28"/>
  <c r="D755" i="23" s="1"/>
  <c r="E726" i="23"/>
  <c r="D2221" i="19"/>
  <c r="I2221" i="19" s="1"/>
  <c r="D2189" i="19"/>
  <c r="I2189" i="19" s="1"/>
  <c r="C2189" i="19"/>
  <c r="H2189" i="19" s="1"/>
  <c r="G55" i="28"/>
  <c r="D734" i="23"/>
  <c r="I63" i="28"/>
  <c r="D768" i="23" s="1"/>
  <c r="D585" i="23"/>
  <c r="D516" i="23"/>
  <c r="I23" i="15"/>
  <c r="D550" i="23" s="1"/>
  <c r="D425" i="23"/>
  <c r="J26" i="13"/>
  <c r="R26" i="13"/>
  <c r="E2732" i="23"/>
  <c r="C1861" i="19"/>
  <c r="H1861" i="19" s="1"/>
  <c r="D1908" i="19"/>
  <c r="I1908" i="19" s="1"/>
  <c r="D1861" i="19"/>
  <c r="I1861" i="19" s="1"/>
  <c r="N21" i="14"/>
  <c r="E2780" i="23" s="1"/>
  <c r="G21" i="14"/>
  <c r="N37" i="14"/>
  <c r="E2796" i="23" s="1"/>
  <c r="O48" i="17"/>
  <c r="J326" i="19"/>
  <c r="D644" i="19"/>
  <c r="I644" i="19" s="1"/>
  <c r="E746" i="19"/>
  <c r="C943" i="19"/>
  <c r="H943" i="19" s="1"/>
  <c r="C2059" i="19"/>
  <c r="H2059" i="19" s="1"/>
  <c r="E1284" i="23"/>
  <c r="D1284" i="23"/>
  <c r="E1296" i="23"/>
  <c r="D1296" i="23"/>
  <c r="E1257" i="23"/>
  <c r="D1257" i="23"/>
  <c r="E62" i="19"/>
  <c r="R62" i="19" s="1"/>
  <c r="V62" i="19" s="1"/>
  <c r="M42" i="2"/>
  <c r="O50" i="2"/>
  <c r="D1600" i="23"/>
  <c r="C225" i="19"/>
  <c r="H225" i="19" s="1"/>
  <c r="G225" i="19" s="1"/>
  <c r="E1496" i="23"/>
  <c r="D26" i="3"/>
  <c r="E1525" i="23"/>
  <c r="J56" i="2"/>
  <c r="E1356" i="23" s="1"/>
  <c r="E1664" i="23"/>
  <c r="D18" i="4"/>
  <c r="D1684" i="23"/>
  <c r="E1843" i="23"/>
  <c r="R52" i="4"/>
  <c r="E1872" i="23"/>
  <c r="D576" i="19"/>
  <c r="I576" i="19" s="1"/>
  <c r="D527" i="19"/>
  <c r="I527" i="19" s="1"/>
  <c r="G527" i="19" s="1"/>
  <c r="G7" i="5"/>
  <c r="R50" i="5"/>
  <c r="D77" i="23"/>
  <c r="T7" i="6"/>
  <c r="J7" i="6"/>
  <c r="B1983" i="23"/>
  <c r="B2030" i="23"/>
  <c r="B94" i="23"/>
  <c r="N691" i="19"/>
  <c r="O46" i="6"/>
  <c r="N916" i="19"/>
  <c r="N1061" i="19"/>
  <c r="N964" i="19"/>
  <c r="N915" i="19"/>
  <c r="E174" i="23"/>
  <c r="C1020" i="19"/>
  <c r="H1020" i="19" s="1"/>
  <c r="E1020" i="19"/>
  <c r="C923" i="19"/>
  <c r="H923" i="19" s="1"/>
  <c r="D923" i="19"/>
  <c r="I923" i="19" s="1"/>
  <c r="F10" i="8"/>
  <c r="U10" i="8"/>
  <c r="B2193" i="23"/>
  <c r="B210" i="23"/>
  <c r="B2240" i="23"/>
  <c r="N1008" i="19"/>
  <c r="N1009" i="19"/>
  <c r="N959" i="19"/>
  <c r="N1056" i="19"/>
  <c r="E126" i="23"/>
  <c r="E872" i="19"/>
  <c r="C775" i="19"/>
  <c r="H775" i="19" s="1"/>
  <c r="D775" i="19"/>
  <c r="I775" i="19" s="1"/>
  <c r="C872" i="19"/>
  <c r="H872" i="19" s="1"/>
  <c r="O9" i="7"/>
  <c r="F9" i="7"/>
  <c r="U9" i="7"/>
  <c r="S9" i="7"/>
  <c r="E128" i="23"/>
  <c r="E874" i="19"/>
  <c r="C777" i="19"/>
  <c r="H777" i="19" s="1"/>
  <c r="G777" i="19" s="1"/>
  <c r="C874" i="19"/>
  <c r="H874" i="19" s="1"/>
  <c r="F11" i="7"/>
  <c r="S11" i="7"/>
  <c r="E138" i="23"/>
  <c r="C884" i="19"/>
  <c r="H884" i="19" s="1"/>
  <c r="D787" i="19"/>
  <c r="I787" i="19" s="1"/>
  <c r="C787" i="19"/>
  <c r="H787" i="19" s="1"/>
  <c r="O21" i="7"/>
  <c r="F21" i="7"/>
  <c r="S21" i="7"/>
  <c r="H34" i="7"/>
  <c r="I34" i="7" s="1"/>
  <c r="D2134" i="23" s="1"/>
  <c r="D800" i="19"/>
  <c r="I800" i="19" s="1"/>
  <c r="E2339" i="23"/>
  <c r="D1259" i="19"/>
  <c r="I1259" i="19" s="1"/>
  <c r="C1259" i="19"/>
  <c r="H1259" i="19" s="1"/>
  <c r="L23" i="10"/>
  <c r="N4" i="10"/>
  <c r="B2364" i="23"/>
  <c r="B2411" i="23"/>
  <c r="N1333" i="19"/>
  <c r="B287" i="23"/>
  <c r="N1236" i="19"/>
  <c r="N1285" i="19"/>
  <c r="E2370" i="23"/>
  <c r="D1339" i="19"/>
  <c r="D1291" i="19"/>
  <c r="I1291" i="19" s="1"/>
  <c r="C1291" i="19"/>
  <c r="H1291" i="19" s="1"/>
  <c r="G35" i="10"/>
  <c r="N35" i="10"/>
  <c r="E2417" i="23" s="1"/>
  <c r="G4" i="12"/>
  <c r="D362" i="23"/>
  <c r="J10" i="12"/>
  <c r="R10" i="12"/>
  <c r="R18" i="12"/>
  <c r="N30" i="12"/>
  <c r="E2600" i="23" s="1"/>
  <c r="R34" i="12"/>
  <c r="D2564" i="23"/>
  <c r="I41" i="12"/>
  <c r="D2611" i="23" s="1"/>
  <c r="F19" i="9"/>
  <c r="E2281" i="23"/>
  <c r="D1197" i="19"/>
  <c r="I1197" i="19" s="1"/>
  <c r="C1149" i="19"/>
  <c r="H1149" i="19" s="1"/>
  <c r="G40" i="9"/>
  <c r="D1149" i="19"/>
  <c r="I1149" i="19" s="1"/>
  <c r="N40" i="9"/>
  <c r="E2328" i="23" s="1"/>
  <c r="B2495" i="23"/>
  <c r="B324" i="23"/>
  <c r="B2448" i="23"/>
  <c r="N1470" i="19"/>
  <c r="N1421" i="19"/>
  <c r="N1373" i="19"/>
  <c r="L44" i="11"/>
  <c r="N2097" i="19"/>
  <c r="N2129" i="19"/>
  <c r="N2065" i="19"/>
  <c r="H51" i="15"/>
  <c r="D797" i="23"/>
  <c r="J58" i="28"/>
  <c r="J23" i="15"/>
  <c r="D599" i="23"/>
  <c r="R28" i="15"/>
  <c r="D403" i="23"/>
  <c r="R4" i="13"/>
  <c r="J4" i="13"/>
  <c r="U18" i="13"/>
  <c r="U28" i="13"/>
  <c r="E2664" i="23"/>
  <c r="D1789" i="19"/>
  <c r="I1789" i="19" s="1"/>
  <c r="D1742" i="19"/>
  <c r="C1742" i="19"/>
  <c r="H1742" i="19" s="1"/>
  <c r="G47" i="13"/>
  <c r="E2716" i="23"/>
  <c r="D1845" i="19"/>
  <c r="I1845" i="19" s="1"/>
  <c r="G1845" i="19" s="1"/>
  <c r="D1892" i="19"/>
  <c r="I1892" i="19" s="1"/>
  <c r="G5" i="14"/>
  <c r="L23" i="14"/>
  <c r="D2730" i="23"/>
  <c r="I19" i="14"/>
  <c r="D2778" i="23" s="1"/>
  <c r="E2756" i="23"/>
  <c r="D1932" i="19"/>
  <c r="I1932" i="19" s="1"/>
  <c r="C1885" i="19"/>
  <c r="H1885" i="19" s="1"/>
  <c r="D1885" i="19"/>
  <c r="I1885" i="19" s="1"/>
  <c r="N45" i="14"/>
  <c r="E2804" i="23" s="1"/>
  <c r="G45" i="14"/>
  <c r="E921" i="23"/>
  <c r="D921" i="23"/>
  <c r="D2389" i="19"/>
  <c r="I2389" i="19" s="1"/>
  <c r="C2389" i="19"/>
  <c r="H2389" i="19" s="1"/>
  <c r="D2406" i="19"/>
  <c r="I2406" i="19" s="1"/>
  <c r="C2406" i="19"/>
  <c r="H2406" i="19" s="1"/>
  <c r="D1090" i="23"/>
  <c r="H79" i="17"/>
  <c r="D1102" i="23" s="1"/>
  <c r="L24" i="18"/>
  <c r="E45" i="18"/>
  <c r="J100" i="19"/>
  <c r="G100" i="19" s="1"/>
  <c r="C849" i="19"/>
  <c r="H849" i="19" s="1"/>
  <c r="D1155" i="19"/>
  <c r="I1155" i="19" s="1"/>
  <c r="E1253" i="19"/>
  <c r="N2686" i="23"/>
  <c r="M2686" i="23"/>
  <c r="E1224" i="23"/>
  <c r="D1224" i="23"/>
  <c r="E1721" i="23"/>
  <c r="H22" i="4"/>
  <c r="E1670" i="23"/>
  <c r="S24" i="2"/>
  <c r="N8" i="6"/>
  <c r="E2014" i="23" s="1"/>
  <c r="R21" i="6"/>
  <c r="D96" i="23"/>
  <c r="T26" i="6"/>
  <c r="J26" i="6"/>
  <c r="R26" i="6"/>
  <c r="U43" i="6"/>
  <c r="N718" i="19"/>
  <c r="N668" i="19"/>
  <c r="D172" i="23"/>
  <c r="R8" i="8"/>
  <c r="J8" i="8"/>
  <c r="D2159" i="23"/>
  <c r="I12" i="8"/>
  <c r="D2206" i="23" s="1"/>
  <c r="D2163" i="23"/>
  <c r="I16" i="8"/>
  <c r="D2210" i="23" s="1"/>
  <c r="E182" i="23"/>
  <c r="E1028" i="19"/>
  <c r="C1028" i="19"/>
  <c r="H1028" i="19" s="1"/>
  <c r="C931" i="19"/>
  <c r="H931" i="19" s="1"/>
  <c r="F18" i="8"/>
  <c r="D931" i="19"/>
  <c r="I931" i="19" s="1"/>
  <c r="U18" i="8"/>
  <c r="O18" i="8"/>
  <c r="E207" i="23"/>
  <c r="E1053" i="19"/>
  <c r="C1053" i="19"/>
  <c r="H1053" i="19" s="1"/>
  <c r="O43" i="8"/>
  <c r="F43" i="8"/>
  <c r="D166" i="23"/>
  <c r="R50" i="7"/>
  <c r="I25" i="10"/>
  <c r="D2407" i="23" s="1"/>
  <c r="E2529" i="23"/>
  <c r="D1555" i="19"/>
  <c r="I1555" i="19" s="1"/>
  <c r="D1603" i="19"/>
  <c r="I1603" i="19" s="1"/>
  <c r="N6" i="12"/>
  <c r="G6" i="12"/>
  <c r="C1555" i="19"/>
  <c r="H1555" i="19" s="1"/>
  <c r="U6" i="12"/>
  <c r="U22" i="12"/>
  <c r="N28" i="12"/>
  <c r="E2562" i="23"/>
  <c r="D1636" i="19"/>
  <c r="I1636" i="19" s="1"/>
  <c r="D1588" i="19"/>
  <c r="I1588" i="19" s="1"/>
  <c r="C1588" i="19"/>
  <c r="H1588" i="19" s="1"/>
  <c r="G39" i="12"/>
  <c r="E393" i="23"/>
  <c r="C1542" i="19"/>
  <c r="H1542" i="19" s="1"/>
  <c r="C1638" i="19"/>
  <c r="H1638" i="19" s="1"/>
  <c r="E1638" i="19"/>
  <c r="D1542" i="19"/>
  <c r="I1542" i="19" s="1"/>
  <c r="O41" i="12"/>
  <c r="U41" i="12"/>
  <c r="S41" i="12"/>
  <c r="I4" i="9"/>
  <c r="E219" i="23"/>
  <c r="E1165" i="19"/>
  <c r="D1068" i="19"/>
  <c r="I1068" i="19" s="1"/>
  <c r="C1068" i="19"/>
  <c r="H1068" i="19" s="1"/>
  <c r="G1068" i="19" s="1"/>
  <c r="C1165" i="19"/>
  <c r="H1165" i="19" s="1"/>
  <c r="U8" i="9"/>
  <c r="S8" i="9"/>
  <c r="E1169" i="19"/>
  <c r="E223" i="23"/>
  <c r="C1169" i="19"/>
  <c r="H1169" i="19" s="1"/>
  <c r="O12" i="9"/>
  <c r="C1072" i="19"/>
  <c r="H1072" i="19" s="1"/>
  <c r="G1072" i="19" s="1"/>
  <c r="U12" i="9"/>
  <c r="F32" i="9"/>
  <c r="U8" i="11"/>
  <c r="D2442" i="23"/>
  <c r="T13" i="11"/>
  <c r="I13" i="11"/>
  <c r="D2489" i="23" s="1"/>
  <c r="D324" i="23"/>
  <c r="J19" i="11"/>
  <c r="B2514" i="23"/>
  <c r="B2467" i="23"/>
  <c r="B343" i="23"/>
  <c r="N1489" i="19"/>
  <c r="N1392" i="19"/>
  <c r="N1441" i="19"/>
  <c r="U20" i="28"/>
  <c r="D707" i="23"/>
  <c r="T34" i="28"/>
  <c r="R34" i="28"/>
  <c r="J34" i="28"/>
  <c r="N2149" i="19"/>
  <c r="N2181" i="19"/>
  <c r="N2213" i="19"/>
  <c r="N55" i="28"/>
  <c r="E760" i="23" s="1"/>
  <c r="D802" i="23"/>
  <c r="J63" i="28"/>
  <c r="C1951" i="19"/>
  <c r="H1951" i="19" s="1"/>
  <c r="D1951" i="19"/>
  <c r="I1951" i="19" s="1"/>
  <c r="E2016" i="19"/>
  <c r="O14" i="15"/>
  <c r="U14" i="15"/>
  <c r="S14" i="15"/>
  <c r="K36" i="15"/>
  <c r="E590" i="23"/>
  <c r="E2021" i="19"/>
  <c r="D1956" i="19"/>
  <c r="I1956" i="19" s="1"/>
  <c r="C1956" i="19"/>
  <c r="H1956" i="19" s="1"/>
  <c r="O19" i="15"/>
  <c r="F19" i="15"/>
  <c r="E594" i="23"/>
  <c r="D1960" i="19"/>
  <c r="I1960" i="19" s="1"/>
  <c r="E2025" i="19"/>
  <c r="C1960" i="19"/>
  <c r="H1960" i="19" s="1"/>
  <c r="O23" i="15"/>
  <c r="B2683" i="23"/>
  <c r="B418" i="23"/>
  <c r="B2636" i="23"/>
  <c r="N1714" i="19"/>
  <c r="N1761" i="19"/>
  <c r="N1666" i="19"/>
  <c r="E2643" i="23"/>
  <c r="D1721" i="19"/>
  <c r="I1721" i="19" s="1"/>
  <c r="C1721" i="19"/>
  <c r="H1721" i="19" s="1"/>
  <c r="G1721" i="19" s="1"/>
  <c r="D1768" i="19"/>
  <c r="I1768" i="19" s="1"/>
  <c r="G26" i="13"/>
  <c r="N26" i="13"/>
  <c r="E2690" i="23" s="1"/>
  <c r="M23" i="14"/>
  <c r="M27" i="14" s="1"/>
  <c r="H5" i="14"/>
  <c r="E2742" i="23"/>
  <c r="D1918" i="19"/>
  <c r="I1918" i="19" s="1"/>
  <c r="D1871" i="19"/>
  <c r="I1871" i="19" s="1"/>
  <c r="C1871" i="19"/>
  <c r="H1871" i="19" s="1"/>
  <c r="N31" i="14"/>
  <c r="E2790" i="23" s="1"/>
  <c r="G31" i="14"/>
  <c r="N37" i="16"/>
  <c r="E2906" i="23" s="1"/>
  <c r="N47" i="16"/>
  <c r="E2916" i="23" s="1"/>
  <c r="D1183" i="23"/>
  <c r="K52" i="18"/>
  <c r="D1189" i="23" s="1"/>
  <c r="D517" i="19"/>
  <c r="I517" i="19" s="1"/>
  <c r="G517" i="19" s="1"/>
  <c r="N788" i="19"/>
  <c r="R884" i="19"/>
  <c r="V884" i="19" s="1"/>
  <c r="D1308" i="19"/>
  <c r="I1308" i="19" s="1"/>
  <c r="J1350" i="19"/>
  <c r="E1276" i="23"/>
  <c r="D1276" i="23"/>
  <c r="E87" i="19"/>
  <c r="S42" i="2"/>
  <c r="H8" i="3"/>
  <c r="H26" i="3"/>
  <c r="L22" i="4"/>
  <c r="E1723" i="23"/>
  <c r="H24" i="4"/>
  <c r="D1694" i="23"/>
  <c r="E1698" i="23"/>
  <c r="D55" i="4"/>
  <c r="S55" i="2"/>
  <c r="E40" i="23"/>
  <c r="E586" i="19"/>
  <c r="C586" i="19"/>
  <c r="H586" i="19" s="1"/>
  <c r="S17" i="5"/>
  <c r="O17" i="5"/>
  <c r="C489" i="19"/>
  <c r="H489" i="19" s="1"/>
  <c r="F17" i="5"/>
  <c r="H30" i="5"/>
  <c r="I30" i="5" s="1"/>
  <c r="D1942" i="23" s="1"/>
  <c r="F46" i="5"/>
  <c r="B2151" i="23"/>
  <c r="B2198" i="23"/>
  <c r="B168" i="23"/>
  <c r="N1014" i="19"/>
  <c r="N917" i="19"/>
  <c r="N965" i="19"/>
  <c r="G8" i="8"/>
  <c r="T8" i="8" s="1"/>
  <c r="E180" i="23"/>
  <c r="D929" i="19"/>
  <c r="I929" i="19" s="1"/>
  <c r="E1026" i="19"/>
  <c r="C1026" i="19"/>
  <c r="H1026" i="19" s="1"/>
  <c r="S16" i="8"/>
  <c r="O16" i="8"/>
  <c r="C929" i="19"/>
  <c r="H929" i="19" s="1"/>
  <c r="G929" i="19" s="1"/>
  <c r="U16" i="8"/>
  <c r="E2167" i="23"/>
  <c r="C981" i="19"/>
  <c r="H981" i="19" s="1"/>
  <c r="G981" i="19" s="1"/>
  <c r="G20" i="8"/>
  <c r="E189" i="23"/>
  <c r="E938" i="19"/>
  <c r="E1035" i="19"/>
  <c r="C938" i="19"/>
  <c r="H938" i="19" s="1"/>
  <c r="D938" i="19"/>
  <c r="I938" i="19" s="1"/>
  <c r="C1035" i="19"/>
  <c r="H1035" i="19" s="1"/>
  <c r="F25" i="8"/>
  <c r="U25" i="8"/>
  <c r="E2190" i="23"/>
  <c r="C1005" i="19"/>
  <c r="H1005" i="19" s="1"/>
  <c r="G1005" i="19" s="1"/>
  <c r="N43" i="8"/>
  <c r="E2237" i="23" s="1"/>
  <c r="B2124" i="23"/>
  <c r="B141" i="23"/>
  <c r="B2077" i="23"/>
  <c r="N838" i="19"/>
  <c r="N790" i="19"/>
  <c r="R42" i="7"/>
  <c r="T16" i="10"/>
  <c r="R18" i="10"/>
  <c r="E2368" i="23"/>
  <c r="C1289" i="19"/>
  <c r="H1289" i="19" s="1"/>
  <c r="G1289" i="19" s="1"/>
  <c r="D1337" i="19"/>
  <c r="I1337" i="19" s="1"/>
  <c r="U33" i="10"/>
  <c r="N33" i="10"/>
  <c r="E2415" i="23" s="1"/>
  <c r="G33" i="10"/>
  <c r="N14" i="12"/>
  <c r="E2584" i="23" s="1"/>
  <c r="R16" i="12"/>
  <c r="T20" i="12"/>
  <c r="D1638" i="19"/>
  <c r="I1638" i="19" s="1"/>
  <c r="E2564" i="23"/>
  <c r="D1590" i="19"/>
  <c r="I1590" i="19" s="1"/>
  <c r="C1590" i="19"/>
  <c r="H1590" i="19" s="1"/>
  <c r="R1163" i="19"/>
  <c r="V1163" i="19" s="1"/>
  <c r="J1163" i="19"/>
  <c r="E2253" i="23"/>
  <c r="D1169" i="19"/>
  <c r="I1169" i="19" s="1"/>
  <c r="D1120" i="19"/>
  <c r="I1120" i="19" s="1"/>
  <c r="C1120" i="19"/>
  <c r="H1120" i="19" s="1"/>
  <c r="N12" i="9"/>
  <c r="E2300" i="23" s="1"/>
  <c r="B2258" i="23"/>
  <c r="B2305" i="23"/>
  <c r="B228" i="23"/>
  <c r="N1174" i="19"/>
  <c r="N1125" i="19"/>
  <c r="E239" i="23"/>
  <c r="E1185" i="19"/>
  <c r="C1185" i="19"/>
  <c r="H1185" i="19" s="1"/>
  <c r="K44" i="9"/>
  <c r="O28" i="9"/>
  <c r="D1088" i="19"/>
  <c r="I1088" i="19" s="1"/>
  <c r="C1088" i="19"/>
  <c r="H1088" i="19" s="1"/>
  <c r="G32" i="9"/>
  <c r="B2438" i="23"/>
  <c r="N1460" i="19"/>
  <c r="B314" i="23"/>
  <c r="B2485" i="23"/>
  <c r="N1411" i="19"/>
  <c r="N1363" i="19"/>
  <c r="I11" i="11"/>
  <c r="D2487" i="23" s="1"/>
  <c r="B2446" i="23"/>
  <c r="B322" i="23"/>
  <c r="B2493" i="23"/>
  <c r="N1419" i="19"/>
  <c r="N1468" i="19"/>
  <c r="N1371" i="19"/>
  <c r="E2453" i="23"/>
  <c r="C1426" i="19"/>
  <c r="H1426" i="19" s="1"/>
  <c r="D1475" i="19"/>
  <c r="I1475" i="19" s="1"/>
  <c r="D1426" i="19"/>
  <c r="I1426" i="19" s="1"/>
  <c r="G24" i="11"/>
  <c r="U24" i="11"/>
  <c r="B2465" i="23"/>
  <c r="B341" i="23"/>
  <c r="N1390" i="19"/>
  <c r="N1487" i="19"/>
  <c r="N1439" i="19"/>
  <c r="B2512" i="23"/>
  <c r="E2469" i="23"/>
  <c r="D1443" i="19"/>
  <c r="I1443" i="19" s="1"/>
  <c r="C1443" i="19"/>
  <c r="H1443" i="19" s="1"/>
  <c r="G1443" i="19" s="1"/>
  <c r="D1491" i="19"/>
  <c r="I1491" i="19" s="1"/>
  <c r="G40" i="11"/>
  <c r="N40" i="11"/>
  <c r="E2516" i="23" s="1"/>
  <c r="B2525" i="23"/>
  <c r="B2478" i="23"/>
  <c r="N1454" i="19"/>
  <c r="N1501" i="19"/>
  <c r="B354" i="23"/>
  <c r="N1404" i="19"/>
  <c r="N2117" i="19"/>
  <c r="N2053" i="19"/>
  <c r="N2085" i="19"/>
  <c r="N13" i="28"/>
  <c r="E652" i="23" s="1"/>
  <c r="I17" i="28"/>
  <c r="D656" i="23" s="1"/>
  <c r="N2093" i="19"/>
  <c r="N2125" i="19"/>
  <c r="N2061" i="19"/>
  <c r="N2095" i="19"/>
  <c r="N2127" i="19"/>
  <c r="N2063" i="19"/>
  <c r="E2129" i="19"/>
  <c r="C2065" i="19"/>
  <c r="H2065" i="19" s="1"/>
  <c r="G2065" i="19" s="1"/>
  <c r="D2065" i="19"/>
  <c r="I2065" i="19" s="1"/>
  <c r="E696" i="23"/>
  <c r="O23" i="28"/>
  <c r="F23" i="28"/>
  <c r="D2184" i="19"/>
  <c r="I2184" i="19" s="1"/>
  <c r="E721" i="23"/>
  <c r="C2184" i="19"/>
  <c r="H2184" i="19" s="1"/>
  <c r="D2216" i="19"/>
  <c r="I2216" i="19" s="1"/>
  <c r="L51" i="15"/>
  <c r="D578" i="23"/>
  <c r="R7" i="15"/>
  <c r="D2016" i="19"/>
  <c r="I2016" i="19" s="1"/>
  <c r="C1984" i="19"/>
  <c r="H1984" i="19" s="1"/>
  <c r="G1984" i="19" s="1"/>
  <c r="D1984" i="19"/>
  <c r="I1984" i="19" s="1"/>
  <c r="N14" i="15"/>
  <c r="E541" i="23" s="1"/>
  <c r="G14" i="15"/>
  <c r="T14" i="15" s="1"/>
  <c r="C1993" i="19"/>
  <c r="H1993" i="19" s="1"/>
  <c r="D1993" i="19"/>
  <c r="I1993" i="19" s="1"/>
  <c r="D2025" i="19"/>
  <c r="I2025" i="19" s="1"/>
  <c r="E516" i="23"/>
  <c r="N23" i="15"/>
  <c r="E550" i="23" s="1"/>
  <c r="Z25" i="15"/>
  <c r="J28" i="15"/>
  <c r="D526" i="23"/>
  <c r="I33" i="15"/>
  <c r="D560" i="23" s="1"/>
  <c r="N35" i="15"/>
  <c r="E562" i="23" s="1"/>
  <c r="K54" i="15"/>
  <c r="I62" i="15"/>
  <c r="D567" i="23" s="1"/>
  <c r="I14" i="13"/>
  <c r="D2678" i="23" s="1"/>
  <c r="C1758" i="19"/>
  <c r="H1758" i="19" s="1"/>
  <c r="E1758" i="19"/>
  <c r="E415" i="23"/>
  <c r="D1663" i="19"/>
  <c r="I1663" i="19" s="1"/>
  <c r="C1663" i="19"/>
  <c r="H1663" i="19" s="1"/>
  <c r="O16" i="13"/>
  <c r="U16" i="13"/>
  <c r="S16" i="13"/>
  <c r="F16" i="13"/>
  <c r="D418" i="23"/>
  <c r="J19" i="13"/>
  <c r="R19" i="13"/>
  <c r="D1673" i="19"/>
  <c r="I1673" i="19" s="1"/>
  <c r="H26" i="13"/>
  <c r="G73" i="17" s="1"/>
  <c r="N47" i="13"/>
  <c r="E2711" i="23" s="1"/>
  <c r="N5" i="14"/>
  <c r="E2764" i="23" s="1"/>
  <c r="B2733" i="23"/>
  <c r="B2781" i="23"/>
  <c r="B468" i="23"/>
  <c r="N1909" i="19"/>
  <c r="N1814" i="19"/>
  <c r="N1862" i="19"/>
  <c r="D471" i="23"/>
  <c r="T25" i="14"/>
  <c r="J25" i="14"/>
  <c r="T26" i="14"/>
  <c r="E871" i="23"/>
  <c r="C2328" i="19"/>
  <c r="H2328" i="19" s="1"/>
  <c r="E2278" i="19"/>
  <c r="C2247" i="19"/>
  <c r="H2247" i="19" s="1"/>
  <c r="D2247" i="19"/>
  <c r="I2247" i="19" s="1"/>
  <c r="F7" i="16"/>
  <c r="G9" i="16" s="1"/>
  <c r="E2328" i="19"/>
  <c r="O7" i="16"/>
  <c r="H15" i="16"/>
  <c r="M15" i="16"/>
  <c r="H31" i="16"/>
  <c r="I31" i="16" s="1"/>
  <c r="D2900" i="23" s="1"/>
  <c r="D956" i="23"/>
  <c r="E956" i="23"/>
  <c r="D2399" i="19"/>
  <c r="I2399" i="19" s="1"/>
  <c r="G2399" i="19" s="1"/>
  <c r="O56" i="17"/>
  <c r="E1044" i="23"/>
  <c r="D1044" i="23"/>
  <c r="E2551" i="19"/>
  <c r="H8" i="18"/>
  <c r="D2983" i="23" s="1"/>
  <c r="E1177" i="23"/>
  <c r="C2606" i="19"/>
  <c r="H2606" i="19" s="1"/>
  <c r="D2606" i="19"/>
  <c r="I2606" i="19" s="1"/>
  <c r="C2614" i="19"/>
  <c r="H2614" i="19" s="1"/>
  <c r="G2614" i="19" s="1"/>
  <c r="R48" i="18"/>
  <c r="N54" i="18"/>
  <c r="C2610" i="19" s="1"/>
  <c r="H2610" i="19" s="1"/>
  <c r="G2610" i="19" s="1"/>
  <c r="G48" i="18"/>
  <c r="M52" i="18"/>
  <c r="D509" i="19"/>
  <c r="I509" i="19" s="1"/>
  <c r="D614" i="19"/>
  <c r="I614" i="19" s="1"/>
  <c r="C649" i="19"/>
  <c r="H649" i="19" s="1"/>
  <c r="D705" i="19"/>
  <c r="I705" i="19" s="1"/>
  <c r="G705" i="19" s="1"/>
  <c r="D1067" i="19"/>
  <c r="I1067" i="19" s="1"/>
  <c r="C1228" i="19"/>
  <c r="H1228" i="19" s="1"/>
  <c r="G1228" i="19" s="1"/>
  <c r="V1263" i="19"/>
  <c r="V1355" i="19"/>
  <c r="D1362" i="19"/>
  <c r="I1362" i="19" s="1"/>
  <c r="V1402" i="19"/>
  <c r="J2010" i="19"/>
  <c r="R2010" i="19"/>
  <c r="V2010" i="19" s="1"/>
  <c r="E585" i="23"/>
  <c r="D1493" i="23"/>
  <c r="M23" i="2"/>
  <c r="E1710" i="23"/>
  <c r="J20" i="4"/>
  <c r="E1728" i="23"/>
  <c r="E1740" i="23"/>
  <c r="H44" i="4"/>
  <c r="E1693" i="23"/>
  <c r="D50" i="4"/>
  <c r="D54" i="23"/>
  <c r="D89" i="23"/>
  <c r="T19" i="6"/>
  <c r="J19" i="6"/>
  <c r="D107" i="23"/>
  <c r="T37" i="6"/>
  <c r="J37" i="6"/>
  <c r="D113" i="23"/>
  <c r="J43" i="6"/>
  <c r="H28" i="8"/>
  <c r="H44" i="8" s="1"/>
  <c r="H48" i="8" s="1"/>
  <c r="M44" i="8"/>
  <c r="M48" i="8" s="1"/>
  <c r="E292" i="23"/>
  <c r="C1338" i="19"/>
  <c r="H1338" i="19" s="1"/>
  <c r="E1338" i="19"/>
  <c r="D1241" i="19"/>
  <c r="I1241" i="19" s="1"/>
  <c r="C1241" i="19"/>
  <c r="H1241" i="19" s="1"/>
  <c r="O34" i="10"/>
  <c r="U34" i="10"/>
  <c r="E2534" i="23"/>
  <c r="C1560" i="19"/>
  <c r="H1560" i="19" s="1"/>
  <c r="G1560" i="19" s="1"/>
  <c r="D1608" i="19"/>
  <c r="I1608" i="19" s="1"/>
  <c r="D1560" i="19"/>
  <c r="I1560" i="19" s="1"/>
  <c r="N11" i="12"/>
  <c r="E2581" i="23" s="1"/>
  <c r="D374" i="23"/>
  <c r="J22" i="12"/>
  <c r="R22" i="12"/>
  <c r="D388" i="23"/>
  <c r="J36" i="12"/>
  <c r="E2252" i="23"/>
  <c r="C1119" i="19"/>
  <c r="H1119" i="19" s="1"/>
  <c r="G1119" i="19" s="1"/>
  <c r="D1168" i="19"/>
  <c r="I1168" i="19" s="1"/>
  <c r="U11" i="9"/>
  <c r="G11" i="9"/>
  <c r="B2259" i="23"/>
  <c r="B229" i="23"/>
  <c r="B2306" i="23"/>
  <c r="N1175" i="19"/>
  <c r="N1078" i="19"/>
  <c r="N1126" i="19"/>
  <c r="N1206" i="19"/>
  <c r="N1109" i="19"/>
  <c r="N1159" i="19"/>
  <c r="B2492" i="23"/>
  <c r="B321" i="23"/>
  <c r="B2445" i="23"/>
  <c r="N1467" i="19"/>
  <c r="N1370" i="19"/>
  <c r="N1418" i="19"/>
  <c r="E330" i="23"/>
  <c r="C1476" i="19"/>
  <c r="H1476" i="19" s="1"/>
  <c r="E1379" i="19"/>
  <c r="D1379" i="19"/>
  <c r="I1379" i="19" s="1"/>
  <c r="C1379" i="19"/>
  <c r="H1379" i="19" s="1"/>
  <c r="O25" i="11"/>
  <c r="E1476" i="19"/>
  <c r="S25" i="11"/>
  <c r="E682" i="23"/>
  <c r="D2051" i="19"/>
  <c r="I2051" i="19" s="1"/>
  <c r="C2051" i="19"/>
  <c r="H2051" i="19" s="1"/>
  <c r="E2115" i="19"/>
  <c r="S9" i="28"/>
  <c r="O9" i="28"/>
  <c r="D511" i="23"/>
  <c r="I18" i="15"/>
  <c r="D545" i="23" s="1"/>
  <c r="H34" i="13"/>
  <c r="N34" i="13"/>
  <c r="E2698" i="23" s="1"/>
  <c r="E2750" i="23"/>
  <c r="D1926" i="19"/>
  <c r="I1926" i="19" s="1"/>
  <c r="D1879" i="19"/>
  <c r="I1879" i="19" s="1"/>
  <c r="C1879" i="19"/>
  <c r="H1879" i="19" s="1"/>
  <c r="G39" i="14"/>
  <c r="E2880" i="23"/>
  <c r="D2317" i="19"/>
  <c r="I2317" i="19" s="1"/>
  <c r="C2318" i="19"/>
  <c r="H2318" i="19" s="1"/>
  <c r="N64" i="16"/>
  <c r="E2933" i="23" s="1"/>
  <c r="E908" i="23"/>
  <c r="C2476" i="19"/>
  <c r="H2476" i="19" s="1"/>
  <c r="G2476" i="19" s="1"/>
  <c r="D2455" i="19"/>
  <c r="I2455" i="19" s="1"/>
  <c r="C2455" i="19"/>
  <c r="H2455" i="19" s="1"/>
  <c r="E15" i="17"/>
  <c r="E1004" i="23"/>
  <c r="D1004" i="23"/>
  <c r="D2514" i="19"/>
  <c r="I2514" i="19" s="1"/>
  <c r="G2514" i="19" s="1"/>
  <c r="J51" i="19"/>
  <c r="R51" i="19"/>
  <c r="V51" i="19" s="1"/>
  <c r="J745" i="19"/>
  <c r="R745" i="19"/>
  <c r="V745" i="19" s="1"/>
  <c r="J2355" i="19"/>
  <c r="R2355" i="19"/>
  <c r="V2355" i="19" s="1"/>
  <c r="E1781" i="23"/>
  <c r="L29" i="4"/>
  <c r="E16" i="23"/>
  <c r="D16" i="23"/>
  <c r="C284" i="19"/>
  <c r="D78" i="23"/>
  <c r="R8" i="6"/>
  <c r="E101" i="23"/>
  <c r="E747" i="19"/>
  <c r="C747" i="19"/>
  <c r="H747" i="19" s="1"/>
  <c r="D1996" i="23"/>
  <c r="I37" i="6"/>
  <c r="D2043" i="23" s="1"/>
  <c r="N50" i="6"/>
  <c r="E2055" i="23" s="1"/>
  <c r="N40" i="8"/>
  <c r="E2234" i="23" s="1"/>
  <c r="E2359" i="23"/>
  <c r="D1328" i="19"/>
  <c r="I1328" i="19" s="1"/>
  <c r="D1279" i="19"/>
  <c r="I1279" i="19" s="1"/>
  <c r="C1279" i="19"/>
  <c r="H1279" i="19" s="1"/>
  <c r="G24" i="10"/>
  <c r="D229" i="23"/>
  <c r="R18" i="9"/>
  <c r="N26" i="9"/>
  <c r="E2314" i="23" s="1"/>
  <c r="D2433" i="23"/>
  <c r="B2464" i="23"/>
  <c r="B2511" i="23"/>
  <c r="B340" i="23"/>
  <c r="N1438" i="19"/>
  <c r="N1486" i="19"/>
  <c r="N1389" i="19"/>
  <c r="N7" i="28"/>
  <c r="E646" i="23" s="1"/>
  <c r="D2666" i="23"/>
  <c r="I50" i="13"/>
  <c r="D2713" i="23" s="1"/>
  <c r="E462" i="23"/>
  <c r="C1903" i="19"/>
  <c r="H1903" i="19" s="1"/>
  <c r="C1808" i="19"/>
  <c r="H1808" i="19" s="1"/>
  <c r="E1903" i="19"/>
  <c r="D1808" i="19"/>
  <c r="I1808" i="19" s="1"/>
  <c r="U16" i="14"/>
  <c r="S16" i="14"/>
  <c r="O16" i="14"/>
  <c r="B2753" i="23"/>
  <c r="N1834" i="19"/>
  <c r="B488" i="23"/>
  <c r="B2801" i="23"/>
  <c r="N1929" i="19"/>
  <c r="N1882" i="19"/>
  <c r="E940" i="23"/>
  <c r="D940" i="23"/>
  <c r="I30" i="1"/>
  <c r="D1145" i="23"/>
  <c r="E1145" i="23"/>
  <c r="E2612" i="19"/>
  <c r="C175" i="19"/>
  <c r="H175" i="19" s="1"/>
  <c r="G175" i="19" s="1"/>
  <c r="J597" i="19"/>
  <c r="E1714" i="23"/>
  <c r="E1742" i="23"/>
  <c r="H46" i="4"/>
  <c r="D1890" i="23"/>
  <c r="E74" i="23"/>
  <c r="E720" i="19"/>
  <c r="D623" i="19"/>
  <c r="I623" i="19" s="1"/>
  <c r="S4" i="6"/>
  <c r="O4" i="6"/>
  <c r="K23" i="6"/>
  <c r="C720" i="19"/>
  <c r="H720" i="19" s="1"/>
  <c r="F4" i="6"/>
  <c r="I15" i="6"/>
  <c r="D2021" i="23" s="1"/>
  <c r="E105" i="23"/>
  <c r="C751" i="19"/>
  <c r="H751" i="19" s="1"/>
  <c r="E751" i="19"/>
  <c r="C654" i="19"/>
  <c r="H654" i="19" s="1"/>
  <c r="O35" i="6"/>
  <c r="D654" i="19"/>
  <c r="I654" i="19" s="1"/>
  <c r="D295" i="23"/>
  <c r="T37" i="10"/>
  <c r="N9" i="12"/>
  <c r="E2579" i="23" s="1"/>
  <c r="D398" i="23"/>
  <c r="J46" i="12"/>
  <c r="J18" i="9"/>
  <c r="D2283" i="23"/>
  <c r="I42" i="9"/>
  <c r="D2330" i="23" s="1"/>
  <c r="I18" i="11"/>
  <c r="D2494" i="23" s="1"/>
  <c r="C2047" i="19"/>
  <c r="H2047" i="19" s="1"/>
  <c r="D2047" i="19"/>
  <c r="I2047" i="19" s="1"/>
  <c r="E678" i="23"/>
  <c r="E2111" i="19"/>
  <c r="K46" i="15"/>
  <c r="S5" i="28"/>
  <c r="K12" i="28"/>
  <c r="O5" i="28"/>
  <c r="N2194" i="19"/>
  <c r="N2162" i="19"/>
  <c r="N2226" i="19"/>
  <c r="D2725" i="23"/>
  <c r="I14" i="14"/>
  <c r="D2773" i="23" s="1"/>
  <c r="D488" i="23"/>
  <c r="R42" i="14"/>
  <c r="J42" i="14"/>
  <c r="C2355" i="19"/>
  <c r="H2355" i="19" s="1"/>
  <c r="E899" i="23"/>
  <c r="C2270" i="19"/>
  <c r="H2270" i="19" s="1"/>
  <c r="D2270" i="19"/>
  <c r="I2270" i="19" s="1"/>
  <c r="F46" i="16"/>
  <c r="K52" i="16"/>
  <c r="E943" i="23"/>
  <c r="D943" i="23"/>
  <c r="D955" i="23"/>
  <c r="E955" i="23"/>
  <c r="D2398" i="19"/>
  <c r="I2398" i="19" s="1"/>
  <c r="G2398" i="19" s="1"/>
  <c r="O55" i="17"/>
  <c r="M12" i="2"/>
  <c r="S46" i="2"/>
  <c r="D22" i="23"/>
  <c r="E22" i="23"/>
  <c r="E385" i="19"/>
  <c r="D385" i="19"/>
  <c r="I385" i="19" s="1"/>
  <c r="D66" i="23"/>
  <c r="R43" i="5"/>
  <c r="B2178" i="23"/>
  <c r="B2225" i="23"/>
  <c r="B195" i="23"/>
  <c r="N1041" i="19"/>
  <c r="N993" i="19"/>
  <c r="N944" i="19"/>
  <c r="E209" i="23"/>
  <c r="E1055" i="19"/>
  <c r="C1055" i="19"/>
  <c r="H1055" i="19" s="1"/>
  <c r="C958" i="19"/>
  <c r="H958" i="19" s="1"/>
  <c r="G958" i="19" s="1"/>
  <c r="S45" i="8"/>
  <c r="O45" i="8"/>
  <c r="B2142" i="23"/>
  <c r="B2095" i="23"/>
  <c r="B159" i="23"/>
  <c r="N905" i="19"/>
  <c r="N808" i="19"/>
  <c r="N857" i="19"/>
  <c r="B2343" i="23"/>
  <c r="B2390" i="23"/>
  <c r="B266" i="23"/>
  <c r="N1312" i="19"/>
  <c r="N1263" i="19"/>
  <c r="N1215" i="19"/>
  <c r="S34" i="10"/>
  <c r="E299" i="23"/>
  <c r="E1345" i="19"/>
  <c r="C1345" i="19"/>
  <c r="H1345" i="19" s="1"/>
  <c r="D1248" i="19"/>
  <c r="I1248" i="19" s="1"/>
  <c r="G1248" i="19" s="1"/>
  <c r="U41" i="10"/>
  <c r="F41" i="10"/>
  <c r="B2535" i="23"/>
  <c r="B2582" i="23"/>
  <c r="N1609" i="19"/>
  <c r="N1561" i="19"/>
  <c r="B364" i="23"/>
  <c r="N1513" i="19"/>
  <c r="D377" i="23"/>
  <c r="J25" i="12"/>
  <c r="R25" i="12"/>
  <c r="D382" i="23"/>
  <c r="T30" i="12"/>
  <c r="R30" i="12"/>
  <c r="J30" i="12"/>
  <c r="I34" i="12"/>
  <c r="D2604" i="23" s="1"/>
  <c r="O38" i="12"/>
  <c r="E395" i="23"/>
  <c r="C1640" i="19"/>
  <c r="H1640" i="19" s="1"/>
  <c r="D1544" i="19"/>
  <c r="I1544" i="19" s="1"/>
  <c r="C1544" i="19"/>
  <c r="H1544" i="19" s="1"/>
  <c r="E1640" i="19"/>
  <c r="F43" i="12"/>
  <c r="U43" i="12"/>
  <c r="N1063" i="19"/>
  <c r="N1208" i="19"/>
  <c r="N1062" i="19"/>
  <c r="N1111" i="19"/>
  <c r="B2249" i="23"/>
  <c r="B219" i="23"/>
  <c r="B2296" i="23"/>
  <c r="N1116" i="19"/>
  <c r="N1068" i="19"/>
  <c r="I16" i="9"/>
  <c r="D2304" i="23" s="1"/>
  <c r="E2449" i="23"/>
  <c r="C1422" i="19"/>
  <c r="H1422" i="19" s="1"/>
  <c r="D1471" i="19"/>
  <c r="I1471" i="19" s="1"/>
  <c r="D1422" i="19"/>
  <c r="I1422" i="19" s="1"/>
  <c r="N20" i="11"/>
  <c r="E2496" i="23" s="1"/>
  <c r="G20" i="11"/>
  <c r="D2464" i="23"/>
  <c r="I35" i="11"/>
  <c r="D2511" i="23" s="1"/>
  <c r="E610" i="23"/>
  <c r="D2079" i="19"/>
  <c r="I2079" i="19" s="1"/>
  <c r="D2111" i="19"/>
  <c r="I2111" i="19" s="1"/>
  <c r="C2079" i="19"/>
  <c r="H2079" i="19" s="1"/>
  <c r="L12" i="28"/>
  <c r="L46" i="15"/>
  <c r="N5" i="28"/>
  <c r="E644" i="23" s="1"/>
  <c r="D2096" i="19"/>
  <c r="I2096" i="19" s="1"/>
  <c r="E627" i="23"/>
  <c r="C2096" i="19"/>
  <c r="H2096" i="19" s="1"/>
  <c r="D2128" i="19"/>
  <c r="I2128" i="19" s="1"/>
  <c r="U22" i="28"/>
  <c r="J43" i="28"/>
  <c r="N1948" i="19"/>
  <c r="N2013" i="19"/>
  <c r="N1981" i="19"/>
  <c r="E511" i="23"/>
  <c r="D2020" i="19"/>
  <c r="D1988" i="19"/>
  <c r="I1988" i="19" s="1"/>
  <c r="C1988" i="19"/>
  <c r="H1988" i="19" s="1"/>
  <c r="I11" i="13"/>
  <c r="D2675" i="23" s="1"/>
  <c r="N15" i="13"/>
  <c r="E2679" i="23" s="1"/>
  <c r="E2642" i="23"/>
  <c r="D1767" i="19"/>
  <c r="I1767" i="19" s="1"/>
  <c r="C1720" i="19"/>
  <c r="H1720" i="19" s="1"/>
  <c r="D1720" i="19"/>
  <c r="I1720" i="19" s="1"/>
  <c r="N25" i="13"/>
  <c r="E2689" i="23" s="1"/>
  <c r="N36" i="13"/>
  <c r="E2700" i="23" s="1"/>
  <c r="C1784" i="19"/>
  <c r="H1784" i="19" s="1"/>
  <c r="D1689" i="19"/>
  <c r="I1689" i="19" s="1"/>
  <c r="C1689" i="19"/>
  <c r="H1689" i="19" s="1"/>
  <c r="E1784" i="19"/>
  <c r="E441" i="23"/>
  <c r="O42" i="13"/>
  <c r="F42" i="13"/>
  <c r="S42" i="13"/>
  <c r="E448" i="23"/>
  <c r="D1697" i="19"/>
  <c r="I1697" i="19" s="1"/>
  <c r="G1697" i="19" s="1"/>
  <c r="S50" i="13"/>
  <c r="U50" i="13"/>
  <c r="D458" i="23"/>
  <c r="T12" i="14"/>
  <c r="J12" i="14"/>
  <c r="R12" i="14"/>
  <c r="H26" i="16"/>
  <c r="M40" i="16"/>
  <c r="M43" i="16" s="1"/>
  <c r="E895" i="23"/>
  <c r="E2347" i="19"/>
  <c r="C2347" i="19"/>
  <c r="H2347" i="19" s="1"/>
  <c r="D2265" i="19"/>
  <c r="I2265" i="19" s="1"/>
  <c r="C2265" i="19"/>
  <c r="H2265" i="19" s="1"/>
  <c r="F36" i="16"/>
  <c r="D895" i="23" s="1"/>
  <c r="N60" i="16"/>
  <c r="N15" i="17"/>
  <c r="N1382" i="19"/>
  <c r="M374" i="23"/>
  <c r="F374" i="23" s="1"/>
  <c r="N374" i="23"/>
  <c r="D11" i="23"/>
  <c r="E11" i="23"/>
  <c r="E76" i="19"/>
  <c r="I51" i="1"/>
  <c r="S35" i="2"/>
  <c r="D1595" i="23"/>
  <c r="E1824" i="23"/>
  <c r="P21" i="4"/>
  <c r="E1779" i="23"/>
  <c r="B1870" i="23"/>
  <c r="B1917" i="23"/>
  <c r="B28" i="23"/>
  <c r="N477" i="19"/>
  <c r="N574" i="19"/>
  <c r="N525" i="19"/>
  <c r="E56" i="23"/>
  <c r="D505" i="19"/>
  <c r="I505" i="19" s="1"/>
  <c r="C505" i="19"/>
  <c r="H505" i="19" s="1"/>
  <c r="G505" i="19" s="1"/>
  <c r="C602" i="19"/>
  <c r="H602" i="19" s="1"/>
  <c r="F33" i="5"/>
  <c r="U33" i="5"/>
  <c r="S33" i="5"/>
  <c r="E602" i="19"/>
  <c r="D62" i="23"/>
  <c r="R39" i="5"/>
  <c r="M23" i="6"/>
  <c r="E1976" i="23"/>
  <c r="D684" i="19"/>
  <c r="I684" i="19" s="1"/>
  <c r="G17" i="6"/>
  <c r="C684" i="19"/>
  <c r="H684" i="19" s="1"/>
  <c r="G684" i="19" s="1"/>
  <c r="D733" i="19"/>
  <c r="I733" i="19" s="1"/>
  <c r="M44" i="6"/>
  <c r="D195" i="23"/>
  <c r="T31" i="8"/>
  <c r="D201" i="23"/>
  <c r="J37" i="8"/>
  <c r="R37" i="8"/>
  <c r="D2539" i="23"/>
  <c r="I16" i="12"/>
  <c r="D2586" i="23" s="1"/>
  <c r="D221" i="23"/>
  <c r="J10" i="9"/>
  <c r="E225" i="23"/>
  <c r="C1074" i="19"/>
  <c r="H1074" i="19" s="1"/>
  <c r="C1171" i="19"/>
  <c r="H1171" i="19" s="1"/>
  <c r="O14" i="9"/>
  <c r="F14" i="9"/>
  <c r="E1171" i="19"/>
  <c r="U14" i="9"/>
  <c r="S14" i="9"/>
  <c r="E2263" i="23"/>
  <c r="D1130" i="19"/>
  <c r="I1130" i="19" s="1"/>
  <c r="C1130" i="19"/>
  <c r="H1130" i="19" s="1"/>
  <c r="U22" i="9"/>
  <c r="D1179" i="19"/>
  <c r="I1179" i="19" s="1"/>
  <c r="G22" i="9"/>
  <c r="E2272" i="23"/>
  <c r="D1140" i="19"/>
  <c r="I1140" i="19" s="1"/>
  <c r="C1140" i="19"/>
  <c r="H1140" i="19" s="1"/>
  <c r="G1140" i="19" s="1"/>
  <c r="D1188" i="19"/>
  <c r="I1188" i="19" s="1"/>
  <c r="U31" i="9"/>
  <c r="N31" i="9"/>
  <c r="E2319" i="23" s="1"/>
  <c r="S39" i="9"/>
  <c r="D311" i="23"/>
  <c r="R6" i="11"/>
  <c r="J6" i="11"/>
  <c r="B2455" i="23"/>
  <c r="B331" i="23"/>
  <c r="N1477" i="19"/>
  <c r="B2502" i="23"/>
  <c r="N1429" i="19"/>
  <c r="N1380" i="19"/>
  <c r="B2462" i="23"/>
  <c r="B2509" i="23"/>
  <c r="N1484" i="19"/>
  <c r="B338" i="23"/>
  <c r="N1387" i="19"/>
  <c r="N1436" i="19"/>
  <c r="E342" i="23"/>
  <c r="E1488" i="19"/>
  <c r="C1391" i="19"/>
  <c r="H1391" i="19" s="1"/>
  <c r="S37" i="11"/>
  <c r="O37" i="11"/>
  <c r="D1391" i="19"/>
  <c r="I1391" i="19" s="1"/>
  <c r="F37" i="11"/>
  <c r="D630" i="23"/>
  <c r="I25" i="28"/>
  <c r="D664" i="23" s="1"/>
  <c r="N35" i="28"/>
  <c r="E674" i="23" s="1"/>
  <c r="C2145" i="19"/>
  <c r="H2145" i="19" s="1"/>
  <c r="E782" i="23"/>
  <c r="E2209" i="19"/>
  <c r="D2145" i="19"/>
  <c r="I2145" i="19" s="1"/>
  <c r="O43" i="28"/>
  <c r="E733" i="23"/>
  <c r="D2228" i="19"/>
  <c r="I2228" i="19" s="1"/>
  <c r="C2196" i="19"/>
  <c r="H2196" i="19" s="1"/>
  <c r="D2196" i="19"/>
  <c r="I2196" i="19" s="1"/>
  <c r="N62" i="28"/>
  <c r="E767" i="23" s="1"/>
  <c r="D582" i="23"/>
  <c r="R11" i="15"/>
  <c r="E408" i="23"/>
  <c r="D1656" i="19"/>
  <c r="I1656" i="19" s="1"/>
  <c r="E1751" i="19"/>
  <c r="C1656" i="19"/>
  <c r="H1656" i="19" s="1"/>
  <c r="C1751" i="19"/>
  <c r="H1751" i="19" s="1"/>
  <c r="F9" i="13"/>
  <c r="U9" i="13"/>
  <c r="O9" i="13"/>
  <c r="B2652" i="23"/>
  <c r="B2699" i="23"/>
  <c r="N1777" i="19"/>
  <c r="N1682" i="19"/>
  <c r="B434" i="23"/>
  <c r="N1730" i="19"/>
  <c r="J26" i="14"/>
  <c r="D2848" i="23"/>
  <c r="J30" i="16"/>
  <c r="I30" i="16"/>
  <c r="D2899" i="23" s="1"/>
  <c r="E2889" i="23"/>
  <c r="E1134" i="23"/>
  <c r="D1134" i="23"/>
  <c r="J47" i="19"/>
  <c r="R47" i="19"/>
  <c r="V47" i="19" s="1"/>
  <c r="C759" i="19"/>
  <c r="H759" i="19" s="1"/>
  <c r="J1029" i="19"/>
  <c r="R1029" i="19"/>
  <c r="V1029" i="19" s="1"/>
  <c r="J1633" i="19"/>
  <c r="R1633" i="19"/>
  <c r="V1633" i="19" s="1"/>
  <c r="E1292" i="23"/>
  <c r="D1292" i="23"/>
  <c r="E102" i="19"/>
  <c r="D1239" i="23"/>
  <c r="E1239" i="23"/>
  <c r="J15" i="2"/>
  <c r="E1315" i="23" s="1"/>
  <c r="E1520" i="23"/>
  <c r="J51" i="2"/>
  <c r="E1351" i="23" s="1"/>
  <c r="E1822" i="23"/>
  <c r="P19" i="4"/>
  <c r="E1835" i="23"/>
  <c r="P33" i="4"/>
  <c r="E1799" i="23"/>
  <c r="L50" i="4"/>
  <c r="E1898" i="23"/>
  <c r="D602" i="19"/>
  <c r="I602" i="19" s="1"/>
  <c r="G33" i="5"/>
  <c r="N33" i="5"/>
  <c r="E1945" i="23" s="1"/>
  <c r="O47" i="5"/>
  <c r="E1980" i="23"/>
  <c r="D737" i="19"/>
  <c r="I737" i="19" s="1"/>
  <c r="D688" i="19"/>
  <c r="I688" i="19" s="1"/>
  <c r="G21" i="6"/>
  <c r="T21" i="6" s="1"/>
  <c r="C688" i="19"/>
  <c r="H688" i="19" s="1"/>
  <c r="N29" i="6"/>
  <c r="E2035" i="23" s="1"/>
  <c r="R35" i="6"/>
  <c r="U9" i="8"/>
  <c r="B2190" i="23"/>
  <c r="B2237" i="23"/>
  <c r="B207" i="23"/>
  <c r="N956" i="19"/>
  <c r="N1053" i="19"/>
  <c r="N1005" i="19"/>
  <c r="N50" i="8"/>
  <c r="E2243" i="23" s="1"/>
  <c r="B2113" i="23"/>
  <c r="B130" i="23"/>
  <c r="B2066" i="23"/>
  <c r="N876" i="19"/>
  <c r="N827" i="19"/>
  <c r="D2083" i="23"/>
  <c r="I30" i="7"/>
  <c r="D2130" i="23" s="1"/>
  <c r="B2147" i="23"/>
  <c r="B2100" i="23"/>
  <c r="B164" i="23"/>
  <c r="N910" i="19"/>
  <c r="N863" i="19"/>
  <c r="N813" i="19"/>
  <c r="I10" i="10"/>
  <c r="D2392" i="23" s="1"/>
  <c r="D272" i="23"/>
  <c r="T14" i="10"/>
  <c r="D280" i="23"/>
  <c r="R22" i="10"/>
  <c r="B2366" i="23"/>
  <c r="B2413" i="23"/>
  <c r="B289" i="23"/>
  <c r="N1238" i="19"/>
  <c r="N1335" i="19"/>
  <c r="N1287" i="19"/>
  <c r="B2300" i="23"/>
  <c r="B223" i="23"/>
  <c r="N1072" i="19"/>
  <c r="N1169" i="19"/>
  <c r="B2253" i="23"/>
  <c r="D258" i="23"/>
  <c r="J47" i="9"/>
  <c r="T47" i="9"/>
  <c r="E2447" i="23"/>
  <c r="D1469" i="19"/>
  <c r="I1469" i="19" s="1"/>
  <c r="D1420" i="19"/>
  <c r="I1420" i="19" s="1"/>
  <c r="C1420" i="19"/>
  <c r="H1420" i="19" s="1"/>
  <c r="N18" i="11"/>
  <c r="E2494" i="23" s="1"/>
  <c r="E702" i="23"/>
  <c r="C2071" i="19"/>
  <c r="H2071" i="19" s="1"/>
  <c r="E2135" i="19"/>
  <c r="U29" i="28"/>
  <c r="F29" i="28"/>
  <c r="O29" i="28"/>
  <c r="O35" i="28"/>
  <c r="C2177" i="19"/>
  <c r="H2177" i="19" s="1"/>
  <c r="D2209" i="19"/>
  <c r="I2209" i="19" s="1"/>
  <c r="D2177" i="19"/>
  <c r="I2177" i="19" s="1"/>
  <c r="E714" i="23"/>
  <c r="N43" i="28"/>
  <c r="E748" i="23" s="1"/>
  <c r="G43" i="28"/>
  <c r="G47" i="15" s="1"/>
  <c r="D794" i="23"/>
  <c r="J55" i="28"/>
  <c r="N57" i="28"/>
  <c r="E762" i="23" s="1"/>
  <c r="N18" i="15"/>
  <c r="E545" i="23" s="1"/>
  <c r="D2638" i="23"/>
  <c r="I21" i="13"/>
  <c r="D2685" i="23" s="1"/>
  <c r="J37" i="13"/>
  <c r="D436" i="23"/>
  <c r="C2480" i="19"/>
  <c r="H2480" i="19" s="1"/>
  <c r="C2458" i="19"/>
  <c r="H2458" i="19" s="1"/>
  <c r="E911" i="23"/>
  <c r="D2458" i="19"/>
  <c r="I2458" i="19" s="1"/>
  <c r="C2507" i="19"/>
  <c r="H2507" i="19" s="1"/>
  <c r="G2507" i="19" s="1"/>
  <c r="N20" i="17"/>
  <c r="E20" i="17"/>
  <c r="Q31" i="17"/>
  <c r="I731" i="19"/>
  <c r="R870" i="19"/>
  <c r="V870" i="19" s="1"/>
  <c r="N1102" i="19"/>
  <c r="D1237" i="19"/>
  <c r="I1237" i="19" s="1"/>
  <c r="G1237" i="19" s="1"/>
  <c r="J1321" i="19"/>
  <c r="R1321" i="19"/>
  <c r="V1321" i="19" s="1"/>
  <c r="R1768" i="19"/>
  <c r="V1768" i="19" s="1"/>
  <c r="J1768" i="19"/>
  <c r="E1249" i="23"/>
  <c r="D1249" i="23"/>
  <c r="O25" i="2"/>
  <c r="J55" i="2"/>
  <c r="E1355" i="23" s="1"/>
  <c r="S57" i="2"/>
  <c r="D1559" i="23"/>
  <c r="E1640" i="23"/>
  <c r="L53" i="3"/>
  <c r="M53" i="2" s="1"/>
  <c r="D1658" i="23"/>
  <c r="C277" i="19"/>
  <c r="H277" i="19" s="1"/>
  <c r="G277" i="19" s="1"/>
  <c r="E1833" i="23"/>
  <c r="N52" i="4"/>
  <c r="E1812" i="23"/>
  <c r="L63" i="4"/>
  <c r="S35" i="6"/>
  <c r="D2190" i="23"/>
  <c r="I43" i="8"/>
  <c r="D2237" i="23" s="1"/>
  <c r="I36" i="7"/>
  <c r="D2136" i="23" s="1"/>
  <c r="D164" i="23"/>
  <c r="T47" i="7"/>
  <c r="D264" i="23"/>
  <c r="R6" i="10"/>
  <c r="J16" i="10"/>
  <c r="B2368" i="23"/>
  <c r="B291" i="23"/>
  <c r="B2415" i="23"/>
  <c r="N1289" i="19"/>
  <c r="N1240" i="19"/>
  <c r="N1337" i="19"/>
  <c r="H39" i="10"/>
  <c r="D1295" i="19"/>
  <c r="I1295" i="19" s="1"/>
  <c r="D1529" i="19"/>
  <c r="I1529" i="19" s="1"/>
  <c r="E1625" i="19"/>
  <c r="E380" i="23"/>
  <c r="C1529" i="19"/>
  <c r="H1529" i="19" s="1"/>
  <c r="G1529" i="19" s="1"/>
  <c r="K44" i="12"/>
  <c r="F28" i="12"/>
  <c r="U28" i="12"/>
  <c r="S28" i="12"/>
  <c r="D223" i="23"/>
  <c r="R12" i="9"/>
  <c r="T12" i="9"/>
  <c r="J12" i="9"/>
  <c r="N22" i="9"/>
  <c r="E2310" i="23" s="1"/>
  <c r="U33" i="9"/>
  <c r="B2440" i="23"/>
  <c r="B2487" i="23"/>
  <c r="B316" i="23"/>
  <c r="N1413" i="19"/>
  <c r="N1365" i="19"/>
  <c r="N14" i="11"/>
  <c r="E2490" i="23" s="1"/>
  <c r="D326" i="23"/>
  <c r="J21" i="11"/>
  <c r="N2046" i="19"/>
  <c r="N2078" i="19"/>
  <c r="N2110" i="19"/>
  <c r="D683" i="23"/>
  <c r="J10" i="28"/>
  <c r="R10" i="28"/>
  <c r="J15" i="28"/>
  <c r="E698" i="23"/>
  <c r="C2067" i="19"/>
  <c r="H2067" i="19" s="1"/>
  <c r="D2067" i="19"/>
  <c r="I2067" i="19" s="1"/>
  <c r="E2131" i="19"/>
  <c r="O25" i="28"/>
  <c r="S33" i="28"/>
  <c r="E799" i="23"/>
  <c r="E2226" i="19"/>
  <c r="D2162" i="19"/>
  <c r="I2162" i="19" s="1"/>
  <c r="C2162" i="19"/>
  <c r="H2162" i="19" s="1"/>
  <c r="O60" i="28"/>
  <c r="C1976" i="19"/>
  <c r="H1976" i="19" s="1"/>
  <c r="D2008" i="19"/>
  <c r="I2008" i="19" s="1"/>
  <c r="E499" i="23"/>
  <c r="D1976" i="19"/>
  <c r="I1976" i="19" s="1"/>
  <c r="N6" i="15"/>
  <c r="E533" i="23" s="1"/>
  <c r="G6" i="15"/>
  <c r="J11" i="15"/>
  <c r="O28" i="13"/>
  <c r="D2650" i="23"/>
  <c r="I33" i="13"/>
  <c r="D2697" i="23" s="1"/>
  <c r="E467" i="23"/>
  <c r="C1908" i="19"/>
  <c r="H1908" i="19" s="1"/>
  <c r="D1813" i="19"/>
  <c r="I1813" i="19" s="1"/>
  <c r="E1908" i="19"/>
  <c r="U21" i="14"/>
  <c r="S21" i="14"/>
  <c r="O21" i="14"/>
  <c r="F21" i="14"/>
  <c r="D2740" i="23"/>
  <c r="I29" i="14"/>
  <c r="E875" i="23"/>
  <c r="D2842" i="23"/>
  <c r="D961" i="23"/>
  <c r="D2418" i="19"/>
  <c r="I2418" i="19" s="1"/>
  <c r="G2418" i="19" s="1"/>
  <c r="E961" i="23"/>
  <c r="E388" i="19"/>
  <c r="D669" i="19"/>
  <c r="I669" i="19" s="1"/>
  <c r="G669" i="19" s="1"/>
  <c r="R791" i="19"/>
  <c r="V791" i="19" s="1"/>
  <c r="N811" i="19"/>
  <c r="C1488" i="19"/>
  <c r="H1488" i="19" s="1"/>
  <c r="I59" i="1"/>
  <c r="J50" i="2"/>
  <c r="E1606" i="23"/>
  <c r="D1498" i="23"/>
  <c r="E1662" i="23"/>
  <c r="D16" i="4"/>
  <c r="E1830" i="23"/>
  <c r="E1678" i="23"/>
  <c r="D32" i="4"/>
  <c r="E1680" i="23"/>
  <c r="D34" i="4"/>
  <c r="E1845" i="23"/>
  <c r="P46" i="4"/>
  <c r="E1797" i="23"/>
  <c r="D36" i="23"/>
  <c r="R13" i="5"/>
  <c r="B2210" i="23"/>
  <c r="B2163" i="23"/>
  <c r="B180" i="23"/>
  <c r="N1026" i="19"/>
  <c r="E186" i="23"/>
  <c r="D935" i="19"/>
  <c r="I935" i="19" s="1"/>
  <c r="C1032" i="19"/>
  <c r="H1032" i="19" s="1"/>
  <c r="E1032" i="19"/>
  <c r="C935" i="19"/>
  <c r="H935" i="19" s="1"/>
  <c r="F22" i="8"/>
  <c r="U22" i="8"/>
  <c r="S22" i="8"/>
  <c r="O22" i="8"/>
  <c r="I33" i="8"/>
  <c r="D2227" i="23" s="1"/>
  <c r="I35" i="8"/>
  <c r="D2229" i="23" s="1"/>
  <c r="I39" i="8"/>
  <c r="D2233" i="23" s="1"/>
  <c r="U45" i="8"/>
  <c r="B2105" i="23"/>
  <c r="B2058" i="23"/>
  <c r="B122" i="23"/>
  <c r="N868" i="19"/>
  <c r="N771" i="19"/>
  <c r="N819" i="19"/>
  <c r="E2087" i="23"/>
  <c r="D897" i="19"/>
  <c r="I897" i="19" s="1"/>
  <c r="E2091" i="23"/>
  <c r="D901" i="19"/>
  <c r="I901" i="19" s="1"/>
  <c r="D853" i="19"/>
  <c r="I853" i="19" s="1"/>
  <c r="C853" i="19"/>
  <c r="H853" i="19" s="1"/>
  <c r="U38" i="7"/>
  <c r="G38" i="7"/>
  <c r="D162" i="23"/>
  <c r="J45" i="7"/>
  <c r="T45" i="7"/>
  <c r="E289" i="23"/>
  <c r="E1335" i="19"/>
  <c r="C1335" i="19"/>
  <c r="H1335" i="19" s="1"/>
  <c r="C1238" i="19"/>
  <c r="H1238" i="19" s="1"/>
  <c r="D1238" i="19"/>
  <c r="I1238" i="19" s="1"/>
  <c r="F31" i="10"/>
  <c r="U31" i="10"/>
  <c r="D356" i="23"/>
  <c r="R4" i="12"/>
  <c r="J4" i="12"/>
  <c r="O43" i="12"/>
  <c r="B2247" i="23"/>
  <c r="B217" i="23"/>
  <c r="B2294" i="23"/>
  <c r="N1163" i="19"/>
  <c r="N1066" i="19"/>
  <c r="N1114" i="19"/>
  <c r="I8" i="9"/>
  <c r="D2296" i="23" s="1"/>
  <c r="D2253" i="23"/>
  <c r="I12" i="9"/>
  <c r="D2300" i="23" s="1"/>
  <c r="B2260" i="23"/>
  <c r="B2307" i="23"/>
  <c r="B230" i="23"/>
  <c r="N1176" i="19"/>
  <c r="N1127" i="19"/>
  <c r="B2269" i="23"/>
  <c r="B2316" i="23"/>
  <c r="B239" i="23"/>
  <c r="N1088" i="19"/>
  <c r="N1137" i="19"/>
  <c r="B2275" i="23"/>
  <c r="B2322" i="23"/>
  <c r="B245" i="23"/>
  <c r="N1094" i="19"/>
  <c r="N1191" i="19"/>
  <c r="E251" i="23"/>
  <c r="C1100" i="19"/>
  <c r="H1100" i="19" s="1"/>
  <c r="E1197" i="19"/>
  <c r="C1197" i="19"/>
  <c r="H1197" i="19" s="1"/>
  <c r="D1100" i="19"/>
  <c r="I1100" i="19" s="1"/>
  <c r="F40" i="9"/>
  <c r="U40" i="9"/>
  <c r="S40" i="9"/>
  <c r="O40" i="9"/>
  <c r="U18" i="11"/>
  <c r="J2121" i="19"/>
  <c r="R2121" i="19"/>
  <c r="N2192" i="19"/>
  <c r="N2224" i="19"/>
  <c r="N2160" i="19"/>
  <c r="D2226" i="19"/>
  <c r="I2226" i="19" s="1"/>
  <c r="D2194" i="19"/>
  <c r="I2194" i="19" s="1"/>
  <c r="E731" i="23"/>
  <c r="C2194" i="19"/>
  <c r="H2194" i="19" s="1"/>
  <c r="G60" i="28"/>
  <c r="N60" i="28"/>
  <c r="E765" i="23" s="1"/>
  <c r="U32" i="15"/>
  <c r="U43" i="15"/>
  <c r="B2668" i="23"/>
  <c r="B2621" i="23"/>
  <c r="B403" i="23"/>
  <c r="N1699" i="19"/>
  <c r="N1651" i="19"/>
  <c r="N1746" i="19"/>
  <c r="U15" i="13"/>
  <c r="D430" i="23"/>
  <c r="J31" i="13"/>
  <c r="U42" i="13"/>
  <c r="E1789" i="19"/>
  <c r="C1789" i="19"/>
  <c r="H1789" i="19" s="1"/>
  <c r="D1694" i="19"/>
  <c r="I1694" i="19" s="1"/>
  <c r="E446" i="23"/>
  <c r="C1694" i="19"/>
  <c r="H1694" i="19" s="1"/>
  <c r="F47" i="13"/>
  <c r="U47" i="13"/>
  <c r="O47" i="13"/>
  <c r="E451" i="23"/>
  <c r="C1797" i="19"/>
  <c r="H1797" i="19" s="1"/>
  <c r="D1797" i="19"/>
  <c r="I1797" i="19" s="1"/>
  <c r="C1892" i="19"/>
  <c r="H1892" i="19" s="1"/>
  <c r="U5" i="14"/>
  <c r="S5" i="14"/>
  <c r="K23" i="14"/>
  <c r="E1892" i="19"/>
  <c r="F5" i="14"/>
  <c r="O5" i="14"/>
  <c r="D465" i="23"/>
  <c r="T19" i="14"/>
  <c r="J19" i="14"/>
  <c r="R19" i="14"/>
  <c r="E491" i="23"/>
  <c r="C1932" i="19"/>
  <c r="H1932" i="19" s="1"/>
  <c r="D1837" i="19"/>
  <c r="I1837" i="19" s="1"/>
  <c r="C1837" i="19"/>
  <c r="H1837" i="19" s="1"/>
  <c r="E1932" i="19"/>
  <c r="O45" i="14"/>
  <c r="U45" i="14"/>
  <c r="S45" i="14"/>
  <c r="F45" i="14"/>
  <c r="D876" i="23"/>
  <c r="F15" i="16"/>
  <c r="I24" i="16"/>
  <c r="J24" i="16" s="1"/>
  <c r="E2882" i="23"/>
  <c r="D2372" i="19"/>
  <c r="I2372" i="19" s="1"/>
  <c r="G2372" i="19" s="1"/>
  <c r="C2319" i="19"/>
  <c r="H2319" i="19" s="1"/>
  <c r="G66" i="16"/>
  <c r="D2319" i="19"/>
  <c r="I2319" i="19" s="1"/>
  <c r="N66" i="16"/>
  <c r="E2935" i="23" s="1"/>
  <c r="M7" i="17"/>
  <c r="E2962" i="23" s="1"/>
  <c r="D926" i="23"/>
  <c r="E926" i="23"/>
  <c r="D970" i="23"/>
  <c r="E970" i="23"/>
  <c r="D2429" i="19"/>
  <c r="I2429" i="19" s="1"/>
  <c r="G2429" i="19" s="1"/>
  <c r="E3002" i="23"/>
  <c r="M7" i="18"/>
  <c r="J7" i="18"/>
  <c r="E2982" i="23" s="1"/>
  <c r="N12" i="18"/>
  <c r="E3036" i="23"/>
  <c r="O26" i="18"/>
  <c r="E1124" i="23"/>
  <c r="C2602" i="19"/>
  <c r="H2602" i="19" s="1"/>
  <c r="G2602" i="19" s="1"/>
  <c r="J33" i="18"/>
  <c r="M33" i="18"/>
  <c r="D1175" i="23"/>
  <c r="C2558" i="19"/>
  <c r="H2558" i="19" s="1"/>
  <c r="D2558" i="19"/>
  <c r="I2558" i="19" s="1"/>
  <c r="D2580" i="19"/>
  <c r="I2580" i="19" s="1"/>
  <c r="E1175" i="23"/>
  <c r="C574" i="19"/>
  <c r="H574" i="19" s="1"/>
  <c r="D598" i="19"/>
  <c r="I598" i="19" s="1"/>
  <c r="D1191" i="19"/>
  <c r="I1191" i="19" s="1"/>
  <c r="N2630" i="23"/>
  <c r="M2630" i="23"/>
  <c r="M2671" i="23"/>
  <c r="N2671" i="23"/>
  <c r="D1223" i="23"/>
  <c r="E1223" i="23"/>
  <c r="E1611" i="23"/>
  <c r="D1503" i="23"/>
  <c r="D1564" i="23"/>
  <c r="D1629" i="23"/>
  <c r="E1660" i="23"/>
  <c r="S14" i="2"/>
  <c r="D14" i="4"/>
  <c r="D1670" i="23"/>
  <c r="Q24" i="2"/>
  <c r="E1672" i="23"/>
  <c r="D26" i="4"/>
  <c r="E1674" i="23"/>
  <c r="D28" i="4"/>
  <c r="F43" i="4"/>
  <c r="D1853" i="23"/>
  <c r="E1870" i="23"/>
  <c r="N5" i="5"/>
  <c r="O5" i="5" s="1"/>
  <c r="G5" i="5"/>
  <c r="T5" i="5" s="1"/>
  <c r="C525" i="19"/>
  <c r="H525" i="19" s="1"/>
  <c r="G525" i="19" s="1"/>
  <c r="D481" i="19"/>
  <c r="I481" i="19" s="1"/>
  <c r="C481" i="19"/>
  <c r="H481" i="19" s="1"/>
  <c r="S9" i="5"/>
  <c r="O9" i="5"/>
  <c r="E578" i="19"/>
  <c r="E32" i="23"/>
  <c r="F9" i="5"/>
  <c r="J13" i="5"/>
  <c r="B1886" i="23"/>
  <c r="B44" i="23"/>
  <c r="B1933" i="23"/>
  <c r="N493" i="19"/>
  <c r="N590" i="19"/>
  <c r="N541" i="19"/>
  <c r="L73" i="17"/>
  <c r="O37" i="5"/>
  <c r="B1964" i="23"/>
  <c r="B2011" i="23"/>
  <c r="B75" i="23"/>
  <c r="N624" i="19"/>
  <c r="B2032" i="23"/>
  <c r="B1985" i="23"/>
  <c r="B96" i="23"/>
  <c r="N742" i="19"/>
  <c r="N694" i="19"/>
  <c r="N645" i="19"/>
  <c r="U31" i="6"/>
  <c r="B2202" i="23"/>
  <c r="B172" i="23"/>
  <c r="B2155" i="23"/>
  <c r="N921" i="19"/>
  <c r="N1018" i="19"/>
  <c r="N969" i="19"/>
  <c r="E2161" i="23"/>
  <c r="D975" i="19"/>
  <c r="I975" i="19" s="1"/>
  <c r="C975" i="19"/>
  <c r="H975" i="19" s="1"/>
  <c r="G14" i="8"/>
  <c r="D180" i="23"/>
  <c r="T16" i="8"/>
  <c r="R16" i="8"/>
  <c r="J16" i="8"/>
  <c r="D184" i="23"/>
  <c r="T20" i="8"/>
  <c r="R20" i="8"/>
  <c r="J20" i="8"/>
  <c r="E2169" i="23"/>
  <c r="D1032" i="19"/>
  <c r="D983" i="19"/>
  <c r="I983" i="19" s="1"/>
  <c r="G22" i="8"/>
  <c r="I29" i="8"/>
  <c r="D2223" i="23" s="1"/>
  <c r="I19" i="7"/>
  <c r="D2119" i="23" s="1"/>
  <c r="D2098" i="23"/>
  <c r="I45" i="7"/>
  <c r="D2145" i="23" s="1"/>
  <c r="B2149" i="23"/>
  <c r="B2102" i="23"/>
  <c r="B166" i="23"/>
  <c r="N913" i="19"/>
  <c r="N866" i="19"/>
  <c r="N816" i="19"/>
  <c r="E2347" i="23"/>
  <c r="D1267" i="19"/>
  <c r="I1267" i="19" s="1"/>
  <c r="C1267" i="19"/>
  <c r="H1267" i="19" s="1"/>
  <c r="G1267" i="19" s="1"/>
  <c r="D1316" i="19"/>
  <c r="I1316" i="19" s="1"/>
  <c r="N12" i="10"/>
  <c r="E2394" i="23" s="1"/>
  <c r="G12" i="10"/>
  <c r="E2351" i="23"/>
  <c r="D1320" i="19"/>
  <c r="I1320" i="19" s="1"/>
  <c r="N16" i="10"/>
  <c r="E2398" i="23" s="1"/>
  <c r="D1271" i="19"/>
  <c r="I1271" i="19" s="1"/>
  <c r="C1271" i="19"/>
  <c r="H1271" i="19" s="1"/>
  <c r="E2355" i="23"/>
  <c r="N20" i="10"/>
  <c r="E2402" i="23" s="1"/>
  <c r="E2366" i="23"/>
  <c r="D1335" i="19"/>
  <c r="I1335" i="19" s="1"/>
  <c r="D1287" i="19"/>
  <c r="I1287" i="19" s="1"/>
  <c r="C1287" i="19"/>
  <c r="H1287" i="19" s="1"/>
  <c r="G31" i="10"/>
  <c r="N31" i="10"/>
  <c r="E2413" i="23" s="1"/>
  <c r="S41" i="10"/>
  <c r="N16" i="12"/>
  <c r="E2586" i="23" s="1"/>
  <c r="T22" i="12"/>
  <c r="M44" i="12"/>
  <c r="M48" i="12" s="1"/>
  <c r="H28" i="12"/>
  <c r="H44" i="12" s="1"/>
  <c r="H48" i="12" s="1"/>
  <c r="E391" i="23"/>
  <c r="C1636" i="19"/>
  <c r="H1636" i="19" s="1"/>
  <c r="E1636" i="19"/>
  <c r="D1540" i="19"/>
  <c r="I1540" i="19" s="1"/>
  <c r="F39" i="12"/>
  <c r="C1540" i="19"/>
  <c r="H1540" i="19" s="1"/>
  <c r="U39" i="12"/>
  <c r="S39" i="12"/>
  <c r="R46" i="12"/>
  <c r="D217" i="23"/>
  <c r="J6" i="9"/>
  <c r="T6" i="9"/>
  <c r="J8" i="9"/>
  <c r="D232" i="23"/>
  <c r="T21" i="9"/>
  <c r="J21" i="9"/>
  <c r="D239" i="23"/>
  <c r="J28" i="9"/>
  <c r="H36" i="9"/>
  <c r="H44" i="9" s="1"/>
  <c r="H48" i="9" s="1"/>
  <c r="H51" i="9" s="1"/>
  <c r="F2509" i="22" s="1"/>
  <c r="I45" i="9"/>
  <c r="D2333" i="23" s="1"/>
  <c r="I47" i="9"/>
  <c r="D2335" i="23" s="1"/>
  <c r="I26" i="11"/>
  <c r="D2502" i="23" s="1"/>
  <c r="U37" i="11"/>
  <c r="E2471" i="23"/>
  <c r="D1493" i="19"/>
  <c r="I1493" i="19" s="1"/>
  <c r="D1445" i="19"/>
  <c r="I1445" i="19" s="1"/>
  <c r="G1445" i="19" s="1"/>
  <c r="G42" i="11"/>
  <c r="I8" i="28"/>
  <c r="D647" i="23" s="1"/>
  <c r="D712" i="23"/>
  <c r="D792" i="23"/>
  <c r="J53" i="28"/>
  <c r="H21" i="15"/>
  <c r="N2003" i="19"/>
  <c r="N2035" i="19"/>
  <c r="N1970" i="19"/>
  <c r="K49" i="15"/>
  <c r="E566" i="23"/>
  <c r="I61" i="15"/>
  <c r="D566" i="23" s="1"/>
  <c r="N67" i="15"/>
  <c r="E572" i="23" s="1"/>
  <c r="D440" i="23"/>
  <c r="J41" i="13"/>
  <c r="T41" i="13"/>
  <c r="E463" i="23"/>
  <c r="D1809" i="19"/>
  <c r="I1809" i="19" s="1"/>
  <c r="C1809" i="19"/>
  <c r="H1809" i="19" s="1"/>
  <c r="C1904" i="19"/>
  <c r="H1904" i="19" s="1"/>
  <c r="U17" i="14"/>
  <c r="F17" i="14"/>
  <c r="E1904" i="19"/>
  <c r="S17" i="14"/>
  <c r="D1823" i="19"/>
  <c r="I1823" i="19" s="1"/>
  <c r="C1823" i="19"/>
  <c r="H1823" i="19" s="1"/>
  <c r="G1823" i="19" s="1"/>
  <c r="E1918" i="19"/>
  <c r="E477" i="23"/>
  <c r="C1918" i="19"/>
  <c r="H1918" i="19" s="1"/>
  <c r="U31" i="14"/>
  <c r="S31" i="14"/>
  <c r="O31" i="14"/>
  <c r="F31" i="14"/>
  <c r="E876" i="23"/>
  <c r="C2249" i="19"/>
  <c r="H2249" i="19" s="1"/>
  <c r="C2330" i="19"/>
  <c r="H2330" i="19" s="1"/>
  <c r="D2249" i="19"/>
  <c r="I2249" i="19" s="1"/>
  <c r="E2330" i="19"/>
  <c r="K15" i="16"/>
  <c r="R53" i="19"/>
  <c r="J69" i="19"/>
  <c r="G69" i="19" s="1"/>
  <c r="R69" i="19"/>
  <c r="V69" i="19" s="1"/>
  <c r="D574" i="19"/>
  <c r="I574" i="19" s="1"/>
  <c r="N740" i="19"/>
  <c r="D943" i="19"/>
  <c r="I943" i="19" s="1"/>
  <c r="J1168" i="19"/>
  <c r="R1168" i="19"/>
  <c r="V1168" i="19" s="1"/>
  <c r="E1176" i="19"/>
  <c r="E3047" i="23"/>
  <c r="E1233" i="23"/>
  <c r="D1233" i="23"/>
  <c r="I53" i="1"/>
  <c r="J45" i="2"/>
  <c r="E1345" i="23" s="1"/>
  <c r="E1618" i="23"/>
  <c r="L31" i="3"/>
  <c r="E1629" i="23"/>
  <c r="E1638" i="23"/>
  <c r="L51" i="3"/>
  <c r="E1713" i="23"/>
  <c r="H14" i="4"/>
  <c r="E1688" i="23"/>
  <c r="D45" i="4"/>
  <c r="D1690" i="23"/>
  <c r="E1874" i="23"/>
  <c r="C529" i="19"/>
  <c r="H529" i="19" s="1"/>
  <c r="N9" i="5"/>
  <c r="E1921" i="23" s="1"/>
  <c r="G9" i="5"/>
  <c r="D578" i="19"/>
  <c r="I578" i="19" s="1"/>
  <c r="D529" i="19"/>
  <c r="I529" i="19" s="1"/>
  <c r="E34" i="23"/>
  <c r="D483" i="19"/>
  <c r="I483" i="19" s="1"/>
  <c r="C483" i="19"/>
  <c r="H483" i="19" s="1"/>
  <c r="G483" i="19" s="1"/>
  <c r="F11" i="5"/>
  <c r="C580" i="19"/>
  <c r="H580" i="19" s="1"/>
  <c r="U11" i="5"/>
  <c r="S11" i="5"/>
  <c r="O11" i="5"/>
  <c r="E36" i="23"/>
  <c r="C485" i="19"/>
  <c r="H485" i="19" s="1"/>
  <c r="S13" i="5"/>
  <c r="O13" i="5"/>
  <c r="C582" i="19"/>
  <c r="H582" i="19" s="1"/>
  <c r="D485" i="19"/>
  <c r="I485" i="19" s="1"/>
  <c r="D44" i="23"/>
  <c r="R21" i="5"/>
  <c r="K23" i="5"/>
  <c r="O25" i="5"/>
  <c r="D1893" i="23"/>
  <c r="I28" i="5"/>
  <c r="D1895" i="23"/>
  <c r="B1899" i="23"/>
  <c r="B57" i="23"/>
  <c r="B1946" i="23"/>
  <c r="N506" i="19"/>
  <c r="N603" i="19"/>
  <c r="B1911" i="23"/>
  <c r="B1958" i="23"/>
  <c r="N518" i="19"/>
  <c r="N615" i="19"/>
  <c r="N568" i="19"/>
  <c r="D94" i="23"/>
  <c r="J24" i="6"/>
  <c r="R46" i="6"/>
  <c r="E195" i="23"/>
  <c r="E1041" i="19"/>
  <c r="C1041" i="19"/>
  <c r="H1041" i="19" s="1"/>
  <c r="D944" i="19"/>
  <c r="I944" i="19" s="1"/>
  <c r="C944" i="19"/>
  <c r="H944" i="19" s="1"/>
  <c r="S31" i="8"/>
  <c r="E2182" i="23"/>
  <c r="D1045" i="19"/>
  <c r="I1045" i="19" s="1"/>
  <c r="D997" i="19"/>
  <c r="I997" i="19" s="1"/>
  <c r="C997" i="19"/>
  <c r="H997" i="19" s="1"/>
  <c r="N35" i="8"/>
  <c r="E2229" i="23" s="1"/>
  <c r="R39" i="8"/>
  <c r="F46" i="8"/>
  <c r="E124" i="23"/>
  <c r="C773" i="19"/>
  <c r="H773" i="19" s="1"/>
  <c r="D773" i="19"/>
  <c r="I773" i="19" s="1"/>
  <c r="F7" i="7"/>
  <c r="C870" i="19"/>
  <c r="H870" i="19" s="1"/>
  <c r="S7" i="7"/>
  <c r="O7" i="7"/>
  <c r="E2062" i="23"/>
  <c r="C823" i="19"/>
  <c r="H823" i="19" s="1"/>
  <c r="D872" i="19"/>
  <c r="I872" i="19" s="1"/>
  <c r="N9" i="7"/>
  <c r="E2109" i="23" s="1"/>
  <c r="D823" i="19"/>
  <c r="I823" i="19" s="1"/>
  <c r="G9" i="7"/>
  <c r="E132" i="23"/>
  <c r="C781" i="19"/>
  <c r="H781" i="19" s="1"/>
  <c r="F15" i="7"/>
  <c r="E878" i="19"/>
  <c r="S15" i="7"/>
  <c r="C878" i="19"/>
  <c r="H878" i="19" s="1"/>
  <c r="D781" i="19"/>
  <c r="I781" i="19" s="1"/>
  <c r="S17" i="7"/>
  <c r="E2074" i="23"/>
  <c r="D884" i="19"/>
  <c r="I884" i="19" s="1"/>
  <c r="N21" i="7"/>
  <c r="E2121" i="23" s="1"/>
  <c r="G21" i="7"/>
  <c r="D835" i="19"/>
  <c r="I835" i="19" s="1"/>
  <c r="G835" i="19" s="1"/>
  <c r="N30" i="7"/>
  <c r="E2130" i="23" s="1"/>
  <c r="N34" i="7"/>
  <c r="E2134" i="23" s="1"/>
  <c r="I47" i="7"/>
  <c r="D2147" i="23" s="1"/>
  <c r="D287" i="23"/>
  <c r="R29" i="10"/>
  <c r="T29" i="10"/>
  <c r="J29" i="10"/>
  <c r="U30" i="12"/>
  <c r="S43" i="12"/>
  <c r="D2247" i="23"/>
  <c r="I6" i="9"/>
  <c r="D2294" i="23" s="1"/>
  <c r="D226" i="23"/>
  <c r="T15" i="9"/>
  <c r="G38" i="9"/>
  <c r="E260" i="23"/>
  <c r="D1110" i="19"/>
  <c r="I1110" i="19" s="1"/>
  <c r="G1110" i="19" s="1"/>
  <c r="S50" i="9"/>
  <c r="F50" i="9"/>
  <c r="D2460" i="23"/>
  <c r="I31" i="11"/>
  <c r="D2507" i="23" s="1"/>
  <c r="E345" i="23"/>
  <c r="C1394" i="19"/>
  <c r="H1394" i="19" s="1"/>
  <c r="E1491" i="19"/>
  <c r="D1394" i="19"/>
  <c r="I1394" i="19" s="1"/>
  <c r="C1491" i="19"/>
  <c r="H1491" i="19" s="1"/>
  <c r="S40" i="11"/>
  <c r="O40" i="11"/>
  <c r="F40" i="11"/>
  <c r="M44" i="11"/>
  <c r="M48" i="11" s="1"/>
  <c r="H13" i="28"/>
  <c r="M54" i="15"/>
  <c r="D724" i="23"/>
  <c r="I53" i="28"/>
  <c r="D758" i="23" s="1"/>
  <c r="D729" i="23"/>
  <c r="I58" i="28"/>
  <c r="D763" i="23" s="1"/>
  <c r="E2006" i="19"/>
  <c r="E575" i="23"/>
  <c r="C1941" i="19"/>
  <c r="H1941" i="19" s="1"/>
  <c r="G1941" i="19" s="1"/>
  <c r="U4" i="15"/>
  <c r="K12" i="15"/>
  <c r="F4" i="15"/>
  <c r="K41" i="15"/>
  <c r="N1977" i="19"/>
  <c r="N2009" i="19"/>
  <c r="N1944" i="19"/>
  <c r="F33" i="15"/>
  <c r="D407" i="23"/>
  <c r="R8" i="13"/>
  <c r="E2728" i="23"/>
  <c r="D1904" i="19"/>
  <c r="I1904" i="19" s="1"/>
  <c r="C1857" i="19"/>
  <c r="H1857" i="19" s="1"/>
  <c r="G1857" i="19" s="1"/>
  <c r="D1857" i="19"/>
  <c r="I1857" i="19" s="1"/>
  <c r="G17" i="14"/>
  <c r="B2736" i="23"/>
  <c r="B471" i="23"/>
  <c r="N1865" i="19"/>
  <c r="N1912" i="19"/>
  <c r="N1817" i="19"/>
  <c r="B2784" i="23"/>
  <c r="T42" i="14"/>
  <c r="H10" i="16"/>
  <c r="E2816" i="23"/>
  <c r="D2279" i="19"/>
  <c r="I2279" i="19" s="1"/>
  <c r="C2279" i="19"/>
  <c r="H2279" i="19" s="1"/>
  <c r="D2330" i="19"/>
  <c r="I2330" i="19" s="1"/>
  <c r="G11" i="16"/>
  <c r="N11" i="16"/>
  <c r="O11" i="16" s="1"/>
  <c r="D2849" i="23"/>
  <c r="J31" i="16"/>
  <c r="D2874" i="23"/>
  <c r="J58" i="16"/>
  <c r="M21" i="17"/>
  <c r="E2976" i="23" s="1"/>
  <c r="G21" i="17"/>
  <c r="R892" i="19"/>
  <c r="V892" i="19" s="1"/>
  <c r="J892" i="19"/>
  <c r="D967" i="19"/>
  <c r="I967" i="19" s="1"/>
  <c r="G967" i="19" s="1"/>
  <c r="N2206" i="23"/>
  <c r="M2206" i="23"/>
  <c r="E1294" i="23"/>
  <c r="D1294" i="23"/>
  <c r="D1300" i="23"/>
  <c r="E1300" i="23"/>
  <c r="S28" i="2"/>
  <c r="J10" i="3"/>
  <c r="H26" i="4"/>
  <c r="D1727" i="23"/>
  <c r="E1735" i="23"/>
  <c r="H38" i="4"/>
  <c r="G38" i="2" s="1"/>
  <c r="D1338" i="23" s="1"/>
  <c r="E1684" i="23"/>
  <c r="S41" i="2"/>
  <c r="E1696" i="23"/>
  <c r="D53" i="4"/>
  <c r="D57" i="4"/>
  <c r="N7" i="5"/>
  <c r="E1919" i="23" s="1"/>
  <c r="E1876" i="23"/>
  <c r="C531" i="19"/>
  <c r="H531" i="19" s="1"/>
  <c r="D580" i="19"/>
  <c r="I580" i="19" s="1"/>
  <c r="D531" i="19"/>
  <c r="I531" i="19" s="1"/>
  <c r="G11" i="5"/>
  <c r="N11" i="5"/>
  <c r="E1923" i="23" s="1"/>
  <c r="E1880" i="23"/>
  <c r="D535" i="19"/>
  <c r="I535" i="19" s="1"/>
  <c r="D584" i="19"/>
  <c r="I584" i="19" s="1"/>
  <c r="G15" i="5"/>
  <c r="C535" i="19"/>
  <c r="H535" i="19" s="1"/>
  <c r="E42" i="23"/>
  <c r="D491" i="19"/>
  <c r="I491" i="19" s="1"/>
  <c r="C588" i="19"/>
  <c r="H588" i="19" s="1"/>
  <c r="E588" i="19"/>
  <c r="F19" i="5"/>
  <c r="C491" i="19"/>
  <c r="H491" i="19" s="1"/>
  <c r="U19" i="5"/>
  <c r="S19" i="5"/>
  <c r="J21" i="5"/>
  <c r="D57" i="23"/>
  <c r="B1948" i="23"/>
  <c r="B59" i="23"/>
  <c r="B1901" i="23"/>
  <c r="N557" i="19"/>
  <c r="N508" i="19"/>
  <c r="N605" i="19"/>
  <c r="B1954" i="23"/>
  <c r="B1907" i="23"/>
  <c r="B65" i="23"/>
  <c r="N611" i="19"/>
  <c r="N514" i="19"/>
  <c r="N563" i="19"/>
  <c r="T50" i="5"/>
  <c r="T8" i="6"/>
  <c r="I12" i="6"/>
  <c r="D2018" i="23" s="1"/>
  <c r="E94" i="23"/>
  <c r="C740" i="19"/>
  <c r="H740" i="19" s="1"/>
  <c r="D643" i="19"/>
  <c r="I643" i="19" s="1"/>
  <c r="C643" i="19"/>
  <c r="H643" i="19" s="1"/>
  <c r="E740" i="19"/>
  <c r="F30" i="6"/>
  <c r="D919" i="19"/>
  <c r="I919" i="19" s="1"/>
  <c r="E1016" i="19"/>
  <c r="C1016" i="19"/>
  <c r="H1016" i="19" s="1"/>
  <c r="F6" i="8"/>
  <c r="C919" i="19"/>
  <c r="H919" i="19" s="1"/>
  <c r="U6" i="8"/>
  <c r="S6" i="8"/>
  <c r="O6" i="8"/>
  <c r="E170" i="23"/>
  <c r="E1022" i="19"/>
  <c r="C1022" i="19"/>
  <c r="H1022" i="19" s="1"/>
  <c r="C925" i="19"/>
  <c r="H925" i="19" s="1"/>
  <c r="D925" i="19"/>
  <c r="I925" i="19" s="1"/>
  <c r="O12" i="8"/>
  <c r="S12" i="8"/>
  <c r="F12" i="8"/>
  <c r="E2165" i="23"/>
  <c r="D979" i="19"/>
  <c r="I979" i="19" s="1"/>
  <c r="D1028" i="19"/>
  <c r="I1028" i="19" s="1"/>
  <c r="C979" i="19"/>
  <c r="H979" i="19" s="1"/>
  <c r="G18" i="8"/>
  <c r="N18" i="8"/>
  <c r="E2212" i="23" s="1"/>
  <c r="N22" i="8"/>
  <c r="E2216" i="23" s="1"/>
  <c r="E2178" i="23"/>
  <c r="D1041" i="19"/>
  <c r="I1041" i="19" s="1"/>
  <c r="N31" i="8"/>
  <c r="E2225" i="23" s="1"/>
  <c r="D1001" i="19"/>
  <c r="I1001" i="19" s="1"/>
  <c r="C1001" i="19"/>
  <c r="H1001" i="19" s="1"/>
  <c r="E2186" i="23"/>
  <c r="D1049" i="19"/>
  <c r="I1049" i="19" s="1"/>
  <c r="N39" i="8"/>
  <c r="E2233" i="23" s="1"/>
  <c r="E122" i="23"/>
  <c r="E868" i="19"/>
  <c r="C771" i="19"/>
  <c r="H771" i="19" s="1"/>
  <c r="D771" i="19"/>
  <c r="I771" i="19" s="1"/>
  <c r="O5" i="7"/>
  <c r="F5" i="7"/>
  <c r="C868" i="19"/>
  <c r="H868" i="19" s="1"/>
  <c r="S5" i="7"/>
  <c r="K23" i="7"/>
  <c r="E2060" i="23"/>
  <c r="D870" i="19"/>
  <c r="I870" i="19" s="1"/>
  <c r="D821" i="19"/>
  <c r="I821" i="19" s="1"/>
  <c r="C821" i="19"/>
  <c r="H821" i="19" s="1"/>
  <c r="E2068" i="23"/>
  <c r="D878" i="19"/>
  <c r="I878" i="19" s="1"/>
  <c r="D829" i="19"/>
  <c r="I829" i="19" s="1"/>
  <c r="C829" i="19"/>
  <c r="H829" i="19" s="1"/>
  <c r="G15" i="7"/>
  <c r="E136" i="23"/>
  <c r="C785" i="19"/>
  <c r="H785" i="19" s="1"/>
  <c r="D785" i="19"/>
  <c r="I785" i="19" s="1"/>
  <c r="F19" i="7"/>
  <c r="S19" i="7"/>
  <c r="O19" i="7"/>
  <c r="E2098" i="23"/>
  <c r="D908" i="19"/>
  <c r="I908" i="19" s="1"/>
  <c r="C860" i="19"/>
  <c r="H860" i="19" s="1"/>
  <c r="G860" i="19" s="1"/>
  <c r="S12" i="10"/>
  <c r="D1203" i="23"/>
  <c r="E1203" i="23"/>
  <c r="E43" i="19"/>
  <c r="E1285" i="23"/>
  <c r="D1285" i="23"/>
  <c r="E1264" i="23"/>
  <c r="D1264" i="23"/>
  <c r="Q15" i="2"/>
  <c r="J26" i="2"/>
  <c r="E1326" i="23" s="1"/>
  <c r="J40" i="2"/>
  <c r="E1340" i="23" s="1"/>
  <c r="E1487" i="23"/>
  <c r="J17" i="2"/>
  <c r="E1317" i="23" s="1"/>
  <c r="D17" i="3"/>
  <c r="H19" i="3"/>
  <c r="E1557" i="23"/>
  <c r="H29" i="3"/>
  <c r="D32" i="3"/>
  <c r="E1623" i="23"/>
  <c r="L36" i="3"/>
  <c r="E1573" i="23"/>
  <c r="E1634" i="23"/>
  <c r="L47" i="3"/>
  <c r="L12" i="4"/>
  <c r="D1766" i="23"/>
  <c r="C380" i="19"/>
  <c r="H380" i="19" s="1"/>
  <c r="G380" i="19" s="1"/>
  <c r="E1784" i="23"/>
  <c r="L32" i="4"/>
  <c r="E1733" i="23"/>
  <c r="E1737" i="23"/>
  <c r="H41" i="4"/>
  <c r="B1916" i="23"/>
  <c r="B1869" i="23"/>
  <c r="B27" i="23"/>
  <c r="N524" i="19"/>
  <c r="N573" i="19"/>
  <c r="N476" i="19"/>
  <c r="U5" i="5"/>
  <c r="E1882" i="23"/>
  <c r="D586" i="19"/>
  <c r="I586" i="19" s="1"/>
  <c r="C537" i="19"/>
  <c r="H537" i="19" s="1"/>
  <c r="N17" i="5"/>
  <c r="E1929" i="23" s="1"/>
  <c r="G17" i="5"/>
  <c r="E1884" i="23"/>
  <c r="G19" i="5"/>
  <c r="D588" i="19"/>
  <c r="I588" i="19" s="1"/>
  <c r="C539" i="19"/>
  <c r="H539" i="19" s="1"/>
  <c r="G539" i="19" s="1"/>
  <c r="E44" i="23"/>
  <c r="D493" i="19"/>
  <c r="I493" i="19" s="1"/>
  <c r="C493" i="19"/>
  <c r="H493" i="19" s="1"/>
  <c r="C590" i="19"/>
  <c r="H590" i="19" s="1"/>
  <c r="E590" i="19"/>
  <c r="S21" i="5"/>
  <c r="O21" i="5"/>
  <c r="M23" i="5"/>
  <c r="S25" i="5"/>
  <c r="I32" i="5"/>
  <c r="D1944" i="23" s="1"/>
  <c r="D1899" i="23"/>
  <c r="I34" i="5"/>
  <c r="D1946" i="23" s="1"/>
  <c r="F36" i="5"/>
  <c r="D65" i="23"/>
  <c r="J42" i="5"/>
  <c r="R42" i="5"/>
  <c r="E1964" i="23"/>
  <c r="D672" i="19"/>
  <c r="I672" i="19" s="1"/>
  <c r="C672" i="19"/>
  <c r="H672" i="19" s="1"/>
  <c r="G5" i="6"/>
  <c r="D721" i="19"/>
  <c r="I721" i="19" s="1"/>
  <c r="I7" i="6"/>
  <c r="D2013" i="23" s="1"/>
  <c r="E1983" i="23"/>
  <c r="G24" i="6"/>
  <c r="D691" i="19"/>
  <c r="I691" i="19" s="1"/>
  <c r="C691" i="19"/>
  <c r="H691" i="19" s="1"/>
  <c r="N24" i="6"/>
  <c r="E2030" i="23" s="1"/>
  <c r="G30" i="6"/>
  <c r="L44" i="6"/>
  <c r="D168" i="23"/>
  <c r="R4" i="8"/>
  <c r="J4" i="8"/>
  <c r="E2153" i="23"/>
  <c r="D1016" i="19"/>
  <c r="I1016" i="19" s="1"/>
  <c r="G6" i="8"/>
  <c r="E2159" i="23"/>
  <c r="D1022" i="19"/>
  <c r="I1022" i="19" s="1"/>
  <c r="D973" i="19"/>
  <c r="I973" i="19" s="1"/>
  <c r="O14" i="8"/>
  <c r="E2163" i="23"/>
  <c r="C977" i="19"/>
  <c r="H977" i="19" s="1"/>
  <c r="D1026" i="19"/>
  <c r="I1026" i="19" s="1"/>
  <c r="D977" i="19"/>
  <c r="I977" i="19" s="1"/>
  <c r="E2172" i="23"/>
  <c r="D1035" i="19"/>
  <c r="C986" i="19"/>
  <c r="H986" i="19" s="1"/>
  <c r="G25" i="8"/>
  <c r="E986" i="19"/>
  <c r="D986" i="19"/>
  <c r="I986" i="19" s="1"/>
  <c r="E2058" i="23"/>
  <c r="D868" i="19"/>
  <c r="I868" i="19" s="1"/>
  <c r="C819" i="19"/>
  <c r="H819" i="19" s="1"/>
  <c r="D819" i="19"/>
  <c r="I819" i="19" s="1"/>
  <c r="N5" i="7"/>
  <c r="E2105" i="23" s="1"/>
  <c r="G5" i="7"/>
  <c r="U17" i="7"/>
  <c r="E2072" i="23"/>
  <c r="C833" i="19"/>
  <c r="H833" i="19" s="1"/>
  <c r="D882" i="19"/>
  <c r="I882" i="19" s="1"/>
  <c r="D833" i="19"/>
  <c r="I833" i="19" s="1"/>
  <c r="N19" i="7"/>
  <c r="E2119" i="23" s="1"/>
  <c r="E2128" i="23"/>
  <c r="E2102" i="23"/>
  <c r="C866" i="19"/>
  <c r="H866" i="19" s="1"/>
  <c r="G866" i="19" s="1"/>
  <c r="D913" i="19"/>
  <c r="I913" i="19" s="1"/>
  <c r="G913" i="19" s="1"/>
  <c r="U50" i="7"/>
  <c r="G50" i="7"/>
  <c r="T6" i="10"/>
  <c r="U16" i="10"/>
  <c r="D283" i="23"/>
  <c r="T25" i="10"/>
  <c r="T46" i="10"/>
  <c r="B2384" i="23"/>
  <c r="B2431" i="23"/>
  <c r="B307" i="23"/>
  <c r="N1307" i="19"/>
  <c r="N1257" i="19"/>
  <c r="N1354" i="19"/>
  <c r="E360" i="23"/>
  <c r="C1605" i="19"/>
  <c r="H1605" i="19" s="1"/>
  <c r="D1509" i="19"/>
  <c r="I1509" i="19" s="1"/>
  <c r="E1605" i="19"/>
  <c r="C1509" i="19"/>
  <c r="H1509" i="19" s="1"/>
  <c r="F8" i="12"/>
  <c r="U8" i="12"/>
  <c r="S8" i="12"/>
  <c r="O8" i="12"/>
  <c r="K23" i="12"/>
  <c r="E389" i="23"/>
  <c r="D1538" i="19"/>
  <c r="I1538" i="19" s="1"/>
  <c r="C1538" i="19"/>
  <c r="H1538" i="19" s="1"/>
  <c r="C1634" i="19"/>
  <c r="H1634" i="19" s="1"/>
  <c r="O37" i="12"/>
  <c r="E1634" i="19"/>
  <c r="S37" i="12"/>
  <c r="F37" i="12"/>
  <c r="N39" i="12"/>
  <c r="E2609" i="23" s="1"/>
  <c r="E2247" i="23"/>
  <c r="D1114" i="19"/>
  <c r="I1114" i="19" s="1"/>
  <c r="C1114" i="19"/>
  <c r="H1114" i="19" s="1"/>
  <c r="D1163" i="19"/>
  <c r="I1163" i="19" s="1"/>
  <c r="I15" i="9"/>
  <c r="D2303" i="23" s="1"/>
  <c r="D228" i="23"/>
  <c r="T17" i="9"/>
  <c r="J17" i="9"/>
  <c r="R17" i="9"/>
  <c r="I21" i="9"/>
  <c r="D2309" i="23" s="1"/>
  <c r="E2269" i="23"/>
  <c r="D1185" i="19"/>
  <c r="I1185" i="19" s="1"/>
  <c r="D1137" i="19"/>
  <c r="I1137" i="19" s="1"/>
  <c r="C1137" i="19"/>
  <c r="H1137" i="19" s="1"/>
  <c r="L44" i="9"/>
  <c r="N28" i="9"/>
  <c r="G28" i="9"/>
  <c r="E245" i="23"/>
  <c r="C1094" i="19"/>
  <c r="H1094" i="19" s="1"/>
  <c r="E1191" i="19"/>
  <c r="O34" i="9"/>
  <c r="F34" i="9"/>
  <c r="C1191" i="19"/>
  <c r="H1191" i="19" s="1"/>
  <c r="D1094" i="19"/>
  <c r="I1094" i="19" s="1"/>
  <c r="S34" i="9"/>
  <c r="E2277" i="23"/>
  <c r="D1145" i="19"/>
  <c r="I1145" i="19" s="1"/>
  <c r="C1145" i="19"/>
  <c r="H1145" i="19" s="1"/>
  <c r="G36" i="9"/>
  <c r="D1193" i="19"/>
  <c r="I1193" i="19" s="1"/>
  <c r="E249" i="23"/>
  <c r="E1195" i="19"/>
  <c r="D1098" i="19"/>
  <c r="I1098" i="19" s="1"/>
  <c r="C1098" i="19"/>
  <c r="H1098" i="19" s="1"/>
  <c r="O38" i="9"/>
  <c r="S38" i="9"/>
  <c r="U38" i="9"/>
  <c r="F38" i="9"/>
  <c r="D314" i="23"/>
  <c r="J9" i="11"/>
  <c r="R9" i="11"/>
  <c r="D322" i="23"/>
  <c r="T17" i="11"/>
  <c r="R17" i="11"/>
  <c r="J17" i="11"/>
  <c r="E2460" i="23"/>
  <c r="D1434" i="19"/>
  <c r="I1434" i="19" s="1"/>
  <c r="C1434" i="19"/>
  <c r="H1434" i="19" s="1"/>
  <c r="U31" i="11"/>
  <c r="N31" i="11"/>
  <c r="E2507" i="23" s="1"/>
  <c r="O42" i="11"/>
  <c r="D2474" i="23"/>
  <c r="I45" i="11"/>
  <c r="D2521" i="23" s="1"/>
  <c r="H6" i="28"/>
  <c r="H42" i="15" s="1"/>
  <c r="N6" i="28"/>
  <c r="E645" i="23" s="1"/>
  <c r="D692" i="23"/>
  <c r="R19" i="28"/>
  <c r="J19" i="28"/>
  <c r="E628" i="23"/>
  <c r="D2097" i="19"/>
  <c r="I2097" i="19" s="1"/>
  <c r="D2129" i="19"/>
  <c r="I2129" i="19" s="1"/>
  <c r="C2097" i="19"/>
  <c r="H2097" i="19" s="1"/>
  <c r="G23" i="28"/>
  <c r="N23" i="28"/>
  <c r="E662" i="23" s="1"/>
  <c r="N2070" i="19"/>
  <c r="N2102" i="19"/>
  <c r="N2134" i="19"/>
  <c r="N1979" i="19"/>
  <c r="N2011" i="19"/>
  <c r="N1946" i="19"/>
  <c r="E514" i="23"/>
  <c r="D1991" i="19"/>
  <c r="I1991" i="19" s="1"/>
  <c r="C1991" i="19"/>
  <c r="H1991" i="19" s="1"/>
  <c r="D2023" i="19"/>
  <c r="I2023" i="19" s="1"/>
  <c r="G21" i="15"/>
  <c r="AA25" i="15"/>
  <c r="C1965" i="19"/>
  <c r="H1965" i="19" s="1"/>
  <c r="D1965" i="19"/>
  <c r="I1965" i="19" s="1"/>
  <c r="E599" i="23"/>
  <c r="E2030" i="19"/>
  <c r="O28" i="15"/>
  <c r="S28" i="15"/>
  <c r="U28" i="15"/>
  <c r="N2033" i="19"/>
  <c r="N2001" i="19"/>
  <c r="N1968" i="19"/>
  <c r="L54" i="15"/>
  <c r="J8" i="13"/>
  <c r="D2627" i="23"/>
  <c r="I10" i="13"/>
  <c r="D2674" i="23" s="1"/>
  <c r="C1711" i="19"/>
  <c r="H1711" i="19" s="1"/>
  <c r="E2633" i="23"/>
  <c r="D1758" i="19"/>
  <c r="I1758" i="19" s="1"/>
  <c r="D1711" i="19"/>
  <c r="I1711" i="19" s="1"/>
  <c r="G16" i="13"/>
  <c r="N16" i="13"/>
  <c r="E2680" i="23" s="1"/>
  <c r="I41" i="13"/>
  <c r="D2705" i="23" s="1"/>
  <c r="S47" i="13"/>
  <c r="B2768" i="23"/>
  <c r="B2720" i="23"/>
  <c r="B455" i="23"/>
  <c r="N1801" i="19"/>
  <c r="N1849" i="19"/>
  <c r="N1896" i="19"/>
  <c r="D459" i="23"/>
  <c r="R13" i="14"/>
  <c r="J13" i="14"/>
  <c r="T13" i="14"/>
  <c r="N17" i="14"/>
  <c r="E2776" i="23" s="1"/>
  <c r="D2736" i="23"/>
  <c r="I25" i="14"/>
  <c r="D2784" i="23" s="1"/>
  <c r="B2754" i="23"/>
  <c r="B489" i="23"/>
  <c r="N1930" i="19"/>
  <c r="N1883" i="19"/>
  <c r="B2802" i="23"/>
  <c r="N1835" i="19"/>
  <c r="I58" i="16"/>
  <c r="D2927" i="23" s="1"/>
  <c r="D1045" i="23"/>
  <c r="E1045" i="23"/>
  <c r="E2443" i="19"/>
  <c r="E3028" i="23"/>
  <c r="O16" i="18"/>
  <c r="D3028" i="23" s="1"/>
  <c r="J16" i="18"/>
  <c r="E2990" i="23" s="1"/>
  <c r="E1180" i="23"/>
  <c r="D2609" i="19"/>
  <c r="I2609" i="19" s="1"/>
  <c r="C2617" i="19"/>
  <c r="H2617" i="19" s="1"/>
  <c r="C2636" i="19"/>
  <c r="H2636" i="19" s="1"/>
  <c r="G2636" i="19" s="1"/>
  <c r="C2609" i="19"/>
  <c r="H2609" i="19" s="1"/>
  <c r="R52" i="18"/>
  <c r="E54" i="19"/>
  <c r="V246" i="19"/>
  <c r="V295" i="19"/>
  <c r="V308" i="19"/>
  <c r="D489" i="19"/>
  <c r="I489" i="19" s="1"/>
  <c r="N567" i="19"/>
  <c r="G694" i="19"/>
  <c r="G796" i="19"/>
  <c r="N836" i="19"/>
  <c r="C882" i="19"/>
  <c r="H882" i="19" s="1"/>
  <c r="N1077" i="19"/>
  <c r="G1184" i="19"/>
  <c r="G1254" i="19"/>
  <c r="E507" i="23"/>
  <c r="E1200" i="23"/>
  <c r="D1200" i="23"/>
  <c r="E40" i="19"/>
  <c r="O40" i="2"/>
  <c r="D1483" i="23"/>
  <c r="M13" i="2"/>
  <c r="C121" i="19"/>
  <c r="H121" i="19" s="1"/>
  <c r="G121" i="19" s="1"/>
  <c r="B1871" i="23"/>
  <c r="B29" i="23"/>
  <c r="B1918" i="23"/>
  <c r="N478" i="19"/>
  <c r="N575" i="19"/>
  <c r="N526" i="19"/>
  <c r="B1968" i="23"/>
  <c r="B2015" i="23"/>
  <c r="B79" i="23"/>
  <c r="N725" i="19"/>
  <c r="N628" i="19"/>
  <c r="N676" i="19"/>
  <c r="E438" i="23"/>
  <c r="C1686" i="19"/>
  <c r="H1686" i="19" s="1"/>
  <c r="C1781" i="19"/>
  <c r="H1781" i="19" s="1"/>
  <c r="D1686" i="19"/>
  <c r="I1686" i="19" s="1"/>
  <c r="E1781" i="19"/>
  <c r="F39" i="13"/>
  <c r="U39" i="13"/>
  <c r="S39" i="13"/>
  <c r="E1782" i="23"/>
  <c r="E1911" i="23"/>
  <c r="E1302" i="19"/>
  <c r="E567" i="19"/>
  <c r="D567" i="19"/>
  <c r="I567" i="19" s="1"/>
  <c r="C567" i="19"/>
  <c r="H567" i="19" s="1"/>
  <c r="N46" i="5"/>
  <c r="G46" i="5"/>
  <c r="D90" i="23"/>
  <c r="R20" i="6"/>
  <c r="J20" i="6"/>
  <c r="N16" i="8"/>
  <c r="E2210" i="23" s="1"/>
  <c r="D127" i="23"/>
  <c r="T10" i="7"/>
  <c r="R10" i="7"/>
  <c r="T30" i="7"/>
  <c r="B2422" i="23"/>
  <c r="B2375" i="23"/>
  <c r="N1296" i="19"/>
  <c r="B298" i="23"/>
  <c r="N1247" i="19"/>
  <c r="N1344" i="19"/>
  <c r="B2612" i="23"/>
  <c r="B2565" i="23"/>
  <c r="N1591" i="19"/>
  <c r="B394" i="23"/>
  <c r="N1639" i="19"/>
  <c r="E1112" i="23"/>
  <c r="Q24" i="18"/>
  <c r="E88" i="23"/>
  <c r="E734" i="19"/>
  <c r="D637" i="19"/>
  <c r="I637" i="19" s="1"/>
  <c r="G637" i="19" s="1"/>
  <c r="O18" i="6"/>
  <c r="F18" i="6"/>
  <c r="U18" i="6"/>
  <c r="D131" i="23"/>
  <c r="T14" i="7"/>
  <c r="J24" i="2"/>
  <c r="E1324" i="23" s="1"/>
  <c r="E1544" i="23"/>
  <c r="E1657" i="23"/>
  <c r="D11" i="4"/>
  <c r="T24" i="6"/>
  <c r="F9" i="8"/>
  <c r="D2061" i="23"/>
  <c r="I8" i="7"/>
  <c r="D2108" i="23" s="1"/>
  <c r="R47" i="7"/>
  <c r="D2346" i="23"/>
  <c r="I11" i="10"/>
  <c r="D2393" i="23" s="1"/>
  <c r="M23" i="10"/>
  <c r="M27" i="10" s="1"/>
  <c r="D301" i="23"/>
  <c r="J43" i="10"/>
  <c r="R43" i="10"/>
  <c r="E369" i="23"/>
  <c r="E1614" i="19"/>
  <c r="C1518" i="19"/>
  <c r="H1518" i="19" s="1"/>
  <c r="C1614" i="19"/>
  <c r="H1614" i="19" s="1"/>
  <c r="O17" i="12"/>
  <c r="D1518" i="19"/>
  <c r="I1518" i="19" s="1"/>
  <c r="F17" i="12"/>
  <c r="U17" i="12"/>
  <c r="S17" i="12"/>
  <c r="E2554" i="23"/>
  <c r="D1628" i="19"/>
  <c r="I1628" i="19" s="1"/>
  <c r="C1580" i="19"/>
  <c r="H1580" i="19" s="1"/>
  <c r="D1580" i="19"/>
  <c r="I1580" i="19" s="1"/>
  <c r="N31" i="12"/>
  <c r="E2601" i="23" s="1"/>
  <c r="B2608" i="23"/>
  <c r="B390" i="23"/>
  <c r="N1587" i="19"/>
  <c r="B2561" i="23"/>
  <c r="N1635" i="19"/>
  <c r="N1539" i="19"/>
  <c r="E2568" i="23"/>
  <c r="D1594" i="19"/>
  <c r="I1594" i="19" s="1"/>
  <c r="D1642" i="19"/>
  <c r="I1642" i="19" s="1"/>
  <c r="C1594" i="19"/>
  <c r="H1594" i="19" s="1"/>
  <c r="G45" i="12"/>
  <c r="I26" i="9"/>
  <c r="D2314" i="23" s="1"/>
  <c r="D246" i="23"/>
  <c r="T35" i="9"/>
  <c r="G39" i="9"/>
  <c r="I43" i="9"/>
  <c r="D2331" i="23" s="1"/>
  <c r="E2434" i="23"/>
  <c r="D1456" i="19"/>
  <c r="I1456" i="19" s="1"/>
  <c r="D1407" i="19"/>
  <c r="I1407" i="19" s="1"/>
  <c r="C1407" i="19"/>
  <c r="H1407" i="19" s="1"/>
  <c r="G1407" i="19" s="1"/>
  <c r="L23" i="11"/>
  <c r="D337" i="23"/>
  <c r="R32" i="11"/>
  <c r="B339" i="23"/>
  <c r="B2463" i="23"/>
  <c r="N1437" i="19"/>
  <c r="B2510" i="23"/>
  <c r="N1485" i="19"/>
  <c r="N1388" i="19"/>
  <c r="N2113" i="19"/>
  <c r="N2049" i="19"/>
  <c r="N2081" i="19"/>
  <c r="T8" i="28"/>
  <c r="N2206" i="19"/>
  <c r="N2174" i="19"/>
  <c r="N2142" i="19"/>
  <c r="N2147" i="19"/>
  <c r="N2211" i="19"/>
  <c r="K48" i="28"/>
  <c r="E722" i="23"/>
  <c r="C2185" i="19"/>
  <c r="H2185" i="19" s="1"/>
  <c r="D2185" i="19"/>
  <c r="I2185" i="19" s="1"/>
  <c r="N51" i="28"/>
  <c r="E756" i="23" s="1"/>
  <c r="G51" i="28"/>
  <c r="N2188" i="19"/>
  <c r="N2220" i="19"/>
  <c r="N2156" i="19"/>
  <c r="E740" i="23"/>
  <c r="C2203" i="19"/>
  <c r="H2203" i="19" s="1"/>
  <c r="D2235" i="19"/>
  <c r="I2235" i="19" s="1"/>
  <c r="D2203" i="19"/>
  <c r="I2203" i="19" s="1"/>
  <c r="N69" i="28"/>
  <c r="E774" i="23" s="1"/>
  <c r="G69" i="28"/>
  <c r="N7" i="15"/>
  <c r="E534" i="23" s="1"/>
  <c r="C1961" i="19"/>
  <c r="H1961" i="19" s="1"/>
  <c r="G1961" i="19" s="1"/>
  <c r="E2026" i="19"/>
  <c r="E595" i="23"/>
  <c r="D1961" i="19"/>
  <c r="I1961" i="19" s="1"/>
  <c r="S24" i="15"/>
  <c r="O24" i="15"/>
  <c r="U24" i="15"/>
  <c r="E569" i="23"/>
  <c r="I64" i="15"/>
  <c r="D569" i="23" s="1"/>
  <c r="B2651" i="23"/>
  <c r="N1776" i="19"/>
  <c r="B2698" i="23"/>
  <c r="B433" i="23"/>
  <c r="N1729" i="19"/>
  <c r="N1681" i="19"/>
  <c r="O39" i="13"/>
  <c r="D2763" i="23"/>
  <c r="B453" i="23"/>
  <c r="B2718" i="23"/>
  <c r="B2766" i="23"/>
  <c r="N1847" i="19"/>
  <c r="N1799" i="19"/>
  <c r="N1894" i="19"/>
  <c r="J9" i="14"/>
  <c r="E2743" i="23"/>
  <c r="D1872" i="19"/>
  <c r="I1872" i="19" s="1"/>
  <c r="D1919" i="19"/>
  <c r="I1919" i="19" s="1"/>
  <c r="C1872" i="19"/>
  <c r="H1872" i="19" s="1"/>
  <c r="N32" i="14"/>
  <c r="E2791" i="23" s="1"/>
  <c r="D487" i="23"/>
  <c r="T41" i="14"/>
  <c r="J41" i="14"/>
  <c r="R41" i="14"/>
  <c r="D2254" i="19"/>
  <c r="I2254" i="19" s="1"/>
  <c r="G2254" i="19" s="1"/>
  <c r="E884" i="23"/>
  <c r="C2254" i="19"/>
  <c r="C2336" i="19"/>
  <c r="E2336" i="19"/>
  <c r="F25" i="16"/>
  <c r="D884" i="23" s="1"/>
  <c r="E894" i="23"/>
  <c r="D2264" i="19"/>
  <c r="I2264" i="19" s="1"/>
  <c r="E2346" i="19"/>
  <c r="C2346" i="19"/>
  <c r="H2346" i="19" s="1"/>
  <c r="C2264" i="19"/>
  <c r="H2264" i="19" s="1"/>
  <c r="F35" i="16"/>
  <c r="D894" i="23" s="1"/>
  <c r="D2862" i="23"/>
  <c r="I45" i="16"/>
  <c r="D2914" i="23" s="1"/>
  <c r="E2950" i="23"/>
  <c r="D2473" i="19"/>
  <c r="I2473" i="19" s="1"/>
  <c r="M9" i="17"/>
  <c r="E2964" i="23" s="1"/>
  <c r="F9" i="17"/>
  <c r="D2384" i="19"/>
  <c r="I2384" i="19" s="1"/>
  <c r="E913" i="23"/>
  <c r="D913" i="23"/>
  <c r="C2384" i="19"/>
  <c r="H2384" i="19" s="1"/>
  <c r="D2401" i="19"/>
  <c r="I2401" i="19" s="1"/>
  <c r="C2401" i="19"/>
  <c r="H2401" i="19" s="1"/>
  <c r="C2544" i="19"/>
  <c r="H2544" i="19" s="1"/>
  <c r="D960" i="23"/>
  <c r="D2417" i="19"/>
  <c r="I2417" i="19" s="1"/>
  <c r="G2417" i="19" s="1"/>
  <c r="E960" i="23"/>
  <c r="E977" i="23"/>
  <c r="D2437" i="19"/>
  <c r="I2437" i="19" s="1"/>
  <c r="D977" i="23"/>
  <c r="E1009" i="23"/>
  <c r="D1009" i="23"/>
  <c r="D2518" i="19"/>
  <c r="I2518" i="19" s="1"/>
  <c r="G2518" i="19" s="1"/>
  <c r="D1109" i="23"/>
  <c r="H25" i="18"/>
  <c r="D1107" i="23" s="1"/>
  <c r="D1181" i="23"/>
  <c r="K50" i="18"/>
  <c r="D1187" i="23" s="1"/>
  <c r="J54" i="18"/>
  <c r="F2518" i="22" s="1"/>
  <c r="J85" i="19"/>
  <c r="G85" i="19" s="1"/>
  <c r="R85" i="19"/>
  <c r="V85" i="19" s="1"/>
  <c r="C518" i="19"/>
  <c r="H518" i="19" s="1"/>
  <c r="N572" i="19"/>
  <c r="D650" i="19"/>
  <c r="I650" i="19" s="1"/>
  <c r="D698" i="19"/>
  <c r="I698" i="19" s="1"/>
  <c r="N721" i="19"/>
  <c r="C956" i="19"/>
  <c r="H956" i="19" s="1"/>
  <c r="G956" i="19" s="1"/>
  <c r="D1024" i="19"/>
  <c r="I1024" i="19" s="1"/>
  <c r="N1120" i="19"/>
  <c r="D1219" i="19"/>
  <c r="I1219" i="19" s="1"/>
  <c r="D1392" i="19"/>
  <c r="I1392" i="19" s="1"/>
  <c r="G1392" i="19" s="1"/>
  <c r="N1462" i="19"/>
  <c r="J1621" i="19"/>
  <c r="R1621" i="19"/>
  <c r="V1621" i="19" s="1"/>
  <c r="I8" i="6"/>
  <c r="D2014" i="23" s="1"/>
  <c r="L77" i="17"/>
  <c r="D1861" i="23"/>
  <c r="E1780" i="23"/>
  <c r="L28" i="4"/>
  <c r="E98" i="23"/>
  <c r="E744" i="19"/>
  <c r="C744" i="19"/>
  <c r="H744" i="19" s="1"/>
  <c r="O28" i="6"/>
  <c r="F28" i="6"/>
  <c r="S28" i="6"/>
  <c r="D647" i="19"/>
  <c r="I647" i="19" s="1"/>
  <c r="G647" i="19" s="1"/>
  <c r="E110" i="23"/>
  <c r="D659" i="19"/>
  <c r="I659" i="19" s="1"/>
  <c r="C756" i="19"/>
  <c r="H756" i="19" s="1"/>
  <c r="O40" i="6"/>
  <c r="C659" i="19"/>
  <c r="H659" i="19" s="1"/>
  <c r="E756" i="19"/>
  <c r="F40" i="6"/>
  <c r="S40" i="6"/>
  <c r="B2552" i="23"/>
  <c r="B2599" i="23"/>
  <c r="N1578" i="19"/>
  <c r="B381" i="23"/>
  <c r="N1626" i="19"/>
  <c r="E805" i="23"/>
  <c r="E2232" i="19"/>
  <c r="D2168" i="19"/>
  <c r="I2168" i="19" s="1"/>
  <c r="C2168" i="19"/>
  <c r="H2168" i="19" s="1"/>
  <c r="O66" i="28"/>
  <c r="F66" i="28"/>
  <c r="E1770" i="23"/>
  <c r="E389" i="19"/>
  <c r="L18" i="4"/>
  <c r="D1869" i="23"/>
  <c r="I4" i="5"/>
  <c r="E2034" i="23"/>
  <c r="N25" i="8"/>
  <c r="E263" i="23"/>
  <c r="E1309" i="19"/>
  <c r="D1212" i="19"/>
  <c r="I1212" i="19" s="1"/>
  <c r="C1212" i="19"/>
  <c r="H1212" i="19" s="1"/>
  <c r="F5" i="10"/>
  <c r="U5" i="10"/>
  <c r="I41" i="9"/>
  <c r="D2329" i="23" s="1"/>
  <c r="D1690" i="19"/>
  <c r="I1690" i="19" s="1"/>
  <c r="C1785" i="19"/>
  <c r="H1785" i="19" s="1"/>
  <c r="E442" i="23"/>
  <c r="C1690" i="19"/>
  <c r="H1690" i="19" s="1"/>
  <c r="E1785" i="19"/>
  <c r="O43" i="13"/>
  <c r="F43" i="13"/>
  <c r="E1481" i="23"/>
  <c r="D11" i="3"/>
  <c r="F20" i="3"/>
  <c r="O11" i="2"/>
  <c r="E1506" i="23"/>
  <c r="D37" i="3"/>
  <c r="E1643" i="23"/>
  <c r="E1832" i="23"/>
  <c r="P30" i="4"/>
  <c r="D1576" i="23"/>
  <c r="D1610" i="23"/>
  <c r="D1567" i="23"/>
  <c r="G39" i="2"/>
  <c r="D1339" i="23" s="1"/>
  <c r="D39" i="23"/>
  <c r="J16" i="5"/>
  <c r="U28" i="6"/>
  <c r="D171" i="23"/>
  <c r="J7" i="8"/>
  <c r="T7" i="8"/>
  <c r="D1663" i="23"/>
  <c r="Q17" i="2"/>
  <c r="D1679" i="23"/>
  <c r="E1806" i="23"/>
  <c r="L57" i="4"/>
  <c r="D1881" i="23"/>
  <c r="I16" i="5"/>
  <c r="D1928" i="23" s="1"/>
  <c r="E1889" i="23"/>
  <c r="D544" i="19"/>
  <c r="I544" i="19" s="1"/>
  <c r="N24" i="5"/>
  <c r="E1936" i="23" s="1"/>
  <c r="C544" i="19"/>
  <c r="H544" i="19" s="1"/>
  <c r="G24" i="5"/>
  <c r="B2000" i="23"/>
  <c r="B2047" i="23"/>
  <c r="B111" i="23"/>
  <c r="N660" i="19"/>
  <c r="N709" i="19"/>
  <c r="N757" i="19"/>
  <c r="J45" i="6"/>
  <c r="E117" i="23"/>
  <c r="C763" i="19"/>
  <c r="H763" i="19" s="1"/>
  <c r="O47" i="6"/>
  <c r="F47" i="6"/>
  <c r="B2152" i="23"/>
  <c r="B2199" i="23"/>
  <c r="B169" i="23"/>
  <c r="N1015" i="19"/>
  <c r="N966" i="19"/>
  <c r="B2181" i="23"/>
  <c r="B2228" i="23"/>
  <c r="B198" i="23"/>
  <c r="N996" i="19"/>
  <c r="N947" i="19"/>
  <c r="N1044" i="19"/>
  <c r="K44" i="8"/>
  <c r="H29" i="7"/>
  <c r="E160" i="23"/>
  <c r="C809" i="19"/>
  <c r="H809" i="19" s="1"/>
  <c r="E906" i="19"/>
  <c r="D809" i="19"/>
  <c r="I809" i="19" s="1"/>
  <c r="O43" i="7"/>
  <c r="F43" i="7"/>
  <c r="S43" i="7"/>
  <c r="E2344" i="23"/>
  <c r="D1264" i="19"/>
  <c r="I1264" i="19" s="1"/>
  <c r="D1313" i="19"/>
  <c r="I1313" i="19" s="1"/>
  <c r="C1264" i="19"/>
  <c r="H1264" i="19" s="1"/>
  <c r="G1264" i="19" s="1"/>
  <c r="G9" i="10"/>
  <c r="E394" i="23"/>
  <c r="C1543" i="19"/>
  <c r="H1543" i="19" s="1"/>
  <c r="G1543" i="19" s="1"/>
  <c r="O42" i="12"/>
  <c r="S42" i="12"/>
  <c r="F42" i="12"/>
  <c r="R21" i="9"/>
  <c r="F25" i="11"/>
  <c r="K50" i="15"/>
  <c r="E697" i="23"/>
  <c r="D2066" i="19"/>
  <c r="I2066" i="19" s="1"/>
  <c r="E2130" i="19"/>
  <c r="C2066" i="19"/>
  <c r="H2066" i="19" s="1"/>
  <c r="S24" i="28"/>
  <c r="O24" i="28"/>
  <c r="F24" i="28"/>
  <c r="E524" i="23"/>
  <c r="D2033" i="19"/>
  <c r="I2033" i="19" s="1"/>
  <c r="D2001" i="19"/>
  <c r="I2001" i="19" s="1"/>
  <c r="C2001" i="19"/>
  <c r="H2001" i="19" s="1"/>
  <c r="N31" i="15"/>
  <c r="E558" i="23" s="1"/>
  <c r="U31" i="15"/>
  <c r="M51" i="15"/>
  <c r="E416" i="23"/>
  <c r="C1759" i="19"/>
  <c r="H1759" i="19" s="1"/>
  <c r="E1759" i="19"/>
  <c r="D1664" i="19"/>
  <c r="I1664" i="19" s="1"/>
  <c r="O17" i="13"/>
  <c r="U17" i="13"/>
  <c r="S17" i="13"/>
  <c r="C1664" i="19"/>
  <c r="H1664" i="19" s="1"/>
  <c r="T31" i="13"/>
  <c r="D433" i="23"/>
  <c r="R34" i="13"/>
  <c r="J34" i="13"/>
  <c r="R41" i="13"/>
  <c r="S43" i="13"/>
  <c r="D453" i="23"/>
  <c r="J7" i="14"/>
  <c r="D1801" i="19"/>
  <c r="I1801" i="19" s="1"/>
  <c r="C1801" i="19"/>
  <c r="H1801" i="19" s="1"/>
  <c r="E455" i="23"/>
  <c r="C1896" i="19"/>
  <c r="H1896" i="19" s="1"/>
  <c r="E1896" i="19"/>
  <c r="U9" i="14"/>
  <c r="E457" i="23"/>
  <c r="D1803" i="19"/>
  <c r="I1803" i="19" s="1"/>
  <c r="E1898" i="19"/>
  <c r="C1898" i="19"/>
  <c r="H1898" i="19" s="1"/>
  <c r="C1803" i="19"/>
  <c r="H1803" i="19" s="1"/>
  <c r="S11" i="14"/>
  <c r="O11" i="14"/>
  <c r="D470" i="23"/>
  <c r="R24" i="14"/>
  <c r="D2752" i="23"/>
  <c r="I41" i="14"/>
  <c r="D2800" i="23" s="1"/>
  <c r="N1887" i="19"/>
  <c r="B2758" i="23"/>
  <c r="B2806" i="23"/>
  <c r="N1934" i="19"/>
  <c r="N1839" i="19"/>
  <c r="I5" i="16"/>
  <c r="E891" i="23"/>
  <c r="C2260" i="19"/>
  <c r="H2260" i="19" s="1"/>
  <c r="E2343" i="19"/>
  <c r="C2343" i="19"/>
  <c r="D2261" i="19"/>
  <c r="I2261" i="19" s="1"/>
  <c r="G2261" i="19" s="1"/>
  <c r="F32" i="16"/>
  <c r="D891" i="23" s="1"/>
  <c r="D1010" i="23"/>
  <c r="E1010" i="23"/>
  <c r="D2527" i="19"/>
  <c r="I2527" i="19" s="1"/>
  <c r="G2527" i="19" s="1"/>
  <c r="N54" i="17"/>
  <c r="D969" i="23"/>
  <c r="D2428" i="19"/>
  <c r="I2428" i="19" s="1"/>
  <c r="G2428" i="19" s="1"/>
  <c r="E969" i="23"/>
  <c r="E987" i="23"/>
  <c r="D987" i="23"/>
  <c r="D2466" i="19"/>
  <c r="I2466" i="19" s="1"/>
  <c r="G2466" i="19" s="1"/>
  <c r="C103" i="19"/>
  <c r="H103" i="19" s="1"/>
  <c r="D284" i="19"/>
  <c r="I284" i="19" s="1"/>
  <c r="D603" i="19"/>
  <c r="I603" i="19" s="1"/>
  <c r="D615" i="19"/>
  <c r="I615" i="19" s="1"/>
  <c r="D818" i="19"/>
  <c r="I818" i="19" s="1"/>
  <c r="D893" i="19"/>
  <c r="I893" i="19" s="1"/>
  <c r="D956" i="19"/>
  <c r="I956" i="19" s="1"/>
  <c r="C973" i="19"/>
  <c r="H973" i="19" s="1"/>
  <c r="D1074" i="19"/>
  <c r="I1074" i="19" s="1"/>
  <c r="R1166" i="19"/>
  <c r="V1166" i="19" s="1"/>
  <c r="J1166" i="19"/>
  <c r="D2071" i="19"/>
  <c r="I2071" i="19" s="1"/>
  <c r="D1248" i="23"/>
  <c r="E1248" i="23"/>
  <c r="E1488" i="23"/>
  <c r="J18" i="2"/>
  <c r="E1318" i="23" s="1"/>
  <c r="E1716" i="23"/>
  <c r="H17" i="4"/>
  <c r="E83" i="23"/>
  <c r="D632" i="19"/>
  <c r="I632" i="19" s="1"/>
  <c r="E729" i="19"/>
  <c r="C632" i="19"/>
  <c r="H632" i="19" s="1"/>
  <c r="C729" i="19"/>
  <c r="H729" i="19" s="1"/>
  <c r="S13" i="6"/>
  <c r="D101" i="23"/>
  <c r="E109" i="23"/>
  <c r="D658" i="19"/>
  <c r="I658" i="19" s="1"/>
  <c r="E755" i="19"/>
  <c r="C755" i="19"/>
  <c r="H755" i="19" s="1"/>
  <c r="C658" i="19"/>
  <c r="H658" i="19" s="1"/>
  <c r="U39" i="6"/>
  <c r="E2160" i="23"/>
  <c r="D1023" i="19"/>
  <c r="I1023" i="19" s="1"/>
  <c r="N13" i="8"/>
  <c r="E2207" i="23" s="1"/>
  <c r="D974" i="19"/>
  <c r="I974" i="19" s="1"/>
  <c r="C974" i="19"/>
  <c r="H974" i="19" s="1"/>
  <c r="G974" i="19" s="1"/>
  <c r="E2168" i="23"/>
  <c r="D982" i="19"/>
  <c r="I982" i="19" s="1"/>
  <c r="C982" i="19"/>
  <c r="H982" i="19" s="1"/>
  <c r="D1031" i="19"/>
  <c r="I1031" i="19" s="1"/>
  <c r="N21" i="8"/>
  <c r="E2215" i="23" s="1"/>
  <c r="G21" i="8"/>
  <c r="B2192" i="23"/>
  <c r="B2239" i="23"/>
  <c r="B209" i="23"/>
  <c r="N1055" i="19"/>
  <c r="N1007" i="19"/>
  <c r="D2361" i="23"/>
  <c r="I26" i="10"/>
  <c r="D2408" i="23" s="1"/>
  <c r="E390" i="23"/>
  <c r="C1635" i="19"/>
  <c r="H1635" i="19" s="1"/>
  <c r="C1539" i="19"/>
  <c r="H1539" i="19" s="1"/>
  <c r="D1539" i="19"/>
  <c r="I1539" i="19" s="1"/>
  <c r="E1635" i="19"/>
  <c r="U38" i="12"/>
  <c r="S38" i="12"/>
  <c r="B2330" i="23"/>
  <c r="B2283" i="23"/>
  <c r="B253" i="23"/>
  <c r="N1199" i="19"/>
  <c r="B2480" i="23"/>
  <c r="B309" i="23"/>
  <c r="B2433" i="23"/>
  <c r="N1455" i="19"/>
  <c r="N1358" i="19"/>
  <c r="N1406" i="19"/>
  <c r="E2461" i="23"/>
  <c r="D1483" i="19"/>
  <c r="I1483" i="19" s="1"/>
  <c r="C1435" i="19"/>
  <c r="H1435" i="19" s="1"/>
  <c r="G1435" i="19" s="1"/>
  <c r="G32" i="11"/>
  <c r="T32" i="11" s="1"/>
  <c r="D351" i="23"/>
  <c r="T46" i="11"/>
  <c r="R46" i="11"/>
  <c r="N2223" i="19"/>
  <c r="N2191" i="19"/>
  <c r="N2159" i="19"/>
  <c r="M45" i="15"/>
  <c r="M48" i="15" s="1"/>
  <c r="M12" i="15"/>
  <c r="M37" i="15" s="1"/>
  <c r="H5" i="15"/>
  <c r="E2718" i="23"/>
  <c r="D1894" i="19"/>
  <c r="I1894" i="19" s="1"/>
  <c r="D1847" i="19"/>
  <c r="I1847" i="19" s="1"/>
  <c r="C1847" i="19"/>
  <c r="H1847" i="19" s="1"/>
  <c r="N7" i="14"/>
  <c r="E2766" i="23" s="1"/>
  <c r="D958" i="23"/>
  <c r="E958" i="23"/>
  <c r="G993" i="19"/>
  <c r="D1281" i="23"/>
  <c r="E1281" i="23"/>
  <c r="D1251" i="23"/>
  <c r="E1251" i="23"/>
  <c r="F93" i="17"/>
  <c r="E56" i="19"/>
  <c r="I58" i="1"/>
  <c r="E1452" i="23"/>
  <c r="E1706" i="23"/>
  <c r="D63" i="4"/>
  <c r="E52" i="23"/>
  <c r="D501" i="19"/>
  <c r="I501" i="19" s="1"/>
  <c r="F29" i="5"/>
  <c r="C501" i="19"/>
  <c r="H501" i="19" s="1"/>
  <c r="G501" i="19" s="1"/>
  <c r="U29" i="5"/>
  <c r="S29" i="5"/>
  <c r="E598" i="19"/>
  <c r="E76" i="23"/>
  <c r="C722" i="19"/>
  <c r="H722" i="19" s="1"/>
  <c r="E722" i="19"/>
  <c r="D625" i="19"/>
  <c r="I625" i="19" s="1"/>
  <c r="O6" i="6"/>
  <c r="C625" i="19"/>
  <c r="H625" i="19" s="1"/>
  <c r="F6" i="6"/>
  <c r="U6" i="6"/>
  <c r="E95" i="23"/>
  <c r="O25" i="6"/>
  <c r="F25" i="6"/>
  <c r="C644" i="19"/>
  <c r="H644" i="19" s="1"/>
  <c r="E113" i="23"/>
  <c r="D662" i="19"/>
  <c r="I662" i="19" s="1"/>
  <c r="C662" i="19"/>
  <c r="H662" i="19" s="1"/>
  <c r="E759" i="19"/>
  <c r="B2140" i="23"/>
  <c r="B157" i="23"/>
  <c r="B2093" i="23"/>
  <c r="N806" i="19"/>
  <c r="N855" i="19"/>
  <c r="B2351" i="23"/>
  <c r="B274" i="23"/>
  <c r="B2398" i="23"/>
  <c r="N1271" i="19"/>
  <c r="N1223" i="19"/>
  <c r="N1320" i="19"/>
  <c r="D253" i="23"/>
  <c r="T42" i="9"/>
  <c r="J42" i="9"/>
  <c r="E431" i="23"/>
  <c r="D1679" i="19"/>
  <c r="I1679" i="19" s="1"/>
  <c r="E1774" i="19"/>
  <c r="C1679" i="19"/>
  <c r="H1679" i="19" s="1"/>
  <c r="C1774" i="19"/>
  <c r="H1774" i="19" s="1"/>
  <c r="F32" i="13"/>
  <c r="S32" i="13"/>
  <c r="U32" i="13"/>
  <c r="O32" i="13"/>
  <c r="D460" i="23"/>
  <c r="J14" i="14"/>
  <c r="R14" i="14"/>
  <c r="D2867" i="23"/>
  <c r="J51" i="16"/>
  <c r="E3046" i="23"/>
  <c r="Q18" i="18"/>
  <c r="G1706" i="19"/>
  <c r="D1231" i="23"/>
  <c r="E1231" i="23"/>
  <c r="S19" i="2"/>
  <c r="D1597" i="23"/>
  <c r="D1509" i="23"/>
  <c r="M40" i="2"/>
  <c r="D1865" i="23"/>
  <c r="C125" i="19"/>
  <c r="H125" i="19" s="1"/>
  <c r="G125" i="19" s="1"/>
  <c r="D1769" i="23"/>
  <c r="E1775" i="23"/>
  <c r="L23" i="4"/>
  <c r="E19" i="23"/>
  <c r="D19" i="23"/>
  <c r="C327" i="19"/>
  <c r="H327" i="19" s="1"/>
  <c r="G327" i="19" s="1"/>
  <c r="D327" i="19"/>
  <c r="I327" i="19" s="1"/>
  <c r="E1894" i="23"/>
  <c r="D550" i="19"/>
  <c r="I550" i="19" s="1"/>
  <c r="G29" i="5"/>
  <c r="C550" i="19"/>
  <c r="H550" i="19" s="1"/>
  <c r="G550" i="19" s="1"/>
  <c r="B1908" i="23"/>
  <c r="B66" i="23"/>
  <c r="B1955" i="23"/>
  <c r="N612" i="19"/>
  <c r="E1990" i="23"/>
  <c r="D747" i="19"/>
  <c r="I747" i="19" s="1"/>
  <c r="C699" i="19"/>
  <c r="H699" i="19" s="1"/>
  <c r="G699" i="19" s="1"/>
  <c r="D699" i="19"/>
  <c r="I699" i="19" s="1"/>
  <c r="G31" i="6"/>
  <c r="N31" i="6"/>
  <c r="E2037" i="23" s="1"/>
  <c r="E169" i="23"/>
  <c r="C1015" i="19"/>
  <c r="H1015" i="19" s="1"/>
  <c r="E1015" i="19"/>
  <c r="D918" i="19"/>
  <c r="I918" i="19" s="1"/>
  <c r="O5" i="8"/>
  <c r="C918" i="19"/>
  <c r="H918" i="19" s="1"/>
  <c r="D149" i="23"/>
  <c r="T32" i="7"/>
  <c r="R32" i="7"/>
  <c r="U41" i="7"/>
  <c r="U11" i="12"/>
  <c r="N11" i="9"/>
  <c r="E2299" i="23" s="1"/>
  <c r="E325" i="23"/>
  <c r="C1374" i="19"/>
  <c r="H1374" i="19" s="1"/>
  <c r="D1374" i="19"/>
  <c r="I1374" i="19" s="1"/>
  <c r="E1471" i="19"/>
  <c r="F20" i="11"/>
  <c r="S20" i="11"/>
  <c r="C1471" i="19"/>
  <c r="H1471" i="19" s="1"/>
  <c r="O20" i="11"/>
  <c r="U20" i="11"/>
  <c r="D340" i="23"/>
  <c r="R35" i="11"/>
  <c r="T35" i="11"/>
  <c r="E417" i="23"/>
  <c r="C1665" i="19"/>
  <c r="H1665" i="19" s="1"/>
  <c r="E1760" i="19"/>
  <c r="C1760" i="19"/>
  <c r="H1760" i="19" s="1"/>
  <c r="D1665" i="19"/>
  <c r="I1665" i="19" s="1"/>
  <c r="F18" i="13"/>
  <c r="S18" i="13"/>
  <c r="E424" i="23"/>
  <c r="E1767" i="19"/>
  <c r="D1672" i="19"/>
  <c r="I1672" i="19" s="1"/>
  <c r="C1767" i="19"/>
  <c r="H1767" i="19" s="1"/>
  <c r="F25" i="13"/>
  <c r="S25" i="13"/>
  <c r="O25" i="13"/>
  <c r="U25" i="13"/>
  <c r="B2771" i="23"/>
  <c r="B2723" i="23"/>
  <c r="N1804" i="19"/>
  <c r="N1899" i="19"/>
  <c r="B458" i="23"/>
  <c r="O64" i="16"/>
  <c r="D1122" i="23"/>
  <c r="E1122" i="23"/>
  <c r="R725" i="19"/>
  <c r="V725" i="19" s="1"/>
  <c r="J725" i="19"/>
  <c r="D1199" i="23"/>
  <c r="E1199" i="23"/>
  <c r="E39" i="19"/>
  <c r="E1633" i="23"/>
  <c r="E1791" i="23"/>
  <c r="L42" i="4"/>
  <c r="O18" i="5"/>
  <c r="E87" i="23"/>
  <c r="C733" i="19"/>
  <c r="H733" i="19" s="1"/>
  <c r="E733" i="19"/>
  <c r="D636" i="19"/>
  <c r="I636" i="19" s="1"/>
  <c r="S17" i="6"/>
  <c r="C636" i="19"/>
  <c r="H636" i="19" s="1"/>
  <c r="F17" i="6"/>
  <c r="B2052" i="23"/>
  <c r="B2005" i="23"/>
  <c r="N762" i="19"/>
  <c r="N665" i="19"/>
  <c r="N714" i="19"/>
  <c r="B116" i="23"/>
  <c r="N42" i="8"/>
  <c r="E2236" i="23" s="1"/>
  <c r="B2087" i="23"/>
  <c r="B151" i="23"/>
  <c r="N849" i="19"/>
  <c r="B2134" i="23"/>
  <c r="N800" i="19"/>
  <c r="N897" i="19"/>
  <c r="B2355" i="23"/>
  <c r="B2402" i="23"/>
  <c r="B278" i="23"/>
  <c r="N1324" i="19"/>
  <c r="N1227" i="19"/>
  <c r="C1547" i="19"/>
  <c r="H1547" i="19" s="1"/>
  <c r="E1643" i="19"/>
  <c r="C1643" i="19"/>
  <c r="H1643" i="19" s="1"/>
  <c r="E398" i="23"/>
  <c r="D1547" i="19"/>
  <c r="I1547" i="19" s="1"/>
  <c r="U46" i="12"/>
  <c r="B2435" i="23"/>
  <c r="B2482" i="23"/>
  <c r="N1408" i="19"/>
  <c r="N1360" i="19"/>
  <c r="B311" i="23"/>
  <c r="N1457" i="19"/>
  <c r="U25" i="11"/>
  <c r="N9" i="28"/>
  <c r="E648" i="23" s="1"/>
  <c r="H72" i="28"/>
  <c r="H55" i="15"/>
  <c r="E2228" i="19"/>
  <c r="E801" i="23"/>
  <c r="C2164" i="19"/>
  <c r="H2164" i="19" s="1"/>
  <c r="G2164" i="19" s="1"/>
  <c r="D2164" i="19"/>
  <c r="I2164" i="19" s="1"/>
  <c r="F62" i="28"/>
  <c r="O62" i="28"/>
  <c r="C1755" i="19"/>
  <c r="H1755" i="19" s="1"/>
  <c r="E1755" i="19"/>
  <c r="E412" i="23"/>
  <c r="D1660" i="19"/>
  <c r="I1660" i="19" s="1"/>
  <c r="C1660" i="19"/>
  <c r="H1660" i="19" s="1"/>
  <c r="O13" i="13"/>
  <c r="F13" i="13"/>
  <c r="U13" i="13"/>
  <c r="S13" i="13"/>
  <c r="B2685" i="23"/>
  <c r="B2638" i="23"/>
  <c r="N1763" i="19"/>
  <c r="B420" i="23"/>
  <c r="N1668" i="19"/>
  <c r="N38" i="13"/>
  <c r="E2702" i="23" s="1"/>
  <c r="D2753" i="23"/>
  <c r="I42" i="14"/>
  <c r="D2801" i="23" s="1"/>
  <c r="D1182" i="23"/>
  <c r="K51" i="18"/>
  <c r="D1188" i="23" s="1"/>
  <c r="D1232" i="23"/>
  <c r="E1232" i="23"/>
  <c r="S44" i="2"/>
  <c r="D28" i="23"/>
  <c r="R5" i="5"/>
  <c r="S22" i="5"/>
  <c r="J39" i="5"/>
  <c r="H50" i="5"/>
  <c r="L80" i="17"/>
  <c r="J8" i="6"/>
  <c r="R31" i="6"/>
  <c r="N37" i="6"/>
  <c r="E2043" i="23" s="1"/>
  <c r="E116" i="23"/>
  <c r="E762" i="19"/>
  <c r="E665" i="19"/>
  <c r="C665" i="19"/>
  <c r="H665" i="19" s="1"/>
  <c r="E1547" i="19"/>
  <c r="D665" i="19"/>
  <c r="I665" i="19" s="1"/>
  <c r="C762" i="19"/>
  <c r="H762" i="19" s="1"/>
  <c r="N47" i="8"/>
  <c r="E2241" i="23" s="1"/>
  <c r="B2074" i="23"/>
  <c r="B2121" i="23"/>
  <c r="B138" i="23"/>
  <c r="N884" i="19"/>
  <c r="N787" i="19"/>
  <c r="N835" i="19"/>
  <c r="D145" i="23"/>
  <c r="T28" i="7"/>
  <c r="J28" i="7"/>
  <c r="D2087" i="23"/>
  <c r="D2095" i="23"/>
  <c r="I42" i="7"/>
  <c r="D2142" i="23" s="1"/>
  <c r="D2339" i="23"/>
  <c r="I4" i="10"/>
  <c r="D2355" i="23"/>
  <c r="I20" i="10"/>
  <c r="D2402" i="23" s="1"/>
  <c r="D236" i="23"/>
  <c r="T25" i="9"/>
  <c r="R25" i="9"/>
  <c r="J25" i="9"/>
  <c r="B2497" i="23"/>
  <c r="B326" i="23"/>
  <c r="N1423" i="19"/>
  <c r="N1472" i="19"/>
  <c r="N1375" i="19"/>
  <c r="B2450" i="23"/>
  <c r="N28" i="11"/>
  <c r="O28" i="11" s="1"/>
  <c r="N2116" i="19"/>
  <c r="N2084" i="19"/>
  <c r="N2052" i="19"/>
  <c r="I41" i="28"/>
  <c r="D746" i="23" s="1"/>
  <c r="N2234" i="19"/>
  <c r="N2202" i="19"/>
  <c r="N2170" i="19"/>
  <c r="E577" i="23"/>
  <c r="C1943" i="19"/>
  <c r="H1943" i="19" s="1"/>
  <c r="D1943" i="19"/>
  <c r="I1943" i="19" s="1"/>
  <c r="E2008" i="19"/>
  <c r="O6" i="15"/>
  <c r="S6" i="15"/>
  <c r="F6" i="15"/>
  <c r="N2025" i="19"/>
  <c r="N1960" i="19"/>
  <c r="N1993" i="19"/>
  <c r="D606" i="23"/>
  <c r="J35" i="15"/>
  <c r="N18" i="13"/>
  <c r="E2682" i="23" s="1"/>
  <c r="D434" i="23"/>
  <c r="T35" i="13"/>
  <c r="R35" i="13"/>
  <c r="J35" i="13"/>
  <c r="N24" i="14"/>
  <c r="E2783" i="23" s="1"/>
  <c r="B2804" i="23"/>
  <c r="B2756" i="23"/>
  <c r="B491" i="23"/>
  <c r="N1885" i="19"/>
  <c r="N1932" i="19"/>
  <c r="N1837" i="19"/>
  <c r="E2859" i="23"/>
  <c r="D2352" i="19"/>
  <c r="C2298" i="19"/>
  <c r="H2298" i="19" s="1"/>
  <c r="D2298" i="19"/>
  <c r="I2298" i="19" s="1"/>
  <c r="G42" i="16"/>
  <c r="N42" i="16"/>
  <c r="E2911" i="23" s="1"/>
  <c r="D3023" i="23"/>
  <c r="H10" i="18"/>
  <c r="D2985" i="23" s="1"/>
  <c r="D1193" i="23"/>
  <c r="E1193" i="23"/>
  <c r="I15" i="1"/>
  <c r="G60" i="1"/>
  <c r="O18" i="2"/>
  <c r="S23" i="2"/>
  <c r="J29" i="2"/>
  <c r="E1329" i="23" s="1"/>
  <c r="J48" i="2"/>
  <c r="L10" i="3"/>
  <c r="E1492" i="23"/>
  <c r="J22" i="2"/>
  <c r="D22" i="3"/>
  <c r="O22" i="2"/>
  <c r="D1553" i="23"/>
  <c r="E1562" i="23"/>
  <c r="H34" i="3"/>
  <c r="D1519" i="23"/>
  <c r="M50" i="2"/>
  <c r="D27" i="23"/>
  <c r="J4" i="5"/>
  <c r="D1903" i="23"/>
  <c r="I38" i="5"/>
  <c r="D1950" i="23" s="1"/>
  <c r="E518" i="19"/>
  <c r="J77" i="17"/>
  <c r="S46" i="5"/>
  <c r="O46" i="5"/>
  <c r="C615" i="19"/>
  <c r="H615" i="19" s="1"/>
  <c r="Z51" i="15"/>
  <c r="E69" i="23"/>
  <c r="U46" i="5"/>
  <c r="R31" i="8"/>
  <c r="T8" i="10"/>
  <c r="B2350" i="23"/>
  <c r="B2397" i="23"/>
  <c r="B273" i="23"/>
  <c r="N1319" i="19"/>
  <c r="N1270" i="19"/>
  <c r="E279" i="23"/>
  <c r="C1325" i="19"/>
  <c r="H1325" i="19" s="1"/>
  <c r="E1325" i="19"/>
  <c r="F21" i="10"/>
  <c r="U21" i="10"/>
  <c r="C1249" i="19"/>
  <c r="H1249" i="19" s="1"/>
  <c r="G1249" i="19" s="1"/>
  <c r="F42" i="10"/>
  <c r="E300" i="23"/>
  <c r="U42" i="10"/>
  <c r="S42" i="10"/>
  <c r="O42" i="10"/>
  <c r="D307" i="23"/>
  <c r="L23" i="9"/>
  <c r="E316" i="23"/>
  <c r="E1462" i="19"/>
  <c r="D1365" i="19"/>
  <c r="I1365" i="19" s="1"/>
  <c r="U11" i="11"/>
  <c r="C1365" i="19"/>
  <c r="H1365" i="19" s="1"/>
  <c r="C1462" i="19"/>
  <c r="H1462" i="19" s="1"/>
  <c r="E2123" i="19"/>
  <c r="E690" i="23"/>
  <c r="D2059" i="19"/>
  <c r="I2059" i="19" s="1"/>
  <c r="F17" i="28"/>
  <c r="S17" i="28"/>
  <c r="U17" i="28"/>
  <c r="K36" i="28"/>
  <c r="E580" i="23"/>
  <c r="E2011" i="19"/>
  <c r="D1946" i="19"/>
  <c r="I1946" i="19" s="1"/>
  <c r="S9" i="15"/>
  <c r="C1946" i="19"/>
  <c r="H1946" i="19" s="1"/>
  <c r="U9" i="15"/>
  <c r="O9" i="15"/>
  <c r="F9" i="15"/>
  <c r="D510" i="23"/>
  <c r="I17" i="15"/>
  <c r="D544" i="23" s="1"/>
  <c r="E604" i="23"/>
  <c r="D1970" i="19"/>
  <c r="I1970" i="19" s="1"/>
  <c r="E2035" i="19"/>
  <c r="C1970" i="19"/>
  <c r="H1970" i="19" s="1"/>
  <c r="O33" i="15"/>
  <c r="S33" i="15"/>
  <c r="R35" i="15"/>
  <c r="E411" i="23"/>
  <c r="E1754" i="19"/>
  <c r="D1659" i="19"/>
  <c r="I1659" i="19" s="1"/>
  <c r="C1659" i="19"/>
  <c r="H1659" i="19" s="1"/>
  <c r="C1754" i="19"/>
  <c r="H1754" i="19" s="1"/>
  <c r="O12" i="13"/>
  <c r="F12" i="13"/>
  <c r="E2726" i="23"/>
  <c r="D1855" i="19"/>
  <c r="I1855" i="19" s="1"/>
  <c r="D1902" i="19"/>
  <c r="I1902" i="19" s="1"/>
  <c r="C1855" i="19"/>
  <c r="H1855" i="19" s="1"/>
  <c r="G1855" i="19" s="1"/>
  <c r="G15" i="14"/>
  <c r="U15" i="14"/>
  <c r="B2791" i="23"/>
  <c r="B2743" i="23"/>
  <c r="B478" i="23"/>
  <c r="N1824" i="19"/>
  <c r="N1872" i="19"/>
  <c r="N1919" i="19"/>
  <c r="E2757" i="23"/>
  <c r="D1886" i="19"/>
  <c r="I1886" i="19" s="1"/>
  <c r="D1933" i="19"/>
  <c r="I1933" i="19" s="1"/>
  <c r="N46" i="14"/>
  <c r="E2805" i="23" s="1"/>
  <c r="C1886" i="19"/>
  <c r="H1886" i="19" s="1"/>
  <c r="G46" i="14"/>
  <c r="C49" i="19"/>
  <c r="H49" i="19" s="1"/>
  <c r="G49" i="19" s="1"/>
  <c r="C221" i="19"/>
  <c r="H221" i="19" s="1"/>
  <c r="G221" i="19" s="1"/>
  <c r="E741" i="19"/>
  <c r="R763" i="19"/>
  <c r="V763" i="19" s="1"/>
  <c r="J763" i="19"/>
  <c r="J882" i="19"/>
  <c r="R882" i="19"/>
  <c r="V882" i="19" s="1"/>
  <c r="C1813" i="19"/>
  <c r="H1813" i="19" s="1"/>
  <c r="G1813" i="19" s="1"/>
  <c r="N1852" i="19"/>
  <c r="C2412" i="19"/>
  <c r="H2412" i="19" s="1"/>
  <c r="G2412" i="19" s="1"/>
  <c r="E1213" i="23"/>
  <c r="D1213" i="23"/>
  <c r="C47" i="19"/>
  <c r="H47" i="19" s="1"/>
  <c r="G47" i="19" s="1"/>
  <c r="C46" i="19"/>
  <c r="H46" i="19" s="1"/>
  <c r="C45" i="19"/>
  <c r="H45" i="19" s="1"/>
  <c r="C2485" i="19"/>
  <c r="H2485" i="19" s="1"/>
  <c r="G2485" i="19" s="1"/>
  <c r="E1234" i="23"/>
  <c r="D1234" i="23"/>
  <c r="I54" i="1"/>
  <c r="E1483" i="23"/>
  <c r="O13" i="2"/>
  <c r="E1548" i="23"/>
  <c r="J19" i="2"/>
  <c r="E1319" i="23" s="1"/>
  <c r="D1616" i="23"/>
  <c r="D1510" i="23"/>
  <c r="J43" i="3"/>
  <c r="E1582" i="23"/>
  <c r="O54" i="2"/>
  <c r="J54" i="2"/>
  <c r="E1354" i="23" s="1"/>
  <c r="E1764" i="23"/>
  <c r="S12" i="2"/>
  <c r="N20" i="4"/>
  <c r="B1873" i="23"/>
  <c r="B1920" i="23"/>
  <c r="B31" i="23"/>
  <c r="N480" i="19"/>
  <c r="N577" i="19"/>
  <c r="N528" i="19"/>
  <c r="B1877" i="23"/>
  <c r="B1924" i="23"/>
  <c r="B35" i="23"/>
  <c r="N484" i="19"/>
  <c r="N532" i="19"/>
  <c r="E55" i="23"/>
  <c r="E601" i="19"/>
  <c r="C601" i="19"/>
  <c r="H601" i="19" s="1"/>
  <c r="U32" i="5"/>
  <c r="C504" i="19"/>
  <c r="H504" i="19" s="1"/>
  <c r="G504" i="19" s="1"/>
  <c r="M48" i="5"/>
  <c r="N5" i="6"/>
  <c r="E2011" i="23" s="1"/>
  <c r="D79" i="23"/>
  <c r="J9" i="6"/>
  <c r="E106" i="23"/>
  <c r="E752" i="19"/>
  <c r="O36" i="6"/>
  <c r="F36" i="6"/>
  <c r="C752" i="19"/>
  <c r="H752" i="19" s="1"/>
  <c r="D655" i="19"/>
  <c r="I655" i="19" s="1"/>
  <c r="C655" i="19"/>
  <c r="H655" i="19" s="1"/>
  <c r="E112" i="23"/>
  <c r="C661" i="19"/>
  <c r="H661" i="19" s="1"/>
  <c r="G661" i="19" s="1"/>
  <c r="S42" i="6"/>
  <c r="O42" i="6"/>
  <c r="N6" i="8"/>
  <c r="E2200" i="23" s="1"/>
  <c r="N12" i="8"/>
  <c r="E2206" i="23" s="1"/>
  <c r="R33" i="8"/>
  <c r="T39" i="8"/>
  <c r="B2114" i="23"/>
  <c r="B2067" i="23"/>
  <c r="N780" i="19"/>
  <c r="B131" i="23"/>
  <c r="N828" i="19"/>
  <c r="N877" i="19"/>
  <c r="N50" i="7"/>
  <c r="E2149" i="23" s="1"/>
  <c r="D273" i="23"/>
  <c r="T15" i="10"/>
  <c r="R15" i="10"/>
  <c r="J15" i="10"/>
  <c r="E2364" i="23"/>
  <c r="D1285" i="19"/>
  <c r="I1285" i="19" s="1"/>
  <c r="C1285" i="19"/>
  <c r="H1285" i="19" s="1"/>
  <c r="U29" i="10"/>
  <c r="D1333" i="19"/>
  <c r="I1333" i="19" s="1"/>
  <c r="L44" i="10"/>
  <c r="N29" i="10"/>
  <c r="D296" i="23"/>
  <c r="R38" i="10"/>
  <c r="J38" i="10"/>
  <c r="B2429" i="23"/>
  <c r="B305" i="23"/>
  <c r="B2382" i="23"/>
  <c r="N1304" i="19"/>
  <c r="N1351" i="19"/>
  <c r="N1254" i="19"/>
  <c r="D376" i="23"/>
  <c r="T24" i="12"/>
  <c r="R24" i="12"/>
  <c r="J24" i="12"/>
  <c r="D381" i="23"/>
  <c r="J29" i="12"/>
  <c r="T29" i="12"/>
  <c r="E399" i="23"/>
  <c r="C1548" i="19"/>
  <c r="H1548" i="19" s="1"/>
  <c r="C1644" i="19"/>
  <c r="H1644" i="19" s="1"/>
  <c r="E1644" i="19"/>
  <c r="D1548" i="19"/>
  <c r="I1548" i="19" s="1"/>
  <c r="O47" i="12"/>
  <c r="F47" i="12"/>
  <c r="N6" i="9"/>
  <c r="E2294" i="23" s="1"/>
  <c r="R10" i="9"/>
  <c r="E2260" i="23"/>
  <c r="D1127" i="19"/>
  <c r="I1127" i="19" s="1"/>
  <c r="C1127" i="19"/>
  <c r="H1127" i="19" s="1"/>
  <c r="D1176" i="19"/>
  <c r="I1176" i="19" s="1"/>
  <c r="N19" i="9"/>
  <c r="E2307" i="23" s="1"/>
  <c r="M23" i="9"/>
  <c r="M27" i="9" s="1"/>
  <c r="D254" i="23"/>
  <c r="T43" i="9"/>
  <c r="R43" i="9"/>
  <c r="J43" i="9"/>
  <c r="R47" i="9"/>
  <c r="E2438" i="23"/>
  <c r="D1411" i="19"/>
  <c r="I1411" i="19" s="1"/>
  <c r="D1460" i="19"/>
  <c r="I1460" i="19" s="1"/>
  <c r="G9" i="11"/>
  <c r="R21" i="11"/>
  <c r="E334" i="23"/>
  <c r="E1480" i="19"/>
  <c r="C1480" i="19"/>
  <c r="H1480" i="19" s="1"/>
  <c r="D1383" i="19"/>
  <c r="I1383" i="19" s="1"/>
  <c r="C1383" i="19"/>
  <c r="H1383" i="19" s="1"/>
  <c r="S29" i="11"/>
  <c r="O29" i="11"/>
  <c r="F29" i="11"/>
  <c r="C2149" i="19"/>
  <c r="H2149" i="19" s="1"/>
  <c r="E786" i="23"/>
  <c r="E2213" i="19"/>
  <c r="D2149" i="19"/>
  <c r="I2149" i="19" s="1"/>
  <c r="O47" i="28"/>
  <c r="M72" i="28"/>
  <c r="D595" i="23"/>
  <c r="T24" i="15"/>
  <c r="J24" i="15"/>
  <c r="M55" i="15"/>
  <c r="E2629" i="23"/>
  <c r="D1707" i="19"/>
  <c r="I1707" i="19" s="1"/>
  <c r="C1707" i="19"/>
  <c r="H1707" i="19" s="1"/>
  <c r="G12" i="13"/>
  <c r="R37" i="13"/>
  <c r="C1798" i="19"/>
  <c r="H1798" i="19" s="1"/>
  <c r="E452" i="23"/>
  <c r="D1798" i="19"/>
  <c r="I1798" i="19" s="1"/>
  <c r="E1893" i="19"/>
  <c r="C1893" i="19"/>
  <c r="H1893" i="19" s="1"/>
  <c r="O6" i="14"/>
  <c r="U6" i="14"/>
  <c r="S6" i="14"/>
  <c r="F6" i="14"/>
  <c r="B2770" i="23"/>
  <c r="B2722" i="23"/>
  <c r="N1898" i="19"/>
  <c r="B457" i="23"/>
  <c r="N1803" i="19"/>
  <c r="N1851" i="19"/>
  <c r="E2846" i="23"/>
  <c r="D2286" i="19"/>
  <c r="I2286" i="19" s="1"/>
  <c r="C2286" i="19"/>
  <c r="H2286" i="19" s="1"/>
  <c r="D2339" i="19"/>
  <c r="I2339" i="19" s="1"/>
  <c r="O28" i="16"/>
  <c r="G28" i="16"/>
  <c r="N28" i="16"/>
  <c r="E2897" i="23" s="1"/>
  <c r="E2861" i="23"/>
  <c r="D2353" i="19"/>
  <c r="I2353" i="19" s="1"/>
  <c r="C2300" i="19"/>
  <c r="H2300" i="19" s="1"/>
  <c r="D2300" i="19"/>
  <c r="I2300" i="19" s="1"/>
  <c r="G44" i="16"/>
  <c r="L49" i="16"/>
  <c r="N44" i="16"/>
  <c r="O44" i="16" s="1"/>
  <c r="H72" i="16"/>
  <c r="H77" i="16" s="1"/>
  <c r="F2516" i="22" s="1"/>
  <c r="E932" i="23"/>
  <c r="D2423" i="19"/>
  <c r="I2423" i="19" s="1"/>
  <c r="C2423" i="19"/>
  <c r="H2423" i="19" s="1"/>
  <c r="D932" i="23"/>
  <c r="C2433" i="19"/>
  <c r="H2433" i="19" s="1"/>
  <c r="J37" i="17"/>
  <c r="N529" i="19"/>
  <c r="R1905" i="19"/>
  <c r="V1905" i="19" s="1"/>
  <c r="J1905" i="19"/>
  <c r="O16" i="2"/>
  <c r="E1778" i="23"/>
  <c r="L26" i="4"/>
  <c r="E1794" i="23"/>
  <c r="L45" i="4"/>
  <c r="E1743" i="23"/>
  <c r="H23" i="5"/>
  <c r="B1879" i="23"/>
  <c r="B1926" i="23"/>
  <c r="B37" i="23"/>
  <c r="N534" i="19"/>
  <c r="N583" i="19"/>
  <c r="B1936" i="23"/>
  <c r="B1889" i="23"/>
  <c r="B47" i="23"/>
  <c r="N593" i="19"/>
  <c r="N496" i="19"/>
  <c r="N544" i="19"/>
  <c r="I40" i="5"/>
  <c r="D1952" i="23" s="1"/>
  <c r="I16" i="6"/>
  <c r="D2022" i="23" s="1"/>
  <c r="E108" i="23"/>
  <c r="E754" i="19"/>
  <c r="C657" i="19"/>
  <c r="H657" i="19" s="1"/>
  <c r="G657" i="19" s="1"/>
  <c r="S38" i="6"/>
  <c r="C754" i="19"/>
  <c r="H754" i="19" s="1"/>
  <c r="O38" i="6"/>
  <c r="U38" i="6"/>
  <c r="D657" i="19"/>
  <c r="I657" i="19" s="1"/>
  <c r="E2001" i="23"/>
  <c r="C710" i="19"/>
  <c r="H710" i="19" s="1"/>
  <c r="G710" i="19" s="1"/>
  <c r="M23" i="8"/>
  <c r="M27" i="8" s="1"/>
  <c r="M51" i="8" s="1"/>
  <c r="H4" i="8"/>
  <c r="H23" i="8" s="1"/>
  <c r="H27" i="8" s="1"/>
  <c r="H51" i="8" s="1"/>
  <c r="F2508" i="22" s="1"/>
  <c r="B2112" i="23"/>
  <c r="B2065" i="23"/>
  <c r="B129" i="23"/>
  <c r="N875" i="19"/>
  <c r="D139" i="23"/>
  <c r="T22" i="7"/>
  <c r="J22" i="7"/>
  <c r="E143" i="23"/>
  <c r="D792" i="19"/>
  <c r="I792" i="19" s="1"/>
  <c r="C792" i="19"/>
  <c r="H792" i="19" s="1"/>
  <c r="E889" i="19"/>
  <c r="F26" i="7"/>
  <c r="C889" i="19"/>
  <c r="H889" i="19" s="1"/>
  <c r="S26" i="7"/>
  <c r="U30" i="7"/>
  <c r="B152" i="23"/>
  <c r="B2135" i="23"/>
  <c r="B2088" i="23"/>
  <c r="N898" i="19"/>
  <c r="N850" i="19"/>
  <c r="N801" i="19"/>
  <c r="R45" i="7"/>
  <c r="E2340" i="23"/>
  <c r="D1309" i="19"/>
  <c r="I1309" i="19" s="1"/>
  <c r="C1260" i="19"/>
  <c r="H1260" i="19" s="1"/>
  <c r="D1260" i="19"/>
  <c r="I1260" i="19" s="1"/>
  <c r="G5" i="10"/>
  <c r="B2391" i="23"/>
  <c r="B2344" i="23"/>
  <c r="N1313" i="19"/>
  <c r="B267" i="23"/>
  <c r="N1216" i="19"/>
  <c r="N1264" i="19"/>
  <c r="D2350" i="23"/>
  <c r="I15" i="10"/>
  <c r="D2397" i="23" s="1"/>
  <c r="E298" i="23"/>
  <c r="E1344" i="19"/>
  <c r="C1247" i="19"/>
  <c r="H1247" i="19" s="1"/>
  <c r="C1344" i="19"/>
  <c r="H1344" i="19" s="1"/>
  <c r="S40" i="10"/>
  <c r="D1247" i="19"/>
  <c r="I1247" i="19" s="1"/>
  <c r="O40" i="10"/>
  <c r="F40" i="10"/>
  <c r="U40" i="10"/>
  <c r="E2380" i="23"/>
  <c r="D1349" i="19"/>
  <c r="I1349" i="19" s="1"/>
  <c r="D1301" i="19"/>
  <c r="I1301" i="19" s="1"/>
  <c r="C1301" i="19"/>
  <c r="H1301" i="19" s="1"/>
  <c r="G45" i="10"/>
  <c r="I13" i="12"/>
  <c r="D2583" i="23" s="1"/>
  <c r="D2552" i="23"/>
  <c r="I29" i="12"/>
  <c r="D2599" i="23" s="1"/>
  <c r="E2558" i="23"/>
  <c r="D1584" i="19"/>
  <c r="I1584" i="19" s="1"/>
  <c r="D1632" i="19"/>
  <c r="I1632" i="19" s="1"/>
  <c r="C1584" i="19"/>
  <c r="H1584" i="19" s="1"/>
  <c r="G35" i="12"/>
  <c r="B2563" i="23"/>
  <c r="B2610" i="23"/>
  <c r="B392" i="23"/>
  <c r="N1541" i="19"/>
  <c r="N1589" i="19"/>
  <c r="N1637" i="19"/>
  <c r="E401" i="23"/>
  <c r="D1551" i="19"/>
  <c r="I1551" i="19" s="1"/>
  <c r="G1551" i="19" s="1"/>
  <c r="F50" i="12"/>
  <c r="S50" i="12"/>
  <c r="E224" i="23"/>
  <c r="C1170" i="19"/>
  <c r="H1170" i="19" s="1"/>
  <c r="F13" i="9"/>
  <c r="E1170" i="19"/>
  <c r="E2258" i="23"/>
  <c r="D1174" i="19"/>
  <c r="I1174" i="19" s="1"/>
  <c r="D1125" i="19"/>
  <c r="I1125" i="19" s="1"/>
  <c r="C1125" i="19"/>
  <c r="H1125" i="19" s="1"/>
  <c r="D346" i="23"/>
  <c r="R41" i="11"/>
  <c r="C2053" i="19"/>
  <c r="H2053" i="19" s="1"/>
  <c r="G2053" i="19" s="1"/>
  <c r="E2117" i="19"/>
  <c r="E684" i="23"/>
  <c r="O11" i="28"/>
  <c r="F11" i="28"/>
  <c r="S11" i="28"/>
  <c r="E2132" i="19"/>
  <c r="E699" i="23"/>
  <c r="D2068" i="19"/>
  <c r="I2068" i="19" s="1"/>
  <c r="C2068" i="19"/>
  <c r="H2068" i="19" s="1"/>
  <c r="F26" i="28"/>
  <c r="U26" i="28"/>
  <c r="S26" i="28"/>
  <c r="E718" i="23"/>
  <c r="D2213" i="19"/>
  <c r="I2213" i="19" s="1"/>
  <c r="D2181" i="19"/>
  <c r="I2181" i="19" s="1"/>
  <c r="C2181" i="19"/>
  <c r="H2181" i="19" s="1"/>
  <c r="N47" i="28"/>
  <c r="E752" i="23" s="1"/>
  <c r="E586" i="23"/>
  <c r="E2017" i="19"/>
  <c r="D1952" i="19"/>
  <c r="I1952" i="19" s="1"/>
  <c r="C1952" i="19"/>
  <c r="H1952" i="19" s="1"/>
  <c r="S15" i="15"/>
  <c r="F15" i="15"/>
  <c r="C1963" i="19"/>
  <c r="H1963" i="19" s="1"/>
  <c r="E597" i="23"/>
  <c r="E2028" i="19"/>
  <c r="D1963" i="19"/>
  <c r="I1963" i="19" s="1"/>
  <c r="F26" i="15"/>
  <c r="S26" i="15"/>
  <c r="U26" i="15"/>
  <c r="O26" i="15"/>
  <c r="D416" i="23"/>
  <c r="R17" i="13"/>
  <c r="T17" i="13"/>
  <c r="J17" i="13"/>
  <c r="E2717" i="23"/>
  <c r="C1846" i="19"/>
  <c r="H1846" i="19" s="1"/>
  <c r="G1846" i="19" s="1"/>
  <c r="D1893" i="19"/>
  <c r="I1893" i="19" s="1"/>
  <c r="D1846" i="19"/>
  <c r="I1846" i="19" s="1"/>
  <c r="N6" i="14"/>
  <c r="E2765" i="23" s="1"/>
  <c r="G6" i="14"/>
  <c r="D457" i="23"/>
  <c r="T11" i="14"/>
  <c r="R11" i="14"/>
  <c r="J11" i="14"/>
  <c r="N15" i="14"/>
  <c r="E2774" i="23" s="1"/>
  <c r="D2739" i="23"/>
  <c r="E480" i="23"/>
  <c r="C1921" i="19"/>
  <c r="H1921" i="19" s="1"/>
  <c r="E1921" i="19"/>
  <c r="D1826" i="19"/>
  <c r="I1826" i="19" s="1"/>
  <c r="C1826" i="19"/>
  <c r="H1826" i="19" s="1"/>
  <c r="O34" i="14"/>
  <c r="F34" i="14"/>
  <c r="U34" i="14"/>
  <c r="E484" i="23"/>
  <c r="D1830" i="19"/>
  <c r="I1830" i="19" s="1"/>
  <c r="C1830" i="19"/>
  <c r="H1830" i="19" s="1"/>
  <c r="C1925" i="19"/>
  <c r="H1925" i="19" s="1"/>
  <c r="E1925" i="19"/>
  <c r="U38" i="14"/>
  <c r="S38" i="14"/>
  <c r="O38" i="14"/>
  <c r="F38" i="14"/>
  <c r="E2814" i="23"/>
  <c r="C2277" i="19"/>
  <c r="H2277" i="19" s="1"/>
  <c r="D2329" i="19"/>
  <c r="I2329" i="19" s="1"/>
  <c r="N8" i="16"/>
  <c r="D2277" i="19"/>
  <c r="I2277" i="19" s="1"/>
  <c r="G8" i="16"/>
  <c r="I35" i="16"/>
  <c r="D2904" i="23" s="1"/>
  <c r="E2870" i="23"/>
  <c r="D2360" i="19"/>
  <c r="I2360" i="19" s="1"/>
  <c r="C2307" i="19"/>
  <c r="H2307" i="19" s="1"/>
  <c r="D2307" i="19"/>
  <c r="I2307" i="19" s="1"/>
  <c r="N54" i="16"/>
  <c r="O54" i="16" s="1"/>
  <c r="L72" i="16"/>
  <c r="D2449" i="19"/>
  <c r="I2449" i="19" s="1"/>
  <c r="G2449" i="19" s="1"/>
  <c r="C2469" i="19"/>
  <c r="H2469" i="19" s="1"/>
  <c r="G2469" i="19" s="1"/>
  <c r="E902" i="23"/>
  <c r="E4" i="17"/>
  <c r="J24" i="17"/>
  <c r="C2459" i="19" s="1"/>
  <c r="H2459" i="19" s="1"/>
  <c r="G2459" i="19" s="1"/>
  <c r="N4" i="17"/>
  <c r="E981" i="23"/>
  <c r="D2460" i="19"/>
  <c r="I2460" i="19" s="1"/>
  <c r="G2460" i="19" s="1"/>
  <c r="D981" i="23"/>
  <c r="J54" i="17"/>
  <c r="D2419" i="19"/>
  <c r="I2419" i="19" s="1"/>
  <c r="G2419" i="19" s="1"/>
  <c r="D962" i="23"/>
  <c r="E962" i="23"/>
  <c r="R879" i="19"/>
  <c r="V879" i="19" s="1"/>
  <c r="J879" i="19"/>
  <c r="D960" i="19"/>
  <c r="I960" i="19" s="1"/>
  <c r="G960" i="19" s="1"/>
  <c r="D1073" i="19"/>
  <c r="I1073" i="19" s="1"/>
  <c r="E1205" i="23"/>
  <c r="D1205" i="23"/>
  <c r="Q28" i="17"/>
  <c r="J32" i="2"/>
  <c r="E1332" i="23" s="1"/>
  <c r="S34" i="2"/>
  <c r="O37" i="2"/>
  <c r="D1605" i="23"/>
  <c r="E1607" i="23"/>
  <c r="L19" i="3"/>
  <c r="E1510" i="23"/>
  <c r="J41" i="2"/>
  <c r="E1341" i="23" s="1"/>
  <c r="D1515" i="23"/>
  <c r="D1815" i="23"/>
  <c r="C431" i="19"/>
  <c r="H431" i="19" s="1"/>
  <c r="G431" i="19" s="1"/>
  <c r="E1829" i="23"/>
  <c r="P26" i="4"/>
  <c r="E1804" i="23"/>
  <c r="L55" i="4"/>
  <c r="B1928" i="23"/>
  <c r="B1881" i="23"/>
  <c r="B39" i="23"/>
  <c r="N488" i="19"/>
  <c r="N585" i="19"/>
  <c r="N536" i="19"/>
  <c r="N26" i="6"/>
  <c r="E2032" i="23" s="1"/>
  <c r="E1997" i="23"/>
  <c r="D754" i="19"/>
  <c r="I754" i="19" s="1"/>
  <c r="C706" i="19"/>
  <c r="H706" i="19" s="1"/>
  <c r="G706" i="19" s="1"/>
  <c r="G38" i="6"/>
  <c r="D119" i="23"/>
  <c r="R50" i="6"/>
  <c r="B2156" i="23"/>
  <c r="B2203" i="23"/>
  <c r="N970" i="19"/>
  <c r="B173" i="23"/>
  <c r="N1019" i="19"/>
  <c r="B2207" i="23"/>
  <c r="B2160" i="23"/>
  <c r="B177" i="23"/>
  <c r="N926" i="19"/>
  <c r="N1023" i="19"/>
  <c r="N974" i="19"/>
  <c r="D183" i="23"/>
  <c r="J19" i="8"/>
  <c r="T41" i="8"/>
  <c r="D137" i="23"/>
  <c r="J20" i="7"/>
  <c r="D269" i="23"/>
  <c r="R11" i="10"/>
  <c r="T11" i="10"/>
  <c r="J11" i="10"/>
  <c r="F34" i="10"/>
  <c r="E2375" i="23"/>
  <c r="C1296" i="19"/>
  <c r="H1296" i="19" s="1"/>
  <c r="D1296" i="19"/>
  <c r="I1296" i="19" s="1"/>
  <c r="N40" i="10"/>
  <c r="E2422" i="23" s="1"/>
  <c r="G40" i="10"/>
  <c r="D2382" i="23"/>
  <c r="I47" i="10"/>
  <c r="D2429" i="23" s="1"/>
  <c r="E2544" i="23"/>
  <c r="D1570" i="19"/>
  <c r="I1570" i="19" s="1"/>
  <c r="C1570" i="19"/>
  <c r="H1570" i="19" s="1"/>
  <c r="G1570" i="19" s="1"/>
  <c r="D1618" i="19"/>
  <c r="I1618" i="19" s="1"/>
  <c r="G21" i="12"/>
  <c r="E2549" i="23"/>
  <c r="D1623" i="19"/>
  <c r="I1623" i="19" s="1"/>
  <c r="C1575" i="19"/>
  <c r="H1575" i="19" s="1"/>
  <c r="G26" i="12"/>
  <c r="C1628" i="19"/>
  <c r="H1628" i="19" s="1"/>
  <c r="D1532" i="19"/>
  <c r="I1532" i="19" s="1"/>
  <c r="C1532" i="19"/>
  <c r="H1532" i="19" s="1"/>
  <c r="E1628" i="19"/>
  <c r="O31" i="12"/>
  <c r="U31" i="12"/>
  <c r="S31" i="12"/>
  <c r="E2572" i="23"/>
  <c r="C1600" i="19"/>
  <c r="H1600" i="19" s="1"/>
  <c r="D1600" i="19"/>
  <c r="I1600" i="19" s="1"/>
  <c r="D1647" i="19"/>
  <c r="I1647" i="19" s="1"/>
  <c r="G1647" i="19" s="1"/>
  <c r="R6" i="9"/>
  <c r="E2254" i="23"/>
  <c r="D1170" i="19"/>
  <c r="I1170" i="19" s="1"/>
  <c r="G13" i="9"/>
  <c r="D1121" i="19"/>
  <c r="I1121" i="19" s="1"/>
  <c r="C1121" i="19"/>
  <c r="H1121" i="19" s="1"/>
  <c r="E2273" i="23"/>
  <c r="D1189" i="19"/>
  <c r="I1189" i="19" s="1"/>
  <c r="D1141" i="19"/>
  <c r="I1141" i="19" s="1"/>
  <c r="C1141" i="19"/>
  <c r="H1141" i="19" s="1"/>
  <c r="F39" i="9"/>
  <c r="D312" i="23"/>
  <c r="T7" i="11"/>
  <c r="R7" i="11"/>
  <c r="J7" i="11"/>
  <c r="O11" i="11"/>
  <c r="B2508" i="23"/>
  <c r="N1483" i="19"/>
  <c r="N1435" i="19"/>
  <c r="B2461" i="23"/>
  <c r="B337" i="23"/>
  <c r="E616" i="23"/>
  <c r="D2117" i="19"/>
  <c r="I2117" i="19" s="1"/>
  <c r="D2085" i="19"/>
  <c r="I2085" i="19" s="1"/>
  <c r="C2085" i="19"/>
  <c r="H2085" i="19" s="1"/>
  <c r="G2085" i="19" s="1"/>
  <c r="G11" i="28"/>
  <c r="I28" i="28"/>
  <c r="D667" i="23" s="1"/>
  <c r="E781" i="23"/>
  <c r="D2144" i="19"/>
  <c r="I2144" i="19" s="1"/>
  <c r="C2144" i="19"/>
  <c r="H2144" i="19" s="1"/>
  <c r="E2208" i="19"/>
  <c r="O42" i="28"/>
  <c r="F42" i="28"/>
  <c r="C2153" i="19"/>
  <c r="H2153" i="19" s="1"/>
  <c r="E790" i="23"/>
  <c r="D2153" i="19"/>
  <c r="I2153" i="19" s="1"/>
  <c r="O51" i="28"/>
  <c r="F51" i="28"/>
  <c r="E2217" i="19"/>
  <c r="I56" i="28"/>
  <c r="D761" i="23" s="1"/>
  <c r="E808" i="23"/>
  <c r="C2171" i="19"/>
  <c r="H2171" i="19" s="1"/>
  <c r="E2235" i="19"/>
  <c r="D2171" i="19"/>
  <c r="I2171" i="19" s="1"/>
  <c r="O69" i="28"/>
  <c r="F69" i="28"/>
  <c r="E508" i="23"/>
  <c r="C1985" i="19"/>
  <c r="H1985" i="19" s="1"/>
  <c r="D2017" i="19"/>
  <c r="D1985" i="19"/>
  <c r="I1985" i="19" s="1"/>
  <c r="G15" i="15"/>
  <c r="E519" i="23"/>
  <c r="D1996" i="19"/>
  <c r="I1996" i="19" s="1"/>
  <c r="D2028" i="19"/>
  <c r="I2028" i="19" s="1"/>
  <c r="C1996" i="19"/>
  <c r="H1996" i="19" s="1"/>
  <c r="G26" i="15"/>
  <c r="N26" i="15"/>
  <c r="E553" i="23" s="1"/>
  <c r="I31" i="15"/>
  <c r="D558" i="23" s="1"/>
  <c r="D2634" i="23"/>
  <c r="I17" i="13"/>
  <c r="D2681" i="23" s="1"/>
  <c r="H23" i="14"/>
  <c r="H27" i="14" s="1"/>
  <c r="H51" i="14" s="1"/>
  <c r="F2512" i="22" s="1"/>
  <c r="H44" i="14"/>
  <c r="H48" i="14" s="1"/>
  <c r="J35" i="16"/>
  <c r="E971" i="23"/>
  <c r="D971" i="23"/>
  <c r="D2430" i="19"/>
  <c r="I2430" i="19" s="1"/>
  <c r="G2430" i="19" s="1"/>
  <c r="L25" i="18"/>
  <c r="J70" i="19"/>
  <c r="G70" i="19" s="1"/>
  <c r="C107" i="19"/>
  <c r="H107" i="19" s="1"/>
  <c r="G107" i="19" s="1"/>
  <c r="C650" i="19"/>
  <c r="H650" i="19" s="1"/>
  <c r="G1621" i="19"/>
  <c r="E1195" i="23"/>
  <c r="E36" i="19"/>
  <c r="D1195" i="23"/>
  <c r="O32" i="2"/>
  <c r="E1499" i="23"/>
  <c r="D30" i="3"/>
  <c r="E1840" i="23"/>
  <c r="P41" i="4"/>
  <c r="E1802" i="23"/>
  <c r="I10" i="5"/>
  <c r="D1922" i="23" s="1"/>
  <c r="B1887" i="23"/>
  <c r="B1934" i="23"/>
  <c r="B45" i="23"/>
  <c r="N591" i="19"/>
  <c r="N542" i="19"/>
  <c r="N494" i="19"/>
  <c r="E63" i="23"/>
  <c r="D512" i="19"/>
  <c r="I512" i="19" s="1"/>
  <c r="E609" i="19"/>
  <c r="C512" i="19"/>
  <c r="H512" i="19" s="1"/>
  <c r="G512" i="19" s="1"/>
  <c r="U40" i="5"/>
  <c r="C609" i="19"/>
  <c r="H609" i="19" s="1"/>
  <c r="S40" i="5"/>
  <c r="H11" i="6"/>
  <c r="I11" i="6" s="1"/>
  <c r="D2017" i="23" s="1"/>
  <c r="E92" i="23"/>
  <c r="E738" i="19"/>
  <c r="C738" i="19"/>
  <c r="H738" i="19" s="1"/>
  <c r="O22" i="6"/>
  <c r="F22" i="6"/>
  <c r="U22" i="6"/>
  <c r="D641" i="19"/>
  <c r="I641" i="19" s="1"/>
  <c r="C641" i="19"/>
  <c r="H641" i="19" s="1"/>
  <c r="G641" i="19" s="1"/>
  <c r="S32" i="6"/>
  <c r="D177" i="23"/>
  <c r="J13" i="8"/>
  <c r="E200" i="23"/>
  <c r="E1046" i="19"/>
  <c r="F36" i="8"/>
  <c r="U36" i="8"/>
  <c r="D949" i="19"/>
  <c r="I949" i="19" s="1"/>
  <c r="C949" i="19"/>
  <c r="H949" i="19" s="1"/>
  <c r="B2057" i="23"/>
  <c r="B2104" i="23"/>
  <c r="B121" i="23"/>
  <c r="N818" i="19"/>
  <c r="N770" i="19"/>
  <c r="N867" i="19"/>
  <c r="I10" i="7"/>
  <c r="D2110" i="23" s="1"/>
  <c r="D133" i="23"/>
  <c r="J16" i="7"/>
  <c r="R16" i="7"/>
  <c r="D294" i="23"/>
  <c r="T36" i="10"/>
  <c r="R36" i="10"/>
  <c r="E914" i="23"/>
  <c r="D914" i="23"/>
  <c r="S21" i="2"/>
  <c r="M46" i="2"/>
  <c r="M51" i="2"/>
  <c r="O56" i="2"/>
  <c r="E1504" i="23"/>
  <c r="D35" i="3"/>
  <c r="J35" i="2"/>
  <c r="E1335" i="23" s="1"/>
  <c r="E1515" i="23"/>
  <c r="J46" i="2"/>
  <c r="E1346" i="23" s="1"/>
  <c r="E1815" i="23"/>
  <c r="E1667" i="23"/>
  <c r="D21" i="4"/>
  <c r="D43" i="23"/>
  <c r="J20" i="5"/>
  <c r="R20" i="5"/>
  <c r="E49" i="23"/>
  <c r="E595" i="19"/>
  <c r="F26" i="5"/>
  <c r="D498" i="19"/>
  <c r="I498" i="19" s="1"/>
  <c r="U26" i="5"/>
  <c r="C498" i="19"/>
  <c r="H498" i="19" s="1"/>
  <c r="S26" i="5"/>
  <c r="O26" i="5"/>
  <c r="T30" i="5"/>
  <c r="N9" i="6"/>
  <c r="E2015" i="23" s="1"/>
  <c r="E1975" i="23"/>
  <c r="D732" i="19"/>
  <c r="I732" i="19" s="1"/>
  <c r="C683" i="19"/>
  <c r="H683" i="19" s="1"/>
  <c r="D683" i="19"/>
  <c r="I683" i="19" s="1"/>
  <c r="B2177" i="23"/>
  <c r="B194" i="23"/>
  <c r="B2224" i="23"/>
  <c r="N943" i="19"/>
  <c r="N1040" i="19"/>
  <c r="N992" i="19"/>
  <c r="D202" i="23"/>
  <c r="T38" i="8"/>
  <c r="R38" i="8"/>
  <c r="J38" i="8"/>
  <c r="B2189" i="23"/>
  <c r="B2236" i="23"/>
  <c r="B206" i="23"/>
  <c r="N1052" i="19"/>
  <c r="N955" i="19"/>
  <c r="D121" i="23"/>
  <c r="J4" i="7"/>
  <c r="E150" i="23"/>
  <c r="D799" i="19"/>
  <c r="I799" i="19" s="1"/>
  <c r="G799" i="19" s="1"/>
  <c r="F33" i="7"/>
  <c r="S33" i="7"/>
  <c r="C896" i="19"/>
  <c r="H896" i="19" s="1"/>
  <c r="B2099" i="23"/>
  <c r="B2146" i="23"/>
  <c r="B163" i="23"/>
  <c r="N812" i="19"/>
  <c r="N862" i="19"/>
  <c r="N909" i="19"/>
  <c r="N861" i="19"/>
  <c r="O5" i="10"/>
  <c r="B2412" i="23"/>
  <c r="B2365" i="23"/>
  <c r="B288" i="23"/>
  <c r="N1334" i="19"/>
  <c r="E2373" i="23"/>
  <c r="D1342" i="19"/>
  <c r="I1342" i="19" s="1"/>
  <c r="G38" i="10"/>
  <c r="U38" i="10"/>
  <c r="D357" i="23"/>
  <c r="J5" i="12"/>
  <c r="D2532" i="23"/>
  <c r="I9" i="12"/>
  <c r="D2579" i="23" s="1"/>
  <c r="N21" i="12"/>
  <c r="E2591" i="23" s="1"/>
  <c r="E2547" i="23"/>
  <c r="C1573" i="19"/>
  <c r="H1573" i="19" s="1"/>
  <c r="D1621" i="19"/>
  <c r="I1621" i="19" s="1"/>
  <c r="D1573" i="19"/>
  <c r="I1573" i="19" s="1"/>
  <c r="U24" i="12"/>
  <c r="N50" i="12"/>
  <c r="E2619" i="23" s="1"/>
  <c r="N13" i="9"/>
  <c r="E2301" i="23" s="1"/>
  <c r="D2276" i="23"/>
  <c r="I35" i="9"/>
  <c r="D2323" i="23" s="1"/>
  <c r="S11" i="11"/>
  <c r="U29" i="11"/>
  <c r="F5" i="28"/>
  <c r="N11" i="28"/>
  <c r="E650" i="23" s="1"/>
  <c r="H43" i="15"/>
  <c r="D784" i="23"/>
  <c r="J45" i="28"/>
  <c r="L48" i="28"/>
  <c r="D793" i="23"/>
  <c r="J54" i="28"/>
  <c r="D581" i="23"/>
  <c r="J10" i="15"/>
  <c r="N1950" i="19"/>
  <c r="N2015" i="19"/>
  <c r="N1983" i="19"/>
  <c r="N15" i="15"/>
  <c r="E542" i="23" s="1"/>
  <c r="D513" i="23"/>
  <c r="I20" i="15"/>
  <c r="D547" i="23" s="1"/>
  <c r="B404" i="23"/>
  <c r="B2669" i="23"/>
  <c r="B2622" i="23"/>
  <c r="N1747" i="19"/>
  <c r="N1652" i="19"/>
  <c r="N1700" i="19"/>
  <c r="B2655" i="23"/>
  <c r="B2702" i="23"/>
  <c r="N1733" i="19"/>
  <c r="B437" i="23"/>
  <c r="N1780" i="19"/>
  <c r="E1196" i="23"/>
  <c r="D1196" i="23"/>
  <c r="E37" i="19"/>
  <c r="E1216" i="23"/>
  <c r="D1216" i="23"/>
  <c r="E48" i="19"/>
  <c r="B83" i="20"/>
  <c r="B88" i="20"/>
  <c r="B85" i="20"/>
  <c r="D12" i="23"/>
  <c r="E12" i="23"/>
  <c r="E78" i="19"/>
  <c r="C78" i="19"/>
  <c r="H78" i="19" s="1"/>
  <c r="D1235" i="23"/>
  <c r="E1235" i="23"/>
  <c r="D1298" i="23"/>
  <c r="E1298" i="23"/>
  <c r="E9" i="23"/>
  <c r="E19" i="19"/>
  <c r="E17" i="19"/>
  <c r="C17" i="19"/>
  <c r="H17" i="19" s="1"/>
  <c r="D9" i="23"/>
  <c r="D19" i="19"/>
  <c r="I19" i="19" s="1"/>
  <c r="C33" i="19"/>
  <c r="H33" i="19" s="1"/>
  <c r="D17" i="19"/>
  <c r="J14" i="2"/>
  <c r="E1314" i="23" s="1"/>
  <c r="S16" i="2"/>
  <c r="O24" i="2"/>
  <c r="O51" i="2"/>
  <c r="E1367" i="23"/>
  <c r="G67" i="2"/>
  <c r="D1367" i="23" s="1"/>
  <c r="E1479" i="23"/>
  <c r="O9" i="2"/>
  <c r="D9" i="3"/>
  <c r="D1601" i="23"/>
  <c r="D18" i="3"/>
  <c r="E1619" i="23"/>
  <c r="L32" i="3"/>
  <c r="N52" i="3"/>
  <c r="E1524" i="23"/>
  <c r="O55" i="2"/>
  <c r="D55" i="3"/>
  <c r="H11" i="4"/>
  <c r="E1659" i="23"/>
  <c r="D13" i="4"/>
  <c r="S13" i="2"/>
  <c r="D19" i="4"/>
  <c r="E1671" i="23"/>
  <c r="S25" i="2"/>
  <c r="H29" i="4"/>
  <c r="Q29" i="2" s="1"/>
  <c r="H35" i="4"/>
  <c r="E1683" i="23"/>
  <c r="D40" i="4"/>
  <c r="D42" i="4"/>
  <c r="D1687" i="23"/>
  <c r="Q44" i="2"/>
  <c r="E1850" i="23"/>
  <c r="P51" i="4"/>
  <c r="D528" i="19"/>
  <c r="I528" i="19" s="1"/>
  <c r="E33" i="23"/>
  <c r="E579" i="19"/>
  <c r="C579" i="19"/>
  <c r="H579" i="19" s="1"/>
  <c r="D482" i="19"/>
  <c r="I482" i="19" s="1"/>
  <c r="C482" i="19"/>
  <c r="H482" i="19" s="1"/>
  <c r="U10" i="5"/>
  <c r="F10" i="5"/>
  <c r="I14" i="5"/>
  <c r="D1926" i="23" s="1"/>
  <c r="E1891" i="23"/>
  <c r="C547" i="19"/>
  <c r="H547" i="19" s="1"/>
  <c r="D595" i="19"/>
  <c r="I595" i="19" s="1"/>
  <c r="G26" i="5"/>
  <c r="N26" i="5"/>
  <c r="E1938" i="23" s="1"/>
  <c r="D547" i="19"/>
  <c r="I547" i="19" s="1"/>
  <c r="H29" i="5"/>
  <c r="H44" i="5" s="1"/>
  <c r="S32" i="5"/>
  <c r="R34" i="5"/>
  <c r="B2019" i="23"/>
  <c r="B1972" i="23"/>
  <c r="B83" i="23"/>
  <c r="N680" i="19"/>
  <c r="B2021" i="23"/>
  <c r="B1974" i="23"/>
  <c r="B85" i="23"/>
  <c r="N634" i="19"/>
  <c r="N731" i="19"/>
  <c r="S18" i="6"/>
  <c r="E1979" i="23"/>
  <c r="C687" i="19"/>
  <c r="H687" i="19" s="1"/>
  <c r="G687" i="19" s="1"/>
  <c r="D99" i="23"/>
  <c r="T29" i="6"/>
  <c r="J29" i="6"/>
  <c r="R29" i="6"/>
  <c r="U36" i="6"/>
  <c r="B2045" i="23"/>
  <c r="B1998" i="23"/>
  <c r="B109" i="23"/>
  <c r="N658" i="19"/>
  <c r="N707" i="19"/>
  <c r="D111" i="23"/>
  <c r="T41" i="6"/>
  <c r="J41" i="6"/>
  <c r="U42" i="6"/>
  <c r="E115" i="23"/>
  <c r="C761" i="19"/>
  <c r="H761" i="19" s="1"/>
  <c r="D664" i="19"/>
  <c r="I664" i="19" s="1"/>
  <c r="C664" i="19"/>
  <c r="H664" i="19" s="1"/>
  <c r="S45" i="6"/>
  <c r="O45" i="6"/>
  <c r="E119" i="23"/>
  <c r="S50" i="6"/>
  <c r="U50" i="6"/>
  <c r="F5" i="8"/>
  <c r="I17" i="8"/>
  <c r="D2211" i="23" s="1"/>
  <c r="J21" i="8"/>
  <c r="D190" i="23"/>
  <c r="J26" i="8"/>
  <c r="T26" i="8"/>
  <c r="E2179" i="23"/>
  <c r="C994" i="19"/>
  <c r="H994" i="19" s="1"/>
  <c r="D1042" i="19"/>
  <c r="I1042" i="19" s="1"/>
  <c r="D994" i="19"/>
  <c r="I994" i="19" s="1"/>
  <c r="G32" i="8"/>
  <c r="N32" i="8"/>
  <c r="E2226" i="23" s="1"/>
  <c r="E198" i="23"/>
  <c r="C947" i="19"/>
  <c r="H947" i="19" s="1"/>
  <c r="G947" i="19" s="1"/>
  <c r="S34" i="8"/>
  <c r="D947" i="19"/>
  <c r="I947" i="19" s="1"/>
  <c r="F34" i="8"/>
  <c r="C1050" i="19"/>
  <c r="H1050" i="19" s="1"/>
  <c r="E204" i="23"/>
  <c r="D953" i="19"/>
  <c r="I953" i="19" s="1"/>
  <c r="C953" i="19"/>
  <c r="H953" i="19" s="1"/>
  <c r="G953" i="19" s="1"/>
  <c r="E1050" i="19"/>
  <c r="F40" i="8"/>
  <c r="U40" i="8"/>
  <c r="O40" i="8"/>
  <c r="D206" i="23"/>
  <c r="T42" i="8"/>
  <c r="R42" i="8"/>
  <c r="J42" i="8"/>
  <c r="E2061" i="23"/>
  <c r="D822" i="19"/>
  <c r="I822" i="19" s="1"/>
  <c r="D871" i="19"/>
  <c r="I871" i="19" s="1"/>
  <c r="C822" i="19"/>
  <c r="H822" i="19" s="1"/>
  <c r="E2065" i="23"/>
  <c r="C826" i="19"/>
  <c r="H826" i="19" s="1"/>
  <c r="D826" i="19"/>
  <c r="I826" i="19" s="1"/>
  <c r="D875" i="19"/>
  <c r="I875" i="19" s="1"/>
  <c r="J14" i="7"/>
  <c r="E2069" i="23"/>
  <c r="C830" i="19"/>
  <c r="H830" i="19" s="1"/>
  <c r="G830" i="19" s="1"/>
  <c r="D879" i="19"/>
  <c r="I879" i="19" s="1"/>
  <c r="U16" i="7"/>
  <c r="G16" i="7"/>
  <c r="T16" i="7" s="1"/>
  <c r="E2073" i="23"/>
  <c r="N20" i="7"/>
  <c r="E2120" i="23" s="1"/>
  <c r="B2125" i="23"/>
  <c r="B142" i="23"/>
  <c r="B2078" i="23"/>
  <c r="N840" i="19"/>
  <c r="N791" i="19"/>
  <c r="N888" i="19"/>
  <c r="N839" i="19"/>
  <c r="O26" i="7"/>
  <c r="C795" i="19"/>
  <c r="H795" i="19" s="1"/>
  <c r="G795" i="19" s="1"/>
  <c r="E146" i="23"/>
  <c r="F29" i="7"/>
  <c r="S29" i="7"/>
  <c r="K44" i="7"/>
  <c r="O29" i="7"/>
  <c r="E2084" i="23"/>
  <c r="D894" i="19"/>
  <c r="I894" i="19" s="1"/>
  <c r="N31" i="7"/>
  <c r="E2131" i="23" s="1"/>
  <c r="G31" i="7"/>
  <c r="D846" i="19"/>
  <c r="I846" i="19" s="1"/>
  <c r="C846" i="19"/>
  <c r="H846" i="19" s="1"/>
  <c r="E154" i="23"/>
  <c r="E900" i="19"/>
  <c r="C803" i="19"/>
  <c r="H803" i="19" s="1"/>
  <c r="F37" i="7"/>
  <c r="D803" i="19"/>
  <c r="I803" i="19" s="1"/>
  <c r="S37" i="7"/>
  <c r="E2096" i="23"/>
  <c r="D858" i="19"/>
  <c r="I858" i="19" s="1"/>
  <c r="D906" i="19"/>
  <c r="I906" i="19" s="1"/>
  <c r="N43" i="7"/>
  <c r="E2143" i="23" s="1"/>
  <c r="C858" i="19"/>
  <c r="H858" i="19" s="1"/>
  <c r="G43" i="7"/>
  <c r="E2342" i="23"/>
  <c r="D1262" i="19"/>
  <c r="I1262" i="19" s="1"/>
  <c r="U7" i="10"/>
  <c r="D1311" i="19"/>
  <c r="I1311" i="19" s="1"/>
  <c r="C1262" i="19"/>
  <c r="H1262" i="19" s="1"/>
  <c r="E2346" i="23"/>
  <c r="D1315" i="19"/>
  <c r="I1315" i="19" s="1"/>
  <c r="C1266" i="19"/>
  <c r="H1266" i="19" s="1"/>
  <c r="D1266" i="19"/>
  <c r="I1266" i="19" s="1"/>
  <c r="U11" i="10"/>
  <c r="E2354" i="23"/>
  <c r="D1274" i="19"/>
  <c r="I1274" i="19" s="1"/>
  <c r="C1274" i="19"/>
  <c r="H1274" i="19" s="1"/>
  <c r="U19" i="10"/>
  <c r="D1323" i="19"/>
  <c r="I1323" i="19" s="1"/>
  <c r="G19" i="10"/>
  <c r="S21" i="10"/>
  <c r="B284" i="23"/>
  <c r="B2408" i="23"/>
  <c r="B2361" i="23"/>
  <c r="N1330" i="19"/>
  <c r="N1233" i="19"/>
  <c r="N1282" i="19"/>
  <c r="I28" i="10"/>
  <c r="E2382" i="23"/>
  <c r="D1351" i="19"/>
  <c r="I1351" i="19" s="1"/>
  <c r="U47" i="10"/>
  <c r="N47" i="10"/>
  <c r="E2429" i="23" s="1"/>
  <c r="R50" i="10"/>
  <c r="E2528" i="23"/>
  <c r="D1602" i="19"/>
  <c r="I1602" i="19" s="1"/>
  <c r="D1554" i="19"/>
  <c r="I1554" i="19" s="1"/>
  <c r="C1554" i="19"/>
  <c r="H1554" i="19" s="1"/>
  <c r="G5" i="12"/>
  <c r="U21" i="12"/>
  <c r="N29" i="12"/>
  <c r="E2599" i="23" s="1"/>
  <c r="D2561" i="23"/>
  <c r="I38" i="12"/>
  <c r="D2608" i="23" s="1"/>
  <c r="N45" i="12"/>
  <c r="E2615" i="23" s="1"/>
  <c r="U47" i="12"/>
  <c r="B2295" i="23"/>
  <c r="B2248" i="23"/>
  <c r="B218" i="23"/>
  <c r="N1115" i="19"/>
  <c r="N1067" i="19"/>
  <c r="N1164" i="19"/>
  <c r="O13" i="9"/>
  <c r="R15" i="9"/>
  <c r="E235" i="23"/>
  <c r="D1084" i="19"/>
  <c r="I1084" i="19" s="1"/>
  <c r="G1084" i="19" s="1"/>
  <c r="E1181" i="19"/>
  <c r="C1181" i="19"/>
  <c r="H1181" i="19" s="1"/>
  <c r="O24" i="9"/>
  <c r="F24" i="9"/>
  <c r="E237" i="23"/>
  <c r="E1183" i="19"/>
  <c r="C1086" i="19"/>
  <c r="H1086" i="19" s="1"/>
  <c r="C1183" i="19"/>
  <c r="H1183" i="19" s="1"/>
  <c r="F26" i="9"/>
  <c r="D1086" i="19"/>
  <c r="I1086" i="19" s="1"/>
  <c r="U26" i="9"/>
  <c r="S26" i="9"/>
  <c r="B2321" i="23"/>
  <c r="B2274" i="23"/>
  <c r="B244" i="23"/>
  <c r="N1093" i="19"/>
  <c r="N1190" i="19"/>
  <c r="E2284" i="23"/>
  <c r="D1200" i="19"/>
  <c r="I1200" i="19" s="1"/>
  <c r="D1152" i="19"/>
  <c r="I1152" i="19" s="1"/>
  <c r="C1152" i="19"/>
  <c r="H1152" i="19" s="1"/>
  <c r="N1405" i="19"/>
  <c r="N1502" i="19"/>
  <c r="N1356" i="19"/>
  <c r="N1357" i="19"/>
  <c r="N5" i="11"/>
  <c r="E2481" i="23" s="1"/>
  <c r="E312" i="23"/>
  <c r="C1361" i="19"/>
  <c r="H1361" i="19" s="1"/>
  <c r="E1458" i="19"/>
  <c r="D1361" i="19"/>
  <c r="I1361" i="19" s="1"/>
  <c r="S7" i="11"/>
  <c r="O7" i="11"/>
  <c r="K23" i="11"/>
  <c r="C1458" i="19"/>
  <c r="H1458" i="19" s="1"/>
  <c r="E327" i="23"/>
  <c r="E1473" i="19"/>
  <c r="C1376" i="19"/>
  <c r="H1376" i="19" s="1"/>
  <c r="C1473" i="19"/>
  <c r="H1473" i="19" s="1"/>
  <c r="D1376" i="19"/>
  <c r="I1376" i="19" s="1"/>
  <c r="F22" i="11"/>
  <c r="O22" i="11"/>
  <c r="B2506" i="23"/>
  <c r="B2459" i="23"/>
  <c r="B335" i="23"/>
  <c r="N1481" i="19"/>
  <c r="N1433" i="19"/>
  <c r="J32" i="11"/>
  <c r="E339" i="23"/>
  <c r="C1388" i="19"/>
  <c r="H1388" i="19" s="1"/>
  <c r="D1388" i="19"/>
  <c r="I1388" i="19" s="1"/>
  <c r="E1485" i="19"/>
  <c r="F34" i="11"/>
  <c r="S34" i="11"/>
  <c r="U34" i="11"/>
  <c r="O34" i="11"/>
  <c r="C1485" i="19"/>
  <c r="H1485" i="19" s="1"/>
  <c r="J41" i="11"/>
  <c r="G5" i="28"/>
  <c r="U11" i="28"/>
  <c r="E619" i="23"/>
  <c r="C2088" i="19"/>
  <c r="H2088" i="19" s="1"/>
  <c r="D2088" i="19"/>
  <c r="I2088" i="19" s="1"/>
  <c r="D2120" i="19"/>
  <c r="I2120" i="19" s="1"/>
  <c r="G14" i="28"/>
  <c r="U14" i="28"/>
  <c r="N14" i="28"/>
  <c r="E653" i="23" s="1"/>
  <c r="L36" i="28"/>
  <c r="I16" i="28"/>
  <c r="D655" i="23" s="1"/>
  <c r="D691" i="23"/>
  <c r="J18" i="28"/>
  <c r="O26" i="28"/>
  <c r="C2106" i="19"/>
  <c r="H2106" i="19" s="1"/>
  <c r="E637" i="23"/>
  <c r="D2138" i="19"/>
  <c r="I2138" i="19" s="1"/>
  <c r="D2106" i="19"/>
  <c r="I2106" i="19" s="1"/>
  <c r="N32" i="28"/>
  <c r="E671" i="23" s="1"/>
  <c r="G32" i="28"/>
  <c r="D716" i="23"/>
  <c r="M48" i="28"/>
  <c r="N2186" i="19"/>
  <c r="N2154" i="19"/>
  <c r="N2218" i="19"/>
  <c r="C1942" i="19"/>
  <c r="H1942" i="19" s="1"/>
  <c r="E2007" i="19"/>
  <c r="E576" i="23"/>
  <c r="D1942" i="19"/>
  <c r="I1942" i="19" s="1"/>
  <c r="S5" i="15"/>
  <c r="F5" i="15"/>
  <c r="U5" i="15"/>
  <c r="O5" i="15"/>
  <c r="G10" i="15"/>
  <c r="O15" i="15"/>
  <c r="E600" i="23"/>
  <c r="C1966" i="19"/>
  <c r="H1966" i="19" s="1"/>
  <c r="G1966" i="19" s="1"/>
  <c r="D1966" i="19"/>
  <c r="I1966" i="19" s="1"/>
  <c r="E2031" i="19"/>
  <c r="S29" i="15"/>
  <c r="AA51" i="15"/>
  <c r="U12" i="13"/>
  <c r="E2639" i="23"/>
  <c r="C1717" i="19"/>
  <c r="H1717" i="19" s="1"/>
  <c r="D1764" i="19"/>
  <c r="I1764" i="19" s="1"/>
  <c r="D1717" i="19"/>
  <c r="I1717" i="19" s="1"/>
  <c r="G22" i="13"/>
  <c r="G25" i="13"/>
  <c r="B2694" i="23"/>
  <c r="B2647" i="23"/>
  <c r="N1772" i="19"/>
  <c r="N1677" i="19"/>
  <c r="B429" i="23"/>
  <c r="N1725" i="19"/>
  <c r="I36" i="13"/>
  <c r="D2700" i="23" s="1"/>
  <c r="D437" i="23"/>
  <c r="R38" i="13"/>
  <c r="J38" i="13"/>
  <c r="G7" i="14"/>
  <c r="F16" i="14"/>
  <c r="R25" i="14"/>
  <c r="I30" i="14"/>
  <c r="D2789" i="23" s="1"/>
  <c r="E487" i="23"/>
  <c r="D1833" i="19"/>
  <c r="I1833" i="19" s="1"/>
  <c r="C1928" i="19"/>
  <c r="H1928" i="19" s="1"/>
  <c r="C1833" i="19"/>
  <c r="H1833" i="19" s="1"/>
  <c r="E1928" i="19"/>
  <c r="U41" i="14"/>
  <c r="S41" i="14"/>
  <c r="O41" i="14"/>
  <c r="D493" i="23"/>
  <c r="T47" i="14"/>
  <c r="J47" i="14"/>
  <c r="E868" i="23"/>
  <c r="D2246" i="19"/>
  <c r="I2246" i="19" s="1"/>
  <c r="C2327" i="19"/>
  <c r="H2327" i="19" s="1"/>
  <c r="E2381" i="19"/>
  <c r="E2327" i="19"/>
  <c r="C2246" i="19"/>
  <c r="H2246" i="19" s="1"/>
  <c r="F5" i="16"/>
  <c r="J6" i="16" s="1"/>
  <c r="Q11" i="3"/>
  <c r="L40" i="16"/>
  <c r="G64" i="16"/>
  <c r="H5" i="17"/>
  <c r="E935" i="23"/>
  <c r="D2434" i="19"/>
  <c r="I2434" i="19" s="1"/>
  <c r="D935" i="23"/>
  <c r="K38" i="17"/>
  <c r="O47" i="17"/>
  <c r="D984" i="23"/>
  <c r="E984" i="23"/>
  <c r="D2463" i="19"/>
  <c r="I2463" i="19" s="1"/>
  <c r="G2463" i="19" s="1"/>
  <c r="E997" i="23"/>
  <c r="D2492" i="19"/>
  <c r="I2492" i="19" s="1"/>
  <c r="G2492" i="19" s="1"/>
  <c r="D997" i="23"/>
  <c r="E103" i="19"/>
  <c r="V160" i="19"/>
  <c r="E284" i="19"/>
  <c r="D522" i="19"/>
  <c r="I522" i="19" s="1"/>
  <c r="G522" i="19" s="1"/>
  <c r="E582" i="19"/>
  <c r="R603" i="19"/>
  <c r="V603" i="19" s="1"/>
  <c r="J603" i="19"/>
  <c r="E615" i="19"/>
  <c r="N715" i="19"/>
  <c r="R893" i="19"/>
  <c r="V893" i="19" s="1"/>
  <c r="J893" i="19"/>
  <c r="C983" i="19"/>
  <c r="H983" i="19" s="1"/>
  <c r="G983" i="19" s="1"/>
  <c r="N1079" i="19"/>
  <c r="J1174" i="19"/>
  <c r="R1174" i="19"/>
  <c r="V1174" i="19" s="1"/>
  <c r="J1200" i="19"/>
  <c r="D1344" i="19"/>
  <c r="I1344" i="19" s="1"/>
  <c r="N1386" i="19"/>
  <c r="C1411" i="19"/>
  <c r="H1411" i="19" s="1"/>
  <c r="V1454" i="19"/>
  <c r="D1575" i="19"/>
  <c r="I1575" i="19" s="1"/>
  <c r="E2433" i="19"/>
  <c r="E1217" i="23"/>
  <c r="D1217" i="23"/>
  <c r="Q44" i="17"/>
  <c r="D1256" i="23"/>
  <c r="E1256" i="23"/>
  <c r="E61" i="19"/>
  <c r="D23" i="23"/>
  <c r="E23" i="23"/>
  <c r="E426" i="19"/>
  <c r="D426" i="19"/>
  <c r="I426" i="19" s="1"/>
  <c r="C426" i="19"/>
  <c r="H426" i="19" s="1"/>
  <c r="E37" i="23"/>
  <c r="D486" i="19"/>
  <c r="I486" i="19" s="1"/>
  <c r="C486" i="19"/>
  <c r="H486" i="19" s="1"/>
  <c r="E583" i="19"/>
  <c r="U14" i="5"/>
  <c r="O14" i="5"/>
  <c r="E41" i="23"/>
  <c r="C587" i="19"/>
  <c r="H587" i="19" s="1"/>
  <c r="U18" i="5"/>
  <c r="E587" i="19"/>
  <c r="D490" i="19"/>
  <c r="I490" i="19" s="1"/>
  <c r="C490" i="19"/>
  <c r="H490" i="19" s="1"/>
  <c r="D103" i="23"/>
  <c r="T33" i="6"/>
  <c r="J33" i="6"/>
  <c r="R33" i="6"/>
  <c r="E194" i="23"/>
  <c r="C1040" i="19"/>
  <c r="H1040" i="19" s="1"/>
  <c r="E1040" i="19"/>
  <c r="S30" i="8"/>
  <c r="O30" i="8"/>
  <c r="U30" i="8"/>
  <c r="E2185" i="23"/>
  <c r="D1000" i="19"/>
  <c r="I1000" i="19" s="1"/>
  <c r="C1000" i="19"/>
  <c r="H1000" i="19" s="1"/>
  <c r="G1000" i="19" s="1"/>
  <c r="D1048" i="19"/>
  <c r="I1048" i="19" s="1"/>
  <c r="E2057" i="23"/>
  <c r="D867" i="19"/>
  <c r="I867" i="19" s="1"/>
  <c r="C818" i="19"/>
  <c r="H818" i="19" s="1"/>
  <c r="N4" i="7"/>
  <c r="L23" i="7"/>
  <c r="E2365" i="23"/>
  <c r="D1286" i="19"/>
  <c r="I1286" i="19" s="1"/>
  <c r="C1286" i="19"/>
  <c r="H1286" i="19" s="1"/>
  <c r="D1334" i="19"/>
  <c r="I1334" i="19" s="1"/>
  <c r="N30" i="10"/>
  <c r="E2412" i="23" s="1"/>
  <c r="G30" i="10"/>
  <c r="E2538" i="23"/>
  <c r="D1564" i="19"/>
  <c r="I1564" i="19" s="1"/>
  <c r="C1564" i="19"/>
  <c r="H1564" i="19" s="1"/>
  <c r="G1564" i="19" s="1"/>
  <c r="D1612" i="19"/>
  <c r="I1612" i="19" s="1"/>
  <c r="N15" i="12"/>
  <c r="E2585" i="23" s="1"/>
  <c r="G15" i="12"/>
  <c r="E384" i="23"/>
  <c r="C1533" i="19"/>
  <c r="H1533" i="19" s="1"/>
  <c r="D1533" i="19"/>
  <c r="I1533" i="19" s="1"/>
  <c r="E1629" i="19"/>
  <c r="C1629" i="19"/>
  <c r="H1629" i="19" s="1"/>
  <c r="F32" i="12"/>
  <c r="U32" i="12"/>
  <c r="D319" i="23"/>
  <c r="R14" i="11"/>
  <c r="T14" i="11"/>
  <c r="J14" i="11"/>
  <c r="D627" i="23"/>
  <c r="I22" i="28"/>
  <c r="D661" i="23" s="1"/>
  <c r="E506" i="23"/>
  <c r="D2015" i="19"/>
  <c r="I2015" i="19" s="1"/>
  <c r="C1983" i="19"/>
  <c r="H1983" i="19" s="1"/>
  <c r="D1983" i="19"/>
  <c r="I1983" i="19" s="1"/>
  <c r="G13" i="15"/>
  <c r="L36" i="15"/>
  <c r="L53" i="15"/>
  <c r="D410" i="23"/>
  <c r="J11" i="13"/>
  <c r="T11" i="13"/>
  <c r="E2637" i="23"/>
  <c r="D1715" i="19"/>
  <c r="I1715" i="19" s="1"/>
  <c r="C1715" i="19"/>
  <c r="H1715" i="19" s="1"/>
  <c r="G1715" i="19" s="1"/>
  <c r="D1762" i="19"/>
  <c r="I1762" i="19" s="1"/>
  <c r="G20" i="13"/>
  <c r="E1864" i="23"/>
  <c r="E108" i="17"/>
  <c r="D1783" i="23"/>
  <c r="E1972" i="23"/>
  <c r="D729" i="19"/>
  <c r="I729" i="19" s="1"/>
  <c r="G13" i="6"/>
  <c r="D680" i="19"/>
  <c r="I680" i="19" s="1"/>
  <c r="C680" i="19"/>
  <c r="H680" i="19" s="1"/>
  <c r="E1998" i="23"/>
  <c r="D755" i="19"/>
  <c r="I755" i="19" s="1"/>
  <c r="G39" i="6"/>
  <c r="C707" i="19"/>
  <c r="H707" i="19" s="1"/>
  <c r="D707" i="19"/>
  <c r="I707" i="19" s="1"/>
  <c r="N28" i="8"/>
  <c r="D209" i="23"/>
  <c r="T45" i="8"/>
  <c r="R45" i="8"/>
  <c r="J45" i="8"/>
  <c r="E2099" i="23"/>
  <c r="E861" i="19"/>
  <c r="C861" i="19"/>
  <c r="H861" i="19" s="1"/>
  <c r="E1449" i="19"/>
  <c r="D909" i="19"/>
  <c r="I909" i="19" s="1"/>
  <c r="D861" i="19"/>
  <c r="I861" i="19" s="1"/>
  <c r="N46" i="7"/>
  <c r="G46" i="7"/>
  <c r="E2369" i="23"/>
  <c r="D1338" i="19"/>
  <c r="I1338" i="19" s="1"/>
  <c r="N34" i="10"/>
  <c r="E2416" i="23" s="1"/>
  <c r="C1290" i="19"/>
  <c r="H1290" i="19" s="1"/>
  <c r="G1290" i="19" s="1"/>
  <c r="E2555" i="23"/>
  <c r="D1581" i="19"/>
  <c r="I1581" i="19" s="1"/>
  <c r="C1581" i="19"/>
  <c r="H1581" i="19" s="1"/>
  <c r="D1629" i="19"/>
  <c r="I1629" i="19" s="1"/>
  <c r="G32" i="12"/>
  <c r="D2272" i="23"/>
  <c r="I31" i="9"/>
  <c r="D2319" i="23" s="1"/>
  <c r="E2280" i="23"/>
  <c r="D1148" i="19"/>
  <c r="I1148" i="19" s="1"/>
  <c r="C1148" i="19"/>
  <c r="H1148" i="19" s="1"/>
  <c r="N39" i="9"/>
  <c r="E2327" i="23" s="1"/>
  <c r="N46" i="9"/>
  <c r="E2441" i="23"/>
  <c r="C1414" i="19"/>
  <c r="H1414" i="19" s="1"/>
  <c r="D1463" i="19"/>
  <c r="I1463" i="19" s="1"/>
  <c r="D1414" i="19"/>
  <c r="I1414" i="19" s="1"/>
  <c r="G12" i="11"/>
  <c r="D2445" i="23"/>
  <c r="I16" i="11"/>
  <c r="D2492" i="23" s="1"/>
  <c r="D333" i="23"/>
  <c r="R28" i="11"/>
  <c r="T28" i="11"/>
  <c r="E2459" i="23"/>
  <c r="D1433" i="19"/>
  <c r="I1433" i="19" s="1"/>
  <c r="C1433" i="19"/>
  <c r="H1433" i="19" s="1"/>
  <c r="D1481" i="19"/>
  <c r="I1481" i="19" s="1"/>
  <c r="E2468" i="23"/>
  <c r="D1442" i="19"/>
  <c r="I1442" i="19" s="1"/>
  <c r="C1442" i="19"/>
  <c r="H1442" i="19" s="1"/>
  <c r="D1490" i="19"/>
  <c r="I1490" i="19" s="1"/>
  <c r="G39" i="11"/>
  <c r="N39" i="11"/>
  <c r="E2515" i="23" s="1"/>
  <c r="N5" i="15"/>
  <c r="E532" i="23" s="1"/>
  <c r="H13" i="15"/>
  <c r="M53" i="15"/>
  <c r="M56" i="15" s="1"/>
  <c r="D509" i="23"/>
  <c r="I16" i="15"/>
  <c r="D543" i="23" s="1"/>
  <c r="N2034" i="19"/>
  <c r="N1969" i="19"/>
  <c r="N2002" i="19"/>
  <c r="B2709" i="23"/>
  <c r="B444" i="23"/>
  <c r="B2662" i="23"/>
  <c r="N1787" i="19"/>
  <c r="N1740" i="19"/>
  <c r="N1692" i="19"/>
  <c r="B2744" i="23"/>
  <c r="B2792" i="23"/>
  <c r="N1920" i="19"/>
  <c r="B479" i="23"/>
  <c r="N1825" i="19"/>
  <c r="D2851" i="23"/>
  <c r="I33" i="16"/>
  <c r="D2902" i="23" s="1"/>
  <c r="J33" i="16"/>
  <c r="D1013" i="23"/>
  <c r="E1013" i="23"/>
  <c r="D2530" i="19"/>
  <c r="I2530" i="19" s="1"/>
  <c r="G2530" i="19" s="1"/>
  <c r="D1116" i="23"/>
  <c r="C2571" i="19"/>
  <c r="H2571" i="19" s="1"/>
  <c r="G2571" i="19" s="1"/>
  <c r="E1116" i="23"/>
  <c r="E591" i="19"/>
  <c r="D920" i="23"/>
  <c r="E920" i="23"/>
  <c r="D1482" i="23"/>
  <c r="C120" i="19"/>
  <c r="H120" i="19" s="1"/>
  <c r="G120" i="19" s="1"/>
  <c r="D1491" i="23"/>
  <c r="E1556" i="23"/>
  <c r="H27" i="3"/>
  <c r="G27" i="2" s="1"/>
  <c r="D1327" i="23" s="1"/>
  <c r="J27" i="2"/>
  <c r="E1327" i="23" s="1"/>
  <c r="E1644" i="23"/>
  <c r="L57" i="3"/>
  <c r="E1724" i="23"/>
  <c r="E1738" i="23"/>
  <c r="H42" i="4"/>
  <c r="E1699" i="23"/>
  <c r="D56" i="4"/>
  <c r="B1900" i="23"/>
  <c r="B1947" i="23"/>
  <c r="B58" i="23"/>
  <c r="N556" i="19"/>
  <c r="N507" i="19"/>
  <c r="N604" i="19"/>
  <c r="E70" i="23"/>
  <c r="C519" i="19"/>
  <c r="H519" i="19" s="1"/>
  <c r="G519" i="19" s="1"/>
  <c r="C616" i="19"/>
  <c r="H616" i="19" s="1"/>
  <c r="U47" i="5"/>
  <c r="E616" i="19"/>
  <c r="D1984" i="23"/>
  <c r="I25" i="6"/>
  <c r="E2156" i="23"/>
  <c r="C970" i="19"/>
  <c r="H970" i="19" s="1"/>
  <c r="D1019" i="19"/>
  <c r="I1019" i="19" s="1"/>
  <c r="N9" i="8"/>
  <c r="E2203" i="23" s="1"/>
  <c r="D970" i="19"/>
  <c r="I970" i="19" s="1"/>
  <c r="I25" i="7"/>
  <c r="D2125" i="23" s="1"/>
  <c r="B2136" i="23"/>
  <c r="B2089" i="23"/>
  <c r="B153" i="23"/>
  <c r="N851" i="19"/>
  <c r="N899" i="19"/>
  <c r="N802" i="19"/>
  <c r="I20" i="12"/>
  <c r="D2590" i="23" s="1"/>
  <c r="N2099" i="19"/>
  <c r="N2067" i="19"/>
  <c r="N2131" i="19"/>
  <c r="D2204" i="19"/>
  <c r="I2204" i="19" s="1"/>
  <c r="C2204" i="19"/>
  <c r="H2204" i="19" s="1"/>
  <c r="E741" i="23"/>
  <c r="D2236" i="19"/>
  <c r="I2236" i="19" s="1"/>
  <c r="G70" i="28"/>
  <c r="N13" i="15"/>
  <c r="E540" i="23" s="1"/>
  <c r="H15" i="13"/>
  <c r="H23" i="13" s="1"/>
  <c r="H27" i="13" s="1"/>
  <c r="D1662" i="19"/>
  <c r="I1662" i="19" s="1"/>
  <c r="N20" i="13"/>
  <c r="E2684" i="23" s="1"/>
  <c r="D2737" i="23"/>
  <c r="I26" i="14"/>
  <c r="D2785" i="23" s="1"/>
  <c r="D479" i="23"/>
  <c r="J33" i="14"/>
  <c r="N39" i="14"/>
  <c r="E2798" i="23" s="1"/>
  <c r="M15" i="17"/>
  <c r="D1179" i="23"/>
  <c r="M51" i="18"/>
  <c r="R67" i="19"/>
  <c r="V67" i="19" s="1"/>
  <c r="J67" i="19"/>
  <c r="G67" i="19" s="1"/>
  <c r="D1190" i="19"/>
  <c r="I1190" i="19" s="1"/>
  <c r="M44" i="2"/>
  <c r="D1543" i="23"/>
  <c r="C177" i="19"/>
  <c r="H177" i="19" s="1"/>
  <c r="E1511" i="23"/>
  <c r="O42" i="2"/>
  <c r="D1650" i="23"/>
  <c r="E1752" i="23"/>
  <c r="H56" i="4"/>
  <c r="N20" i="5"/>
  <c r="E1932" i="23" s="1"/>
  <c r="E1896" i="23"/>
  <c r="D552" i="19"/>
  <c r="I552" i="19" s="1"/>
  <c r="D600" i="19"/>
  <c r="I600" i="19" s="1"/>
  <c r="N31" i="5"/>
  <c r="E1943" i="23" s="1"/>
  <c r="G31" i="5"/>
  <c r="R31" i="5" s="1"/>
  <c r="C552" i="19"/>
  <c r="H552" i="19" s="1"/>
  <c r="E1963" i="23"/>
  <c r="D671" i="19"/>
  <c r="I671" i="19" s="1"/>
  <c r="C671" i="19"/>
  <c r="H671" i="19" s="1"/>
  <c r="G671" i="19" s="1"/>
  <c r="L23" i="6"/>
  <c r="D720" i="19"/>
  <c r="I720" i="19" s="1"/>
  <c r="G4" i="6"/>
  <c r="N13" i="6"/>
  <c r="E2019" i="23" s="1"/>
  <c r="B2027" i="23"/>
  <c r="B91" i="23"/>
  <c r="B1980" i="23"/>
  <c r="N737" i="19"/>
  <c r="N640" i="19"/>
  <c r="E1994" i="23"/>
  <c r="D751" i="19"/>
  <c r="I751" i="19" s="1"/>
  <c r="G35" i="6"/>
  <c r="N35" i="6"/>
  <c r="E2041" i="23" s="1"/>
  <c r="D703" i="19"/>
  <c r="I703" i="19" s="1"/>
  <c r="C703" i="19"/>
  <c r="H703" i="19" s="1"/>
  <c r="E2152" i="23"/>
  <c r="D966" i="19"/>
  <c r="I966" i="19" s="1"/>
  <c r="N5" i="8"/>
  <c r="G5" i="8"/>
  <c r="C966" i="19"/>
  <c r="H966" i="19" s="1"/>
  <c r="U38" i="8"/>
  <c r="B2070" i="23"/>
  <c r="B2117" i="23"/>
  <c r="B134" i="23"/>
  <c r="N880" i="19"/>
  <c r="N831" i="19"/>
  <c r="D153" i="23"/>
  <c r="T36" i="7"/>
  <c r="B2386" i="23"/>
  <c r="B2339" i="23"/>
  <c r="B262" i="23"/>
  <c r="N1211" i="19"/>
  <c r="I14" i="10"/>
  <c r="D2396" i="23" s="1"/>
  <c r="D2372" i="23"/>
  <c r="I37" i="10"/>
  <c r="D2419" i="23" s="1"/>
  <c r="I46" i="10"/>
  <c r="D2428" i="23" s="1"/>
  <c r="I18" i="12"/>
  <c r="D2588" i="23" s="1"/>
  <c r="I22" i="12"/>
  <c r="D2592" i="23" s="1"/>
  <c r="N32" i="12"/>
  <c r="E2602" i="23" s="1"/>
  <c r="J18" i="11"/>
  <c r="E2863" i="23"/>
  <c r="C2302" i="19"/>
  <c r="H2302" i="19" s="1"/>
  <c r="D2355" i="19"/>
  <c r="I2355" i="19" s="1"/>
  <c r="D2302" i="19"/>
  <c r="I2302" i="19" s="1"/>
  <c r="O46" i="16"/>
  <c r="N46" i="16"/>
  <c r="E2915" i="23" s="1"/>
  <c r="G46" i="16"/>
  <c r="D2956" i="23"/>
  <c r="H20" i="17"/>
  <c r="D2975" i="23" s="1"/>
  <c r="E964" i="23"/>
  <c r="D2420" i="19"/>
  <c r="I2420" i="19" s="1"/>
  <c r="G2420" i="19" s="1"/>
  <c r="D964" i="23"/>
  <c r="K77" i="17"/>
  <c r="E1088" i="23" s="1"/>
  <c r="M25" i="2"/>
  <c r="E1482" i="23"/>
  <c r="J12" i="2"/>
  <c r="E1312" i="23" s="1"/>
  <c r="E1491" i="23"/>
  <c r="F43" i="3"/>
  <c r="O21" i="2"/>
  <c r="E1394" i="23"/>
  <c r="D1516" i="23"/>
  <c r="M47" i="2"/>
  <c r="E1581" i="23"/>
  <c r="J53" i="2"/>
  <c r="E1353" i="23" s="1"/>
  <c r="E1814" i="23"/>
  <c r="R20" i="4"/>
  <c r="P11" i="4"/>
  <c r="O13" i="6"/>
  <c r="O31" i="6"/>
  <c r="O39" i="6"/>
  <c r="D709" i="19"/>
  <c r="I709" i="19" s="1"/>
  <c r="D757" i="19"/>
  <c r="I757" i="19" s="1"/>
  <c r="N41" i="6"/>
  <c r="E2047" i="23" s="1"/>
  <c r="D116" i="23"/>
  <c r="J46" i="6"/>
  <c r="D199" i="23"/>
  <c r="T35" i="8"/>
  <c r="J35" i="8"/>
  <c r="D159" i="23"/>
  <c r="J42" i="7"/>
  <c r="D262" i="23"/>
  <c r="R4" i="10"/>
  <c r="D278" i="23"/>
  <c r="R20" i="10"/>
  <c r="T20" i="10"/>
  <c r="D1519" i="19"/>
  <c r="I1519" i="19" s="1"/>
  <c r="E370" i="23"/>
  <c r="E1615" i="19"/>
  <c r="C1615" i="19"/>
  <c r="H1615" i="19" s="1"/>
  <c r="C1519" i="19"/>
  <c r="H1519" i="19" s="1"/>
  <c r="U18" i="12"/>
  <c r="S18" i="12"/>
  <c r="D2553" i="23"/>
  <c r="I30" i="12"/>
  <c r="D2600" i="23" s="1"/>
  <c r="O32" i="12"/>
  <c r="E2566" i="23"/>
  <c r="D1592" i="19"/>
  <c r="I1592" i="19" s="1"/>
  <c r="C1592" i="19"/>
  <c r="H1592" i="19" s="1"/>
  <c r="G1592" i="19" s="1"/>
  <c r="D1640" i="19"/>
  <c r="I1640" i="19" s="1"/>
  <c r="G43" i="12"/>
  <c r="D219" i="23"/>
  <c r="R8" i="9"/>
  <c r="B2313" i="23"/>
  <c r="B2266" i="23"/>
  <c r="B236" i="23"/>
  <c r="N1182" i="19"/>
  <c r="N1085" i="19"/>
  <c r="N1133" i="19"/>
  <c r="N1134" i="19"/>
  <c r="M23" i="11"/>
  <c r="M27" i="11" s="1"/>
  <c r="M51" i="11" s="1"/>
  <c r="H4" i="11"/>
  <c r="E323" i="23"/>
  <c r="E1469" i="19"/>
  <c r="C1469" i="19"/>
  <c r="H1469" i="19" s="1"/>
  <c r="S18" i="11"/>
  <c r="O18" i="11"/>
  <c r="J35" i="11"/>
  <c r="J46" i="11"/>
  <c r="U9" i="28"/>
  <c r="D688" i="23"/>
  <c r="R15" i="28"/>
  <c r="E693" i="23"/>
  <c r="C2062" i="19"/>
  <c r="H2062" i="19" s="1"/>
  <c r="D2062" i="19"/>
  <c r="I2062" i="19" s="1"/>
  <c r="E2126" i="19"/>
  <c r="F20" i="28"/>
  <c r="S20" i="28"/>
  <c r="D2107" i="19"/>
  <c r="I2107" i="19" s="1"/>
  <c r="C2107" i="19"/>
  <c r="H2107" i="19" s="1"/>
  <c r="E638" i="23"/>
  <c r="D2139" i="19"/>
  <c r="I2139" i="19" s="1"/>
  <c r="G33" i="28"/>
  <c r="N33" i="28"/>
  <c r="E672" i="23" s="1"/>
  <c r="N49" i="28"/>
  <c r="E754" i="23" s="1"/>
  <c r="E815" i="23"/>
  <c r="N43" i="15"/>
  <c r="E818" i="23" s="1"/>
  <c r="B2697" i="23"/>
  <c r="B2650" i="23"/>
  <c r="B432" i="23"/>
  <c r="N1775" i="19"/>
  <c r="N1680" i="19"/>
  <c r="N1728" i="19"/>
  <c r="B2701" i="23"/>
  <c r="B436" i="23"/>
  <c r="N1732" i="19"/>
  <c r="N1684" i="19"/>
  <c r="N1779" i="19"/>
  <c r="B2654" i="23"/>
  <c r="J45" i="13"/>
  <c r="E2666" i="23"/>
  <c r="D1792" i="19"/>
  <c r="I1792" i="19" s="1"/>
  <c r="G1792" i="19" s="1"/>
  <c r="C1745" i="19"/>
  <c r="H1745" i="19" s="1"/>
  <c r="D1745" i="19"/>
  <c r="I1745" i="19" s="1"/>
  <c r="N26" i="16"/>
  <c r="E2895" i="23" s="1"/>
  <c r="E1068" i="23"/>
  <c r="D2542" i="19"/>
  <c r="I2542" i="19" s="1"/>
  <c r="E2525" i="19"/>
  <c r="C432" i="19"/>
  <c r="H432" i="19" s="1"/>
  <c r="G432" i="19" s="1"/>
  <c r="R604" i="19"/>
  <c r="V604" i="19" s="1"/>
  <c r="J604" i="19"/>
  <c r="M91" i="23"/>
  <c r="N91" i="23"/>
  <c r="O12" i="2"/>
  <c r="E1438" i="23"/>
  <c r="J52" i="4"/>
  <c r="E17" i="23"/>
  <c r="D17" i="23"/>
  <c r="E285" i="19"/>
  <c r="D285" i="19"/>
  <c r="I285" i="19" s="1"/>
  <c r="S18" i="5"/>
  <c r="O29" i="5"/>
  <c r="E58" i="23"/>
  <c r="C604" i="19"/>
  <c r="H604" i="19" s="1"/>
  <c r="S35" i="5"/>
  <c r="D507" i="19"/>
  <c r="I507" i="19" s="1"/>
  <c r="C507" i="19"/>
  <c r="H507" i="19" s="1"/>
  <c r="G507" i="19" s="1"/>
  <c r="E1902" i="23"/>
  <c r="D606" i="19"/>
  <c r="I606" i="19" s="1"/>
  <c r="G37" i="5"/>
  <c r="D558" i="19"/>
  <c r="I558" i="19" s="1"/>
  <c r="G558" i="19" s="1"/>
  <c r="E64" i="23"/>
  <c r="D513" i="19"/>
  <c r="I513" i="19" s="1"/>
  <c r="C513" i="19"/>
  <c r="H513" i="19" s="1"/>
  <c r="F41" i="5"/>
  <c r="U41" i="5"/>
  <c r="S41" i="5"/>
  <c r="E610" i="19"/>
  <c r="C610" i="19"/>
  <c r="H610" i="19" s="1"/>
  <c r="N4" i="6"/>
  <c r="S25" i="6"/>
  <c r="O43" i="6"/>
  <c r="I32" i="7"/>
  <c r="D2132" i="23" s="1"/>
  <c r="D155" i="23"/>
  <c r="J38" i="7"/>
  <c r="R38" i="7"/>
  <c r="D2343" i="23"/>
  <c r="I8" i="10"/>
  <c r="D2390" i="23" s="1"/>
  <c r="I16" i="10"/>
  <c r="D2398" i="23" s="1"/>
  <c r="D1513" i="19"/>
  <c r="I1513" i="19" s="1"/>
  <c r="E364" i="23"/>
  <c r="C1513" i="19"/>
  <c r="H1513" i="19" s="1"/>
  <c r="E1609" i="19"/>
  <c r="F12" i="12"/>
  <c r="U12" i="12"/>
  <c r="O12" i="12"/>
  <c r="E1627" i="19"/>
  <c r="C1627" i="19"/>
  <c r="H1627" i="19" s="1"/>
  <c r="D1531" i="19"/>
  <c r="I1531" i="19" s="1"/>
  <c r="G1531" i="19" s="1"/>
  <c r="E382" i="23"/>
  <c r="O30" i="12"/>
  <c r="S30" i="12"/>
  <c r="D2255" i="23"/>
  <c r="I14" i="9"/>
  <c r="D2302" i="23" s="1"/>
  <c r="D256" i="23"/>
  <c r="T45" i="9"/>
  <c r="N4" i="11"/>
  <c r="D331" i="23"/>
  <c r="T26" i="11"/>
  <c r="U5" i="28"/>
  <c r="N22" i="28"/>
  <c r="J60" i="28"/>
  <c r="E596" i="23"/>
  <c r="D1962" i="19"/>
  <c r="I1962" i="19" s="1"/>
  <c r="E2027" i="19"/>
  <c r="C1962" i="19"/>
  <c r="H1962" i="19" s="1"/>
  <c r="O25" i="15"/>
  <c r="F25" i="15"/>
  <c r="M23" i="13"/>
  <c r="M27" i="13" s="1"/>
  <c r="E2692" i="23"/>
  <c r="D432" i="23"/>
  <c r="J33" i="13"/>
  <c r="R33" i="13"/>
  <c r="D952" i="23"/>
  <c r="E952" i="23"/>
  <c r="D2396" i="19"/>
  <c r="I2396" i="19" s="1"/>
  <c r="G2396" i="19" s="1"/>
  <c r="O52" i="17"/>
  <c r="D1277" i="23"/>
  <c r="E1277" i="23"/>
  <c r="E88" i="19"/>
  <c r="D7" i="23"/>
  <c r="E7" i="23"/>
  <c r="E55" i="19"/>
  <c r="C55" i="19"/>
  <c r="H55" i="19" s="1"/>
  <c r="S50" i="2"/>
  <c r="E1786" i="23"/>
  <c r="L34" i="4"/>
  <c r="E1749" i="23"/>
  <c r="H53" i="4"/>
  <c r="E1886" i="23"/>
  <c r="C541" i="19"/>
  <c r="H541" i="19" s="1"/>
  <c r="D590" i="19"/>
  <c r="I590" i="19" s="1"/>
  <c r="N21" i="5"/>
  <c r="E1933" i="23" s="1"/>
  <c r="D541" i="19"/>
  <c r="I541" i="19" s="1"/>
  <c r="G21" i="5"/>
  <c r="E51" i="23"/>
  <c r="D500" i="19"/>
  <c r="I500" i="19" s="1"/>
  <c r="U28" i="5"/>
  <c r="C597" i="19"/>
  <c r="H597" i="19" s="1"/>
  <c r="G597" i="19" s="1"/>
  <c r="C500" i="19"/>
  <c r="H500" i="19" s="1"/>
  <c r="S28" i="5"/>
  <c r="D1901" i="23"/>
  <c r="I36" i="5"/>
  <c r="D1948" i="23" s="1"/>
  <c r="D1907" i="23"/>
  <c r="I42" i="5"/>
  <c r="D1954" i="23" s="1"/>
  <c r="E82" i="23"/>
  <c r="C728" i="19"/>
  <c r="H728" i="19" s="1"/>
  <c r="D631" i="19"/>
  <c r="I631" i="19" s="1"/>
  <c r="C631" i="19"/>
  <c r="H631" i="19" s="1"/>
  <c r="E728" i="19"/>
  <c r="S12" i="6"/>
  <c r="O12" i="6"/>
  <c r="U21" i="6"/>
  <c r="E102" i="23"/>
  <c r="D651" i="19"/>
  <c r="I651" i="19" s="1"/>
  <c r="C651" i="19"/>
  <c r="H651" i="19" s="1"/>
  <c r="O32" i="6"/>
  <c r="E748" i="19"/>
  <c r="F32" i="6"/>
  <c r="C748" i="19"/>
  <c r="H748" i="19" s="1"/>
  <c r="U46" i="6"/>
  <c r="E2155" i="23"/>
  <c r="D969" i="19"/>
  <c r="I969" i="19" s="1"/>
  <c r="D1018" i="19"/>
  <c r="I1018" i="19" s="1"/>
  <c r="N8" i="8"/>
  <c r="E2202" i="23" s="1"/>
  <c r="C969" i="19"/>
  <c r="H969" i="19" s="1"/>
  <c r="B2071" i="23"/>
  <c r="B2118" i="23"/>
  <c r="B135" i="23"/>
  <c r="N881" i="19"/>
  <c r="N832" i="19"/>
  <c r="N784" i="19"/>
  <c r="T34" i="7"/>
  <c r="B2139" i="23"/>
  <c r="B2092" i="23"/>
  <c r="B156" i="23"/>
  <c r="N902" i="19"/>
  <c r="N805" i="19"/>
  <c r="N854" i="19"/>
  <c r="T10" i="10"/>
  <c r="B2399" i="23"/>
  <c r="B2352" i="23"/>
  <c r="B275" i="23"/>
  <c r="N1321" i="19"/>
  <c r="N1224" i="19"/>
  <c r="N1272" i="19"/>
  <c r="T18" i="10"/>
  <c r="E2527" i="23"/>
  <c r="D1601" i="19"/>
  <c r="I1601" i="19" s="1"/>
  <c r="D1553" i="19"/>
  <c r="I1553" i="19" s="1"/>
  <c r="C1553" i="19"/>
  <c r="H1553" i="19" s="1"/>
  <c r="G1553" i="19" s="1"/>
  <c r="L23" i="12"/>
  <c r="U4" i="12"/>
  <c r="T16" i="12"/>
  <c r="B2596" i="23"/>
  <c r="B2549" i="23"/>
  <c r="B378" i="23"/>
  <c r="N1623" i="19"/>
  <c r="N1527" i="19"/>
  <c r="N1575" i="19"/>
  <c r="D2554" i="23"/>
  <c r="I31" i="12"/>
  <c r="D2601" i="23" s="1"/>
  <c r="E2560" i="23"/>
  <c r="D1586" i="19"/>
  <c r="I1586" i="19" s="1"/>
  <c r="D1634" i="19"/>
  <c r="I1634" i="19" s="1"/>
  <c r="N37" i="12"/>
  <c r="E2607" i="23" s="1"/>
  <c r="C1586" i="19"/>
  <c r="H1586" i="19" s="1"/>
  <c r="G37" i="12"/>
  <c r="L44" i="12"/>
  <c r="D2258" i="23"/>
  <c r="I17" i="9"/>
  <c r="D2305" i="23" s="1"/>
  <c r="E230" i="23"/>
  <c r="D1079" i="19"/>
  <c r="I1079" i="19" s="1"/>
  <c r="C1079" i="19"/>
  <c r="H1079" i="19" s="1"/>
  <c r="G1079" i="19" s="1"/>
  <c r="C1176" i="19"/>
  <c r="H1176" i="19" s="1"/>
  <c r="O19" i="9"/>
  <c r="S19" i="9"/>
  <c r="E2275" i="23"/>
  <c r="D1143" i="19"/>
  <c r="I1143" i="19" s="1"/>
  <c r="N34" i="9"/>
  <c r="E2322" i="23" s="1"/>
  <c r="C1143" i="19"/>
  <c r="H1143" i="19" s="1"/>
  <c r="G34" i="9"/>
  <c r="E2279" i="23"/>
  <c r="D1195" i="19"/>
  <c r="I1195" i="19" s="1"/>
  <c r="D1147" i="19"/>
  <c r="I1147" i="19" s="1"/>
  <c r="G1147" i="19" s="1"/>
  <c r="N38" i="9"/>
  <c r="E2326" i="23" s="1"/>
  <c r="T6" i="11"/>
  <c r="D2446" i="23"/>
  <c r="I17" i="11"/>
  <c r="D2493" i="23" s="1"/>
  <c r="M12" i="28"/>
  <c r="M37" i="28" s="1"/>
  <c r="N4" i="28"/>
  <c r="E643" i="23" s="1"/>
  <c r="D701" i="23"/>
  <c r="J28" i="28"/>
  <c r="T28" i="28"/>
  <c r="L72" i="28"/>
  <c r="J31" i="15"/>
  <c r="R31" i="15"/>
  <c r="T31" i="15"/>
  <c r="D1653" i="19"/>
  <c r="I1653" i="19" s="1"/>
  <c r="C1653" i="19"/>
  <c r="H1653" i="19" s="1"/>
  <c r="E1748" i="19"/>
  <c r="F6" i="13"/>
  <c r="C1748" i="19"/>
  <c r="H1748" i="19" s="1"/>
  <c r="S6" i="13"/>
  <c r="E405" i="23"/>
  <c r="U6" i="13"/>
  <c r="O6" i="13"/>
  <c r="E1756" i="19"/>
  <c r="D1661" i="19"/>
  <c r="I1661" i="19" s="1"/>
  <c r="E413" i="23"/>
  <c r="C1756" i="19"/>
  <c r="H1756" i="19" s="1"/>
  <c r="F14" i="13"/>
  <c r="C1661" i="19"/>
  <c r="H1661" i="19" s="1"/>
  <c r="S14" i="13"/>
  <c r="R21" i="13"/>
  <c r="E1766" i="19"/>
  <c r="C1766" i="19"/>
  <c r="H1766" i="19" s="1"/>
  <c r="E423" i="23"/>
  <c r="D1671" i="19"/>
  <c r="I1671" i="19" s="1"/>
  <c r="C1671" i="19"/>
  <c r="H1671" i="19" s="1"/>
  <c r="S24" i="13"/>
  <c r="O24" i="13"/>
  <c r="F24" i="13"/>
  <c r="E2646" i="23"/>
  <c r="D1771" i="19"/>
  <c r="I1771" i="19" s="1"/>
  <c r="D1724" i="19"/>
  <c r="I1724" i="19" s="1"/>
  <c r="C1724" i="19"/>
  <c r="H1724" i="19" s="1"/>
  <c r="N29" i="13"/>
  <c r="E2693" i="23" s="1"/>
  <c r="G29" i="13"/>
  <c r="C1909" i="19"/>
  <c r="H1909" i="19" s="1"/>
  <c r="D1814" i="19"/>
  <c r="I1814" i="19" s="1"/>
  <c r="C1814" i="19"/>
  <c r="H1814" i="19" s="1"/>
  <c r="E468" i="23"/>
  <c r="E1909" i="19"/>
  <c r="O22" i="14"/>
  <c r="U22" i="14"/>
  <c r="S22" i="14"/>
  <c r="D2747" i="23"/>
  <c r="I36" i="14"/>
  <c r="D2795" i="23" s="1"/>
  <c r="E2821" i="23"/>
  <c r="C2281" i="19"/>
  <c r="H2281" i="19" s="1"/>
  <c r="D2281" i="19"/>
  <c r="I2281" i="19" s="1"/>
  <c r="D2334" i="19"/>
  <c r="I2334" i="19" s="1"/>
  <c r="G2334" i="19" s="1"/>
  <c r="G16" i="16"/>
  <c r="N16" i="16"/>
  <c r="E2836" i="23" s="1"/>
  <c r="E887" i="23"/>
  <c r="C2257" i="19"/>
  <c r="H2257" i="19" s="1"/>
  <c r="D2257" i="19"/>
  <c r="I2257" i="19" s="1"/>
  <c r="E2339" i="19"/>
  <c r="C2339" i="19"/>
  <c r="H2339" i="19" s="1"/>
  <c r="F28" i="16"/>
  <c r="D887" i="23" s="1"/>
  <c r="E897" i="23"/>
  <c r="E2349" i="19"/>
  <c r="C2267" i="19"/>
  <c r="H2267" i="19" s="1"/>
  <c r="C2349" i="19"/>
  <c r="H2349" i="19" s="1"/>
  <c r="D2267" i="19"/>
  <c r="I2267" i="19" s="1"/>
  <c r="F38" i="16"/>
  <c r="D897" i="23" s="1"/>
  <c r="D2870" i="23"/>
  <c r="J54" i="16"/>
  <c r="I54" i="16"/>
  <c r="L13" i="17"/>
  <c r="D974" i="23"/>
  <c r="E974" i="23"/>
  <c r="D2432" i="19"/>
  <c r="I2432" i="19" s="1"/>
  <c r="G2432" i="19" s="1"/>
  <c r="D1050" i="23"/>
  <c r="E1050" i="23"/>
  <c r="E2444" i="19"/>
  <c r="J79" i="19"/>
  <c r="G79" i="19" s="1"/>
  <c r="R79" i="19"/>
  <c r="V79" i="19" s="1"/>
  <c r="D537" i="19"/>
  <c r="I537" i="19" s="1"/>
  <c r="R896" i="19"/>
  <c r="V896" i="19" s="1"/>
  <c r="J896" i="19"/>
  <c r="N1308" i="19"/>
  <c r="C1625" i="19"/>
  <c r="H1625" i="19" s="1"/>
  <c r="D2370" i="19"/>
  <c r="I2370" i="19" s="1"/>
  <c r="G2370" i="19" s="1"/>
  <c r="J7" i="2"/>
  <c r="J16" i="2"/>
  <c r="E1316" i="23" s="1"/>
  <c r="F52" i="3"/>
  <c r="E1745" i="23"/>
  <c r="H49" i="4"/>
  <c r="D29" i="23"/>
  <c r="J6" i="5"/>
  <c r="E100" i="23"/>
  <c r="C746" i="19"/>
  <c r="H746" i="19" s="1"/>
  <c r="D649" i="19"/>
  <c r="I649" i="19" s="1"/>
  <c r="S30" i="6"/>
  <c r="O30" i="6"/>
  <c r="E2151" i="23"/>
  <c r="D1014" i="19"/>
  <c r="I1014" i="19" s="1"/>
  <c r="C965" i="19"/>
  <c r="H965" i="19" s="1"/>
  <c r="D965" i="19"/>
  <c r="I965" i="19" s="1"/>
  <c r="L23" i="8"/>
  <c r="G4" i="8"/>
  <c r="R41" i="8"/>
  <c r="B2122" i="23"/>
  <c r="B139" i="23"/>
  <c r="B2075" i="23"/>
  <c r="R28" i="7"/>
  <c r="R36" i="7"/>
  <c r="B2342" i="23"/>
  <c r="B2389" i="23"/>
  <c r="N1311" i="19"/>
  <c r="B265" i="23"/>
  <c r="N1262" i="19"/>
  <c r="B2348" i="23"/>
  <c r="B271" i="23"/>
  <c r="B2395" i="23"/>
  <c r="N1268" i="19"/>
  <c r="N1317" i="19"/>
  <c r="N1220" i="19"/>
  <c r="E2356" i="23"/>
  <c r="D1325" i="19"/>
  <c r="I1325" i="19" s="1"/>
  <c r="C1276" i="19"/>
  <c r="H1276" i="19" s="1"/>
  <c r="G1276" i="19" s="1"/>
  <c r="G21" i="10"/>
  <c r="E2377" i="23"/>
  <c r="C1298" i="19"/>
  <c r="H1298" i="19" s="1"/>
  <c r="G1298" i="19" s="1"/>
  <c r="G42" i="10"/>
  <c r="N42" i="10"/>
  <c r="E2424" i="23" s="1"/>
  <c r="E303" i="23"/>
  <c r="C1349" i="19"/>
  <c r="H1349" i="19" s="1"/>
  <c r="C1252" i="19"/>
  <c r="H1252" i="19" s="1"/>
  <c r="G1252" i="19" s="1"/>
  <c r="F45" i="10"/>
  <c r="U45" i="10"/>
  <c r="E1349" i="19"/>
  <c r="M23" i="12"/>
  <c r="M27" i="12" s="1"/>
  <c r="M51" i="12" s="1"/>
  <c r="B2581" i="23"/>
  <c r="B363" i="23"/>
  <c r="N1512" i="19"/>
  <c r="N1608" i="19"/>
  <c r="B2534" i="23"/>
  <c r="N1560" i="19"/>
  <c r="D378" i="23"/>
  <c r="J26" i="12"/>
  <c r="T26" i="12"/>
  <c r="D385" i="23"/>
  <c r="R33" i="12"/>
  <c r="E387" i="23"/>
  <c r="C1536" i="19"/>
  <c r="H1536" i="19" s="1"/>
  <c r="E1632" i="19"/>
  <c r="D1536" i="19"/>
  <c r="I1536" i="19" s="1"/>
  <c r="C1632" i="19"/>
  <c r="H1632" i="19" s="1"/>
  <c r="S35" i="12"/>
  <c r="O35" i="12"/>
  <c r="F35" i="12"/>
  <c r="E2465" i="23"/>
  <c r="D1439" i="19"/>
  <c r="I1439" i="19" s="1"/>
  <c r="C1439" i="19"/>
  <c r="H1439" i="19" s="1"/>
  <c r="G36" i="11"/>
  <c r="D1487" i="19"/>
  <c r="I1487" i="19" s="1"/>
  <c r="B2517" i="23"/>
  <c r="B2470" i="23"/>
  <c r="B346" i="23"/>
  <c r="N1444" i="19"/>
  <c r="N1492" i="19"/>
  <c r="N1395" i="19"/>
  <c r="E737" i="23"/>
  <c r="D2200" i="19"/>
  <c r="I2200" i="19" s="1"/>
  <c r="D2232" i="19"/>
  <c r="I2232" i="19" s="1"/>
  <c r="C2200" i="19"/>
  <c r="H2200" i="19" s="1"/>
  <c r="G66" i="28"/>
  <c r="L50" i="15"/>
  <c r="E2623" i="23"/>
  <c r="C1701" i="19"/>
  <c r="H1701" i="19" s="1"/>
  <c r="D1701" i="19"/>
  <c r="I1701" i="19" s="1"/>
  <c r="D1748" i="19"/>
  <c r="I1748" i="19" s="1"/>
  <c r="N6" i="13"/>
  <c r="B2681" i="23"/>
  <c r="B2634" i="23"/>
  <c r="N1759" i="19"/>
  <c r="B416" i="23"/>
  <c r="N1712" i="19"/>
  <c r="E2733" i="23"/>
  <c r="D1909" i="19"/>
  <c r="I1909" i="19" s="1"/>
  <c r="C1862" i="19"/>
  <c r="H1862" i="19" s="1"/>
  <c r="G1862" i="19" s="1"/>
  <c r="G22" i="14"/>
  <c r="D1862" i="19"/>
  <c r="I1862" i="19" s="1"/>
  <c r="D474" i="23"/>
  <c r="T28" i="14"/>
  <c r="R28" i="14"/>
  <c r="D478" i="23"/>
  <c r="J32" i="14"/>
  <c r="R32" i="14"/>
  <c r="E2856" i="23"/>
  <c r="D2349" i="19"/>
  <c r="I2349" i="19" s="1"/>
  <c r="C2296" i="19"/>
  <c r="H2296" i="19" s="1"/>
  <c r="D2296" i="19"/>
  <c r="I2296" i="19" s="1"/>
  <c r="O38" i="16"/>
  <c r="G38" i="16"/>
  <c r="N38" i="16"/>
  <c r="E2907" i="23" s="1"/>
  <c r="E980" i="23"/>
  <c r="D980" i="23"/>
  <c r="D2439" i="19"/>
  <c r="I2439" i="19" s="1"/>
  <c r="G2439" i="19" s="1"/>
  <c r="J80" i="17"/>
  <c r="E3048" i="23"/>
  <c r="Q20" i="18"/>
  <c r="R581" i="19"/>
  <c r="V581" i="19" s="1"/>
  <c r="J581" i="19"/>
  <c r="G921" i="19"/>
  <c r="D1015" i="19"/>
  <c r="I1015" i="19" s="1"/>
  <c r="G1073" i="19"/>
  <c r="R1192" i="19"/>
  <c r="V1192" i="19" s="1"/>
  <c r="J1192" i="19"/>
  <c r="D1203" i="19"/>
  <c r="I1203" i="19" s="1"/>
  <c r="N1259" i="19"/>
  <c r="C1672" i="19"/>
  <c r="H1672" i="19" s="1"/>
  <c r="G1672" i="19" s="1"/>
  <c r="N1873" i="19"/>
  <c r="D912" i="23"/>
  <c r="E912" i="23"/>
  <c r="E1287" i="23"/>
  <c r="D1287" i="23"/>
  <c r="O34" i="2"/>
  <c r="E1817" i="23"/>
  <c r="P14" i="4"/>
  <c r="D1675" i="23"/>
  <c r="D1871" i="23"/>
  <c r="I6" i="5"/>
  <c r="D1918" i="23" s="1"/>
  <c r="D35" i="23"/>
  <c r="J12" i="5"/>
  <c r="I34" i="6"/>
  <c r="D2040" i="23" s="1"/>
  <c r="T37" i="8"/>
  <c r="E210" i="23"/>
  <c r="E1056" i="19"/>
  <c r="C1056" i="19"/>
  <c r="H1056" i="19" s="1"/>
  <c r="D959" i="19"/>
  <c r="I959" i="19" s="1"/>
  <c r="C959" i="19"/>
  <c r="H959" i="19" s="1"/>
  <c r="O46" i="8"/>
  <c r="B2073" i="23"/>
  <c r="B2120" i="23"/>
  <c r="B137" i="23"/>
  <c r="N834" i="19"/>
  <c r="N786" i="19"/>
  <c r="N883" i="19"/>
  <c r="B160" i="23"/>
  <c r="B2096" i="23"/>
  <c r="B2143" i="23"/>
  <c r="N858" i="19"/>
  <c r="N906" i="19"/>
  <c r="N809" i="19"/>
  <c r="D265" i="23"/>
  <c r="R7" i="10"/>
  <c r="T7" i="10"/>
  <c r="J7" i="10"/>
  <c r="B2393" i="23"/>
  <c r="B2346" i="23"/>
  <c r="B269" i="23"/>
  <c r="N1315" i="19"/>
  <c r="N1218" i="19"/>
  <c r="N1266" i="19"/>
  <c r="M44" i="10"/>
  <c r="M48" i="10" s="1"/>
  <c r="I36" i="10"/>
  <c r="D2418" i="23" s="1"/>
  <c r="D305" i="23"/>
  <c r="T47" i="10"/>
  <c r="R47" i="10"/>
  <c r="J47" i="10"/>
  <c r="D363" i="23"/>
  <c r="R11" i="12"/>
  <c r="D2547" i="23"/>
  <c r="I24" i="12"/>
  <c r="D2594" i="23" s="1"/>
  <c r="E378" i="23"/>
  <c r="C1623" i="19"/>
  <c r="H1623" i="19" s="1"/>
  <c r="C1527" i="19"/>
  <c r="H1527" i="19" s="1"/>
  <c r="G1527" i="19" s="1"/>
  <c r="E1623" i="19"/>
  <c r="O26" i="12"/>
  <c r="U26" i="12"/>
  <c r="E2570" i="23"/>
  <c r="D1597" i="19"/>
  <c r="I1597" i="19" s="1"/>
  <c r="D1644" i="19"/>
  <c r="I1644" i="19" s="1"/>
  <c r="C1597" i="19"/>
  <c r="H1597" i="19" s="1"/>
  <c r="N47" i="12"/>
  <c r="E2617" i="23" s="1"/>
  <c r="G47" i="12"/>
  <c r="E243" i="23"/>
  <c r="D1092" i="19"/>
  <c r="I1092" i="19" s="1"/>
  <c r="C1189" i="19"/>
  <c r="H1189" i="19" s="1"/>
  <c r="C1092" i="19"/>
  <c r="H1092" i="19" s="1"/>
  <c r="S32" i="9"/>
  <c r="O32" i="9"/>
  <c r="U32" i="9"/>
  <c r="B2483" i="23"/>
  <c r="B2436" i="23"/>
  <c r="B312" i="23"/>
  <c r="N1458" i="19"/>
  <c r="N1361" i="19"/>
  <c r="E343" i="23"/>
  <c r="C1489" i="19"/>
  <c r="H1489" i="19" s="1"/>
  <c r="E1489" i="19"/>
  <c r="F38" i="11"/>
  <c r="S38" i="11"/>
  <c r="O38" i="11"/>
  <c r="U38" i="11"/>
  <c r="D2019" i="19"/>
  <c r="I2019" i="19" s="1"/>
  <c r="C1987" i="19"/>
  <c r="H1987" i="19" s="1"/>
  <c r="E510" i="23"/>
  <c r="D1987" i="19"/>
  <c r="I1987" i="19" s="1"/>
  <c r="N2031" i="19"/>
  <c r="N1999" i="19"/>
  <c r="N1966" i="19"/>
  <c r="T35" i="15"/>
  <c r="T21" i="13"/>
  <c r="I13" i="14"/>
  <c r="D2772" i="23" s="1"/>
  <c r="D464" i="23"/>
  <c r="J18" i="14"/>
  <c r="R18" i="14"/>
  <c r="D2743" i="23"/>
  <c r="I32" i="14"/>
  <c r="D2791" i="23" s="1"/>
  <c r="D2884" i="23"/>
  <c r="J68" i="16"/>
  <c r="M18" i="17"/>
  <c r="E2973" i="23" s="1"/>
  <c r="D934" i="23"/>
  <c r="D2433" i="19"/>
  <c r="I2433" i="19" s="1"/>
  <c r="E934" i="23"/>
  <c r="K37" i="17"/>
  <c r="D1012" i="23"/>
  <c r="E1012" i="23"/>
  <c r="D2529" i="19"/>
  <c r="I2529" i="19" s="1"/>
  <c r="G2529" i="19" s="1"/>
  <c r="E1052" i="23"/>
  <c r="D1052" i="23"/>
  <c r="E2523" i="19"/>
  <c r="E3041" i="23"/>
  <c r="R23" i="18"/>
  <c r="E1131" i="23"/>
  <c r="C2630" i="19"/>
  <c r="H2630" i="19" s="1"/>
  <c r="G2630" i="19" s="1"/>
  <c r="O34" i="18"/>
  <c r="D1131" i="23" s="1"/>
  <c r="O40" i="18"/>
  <c r="E45" i="19"/>
  <c r="D564" i="19"/>
  <c r="I564" i="19" s="1"/>
  <c r="G564" i="19" s="1"/>
  <c r="C1309" i="19"/>
  <c r="H1309" i="19" s="1"/>
  <c r="D1269" i="23"/>
  <c r="E1269" i="23"/>
  <c r="E80" i="19"/>
  <c r="J11" i="2"/>
  <c r="S29" i="2"/>
  <c r="M56" i="2"/>
  <c r="D1540" i="23"/>
  <c r="C174" i="19"/>
  <c r="H174" i="19" s="1"/>
  <c r="G174" i="19" s="1"/>
  <c r="D1560" i="23"/>
  <c r="N43" i="3"/>
  <c r="D1526" i="23"/>
  <c r="E1768" i="23"/>
  <c r="N43" i="4"/>
  <c r="E1796" i="23"/>
  <c r="L47" i="4"/>
  <c r="E1798" i="23"/>
  <c r="L49" i="4"/>
  <c r="D1877" i="23"/>
  <c r="I12" i="5"/>
  <c r="D1924" i="23" s="1"/>
  <c r="F14" i="5"/>
  <c r="B1930" i="23"/>
  <c r="B1883" i="23"/>
  <c r="B41" i="23"/>
  <c r="N490" i="19"/>
  <c r="N587" i="19"/>
  <c r="N538" i="19"/>
  <c r="U21" i="5"/>
  <c r="O28" i="5"/>
  <c r="E59" i="23"/>
  <c r="C605" i="19"/>
  <c r="H605" i="19" s="1"/>
  <c r="U36" i="5"/>
  <c r="E605" i="19"/>
  <c r="K44" i="5"/>
  <c r="D181" i="23"/>
  <c r="J17" i="8"/>
  <c r="T33" i="8"/>
  <c r="E2193" i="23"/>
  <c r="C1008" i="19"/>
  <c r="H1008" i="19" s="1"/>
  <c r="D1008" i="19"/>
  <c r="I1008" i="19" s="1"/>
  <c r="N46" i="8"/>
  <c r="E2240" i="23" s="1"/>
  <c r="B2106" i="23"/>
  <c r="B123" i="23"/>
  <c r="B2059" i="23"/>
  <c r="N772" i="19"/>
  <c r="N820" i="19"/>
  <c r="D129" i="23"/>
  <c r="J12" i="7"/>
  <c r="R12" i="7"/>
  <c r="B2116" i="23"/>
  <c r="B2069" i="23"/>
  <c r="B133" i="23"/>
  <c r="N879" i="19"/>
  <c r="N830" i="19"/>
  <c r="N782" i="19"/>
  <c r="E2079" i="23"/>
  <c r="D841" i="19"/>
  <c r="I841" i="19" s="1"/>
  <c r="C841" i="19"/>
  <c r="H841" i="19" s="1"/>
  <c r="D889" i="19"/>
  <c r="I889" i="19" s="1"/>
  <c r="G26" i="7"/>
  <c r="E156" i="23"/>
  <c r="C805" i="19"/>
  <c r="H805" i="19" s="1"/>
  <c r="G805" i="19" s="1"/>
  <c r="E902" i="19"/>
  <c r="O39" i="7"/>
  <c r="F39" i="7"/>
  <c r="C902" i="19"/>
  <c r="H902" i="19" s="1"/>
  <c r="G41" i="7"/>
  <c r="D2342" i="23"/>
  <c r="I7" i="10"/>
  <c r="D2389" i="23" s="1"/>
  <c r="E2348" i="23"/>
  <c r="C1268" i="19"/>
  <c r="H1268" i="19" s="1"/>
  <c r="D1317" i="19"/>
  <c r="I1317" i="19" s="1"/>
  <c r="G13" i="10"/>
  <c r="D1268" i="19"/>
  <c r="I1268" i="19" s="1"/>
  <c r="N21" i="10"/>
  <c r="E2403" i="23" s="1"/>
  <c r="T4" i="12"/>
  <c r="G11" i="12"/>
  <c r="T11" i="12" s="1"/>
  <c r="E397" i="23"/>
  <c r="E1642" i="19"/>
  <c r="D1546" i="19"/>
  <c r="I1546" i="19" s="1"/>
  <c r="G1546" i="19" s="1"/>
  <c r="C1642" i="19"/>
  <c r="H1642" i="19" s="1"/>
  <c r="S45" i="12"/>
  <c r="O45" i="12"/>
  <c r="F45" i="12"/>
  <c r="T10" i="9"/>
  <c r="T28" i="9"/>
  <c r="B2323" i="23"/>
  <c r="B2276" i="23"/>
  <c r="B246" i="23"/>
  <c r="N1144" i="19"/>
  <c r="N1095" i="19"/>
  <c r="N1192" i="19"/>
  <c r="E252" i="23"/>
  <c r="D1101" i="19"/>
  <c r="I1101" i="19" s="1"/>
  <c r="C1101" i="19"/>
  <c r="H1101" i="19" s="1"/>
  <c r="O41" i="9"/>
  <c r="F41" i="9"/>
  <c r="E1198" i="19"/>
  <c r="C1198" i="19"/>
  <c r="H1198" i="19" s="1"/>
  <c r="U41" i="9"/>
  <c r="R45" i="9"/>
  <c r="N9" i="11"/>
  <c r="E2485" i="23" s="1"/>
  <c r="T21" i="11"/>
  <c r="R26" i="11"/>
  <c r="E2467" i="23"/>
  <c r="D1489" i="19"/>
  <c r="I1489" i="19" s="1"/>
  <c r="D1441" i="19"/>
  <c r="I1441" i="19" s="1"/>
  <c r="C1441" i="19"/>
  <c r="H1441" i="19" s="1"/>
  <c r="N38" i="11"/>
  <c r="E2514" i="23" s="1"/>
  <c r="D689" i="23"/>
  <c r="T16" i="28"/>
  <c r="J16" i="28"/>
  <c r="N19" i="28"/>
  <c r="E658" i="23" s="1"/>
  <c r="N21" i="28"/>
  <c r="E660" i="23" s="1"/>
  <c r="E631" i="23"/>
  <c r="C2100" i="19"/>
  <c r="H2100" i="19" s="1"/>
  <c r="D2100" i="19"/>
  <c r="I2100" i="19" s="1"/>
  <c r="G26" i="28"/>
  <c r="D703" i="23"/>
  <c r="R30" i="28"/>
  <c r="N2161" i="19"/>
  <c r="N2193" i="19"/>
  <c r="N2225" i="19"/>
  <c r="N66" i="28"/>
  <c r="E771" i="23" s="1"/>
  <c r="D600" i="23"/>
  <c r="J29" i="15"/>
  <c r="T29" i="15"/>
  <c r="N12" i="13"/>
  <c r="E2676" i="23" s="1"/>
  <c r="O14" i="13"/>
  <c r="R31" i="13"/>
  <c r="T37" i="13"/>
  <c r="I46" i="13"/>
  <c r="D2710" i="23" s="1"/>
  <c r="I9" i="14"/>
  <c r="D2768" i="23" s="1"/>
  <c r="N22" i="14"/>
  <c r="E2781" i="23" s="1"/>
  <c r="E2745" i="23"/>
  <c r="D1874" i="19"/>
  <c r="I1874" i="19" s="1"/>
  <c r="C1874" i="19"/>
  <c r="H1874" i="19" s="1"/>
  <c r="D1921" i="19"/>
  <c r="I1921" i="19" s="1"/>
  <c r="N34" i="14"/>
  <c r="E2793" i="23" s="1"/>
  <c r="G34" i="14"/>
  <c r="E2749" i="23"/>
  <c r="D1925" i="19"/>
  <c r="I1925" i="19" s="1"/>
  <c r="C1878" i="19"/>
  <c r="H1878" i="19" s="1"/>
  <c r="N38" i="14"/>
  <c r="E2797" i="23" s="1"/>
  <c r="G38" i="14"/>
  <c r="D1878" i="19"/>
  <c r="I1878" i="19" s="1"/>
  <c r="E3029" i="23"/>
  <c r="O17" i="18"/>
  <c r="D3029" i="23" s="1"/>
  <c r="D506" i="19"/>
  <c r="I506" i="19" s="1"/>
  <c r="N564" i="19"/>
  <c r="N654" i="19"/>
  <c r="C698" i="19"/>
  <c r="H698" i="19" s="1"/>
  <c r="G698" i="19" s="1"/>
  <c r="N903" i="19"/>
  <c r="N1165" i="19"/>
  <c r="E1279" i="23"/>
  <c r="D1279" i="23"/>
  <c r="G8" i="2"/>
  <c r="D1308" i="23" s="1"/>
  <c r="S26" i="2"/>
  <c r="L52" i="3"/>
  <c r="E1819" i="23"/>
  <c r="P16" i="4"/>
  <c r="E1821" i="23"/>
  <c r="P18" i="4"/>
  <c r="D1838" i="23"/>
  <c r="R43" i="4"/>
  <c r="E1753" i="23"/>
  <c r="E29" i="23"/>
  <c r="C575" i="19"/>
  <c r="H575" i="19" s="1"/>
  <c r="E575" i="19"/>
  <c r="U6" i="5"/>
  <c r="D478" i="19"/>
  <c r="I478" i="19" s="1"/>
  <c r="C478" i="19"/>
  <c r="H478" i="19" s="1"/>
  <c r="B1885" i="23"/>
  <c r="B1932" i="23"/>
  <c r="B43" i="23"/>
  <c r="N492" i="19"/>
  <c r="N589" i="19"/>
  <c r="E47" i="23"/>
  <c r="E593" i="19"/>
  <c r="C593" i="19"/>
  <c r="H593" i="19" s="1"/>
  <c r="D496" i="19"/>
  <c r="I496" i="19" s="1"/>
  <c r="C496" i="19"/>
  <c r="H496" i="19" s="1"/>
  <c r="S24" i="5"/>
  <c r="O24" i="5"/>
  <c r="F24" i="5"/>
  <c r="E86" i="23"/>
  <c r="C732" i="19"/>
  <c r="H732" i="19" s="1"/>
  <c r="C635" i="19"/>
  <c r="H635" i="19" s="1"/>
  <c r="S16" i="6"/>
  <c r="O16" i="6"/>
  <c r="F16" i="6"/>
  <c r="D635" i="19"/>
  <c r="I635" i="19" s="1"/>
  <c r="I20" i="6"/>
  <c r="D2026" i="23" s="1"/>
  <c r="N30" i="6"/>
  <c r="E104" i="23"/>
  <c r="C653" i="19"/>
  <c r="H653" i="19" s="1"/>
  <c r="G653" i="19" s="1"/>
  <c r="E750" i="19"/>
  <c r="S34" i="6"/>
  <c r="O34" i="6"/>
  <c r="C750" i="19"/>
  <c r="H750" i="19" s="1"/>
  <c r="U40" i="6"/>
  <c r="N42" i="6"/>
  <c r="E2048" i="23" s="1"/>
  <c r="I45" i="6"/>
  <c r="D2051" i="23" s="1"/>
  <c r="U4" i="8"/>
  <c r="D175" i="23"/>
  <c r="J11" i="8"/>
  <c r="T11" i="8"/>
  <c r="B2171" i="23"/>
  <c r="B188" i="23"/>
  <c r="B2218" i="23"/>
  <c r="N985" i="19"/>
  <c r="N1034" i="19"/>
  <c r="N937" i="19"/>
  <c r="B2185" i="23"/>
  <c r="B2232" i="23"/>
  <c r="B202" i="23"/>
  <c r="N951" i="19"/>
  <c r="N1048" i="19"/>
  <c r="N1000" i="19"/>
  <c r="D123" i="23"/>
  <c r="T6" i="7"/>
  <c r="J6" i="7"/>
  <c r="D2065" i="23"/>
  <c r="I12" i="7"/>
  <c r="D2112" i="23" s="1"/>
  <c r="D2073" i="23"/>
  <c r="I20" i="7"/>
  <c r="D2120" i="23" s="1"/>
  <c r="D2082" i="23"/>
  <c r="I29" i="7"/>
  <c r="D2129" i="23" s="1"/>
  <c r="I33" i="7"/>
  <c r="D2133" i="23" s="1"/>
  <c r="E2092" i="23"/>
  <c r="D854" i="19"/>
  <c r="I854" i="19" s="1"/>
  <c r="C854" i="19"/>
  <c r="H854" i="19" s="1"/>
  <c r="D902" i="19"/>
  <c r="I902" i="19" s="1"/>
  <c r="N39" i="7"/>
  <c r="E2139" i="23" s="1"/>
  <c r="G39" i="7"/>
  <c r="N5" i="10"/>
  <c r="E2387" i="23" s="1"/>
  <c r="E267" i="23"/>
  <c r="E1313" i="19"/>
  <c r="C1313" i="19"/>
  <c r="H1313" i="19" s="1"/>
  <c r="C1216" i="19"/>
  <c r="H1216" i="19" s="1"/>
  <c r="F9" i="10"/>
  <c r="U9" i="10"/>
  <c r="D1216" i="19"/>
  <c r="I1216" i="19" s="1"/>
  <c r="O9" i="10"/>
  <c r="O21" i="10"/>
  <c r="G34" i="10"/>
  <c r="D361" i="23"/>
  <c r="J9" i="12"/>
  <c r="R9" i="12"/>
  <c r="D367" i="23"/>
  <c r="R15" i="12"/>
  <c r="D1270" i="23"/>
  <c r="E1270" i="23"/>
  <c r="E1526" i="23"/>
  <c r="O57" i="2"/>
  <c r="E1532" i="23"/>
  <c r="D63" i="3"/>
  <c r="D1673" i="23"/>
  <c r="Q27" i="2"/>
  <c r="E1681" i="23"/>
  <c r="D35" i="4"/>
  <c r="E1838" i="23"/>
  <c r="E1852" i="23"/>
  <c r="P53" i="4"/>
  <c r="R7" i="6"/>
  <c r="B2035" i="23"/>
  <c r="B99" i="23"/>
  <c r="B1988" i="23"/>
  <c r="N697" i="19"/>
  <c r="N745" i="19"/>
  <c r="N648" i="19"/>
  <c r="E1993" i="23"/>
  <c r="C702" i="19"/>
  <c r="H702" i="19" s="1"/>
  <c r="D702" i="19"/>
  <c r="I702" i="19" s="1"/>
  <c r="D750" i="19"/>
  <c r="I750" i="19" s="1"/>
  <c r="N34" i="6"/>
  <c r="E2040" i="23" s="1"/>
  <c r="N38" i="6"/>
  <c r="E2044" i="23" s="1"/>
  <c r="G9" i="8"/>
  <c r="G13" i="8"/>
  <c r="E2183" i="23"/>
  <c r="D1046" i="19"/>
  <c r="I1046" i="19" s="1"/>
  <c r="G36" i="8"/>
  <c r="D998" i="19"/>
  <c r="I998" i="19" s="1"/>
  <c r="C998" i="19"/>
  <c r="H998" i="19" s="1"/>
  <c r="J10" i="7"/>
  <c r="I14" i="7"/>
  <c r="D2114" i="23" s="1"/>
  <c r="N26" i="7"/>
  <c r="E2126" i="23" s="1"/>
  <c r="E148" i="23"/>
  <c r="E894" i="19"/>
  <c r="D797" i="19"/>
  <c r="I797" i="19" s="1"/>
  <c r="C797" i="19"/>
  <c r="H797" i="19" s="1"/>
  <c r="O31" i="7"/>
  <c r="C894" i="19"/>
  <c r="H894" i="19" s="1"/>
  <c r="F31" i="7"/>
  <c r="U31" i="7"/>
  <c r="S31" i="7"/>
  <c r="H44" i="10"/>
  <c r="H48" i="10" s="1"/>
  <c r="O45" i="10"/>
  <c r="E2540" i="23"/>
  <c r="D1566" i="19"/>
  <c r="I1566" i="19" s="1"/>
  <c r="D1614" i="19"/>
  <c r="I1614" i="19" s="1"/>
  <c r="N17" i="12"/>
  <c r="E2587" i="23" s="1"/>
  <c r="G17" i="12"/>
  <c r="C1566" i="19"/>
  <c r="H1566" i="19" s="1"/>
  <c r="G1566" i="19" s="1"/>
  <c r="J28" i="14"/>
  <c r="D1271" i="23"/>
  <c r="E1271" i="23"/>
  <c r="R34" i="1"/>
  <c r="E1245" i="23"/>
  <c r="D1245" i="23"/>
  <c r="D1238" i="23"/>
  <c r="E1238" i="23"/>
  <c r="E10" i="23"/>
  <c r="D10" i="23"/>
  <c r="J8" i="2"/>
  <c r="E1308" i="23" s="1"/>
  <c r="S11" i="2"/>
  <c r="O19" i="2"/>
  <c r="M38" i="2"/>
  <c r="O46" i="2"/>
  <c r="J49" i="2"/>
  <c r="S56" i="2"/>
  <c r="D1599" i="23"/>
  <c r="D16" i="3"/>
  <c r="E1558" i="23"/>
  <c r="H30" i="3"/>
  <c r="E1628" i="23"/>
  <c r="L41" i="3"/>
  <c r="H63" i="3"/>
  <c r="E1867" i="23"/>
  <c r="L68" i="3"/>
  <c r="D1867" i="23" s="1"/>
  <c r="E1720" i="23"/>
  <c r="H21" i="4"/>
  <c r="E1730" i="23"/>
  <c r="H31" i="4"/>
  <c r="Q31" i="2" s="1"/>
  <c r="E1679" i="23"/>
  <c r="S33" i="2"/>
  <c r="D46" i="4"/>
  <c r="E1691" i="23"/>
  <c r="S48" i="2"/>
  <c r="D48" i="4"/>
  <c r="E1848" i="23"/>
  <c r="D1697" i="23"/>
  <c r="Q54" i="2"/>
  <c r="D1856" i="23"/>
  <c r="D21" i="23"/>
  <c r="E21" i="23"/>
  <c r="D384" i="19"/>
  <c r="I384" i="19" s="1"/>
  <c r="E384" i="19"/>
  <c r="O6" i="5"/>
  <c r="I18" i="5"/>
  <c r="D1930" i="23" s="1"/>
  <c r="I22" i="5"/>
  <c r="D1934" i="23" s="1"/>
  <c r="B1896" i="23"/>
  <c r="B1943" i="23"/>
  <c r="B54" i="23"/>
  <c r="N600" i="19"/>
  <c r="N503" i="19"/>
  <c r="N552" i="19"/>
  <c r="O40" i="5"/>
  <c r="D1910" i="23"/>
  <c r="I45" i="5"/>
  <c r="D1957" i="23" s="1"/>
  <c r="H4" i="6"/>
  <c r="H23" i="6" s="1"/>
  <c r="I6" i="6"/>
  <c r="D2012" i="23" s="1"/>
  <c r="R9" i="6"/>
  <c r="F13" i="6"/>
  <c r="D85" i="23"/>
  <c r="T15" i="6"/>
  <c r="J15" i="6"/>
  <c r="N16" i="6"/>
  <c r="E2022" i="23" s="1"/>
  <c r="B1978" i="23"/>
  <c r="B2025" i="23"/>
  <c r="B89" i="23"/>
  <c r="N638" i="19"/>
  <c r="N686" i="19"/>
  <c r="N735" i="19"/>
  <c r="B1990" i="23"/>
  <c r="B2037" i="23"/>
  <c r="B101" i="23"/>
  <c r="N747" i="19"/>
  <c r="N650" i="19"/>
  <c r="B2039" i="23"/>
  <c r="B103" i="23"/>
  <c r="B1992" i="23"/>
  <c r="N652" i="19"/>
  <c r="N701" i="19"/>
  <c r="U34" i="6"/>
  <c r="B2043" i="23"/>
  <c r="B1996" i="23"/>
  <c r="B107" i="23"/>
  <c r="N705" i="19"/>
  <c r="F39" i="6"/>
  <c r="B2002" i="23"/>
  <c r="B2049" i="23"/>
  <c r="B113" i="23"/>
  <c r="N759" i="19"/>
  <c r="N711" i="19"/>
  <c r="E2004" i="23"/>
  <c r="D761" i="19"/>
  <c r="I761" i="19" s="1"/>
  <c r="C713" i="19"/>
  <c r="H713" i="19" s="1"/>
  <c r="N45" i="6"/>
  <c r="E2051" i="23" s="1"/>
  <c r="D713" i="19"/>
  <c r="I713" i="19" s="1"/>
  <c r="E2008" i="23"/>
  <c r="D766" i="19"/>
  <c r="I766" i="19" s="1"/>
  <c r="G766" i="19" s="1"/>
  <c r="C719" i="19"/>
  <c r="H719" i="19" s="1"/>
  <c r="D719" i="19"/>
  <c r="I719" i="19" s="1"/>
  <c r="K80" i="17"/>
  <c r="E1091" i="23" s="1"/>
  <c r="G50" i="6"/>
  <c r="T50" i="6" s="1"/>
  <c r="I7" i="8"/>
  <c r="D2201" i="23" s="1"/>
  <c r="I11" i="8"/>
  <c r="D2205" i="23" s="1"/>
  <c r="E177" i="23"/>
  <c r="D926" i="19"/>
  <c r="I926" i="19" s="1"/>
  <c r="E1023" i="19"/>
  <c r="O13" i="8"/>
  <c r="C1023" i="19"/>
  <c r="H1023" i="19" s="1"/>
  <c r="C926" i="19"/>
  <c r="H926" i="19" s="1"/>
  <c r="U13" i="8"/>
  <c r="S13" i="8"/>
  <c r="E181" i="23"/>
  <c r="E1027" i="19"/>
  <c r="C1027" i="19"/>
  <c r="H1027" i="19" s="1"/>
  <c r="O17" i="8"/>
  <c r="C930" i="19"/>
  <c r="H930" i="19" s="1"/>
  <c r="D930" i="19"/>
  <c r="I930" i="19" s="1"/>
  <c r="E185" i="23"/>
  <c r="C934" i="19"/>
  <c r="H934" i="19" s="1"/>
  <c r="E1031" i="19"/>
  <c r="C1031" i="19"/>
  <c r="H1031" i="19" s="1"/>
  <c r="D934" i="19"/>
  <c r="I934" i="19" s="1"/>
  <c r="O21" i="8"/>
  <c r="D2173" i="23"/>
  <c r="I26" i="8"/>
  <c r="D2220" i="23" s="1"/>
  <c r="E2175" i="23"/>
  <c r="D1038" i="19"/>
  <c r="I1038" i="19" s="1"/>
  <c r="G28" i="8"/>
  <c r="D990" i="19"/>
  <c r="I990" i="19" s="1"/>
  <c r="C990" i="19"/>
  <c r="H990" i="19" s="1"/>
  <c r="L44" i="8"/>
  <c r="D2177" i="23"/>
  <c r="I30" i="8"/>
  <c r="D2224" i="23" s="1"/>
  <c r="E2181" i="23"/>
  <c r="C996" i="19"/>
  <c r="H996" i="19" s="1"/>
  <c r="G996" i="19" s="1"/>
  <c r="D1044" i="19"/>
  <c r="I1044" i="19" s="1"/>
  <c r="D996" i="19"/>
  <c r="I996" i="19" s="1"/>
  <c r="G34" i="8"/>
  <c r="N36" i="8"/>
  <c r="E2230" i="23" s="1"/>
  <c r="E202" i="23"/>
  <c r="D951" i="19"/>
  <c r="I951" i="19" s="1"/>
  <c r="E1048" i="19"/>
  <c r="C1048" i="19"/>
  <c r="H1048" i="19" s="1"/>
  <c r="C951" i="19"/>
  <c r="H951" i="19" s="1"/>
  <c r="O38" i="8"/>
  <c r="S38" i="8"/>
  <c r="E2187" i="23"/>
  <c r="C1002" i="19"/>
  <c r="H1002" i="19" s="1"/>
  <c r="G40" i="8"/>
  <c r="D1002" i="19"/>
  <c r="I1002" i="19" s="1"/>
  <c r="D1050" i="19"/>
  <c r="I1050" i="19" s="1"/>
  <c r="D2189" i="23"/>
  <c r="I42" i="8"/>
  <c r="D2236" i="23" s="1"/>
  <c r="U46" i="8"/>
  <c r="B2196" i="23"/>
  <c r="B2243" i="23"/>
  <c r="B213" i="23"/>
  <c r="N1060" i="19"/>
  <c r="N1013" i="19"/>
  <c r="N963" i="19"/>
  <c r="D142" i="23"/>
  <c r="T25" i="7"/>
  <c r="U26" i="7"/>
  <c r="E2082" i="23"/>
  <c r="D892" i="19"/>
  <c r="I892" i="19" s="1"/>
  <c r="G892" i="19" s="1"/>
  <c r="D844" i="19"/>
  <c r="I844" i="19" s="1"/>
  <c r="L44" i="7"/>
  <c r="C844" i="19"/>
  <c r="H844" i="19" s="1"/>
  <c r="E2090" i="23"/>
  <c r="D852" i="19"/>
  <c r="I852" i="19" s="1"/>
  <c r="D900" i="19"/>
  <c r="I900" i="19" s="1"/>
  <c r="C852" i="19"/>
  <c r="H852" i="19" s="1"/>
  <c r="G37" i="7"/>
  <c r="E158" i="23"/>
  <c r="C807" i="19"/>
  <c r="H807" i="19" s="1"/>
  <c r="C904" i="19"/>
  <c r="H904" i="19" s="1"/>
  <c r="F41" i="7"/>
  <c r="E904" i="19"/>
  <c r="S41" i="7"/>
  <c r="D807" i="19"/>
  <c r="I807" i="19" s="1"/>
  <c r="O41" i="7"/>
  <c r="S5" i="10"/>
  <c r="N9" i="10"/>
  <c r="E2391" i="23" s="1"/>
  <c r="B2359" i="23"/>
  <c r="B2406" i="23"/>
  <c r="B282" i="23"/>
  <c r="N1279" i="19"/>
  <c r="N1231" i="19"/>
  <c r="N1328" i="19"/>
  <c r="D284" i="23"/>
  <c r="T26" i="10"/>
  <c r="R26" i="10"/>
  <c r="J26" i="10"/>
  <c r="E1334" i="19"/>
  <c r="E288" i="23"/>
  <c r="C1334" i="19"/>
  <c r="H1334" i="19" s="1"/>
  <c r="O30" i="10"/>
  <c r="N38" i="10"/>
  <c r="E2420" i="23" s="1"/>
  <c r="I43" i="10"/>
  <c r="D2425" i="23" s="1"/>
  <c r="S45" i="10"/>
  <c r="E363" i="23"/>
  <c r="D1512" i="19"/>
  <c r="I1512" i="19" s="1"/>
  <c r="C1512" i="19"/>
  <c r="H1512" i="19" s="1"/>
  <c r="E1608" i="19"/>
  <c r="O11" i="12"/>
  <c r="C1608" i="19"/>
  <c r="H1608" i="19" s="1"/>
  <c r="S11" i="12"/>
  <c r="E367" i="23"/>
  <c r="D1516" i="19"/>
  <c r="I1516" i="19" s="1"/>
  <c r="C1516" i="19"/>
  <c r="H1516" i="19" s="1"/>
  <c r="O15" i="12"/>
  <c r="C1612" i="19"/>
  <c r="H1612" i="19" s="1"/>
  <c r="E1612" i="19"/>
  <c r="S15" i="12"/>
  <c r="U15" i="12"/>
  <c r="B2588" i="23"/>
  <c r="B2541" i="23"/>
  <c r="B370" i="23"/>
  <c r="N1567" i="19"/>
  <c r="N1615" i="19"/>
  <c r="N1519" i="19"/>
  <c r="D372" i="23"/>
  <c r="J20" i="12"/>
  <c r="B2592" i="23"/>
  <c r="B2545" i="23"/>
  <c r="B374" i="23"/>
  <c r="N1523" i="19"/>
  <c r="N1571" i="19"/>
  <c r="N1619" i="19"/>
  <c r="N24" i="12"/>
  <c r="E2594" i="23" s="1"/>
  <c r="S26" i="12"/>
  <c r="R29" i="12"/>
  <c r="B2604" i="23"/>
  <c r="B2557" i="23"/>
  <c r="B386" i="23"/>
  <c r="N1631" i="19"/>
  <c r="N1583" i="19"/>
  <c r="N1535" i="19"/>
  <c r="B2606" i="23"/>
  <c r="B2559" i="23"/>
  <c r="N1537" i="19"/>
  <c r="N1633" i="19"/>
  <c r="N1585" i="19"/>
  <c r="U50" i="12"/>
  <c r="U17" i="9"/>
  <c r="D2265" i="23"/>
  <c r="I24" i="9"/>
  <c r="D2312" i="23" s="1"/>
  <c r="E2267" i="23"/>
  <c r="D1135" i="19"/>
  <c r="I1135" i="19" s="1"/>
  <c r="C1135" i="19"/>
  <c r="H1135" i="19" s="1"/>
  <c r="D1183" i="19"/>
  <c r="I1183" i="19" s="1"/>
  <c r="E240" i="23"/>
  <c r="C1089" i="19"/>
  <c r="H1089" i="19" s="1"/>
  <c r="C1186" i="19"/>
  <c r="H1186" i="19" s="1"/>
  <c r="D1089" i="19"/>
  <c r="I1089" i="19" s="1"/>
  <c r="F29" i="9"/>
  <c r="E1186" i="19"/>
  <c r="U29" i="9"/>
  <c r="D244" i="23"/>
  <c r="J33" i="9"/>
  <c r="R33" i="9"/>
  <c r="S41" i="9"/>
  <c r="E2287" i="23"/>
  <c r="E1155" i="19"/>
  <c r="E1008" i="19"/>
  <c r="C1155" i="19"/>
  <c r="H1155" i="19" s="1"/>
  <c r="G46" i="9"/>
  <c r="U9" i="11"/>
  <c r="B2443" i="23"/>
  <c r="B2490" i="23"/>
  <c r="N1465" i="19"/>
  <c r="B319" i="23"/>
  <c r="N1416" i="19"/>
  <c r="B2447" i="23"/>
  <c r="B2494" i="23"/>
  <c r="N1469" i="19"/>
  <c r="B323" i="23"/>
  <c r="N1420" i="19"/>
  <c r="N1372" i="19"/>
  <c r="E2451" i="23"/>
  <c r="C1424" i="19"/>
  <c r="H1424" i="19" s="1"/>
  <c r="D1424" i="19"/>
  <c r="I1424" i="19" s="1"/>
  <c r="D1473" i="19"/>
  <c r="I1473" i="19" s="1"/>
  <c r="G22" i="11"/>
  <c r="N22" i="11"/>
  <c r="E2498" i="23" s="1"/>
  <c r="G30" i="11"/>
  <c r="E337" i="23"/>
  <c r="D1386" i="19"/>
  <c r="I1386" i="19" s="1"/>
  <c r="C1386" i="19"/>
  <c r="H1386" i="19" s="1"/>
  <c r="E1483" i="19"/>
  <c r="C1483" i="19"/>
  <c r="H1483" i="19" s="1"/>
  <c r="O32" i="11"/>
  <c r="S32" i="11"/>
  <c r="E2463" i="23"/>
  <c r="D1437" i="19"/>
  <c r="C1437" i="19"/>
  <c r="H1437" i="19" s="1"/>
  <c r="D1485" i="19"/>
  <c r="I1485" i="19" s="1"/>
  <c r="N34" i="11"/>
  <c r="E2510" i="23" s="1"/>
  <c r="G34" i="11"/>
  <c r="U36" i="11"/>
  <c r="D344" i="23"/>
  <c r="J39" i="11"/>
  <c r="R39" i="11"/>
  <c r="E346" i="23"/>
  <c r="E1492" i="19"/>
  <c r="C1492" i="19"/>
  <c r="H1492" i="19" s="1"/>
  <c r="O41" i="11"/>
  <c r="C1395" i="19"/>
  <c r="H1395" i="19" s="1"/>
  <c r="G1395" i="19" s="1"/>
  <c r="D1395" i="19"/>
  <c r="I1395" i="19" s="1"/>
  <c r="S41" i="11"/>
  <c r="H5" i="28"/>
  <c r="E612" i="23"/>
  <c r="D2113" i="19"/>
  <c r="I2113" i="19" s="1"/>
  <c r="C2081" i="19"/>
  <c r="H2081" i="19" s="1"/>
  <c r="D2081" i="19"/>
  <c r="I2081" i="19" s="1"/>
  <c r="G7" i="28"/>
  <c r="U7" i="28"/>
  <c r="F9" i="28"/>
  <c r="M50" i="15"/>
  <c r="H14" i="28"/>
  <c r="H50" i="15" s="1"/>
  <c r="D695" i="23"/>
  <c r="T22" i="28"/>
  <c r="R22" i="28"/>
  <c r="J22" i="28"/>
  <c r="R28" i="28"/>
  <c r="N2145" i="19"/>
  <c r="N2209" i="19"/>
  <c r="N2177" i="19"/>
  <c r="H45" i="28"/>
  <c r="I45" i="28" s="1"/>
  <c r="D750" i="23" s="1"/>
  <c r="G62" i="28"/>
  <c r="E498" i="23"/>
  <c r="D1975" i="19"/>
  <c r="I1975" i="19" s="1"/>
  <c r="C1975" i="19"/>
  <c r="H1975" i="19" s="1"/>
  <c r="D2007" i="19"/>
  <c r="I2007" i="19" s="1"/>
  <c r="L45" i="15"/>
  <c r="G5" i="15"/>
  <c r="L12" i="15"/>
  <c r="U15" i="15"/>
  <c r="R24" i="15"/>
  <c r="I34" i="15"/>
  <c r="D561" i="23" s="1"/>
  <c r="E820" i="23"/>
  <c r="O42" i="15"/>
  <c r="I7" i="13"/>
  <c r="D2671" i="23" s="1"/>
  <c r="B2675" i="23"/>
  <c r="B2628" i="23"/>
  <c r="N1753" i="19"/>
  <c r="B410" i="23"/>
  <c r="N1706" i="19"/>
  <c r="N1658" i="19"/>
  <c r="B2677" i="23"/>
  <c r="B2630" i="23"/>
  <c r="B412" i="23"/>
  <c r="N1708" i="19"/>
  <c r="N1660" i="19"/>
  <c r="N1755" i="19"/>
  <c r="E419" i="23"/>
  <c r="C1762" i="19"/>
  <c r="H1762" i="19" s="1"/>
  <c r="E1762" i="19"/>
  <c r="D1667" i="19"/>
  <c r="I1667" i="19" s="1"/>
  <c r="C1667" i="19"/>
  <c r="H1667" i="19" s="1"/>
  <c r="O20" i="13"/>
  <c r="U20" i="13"/>
  <c r="S20" i="13"/>
  <c r="F20" i="13"/>
  <c r="D429" i="23"/>
  <c r="R30" i="13"/>
  <c r="D2657" i="23"/>
  <c r="I40" i="13"/>
  <c r="D2704" i="23" s="1"/>
  <c r="U43" i="13"/>
  <c r="B2713" i="23"/>
  <c r="B2666" i="23"/>
  <c r="B448" i="23"/>
  <c r="N1745" i="19"/>
  <c r="N1697" i="19"/>
  <c r="N1792" i="19"/>
  <c r="E453" i="23"/>
  <c r="E1894" i="19"/>
  <c r="C1799" i="19"/>
  <c r="H1799" i="19" s="1"/>
  <c r="C1894" i="19"/>
  <c r="H1894" i="19" s="1"/>
  <c r="U7" i="14"/>
  <c r="S7" i="14"/>
  <c r="D1799" i="19"/>
  <c r="I1799" i="19" s="1"/>
  <c r="O7" i="14"/>
  <c r="D2727" i="23"/>
  <c r="I16" i="14"/>
  <c r="D2775" i="23" s="1"/>
  <c r="T32" i="14"/>
  <c r="E485" i="23"/>
  <c r="E1926" i="19"/>
  <c r="C1926" i="19"/>
  <c r="H1926" i="19" s="1"/>
  <c r="C1831" i="19"/>
  <c r="H1831" i="19" s="1"/>
  <c r="U39" i="14"/>
  <c r="S39" i="14"/>
  <c r="D1831" i="19"/>
  <c r="I1831" i="19" s="1"/>
  <c r="F39" i="14"/>
  <c r="E2752" i="23"/>
  <c r="C1881" i="19"/>
  <c r="H1881" i="19" s="1"/>
  <c r="D1881" i="19"/>
  <c r="I1881" i="19" s="1"/>
  <c r="D1928" i="19"/>
  <c r="I1928" i="19" s="1"/>
  <c r="N41" i="14"/>
  <c r="E2800" i="23" s="1"/>
  <c r="D2758" i="23"/>
  <c r="I47" i="14"/>
  <c r="D2806" i="23" s="1"/>
  <c r="E2875" i="23"/>
  <c r="D2365" i="19"/>
  <c r="I2365" i="19" s="1"/>
  <c r="G2365" i="19" s="1"/>
  <c r="C2312" i="19"/>
  <c r="H2312" i="19" s="1"/>
  <c r="D2312" i="19"/>
  <c r="I2312" i="19" s="1"/>
  <c r="C2311" i="19"/>
  <c r="H2311" i="19" s="1"/>
  <c r="N59" i="16"/>
  <c r="E2928" i="23" s="1"/>
  <c r="O59" i="16"/>
  <c r="G59" i="16"/>
  <c r="E949" i="23"/>
  <c r="D949" i="23"/>
  <c r="D2393" i="19"/>
  <c r="I2393" i="19" s="1"/>
  <c r="G2393" i="19" s="1"/>
  <c r="E994" i="23"/>
  <c r="D994" i="23"/>
  <c r="D2489" i="19"/>
  <c r="I2489" i="19" s="1"/>
  <c r="G2489" i="19" s="1"/>
  <c r="K54" i="17"/>
  <c r="E1032" i="23"/>
  <c r="D1032" i="23"/>
  <c r="E2519" i="19"/>
  <c r="J59" i="17"/>
  <c r="D1057" i="23"/>
  <c r="E2524" i="19"/>
  <c r="E1057" i="23"/>
  <c r="M38" i="18"/>
  <c r="E1165" i="23"/>
  <c r="C2564" i="19"/>
  <c r="H2564" i="19" s="1"/>
  <c r="G2564" i="19" s="1"/>
  <c r="D1165" i="23"/>
  <c r="C2578" i="19"/>
  <c r="H2578" i="19" s="1"/>
  <c r="G2578" i="19" s="1"/>
  <c r="D2564" i="19"/>
  <c r="I2564" i="19" s="1"/>
  <c r="F45" i="18"/>
  <c r="C51" i="19"/>
  <c r="H51" i="19" s="1"/>
  <c r="G51" i="19" s="1"/>
  <c r="E81" i="19"/>
  <c r="V187" i="19"/>
  <c r="V195" i="19"/>
  <c r="V226" i="19"/>
  <c r="H284" i="19"/>
  <c r="V453" i="19"/>
  <c r="V462" i="19"/>
  <c r="V475" i="19"/>
  <c r="N515" i="19"/>
  <c r="V557" i="19"/>
  <c r="R612" i="19"/>
  <c r="V612" i="19" s="1"/>
  <c r="J612" i="19"/>
  <c r="C623" i="19"/>
  <c r="H623" i="19" s="1"/>
  <c r="G623" i="19" s="1"/>
  <c r="V642" i="19"/>
  <c r="D745" i="19"/>
  <c r="I745" i="19" s="1"/>
  <c r="G745" i="19" s="1"/>
  <c r="N869" i="19"/>
  <c r="E880" i="19"/>
  <c r="V931" i="19"/>
  <c r="G952" i="19"/>
  <c r="N1142" i="19"/>
  <c r="N1185" i="19"/>
  <c r="N1214" i="19"/>
  <c r="N1219" i="19"/>
  <c r="D1482" i="19"/>
  <c r="I1482" i="19" s="1"/>
  <c r="R1901" i="19"/>
  <c r="V1901" i="19" s="1"/>
  <c r="J1901" i="19"/>
  <c r="R1912" i="19"/>
  <c r="V1912" i="19" s="1"/>
  <c r="J1912" i="19"/>
  <c r="D2132" i="19"/>
  <c r="I2132" i="19" s="1"/>
  <c r="D611" i="23"/>
  <c r="B68" i="23"/>
  <c r="B1910" i="23"/>
  <c r="B1957" i="23"/>
  <c r="N614" i="19"/>
  <c r="N517" i="19"/>
  <c r="N566" i="19"/>
  <c r="D75" i="23"/>
  <c r="J5" i="6"/>
  <c r="E78" i="23"/>
  <c r="E724" i="19"/>
  <c r="D627" i="19"/>
  <c r="I627" i="19" s="1"/>
  <c r="C627" i="19"/>
  <c r="H627" i="19" s="1"/>
  <c r="S8" i="6"/>
  <c r="O8" i="6"/>
  <c r="B2023" i="23"/>
  <c r="B87" i="23"/>
  <c r="B1976" i="23"/>
  <c r="N636" i="19"/>
  <c r="N733" i="19"/>
  <c r="N684" i="19"/>
  <c r="E2002" i="23"/>
  <c r="D759" i="19"/>
  <c r="I759" i="19" s="1"/>
  <c r="D711" i="19"/>
  <c r="I711" i="19" s="1"/>
  <c r="C711" i="19"/>
  <c r="H711" i="19" s="1"/>
  <c r="G43" i="6"/>
  <c r="D179" i="23"/>
  <c r="J15" i="8"/>
  <c r="E188" i="23"/>
  <c r="C1034" i="19"/>
  <c r="H1034" i="19" s="1"/>
  <c r="D937" i="19"/>
  <c r="I937" i="19" s="1"/>
  <c r="C937" i="19"/>
  <c r="H937" i="19" s="1"/>
  <c r="O24" i="8"/>
  <c r="E1034" i="19"/>
  <c r="B2186" i="23"/>
  <c r="B2233" i="23"/>
  <c r="N952" i="19"/>
  <c r="B203" i="23"/>
  <c r="N1001" i="19"/>
  <c r="N1049" i="19"/>
  <c r="E206" i="23"/>
  <c r="C955" i="19"/>
  <c r="H955" i="19" s="1"/>
  <c r="G955" i="19" s="1"/>
  <c r="O42" i="8"/>
  <c r="S42" i="8"/>
  <c r="N1059" i="19"/>
  <c r="N1012" i="19"/>
  <c r="N962" i="19"/>
  <c r="B2109" i="23"/>
  <c r="B2062" i="23"/>
  <c r="B126" i="23"/>
  <c r="N872" i="19"/>
  <c r="N823" i="19"/>
  <c r="D135" i="23"/>
  <c r="T18" i="7"/>
  <c r="B2084" i="23"/>
  <c r="B148" i="23"/>
  <c r="N846" i="19"/>
  <c r="B2131" i="23"/>
  <c r="N894" i="19"/>
  <c r="D157" i="23"/>
  <c r="T40" i="7"/>
  <c r="D291" i="23"/>
  <c r="R33" i="10"/>
  <c r="T33" i="10"/>
  <c r="J33" i="10"/>
  <c r="E2384" i="23"/>
  <c r="C1307" i="19"/>
  <c r="H1307" i="19" s="1"/>
  <c r="D1354" i="19"/>
  <c r="I1354" i="19" s="1"/>
  <c r="G1354" i="19" s="1"/>
  <c r="G50" i="10"/>
  <c r="D1307" i="19"/>
  <c r="I1307" i="19" s="1"/>
  <c r="E2545" i="23"/>
  <c r="C1571" i="19"/>
  <c r="H1571" i="19" s="1"/>
  <c r="G1571" i="19" s="1"/>
  <c r="D1619" i="19"/>
  <c r="I1619" i="19" s="1"/>
  <c r="N22" i="12"/>
  <c r="E2592" i="23" s="1"/>
  <c r="D1571" i="19"/>
  <c r="I1571" i="19" s="1"/>
  <c r="E2559" i="23"/>
  <c r="D1633" i="19"/>
  <c r="I1633" i="19" s="1"/>
  <c r="G1633" i="19" s="1"/>
  <c r="C1585" i="19"/>
  <c r="H1585" i="19" s="1"/>
  <c r="D1585" i="19"/>
  <c r="I1585" i="19" s="1"/>
  <c r="G36" i="12"/>
  <c r="D392" i="23"/>
  <c r="J40" i="12"/>
  <c r="E2569" i="23"/>
  <c r="D1643" i="19"/>
  <c r="I1643" i="19" s="1"/>
  <c r="D1595" i="19"/>
  <c r="I1595" i="19" s="1"/>
  <c r="C1595" i="19"/>
  <c r="H1595" i="19" s="1"/>
  <c r="G46" i="12"/>
  <c r="E2270" i="23"/>
  <c r="D1186" i="19"/>
  <c r="I1186" i="19" s="1"/>
  <c r="D1138" i="19"/>
  <c r="I1138" i="19" s="1"/>
  <c r="C1138" i="19"/>
  <c r="H1138" i="19" s="1"/>
  <c r="G29" i="9"/>
  <c r="B242" i="23"/>
  <c r="B2319" i="23"/>
  <c r="N1188" i="19"/>
  <c r="N1091" i="19"/>
  <c r="B2272" i="23"/>
  <c r="N1140" i="19"/>
  <c r="B2326" i="23"/>
  <c r="B249" i="23"/>
  <c r="N1195" i="19"/>
  <c r="B2279" i="23"/>
  <c r="N1147" i="19"/>
  <c r="E2436" i="23"/>
  <c r="C1409" i="19"/>
  <c r="H1409" i="19" s="1"/>
  <c r="G1409" i="19" s="1"/>
  <c r="D1458" i="19"/>
  <c r="I1458" i="19" s="1"/>
  <c r="D1409" i="19"/>
  <c r="I1409" i="19" s="1"/>
  <c r="B2507" i="23"/>
  <c r="B2460" i="23"/>
  <c r="N1482" i="19"/>
  <c r="N1385" i="19"/>
  <c r="B336" i="23"/>
  <c r="N1434" i="19"/>
  <c r="D338" i="23"/>
  <c r="J33" i="11"/>
  <c r="B2513" i="23"/>
  <c r="B2466" i="23"/>
  <c r="B342" i="23"/>
  <c r="N1488" i="19"/>
  <c r="N1391" i="19"/>
  <c r="N1440" i="19"/>
  <c r="D677" i="23"/>
  <c r="F42" i="15"/>
  <c r="R4" i="28"/>
  <c r="T4" i="28"/>
  <c r="J4" i="28"/>
  <c r="N2048" i="19"/>
  <c r="N2112" i="19"/>
  <c r="N2080" i="19"/>
  <c r="C2091" i="19"/>
  <c r="H2091" i="19" s="1"/>
  <c r="E622" i="23"/>
  <c r="D2123" i="19"/>
  <c r="I2123" i="19" s="1"/>
  <c r="D2091" i="19"/>
  <c r="I2091" i="19" s="1"/>
  <c r="D626" i="23"/>
  <c r="I21" i="28"/>
  <c r="D660" i="23" s="1"/>
  <c r="D700" i="23"/>
  <c r="T27" i="28"/>
  <c r="J27" i="28"/>
  <c r="N2158" i="19"/>
  <c r="N2190" i="19"/>
  <c r="N2222" i="19"/>
  <c r="D1944" i="19"/>
  <c r="I1944" i="19" s="1"/>
  <c r="E578" i="23"/>
  <c r="E2009" i="19"/>
  <c r="C1944" i="19"/>
  <c r="H1944" i="19" s="1"/>
  <c r="G1944" i="19" s="1"/>
  <c r="U7" i="15"/>
  <c r="S7" i="15"/>
  <c r="O7" i="15"/>
  <c r="E502" i="23"/>
  <c r="C1979" i="19"/>
  <c r="H1979" i="19" s="1"/>
  <c r="G1979" i="19" s="1"/>
  <c r="D2011" i="19"/>
  <c r="I2011" i="19" s="1"/>
  <c r="G9" i="15"/>
  <c r="D517" i="23"/>
  <c r="I24" i="15"/>
  <c r="D551" i="23" s="1"/>
  <c r="B2679" i="23"/>
  <c r="B2632" i="23"/>
  <c r="B414" i="23"/>
  <c r="N1662" i="19"/>
  <c r="N1757" i="19"/>
  <c r="N1710" i="19"/>
  <c r="E2636" i="23"/>
  <c r="D1761" i="19"/>
  <c r="I1761" i="19" s="1"/>
  <c r="C1714" i="19"/>
  <c r="H1714" i="19" s="1"/>
  <c r="D1714" i="19"/>
  <c r="I1714" i="19" s="1"/>
  <c r="G19" i="13"/>
  <c r="B2641" i="23"/>
  <c r="B2688" i="23"/>
  <c r="N1766" i="19"/>
  <c r="B423" i="23"/>
  <c r="N1719" i="19"/>
  <c r="N1671" i="19"/>
  <c r="E2645" i="23"/>
  <c r="D1723" i="19"/>
  <c r="I1723" i="19" s="1"/>
  <c r="D1770" i="19"/>
  <c r="I1770" i="19" s="1"/>
  <c r="C1723" i="19"/>
  <c r="H1723" i="19" s="1"/>
  <c r="G28" i="13"/>
  <c r="E429" i="23"/>
  <c r="C1772" i="19"/>
  <c r="H1772" i="19" s="1"/>
  <c r="E1772" i="19"/>
  <c r="C1677" i="19"/>
  <c r="H1677" i="19" s="1"/>
  <c r="O30" i="13"/>
  <c r="D1677" i="19"/>
  <c r="I1677" i="19" s="1"/>
  <c r="S30" i="13"/>
  <c r="E2649" i="23"/>
  <c r="D1774" i="19"/>
  <c r="I1774" i="19" s="1"/>
  <c r="D1727" i="19"/>
  <c r="I1727" i="19" s="1"/>
  <c r="C1727" i="19"/>
  <c r="H1727" i="19" s="1"/>
  <c r="N32" i="13"/>
  <c r="E2696" i="23" s="1"/>
  <c r="G32" i="13"/>
  <c r="C1778" i="19"/>
  <c r="H1778" i="19" s="1"/>
  <c r="C1683" i="19"/>
  <c r="H1683" i="19" s="1"/>
  <c r="G1683" i="19" s="1"/>
  <c r="E435" i="23"/>
  <c r="E1778" i="19"/>
  <c r="D1683" i="19"/>
  <c r="I1683" i="19" s="1"/>
  <c r="F36" i="13"/>
  <c r="S36" i="13"/>
  <c r="U36" i="13"/>
  <c r="O36" i="13"/>
  <c r="E2826" i="23"/>
  <c r="E888" i="23"/>
  <c r="E2340" i="19"/>
  <c r="C2258" i="19"/>
  <c r="C2340" i="19"/>
  <c r="D2258" i="19"/>
  <c r="I2258" i="19" s="1"/>
  <c r="G2258" i="19" s="1"/>
  <c r="F29" i="16"/>
  <c r="D888" i="23" s="1"/>
  <c r="E2850" i="23"/>
  <c r="D2290" i="19"/>
  <c r="I2290" i="19" s="1"/>
  <c r="D2343" i="19"/>
  <c r="I2343" i="19" s="1"/>
  <c r="O32" i="16"/>
  <c r="C2290" i="19"/>
  <c r="H2290" i="19" s="1"/>
  <c r="G32" i="16"/>
  <c r="H44" i="16"/>
  <c r="M49" i="16"/>
  <c r="M52" i="16" s="1"/>
  <c r="M53" i="16" s="1"/>
  <c r="E2959" i="23"/>
  <c r="F4" i="17"/>
  <c r="M4" i="17"/>
  <c r="D905" i="23"/>
  <c r="E909" i="23"/>
  <c r="C2504" i="19"/>
  <c r="H2504" i="19" s="1"/>
  <c r="G2504" i="19" s="1"/>
  <c r="C2477" i="19"/>
  <c r="H2477" i="19" s="1"/>
  <c r="C2456" i="19"/>
  <c r="H2456" i="19" s="1"/>
  <c r="N17" i="17"/>
  <c r="D2456" i="19"/>
  <c r="I2456" i="19" s="1"/>
  <c r="E17" i="17"/>
  <c r="D975" i="23"/>
  <c r="E975" i="23"/>
  <c r="D2435" i="19"/>
  <c r="I2435" i="19" s="1"/>
  <c r="I54" i="17"/>
  <c r="E1033" i="23"/>
  <c r="D1033" i="23"/>
  <c r="E2536" i="19"/>
  <c r="E2541" i="19"/>
  <c r="D1058" i="23"/>
  <c r="E1058" i="23"/>
  <c r="R38" i="19"/>
  <c r="V38" i="19" s="1"/>
  <c r="J38" i="19"/>
  <c r="G38" i="19" s="1"/>
  <c r="C628" i="19"/>
  <c r="H628" i="19" s="1"/>
  <c r="G628" i="19" s="1"/>
  <c r="G716" i="19"/>
  <c r="E1049" i="19"/>
  <c r="G2219" i="19"/>
  <c r="M134" i="23"/>
  <c r="F134" i="23" s="1"/>
  <c r="N134" i="23"/>
  <c r="N2207" i="23"/>
  <c r="M2207" i="23"/>
  <c r="K63" i="20"/>
  <c r="K61" i="20"/>
  <c r="E1241" i="23"/>
  <c r="D1241" i="23"/>
  <c r="D1497" i="23"/>
  <c r="D1621" i="23"/>
  <c r="E1661" i="23"/>
  <c r="S15" i="2"/>
  <c r="E1732" i="23"/>
  <c r="H33" i="4"/>
  <c r="E1847" i="23"/>
  <c r="P48" i="4"/>
  <c r="E1750" i="23"/>
  <c r="H54" i="4"/>
  <c r="E30" i="23"/>
  <c r="E576" i="19"/>
  <c r="C576" i="19"/>
  <c r="H576" i="19" s="1"/>
  <c r="C479" i="19"/>
  <c r="H479" i="19" s="1"/>
  <c r="G479" i="19" s="1"/>
  <c r="F7" i="5"/>
  <c r="U7" i="5"/>
  <c r="S7" i="5"/>
  <c r="D1885" i="23"/>
  <c r="I20" i="5"/>
  <c r="D1932" i="23" s="1"/>
  <c r="D53" i="23"/>
  <c r="J30" i="5"/>
  <c r="B1897" i="23"/>
  <c r="B55" i="23"/>
  <c r="B1944" i="23"/>
  <c r="N504" i="19"/>
  <c r="N553" i="19"/>
  <c r="E1900" i="23"/>
  <c r="N35" i="5"/>
  <c r="E1947" i="23" s="1"/>
  <c r="G35" i="5"/>
  <c r="R35" i="5" s="1"/>
  <c r="B1904" i="23"/>
  <c r="B62" i="23"/>
  <c r="B1951" i="23"/>
  <c r="N560" i="19"/>
  <c r="D68" i="23"/>
  <c r="J45" i="5"/>
  <c r="B1959" i="23"/>
  <c r="B1912" i="23"/>
  <c r="B70" i="23"/>
  <c r="N519" i="19"/>
  <c r="N569" i="19"/>
  <c r="N616" i="19"/>
  <c r="N571" i="19"/>
  <c r="N521" i="19"/>
  <c r="E75" i="23"/>
  <c r="E721" i="19"/>
  <c r="C721" i="19"/>
  <c r="H721" i="19" s="1"/>
  <c r="C624" i="19"/>
  <c r="H624" i="19" s="1"/>
  <c r="D624" i="19"/>
  <c r="I624" i="19" s="1"/>
  <c r="B1966" i="23"/>
  <c r="B2013" i="23"/>
  <c r="N626" i="19"/>
  <c r="N723" i="19"/>
  <c r="E80" i="23"/>
  <c r="D629" i="19"/>
  <c r="I629" i="19" s="1"/>
  <c r="C629" i="19"/>
  <c r="H629" i="19" s="1"/>
  <c r="O10" i="6"/>
  <c r="F10" i="6"/>
  <c r="E90" i="23"/>
  <c r="S20" i="6"/>
  <c r="O20" i="6"/>
  <c r="H44" i="6"/>
  <c r="E168" i="23"/>
  <c r="C1014" i="19"/>
  <c r="H1014" i="19" s="1"/>
  <c r="D917" i="19"/>
  <c r="I917" i="19" s="1"/>
  <c r="K23" i="8"/>
  <c r="O4" i="8"/>
  <c r="S4" i="8"/>
  <c r="E1014" i="19"/>
  <c r="C917" i="19"/>
  <c r="H917" i="19" s="1"/>
  <c r="B2211" i="23"/>
  <c r="B2164" i="23"/>
  <c r="B181" i="23"/>
  <c r="N1027" i="19"/>
  <c r="N978" i="19"/>
  <c r="E184" i="23"/>
  <c r="O20" i="8"/>
  <c r="S20" i="8"/>
  <c r="C933" i="19"/>
  <c r="H933" i="19" s="1"/>
  <c r="G933" i="19" s="1"/>
  <c r="E2171" i="23"/>
  <c r="D1034" i="19"/>
  <c r="I1034" i="19" s="1"/>
  <c r="C985" i="19"/>
  <c r="H985" i="19" s="1"/>
  <c r="D985" i="19"/>
  <c r="I985" i="19" s="1"/>
  <c r="N24" i="8"/>
  <c r="E2218" i="23" s="1"/>
  <c r="E192" i="23"/>
  <c r="D941" i="19"/>
  <c r="I941" i="19" s="1"/>
  <c r="E1038" i="19"/>
  <c r="C1038" i="19"/>
  <c r="H1038" i="19" s="1"/>
  <c r="C941" i="19"/>
  <c r="H941" i="19" s="1"/>
  <c r="F28" i="8"/>
  <c r="U28" i="8"/>
  <c r="E199" i="23"/>
  <c r="D948" i="19"/>
  <c r="I948" i="19" s="1"/>
  <c r="C1045" i="19"/>
  <c r="H1045" i="19" s="1"/>
  <c r="E1045" i="19"/>
  <c r="C948" i="19"/>
  <c r="H948" i="19" s="1"/>
  <c r="O35" i="8"/>
  <c r="E2189" i="23"/>
  <c r="C1004" i="19"/>
  <c r="H1004" i="19" s="1"/>
  <c r="G1004" i="19" s="1"/>
  <c r="E271" i="23"/>
  <c r="C1220" i="19"/>
  <c r="H1220" i="19" s="1"/>
  <c r="E1317" i="19"/>
  <c r="C1317" i="19"/>
  <c r="H1317" i="19" s="1"/>
  <c r="D1220" i="19"/>
  <c r="I1220" i="19" s="1"/>
  <c r="F13" i="10"/>
  <c r="U13" i="10"/>
  <c r="E282" i="23"/>
  <c r="E1328" i="19"/>
  <c r="C1231" i="19"/>
  <c r="H1231" i="19" s="1"/>
  <c r="C1328" i="19"/>
  <c r="H1328" i="19" s="1"/>
  <c r="F24" i="10"/>
  <c r="U24" i="10"/>
  <c r="B2370" i="23"/>
  <c r="B2417" i="23"/>
  <c r="B293" i="23"/>
  <c r="N1291" i="19"/>
  <c r="N1242" i="19"/>
  <c r="C1342" i="19"/>
  <c r="H1342" i="19" s="1"/>
  <c r="E296" i="23"/>
  <c r="D1245" i="19"/>
  <c r="I1245" i="19" s="1"/>
  <c r="C1245" i="19"/>
  <c r="H1245" i="19" s="1"/>
  <c r="E1342" i="19"/>
  <c r="S38" i="10"/>
  <c r="H50" i="10"/>
  <c r="D1257" i="19"/>
  <c r="I1257" i="19" s="1"/>
  <c r="G1257" i="19" s="1"/>
  <c r="E356" i="23"/>
  <c r="E1601" i="19"/>
  <c r="C1601" i="19"/>
  <c r="H1601" i="19" s="1"/>
  <c r="D1505" i="19"/>
  <c r="I1505" i="19" s="1"/>
  <c r="C1505" i="19"/>
  <c r="H1505" i="19" s="1"/>
  <c r="G1505" i="19" s="1"/>
  <c r="S4" i="12"/>
  <c r="O4" i="12"/>
  <c r="E358" i="23"/>
  <c r="E1603" i="19"/>
  <c r="C1507" i="19"/>
  <c r="H1507" i="19" s="1"/>
  <c r="D1507" i="19"/>
  <c r="I1507" i="19" s="1"/>
  <c r="C1603" i="19"/>
  <c r="H1603" i="19" s="1"/>
  <c r="O6" i="12"/>
  <c r="F6" i="12"/>
  <c r="B2595" i="23"/>
  <c r="N1622" i="19"/>
  <c r="B2548" i="23"/>
  <c r="B377" i="23"/>
  <c r="N1526" i="19"/>
  <c r="N1574" i="19"/>
  <c r="D2563" i="23"/>
  <c r="I40" i="12"/>
  <c r="D2610" i="23" s="1"/>
  <c r="F5" i="9"/>
  <c r="K23" i="9"/>
  <c r="D242" i="23"/>
  <c r="T31" i="9"/>
  <c r="R31" i="9"/>
  <c r="J31" i="9"/>
  <c r="E247" i="23"/>
  <c r="C1193" i="19"/>
  <c r="H1193" i="19" s="1"/>
  <c r="D1096" i="19"/>
  <c r="I1096" i="19" s="1"/>
  <c r="C1096" i="19"/>
  <c r="H1096" i="19" s="1"/>
  <c r="F36" i="9"/>
  <c r="U36" i="9"/>
  <c r="S36" i="9"/>
  <c r="E1193" i="19"/>
  <c r="B2281" i="23"/>
  <c r="B2328" i="23"/>
  <c r="B251" i="23"/>
  <c r="N1149" i="19"/>
  <c r="N1100" i="19"/>
  <c r="C1103" i="19"/>
  <c r="H1103" i="19" s="1"/>
  <c r="E254" i="23"/>
  <c r="C1200" i="19"/>
  <c r="H1200" i="19" s="1"/>
  <c r="D1103" i="19"/>
  <c r="I1103" i="19" s="1"/>
  <c r="S43" i="9"/>
  <c r="O43" i="9"/>
  <c r="D336" i="23"/>
  <c r="T31" i="11"/>
  <c r="R31" i="11"/>
  <c r="J31" i="11"/>
  <c r="D2462" i="23"/>
  <c r="I33" i="11"/>
  <c r="D2509" i="23" s="1"/>
  <c r="B2468" i="23"/>
  <c r="B2515" i="23"/>
  <c r="B344" i="23"/>
  <c r="N1442" i="19"/>
  <c r="N1490" i="19"/>
  <c r="B2519" i="23"/>
  <c r="B348" i="23"/>
  <c r="B2472" i="23"/>
  <c r="N1446" i="19"/>
  <c r="N1397" i="19"/>
  <c r="N1494" i="19"/>
  <c r="D609" i="23"/>
  <c r="G42" i="15"/>
  <c r="I4" i="28"/>
  <c r="D643" i="23" s="1"/>
  <c r="D679" i="23"/>
  <c r="J6" i="28"/>
  <c r="D681" i="23"/>
  <c r="R8" i="28"/>
  <c r="N2090" i="19"/>
  <c r="N2058" i="19"/>
  <c r="N2122" i="19"/>
  <c r="D632" i="23"/>
  <c r="I27" i="28"/>
  <c r="D666" i="23" s="1"/>
  <c r="D2074" i="19"/>
  <c r="I2074" i="19" s="1"/>
  <c r="C2074" i="19"/>
  <c r="H2074" i="19" s="1"/>
  <c r="E2138" i="19"/>
  <c r="E705" i="23"/>
  <c r="O32" i="28"/>
  <c r="F32" i="28"/>
  <c r="U32" i="28"/>
  <c r="E2140" i="19"/>
  <c r="E707" i="23"/>
  <c r="C2076" i="19"/>
  <c r="H2076" i="19" s="1"/>
  <c r="D2076" i="19"/>
  <c r="I2076" i="19" s="1"/>
  <c r="U34" i="28"/>
  <c r="D795" i="23"/>
  <c r="J56" i="28"/>
  <c r="E797" i="23"/>
  <c r="D2160" i="19"/>
  <c r="I2160" i="19" s="1"/>
  <c r="E2224" i="19"/>
  <c r="C2160" i="19"/>
  <c r="H2160" i="19" s="1"/>
  <c r="E2236" i="19"/>
  <c r="E809" i="23"/>
  <c r="C2172" i="19"/>
  <c r="H2172" i="19" s="1"/>
  <c r="D2172" i="19"/>
  <c r="I2172" i="19" s="1"/>
  <c r="F70" i="28"/>
  <c r="E500" i="23"/>
  <c r="D1977" i="19"/>
  <c r="I1977" i="19" s="1"/>
  <c r="C1977" i="19"/>
  <c r="H1977" i="19" s="1"/>
  <c r="D2009" i="19"/>
  <c r="I2009" i="19" s="1"/>
  <c r="G7" i="15"/>
  <c r="N2016" i="19"/>
  <c r="N1951" i="19"/>
  <c r="N1984" i="19"/>
  <c r="N1998" i="19"/>
  <c r="N2030" i="19"/>
  <c r="N1965" i="19"/>
  <c r="B2672" i="23"/>
  <c r="B407" i="23"/>
  <c r="N1655" i="19"/>
  <c r="N1750" i="19"/>
  <c r="B2625" i="23"/>
  <c r="N1703" i="19"/>
  <c r="B2690" i="23"/>
  <c r="B2643" i="23"/>
  <c r="N1721" i="19"/>
  <c r="B425" i="23"/>
  <c r="N1768" i="19"/>
  <c r="H28" i="13"/>
  <c r="H44" i="13" s="1"/>
  <c r="H48" i="13" s="1"/>
  <c r="M44" i="13"/>
  <c r="M48" i="13" s="1"/>
  <c r="E2647" i="23"/>
  <c r="D1772" i="19"/>
  <c r="I1772" i="19" s="1"/>
  <c r="D1725" i="19"/>
  <c r="I1725" i="19" s="1"/>
  <c r="G30" i="13"/>
  <c r="N30" i="13"/>
  <c r="E2694" i="23" s="1"/>
  <c r="E2653" i="23"/>
  <c r="D1778" i="19"/>
  <c r="I1778" i="19" s="1"/>
  <c r="D1731" i="19"/>
  <c r="I1731" i="19" s="1"/>
  <c r="C1731" i="19"/>
  <c r="H1731" i="19" s="1"/>
  <c r="D445" i="23"/>
  <c r="T46" i="13"/>
  <c r="B2727" i="23"/>
  <c r="B2775" i="23"/>
  <c r="B462" i="23"/>
  <c r="N1903" i="19"/>
  <c r="N1808" i="19"/>
  <c r="N1856" i="19"/>
  <c r="E495" i="23"/>
  <c r="D1842" i="19"/>
  <c r="I1842" i="19" s="1"/>
  <c r="G1842" i="19" s="1"/>
  <c r="F50" i="14"/>
  <c r="S50" i="14"/>
  <c r="N57" i="16"/>
  <c r="E2926" i="23" s="1"/>
  <c r="D903" i="23"/>
  <c r="I5" i="17"/>
  <c r="K13" i="17"/>
  <c r="E2953" i="23"/>
  <c r="D2477" i="19"/>
  <c r="I2477" i="19" s="1"/>
  <c r="M17" i="17"/>
  <c r="E2972" i="23" s="1"/>
  <c r="F17" i="17"/>
  <c r="E941" i="23"/>
  <c r="D941" i="23"/>
  <c r="D1034" i="23"/>
  <c r="E1034" i="23"/>
  <c r="E2549" i="19"/>
  <c r="C116" i="19"/>
  <c r="H116" i="19" s="1"/>
  <c r="G116" i="19" s="1"/>
  <c r="V127" i="19"/>
  <c r="V174" i="19"/>
  <c r="V223" i="19"/>
  <c r="V265" i="19"/>
  <c r="R585" i="19"/>
  <c r="V585" i="19" s="1"/>
  <c r="J585" i="19"/>
  <c r="C724" i="19"/>
  <c r="H724" i="19" s="1"/>
  <c r="V802" i="19"/>
  <c r="D2291" i="19"/>
  <c r="I2291" i="19" s="1"/>
  <c r="M2037" i="23"/>
  <c r="N2037" i="23"/>
  <c r="E172" i="23"/>
  <c r="E1018" i="19"/>
  <c r="C1018" i="19"/>
  <c r="H1018" i="19" s="1"/>
  <c r="O8" i="8"/>
  <c r="S8" i="8"/>
  <c r="B185" i="23"/>
  <c r="B2215" i="23"/>
  <c r="B2168" i="23"/>
  <c r="N1031" i="19"/>
  <c r="N934" i="19"/>
  <c r="N982" i="19"/>
  <c r="E2177" i="23"/>
  <c r="D992" i="19"/>
  <c r="I992" i="19" s="1"/>
  <c r="G992" i="19" s="1"/>
  <c r="D1040" i="19"/>
  <c r="I1040" i="19" s="1"/>
  <c r="E196" i="23"/>
  <c r="E1042" i="19"/>
  <c r="D945" i="19"/>
  <c r="I945" i="19" s="1"/>
  <c r="C945" i="19"/>
  <c r="H945" i="19" s="1"/>
  <c r="C1042" i="19"/>
  <c r="H1042" i="19" s="1"/>
  <c r="F32" i="8"/>
  <c r="U32" i="8"/>
  <c r="E203" i="23"/>
  <c r="C1049" i="19"/>
  <c r="H1049" i="19" s="1"/>
  <c r="O39" i="8"/>
  <c r="D2192" i="23"/>
  <c r="I45" i="8"/>
  <c r="D2239" i="23" s="1"/>
  <c r="D213" i="23"/>
  <c r="T50" i="8"/>
  <c r="R50" i="8"/>
  <c r="E1400" i="19"/>
  <c r="E812" i="19"/>
  <c r="C909" i="19"/>
  <c r="H909" i="19" s="1"/>
  <c r="D812" i="19"/>
  <c r="I812" i="19" s="1"/>
  <c r="C812" i="19"/>
  <c r="H812" i="19" s="1"/>
  <c r="O46" i="7"/>
  <c r="E909" i="19"/>
  <c r="E163" i="23"/>
  <c r="F46" i="7"/>
  <c r="E275" i="23"/>
  <c r="D1224" i="19"/>
  <c r="I1224" i="19" s="1"/>
  <c r="C1224" i="19"/>
  <c r="H1224" i="19" s="1"/>
  <c r="C1321" i="19"/>
  <c r="H1321" i="19" s="1"/>
  <c r="F17" i="10"/>
  <c r="U17" i="10"/>
  <c r="K44" i="10"/>
  <c r="E2531" i="23"/>
  <c r="D1605" i="19"/>
  <c r="I1605" i="19" s="1"/>
  <c r="G8" i="12"/>
  <c r="C1557" i="19"/>
  <c r="H1557" i="19" s="1"/>
  <c r="D1557" i="19"/>
  <c r="I1557" i="19" s="1"/>
  <c r="E1607" i="19"/>
  <c r="E362" i="23"/>
  <c r="C1607" i="19"/>
  <c r="H1607" i="19" s="1"/>
  <c r="D1511" i="19"/>
  <c r="I1511" i="19" s="1"/>
  <c r="C1511" i="19"/>
  <c r="H1511" i="19" s="1"/>
  <c r="O10" i="12"/>
  <c r="S10" i="12"/>
  <c r="E2535" i="23"/>
  <c r="D1609" i="19"/>
  <c r="I1609" i="19" s="1"/>
  <c r="D1561" i="19"/>
  <c r="I1561" i="19" s="1"/>
  <c r="C1561" i="19"/>
  <c r="H1561" i="19" s="1"/>
  <c r="G12" i="12"/>
  <c r="B2584" i="23"/>
  <c r="B2537" i="23"/>
  <c r="B366" i="23"/>
  <c r="N1515" i="19"/>
  <c r="N1611" i="19"/>
  <c r="E371" i="23"/>
  <c r="C1616" i="19"/>
  <c r="H1616" i="19" s="1"/>
  <c r="C1520" i="19"/>
  <c r="H1520" i="19" s="1"/>
  <c r="D1520" i="19"/>
  <c r="I1520" i="19" s="1"/>
  <c r="E1616" i="19"/>
  <c r="O19" i="12"/>
  <c r="F19" i="12"/>
  <c r="U19" i="12"/>
  <c r="D1526" i="19"/>
  <c r="I1526" i="19" s="1"/>
  <c r="C1526" i="19"/>
  <c r="H1526" i="19" s="1"/>
  <c r="C1622" i="19"/>
  <c r="H1622" i="19" s="1"/>
  <c r="E377" i="23"/>
  <c r="E1622" i="19"/>
  <c r="S25" i="12"/>
  <c r="O25" i="12"/>
  <c r="E2565" i="23"/>
  <c r="C1591" i="19"/>
  <c r="H1591" i="19" s="1"/>
  <c r="G1591" i="19" s="1"/>
  <c r="N42" i="12"/>
  <c r="E2612" i="23" s="1"/>
  <c r="E216" i="23"/>
  <c r="E1162" i="19"/>
  <c r="C1162" i="19"/>
  <c r="H1162" i="19" s="1"/>
  <c r="C1065" i="19"/>
  <c r="H1065" i="19" s="1"/>
  <c r="G1065" i="19" s="1"/>
  <c r="S5" i="9"/>
  <c r="O5" i="9"/>
  <c r="D1164" i="19"/>
  <c r="I1164" i="19" s="1"/>
  <c r="D1115" i="19"/>
  <c r="I1115" i="19" s="1"/>
  <c r="C1115" i="19"/>
  <c r="H1115" i="19" s="1"/>
  <c r="E2248" i="23"/>
  <c r="N7" i="9"/>
  <c r="E2295" i="23" s="1"/>
  <c r="G7" i="9"/>
  <c r="E227" i="23"/>
  <c r="C1076" i="19"/>
  <c r="H1076" i="19" s="1"/>
  <c r="D1076" i="19"/>
  <c r="I1076" i="19" s="1"/>
  <c r="F16" i="9"/>
  <c r="S16" i="9"/>
  <c r="E229" i="23"/>
  <c r="E1175" i="19"/>
  <c r="D1078" i="19"/>
  <c r="I1078" i="19" s="1"/>
  <c r="C1078" i="19"/>
  <c r="H1078" i="19" s="1"/>
  <c r="C1175" i="19"/>
  <c r="H1175" i="19" s="1"/>
  <c r="S18" i="9"/>
  <c r="O18" i="9"/>
  <c r="E2290" i="23"/>
  <c r="C1160" i="19"/>
  <c r="H1160" i="19" s="1"/>
  <c r="D1207" i="19"/>
  <c r="I1207" i="19" s="1"/>
  <c r="G1207" i="19" s="1"/>
  <c r="D1160" i="19"/>
  <c r="I1160" i="19" s="1"/>
  <c r="D2435" i="23"/>
  <c r="I6" i="11"/>
  <c r="D2482" i="23" s="1"/>
  <c r="E320" i="23"/>
  <c r="C1466" i="19"/>
  <c r="H1466" i="19" s="1"/>
  <c r="E1466" i="19"/>
  <c r="D1369" i="19"/>
  <c r="I1369" i="19" s="1"/>
  <c r="F15" i="11"/>
  <c r="C1369" i="19"/>
  <c r="H1369" i="19" s="1"/>
  <c r="S15" i="11"/>
  <c r="C1373" i="19"/>
  <c r="H1373" i="19" s="1"/>
  <c r="E324" i="23"/>
  <c r="D1373" i="19"/>
  <c r="I1373" i="19" s="1"/>
  <c r="E1470" i="19"/>
  <c r="C1470" i="19"/>
  <c r="H1470" i="19" s="1"/>
  <c r="E2501" i="23"/>
  <c r="E1428" i="19"/>
  <c r="E2472" i="23"/>
  <c r="D1494" i="19"/>
  <c r="I1494" i="19" s="1"/>
  <c r="C1446" i="19"/>
  <c r="H1446" i="19" s="1"/>
  <c r="D1446" i="19"/>
  <c r="I1446" i="19" s="1"/>
  <c r="N43" i="11"/>
  <c r="E2519" i="23" s="1"/>
  <c r="G43" i="11"/>
  <c r="E352" i="23"/>
  <c r="C1498" i="19"/>
  <c r="H1498" i="19" s="1"/>
  <c r="C1401" i="19"/>
  <c r="H1401" i="19" s="1"/>
  <c r="D1401" i="19"/>
  <c r="I1401" i="19" s="1"/>
  <c r="E1498" i="19"/>
  <c r="F47" i="11"/>
  <c r="U47" i="11"/>
  <c r="D2084" i="19"/>
  <c r="I2084" i="19" s="1"/>
  <c r="E615" i="23"/>
  <c r="C2084" i="19"/>
  <c r="H2084" i="19" s="1"/>
  <c r="D2116" i="19"/>
  <c r="I2116" i="19" s="1"/>
  <c r="G10" i="28"/>
  <c r="E634" i="23"/>
  <c r="D2103" i="19"/>
  <c r="I2103" i="19" s="1"/>
  <c r="C2103" i="19"/>
  <c r="H2103" i="19" s="1"/>
  <c r="G29" i="28"/>
  <c r="D704" i="23"/>
  <c r="T31" i="28"/>
  <c r="J31" i="28"/>
  <c r="E712" i="23"/>
  <c r="D2207" i="19"/>
  <c r="I2207" i="19" s="1"/>
  <c r="C2175" i="19"/>
  <c r="H2175" i="19" s="1"/>
  <c r="D2175" i="19"/>
  <c r="I2175" i="19" s="1"/>
  <c r="L47" i="15"/>
  <c r="N2168" i="19"/>
  <c r="N2200" i="19"/>
  <c r="N2232" i="19"/>
  <c r="N2237" i="19"/>
  <c r="N2173" i="19"/>
  <c r="N2205" i="19"/>
  <c r="D579" i="23"/>
  <c r="J8" i="15"/>
  <c r="M49" i="15"/>
  <c r="H14" i="15"/>
  <c r="E593" i="23"/>
  <c r="E2024" i="19"/>
  <c r="D1959" i="19"/>
  <c r="I1959" i="19" s="1"/>
  <c r="G1959" i="19" s="1"/>
  <c r="O22" i="15"/>
  <c r="S22" i="15"/>
  <c r="F22" i="15"/>
  <c r="C1998" i="19"/>
  <c r="H1998" i="19" s="1"/>
  <c r="E521" i="23"/>
  <c r="D1998" i="19"/>
  <c r="I1998" i="19" s="1"/>
  <c r="D2030" i="19"/>
  <c r="I2030" i="19" s="1"/>
  <c r="G28" i="15"/>
  <c r="N28" i="15"/>
  <c r="E555" i="23" s="1"/>
  <c r="E2032" i="19"/>
  <c r="E601" i="23"/>
  <c r="D1967" i="19"/>
  <c r="I1967" i="19" s="1"/>
  <c r="C1967" i="19"/>
  <c r="H1967" i="19" s="1"/>
  <c r="F30" i="15"/>
  <c r="S30" i="15"/>
  <c r="O30" i="15"/>
  <c r="H32" i="15"/>
  <c r="D1969" i="19"/>
  <c r="I1969" i="19" s="1"/>
  <c r="G1969" i="19" s="1"/>
  <c r="E527" i="23"/>
  <c r="D2036" i="19"/>
  <c r="I2036" i="19" s="1"/>
  <c r="C2004" i="19"/>
  <c r="H2004" i="19" s="1"/>
  <c r="D2004" i="19"/>
  <c r="I2004" i="19" s="1"/>
  <c r="N34" i="15"/>
  <c r="E561" i="23" s="1"/>
  <c r="D404" i="23"/>
  <c r="T5" i="13"/>
  <c r="J5" i="13"/>
  <c r="B419" i="23"/>
  <c r="B2637" i="23"/>
  <c r="B2684" i="23"/>
  <c r="N1762" i="19"/>
  <c r="N1715" i="19"/>
  <c r="N1667" i="19"/>
  <c r="B2693" i="23"/>
  <c r="B2646" i="23"/>
  <c r="B428" i="23"/>
  <c r="N1724" i="19"/>
  <c r="N1676" i="19"/>
  <c r="N1771" i="19"/>
  <c r="D2648" i="23"/>
  <c r="I31" i="13"/>
  <c r="D2695" i="23" s="1"/>
  <c r="D2652" i="23"/>
  <c r="I35" i="13"/>
  <c r="D2699" i="23" s="1"/>
  <c r="D2654" i="23"/>
  <c r="I37" i="13"/>
  <c r="D2701" i="23" s="1"/>
  <c r="E2659" i="23"/>
  <c r="D1784" i="19"/>
  <c r="I1784" i="19" s="1"/>
  <c r="D1737" i="19"/>
  <c r="I1737" i="19" s="1"/>
  <c r="C1737" i="19"/>
  <c r="H1737" i="19" s="1"/>
  <c r="G42" i="13"/>
  <c r="B450" i="23"/>
  <c r="B2715" i="23"/>
  <c r="B2763" i="23"/>
  <c r="N1891" i="19"/>
  <c r="N1844" i="19"/>
  <c r="N1796" i="19"/>
  <c r="E460" i="23"/>
  <c r="D1806" i="19"/>
  <c r="I1806" i="19" s="1"/>
  <c r="C1806" i="19"/>
  <c r="H1806" i="19" s="1"/>
  <c r="C1901" i="19"/>
  <c r="H1901" i="19" s="1"/>
  <c r="O14" i="14"/>
  <c r="E466" i="23"/>
  <c r="D1812" i="19"/>
  <c r="I1812" i="19" s="1"/>
  <c r="C1812" i="19"/>
  <c r="H1812" i="19" s="1"/>
  <c r="E1907" i="19"/>
  <c r="C1907" i="19"/>
  <c r="H1907" i="19" s="1"/>
  <c r="S20" i="14"/>
  <c r="F20" i="14"/>
  <c r="B2790" i="23"/>
  <c r="B2742" i="23"/>
  <c r="B477" i="23"/>
  <c r="N1823" i="19"/>
  <c r="N1871" i="19"/>
  <c r="N1918" i="19"/>
  <c r="D489" i="23"/>
  <c r="J43" i="14"/>
  <c r="E2812" i="23"/>
  <c r="C2274" i="19"/>
  <c r="H2274" i="19" s="1"/>
  <c r="D2274" i="19"/>
  <c r="I2274" i="19" s="1"/>
  <c r="D2327" i="19"/>
  <c r="I2327" i="19" s="1"/>
  <c r="N5" i="16"/>
  <c r="O5" i="16" s="1"/>
  <c r="L10" i="16"/>
  <c r="D2845" i="23"/>
  <c r="I27" i="16"/>
  <c r="D2896" i="23" s="1"/>
  <c r="E2854" i="23"/>
  <c r="C2294" i="19"/>
  <c r="H2294" i="19" s="1"/>
  <c r="D2294" i="19"/>
  <c r="I2294" i="19" s="1"/>
  <c r="D2347" i="19"/>
  <c r="I2347" i="19" s="1"/>
  <c r="O36" i="16"/>
  <c r="N36" i="16"/>
  <c r="E2905" i="23" s="1"/>
  <c r="G36" i="16"/>
  <c r="M72" i="16"/>
  <c r="M77" i="16" s="1"/>
  <c r="D950" i="23"/>
  <c r="E950" i="23"/>
  <c r="D2394" i="19"/>
  <c r="I2394" i="19" s="1"/>
  <c r="G2394" i="19" s="1"/>
  <c r="O49" i="17"/>
  <c r="E976" i="23"/>
  <c r="D976" i="23"/>
  <c r="D2436" i="19"/>
  <c r="I2436" i="19" s="1"/>
  <c r="E3011" i="23"/>
  <c r="J18" i="18"/>
  <c r="E2992" i="23" s="1"/>
  <c r="M18" i="18"/>
  <c r="M21" i="18"/>
  <c r="D1150" i="23"/>
  <c r="E1150" i="23"/>
  <c r="M62" i="17"/>
  <c r="E1183" i="23"/>
  <c r="D2617" i="19"/>
  <c r="I2617" i="19" s="1"/>
  <c r="Q52" i="18"/>
  <c r="E1189" i="23" s="1"/>
  <c r="V71" i="19"/>
  <c r="V213" i="19"/>
  <c r="V651" i="19"/>
  <c r="N674" i="19"/>
  <c r="N930" i="19"/>
  <c r="V1694" i="19"/>
  <c r="E2350" i="23"/>
  <c r="D1319" i="19"/>
  <c r="I1319" i="19" s="1"/>
  <c r="C1270" i="19"/>
  <c r="H1270" i="19" s="1"/>
  <c r="D1270" i="19"/>
  <c r="I1270" i="19" s="1"/>
  <c r="U15" i="10"/>
  <c r="E2352" i="23"/>
  <c r="D1272" i="19"/>
  <c r="I1272" i="19" s="1"/>
  <c r="D1321" i="19"/>
  <c r="I1321" i="19" s="1"/>
  <c r="C1272" i="19"/>
  <c r="H1272" i="19" s="1"/>
  <c r="G17" i="10"/>
  <c r="E2361" i="23"/>
  <c r="D1282" i="19"/>
  <c r="I1282" i="19" s="1"/>
  <c r="C1282" i="19"/>
  <c r="H1282" i="19" s="1"/>
  <c r="D1330" i="19"/>
  <c r="I1330" i="19" s="1"/>
  <c r="U26" i="10"/>
  <c r="B2374" i="23"/>
  <c r="B2421" i="23"/>
  <c r="N1343" i="19"/>
  <c r="N1295" i="19"/>
  <c r="B297" i="23"/>
  <c r="N1246" i="19"/>
  <c r="E2542" i="23"/>
  <c r="D1616" i="19"/>
  <c r="I1616" i="19" s="1"/>
  <c r="D1568" i="19"/>
  <c r="I1568" i="19" s="1"/>
  <c r="C1568" i="19"/>
  <c r="H1568" i="19" s="1"/>
  <c r="G1568" i="19" s="1"/>
  <c r="G19" i="12"/>
  <c r="B2252" i="23"/>
  <c r="B2299" i="23"/>
  <c r="B222" i="23"/>
  <c r="N1168" i="19"/>
  <c r="N1119" i="19"/>
  <c r="N1071" i="19"/>
  <c r="B2278" i="23"/>
  <c r="B2325" i="23"/>
  <c r="B248" i="23"/>
  <c r="N1194" i="19"/>
  <c r="N1097" i="19"/>
  <c r="N1146" i="19"/>
  <c r="E354" i="23"/>
  <c r="F50" i="11"/>
  <c r="S50" i="11"/>
  <c r="N2055" i="19"/>
  <c r="N2087" i="19"/>
  <c r="N2119" i="19"/>
  <c r="D636" i="23"/>
  <c r="I31" i="28"/>
  <c r="D670" i="23" s="1"/>
  <c r="E810" i="23"/>
  <c r="C2173" i="19"/>
  <c r="H2173" i="19" s="1"/>
  <c r="D2173" i="19"/>
  <c r="I2173" i="19" s="1"/>
  <c r="E2237" i="19"/>
  <c r="O71" i="28"/>
  <c r="F71" i="28"/>
  <c r="E523" i="23"/>
  <c r="D2032" i="19"/>
  <c r="I2032" i="19" s="1"/>
  <c r="D2000" i="19"/>
  <c r="I2000" i="19" s="1"/>
  <c r="C2000" i="19"/>
  <c r="H2000" i="19" s="1"/>
  <c r="N30" i="15"/>
  <c r="E557" i="23" s="1"/>
  <c r="G30" i="15"/>
  <c r="E475" i="23"/>
  <c r="E1916" i="19"/>
  <c r="C1916" i="19"/>
  <c r="H1916" i="19" s="1"/>
  <c r="C1821" i="19"/>
  <c r="H1821" i="19" s="1"/>
  <c r="D1821" i="19"/>
  <c r="I1821" i="19" s="1"/>
  <c r="S29" i="14"/>
  <c r="K44" i="14"/>
  <c r="F29" i="14"/>
  <c r="U29" i="14"/>
  <c r="E883" i="23"/>
  <c r="E2335" i="19"/>
  <c r="D2253" i="19"/>
  <c r="I2253" i="19" s="1"/>
  <c r="C2335" i="19"/>
  <c r="H2335" i="19" s="1"/>
  <c r="C2253" i="19"/>
  <c r="H2253" i="19" s="1"/>
  <c r="F24" i="16"/>
  <c r="C2268" i="19"/>
  <c r="H2268" i="19" s="1"/>
  <c r="D946" i="23"/>
  <c r="E946" i="23"/>
  <c r="E2413" i="19"/>
  <c r="E1173" i="19"/>
  <c r="J1187" i="19"/>
  <c r="R1187" i="19"/>
  <c r="V1187" i="19" s="1"/>
  <c r="R1204" i="19"/>
  <c r="V1204" i="19" s="1"/>
  <c r="J1204" i="19"/>
  <c r="G1204" i="19" s="1"/>
  <c r="B2376" i="23"/>
  <c r="B2423" i="23"/>
  <c r="B299" i="23"/>
  <c r="N1297" i="19"/>
  <c r="N1248" i="19"/>
  <c r="E2533" i="23"/>
  <c r="D1559" i="19"/>
  <c r="I1559" i="19" s="1"/>
  <c r="D1607" i="19"/>
  <c r="I1607" i="19" s="1"/>
  <c r="C1559" i="19"/>
  <c r="H1559" i="19" s="1"/>
  <c r="G10" i="12"/>
  <c r="D366" i="23"/>
  <c r="J14" i="12"/>
  <c r="T14" i="12"/>
  <c r="D373" i="23"/>
  <c r="T21" i="12"/>
  <c r="R21" i="12"/>
  <c r="J21" i="12"/>
  <c r="E2548" i="23"/>
  <c r="D1622" i="19"/>
  <c r="I1622" i="19" s="1"/>
  <c r="C1574" i="19"/>
  <c r="H1574" i="19" s="1"/>
  <c r="D1574" i="19"/>
  <c r="I1574" i="19" s="1"/>
  <c r="B2292" i="23"/>
  <c r="B2245" i="23"/>
  <c r="B215" i="23"/>
  <c r="N1112" i="19"/>
  <c r="N1064" i="19"/>
  <c r="N1161" i="19"/>
  <c r="E2246" i="23"/>
  <c r="C1113" i="19"/>
  <c r="H1113" i="19" s="1"/>
  <c r="D1113" i="19"/>
  <c r="I1113" i="19" s="1"/>
  <c r="D1162" i="19"/>
  <c r="I1162" i="19" s="1"/>
  <c r="E220" i="23"/>
  <c r="D1069" i="19"/>
  <c r="I1069" i="19" s="1"/>
  <c r="G1069" i="19" s="1"/>
  <c r="C1166" i="19"/>
  <c r="H1166" i="19" s="1"/>
  <c r="F9" i="9"/>
  <c r="U9" i="9"/>
  <c r="S9" i="9"/>
  <c r="E2257" i="23"/>
  <c r="C1124" i="19"/>
  <c r="H1124" i="19" s="1"/>
  <c r="D1124" i="19"/>
  <c r="I1124" i="19" s="1"/>
  <c r="E2259" i="23"/>
  <c r="D1175" i="19"/>
  <c r="I1175" i="19" s="1"/>
  <c r="C1126" i="19"/>
  <c r="H1126" i="19" s="1"/>
  <c r="G1126" i="19" s="1"/>
  <c r="N18" i="9"/>
  <c r="E2306" i="23" s="1"/>
  <c r="G18" i="9"/>
  <c r="T18" i="9" s="1"/>
  <c r="E231" i="23"/>
  <c r="C1080" i="19"/>
  <c r="H1080" i="19" s="1"/>
  <c r="G1080" i="19" s="1"/>
  <c r="F20" i="9"/>
  <c r="U20" i="9"/>
  <c r="B2310" i="23"/>
  <c r="B233" i="23"/>
  <c r="B2263" i="23"/>
  <c r="N1179" i="19"/>
  <c r="N1082" i="19"/>
  <c r="E2444" i="23"/>
  <c r="D1466" i="19"/>
  <c r="I1466" i="19" s="1"/>
  <c r="D1417" i="19"/>
  <c r="I1417" i="19" s="1"/>
  <c r="C1417" i="19"/>
  <c r="H1417" i="19" s="1"/>
  <c r="E2446" i="23"/>
  <c r="C1419" i="19"/>
  <c r="H1419" i="19" s="1"/>
  <c r="D1468" i="19"/>
  <c r="I1468" i="19" s="1"/>
  <c r="D1419" i="19"/>
  <c r="I1419" i="19" s="1"/>
  <c r="E2476" i="23"/>
  <c r="D1498" i="19"/>
  <c r="I1498" i="19" s="1"/>
  <c r="G47" i="11"/>
  <c r="D1451" i="19"/>
  <c r="I1451" i="19" s="1"/>
  <c r="G1451" i="19" s="1"/>
  <c r="E807" i="23"/>
  <c r="E2234" i="19"/>
  <c r="D2170" i="19"/>
  <c r="I2170" i="19" s="1"/>
  <c r="C2170" i="19"/>
  <c r="H2170" i="19" s="1"/>
  <c r="D501" i="23"/>
  <c r="I8" i="15"/>
  <c r="D535" i="23" s="1"/>
  <c r="N1952" i="19"/>
  <c r="N1985" i="19"/>
  <c r="N2027" i="19"/>
  <c r="N1962" i="19"/>
  <c r="N1995" i="19"/>
  <c r="E456" i="23"/>
  <c r="E1897" i="19"/>
  <c r="C1897" i="19"/>
  <c r="H1897" i="19" s="1"/>
  <c r="D1802" i="19"/>
  <c r="I1802" i="19" s="1"/>
  <c r="C1802" i="19"/>
  <c r="H1802" i="19" s="1"/>
  <c r="G1802" i="19" s="1"/>
  <c r="F10" i="14"/>
  <c r="U10" i="14"/>
  <c r="E458" i="23"/>
  <c r="C1899" i="19"/>
  <c r="H1899" i="19" s="1"/>
  <c r="D1804" i="19"/>
  <c r="I1804" i="19" s="1"/>
  <c r="C1804" i="19"/>
  <c r="H1804" i="19" s="1"/>
  <c r="E1899" i="19"/>
  <c r="U12" i="14"/>
  <c r="S12" i="14"/>
  <c r="E2725" i="23"/>
  <c r="C1854" i="19"/>
  <c r="H1854" i="19" s="1"/>
  <c r="D1854" i="19"/>
  <c r="I1854" i="19" s="1"/>
  <c r="D1901" i="19"/>
  <c r="I1901" i="19" s="1"/>
  <c r="N14" i="14"/>
  <c r="E2773" i="23" s="1"/>
  <c r="E2731" i="23"/>
  <c r="D1860" i="19"/>
  <c r="I1860" i="19" s="1"/>
  <c r="N20" i="14"/>
  <c r="E2779" i="23" s="1"/>
  <c r="C1860" i="19"/>
  <c r="H1860" i="19" s="1"/>
  <c r="D1907" i="19"/>
  <c r="I1907" i="19" s="1"/>
  <c r="G20" i="14"/>
  <c r="D2754" i="23"/>
  <c r="I43" i="14"/>
  <c r="D2802" i="23" s="1"/>
  <c r="D906" i="23"/>
  <c r="D2955" i="23"/>
  <c r="H19" i="17"/>
  <c r="D2974" i="23" s="1"/>
  <c r="E959" i="23"/>
  <c r="D959" i="23"/>
  <c r="D2416" i="19"/>
  <c r="I2416" i="19" s="1"/>
  <c r="G2416" i="19" s="1"/>
  <c r="E1040" i="23"/>
  <c r="E2442" i="19"/>
  <c r="D1040" i="23"/>
  <c r="J61" i="17"/>
  <c r="E3019" i="23"/>
  <c r="P12" i="18"/>
  <c r="E1109" i="23"/>
  <c r="J25" i="18"/>
  <c r="E1107" i="23" s="1"/>
  <c r="E1153" i="23"/>
  <c r="D1153" i="23"/>
  <c r="N62" i="17"/>
  <c r="E1268" i="23"/>
  <c r="D1268" i="23"/>
  <c r="E1567" i="23"/>
  <c r="O39" i="2"/>
  <c r="E1577" i="23"/>
  <c r="E1718" i="23"/>
  <c r="H19" i="4"/>
  <c r="E1825" i="23"/>
  <c r="E1827" i="23"/>
  <c r="P24" i="4"/>
  <c r="E1787" i="23"/>
  <c r="E1789" i="23"/>
  <c r="L40" i="4"/>
  <c r="E1694" i="23"/>
  <c r="S51" i="2"/>
  <c r="D31" i="23"/>
  <c r="J8" i="5"/>
  <c r="B1922" i="23"/>
  <c r="B33" i="23"/>
  <c r="B1875" i="23"/>
  <c r="N579" i="19"/>
  <c r="N482" i="19"/>
  <c r="E1878" i="23"/>
  <c r="C533" i="19"/>
  <c r="H533" i="19" s="1"/>
  <c r="D533" i="19"/>
  <c r="I533" i="19" s="1"/>
  <c r="N13" i="5"/>
  <c r="E1925" i="23" s="1"/>
  <c r="D582" i="19"/>
  <c r="I582" i="19" s="1"/>
  <c r="G13" i="5"/>
  <c r="B1882" i="23"/>
  <c r="B40" i="23"/>
  <c r="B1929" i="23"/>
  <c r="N489" i="19"/>
  <c r="B1937" i="23"/>
  <c r="B1890" i="23"/>
  <c r="B48" i="23"/>
  <c r="N545" i="19"/>
  <c r="N594" i="19"/>
  <c r="N546" i="19"/>
  <c r="B1950" i="23"/>
  <c r="B61" i="23"/>
  <c r="B1903" i="23"/>
  <c r="N559" i="19"/>
  <c r="N510" i="19"/>
  <c r="E66" i="23"/>
  <c r="C612" i="19"/>
  <c r="H612" i="19" s="1"/>
  <c r="D515" i="19"/>
  <c r="I515" i="19" s="1"/>
  <c r="S43" i="5"/>
  <c r="C515" i="19"/>
  <c r="H515" i="19" s="1"/>
  <c r="O43" i="5"/>
  <c r="D1914" i="23"/>
  <c r="I50" i="5"/>
  <c r="T5" i="6"/>
  <c r="E79" i="23"/>
  <c r="C725" i="19"/>
  <c r="H725" i="19" s="1"/>
  <c r="B2017" i="23"/>
  <c r="B1970" i="23"/>
  <c r="B81" i="23"/>
  <c r="N678" i="19"/>
  <c r="N727" i="19"/>
  <c r="N630" i="19"/>
  <c r="E1971" i="23"/>
  <c r="D679" i="19"/>
  <c r="I679" i="19" s="1"/>
  <c r="C679" i="19"/>
  <c r="H679" i="19" s="1"/>
  <c r="D728" i="19"/>
  <c r="E84" i="23"/>
  <c r="C633" i="19"/>
  <c r="H633" i="19" s="1"/>
  <c r="G633" i="19" s="1"/>
  <c r="C730" i="19"/>
  <c r="H730" i="19" s="1"/>
  <c r="E730" i="19"/>
  <c r="O14" i="6"/>
  <c r="F14" i="6"/>
  <c r="E2157" i="23"/>
  <c r="D971" i="19"/>
  <c r="I971" i="19" s="1"/>
  <c r="G971" i="19" s="1"/>
  <c r="G10" i="8"/>
  <c r="B2206" i="23"/>
  <c r="B2159" i="23"/>
  <c r="B176" i="23"/>
  <c r="N973" i="19"/>
  <c r="N1022" i="19"/>
  <c r="N925" i="19"/>
  <c r="E2164" i="23"/>
  <c r="D978" i="19"/>
  <c r="I978" i="19" s="1"/>
  <c r="D1027" i="19"/>
  <c r="I1027" i="19" s="1"/>
  <c r="C978" i="19"/>
  <c r="H978" i="19" s="1"/>
  <c r="N17" i="8"/>
  <c r="E2211" i="23" s="1"/>
  <c r="I19" i="8"/>
  <c r="D2213" i="23" s="1"/>
  <c r="N30" i="8"/>
  <c r="E2224" i="23" s="1"/>
  <c r="E2192" i="23"/>
  <c r="D1055" i="19"/>
  <c r="I1055" i="19" s="1"/>
  <c r="D1007" i="19"/>
  <c r="I1007" i="19" s="1"/>
  <c r="C1007" i="19"/>
  <c r="H1007" i="19" s="1"/>
  <c r="E211" i="23"/>
  <c r="C1057" i="19"/>
  <c r="H1057" i="19" s="1"/>
  <c r="E1057" i="19"/>
  <c r="F47" i="8"/>
  <c r="U47" i="8"/>
  <c r="E213" i="23"/>
  <c r="D963" i="19"/>
  <c r="I963" i="19" s="1"/>
  <c r="G963" i="19" s="1"/>
  <c r="S50" i="8"/>
  <c r="I6" i="7"/>
  <c r="D2106" i="23" s="1"/>
  <c r="N871" i="19"/>
  <c r="B2061" i="23"/>
  <c r="B2108" i="23"/>
  <c r="N822" i="19"/>
  <c r="N774" i="19"/>
  <c r="B125" i="23"/>
  <c r="E2064" i="23"/>
  <c r="D874" i="19"/>
  <c r="I874" i="19" s="1"/>
  <c r="E130" i="23"/>
  <c r="E876" i="19"/>
  <c r="D779" i="19"/>
  <c r="I779" i="19" s="1"/>
  <c r="C779" i="19"/>
  <c r="H779" i="19" s="1"/>
  <c r="O13" i="7"/>
  <c r="F13" i="7"/>
  <c r="I22" i="7"/>
  <c r="D2122" i="23" s="1"/>
  <c r="E141" i="23"/>
  <c r="E887" i="19"/>
  <c r="C887" i="19"/>
  <c r="H887" i="19" s="1"/>
  <c r="C790" i="19"/>
  <c r="H790" i="19" s="1"/>
  <c r="G790" i="19" s="1"/>
  <c r="O24" i="7"/>
  <c r="F24" i="7"/>
  <c r="I28" i="7"/>
  <c r="B2083" i="23"/>
  <c r="B147" i="23"/>
  <c r="B2130" i="23"/>
  <c r="N893" i="19"/>
  <c r="N796" i="19"/>
  <c r="E2086" i="23"/>
  <c r="D848" i="19"/>
  <c r="I848" i="19" s="1"/>
  <c r="C848" i="19"/>
  <c r="H848" i="19" s="1"/>
  <c r="E152" i="23"/>
  <c r="C898" i="19"/>
  <c r="H898" i="19" s="1"/>
  <c r="E898" i="19"/>
  <c r="D801" i="19"/>
  <c r="I801" i="19" s="1"/>
  <c r="G801" i="19" s="1"/>
  <c r="O35" i="7"/>
  <c r="F35" i="7"/>
  <c r="C1312" i="19"/>
  <c r="H1312" i="19" s="1"/>
  <c r="E266" i="23"/>
  <c r="E1312" i="19"/>
  <c r="D1215" i="19"/>
  <c r="I1215" i="19" s="1"/>
  <c r="C1215" i="19"/>
  <c r="H1215" i="19" s="1"/>
  <c r="O8" i="10"/>
  <c r="J10" i="10"/>
  <c r="D277" i="23"/>
  <c r="T19" i="10"/>
  <c r="R19" i="10"/>
  <c r="J19" i="10"/>
  <c r="D297" i="23"/>
  <c r="J39" i="10"/>
  <c r="N8" i="12"/>
  <c r="E2578" i="23" s="1"/>
  <c r="N12" i="12"/>
  <c r="E2582" i="23" s="1"/>
  <c r="D2537" i="23"/>
  <c r="I14" i="12"/>
  <c r="D2584" i="23" s="1"/>
  <c r="B2607" i="23"/>
  <c r="B2560" i="23"/>
  <c r="B389" i="23"/>
  <c r="N1538" i="19"/>
  <c r="N1634" i="19"/>
  <c r="N1586" i="19"/>
  <c r="R40" i="12"/>
  <c r="D215" i="23"/>
  <c r="T4" i="9"/>
  <c r="J4" i="9"/>
  <c r="E2250" i="23"/>
  <c r="D1166" i="19"/>
  <c r="I1166" i="19" s="1"/>
  <c r="C1117" i="19"/>
  <c r="H1117" i="19" s="1"/>
  <c r="G9" i="9"/>
  <c r="D222" i="23"/>
  <c r="R11" i="9"/>
  <c r="T11" i="9"/>
  <c r="J11" i="9"/>
  <c r="B2254" i="23"/>
  <c r="B224" i="23"/>
  <c r="B2301" i="23"/>
  <c r="N1170" i="19"/>
  <c r="N1073" i="19"/>
  <c r="E2261" i="23"/>
  <c r="C1128" i="19"/>
  <c r="H1128" i="19" s="1"/>
  <c r="G1128" i="19" s="1"/>
  <c r="G20" i="9"/>
  <c r="D233" i="23"/>
  <c r="T22" i="9"/>
  <c r="R22" i="9"/>
  <c r="J22" i="9"/>
  <c r="D248" i="23"/>
  <c r="J37" i="9"/>
  <c r="N50" i="9"/>
  <c r="E2337" i="23" s="1"/>
  <c r="E1461" i="19"/>
  <c r="C1364" i="19"/>
  <c r="H1364" i="19" s="1"/>
  <c r="D1364" i="19"/>
  <c r="I1364" i="19" s="1"/>
  <c r="E315" i="23"/>
  <c r="S10" i="11"/>
  <c r="O10" i="11"/>
  <c r="F10" i="11"/>
  <c r="R33" i="11"/>
  <c r="R6" i="28"/>
  <c r="N10" i="28"/>
  <c r="E649" i="23" s="1"/>
  <c r="D618" i="23"/>
  <c r="I18" i="28"/>
  <c r="D657" i="23" s="1"/>
  <c r="N29" i="28"/>
  <c r="E668" i="23" s="1"/>
  <c r="N41" i="28"/>
  <c r="E746" i="23" s="1"/>
  <c r="D717" i="23"/>
  <c r="I46" i="28"/>
  <c r="D751" i="23" s="1"/>
  <c r="E788" i="23"/>
  <c r="E2215" i="19"/>
  <c r="D2151" i="19"/>
  <c r="I2151" i="19" s="1"/>
  <c r="C2151" i="19"/>
  <c r="H2151" i="19" s="1"/>
  <c r="G2151" i="19" s="1"/>
  <c r="K55" i="15"/>
  <c r="F49" i="28"/>
  <c r="I54" i="28"/>
  <c r="D759" i="23" s="1"/>
  <c r="D2234" i="19"/>
  <c r="I2234" i="19" s="1"/>
  <c r="D2202" i="19"/>
  <c r="I2202" i="19" s="1"/>
  <c r="C2202" i="19"/>
  <c r="H2202" i="19" s="1"/>
  <c r="E739" i="23"/>
  <c r="G68" i="28"/>
  <c r="E742" i="23"/>
  <c r="C2205" i="19"/>
  <c r="H2205" i="19" s="1"/>
  <c r="D2237" i="19"/>
  <c r="I2237" i="19" s="1"/>
  <c r="D2205" i="19"/>
  <c r="I2205" i="19" s="1"/>
  <c r="N71" i="28"/>
  <c r="E776" i="23" s="1"/>
  <c r="G71" i="28"/>
  <c r="D497" i="23"/>
  <c r="G41" i="15"/>
  <c r="N1954" i="19"/>
  <c r="N1987" i="19"/>
  <c r="N2019" i="19"/>
  <c r="E2650" i="23"/>
  <c r="C1728" i="19"/>
  <c r="H1728" i="19" s="1"/>
  <c r="D1775" i="19"/>
  <c r="I1775" i="19" s="1"/>
  <c r="D1728" i="19"/>
  <c r="I1728" i="19" s="1"/>
  <c r="N42" i="13"/>
  <c r="E2706" i="23" s="1"/>
  <c r="B2765" i="23"/>
  <c r="B2717" i="23"/>
  <c r="B452" i="23"/>
  <c r="N1893" i="19"/>
  <c r="N1798" i="19"/>
  <c r="N1846" i="19"/>
  <c r="E2721" i="23"/>
  <c r="C1850" i="19"/>
  <c r="H1850" i="19" s="1"/>
  <c r="D1850" i="19"/>
  <c r="I1850" i="19" s="1"/>
  <c r="D1897" i="19"/>
  <c r="I1897" i="19" s="1"/>
  <c r="G10" i="14"/>
  <c r="E2723" i="23"/>
  <c r="D1899" i="19"/>
  <c r="I1899" i="19" s="1"/>
  <c r="C1852" i="19"/>
  <c r="H1852" i="19" s="1"/>
  <c r="D1852" i="19"/>
  <c r="I1852" i="19" s="1"/>
  <c r="N12" i="14"/>
  <c r="E2771" i="23" s="1"/>
  <c r="E2740" i="23"/>
  <c r="D1916" i="19"/>
  <c r="I1916" i="19" s="1"/>
  <c r="D1869" i="19"/>
  <c r="I1869" i="19" s="1"/>
  <c r="C1869" i="19"/>
  <c r="H1869" i="19" s="1"/>
  <c r="I35" i="14"/>
  <c r="D2794" i="23" s="1"/>
  <c r="E886" i="23"/>
  <c r="D2256" i="19"/>
  <c r="I2256" i="19" s="1"/>
  <c r="G2256" i="19" s="1"/>
  <c r="C2256" i="19"/>
  <c r="E2338" i="19"/>
  <c r="C2338" i="19"/>
  <c r="F27" i="16"/>
  <c r="D886" i="23" s="1"/>
  <c r="E2348" i="19"/>
  <c r="D2266" i="19"/>
  <c r="I2266" i="19" s="1"/>
  <c r="C2266" i="19"/>
  <c r="H2266" i="19" s="1"/>
  <c r="G2266" i="19" s="1"/>
  <c r="E896" i="23"/>
  <c r="C2348" i="19"/>
  <c r="H2348" i="19" s="1"/>
  <c r="F37" i="16"/>
  <c r="D896" i="23" s="1"/>
  <c r="N62" i="16"/>
  <c r="E2931" i="23" s="1"/>
  <c r="E2886" i="23"/>
  <c r="D2322" i="19"/>
  <c r="I2322" i="19" s="1"/>
  <c r="D2377" i="19"/>
  <c r="I2377" i="19" s="1"/>
  <c r="G2377" i="19" s="1"/>
  <c r="G73" i="16"/>
  <c r="C2322" i="19"/>
  <c r="H2322" i="19" s="1"/>
  <c r="O73" i="16"/>
  <c r="D947" i="23"/>
  <c r="E2526" i="19"/>
  <c r="E947" i="23"/>
  <c r="E1008" i="23"/>
  <c r="D1008" i="23"/>
  <c r="D2517" i="19"/>
  <c r="I2517" i="19" s="1"/>
  <c r="G2517" i="19" s="1"/>
  <c r="E1042" i="23"/>
  <c r="E2521" i="19"/>
  <c r="D1042" i="23"/>
  <c r="D1158" i="23"/>
  <c r="C2576" i="19"/>
  <c r="H2576" i="19" s="1"/>
  <c r="D2561" i="19"/>
  <c r="I2561" i="19" s="1"/>
  <c r="C2561" i="19"/>
  <c r="H2561" i="19" s="1"/>
  <c r="E1158" i="23"/>
  <c r="D1140" i="23"/>
  <c r="E1140" i="23"/>
  <c r="J84" i="19"/>
  <c r="G84" i="19" s="1"/>
  <c r="R84" i="19"/>
  <c r="V84" i="19" s="1"/>
  <c r="V124" i="19"/>
  <c r="V228" i="19"/>
  <c r="V243" i="19"/>
  <c r="V271" i="19"/>
  <c r="V387" i="19"/>
  <c r="V443" i="19"/>
  <c r="V506" i="19"/>
  <c r="G532" i="19"/>
  <c r="N608" i="19"/>
  <c r="C639" i="19"/>
  <c r="H639" i="19" s="1"/>
  <c r="G639" i="19" s="1"/>
  <c r="V767" i="19"/>
  <c r="N775" i="19"/>
  <c r="V962" i="19"/>
  <c r="V1111" i="19"/>
  <c r="D1117" i="19"/>
  <c r="I1117" i="19" s="1"/>
  <c r="V1121" i="19"/>
  <c r="V1126" i="19"/>
  <c r="V1401" i="19"/>
  <c r="C1725" i="19"/>
  <c r="H1725" i="19" s="1"/>
  <c r="G1725" i="19" s="1"/>
  <c r="B2401" i="23"/>
  <c r="B2354" i="23"/>
  <c r="B277" i="23"/>
  <c r="N1323" i="19"/>
  <c r="N1226" i="19"/>
  <c r="N1274" i="19"/>
  <c r="B2577" i="23"/>
  <c r="B359" i="23"/>
  <c r="N1556" i="19"/>
  <c r="B2530" i="23"/>
  <c r="N1508" i="19"/>
  <c r="N1604" i="19"/>
  <c r="E2448" i="23"/>
  <c r="D1421" i="19"/>
  <c r="I1421" i="19" s="1"/>
  <c r="D1470" i="19"/>
  <c r="I1470" i="19" s="1"/>
  <c r="C1421" i="19"/>
  <c r="H1421" i="19" s="1"/>
  <c r="G19" i="11"/>
  <c r="E1194" i="23"/>
  <c r="D1194" i="23"/>
  <c r="E35" i="19"/>
  <c r="E1278" i="23"/>
  <c r="D1278" i="23"/>
  <c r="E1286" i="23"/>
  <c r="D1286" i="23"/>
  <c r="E1365" i="23"/>
  <c r="G65" i="2"/>
  <c r="D1365" i="23" s="1"/>
  <c r="E1601" i="23"/>
  <c r="E1500" i="23"/>
  <c r="D31" i="3"/>
  <c r="E1561" i="23"/>
  <c r="H33" i="3"/>
  <c r="J33" i="2"/>
  <c r="E1333" i="23" s="1"/>
  <c r="E1624" i="23"/>
  <c r="L37" i="3"/>
  <c r="E1861" i="23"/>
  <c r="N71" i="3"/>
  <c r="E1711" i="23"/>
  <c r="H12" i="4"/>
  <c r="E1669" i="23"/>
  <c r="D23" i="4"/>
  <c r="E1837" i="23"/>
  <c r="P35" i="4"/>
  <c r="E1747" i="23"/>
  <c r="H51" i="4"/>
  <c r="E1853" i="23"/>
  <c r="E1855" i="23"/>
  <c r="P56" i="4"/>
  <c r="D1873" i="23"/>
  <c r="I8" i="5"/>
  <c r="D1920" i="23" s="1"/>
  <c r="E38" i="23"/>
  <c r="E584" i="19"/>
  <c r="F15" i="5"/>
  <c r="U15" i="5"/>
  <c r="S15" i="5"/>
  <c r="R30" i="5"/>
  <c r="D61" i="23"/>
  <c r="J38" i="5"/>
  <c r="B1952" i="23"/>
  <c r="B1905" i="23"/>
  <c r="B63" i="23"/>
  <c r="N609" i="19"/>
  <c r="N561" i="19"/>
  <c r="E1908" i="23"/>
  <c r="D612" i="19"/>
  <c r="I612" i="19" s="1"/>
  <c r="N43" i="5"/>
  <c r="E1955" i="23" s="1"/>
  <c r="G43" i="5"/>
  <c r="R45" i="5"/>
  <c r="U5" i="6"/>
  <c r="E1968" i="23"/>
  <c r="D676" i="19"/>
  <c r="I676" i="19" s="1"/>
  <c r="G676" i="19" s="1"/>
  <c r="G9" i="6"/>
  <c r="D81" i="23"/>
  <c r="T11" i="6"/>
  <c r="J11" i="6"/>
  <c r="E91" i="23"/>
  <c r="D640" i="19"/>
  <c r="I640" i="19" s="1"/>
  <c r="G640" i="19" s="1"/>
  <c r="R15" i="8"/>
  <c r="D193" i="23"/>
  <c r="J29" i="8"/>
  <c r="E2194" i="23"/>
  <c r="D1010" i="19"/>
  <c r="I1010" i="19" s="1"/>
  <c r="C1010" i="19"/>
  <c r="H1010" i="19" s="1"/>
  <c r="D1057" i="19"/>
  <c r="I1057" i="19" s="1"/>
  <c r="G47" i="8"/>
  <c r="E2196" i="23"/>
  <c r="D1013" i="19"/>
  <c r="I1013" i="19" s="1"/>
  <c r="C1013" i="19"/>
  <c r="H1013" i="19" s="1"/>
  <c r="D1060" i="19"/>
  <c r="I1060" i="19" s="1"/>
  <c r="G1060" i="19" s="1"/>
  <c r="D125" i="23"/>
  <c r="J8" i="7"/>
  <c r="B127" i="23"/>
  <c r="B2110" i="23"/>
  <c r="B2063" i="23"/>
  <c r="N873" i="19"/>
  <c r="N776" i="19"/>
  <c r="N824" i="19"/>
  <c r="E2066" i="23"/>
  <c r="D876" i="19"/>
  <c r="I876" i="19" s="1"/>
  <c r="D827" i="19"/>
  <c r="I827" i="19" s="1"/>
  <c r="N13" i="7"/>
  <c r="E2113" i="23" s="1"/>
  <c r="C827" i="19"/>
  <c r="H827" i="19" s="1"/>
  <c r="G13" i="7"/>
  <c r="E2077" i="23"/>
  <c r="D887" i="19"/>
  <c r="I887" i="19" s="1"/>
  <c r="D838" i="19"/>
  <c r="I838" i="19" s="1"/>
  <c r="C838" i="19"/>
  <c r="H838" i="19" s="1"/>
  <c r="G838" i="19" s="1"/>
  <c r="N24" i="7"/>
  <c r="E2124" i="23" s="1"/>
  <c r="G24" i="7"/>
  <c r="D147" i="23"/>
  <c r="J30" i="7"/>
  <c r="B2085" i="23"/>
  <c r="B2132" i="23"/>
  <c r="N798" i="19"/>
  <c r="N895" i="19"/>
  <c r="N847" i="19"/>
  <c r="B149" i="23"/>
  <c r="E2088" i="23"/>
  <c r="D898" i="19"/>
  <c r="I898" i="19" s="1"/>
  <c r="N35" i="7"/>
  <c r="E2135" i="23" s="1"/>
  <c r="G35" i="7"/>
  <c r="S46" i="7"/>
  <c r="B2387" i="23"/>
  <c r="B2340" i="23"/>
  <c r="N1309" i="19"/>
  <c r="B263" i="23"/>
  <c r="E2343" i="23"/>
  <c r="D1263" i="19"/>
  <c r="I1263" i="19" s="1"/>
  <c r="C1263" i="19"/>
  <c r="H1263" i="19" s="1"/>
  <c r="N8" i="10"/>
  <c r="E2390" i="23" s="1"/>
  <c r="N15" i="10"/>
  <c r="E2397" i="23" s="1"/>
  <c r="N17" i="10"/>
  <c r="E2399" i="23" s="1"/>
  <c r="B2356" i="23"/>
  <c r="B2403" i="23"/>
  <c r="B279" i="23"/>
  <c r="N1276" i="19"/>
  <c r="N1228" i="19"/>
  <c r="N26" i="10"/>
  <c r="E2408" i="23" s="1"/>
  <c r="I32" i="10"/>
  <c r="D2414" i="23" s="1"/>
  <c r="B2369" i="23"/>
  <c r="B292" i="23"/>
  <c r="N1290" i="19"/>
  <c r="B2416" i="23"/>
  <c r="N1241" i="19"/>
  <c r="N1338" i="19"/>
  <c r="D2374" i="23"/>
  <c r="I39" i="10"/>
  <c r="D2421" i="23" s="1"/>
  <c r="E357" i="23"/>
  <c r="C1602" i="19"/>
  <c r="H1602" i="19" s="1"/>
  <c r="E1602" i="19"/>
  <c r="D1506" i="19"/>
  <c r="I1506" i="19" s="1"/>
  <c r="G1506" i="19" s="1"/>
  <c r="N10" i="12"/>
  <c r="E2580" i="23" s="1"/>
  <c r="B2586" i="23"/>
  <c r="B368" i="23"/>
  <c r="B2539" i="23"/>
  <c r="N1613" i="19"/>
  <c r="N1565" i="19"/>
  <c r="N19" i="12"/>
  <c r="E2589" i="23" s="1"/>
  <c r="C1618" i="19"/>
  <c r="H1618" i="19" s="1"/>
  <c r="C1522" i="19"/>
  <c r="H1522" i="19" s="1"/>
  <c r="D1522" i="19"/>
  <c r="I1522" i="19" s="1"/>
  <c r="E373" i="23"/>
  <c r="E1618" i="19"/>
  <c r="O21" i="12"/>
  <c r="S21" i="12"/>
  <c r="N25" i="12"/>
  <c r="E2595" i="23" s="1"/>
  <c r="B2553" i="23"/>
  <c r="B382" i="23"/>
  <c r="B2600" i="23"/>
  <c r="N1579" i="19"/>
  <c r="N1627" i="19"/>
  <c r="N1531" i="19"/>
  <c r="N5" i="9"/>
  <c r="E2293" i="23" s="1"/>
  <c r="B2256" i="23"/>
  <c r="B2303" i="23"/>
  <c r="B226" i="23"/>
  <c r="N1172" i="19"/>
  <c r="N1075" i="19"/>
  <c r="N1123" i="19"/>
  <c r="N16" i="9"/>
  <c r="E2304" i="23" s="1"/>
  <c r="B2280" i="23"/>
  <c r="B250" i="23"/>
  <c r="B2327" i="23"/>
  <c r="N1196" i="19"/>
  <c r="M44" i="9"/>
  <c r="M48" i="9" s="1"/>
  <c r="E257" i="23"/>
  <c r="D1106" i="19"/>
  <c r="I1106" i="19" s="1"/>
  <c r="C1106" i="19"/>
  <c r="H1106" i="19" s="1"/>
  <c r="E1203" i="19"/>
  <c r="E1106" i="19"/>
  <c r="E959" i="19"/>
  <c r="F46" i="9"/>
  <c r="S46" i="9"/>
  <c r="U46" i="9"/>
  <c r="E313" i="23"/>
  <c r="C1459" i="19"/>
  <c r="H1459" i="19" s="1"/>
  <c r="C1362" i="19"/>
  <c r="H1362" i="19" s="1"/>
  <c r="G1362" i="19" s="1"/>
  <c r="F8" i="11"/>
  <c r="E1459" i="19"/>
  <c r="O8" i="11"/>
  <c r="E2439" i="23"/>
  <c r="C1412" i="19"/>
  <c r="H1412" i="19" s="1"/>
  <c r="D1461" i="19"/>
  <c r="I1461" i="19" s="1"/>
  <c r="N10" i="11"/>
  <c r="E2486" i="23" s="1"/>
  <c r="G10" i="11"/>
  <c r="D1412" i="19"/>
  <c r="I1412" i="19" s="1"/>
  <c r="D1366" i="19"/>
  <c r="I1366" i="19" s="1"/>
  <c r="G1366" i="19" s="1"/>
  <c r="E317" i="23"/>
  <c r="E1463" i="19"/>
  <c r="C1463" i="19"/>
  <c r="H1463" i="19" s="1"/>
  <c r="F12" i="11"/>
  <c r="U12" i="11"/>
  <c r="N15" i="11"/>
  <c r="E2491" i="23" s="1"/>
  <c r="N17" i="11"/>
  <c r="E2493" i="23" s="1"/>
  <c r="N19" i="11"/>
  <c r="E2495" i="23" s="1"/>
  <c r="E2450" i="23"/>
  <c r="D1423" i="19"/>
  <c r="I1423" i="19" s="1"/>
  <c r="C1423" i="19"/>
  <c r="H1423" i="19" s="1"/>
  <c r="N21" i="11"/>
  <c r="E2497" i="23" s="1"/>
  <c r="B2475" i="23"/>
  <c r="B351" i="23"/>
  <c r="B2522" i="23"/>
  <c r="N1450" i="19"/>
  <c r="N1497" i="19"/>
  <c r="N1449" i="19"/>
  <c r="N1400" i="19"/>
  <c r="N47" i="11"/>
  <c r="E2523" i="23" s="1"/>
  <c r="N2096" i="19"/>
  <c r="N2064" i="19"/>
  <c r="N2128" i="19"/>
  <c r="D2215" i="19"/>
  <c r="I2215" i="19" s="1"/>
  <c r="C2183" i="19"/>
  <c r="H2183" i="19" s="1"/>
  <c r="E720" i="23"/>
  <c r="G49" i="28"/>
  <c r="D2183" i="19"/>
  <c r="I2183" i="19" s="1"/>
  <c r="L55" i="15"/>
  <c r="I52" i="28"/>
  <c r="D757" i="23" s="1"/>
  <c r="I64" i="28"/>
  <c r="D769" i="23" s="1"/>
  <c r="N1943" i="19"/>
  <c r="N2008" i="19"/>
  <c r="N1976" i="19"/>
  <c r="C1947" i="19"/>
  <c r="H1947" i="19" s="1"/>
  <c r="E581" i="23"/>
  <c r="D1947" i="19"/>
  <c r="I1947" i="19" s="1"/>
  <c r="E2012" i="19"/>
  <c r="O10" i="15"/>
  <c r="U10" i="15"/>
  <c r="S10" i="15"/>
  <c r="D588" i="23"/>
  <c r="T17" i="15"/>
  <c r="J17" i="15"/>
  <c r="R17" i="15"/>
  <c r="D512" i="23"/>
  <c r="I19" i="15"/>
  <c r="D546" i="23" s="1"/>
  <c r="U30" i="15"/>
  <c r="N2005" i="19"/>
  <c r="N1972" i="19"/>
  <c r="N2037" i="19"/>
  <c r="E565" i="23"/>
  <c r="I60" i="15"/>
  <c r="I5" i="13"/>
  <c r="D2669" i="23" s="1"/>
  <c r="D406" i="23"/>
  <c r="J7" i="13"/>
  <c r="E421" i="23"/>
  <c r="E1764" i="19"/>
  <c r="C1764" i="19"/>
  <c r="H1764" i="19" s="1"/>
  <c r="D1669" i="19"/>
  <c r="I1669" i="19" s="1"/>
  <c r="C1669" i="19"/>
  <c r="H1669" i="19" s="1"/>
  <c r="F22" i="13"/>
  <c r="S22" i="13"/>
  <c r="O22" i="13"/>
  <c r="U22" i="13"/>
  <c r="B2658" i="23"/>
  <c r="B440" i="23"/>
  <c r="B2705" i="23"/>
  <c r="N1688" i="19"/>
  <c r="N1736" i="19"/>
  <c r="N1783" i="19"/>
  <c r="L44" i="13"/>
  <c r="B2776" i="23"/>
  <c r="N1857" i="19"/>
  <c r="B463" i="23"/>
  <c r="N1904" i="19"/>
  <c r="N1809" i="19"/>
  <c r="O20" i="14"/>
  <c r="B2787" i="23"/>
  <c r="B2739" i="23"/>
  <c r="B474" i="23"/>
  <c r="N1820" i="19"/>
  <c r="N1915" i="19"/>
  <c r="N1868" i="19"/>
  <c r="B2752" i="23"/>
  <c r="B2800" i="23"/>
  <c r="N1928" i="19"/>
  <c r="N1833" i="19"/>
  <c r="N1881" i="19"/>
  <c r="B487" i="23"/>
  <c r="D2852" i="23"/>
  <c r="J34" i="16"/>
  <c r="I34" i="16"/>
  <c r="D2903" i="23" s="1"/>
  <c r="E2855" i="23"/>
  <c r="D2348" i="19"/>
  <c r="I2348" i="19" s="1"/>
  <c r="D2295" i="19"/>
  <c r="I2295" i="19" s="1"/>
  <c r="C2295" i="19"/>
  <c r="H2295" i="19" s="1"/>
  <c r="G37" i="16"/>
  <c r="D1018" i="23"/>
  <c r="E1018" i="23"/>
  <c r="D2534" i="19"/>
  <c r="I2534" i="19" s="1"/>
  <c r="G2534" i="19" s="1"/>
  <c r="E1043" i="23"/>
  <c r="D1043" i="23"/>
  <c r="E2538" i="19"/>
  <c r="D3001" i="23"/>
  <c r="E1162" i="23"/>
  <c r="D1162" i="23"/>
  <c r="D2576" i="19"/>
  <c r="I2576" i="19" s="1"/>
  <c r="H45" i="18"/>
  <c r="D1178" i="23"/>
  <c r="M50" i="18"/>
  <c r="V247" i="19"/>
  <c r="G581" i="19"/>
  <c r="D725" i="19"/>
  <c r="I725" i="19" s="1"/>
  <c r="J757" i="19"/>
  <c r="R757" i="19"/>
  <c r="V757" i="19" s="1"/>
  <c r="C850" i="19"/>
  <c r="H850" i="19" s="1"/>
  <c r="G850" i="19" s="1"/>
  <c r="D1020" i="19"/>
  <c r="I1020" i="19" s="1"/>
  <c r="N1099" i="19"/>
  <c r="N1197" i="19"/>
  <c r="D1231" i="19"/>
  <c r="I1231" i="19" s="1"/>
  <c r="R873" i="19"/>
  <c r="V873" i="19" s="1"/>
  <c r="J873" i="19"/>
  <c r="G873" i="19" s="1"/>
  <c r="K64" i="20"/>
  <c r="K62" i="20"/>
  <c r="E5" i="23"/>
  <c r="D5" i="23"/>
  <c r="E1272" i="23"/>
  <c r="D1272" i="23"/>
  <c r="D1206" i="23"/>
  <c r="E1206" i="23"/>
  <c r="F91" i="17"/>
  <c r="E1214" i="23"/>
  <c r="D1214" i="23"/>
  <c r="E46" i="19"/>
  <c r="E1226" i="23"/>
  <c r="D1226" i="23"/>
  <c r="E1243" i="23"/>
  <c r="D1243" i="23"/>
  <c r="D1297" i="23"/>
  <c r="E1297" i="23"/>
  <c r="E1477" i="23"/>
  <c r="E129" i="19"/>
  <c r="F10" i="3"/>
  <c r="D1542" i="23"/>
  <c r="C176" i="19"/>
  <c r="H176" i="19" s="1"/>
  <c r="G176" i="19" s="1"/>
  <c r="E1897" i="23"/>
  <c r="D553" i="19"/>
  <c r="I553" i="19" s="1"/>
  <c r="D601" i="19"/>
  <c r="I601" i="19" s="1"/>
  <c r="B2012" i="23"/>
  <c r="B1965" i="23"/>
  <c r="B76" i="23"/>
  <c r="N673" i="19"/>
  <c r="B2020" i="23"/>
  <c r="B84" i="23"/>
  <c r="N633" i="19"/>
  <c r="N681" i="19"/>
  <c r="B1987" i="23"/>
  <c r="B2034" i="23"/>
  <c r="B98" i="23"/>
  <c r="N647" i="19"/>
  <c r="B1991" i="23"/>
  <c r="B2038" i="23"/>
  <c r="B102" i="23"/>
  <c r="B117" i="23"/>
  <c r="B2053" i="23"/>
  <c r="B2006" i="23"/>
  <c r="N1353" i="19"/>
  <c r="N1306" i="19"/>
  <c r="N1256" i="19"/>
  <c r="E359" i="23"/>
  <c r="E1604" i="19"/>
  <c r="D1508" i="19"/>
  <c r="I1508" i="19" s="1"/>
  <c r="C1508" i="19"/>
  <c r="H1508" i="19" s="1"/>
  <c r="C1604" i="19"/>
  <c r="H1604" i="19" s="1"/>
  <c r="O7" i="12"/>
  <c r="B2570" i="23"/>
  <c r="B2617" i="23"/>
  <c r="B399" i="23"/>
  <c r="N1644" i="19"/>
  <c r="N1548" i="19"/>
  <c r="N1597" i="19"/>
  <c r="E226" i="23"/>
  <c r="E1172" i="19"/>
  <c r="C1172" i="19"/>
  <c r="H1172" i="19" s="1"/>
  <c r="D1075" i="19"/>
  <c r="I1075" i="19" s="1"/>
  <c r="G1075" i="19" s="1"/>
  <c r="E236" i="23"/>
  <c r="C1182" i="19"/>
  <c r="H1182" i="19" s="1"/>
  <c r="E1085" i="19"/>
  <c r="D1085" i="19"/>
  <c r="I1085" i="19" s="1"/>
  <c r="C1085" i="19"/>
  <c r="H1085" i="19" s="1"/>
  <c r="E256" i="23"/>
  <c r="C1202" i="19"/>
  <c r="H1202" i="19" s="1"/>
  <c r="E1202" i="19"/>
  <c r="B2449" i="23"/>
  <c r="B2496" i="23"/>
  <c r="N1374" i="19"/>
  <c r="B325" i="23"/>
  <c r="N1422" i="19"/>
  <c r="E1477" i="19"/>
  <c r="C1477" i="19"/>
  <c r="H1477" i="19" s="1"/>
  <c r="D1380" i="19"/>
  <c r="I1380" i="19" s="1"/>
  <c r="C1380" i="19"/>
  <c r="H1380" i="19" s="1"/>
  <c r="G1380" i="19" s="1"/>
  <c r="E2218" i="19"/>
  <c r="E791" i="23"/>
  <c r="C2154" i="19"/>
  <c r="H2154" i="19" s="1"/>
  <c r="D2154" i="19"/>
  <c r="I2154" i="19" s="1"/>
  <c r="O52" i="28"/>
  <c r="L41" i="15"/>
  <c r="N1959" i="19"/>
  <c r="N1992" i="19"/>
  <c r="N2024" i="19"/>
  <c r="E518" i="23"/>
  <c r="D2027" i="19"/>
  <c r="I2027" i="19" s="1"/>
  <c r="D1995" i="19"/>
  <c r="I1995" i="19" s="1"/>
  <c r="C1995" i="19"/>
  <c r="H1995" i="19" s="1"/>
  <c r="N25" i="15"/>
  <c r="E552" i="23" s="1"/>
  <c r="E568" i="23"/>
  <c r="I63" i="15"/>
  <c r="D568" i="23" s="1"/>
  <c r="C1750" i="19"/>
  <c r="H1750" i="19" s="1"/>
  <c r="D1655" i="19"/>
  <c r="I1655" i="19" s="1"/>
  <c r="C1655" i="19"/>
  <c r="H1655" i="19" s="1"/>
  <c r="E1750" i="19"/>
  <c r="E407" i="23"/>
  <c r="O8" i="13"/>
  <c r="E2631" i="23"/>
  <c r="D1709" i="19"/>
  <c r="I1709" i="19" s="1"/>
  <c r="D1756" i="19"/>
  <c r="I1756" i="19" s="1"/>
  <c r="C1709" i="19"/>
  <c r="H1709" i="19" s="1"/>
  <c r="B2680" i="23"/>
  <c r="B415" i="23"/>
  <c r="N1758" i="19"/>
  <c r="N1711" i="19"/>
  <c r="B2633" i="23"/>
  <c r="N1663" i="19"/>
  <c r="D2722" i="23"/>
  <c r="I11" i="14"/>
  <c r="D2770" i="23" s="1"/>
  <c r="D1825" i="19"/>
  <c r="I1825" i="19" s="1"/>
  <c r="C1825" i="19"/>
  <c r="H1825" i="19" s="1"/>
  <c r="E1920" i="19"/>
  <c r="E479" i="23"/>
  <c r="B2749" i="23"/>
  <c r="B2797" i="23"/>
  <c r="B484" i="23"/>
  <c r="N1830" i="19"/>
  <c r="N1878" i="19"/>
  <c r="N1925" i="19"/>
  <c r="E2754" i="23"/>
  <c r="C1883" i="19"/>
  <c r="H1883" i="19" s="1"/>
  <c r="D1930" i="19"/>
  <c r="I1930" i="19" s="1"/>
  <c r="D1883" i="19"/>
  <c r="I1883" i="19" s="1"/>
  <c r="E2845" i="23"/>
  <c r="D2285" i="19"/>
  <c r="I2285" i="19" s="1"/>
  <c r="C2285" i="19"/>
  <c r="H2285" i="19" s="1"/>
  <c r="D2338" i="19"/>
  <c r="I2338" i="19" s="1"/>
  <c r="E2881" i="23"/>
  <c r="D2371" i="19"/>
  <c r="I2371" i="19" s="1"/>
  <c r="G2371" i="19" s="1"/>
  <c r="C2317" i="19"/>
  <c r="H2317" i="19" s="1"/>
  <c r="G2317" i="19" s="1"/>
  <c r="D2318" i="19"/>
  <c r="I2318" i="19" s="1"/>
  <c r="O65" i="16"/>
  <c r="G65" i="16"/>
  <c r="E903" i="23"/>
  <c r="D2450" i="19"/>
  <c r="I2450" i="19" s="1"/>
  <c r="C2450" i="19"/>
  <c r="H2450" i="19" s="1"/>
  <c r="C2470" i="19"/>
  <c r="H2470" i="19" s="1"/>
  <c r="G2470" i="19" s="1"/>
  <c r="C2437" i="19"/>
  <c r="H2437" i="19" s="1"/>
  <c r="G2437" i="19" s="1"/>
  <c r="C2436" i="19"/>
  <c r="H2436" i="19" s="1"/>
  <c r="C2435" i="19"/>
  <c r="H2435" i="19" s="1"/>
  <c r="G2435" i="19" s="1"/>
  <c r="H12" i="17"/>
  <c r="D2967" i="23" s="1"/>
  <c r="D927" i="23"/>
  <c r="E927" i="23"/>
  <c r="E1019" i="23"/>
  <c r="D2535" i="19"/>
  <c r="I2535" i="19" s="1"/>
  <c r="G2535" i="19" s="1"/>
  <c r="D1019" i="23"/>
  <c r="D1166" i="23"/>
  <c r="E1166" i="23"/>
  <c r="C2565" i="19"/>
  <c r="H2565" i="19" s="1"/>
  <c r="D2565" i="19"/>
  <c r="I2565" i="19" s="1"/>
  <c r="C2579" i="19"/>
  <c r="H2579" i="19" s="1"/>
  <c r="C1105" i="19"/>
  <c r="H1105" i="19" s="1"/>
  <c r="C1116" i="19"/>
  <c r="H1116" i="19" s="1"/>
  <c r="G1116" i="19" s="1"/>
  <c r="D1198" i="19"/>
  <c r="I1198" i="19" s="1"/>
  <c r="D1288" i="23"/>
  <c r="E1288" i="23"/>
  <c r="E1236" i="23"/>
  <c r="D1236" i="23"/>
  <c r="E1265" i="23"/>
  <c r="D1265" i="23"/>
  <c r="O7" i="2"/>
  <c r="M14" i="2"/>
  <c r="M24" i="2"/>
  <c r="S31" i="2"/>
  <c r="M48" i="2"/>
  <c r="S49" i="2"/>
  <c r="N620" i="19"/>
  <c r="N474" i="19"/>
  <c r="N475" i="19"/>
  <c r="E77" i="23"/>
  <c r="E723" i="19"/>
  <c r="C723" i="19"/>
  <c r="H723" i="19" s="1"/>
  <c r="E81" i="23"/>
  <c r="D630" i="19"/>
  <c r="I630" i="19" s="1"/>
  <c r="G630" i="19" s="1"/>
  <c r="E727" i="19"/>
  <c r="C731" i="19"/>
  <c r="H731" i="19" s="1"/>
  <c r="G731" i="19" s="1"/>
  <c r="E85" i="23"/>
  <c r="D634" i="19"/>
  <c r="I634" i="19" s="1"/>
  <c r="C634" i="19"/>
  <c r="H634" i="19" s="1"/>
  <c r="E89" i="23"/>
  <c r="C735" i="19"/>
  <c r="H735" i="19" s="1"/>
  <c r="E96" i="23"/>
  <c r="D645" i="19"/>
  <c r="I645" i="19" s="1"/>
  <c r="C645" i="19"/>
  <c r="H645" i="19" s="1"/>
  <c r="E742" i="19"/>
  <c r="C742" i="19"/>
  <c r="H742" i="19" s="1"/>
  <c r="E99" i="23"/>
  <c r="D648" i="19"/>
  <c r="I648" i="19" s="1"/>
  <c r="G648" i="19" s="1"/>
  <c r="E103" i="23"/>
  <c r="E749" i="19"/>
  <c r="E107" i="23"/>
  <c r="C753" i="19"/>
  <c r="H753" i="19" s="1"/>
  <c r="D656" i="19"/>
  <c r="I656" i="19" s="1"/>
  <c r="E753" i="19"/>
  <c r="E111" i="23"/>
  <c r="D660" i="19"/>
  <c r="I660" i="19" s="1"/>
  <c r="C660" i="19"/>
  <c r="H660" i="19" s="1"/>
  <c r="E2059" i="23"/>
  <c r="D820" i="19"/>
  <c r="I820" i="19" s="1"/>
  <c r="C820" i="19"/>
  <c r="H820" i="19" s="1"/>
  <c r="E2067" i="23"/>
  <c r="D877" i="19"/>
  <c r="I877" i="19" s="1"/>
  <c r="D828" i="19"/>
  <c r="C828" i="19"/>
  <c r="H828" i="19" s="1"/>
  <c r="E2071" i="23"/>
  <c r="D832" i="19"/>
  <c r="I832" i="19" s="1"/>
  <c r="D881" i="19"/>
  <c r="I881" i="19" s="1"/>
  <c r="E2075" i="23"/>
  <c r="C836" i="19"/>
  <c r="H836" i="19" s="1"/>
  <c r="D885" i="19"/>
  <c r="I885" i="19" s="1"/>
  <c r="D836" i="19"/>
  <c r="I836" i="19" s="1"/>
  <c r="E2078" i="23"/>
  <c r="D839" i="19"/>
  <c r="I839" i="19" s="1"/>
  <c r="E839" i="19"/>
  <c r="E2081" i="23"/>
  <c r="D891" i="19"/>
  <c r="I891" i="19" s="1"/>
  <c r="D843" i="19"/>
  <c r="I843" i="19" s="1"/>
  <c r="G843" i="19" s="1"/>
  <c r="E2085" i="23"/>
  <c r="D847" i="19"/>
  <c r="I847" i="19" s="1"/>
  <c r="G847" i="19" s="1"/>
  <c r="D895" i="19"/>
  <c r="I895" i="19" s="1"/>
  <c r="E2089" i="23"/>
  <c r="D851" i="19"/>
  <c r="I851" i="19" s="1"/>
  <c r="G851" i="19" s="1"/>
  <c r="D899" i="19"/>
  <c r="I899" i="19" s="1"/>
  <c r="E2093" i="23"/>
  <c r="D855" i="19"/>
  <c r="I855" i="19" s="1"/>
  <c r="D903" i="19"/>
  <c r="I903" i="19" s="1"/>
  <c r="C855" i="19"/>
  <c r="H855" i="19" s="1"/>
  <c r="G855" i="19" s="1"/>
  <c r="E2100" i="23"/>
  <c r="C863" i="19"/>
  <c r="H863" i="19" s="1"/>
  <c r="G863" i="19" s="1"/>
  <c r="N1261" i="19"/>
  <c r="B2388" i="23"/>
  <c r="B264" i="23"/>
  <c r="N1213" i="19"/>
  <c r="B2341" i="23"/>
  <c r="N1310" i="19"/>
  <c r="B268" i="23"/>
  <c r="B2392" i="23"/>
  <c r="B2345" i="23"/>
  <c r="N1265" i="19"/>
  <c r="N1314" i="19"/>
  <c r="N1217" i="19"/>
  <c r="B2349" i="23"/>
  <c r="N1221" i="19"/>
  <c r="B272" i="23"/>
  <c r="B2396" i="23"/>
  <c r="B2400" i="23"/>
  <c r="B2353" i="23"/>
  <c r="B276" i="23"/>
  <c r="N1322" i="19"/>
  <c r="N1273" i="19"/>
  <c r="B2357" i="23"/>
  <c r="B2404" i="23"/>
  <c r="B280" i="23"/>
  <c r="N1326" i="19"/>
  <c r="N1229" i="19"/>
  <c r="B283" i="23"/>
  <c r="B2407" i="23"/>
  <c r="B2360" i="23"/>
  <c r="N1329" i="19"/>
  <c r="N1281" i="19"/>
  <c r="N1232" i="19"/>
  <c r="B2363" i="23"/>
  <c r="B2410" i="23"/>
  <c r="B286" i="23"/>
  <c r="N1332" i="19"/>
  <c r="N1284" i="19"/>
  <c r="B2414" i="23"/>
  <c r="B290" i="23"/>
  <c r="B2367" i="23"/>
  <c r="N1336" i="19"/>
  <c r="N1239" i="19"/>
  <c r="B2371" i="23"/>
  <c r="B294" i="23"/>
  <c r="N1292" i="19"/>
  <c r="N1340" i="19"/>
  <c r="N1243" i="19"/>
  <c r="B2418" i="23"/>
  <c r="E295" i="23"/>
  <c r="E1341" i="19"/>
  <c r="D1244" i="19"/>
  <c r="I1244" i="19" s="1"/>
  <c r="G1244" i="19" s="1"/>
  <c r="B2381" i="23"/>
  <c r="B2428" i="23"/>
  <c r="B304" i="23"/>
  <c r="N1303" i="19"/>
  <c r="N1350" i="19"/>
  <c r="N1302" i="19"/>
  <c r="E2530" i="23"/>
  <c r="D1556" i="19"/>
  <c r="I1556" i="19" s="1"/>
  <c r="C1556" i="19"/>
  <c r="H1556" i="19" s="1"/>
  <c r="C1611" i="19"/>
  <c r="H1611" i="19" s="1"/>
  <c r="E1611" i="19"/>
  <c r="E366" i="23"/>
  <c r="D1515" i="19"/>
  <c r="I1515" i="19" s="1"/>
  <c r="C1515" i="19"/>
  <c r="H1515" i="19" s="1"/>
  <c r="B2603" i="23"/>
  <c r="B2556" i="23"/>
  <c r="N1630" i="19"/>
  <c r="N1582" i="19"/>
  <c r="N1534" i="19"/>
  <c r="B385" i="23"/>
  <c r="E386" i="23"/>
  <c r="D1535" i="19"/>
  <c r="I1535" i="19" s="1"/>
  <c r="C1535" i="19"/>
  <c r="H1535" i="19" s="1"/>
  <c r="C1631" i="19"/>
  <c r="H1631" i="19" s="1"/>
  <c r="E215" i="23"/>
  <c r="E1161" i="19"/>
  <c r="C1161" i="19"/>
  <c r="H1161" i="19" s="1"/>
  <c r="D1064" i="19"/>
  <c r="I1064" i="19" s="1"/>
  <c r="C1064" i="19"/>
  <c r="H1064" i="19" s="1"/>
  <c r="E2256" i="23"/>
  <c r="C1123" i="19"/>
  <c r="H1123" i="19" s="1"/>
  <c r="D1123" i="19"/>
  <c r="I1123" i="19" s="1"/>
  <c r="E2266" i="23"/>
  <c r="E1133" i="19"/>
  <c r="D1133" i="19"/>
  <c r="I1133" i="19" s="1"/>
  <c r="B2318" i="23"/>
  <c r="N1139" i="19"/>
  <c r="B241" i="23"/>
  <c r="B2271" i="23"/>
  <c r="N1187" i="19"/>
  <c r="E2276" i="23"/>
  <c r="D1192" i="19"/>
  <c r="I1192" i="19" s="1"/>
  <c r="B2329" i="23"/>
  <c r="B2282" i="23"/>
  <c r="B252" i="23"/>
  <c r="N1198" i="19"/>
  <c r="N1101" i="19"/>
  <c r="N1150" i="19"/>
  <c r="E253" i="23"/>
  <c r="C1102" i="19"/>
  <c r="H1102" i="19" s="1"/>
  <c r="G1102" i="19" s="1"/>
  <c r="E2286" i="23"/>
  <c r="C1154" i="19"/>
  <c r="H1154" i="19" s="1"/>
  <c r="E309" i="23"/>
  <c r="C1358" i="19"/>
  <c r="H1358" i="19" s="1"/>
  <c r="E1455" i="19"/>
  <c r="F4" i="11"/>
  <c r="B2489" i="23"/>
  <c r="B318" i="23"/>
  <c r="B2442" i="23"/>
  <c r="N1415" i="19"/>
  <c r="N1464" i="19"/>
  <c r="E319" i="23"/>
  <c r="C1368" i="19"/>
  <c r="H1368" i="19" s="1"/>
  <c r="G1368" i="19" s="1"/>
  <c r="E1465" i="19"/>
  <c r="D1368" i="19"/>
  <c r="I1368" i="19" s="1"/>
  <c r="E2475" i="23"/>
  <c r="C1449" i="19"/>
  <c r="H1449" i="19" s="1"/>
  <c r="D1497" i="19"/>
  <c r="I1497" i="19" s="1"/>
  <c r="D1449" i="19"/>
  <c r="I1449" i="19" s="1"/>
  <c r="C2055" i="19"/>
  <c r="H2055" i="19" s="1"/>
  <c r="G2055" i="19" s="1"/>
  <c r="E2119" i="19"/>
  <c r="E686" i="23"/>
  <c r="D2055" i="19"/>
  <c r="I2055" i="19" s="1"/>
  <c r="F13" i="28"/>
  <c r="S13" i="28"/>
  <c r="T14" i="28"/>
  <c r="D2058" i="19"/>
  <c r="I2058" i="19" s="1"/>
  <c r="C2058" i="19"/>
  <c r="H2058" i="19" s="1"/>
  <c r="G2058" i="19" s="1"/>
  <c r="E689" i="23"/>
  <c r="E2122" i="19"/>
  <c r="E692" i="23"/>
  <c r="C2061" i="19"/>
  <c r="H2061" i="19" s="1"/>
  <c r="D2061" i="19"/>
  <c r="I2061" i="19" s="1"/>
  <c r="E2125" i="19"/>
  <c r="D2070" i="19"/>
  <c r="I2070" i="19" s="1"/>
  <c r="E2134" i="19"/>
  <c r="E701" i="23"/>
  <c r="C2070" i="19"/>
  <c r="H2070" i="19" s="1"/>
  <c r="G2070" i="19" s="1"/>
  <c r="O28" i="28"/>
  <c r="E636" i="23"/>
  <c r="D2137" i="19"/>
  <c r="I2137" i="19" s="1"/>
  <c r="C2105" i="19"/>
  <c r="H2105" i="19" s="1"/>
  <c r="D2105" i="19"/>
  <c r="I2105" i="19" s="1"/>
  <c r="N2107" i="19"/>
  <c r="N2139" i="19"/>
  <c r="N2075" i="19"/>
  <c r="N2210" i="19"/>
  <c r="N2178" i="19"/>
  <c r="N2146" i="19"/>
  <c r="D2218" i="19"/>
  <c r="I2218" i="19" s="1"/>
  <c r="E723" i="23"/>
  <c r="D2186" i="19"/>
  <c r="I2186" i="19" s="1"/>
  <c r="C2186" i="19"/>
  <c r="H2186" i="19" s="1"/>
  <c r="D2156" i="19"/>
  <c r="I2156" i="19" s="1"/>
  <c r="C2156" i="19"/>
  <c r="H2156" i="19" s="1"/>
  <c r="E2220" i="19"/>
  <c r="E793" i="23"/>
  <c r="N2229" i="19"/>
  <c r="N2197" i="19"/>
  <c r="N2165" i="19"/>
  <c r="N2199" i="19"/>
  <c r="N2231" i="19"/>
  <c r="N2167" i="19"/>
  <c r="N2201" i="19"/>
  <c r="N2169" i="19"/>
  <c r="N2233" i="19"/>
  <c r="E513" i="23"/>
  <c r="D1990" i="19"/>
  <c r="I1990" i="19" s="1"/>
  <c r="D2022" i="19"/>
  <c r="I2022" i="19" s="1"/>
  <c r="C1990" i="19"/>
  <c r="H1990" i="19" s="1"/>
  <c r="N20" i="15"/>
  <c r="E547" i="23" s="1"/>
  <c r="D598" i="23"/>
  <c r="J27" i="15"/>
  <c r="K51" i="15"/>
  <c r="E404" i="23"/>
  <c r="D1652" i="19"/>
  <c r="I1652" i="19" s="1"/>
  <c r="C1652" i="19"/>
  <c r="H1652" i="19" s="1"/>
  <c r="E1747" i="19"/>
  <c r="E2625" i="23"/>
  <c r="D1750" i="19"/>
  <c r="I1750" i="19" s="1"/>
  <c r="D1703" i="19"/>
  <c r="I1703" i="19" s="1"/>
  <c r="C1703" i="19"/>
  <c r="H1703" i="19" s="1"/>
  <c r="G8" i="13"/>
  <c r="E437" i="23"/>
  <c r="D1685" i="19"/>
  <c r="I1685" i="19" s="1"/>
  <c r="C1685" i="19"/>
  <c r="H1685" i="19" s="1"/>
  <c r="G1685" i="19" s="1"/>
  <c r="E1780" i="19"/>
  <c r="C1780" i="19"/>
  <c r="H1780" i="19" s="1"/>
  <c r="O38" i="13"/>
  <c r="E2658" i="23"/>
  <c r="D1783" i="19"/>
  <c r="I1783" i="19" s="1"/>
  <c r="C1736" i="19"/>
  <c r="H1736" i="19" s="1"/>
  <c r="G1736" i="19" s="1"/>
  <c r="E2737" i="23"/>
  <c r="C1866" i="19"/>
  <c r="H1866" i="19" s="1"/>
  <c r="G1866" i="19" s="1"/>
  <c r="D1866" i="19"/>
  <c r="I1866" i="19" s="1"/>
  <c r="D1913" i="19"/>
  <c r="I1913" i="19" s="1"/>
  <c r="B2741" i="23"/>
  <c r="B2789" i="23"/>
  <c r="B476" i="23"/>
  <c r="N1822" i="19"/>
  <c r="N1917" i="19"/>
  <c r="N1870" i="19"/>
  <c r="E2744" i="23"/>
  <c r="C1873" i="19"/>
  <c r="H1873" i="19" s="1"/>
  <c r="D1873" i="19"/>
  <c r="I1873" i="19" s="1"/>
  <c r="D1920" i="19"/>
  <c r="I1920" i="19" s="1"/>
  <c r="G33" i="14"/>
  <c r="B2746" i="23"/>
  <c r="B2794" i="23"/>
  <c r="N1827" i="19"/>
  <c r="B481" i="23"/>
  <c r="N1875" i="19"/>
  <c r="N1922" i="19"/>
  <c r="E2747" i="23"/>
  <c r="D1923" i="19"/>
  <c r="I1923" i="19" s="1"/>
  <c r="C1876" i="19"/>
  <c r="H1876" i="19" s="1"/>
  <c r="G1876" i="19" s="1"/>
  <c r="B2799" i="23"/>
  <c r="B2751" i="23"/>
  <c r="B486" i="23"/>
  <c r="N1832" i="19"/>
  <c r="N1880" i="19"/>
  <c r="D867" i="23"/>
  <c r="J4" i="16"/>
  <c r="C2341" i="19"/>
  <c r="C2259" i="19"/>
  <c r="E889" i="23"/>
  <c r="E2341" i="19"/>
  <c r="D2259" i="19"/>
  <c r="I2259" i="19" s="1"/>
  <c r="G2259" i="19" s="1"/>
  <c r="F30" i="16"/>
  <c r="D889" i="23" s="1"/>
  <c r="E892" i="23"/>
  <c r="E2344" i="19"/>
  <c r="C2344" i="19"/>
  <c r="H2344" i="19" s="1"/>
  <c r="C2262" i="19"/>
  <c r="H2262" i="19" s="1"/>
  <c r="D2262" i="19"/>
  <c r="I2262" i="19" s="1"/>
  <c r="F33" i="16"/>
  <c r="D892" i="23" s="1"/>
  <c r="M12" i="17"/>
  <c r="E2967" i="23" s="1"/>
  <c r="D1014" i="23"/>
  <c r="E1014" i="23"/>
  <c r="D2531" i="19"/>
  <c r="I2531" i="19" s="1"/>
  <c r="G2531" i="19" s="1"/>
  <c r="E2553" i="19"/>
  <c r="E1054" i="23"/>
  <c r="D1054" i="23"/>
  <c r="D3038" i="23"/>
  <c r="Q12" i="18"/>
  <c r="E3031" i="23"/>
  <c r="O19" i="18"/>
  <c r="D3031" i="23" s="1"/>
  <c r="E2654" i="19"/>
  <c r="E1154" i="23"/>
  <c r="D1154" i="23"/>
  <c r="R40" i="18"/>
  <c r="E1181" i="23"/>
  <c r="D2615" i="19"/>
  <c r="I2615" i="19" s="1"/>
  <c r="C122" i="19"/>
  <c r="H122" i="19" s="1"/>
  <c r="C656" i="19"/>
  <c r="H656" i="19" s="1"/>
  <c r="G656" i="19" s="1"/>
  <c r="C677" i="19"/>
  <c r="H677" i="19" s="1"/>
  <c r="D682" i="19"/>
  <c r="I682" i="19" s="1"/>
  <c r="G682" i="19" s="1"/>
  <c r="C700" i="19"/>
  <c r="H700" i="19" s="1"/>
  <c r="N763" i="19"/>
  <c r="D869" i="19"/>
  <c r="I869" i="19" s="1"/>
  <c r="C950" i="19"/>
  <c r="H950" i="19" s="1"/>
  <c r="D1105" i="19"/>
  <c r="I1105" i="19" s="1"/>
  <c r="D1332" i="19"/>
  <c r="I1332" i="19" s="1"/>
  <c r="E1631" i="19"/>
  <c r="V1729" i="19"/>
  <c r="M2017" i="23"/>
  <c r="F2017" i="23" s="1"/>
  <c r="N2017" i="23"/>
  <c r="G832" i="19"/>
  <c r="D26" i="23"/>
  <c r="E26" i="23"/>
  <c r="E429" i="19"/>
  <c r="D429" i="19"/>
  <c r="I429" i="19" s="1"/>
  <c r="C429" i="19"/>
  <c r="H429" i="19" s="1"/>
  <c r="E1871" i="23"/>
  <c r="D575" i="19"/>
  <c r="I575" i="19" s="1"/>
  <c r="D526" i="19"/>
  <c r="I526" i="19" s="1"/>
  <c r="G526" i="19" s="1"/>
  <c r="E1875" i="23"/>
  <c r="D530" i="19"/>
  <c r="I530" i="19" s="1"/>
  <c r="C530" i="19"/>
  <c r="H530" i="19" s="1"/>
  <c r="D579" i="19"/>
  <c r="I579" i="19" s="1"/>
  <c r="E1883" i="23"/>
  <c r="C538" i="19"/>
  <c r="H538" i="19" s="1"/>
  <c r="D538" i="19"/>
  <c r="I538" i="19" s="1"/>
  <c r="E1893" i="23"/>
  <c r="D549" i="19"/>
  <c r="I549" i="19" s="1"/>
  <c r="C549" i="19"/>
  <c r="H549" i="19" s="1"/>
  <c r="E1901" i="23"/>
  <c r="D605" i="19"/>
  <c r="I605" i="19" s="1"/>
  <c r="D557" i="19"/>
  <c r="I557" i="19" s="1"/>
  <c r="C557" i="19"/>
  <c r="H557" i="19" s="1"/>
  <c r="G557" i="19" s="1"/>
  <c r="E1905" i="23"/>
  <c r="D609" i="19"/>
  <c r="I609" i="19" s="1"/>
  <c r="E1912" i="23"/>
  <c r="C569" i="19"/>
  <c r="H569" i="19" s="1"/>
  <c r="D616" i="19"/>
  <c r="I616" i="19" s="1"/>
  <c r="D569" i="19"/>
  <c r="I569" i="19" s="1"/>
  <c r="B1969" i="23"/>
  <c r="B2016" i="23"/>
  <c r="B80" i="23"/>
  <c r="N629" i="19"/>
  <c r="B1977" i="23"/>
  <c r="B2024" i="23"/>
  <c r="B88" i="23"/>
  <c r="N734" i="19"/>
  <c r="B2028" i="23"/>
  <c r="B1981" i="23"/>
  <c r="B92" i="23"/>
  <c r="N689" i="19"/>
  <c r="B1984" i="23"/>
  <c r="B2031" i="23"/>
  <c r="B95" i="23"/>
  <c r="N741" i="19"/>
  <c r="B2042" i="23"/>
  <c r="B1995" i="23"/>
  <c r="B106" i="23"/>
  <c r="N655" i="19"/>
  <c r="B1999" i="23"/>
  <c r="B2046" i="23"/>
  <c r="B110" i="23"/>
  <c r="N708" i="19"/>
  <c r="N756" i="19"/>
  <c r="N659" i="19"/>
  <c r="E123" i="23"/>
  <c r="E869" i="19"/>
  <c r="C869" i="19"/>
  <c r="H869" i="19" s="1"/>
  <c r="D772" i="19"/>
  <c r="I772" i="19" s="1"/>
  <c r="E127" i="23"/>
  <c r="C776" i="19"/>
  <c r="H776" i="19" s="1"/>
  <c r="D776" i="19"/>
  <c r="I776" i="19" s="1"/>
  <c r="E131" i="23"/>
  <c r="C877" i="19"/>
  <c r="H877" i="19" s="1"/>
  <c r="D780" i="19"/>
  <c r="I780" i="19" s="1"/>
  <c r="G780" i="19" s="1"/>
  <c r="E877" i="19"/>
  <c r="E135" i="23"/>
  <c r="E881" i="19"/>
  <c r="E139" i="23"/>
  <c r="C788" i="19"/>
  <c r="H788" i="19" s="1"/>
  <c r="E885" i="19"/>
  <c r="C885" i="19"/>
  <c r="H885" i="19" s="1"/>
  <c r="E145" i="23"/>
  <c r="C891" i="19"/>
  <c r="H891" i="19" s="1"/>
  <c r="E891" i="19"/>
  <c r="C794" i="19"/>
  <c r="H794" i="19" s="1"/>
  <c r="G794" i="19" s="1"/>
  <c r="E149" i="23"/>
  <c r="D798" i="19"/>
  <c r="I798" i="19" s="1"/>
  <c r="E895" i="19"/>
  <c r="E153" i="23"/>
  <c r="E899" i="19"/>
  <c r="D802" i="19"/>
  <c r="I802" i="19" s="1"/>
  <c r="C802" i="19"/>
  <c r="H802" i="19" s="1"/>
  <c r="G802" i="19" s="1"/>
  <c r="C899" i="19"/>
  <c r="H899" i="19" s="1"/>
  <c r="E157" i="23"/>
  <c r="C903" i="19"/>
  <c r="H903" i="19" s="1"/>
  <c r="E903" i="19"/>
  <c r="D806" i="19"/>
  <c r="I806" i="19" s="1"/>
  <c r="C806" i="19"/>
  <c r="H806" i="19" s="1"/>
  <c r="E164" i="23"/>
  <c r="C910" i="19"/>
  <c r="H910" i="19" s="1"/>
  <c r="E910" i="19"/>
  <c r="D813" i="19"/>
  <c r="I813" i="19" s="1"/>
  <c r="G813" i="19" s="1"/>
  <c r="E2376" i="23"/>
  <c r="D1297" i="19"/>
  <c r="I1297" i="19" s="1"/>
  <c r="C1297" i="19"/>
  <c r="H1297" i="19" s="1"/>
  <c r="D1345" i="19"/>
  <c r="I1345" i="19" s="1"/>
  <c r="B2576" i="23"/>
  <c r="B2529" i="23"/>
  <c r="N1555" i="19"/>
  <c r="N1603" i="19"/>
  <c r="N1507" i="19"/>
  <c r="B358" i="23"/>
  <c r="E2541" i="23"/>
  <c r="C1567" i="19"/>
  <c r="H1567" i="19" s="1"/>
  <c r="D1615" i="19"/>
  <c r="I1615" i="19" s="1"/>
  <c r="D1567" i="19"/>
  <c r="I1567" i="19" s="1"/>
  <c r="E2561" i="23"/>
  <c r="D1635" i="19"/>
  <c r="I1635" i="19" s="1"/>
  <c r="D1587" i="19"/>
  <c r="I1587" i="19" s="1"/>
  <c r="C1587" i="19"/>
  <c r="H1587" i="19" s="1"/>
  <c r="G1587" i="19" s="1"/>
  <c r="E2249" i="23"/>
  <c r="D1165" i="19"/>
  <c r="I1165" i="19" s="1"/>
  <c r="B2255" i="23"/>
  <c r="B2302" i="23"/>
  <c r="B225" i="23"/>
  <c r="N1122" i="19"/>
  <c r="B2312" i="23"/>
  <c r="B235" i="23"/>
  <c r="B2265" i="23"/>
  <c r="N1132" i="19"/>
  <c r="E246" i="23"/>
  <c r="C1095" i="19"/>
  <c r="H1095" i="19" s="1"/>
  <c r="D1095" i="19"/>
  <c r="I1095" i="19" s="1"/>
  <c r="C1192" i="19"/>
  <c r="H1192" i="19" s="1"/>
  <c r="B2486" i="23"/>
  <c r="B315" i="23"/>
  <c r="B2439" i="23"/>
  <c r="N1364" i="19"/>
  <c r="N1461" i="19"/>
  <c r="E2440" i="23"/>
  <c r="D1462" i="19"/>
  <c r="I1462" i="19" s="1"/>
  <c r="C1413" i="19"/>
  <c r="H1413" i="19" s="1"/>
  <c r="D1413" i="19"/>
  <c r="I1413" i="19" s="1"/>
  <c r="B2516" i="23"/>
  <c r="B2469" i="23"/>
  <c r="B345" i="23"/>
  <c r="N1443" i="19"/>
  <c r="N1394" i="19"/>
  <c r="E2478" i="23"/>
  <c r="D1501" i="19"/>
  <c r="I1501" i="19" s="1"/>
  <c r="G1501" i="19" s="1"/>
  <c r="C1454" i="19"/>
  <c r="H1454" i="19" s="1"/>
  <c r="D1454" i="19"/>
  <c r="I1454" i="19" s="1"/>
  <c r="E704" i="23"/>
  <c r="E2137" i="19"/>
  <c r="C2073" i="19"/>
  <c r="H2073" i="19" s="1"/>
  <c r="D2073" i="19"/>
  <c r="I2073" i="19" s="1"/>
  <c r="E729" i="23"/>
  <c r="C2192" i="19"/>
  <c r="H2192" i="19" s="1"/>
  <c r="D2224" i="19"/>
  <c r="I2224" i="19" s="1"/>
  <c r="D2192" i="19"/>
  <c r="I2192" i="19" s="1"/>
  <c r="N2171" i="19"/>
  <c r="N2203" i="19"/>
  <c r="N2235" i="19"/>
  <c r="E591" i="23"/>
  <c r="E2022" i="19"/>
  <c r="D1957" i="19"/>
  <c r="I1957" i="19" s="1"/>
  <c r="C1957" i="19"/>
  <c r="H1957" i="19" s="1"/>
  <c r="F20" i="15"/>
  <c r="N1964" i="19"/>
  <c r="N1997" i="19"/>
  <c r="N2029" i="19"/>
  <c r="E2628" i="23"/>
  <c r="D1753" i="19"/>
  <c r="I1753" i="19" s="1"/>
  <c r="D428" i="23"/>
  <c r="J29" i="13"/>
  <c r="B2660" i="23"/>
  <c r="B2707" i="23"/>
  <c r="B442" i="23"/>
  <c r="N1785" i="19"/>
  <c r="N1738" i="19"/>
  <c r="N1690" i="19"/>
  <c r="E445" i="23"/>
  <c r="C1788" i="19"/>
  <c r="H1788" i="19" s="1"/>
  <c r="E1788" i="19"/>
  <c r="B2732" i="23"/>
  <c r="B2780" i="23"/>
  <c r="B467" i="23"/>
  <c r="N1908" i="19"/>
  <c r="N1861" i="19"/>
  <c r="N1813" i="19"/>
  <c r="C1818" i="19"/>
  <c r="H1818" i="19" s="1"/>
  <c r="E472" i="23"/>
  <c r="C1913" i="19"/>
  <c r="H1913" i="19" s="1"/>
  <c r="E1913" i="19"/>
  <c r="D1818" i="19"/>
  <c r="I1818" i="19" s="1"/>
  <c r="O26" i="14"/>
  <c r="E482" i="23"/>
  <c r="E1923" i="19"/>
  <c r="D1828" i="19"/>
  <c r="I1828" i="19" s="1"/>
  <c r="C1828" i="19"/>
  <c r="H1828" i="19" s="1"/>
  <c r="G1828" i="19" s="1"/>
  <c r="C1923" i="19"/>
  <c r="H1923" i="19" s="1"/>
  <c r="F36" i="14"/>
  <c r="S36" i="14"/>
  <c r="E2817" i="23"/>
  <c r="E2832" i="23"/>
  <c r="E2893" i="23"/>
  <c r="D2878" i="23"/>
  <c r="I62" i="16"/>
  <c r="D2931" i="23" s="1"/>
  <c r="E1053" i="23"/>
  <c r="D1053" i="23"/>
  <c r="E2540" i="19"/>
  <c r="E3012" i="23"/>
  <c r="M19" i="18"/>
  <c r="J19" i="18"/>
  <c r="E2993" i="23" s="1"/>
  <c r="E2638" i="19"/>
  <c r="D1151" i="23"/>
  <c r="E1151" i="23"/>
  <c r="J607" i="19"/>
  <c r="G607" i="19" s="1"/>
  <c r="N651" i="19"/>
  <c r="D784" i="19"/>
  <c r="I784" i="19" s="1"/>
  <c r="G784" i="19" s="1"/>
  <c r="J1179" i="19"/>
  <c r="R1179" i="19"/>
  <c r="V1179" i="19" s="1"/>
  <c r="G1687" i="19"/>
  <c r="E1280" i="23"/>
  <c r="D1280" i="23"/>
  <c r="D1273" i="23"/>
  <c r="E1273" i="23"/>
  <c r="E1215" i="23"/>
  <c r="D1215" i="23"/>
  <c r="E1246" i="23"/>
  <c r="D1246" i="23"/>
  <c r="J38" i="2"/>
  <c r="E1338" i="23" s="1"/>
  <c r="N6" i="5"/>
  <c r="E1918" i="23" s="1"/>
  <c r="N10" i="5"/>
  <c r="E1922" i="23" s="1"/>
  <c r="N14" i="5"/>
  <c r="E1926" i="23" s="1"/>
  <c r="N18" i="5"/>
  <c r="E1930" i="23" s="1"/>
  <c r="N22" i="5"/>
  <c r="E1934" i="23" s="1"/>
  <c r="N25" i="5"/>
  <c r="N28" i="5"/>
  <c r="N32" i="5"/>
  <c r="E1944" i="23" s="1"/>
  <c r="N36" i="5"/>
  <c r="E1948" i="23" s="1"/>
  <c r="N40" i="5"/>
  <c r="E1952" i="23" s="1"/>
  <c r="N47" i="5"/>
  <c r="E1959" i="23" s="1"/>
  <c r="E1966" i="23"/>
  <c r="D674" i="19"/>
  <c r="I674" i="19" s="1"/>
  <c r="G674" i="19" s="1"/>
  <c r="G10" i="6"/>
  <c r="G18" i="6"/>
  <c r="E1978" i="23"/>
  <c r="D686" i="19"/>
  <c r="I686" i="19" s="1"/>
  <c r="G686" i="19" s="1"/>
  <c r="D735" i="19"/>
  <c r="I735" i="19" s="1"/>
  <c r="G28" i="6"/>
  <c r="G32" i="6"/>
  <c r="E1992" i="23"/>
  <c r="D701" i="19"/>
  <c r="I701" i="19" s="1"/>
  <c r="C701" i="19"/>
  <c r="H701" i="19" s="1"/>
  <c r="G36" i="6"/>
  <c r="E1996" i="23"/>
  <c r="D753" i="19"/>
  <c r="I753" i="19" s="1"/>
  <c r="G40" i="6"/>
  <c r="E2000" i="23"/>
  <c r="C709" i="19"/>
  <c r="H709" i="19" s="1"/>
  <c r="G709" i="19" s="1"/>
  <c r="G47" i="6"/>
  <c r="B2201" i="23"/>
  <c r="B2154" i="23"/>
  <c r="B171" i="23"/>
  <c r="N1017" i="19"/>
  <c r="N920" i="19"/>
  <c r="B2205" i="23"/>
  <c r="B2158" i="23"/>
  <c r="B175" i="23"/>
  <c r="N1021" i="19"/>
  <c r="B2209" i="23"/>
  <c r="B2162" i="23"/>
  <c r="B179" i="23"/>
  <c r="N1025" i="19"/>
  <c r="N976" i="19"/>
  <c r="B2213" i="23"/>
  <c r="B2166" i="23"/>
  <c r="B183" i="23"/>
  <c r="N980" i="19"/>
  <c r="N932" i="19"/>
  <c r="N1029" i="19"/>
  <c r="B2173" i="23"/>
  <c r="B190" i="23"/>
  <c r="B2220" i="23"/>
  <c r="N988" i="19"/>
  <c r="B2223" i="23"/>
  <c r="B2176" i="23"/>
  <c r="B193" i="23"/>
  <c r="N942" i="19"/>
  <c r="N1039" i="19"/>
  <c r="B2180" i="23"/>
  <c r="B2227" i="23"/>
  <c r="B197" i="23"/>
  <c r="N995" i="19"/>
  <c r="N946" i="19"/>
  <c r="N1043" i="19"/>
  <c r="B2231" i="23"/>
  <c r="B201" i="23"/>
  <c r="B2184" i="23"/>
  <c r="N1047" i="19"/>
  <c r="N999" i="19"/>
  <c r="N950" i="19"/>
  <c r="B2188" i="23"/>
  <c r="B205" i="23"/>
  <c r="B2235" i="23"/>
  <c r="N1051" i="19"/>
  <c r="N768" i="19"/>
  <c r="N769" i="19"/>
  <c r="E265" i="23"/>
  <c r="D1214" i="19"/>
  <c r="I1214" i="19" s="1"/>
  <c r="E1311" i="19"/>
  <c r="C1311" i="19"/>
  <c r="H1311" i="19" s="1"/>
  <c r="E269" i="23"/>
  <c r="E1315" i="19"/>
  <c r="D1218" i="19"/>
  <c r="I1218" i="19" s="1"/>
  <c r="C1218" i="19"/>
  <c r="H1218" i="19" s="1"/>
  <c r="E273" i="23"/>
  <c r="E1319" i="19"/>
  <c r="D1222" i="19"/>
  <c r="I1222" i="19" s="1"/>
  <c r="C1319" i="19"/>
  <c r="H1319" i="19" s="1"/>
  <c r="C1222" i="19"/>
  <c r="H1222" i="19" s="1"/>
  <c r="E277" i="23"/>
  <c r="E1323" i="19"/>
  <c r="C1323" i="19"/>
  <c r="H1323" i="19" s="1"/>
  <c r="C1226" i="19"/>
  <c r="H1226" i="19" s="1"/>
  <c r="G1226" i="19" s="1"/>
  <c r="D1233" i="19"/>
  <c r="I1233" i="19" s="1"/>
  <c r="C1233" i="19"/>
  <c r="H1233" i="19" s="1"/>
  <c r="G1233" i="19" s="1"/>
  <c r="E284" i="23"/>
  <c r="C1330" i="19"/>
  <c r="H1330" i="19" s="1"/>
  <c r="E1330" i="19"/>
  <c r="F28" i="10"/>
  <c r="E1333" i="19"/>
  <c r="C1333" i="19"/>
  <c r="H1333" i="19" s="1"/>
  <c r="E287" i="23"/>
  <c r="D1236" i="19"/>
  <c r="I1236" i="19" s="1"/>
  <c r="C1236" i="19"/>
  <c r="H1236" i="19" s="1"/>
  <c r="E291" i="23"/>
  <c r="C1337" i="19"/>
  <c r="H1337" i="19" s="1"/>
  <c r="C1240" i="19"/>
  <c r="H1240" i="19" s="1"/>
  <c r="G1240" i="19" s="1"/>
  <c r="E1337" i="19"/>
  <c r="D1240" i="19"/>
  <c r="I1240" i="19" s="1"/>
  <c r="E2372" i="23"/>
  <c r="D1293" i="19"/>
  <c r="I1293" i="19" s="1"/>
  <c r="C1293" i="19"/>
  <c r="H1293" i="19" s="1"/>
  <c r="D1341" i="19"/>
  <c r="I1341" i="19" s="1"/>
  <c r="N41" i="10"/>
  <c r="E2423" i="23" s="1"/>
  <c r="B2425" i="23"/>
  <c r="B2378" i="23"/>
  <c r="B301" i="23"/>
  <c r="N1347" i="19"/>
  <c r="N1250" i="19"/>
  <c r="E305" i="23"/>
  <c r="C1351" i="19"/>
  <c r="H1351" i="19" s="1"/>
  <c r="E1351" i="19"/>
  <c r="S47" i="10"/>
  <c r="E2537" i="23"/>
  <c r="D1563" i="19"/>
  <c r="I1563" i="19" s="1"/>
  <c r="C1563" i="19"/>
  <c r="H1563" i="19" s="1"/>
  <c r="D1611" i="19"/>
  <c r="I1611" i="19" s="1"/>
  <c r="N18" i="12"/>
  <c r="E2588" i="23" s="1"/>
  <c r="B2543" i="23"/>
  <c r="N1617" i="19"/>
  <c r="N1569" i="19"/>
  <c r="B372" i="23"/>
  <c r="N1521" i="19"/>
  <c r="B2590" i="23"/>
  <c r="E2557" i="23"/>
  <c r="D1631" i="19"/>
  <c r="I1631" i="19" s="1"/>
  <c r="D1583" i="19"/>
  <c r="I1583" i="19" s="1"/>
  <c r="C1583" i="19"/>
  <c r="H1583" i="19" s="1"/>
  <c r="N38" i="12"/>
  <c r="E2608" i="23" s="1"/>
  <c r="E2245" i="23"/>
  <c r="D1161" i="19"/>
  <c r="I1161" i="19" s="1"/>
  <c r="C1112" i="19"/>
  <c r="H1112" i="19" s="1"/>
  <c r="D1112" i="19"/>
  <c r="I1112" i="19" s="1"/>
  <c r="N8" i="9"/>
  <c r="E2296" i="23" s="1"/>
  <c r="B2251" i="23"/>
  <c r="B2298" i="23"/>
  <c r="B221" i="23"/>
  <c r="N1118" i="19"/>
  <c r="N1070" i="19"/>
  <c r="E222" i="23"/>
  <c r="C1071" i="19"/>
  <c r="H1071" i="19" s="1"/>
  <c r="D1071" i="19"/>
  <c r="I1071" i="19" s="1"/>
  <c r="C1168" i="19"/>
  <c r="H1168" i="19" s="1"/>
  <c r="G1168" i="19" s="1"/>
  <c r="B2309" i="23"/>
  <c r="B232" i="23"/>
  <c r="B2262" i="23"/>
  <c r="N1178" i="19"/>
  <c r="N1129" i="19"/>
  <c r="N1081" i="19"/>
  <c r="E233" i="23"/>
  <c r="D1082" i="19"/>
  <c r="I1082" i="19" s="1"/>
  <c r="G1082" i="19" s="1"/>
  <c r="E242" i="23"/>
  <c r="C1091" i="19"/>
  <c r="H1091" i="19" s="1"/>
  <c r="G1091" i="19" s="1"/>
  <c r="E1188" i="19"/>
  <c r="C1188" i="19"/>
  <c r="H1188" i="19" s="1"/>
  <c r="E2283" i="23"/>
  <c r="C1151" i="19"/>
  <c r="H1151" i="19" s="1"/>
  <c r="G1151" i="19" s="1"/>
  <c r="B258" i="23"/>
  <c r="B2288" i="23"/>
  <c r="N1107" i="19"/>
  <c r="B2335" i="23"/>
  <c r="N1204" i="19"/>
  <c r="N1157" i="19"/>
  <c r="E2433" i="23"/>
  <c r="D1406" i="19"/>
  <c r="I1406" i="19" s="1"/>
  <c r="G1406" i="19" s="1"/>
  <c r="D1455" i="19"/>
  <c r="I1455" i="19" s="1"/>
  <c r="T5" i="11"/>
  <c r="N11" i="11"/>
  <c r="E2487" i="23" s="1"/>
  <c r="E2443" i="23"/>
  <c r="D1416" i="19"/>
  <c r="I1416" i="19" s="1"/>
  <c r="G1416" i="19" s="1"/>
  <c r="D1465" i="19"/>
  <c r="I1465" i="19" s="1"/>
  <c r="B2454" i="23"/>
  <c r="B2501" i="23"/>
  <c r="B330" i="23"/>
  <c r="N1476" i="19"/>
  <c r="N1428" i="19"/>
  <c r="E333" i="23"/>
  <c r="C1479" i="19"/>
  <c r="H1479" i="19" s="1"/>
  <c r="D1382" i="19"/>
  <c r="I1382" i="19" s="1"/>
  <c r="C1382" i="19"/>
  <c r="H1382" i="19" s="1"/>
  <c r="G1382" i="19" s="1"/>
  <c r="E1479" i="19"/>
  <c r="I37" i="11"/>
  <c r="D2513" i="23" s="1"/>
  <c r="B2521" i="23"/>
  <c r="B2474" i="23"/>
  <c r="N1448" i="19"/>
  <c r="N1399" i="19"/>
  <c r="N1496" i="19"/>
  <c r="B350" i="23"/>
  <c r="N50" i="11"/>
  <c r="E2525" i="23" s="1"/>
  <c r="E680" i="23"/>
  <c r="D2049" i="19"/>
  <c r="I2049" i="19" s="1"/>
  <c r="C2049" i="19"/>
  <c r="H2049" i="19" s="1"/>
  <c r="E2113" i="19"/>
  <c r="O7" i="28"/>
  <c r="F7" i="28"/>
  <c r="E618" i="23"/>
  <c r="D2119" i="19"/>
  <c r="I2119" i="19" s="1"/>
  <c r="C2087" i="19"/>
  <c r="H2087" i="19" s="1"/>
  <c r="D2087" i="19"/>
  <c r="I2087" i="19" s="1"/>
  <c r="N2092" i="19"/>
  <c r="N2124" i="19"/>
  <c r="N2060" i="19"/>
  <c r="E624" i="23"/>
  <c r="D2125" i="19"/>
  <c r="I2125" i="19" s="1"/>
  <c r="D2093" i="19"/>
  <c r="I2093" i="19" s="1"/>
  <c r="C2093" i="19"/>
  <c r="H2093" i="19" s="1"/>
  <c r="G19" i="28"/>
  <c r="G24" i="28"/>
  <c r="E633" i="23"/>
  <c r="C2102" i="19"/>
  <c r="H2102" i="19" s="1"/>
  <c r="G2102" i="19" s="1"/>
  <c r="D2134" i="19"/>
  <c r="I2134" i="19" s="1"/>
  <c r="N28" i="28"/>
  <c r="E667" i="23" s="1"/>
  <c r="D783" i="23"/>
  <c r="J44" i="28"/>
  <c r="N2212" i="19"/>
  <c r="N2148" i="19"/>
  <c r="N2180" i="19"/>
  <c r="E789" i="23"/>
  <c r="E2216" i="19"/>
  <c r="D2152" i="19"/>
  <c r="I2152" i="19" s="1"/>
  <c r="C2152" i="19"/>
  <c r="H2152" i="19" s="1"/>
  <c r="F50" i="28"/>
  <c r="D2188" i="19"/>
  <c r="I2188" i="19" s="1"/>
  <c r="E725" i="23"/>
  <c r="C2188" i="19"/>
  <c r="H2188" i="19" s="1"/>
  <c r="D2220" i="19"/>
  <c r="I2220" i="19" s="1"/>
  <c r="N54" i="28"/>
  <c r="E759" i="23" s="1"/>
  <c r="N58" i="28"/>
  <c r="E763" i="23" s="1"/>
  <c r="D806" i="23"/>
  <c r="J67" i="28"/>
  <c r="H6" i="15"/>
  <c r="H41" i="15" s="1"/>
  <c r="H44" i="15" s="1"/>
  <c r="N2021" i="19"/>
  <c r="N1989" i="19"/>
  <c r="N1956" i="19"/>
  <c r="G22" i="15"/>
  <c r="N2026" i="19"/>
  <c r="N1994" i="19"/>
  <c r="N1961" i="19"/>
  <c r="N1793" i="19"/>
  <c r="N1650" i="19"/>
  <c r="N1698" i="19"/>
  <c r="B2624" i="23"/>
  <c r="B2671" i="23"/>
  <c r="B406" i="23"/>
  <c r="N1749" i="19"/>
  <c r="N1702" i="19"/>
  <c r="N1654" i="19"/>
  <c r="N11" i="13"/>
  <c r="E2675" i="23" s="1"/>
  <c r="N14" i="13"/>
  <c r="E2678" i="23" s="1"/>
  <c r="I24" i="13"/>
  <c r="D2688" i="23" s="1"/>
  <c r="E434" i="23"/>
  <c r="E1777" i="19"/>
  <c r="D1682" i="19"/>
  <c r="I1682" i="19" s="1"/>
  <c r="C1682" i="19"/>
  <c r="H1682" i="19" s="1"/>
  <c r="C1777" i="19"/>
  <c r="H1777" i="19" s="1"/>
  <c r="E2655" i="23"/>
  <c r="C1733" i="19"/>
  <c r="H1733" i="19" s="1"/>
  <c r="G1733" i="19" s="1"/>
  <c r="D1780" i="19"/>
  <c r="I1780" i="19" s="1"/>
  <c r="D1733" i="19"/>
  <c r="I1733" i="19" s="1"/>
  <c r="G38" i="13"/>
  <c r="B2772" i="23"/>
  <c r="B2724" i="23"/>
  <c r="B459" i="23"/>
  <c r="N1805" i="19"/>
  <c r="N1853" i="19"/>
  <c r="E2730" i="23"/>
  <c r="D1906" i="19"/>
  <c r="I1906" i="19" s="1"/>
  <c r="C1859" i="19"/>
  <c r="H1859" i="19" s="1"/>
  <c r="D1859" i="19"/>
  <c r="I1859" i="19" s="1"/>
  <c r="D476" i="23"/>
  <c r="J30" i="14"/>
  <c r="D486" i="23"/>
  <c r="J40" i="14"/>
  <c r="N43" i="14"/>
  <c r="E2802" i="23" s="1"/>
  <c r="E493" i="23"/>
  <c r="C1839" i="19"/>
  <c r="H1839" i="19" s="1"/>
  <c r="E1934" i="19"/>
  <c r="C1934" i="19"/>
  <c r="H1934" i="19" s="1"/>
  <c r="D1839" i="19"/>
  <c r="I1839" i="19" s="1"/>
  <c r="D870" i="23"/>
  <c r="E870" i="23"/>
  <c r="D869" i="23"/>
  <c r="E869" i="23"/>
  <c r="E873" i="23"/>
  <c r="D873" i="23"/>
  <c r="E874" i="23"/>
  <c r="N27" i="16"/>
  <c r="E2896" i="23" s="1"/>
  <c r="D2344" i="19"/>
  <c r="I2344" i="19" s="1"/>
  <c r="C2291" i="19"/>
  <c r="H2291" i="19" s="1"/>
  <c r="G2291" i="19" s="1"/>
  <c r="E2851" i="23"/>
  <c r="J62" i="16"/>
  <c r="N65" i="16"/>
  <c r="E2934" i="23" s="1"/>
  <c r="N69" i="16"/>
  <c r="E2938" i="23" s="1"/>
  <c r="O51" i="17"/>
  <c r="E1055" i="23"/>
  <c r="D1055" i="23"/>
  <c r="E2445" i="19"/>
  <c r="E3000" i="23"/>
  <c r="J5" i="18"/>
  <c r="D3009" i="23"/>
  <c r="H16" i="18"/>
  <c r="D2990" i="23" s="1"/>
  <c r="E1159" i="23"/>
  <c r="C2577" i="19"/>
  <c r="H2577" i="19" s="1"/>
  <c r="G2577" i="19" s="1"/>
  <c r="D1159" i="23"/>
  <c r="D2562" i="19"/>
  <c r="I2562" i="19" s="1"/>
  <c r="C2562" i="19"/>
  <c r="H2562" i="19" s="1"/>
  <c r="C3" i="19"/>
  <c r="H3" i="19" s="1"/>
  <c r="V221" i="19"/>
  <c r="V263" i="19"/>
  <c r="V405" i="19"/>
  <c r="V411" i="19"/>
  <c r="V417" i="19"/>
  <c r="V451" i="19"/>
  <c r="C480" i="19"/>
  <c r="H480" i="19" s="1"/>
  <c r="G480" i="19" s="1"/>
  <c r="N523" i="19"/>
  <c r="D591" i="19"/>
  <c r="I591" i="19" s="1"/>
  <c r="N677" i="19"/>
  <c r="V679" i="19"/>
  <c r="D950" i="19"/>
  <c r="I950" i="19" s="1"/>
  <c r="V953" i="19"/>
  <c r="J1047" i="19"/>
  <c r="V1127" i="19"/>
  <c r="D1182" i="19"/>
  <c r="I1182" i="19" s="1"/>
  <c r="C1214" i="19"/>
  <c r="H1214" i="19" s="1"/>
  <c r="V1280" i="19"/>
  <c r="C1284" i="19"/>
  <c r="H1284" i="19" s="1"/>
  <c r="G1284" i="19" s="1"/>
  <c r="C1315" i="19"/>
  <c r="H1315" i="19" s="1"/>
  <c r="G1352" i="19"/>
  <c r="R1456" i="19"/>
  <c r="V1456" i="19" s="1"/>
  <c r="J1456" i="19"/>
  <c r="N1900" i="19"/>
  <c r="N1980" i="19"/>
  <c r="V2596" i="19"/>
  <c r="D2536" i="22"/>
  <c r="F2536" i="22" s="1"/>
  <c r="F2535" i="22"/>
  <c r="E1282" i="23"/>
  <c r="D1282" i="23"/>
  <c r="B2200" i="23"/>
  <c r="B2153" i="23"/>
  <c r="B170" i="23"/>
  <c r="N1016" i="19"/>
  <c r="N967" i="19"/>
  <c r="B2234" i="23"/>
  <c r="B2187" i="23"/>
  <c r="B204" i="23"/>
  <c r="N1050" i="19"/>
  <c r="N1002" i="19"/>
  <c r="N953" i="19"/>
  <c r="E1326" i="19"/>
  <c r="D1229" i="19"/>
  <c r="I1229" i="19" s="1"/>
  <c r="G1229" i="19" s="1"/>
  <c r="E280" i="23"/>
  <c r="E290" i="23"/>
  <c r="D1239" i="19"/>
  <c r="I1239" i="19" s="1"/>
  <c r="C1239" i="19"/>
  <c r="H1239" i="19" s="1"/>
  <c r="E1336" i="19"/>
  <c r="C1336" i="19"/>
  <c r="H1336" i="19" s="1"/>
  <c r="E2255" i="23"/>
  <c r="C1122" i="19"/>
  <c r="H1122" i="19" s="1"/>
  <c r="G1122" i="19" s="1"/>
  <c r="B2498" i="23"/>
  <c r="B2451" i="23"/>
  <c r="B327" i="23"/>
  <c r="N1376" i="19"/>
  <c r="N1424" i="19"/>
  <c r="E688" i="23"/>
  <c r="D2057" i="19"/>
  <c r="I2057" i="19" s="1"/>
  <c r="C2057" i="19"/>
  <c r="H2057" i="19" s="1"/>
  <c r="C2201" i="19"/>
  <c r="H2201" i="19" s="1"/>
  <c r="G2201" i="19" s="1"/>
  <c r="D2233" i="19"/>
  <c r="I2233" i="19" s="1"/>
  <c r="G2233" i="19" s="1"/>
  <c r="E738" i="23"/>
  <c r="D2201" i="19"/>
  <c r="I2201" i="19" s="1"/>
  <c r="E1752" i="19"/>
  <c r="E409" i="23"/>
  <c r="D1657" i="19"/>
  <c r="I1657" i="19" s="1"/>
  <c r="C1657" i="19"/>
  <c r="H1657" i="19" s="1"/>
  <c r="C1752" i="19"/>
  <c r="H1752" i="19" s="1"/>
  <c r="F10" i="13"/>
  <c r="S10" i="13"/>
  <c r="B2774" i="23"/>
  <c r="B2726" i="23"/>
  <c r="B461" i="23"/>
  <c r="N1855" i="19"/>
  <c r="N1807" i="19"/>
  <c r="N1902" i="19"/>
  <c r="D922" i="23"/>
  <c r="E2401" i="19"/>
  <c r="E922" i="23"/>
  <c r="D2495" i="19"/>
  <c r="I2495" i="19" s="1"/>
  <c r="C2495" i="19"/>
  <c r="H2495" i="19" s="1"/>
  <c r="E1090" i="23"/>
  <c r="E1244" i="23"/>
  <c r="D1244" i="23"/>
  <c r="E1965" i="23"/>
  <c r="C673" i="19"/>
  <c r="H673" i="19" s="1"/>
  <c r="G673" i="19" s="1"/>
  <c r="E1984" i="23"/>
  <c r="E692" i="19"/>
  <c r="B2208" i="23"/>
  <c r="B2161" i="23"/>
  <c r="N975" i="19"/>
  <c r="N927" i="19"/>
  <c r="B178" i="23"/>
  <c r="B2219" i="23"/>
  <c r="B2172" i="23"/>
  <c r="B189" i="23"/>
  <c r="N987" i="19"/>
  <c r="N986" i="19"/>
  <c r="N1035" i="19"/>
  <c r="E304" i="23"/>
  <c r="C1253" i="19"/>
  <c r="H1253" i="19" s="1"/>
  <c r="D1253" i="19"/>
  <c r="I1253" i="19" s="1"/>
  <c r="E190" i="23"/>
  <c r="E1036" i="19"/>
  <c r="U6" i="7"/>
  <c r="U14" i="7"/>
  <c r="U28" i="7"/>
  <c r="E2349" i="23"/>
  <c r="D1269" i="19"/>
  <c r="I1269" i="19" s="1"/>
  <c r="C1269" i="19"/>
  <c r="H1269" i="19" s="1"/>
  <c r="E2353" i="23"/>
  <c r="D1273" i="19"/>
  <c r="I1273" i="19" s="1"/>
  <c r="C1273" i="19"/>
  <c r="H1273" i="19" s="1"/>
  <c r="E2360" i="23"/>
  <c r="C1280" i="19"/>
  <c r="H1280" i="19" s="1"/>
  <c r="G1280" i="19" s="1"/>
  <c r="E301" i="23"/>
  <c r="E1347" i="19"/>
  <c r="D1250" i="19"/>
  <c r="I1250" i="19" s="1"/>
  <c r="G1250" i="19" s="1"/>
  <c r="N2056" i="19"/>
  <c r="N2120" i="19"/>
  <c r="N2109" i="19"/>
  <c r="N2077" i="19"/>
  <c r="N2141" i="19"/>
  <c r="E1746" i="19"/>
  <c r="D1651" i="19"/>
  <c r="I1651" i="19" s="1"/>
  <c r="C1746" i="19"/>
  <c r="H1746" i="19" s="1"/>
  <c r="E403" i="23"/>
  <c r="C1651" i="19"/>
  <c r="H1651" i="19" s="1"/>
  <c r="K23" i="13"/>
  <c r="O4" i="13"/>
  <c r="E439" i="23"/>
  <c r="C1782" i="19"/>
  <c r="H1782" i="19" s="1"/>
  <c r="E1782" i="19"/>
  <c r="F40" i="13"/>
  <c r="S40" i="13"/>
  <c r="E2719" i="23"/>
  <c r="C1848" i="19"/>
  <c r="H1848" i="19" s="1"/>
  <c r="D1848" i="19"/>
  <c r="I1848" i="19" s="1"/>
  <c r="N8" i="14"/>
  <c r="E2767" i="23" s="1"/>
  <c r="D1895" i="19"/>
  <c r="I1895" i="19" s="1"/>
  <c r="G8" i="14"/>
  <c r="B2779" i="23"/>
  <c r="N1907" i="19"/>
  <c r="N1860" i="19"/>
  <c r="N1812" i="19"/>
  <c r="B2731" i="23"/>
  <c r="B466" i="23"/>
  <c r="N75" i="16"/>
  <c r="V3" i="19"/>
  <c r="C551" i="19"/>
  <c r="H551" i="19" s="1"/>
  <c r="G551" i="19" s="1"/>
  <c r="D652" i="19"/>
  <c r="I652" i="19" s="1"/>
  <c r="G652" i="19" s="1"/>
  <c r="N666" i="19"/>
  <c r="C685" i="19"/>
  <c r="H685" i="19" s="1"/>
  <c r="C692" i="19"/>
  <c r="H692" i="19" s="1"/>
  <c r="N696" i="19"/>
  <c r="C772" i="19"/>
  <c r="H772" i="19" s="1"/>
  <c r="G772" i="19" s="1"/>
  <c r="C881" i="19"/>
  <c r="H881" i="19" s="1"/>
  <c r="N939" i="19"/>
  <c r="N1024" i="19"/>
  <c r="D1172" i="19"/>
  <c r="I1172" i="19" s="1"/>
  <c r="N1235" i="19"/>
  <c r="D1358" i="19"/>
  <c r="I1358" i="19" s="1"/>
  <c r="D1525" i="19"/>
  <c r="I1525" i="19" s="1"/>
  <c r="G1525" i="19" s="1"/>
  <c r="D1604" i="19"/>
  <c r="I1604" i="19" s="1"/>
  <c r="D2212" i="19"/>
  <c r="I2212" i="19" s="1"/>
  <c r="J2233" i="19"/>
  <c r="R2233" i="19"/>
  <c r="M419" i="23"/>
  <c r="N419" i="23"/>
  <c r="N1875" i="23"/>
  <c r="M1875" i="23"/>
  <c r="E1973" i="23"/>
  <c r="C681" i="19"/>
  <c r="H681" i="19" s="1"/>
  <c r="G681" i="19" s="1"/>
  <c r="D730" i="19"/>
  <c r="I730" i="19" s="1"/>
  <c r="E1981" i="23"/>
  <c r="D689" i="19"/>
  <c r="I689" i="19" s="1"/>
  <c r="G689" i="19" s="1"/>
  <c r="D738" i="19"/>
  <c r="I738" i="19" s="1"/>
  <c r="B2216" i="23"/>
  <c r="B2169" i="23"/>
  <c r="B186" i="23"/>
  <c r="N1032" i="19"/>
  <c r="N983" i="19"/>
  <c r="B2222" i="23"/>
  <c r="B2175" i="23"/>
  <c r="B192" i="23"/>
  <c r="B2241" i="23"/>
  <c r="B2194" i="23"/>
  <c r="B211" i="23"/>
  <c r="E264" i="23"/>
  <c r="E1310" i="19"/>
  <c r="C1213" i="19"/>
  <c r="H1213" i="19" s="1"/>
  <c r="G1213" i="19" s="1"/>
  <c r="E294" i="23"/>
  <c r="D1243" i="19"/>
  <c r="I1243" i="19" s="1"/>
  <c r="C1340" i="19"/>
  <c r="H1340" i="19" s="1"/>
  <c r="C1243" i="19"/>
  <c r="H1243" i="19" s="1"/>
  <c r="S36" i="10"/>
  <c r="E1340" i="19"/>
  <c r="B2427" i="23"/>
  <c r="B2380" i="23"/>
  <c r="B303" i="23"/>
  <c r="N1252" i="19"/>
  <c r="N1349" i="19"/>
  <c r="E365" i="23"/>
  <c r="C1610" i="19"/>
  <c r="H1610" i="19" s="1"/>
  <c r="E1610" i="19"/>
  <c r="D1514" i="19"/>
  <c r="I1514" i="19" s="1"/>
  <c r="C1514" i="19"/>
  <c r="H1514" i="19" s="1"/>
  <c r="B2555" i="23"/>
  <c r="B384" i="23"/>
  <c r="B2602" i="23"/>
  <c r="N1581" i="19"/>
  <c r="N1629" i="19"/>
  <c r="N1533" i="19"/>
  <c r="E2265" i="23"/>
  <c r="D1132" i="19"/>
  <c r="C1132" i="19"/>
  <c r="H1132" i="19" s="1"/>
  <c r="G1132" i="19" s="1"/>
  <c r="B2317" i="23"/>
  <c r="B2270" i="23"/>
  <c r="B240" i="23"/>
  <c r="N1186" i="19"/>
  <c r="B2453" i="23"/>
  <c r="B2500" i="23"/>
  <c r="B329" i="23"/>
  <c r="N1378" i="19"/>
  <c r="N1426" i="19"/>
  <c r="N1475" i="19"/>
  <c r="AA25" i="28"/>
  <c r="E700" i="23"/>
  <c r="D2069" i="19"/>
  <c r="I2069" i="19" s="1"/>
  <c r="C2069" i="19"/>
  <c r="H2069" i="19" s="1"/>
  <c r="E715" i="23"/>
  <c r="D2210" i="19"/>
  <c r="I2210" i="19" s="1"/>
  <c r="C2178" i="19"/>
  <c r="H2178" i="19" s="1"/>
  <c r="G2178" i="19" s="1"/>
  <c r="E2229" i="19"/>
  <c r="C2165" i="19"/>
  <c r="H2165" i="19" s="1"/>
  <c r="E802" i="23"/>
  <c r="D2165" i="19"/>
  <c r="I2165" i="19" s="1"/>
  <c r="O63" i="28"/>
  <c r="E804" i="23"/>
  <c r="C2167" i="19"/>
  <c r="H2167" i="19" s="1"/>
  <c r="G2167" i="19" s="1"/>
  <c r="E2231" i="19"/>
  <c r="D2167" i="19"/>
  <c r="I2167" i="19" s="1"/>
  <c r="D584" i="23"/>
  <c r="T13" i="15"/>
  <c r="J13" i="15"/>
  <c r="C1989" i="19"/>
  <c r="H1989" i="19" s="1"/>
  <c r="D2021" i="19"/>
  <c r="I2021" i="19" s="1"/>
  <c r="E512" i="23"/>
  <c r="D1989" i="19"/>
  <c r="I1989" i="19" s="1"/>
  <c r="D2026" i="19"/>
  <c r="I2026" i="19" s="1"/>
  <c r="C1994" i="19"/>
  <c r="H1994" i="19" s="1"/>
  <c r="E517" i="23"/>
  <c r="D1994" i="19"/>
  <c r="I1994" i="19" s="1"/>
  <c r="B2673" i="23"/>
  <c r="B408" i="23"/>
  <c r="N1656" i="19"/>
  <c r="N1704" i="19"/>
  <c r="N1751" i="19"/>
  <c r="B2626" i="23"/>
  <c r="D414" i="23"/>
  <c r="J15" i="13"/>
  <c r="E454" i="23"/>
  <c r="D1800" i="19"/>
  <c r="I1800" i="19" s="1"/>
  <c r="C1800" i="19"/>
  <c r="H1800" i="19" s="1"/>
  <c r="C1895" i="19"/>
  <c r="H1895" i="19" s="1"/>
  <c r="E1895" i="19"/>
  <c r="O8" i="14"/>
  <c r="F8" i="14"/>
  <c r="E2813" i="23"/>
  <c r="D2328" i="19"/>
  <c r="I2328" i="19" s="1"/>
  <c r="C2276" i="19"/>
  <c r="H2276" i="19" s="1"/>
  <c r="D2276" i="19"/>
  <c r="I2276" i="19" s="1"/>
  <c r="N7" i="16"/>
  <c r="E2828" i="23" s="1"/>
  <c r="G7" i="16"/>
  <c r="D3007" i="23"/>
  <c r="H14" i="18"/>
  <c r="E1114" i="23"/>
  <c r="C2583" i="19"/>
  <c r="H2583" i="19" s="1"/>
  <c r="G2583" i="19" s="1"/>
  <c r="D1114" i="23"/>
  <c r="E1152" i="23"/>
  <c r="E2639" i="19"/>
  <c r="D1152" i="23"/>
  <c r="M39" i="18"/>
  <c r="G1093" i="19"/>
  <c r="E2133" i="19"/>
  <c r="E1201" i="23"/>
  <c r="D1201" i="23"/>
  <c r="E1219" i="23"/>
  <c r="D1219" i="23"/>
  <c r="D1237" i="23"/>
  <c r="E1237" i="23"/>
  <c r="B1876" i="23"/>
  <c r="B1923" i="23"/>
  <c r="B34" i="23"/>
  <c r="N580" i="19"/>
  <c r="N531" i="19"/>
  <c r="B1938" i="23"/>
  <c r="B1891" i="23"/>
  <c r="B49" i="23"/>
  <c r="N498" i="19"/>
  <c r="B1945" i="23"/>
  <c r="B56" i="23"/>
  <c r="B1898" i="23"/>
  <c r="N554" i="19"/>
  <c r="N602" i="19"/>
  <c r="B1902" i="23"/>
  <c r="B1949" i="23"/>
  <c r="B60" i="23"/>
  <c r="N509" i="19"/>
  <c r="B1906" i="23"/>
  <c r="B64" i="23"/>
  <c r="B1953" i="23"/>
  <c r="N610" i="19"/>
  <c r="N562" i="19"/>
  <c r="E171" i="23"/>
  <c r="E1017" i="19"/>
  <c r="C1017" i="19"/>
  <c r="H1017" i="19" s="1"/>
  <c r="E175" i="23"/>
  <c r="E1021" i="19"/>
  <c r="C1021" i="19"/>
  <c r="H1021" i="19" s="1"/>
  <c r="E179" i="23"/>
  <c r="C1025" i="19"/>
  <c r="H1025" i="19" s="1"/>
  <c r="D928" i="19"/>
  <c r="I928" i="19" s="1"/>
  <c r="G928" i="19" s="1"/>
  <c r="E1025" i="19"/>
  <c r="E183" i="23"/>
  <c r="D932" i="19"/>
  <c r="I932" i="19" s="1"/>
  <c r="C1029" i="19"/>
  <c r="H1029" i="19" s="1"/>
  <c r="G1029" i="19" s="1"/>
  <c r="C932" i="19"/>
  <c r="H932" i="19" s="1"/>
  <c r="U22" i="7"/>
  <c r="U32" i="7"/>
  <c r="U36" i="7"/>
  <c r="U40" i="7"/>
  <c r="U47" i="7"/>
  <c r="B2377" i="23"/>
  <c r="B2424" i="23"/>
  <c r="B300" i="23"/>
  <c r="N1298" i="19"/>
  <c r="N1346" i="19"/>
  <c r="N1503" i="19"/>
  <c r="N1552" i="19"/>
  <c r="N1648" i="19"/>
  <c r="N1504" i="19"/>
  <c r="B2578" i="23"/>
  <c r="B2531" i="23"/>
  <c r="N1509" i="19"/>
  <c r="N1557" i="19"/>
  <c r="B360" i="23"/>
  <c r="N1605" i="19"/>
  <c r="D1562" i="19"/>
  <c r="I1562" i="19" s="1"/>
  <c r="D1610" i="19"/>
  <c r="I1610" i="19" s="1"/>
  <c r="E2536" i="23"/>
  <c r="C1562" i="19"/>
  <c r="H1562" i="19" s="1"/>
  <c r="D1541" i="19"/>
  <c r="I1541" i="19" s="1"/>
  <c r="C1541" i="19"/>
  <c r="H1541" i="19" s="1"/>
  <c r="E392" i="23"/>
  <c r="C1637" i="19"/>
  <c r="H1637" i="19" s="1"/>
  <c r="E221" i="23"/>
  <c r="D1070" i="19"/>
  <c r="I1070" i="19" s="1"/>
  <c r="G1070" i="19" s="1"/>
  <c r="C1167" i="19"/>
  <c r="H1167" i="19" s="1"/>
  <c r="U15" i="9"/>
  <c r="U25" i="9"/>
  <c r="U45" i="9"/>
  <c r="B2441" i="23"/>
  <c r="B2488" i="23"/>
  <c r="B317" i="23"/>
  <c r="E2442" i="23"/>
  <c r="D1415" i="19"/>
  <c r="I1415" i="19" s="1"/>
  <c r="G1415" i="19" s="1"/>
  <c r="D1464" i="19"/>
  <c r="I1464" i="19" s="1"/>
  <c r="D2089" i="19"/>
  <c r="I2089" i="19" s="1"/>
  <c r="D2121" i="19"/>
  <c r="I2121" i="19" s="1"/>
  <c r="G2121" i="19" s="1"/>
  <c r="C2089" i="19"/>
  <c r="H2089" i="19" s="1"/>
  <c r="G15" i="28"/>
  <c r="E632" i="23"/>
  <c r="C2101" i="19"/>
  <c r="H2101" i="19" s="1"/>
  <c r="D2101" i="19"/>
  <c r="I2101" i="19" s="1"/>
  <c r="D2133" i="19"/>
  <c r="I2133" i="19" s="1"/>
  <c r="D2104" i="19"/>
  <c r="I2104" i="19" s="1"/>
  <c r="E635" i="23"/>
  <c r="C2104" i="19"/>
  <c r="H2104" i="19" s="1"/>
  <c r="G2104" i="19" s="1"/>
  <c r="D2136" i="19"/>
  <c r="I2136" i="19" s="1"/>
  <c r="E711" i="23"/>
  <c r="D2206" i="19"/>
  <c r="I2206" i="19" s="1"/>
  <c r="D2174" i="19"/>
  <c r="I2174" i="19" s="1"/>
  <c r="G2174" i="19" s="1"/>
  <c r="N40" i="28"/>
  <c r="E745" i="23" s="1"/>
  <c r="G40" i="28"/>
  <c r="E732" i="23"/>
  <c r="D2195" i="19"/>
  <c r="I2195" i="19" s="1"/>
  <c r="C2195" i="19"/>
  <c r="H2195" i="19" s="1"/>
  <c r="E734" i="23"/>
  <c r="D2229" i="19"/>
  <c r="I2229" i="19" s="1"/>
  <c r="D2197" i="19"/>
  <c r="I2197" i="19" s="1"/>
  <c r="C2197" i="19"/>
  <c r="H2197" i="19" s="1"/>
  <c r="G2197" i="19" s="1"/>
  <c r="N63" i="28"/>
  <c r="E768" i="23" s="1"/>
  <c r="E504" i="23"/>
  <c r="D2013" i="19"/>
  <c r="I2013" i="19" s="1"/>
  <c r="C1981" i="19"/>
  <c r="H1981" i="19" s="1"/>
  <c r="D1981" i="19"/>
  <c r="I1981" i="19" s="1"/>
  <c r="G11" i="15"/>
  <c r="N2023" i="19"/>
  <c r="N1958" i="19"/>
  <c r="E2624" i="23"/>
  <c r="D1749" i="19"/>
  <c r="I1749" i="19" s="1"/>
  <c r="D1702" i="19"/>
  <c r="I1702" i="19" s="1"/>
  <c r="C1702" i="19"/>
  <c r="H1702" i="19" s="1"/>
  <c r="E2627" i="23"/>
  <c r="D1705" i="19"/>
  <c r="I1705" i="19" s="1"/>
  <c r="C1705" i="19"/>
  <c r="H1705" i="19" s="1"/>
  <c r="D1752" i="19"/>
  <c r="I1752" i="19" s="1"/>
  <c r="E2662" i="23"/>
  <c r="D1787" i="19"/>
  <c r="I1787" i="19" s="1"/>
  <c r="D1740" i="19"/>
  <c r="I1740" i="19" s="1"/>
  <c r="C1740" i="19"/>
  <c r="H1740" i="19" s="1"/>
  <c r="G1740" i="19" s="1"/>
  <c r="G45" i="13"/>
  <c r="M10" i="16"/>
  <c r="M17" i="16" s="1"/>
  <c r="G15" i="2"/>
  <c r="D1315" i="23" s="1"/>
  <c r="S17" i="2"/>
  <c r="G25" i="2"/>
  <c r="D1325" i="23" s="1"/>
  <c r="S27" i="2"/>
  <c r="O29" i="2"/>
  <c r="G49" i="2"/>
  <c r="D1349" i="23" s="1"/>
  <c r="E15" i="23"/>
  <c r="D15" i="23"/>
  <c r="E283" i="19"/>
  <c r="C283" i="19"/>
  <c r="H283" i="19" s="1"/>
  <c r="D283" i="19"/>
  <c r="I283" i="19" s="1"/>
  <c r="E27" i="23"/>
  <c r="D476" i="19"/>
  <c r="I476" i="19" s="1"/>
  <c r="C476" i="19"/>
  <c r="H476" i="19" s="1"/>
  <c r="D484" i="19"/>
  <c r="I484" i="19" s="1"/>
  <c r="G484" i="19" s="1"/>
  <c r="E39" i="23"/>
  <c r="C585" i="19"/>
  <c r="H585" i="19" s="1"/>
  <c r="E53" i="23"/>
  <c r="D502" i="19"/>
  <c r="I502" i="19" s="1"/>
  <c r="G502" i="19" s="1"/>
  <c r="E61" i="23"/>
  <c r="D510" i="19"/>
  <c r="I510" i="19" s="1"/>
  <c r="G510" i="19" s="1"/>
  <c r="E65" i="23"/>
  <c r="C514" i="19"/>
  <c r="H514" i="19" s="1"/>
  <c r="G514" i="19" s="1"/>
  <c r="E68" i="23"/>
  <c r="E614" i="19"/>
  <c r="C614" i="19"/>
  <c r="H614" i="19" s="1"/>
  <c r="N6" i="6"/>
  <c r="E2012" i="23" s="1"/>
  <c r="N14" i="6"/>
  <c r="E2020" i="23" s="1"/>
  <c r="N18" i="6"/>
  <c r="E2024" i="23" s="1"/>
  <c r="N22" i="6"/>
  <c r="E2028" i="23" s="1"/>
  <c r="N25" i="6"/>
  <c r="N47" i="6"/>
  <c r="E2053" i="23" s="1"/>
  <c r="E2154" i="23"/>
  <c r="D1017" i="19"/>
  <c r="I1017" i="19" s="1"/>
  <c r="C968" i="19"/>
  <c r="H968" i="19" s="1"/>
  <c r="G968" i="19" s="1"/>
  <c r="E2158" i="23"/>
  <c r="D1021" i="19"/>
  <c r="I1021" i="19" s="1"/>
  <c r="E2162" i="23"/>
  <c r="D976" i="19"/>
  <c r="I976" i="19" s="1"/>
  <c r="E2166" i="23"/>
  <c r="D980" i="19"/>
  <c r="I980" i="19" s="1"/>
  <c r="C980" i="19"/>
  <c r="H980" i="19" s="1"/>
  <c r="E2173" i="23"/>
  <c r="D988" i="19"/>
  <c r="I988" i="19" s="1"/>
  <c r="G988" i="19" s="1"/>
  <c r="E2176" i="23"/>
  <c r="C991" i="19"/>
  <c r="H991" i="19" s="1"/>
  <c r="D991" i="19"/>
  <c r="I991" i="19" s="1"/>
  <c r="E2180" i="23"/>
  <c r="D1043" i="19"/>
  <c r="I1043" i="19" s="1"/>
  <c r="E2184" i="23"/>
  <c r="C999" i="19"/>
  <c r="H999" i="19" s="1"/>
  <c r="G999" i="19" s="1"/>
  <c r="D1047" i="19"/>
  <c r="I1047" i="19" s="1"/>
  <c r="E2188" i="23"/>
  <c r="D1051" i="19"/>
  <c r="I1051" i="19" s="1"/>
  <c r="B2107" i="23"/>
  <c r="B2060" i="23"/>
  <c r="B124" i="23"/>
  <c r="N870" i="19"/>
  <c r="B2111" i="23"/>
  <c r="B2064" i="23"/>
  <c r="B128" i="23"/>
  <c r="N874" i="19"/>
  <c r="N825" i="19"/>
  <c r="N777" i="19"/>
  <c r="B2115" i="23"/>
  <c r="B2068" i="23"/>
  <c r="B132" i="23"/>
  <c r="N781" i="19"/>
  <c r="B2072" i="23"/>
  <c r="B2119" i="23"/>
  <c r="N882" i="19"/>
  <c r="B136" i="23"/>
  <c r="N785" i="19"/>
  <c r="B2126" i="23"/>
  <c r="B143" i="23"/>
  <c r="B2079" i="23"/>
  <c r="N889" i="19"/>
  <c r="B2082" i="23"/>
  <c r="B2129" i="23"/>
  <c r="N892" i="19"/>
  <c r="B146" i="23"/>
  <c r="N795" i="19"/>
  <c r="B2133" i="23"/>
  <c r="B150" i="23"/>
  <c r="B2086" i="23"/>
  <c r="N896" i="19"/>
  <c r="B2137" i="23"/>
  <c r="B2090" i="23"/>
  <c r="B154" i="23"/>
  <c r="N900" i="19"/>
  <c r="N803" i="19"/>
  <c r="B2094" i="23"/>
  <c r="B2141" i="23"/>
  <c r="B158" i="23"/>
  <c r="N856" i="19"/>
  <c r="N904" i="19"/>
  <c r="N1355" i="19"/>
  <c r="N1258" i="19"/>
  <c r="E361" i="23"/>
  <c r="C1606" i="19"/>
  <c r="H1606" i="19" s="1"/>
  <c r="D1510" i="19"/>
  <c r="I1510" i="19" s="1"/>
  <c r="C1510" i="19"/>
  <c r="H1510" i="19" s="1"/>
  <c r="E1606" i="19"/>
  <c r="E2543" i="23"/>
  <c r="C1569" i="19"/>
  <c r="H1569" i="19" s="1"/>
  <c r="G1569" i="19" s="1"/>
  <c r="B2598" i="23"/>
  <c r="B2551" i="23"/>
  <c r="B380" i="23"/>
  <c r="N1625" i="19"/>
  <c r="N1529" i="19"/>
  <c r="N1577" i="19"/>
  <c r="E381" i="23"/>
  <c r="D1530" i="19"/>
  <c r="I1530" i="19" s="1"/>
  <c r="G1530" i="19" s="1"/>
  <c r="E1626" i="19"/>
  <c r="O29" i="12"/>
  <c r="E2563" i="23"/>
  <c r="D1589" i="19"/>
  <c r="I1589" i="19" s="1"/>
  <c r="C1589" i="19"/>
  <c r="H1589" i="19" s="1"/>
  <c r="G1589" i="19" s="1"/>
  <c r="D1637" i="19"/>
  <c r="I1637" i="19" s="1"/>
  <c r="B2572" i="23"/>
  <c r="B2619" i="23"/>
  <c r="B401" i="23"/>
  <c r="N1600" i="19"/>
  <c r="N1551" i="19"/>
  <c r="N1647" i="19"/>
  <c r="E2251" i="23"/>
  <c r="C1118" i="19"/>
  <c r="H1118" i="19" s="1"/>
  <c r="G1118" i="19" s="1"/>
  <c r="D1118" i="19"/>
  <c r="I1118" i="19" s="1"/>
  <c r="N14" i="9"/>
  <c r="E2302" i="23" s="1"/>
  <c r="B2257" i="23"/>
  <c r="B2304" i="23"/>
  <c r="B227" i="23"/>
  <c r="N1173" i="19"/>
  <c r="N1124" i="19"/>
  <c r="E2262" i="23"/>
  <c r="C1129" i="19"/>
  <c r="H1129" i="19" s="1"/>
  <c r="G1129" i="19" s="1"/>
  <c r="D1129" i="19"/>
  <c r="I1129" i="19" s="1"/>
  <c r="N24" i="9"/>
  <c r="E2312" i="23" s="1"/>
  <c r="B2314" i="23"/>
  <c r="B2267" i="23"/>
  <c r="B237" i="23"/>
  <c r="N1183" i="19"/>
  <c r="E2278" i="23"/>
  <c r="D1194" i="19"/>
  <c r="I1194" i="19" s="1"/>
  <c r="C1146" i="19"/>
  <c r="H1146" i="19" s="1"/>
  <c r="D1146" i="19"/>
  <c r="I1146" i="19" s="1"/>
  <c r="B2287" i="23"/>
  <c r="B2334" i="23"/>
  <c r="B257" i="23"/>
  <c r="N1156" i="19"/>
  <c r="N1203" i="19"/>
  <c r="E2288" i="23"/>
  <c r="C1157" i="19"/>
  <c r="H1157" i="19" s="1"/>
  <c r="G1157" i="19" s="1"/>
  <c r="B2481" i="23"/>
  <c r="B2434" i="23"/>
  <c r="B310" i="23"/>
  <c r="N1407" i="19"/>
  <c r="E1457" i="19"/>
  <c r="D1360" i="19"/>
  <c r="I1360" i="19" s="1"/>
  <c r="E311" i="23"/>
  <c r="C1457" i="19"/>
  <c r="H1457" i="19" s="1"/>
  <c r="C1360" i="19"/>
  <c r="H1360" i="19" s="1"/>
  <c r="B2491" i="23"/>
  <c r="B320" i="23"/>
  <c r="N1369" i="19"/>
  <c r="N1417" i="19"/>
  <c r="N1466" i="19"/>
  <c r="E1467" i="19"/>
  <c r="D1370" i="19"/>
  <c r="I1370" i="19" s="1"/>
  <c r="E321" i="23"/>
  <c r="C1467" i="19"/>
  <c r="H1467" i="19" s="1"/>
  <c r="F16" i="11"/>
  <c r="C1370" i="19"/>
  <c r="H1370" i="19" s="1"/>
  <c r="B2476" i="23"/>
  <c r="B2523" i="23"/>
  <c r="B352" i="23"/>
  <c r="N1401" i="19"/>
  <c r="N1498" i="19"/>
  <c r="N1451" i="19"/>
  <c r="N1500" i="19"/>
  <c r="N1453" i="19"/>
  <c r="E679" i="23"/>
  <c r="C2048" i="19"/>
  <c r="H2048" i="19" s="1"/>
  <c r="E2112" i="19"/>
  <c r="E623" i="23"/>
  <c r="D2124" i="19"/>
  <c r="I2124" i="19" s="1"/>
  <c r="D2092" i="19"/>
  <c r="I2092" i="19" s="1"/>
  <c r="C2092" i="19"/>
  <c r="H2092" i="19" s="1"/>
  <c r="E694" i="23"/>
  <c r="D2063" i="19"/>
  <c r="I2063" i="19" s="1"/>
  <c r="E2127" i="19"/>
  <c r="C2063" i="19"/>
  <c r="H2063" i="19" s="1"/>
  <c r="G2063" i="19" s="1"/>
  <c r="F21" i="28"/>
  <c r="S21" i="28"/>
  <c r="N44" i="28"/>
  <c r="J57" i="28"/>
  <c r="E730" i="23"/>
  <c r="D2225" i="19"/>
  <c r="I2225" i="19" s="1"/>
  <c r="C2193" i="19"/>
  <c r="H2193" i="19" s="1"/>
  <c r="D2193" i="19"/>
  <c r="I2193" i="19" s="1"/>
  <c r="G59" i="28"/>
  <c r="N67" i="28"/>
  <c r="E772" i="23" s="1"/>
  <c r="E587" i="23"/>
  <c r="C1953" i="19"/>
  <c r="H1953" i="19" s="1"/>
  <c r="D1953" i="19"/>
  <c r="I1953" i="19" s="1"/>
  <c r="E2018" i="19"/>
  <c r="F16" i="15"/>
  <c r="N2020" i="19"/>
  <c r="N1988" i="19"/>
  <c r="N19" i="15"/>
  <c r="E546" i="23" s="1"/>
  <c r="D592" i="23"/>
  <c r="T21" i="15"/>
  <c r="J21" i="15"/>
  <c r="N24" i="15"/>
  <c r="E551" i="23" s="1"/>
  <c r="I29" i="15"/>
  <c r="D556" i="23" s="1"/>
  <c r="E2621" i="23"/>
  <c r="D1746" i="19"/>
  <c r="I1746" i="19" s="1"/>
  <c r="L23" i="13"/>
  <c r="G4" i="13"/>
  <c r="T4" i="13" s="1"/>
  <c r="E420" i="23"/>
  <c r="E1763" i="19"/>
  <c r="D1668" i="19"/>
  <c r="I1668" i="19" s="1"/>
  <c r="C1763" i="19"/>
  <c r="H1763" i="19" s="1"/>
  <c r="C1668" i="19"/>
  <c r="H1668" i="19" s="1"/>
  <c r="G1668" i="19" s="1"/>
  <c r="R29" i="13"/>
  <c r="E433" i="23"/>
  <c r="C1776" i="19"/>
  <c r="H1776" i="19" s="1"/>
  <c r="E1776" i="19"/>
  <c r="D1681" i="19"/>
  <c r="I1681" i="19" s="1"/>
  <c r="C1681" i="19"/>
  <c r="H1681" i="19" s="1"/>
  <c r="O34" i="13"/>
  <c r="E2654" i="23"/>
  <c r="D1779" i="19"/>
  <c r="I1779" i="19" s="1"/>
  <c r="D1732" i="19"/>
  <c r="I1732" i="19" s="1"/>
  <c r="E2657" i="23"/>
  <c r="D1782" i="19"/>
  <c r="I1782" i="19" s="1"/>
  <c r="D1735" i="19"/>
  <c r="I1735" i="19" s="1"/>
  <c r="C1735" i="19"/>
  <c r="H1735" i="19" s="1"/>
  <c r="G1735" i="19" s="1"/>
  <c r="B2706" i="23"/>
  <c r="B441" i="23"/>
  <c r="N1689" i="19"/>
  <c r="N1737" i="19"/>
  <c r="N1784" i="19"/>
  <c r="E2724" i="23"/>
  <c r="D1853" i="19"/>
  <c r="I1853" i="19" s="1"/>
  <c r="D1900" i="19"/>
  <c r="I1900" i="19" s="1"/>
  <c r="C1853" i="19"/>
  <c r="H1853" i="19" s="1"/>
  <c r="G1853" i="19" s="1"/>
  <c r="E2736" i="23"/>
  <c r="D1912" i="19"/>
  <c r="I1912" i="19" s="1"/>
  <c r="D1865" i="19"/>
  <c r="I1865" i="19" s="1"/>
  <c r="C1865" i="19"/>
  <c r="H1865" i="19" s="1"/>
  <c r="D2748" i="23"/>
  <c r="I37" i="14"/>
  <c r="D2796" i="23" s="1"/>
  <c r="C1929" i="19"/>
  <c r="H1929" i="19" s="1"/>
  <c r="D1834" i="19"/>
  <c r="I1834" i="19" s="1"/>
  <c r="C1834" i="19"/>
  <c r="H1834" i="19" s="1"/>
  <c r="E1929" i="19"/>
  <c r="E488" i="23"/>
  <c r="S42" i="14"/>
  <c r="D2260" i="19"/>
  <c r="I2260" i="19" s="1"/>
  <c r="C2342" i="19"/>
  <c r="H2342" i="19" s="1"/>
  <c r="E890" i="23"/>
  <c r="E2342" i="19"/>
  <c r="C2261" i="19"/>
  <c r="F31" i="16"/>
  <c r="D890" i="23" s="1"/>
  <c r="E893" i="23"/>
  <c r="E2345" i="19"/>
  <c r="D2263" i="19"/>
  <c r="I2263" i="19" s="1"/>
  <c r="G2263" i="19" s="1"/>
  <c r="C2263" i="19"/>
  <c r="C2345" i="19"/>
  <c r="F34" i="16"/>
  <c r="D893" i="23" s="1"/>
  <c r="N50" i="16"/>
  <c r="D2873" i="23"/>
  <c r="I57" i="16"/>
  <c r="D2926" i="23" s="1"/>
  <c r="J57" i="16"/>
  <c r="E904" i="23"/>
  <c r="C2451" i="19"/>
  <c r="H2451" i="19" s="1"/>
  <c r="C2497" i="19"/>
  <c r="H2497" i="19" s="1"/>
  <c r="G2497" i="19" s="1"/>
  <c r="D2451" i="19"/>
  <c r="I2451" i="19" s="1"/>
  <c r="C2471" i="19"/>
  <c r="H2471" i="19" s="1"/>
  <c r="E7" i="17"/>
  <c r="N7" i="17"/>
  <c r="H10" i="17"/>
  <c r="D2965" i="23" s="1"/>
  <c r="D915" i="23"/>
  <c r="C2385" i="19"/>
  <c r="H2385" i="19" s="1"/>
  <c r="D2385" i="19"/>
  <c r="I2385" i="19" s="1"/>
  <c r="D2402" i="19"/>
  <c r="I2402" i="19" s="1"/>
  <c r="C2402" i="19"/>
  <c r="H2402" i="19" s="1"/>
  <c r="E1005" i="23"/>
  <c r="D2515" i="19"/>
  <c r="I2515" i="19" s="1"/>
  <c r="G2515" i="19" s="1"/>
  <c r="D1005" i="23"/>
  <c r="K73" i="17"/>
  <c r="E1084" i="23" s="1"/>
  <c r="M79" i="17"/>
  <c r="E3010" i="23"/>
  <c r="M17" i="18"/>
  <c r="J17" i="18"/>
  <c r="E2991" i="23" s="1"/>
  <c r="E1126" i="23"/>
  <c r="D1126" i="23"/>
  <c r="E1125" i="23"/>
  <c r="C2603" i="19"/>
  <c r="H2603" i="19" s="1"/>
  <c r="G2603" i="19" s="1"/>
  <c r="J34" i="18"/>
  <c r="E1164" i="23"/>
  <c r="D1164" i="23"/>
  <c r="D2555" i="19"/>
  <c r="I2555" i="19" s="1"/>
  <c r="N483" i="19"/>
  <c r="C524" i="19"/>
  <c r="H524" i="19" s="1"/>
  <c r="G524" i="19" s="1"/>
  <c r="N558" i="19"/>
  <c r="E577" i="19"/>
  <c r="E599" i="19"/>
  <c r="C678" i="19"/>
  <c r="H678" i="19" s="1"/>
  <c r="D685" i="19"/>
  <c r="I685" i="19" s="1"/>
  <c r="D692" i="19"/>
  <c r="I692" i="19" s="1"/>
  <c r="R731" i="19"/>
  <c r="V731" i="19" s="1"/>
  <c r="C749" i="19"/>
  <c r="H749" i="19" s="1"/>
  <c r="D788" i="19"/>
  <c r="I788" i="19" s="1"/>
  <c r="C798" i="19"/>
  <c r="H798" i="19" s="1"/>
  <c r="D816" i="19"/>
  <c r="I816" i="19" s="1"/>
  <c r="G816" i="19" s="1"/>
  <c r="C888" i="19"/>
  <c r="H888" i="19" s="1"/>
  <c r="C920" i="19"/>
  <c r="H920" i="19" s="1"/>
  <c r="N928" i="19"/>
  <c r="D1167" i="19"/>
  <c r="I1167" i="19" s="1"/>
  <c r="R1460" i="19"/>
  <c r="V1460" i="19" s="1"/>
  <c r="J1460" i="19"/>
  <c r="G1460" i="19" s="1"/>
  <c r="M286" i="23"/>
  <c r="F286" i="23" s="1"/>
  <c r="N286" i="23"/>
  <c r="D1274" i="23"/>
  <c r="E1274" i="23"/>
  <c r="E1218" i="23"/>
  <c r="D1218" i="23"/>
  <c r="E50" i="19"/>
  <c r="E1969" i="23"/>
  <c r="D677" i="19"/>
  <c r="I677" i="19" s="1"/>
  <c r="E1987" i="23"/>
  <c r="D744" i="19"/>
  <c r="I744" i="19" s="1"/>
  <c r="E1991" i="23"/>
  <c r="D700" i="19"/>
  <c r="I700" i="19" s="1"/>
  <c r="E1995" i="23"/>
  <c r="C704" i="19"/>
  <c r="H704" i="19" s="1"/>
  <c r="D752" i="19"/>
  <c r="I752" i="19" s="1"/>
  <c r="D704" i="19"/>
  <c r="I704" i="19" s="1"/>
  <c r="E1999" i="23"/>
  <c r="D708" i="19"/>
  <c r="I708" i="19" s="1"/>
  <c r="C708" i="19"/>
  <c r="H708" i="19" s="1"/>
  <c r="D756" i="19"/>
  <c r="I756" i="19" s="1"/>
  <c r="B2204" i="23"/>
  <c r="B174" i="23"/>
  <c r="B2157" i="23"/>
  <c r="N923" i="19"/>
  <c r="N1020" i="19"/>
  <c r="N971" i="19"/>
  <c r="B2212" i="23"/>
  <c r="B182" i="23"/>
  <c r="B2165" i="23"/>
  <c r="N931" i="19"/>
  <c r="N1028" i="19"/>
  <c r="B2179" i="23"/>
  <c r="B2226" i="23"/>
  <c r="B196" i="23"/>
  <c r="N945" i="19"/>
  <c r="N994" i="19"/>
  <c r="B2183" i="23"/>
  <c r="B2230" i="23"/>
  <c r="B200" i="23"/>
  <c r="N998" i="19"/>
  <c r="N1046" i="19"/>
  <c r="E268" i="23"/>
  <c r="E1314" i="19"/>
  <c r="D1217" i="19"/>
  <c r="I1217" i="19" s="1"/>
  <c r="C1217" i="19"/>
  <c r="H1217" i="19" s="1"/>
  <c r="C1314" i="19"/>
  <c r="H1314" i="19" s="1"/>
  <c r="E272" i="23"/>
  <c r="C1318" i="19"/>
  <c r="H1318" i="19" s="1"/>
  <c r="E1318" i="19"/>
  <c r="D1221" i="19"/>
  <c r="I1221" i="19" s="1"/>
  <c r="G1221" i="19" s="1"/>
  <c r="C1322" i="19"/>
  <c r="H1322" i="19" s="1"/>
  <c r="E276" i="23"/>
  <c r="E1322" i="19"/>
  <c r="D1225" i="19"/>
  <c r="I1225" i="19" s="1"/>
  <c r="C1225" i="19"/>
  <c r="H1225" i="19" s="1"/>
  <c r="E283" i="23"/>
  <c r="C1329" i="19"/>
  <c r="H1329" i="19" s="1"/>
  <c r="E1329" i="19"/>
  <c r="C1232" i="19"/>
  <c r="H1232" i="19" s="1"/>
  <c r="G1232" i="19" s="1"/>
  <c r="E286" i="23"/>
  <c r="C1332" i="19"/>
  <c r="H1332" i="19" s="1"/>
  <c r="E1332" i="19"/>
  <c r="D1235" i="19"/>
  <c r="I1235" i="19" s="1"/>
  <c r="C1235" i="19"/>
  <c r="H1235" i="19" s="1"/>
  <c r="E385" i="23"/>
  <c r="D1534" i="19"/>
  <c r="I1534" i="19" s="1"/>
  <c r="E1630" i="19"/>
  <c r="C1630" i="19"/>
  <c r="H1630" i="19" s="1"/>
  <c r="C1534" i="19"/>
  <c r="H1534" i="19" s="1"/>
  <c r="O33" i="12"/>
  <c r="B2261" i="23"/>
  <c r="B2308" i="23"/>
  <c r="B231" i="23"/>
  <c r="N1128" i="19"/>
  <c r="N1080" i="19"/>
  <c r="N1177" i="19"/>
  <c r="E241" i="23"/>
  <c r="C1090" i="19"/>
  <c r="H1090" i="19" s="1"/>
  <c r="C1187" i="19"/>
  <c r="H1187" i="19" s="1"/>
  <c r="E2282" i="23"/>
  <c r="D1150" i="19"/>
  <c r="I1150" i="19" s="1"/>
  <c r="C1150" i="19"/>
  <c r="H1150" i="19" s="1"/>
  <c r="E2454" i="23"/>
  <c r="D1427" i="19"/>
  <c r="I1427" i="19" s="1"/>
  <c r="C1427" i="19"/>
  <c r="H1427" i="19" s="1"/>
  <c r="D1476" i="19"/>
  <c r="I1476" i="19" s="1"/>
  <c r="E1427" i="19"/>
  <c r="G25" i="11"/>
  <c r="D341" i="23"/>
  <c r="R36" i="11"/>
  <c r="B2518" i="23"/>
  <c r="B2471" i="23"/>
  <c r="B347" i="23"/>
  <c r="N1493" i="19"/>
  <c r="N1445" i="19"/>
  <c r="N1396" i="19"/>
  <c r="E350" i="23"/>
  <c r="E1496" i="19"/>
  <c r="C1399" i="19"/>
  <c r="H1399" i="19" s="1"/>
  <c r="G1399" i="19" s="1"/>
  <c r="F45" i="11"/>
  <c r="S45" i="11"/>
  <c r="D2098" i="19"/>
  <c r="I2098" i="19" s="1"/>
  <c r="E629" i="23"/>
  <c r="C2098" i="19"/>
  <c r="H2098" i="19" s="1"/>
  <c r="D2130" i="19"/>
  <c r="I2130" i="19" s="1"/>
  <c r="E703" i="23"/>
  <c r="E2136" i="19"/>
  <c r="D2072" i="19"/>
  <c r="I2072" i="19" s="1"/>
  <c r="C2072" i="19"/>
  <c r="H2072" i="19" s="1"/>
  <c r="C2142" i="19"/>
  <c r="H2142" i="19" s="1"/>
  <c r="E779" i="23"/>
  <c r="D2142" i="19"/>
  <c r="I2142" i="19" s="1"/>
  <c r="E2206" i="19"/>
  <c r="O40" i="28"/>
  <c r="F40" i="28"/>
  <c r="E717" i="23"/>
  <c r="D2180" i="19"/>
  <c r="I2180" i="19" s="1"/>
  <c r="C2180" i="19"/>
  <c r="H2180" i="19" s="1"/>
  <c r="N2185" i="19"/>
  <c r="N2153" i="19"/>
  <c r="N2217" i="19"/>
  <c r="E800" i="23"/>
  <c r="C2163" i="19"/>
  <c r="H2163" i="19" s="1"/>
  <c r="E2227" i="19"/>
  <c r="D2163" i="19"/>
  <c r="I2163" i="19" s="1"/>
  <c r="E582" i="23"/>
  <c r="E2013" i="19"/>
  <c r="D1948" i="19"/>
  <c r="I1948" i="19" s="1"/>
  <c r="C1948" i="19"/>
  <c r="H1948" i="19" s="1"/>
  <c r="U11" i="15"/>
  <c r="D2024" i="19"/>
  <c r="I2024" i="19" s="1"/>
  <c r="D1992" i="19"/>
  <c r="I1992" i="19" s="1"/>
  <c r="E515" i="23"/>
  <c r="C1992" i="19"/>
  <c r="H1992" i="19" s="1"/>
  <c r="D603" i="23"/>
  <c r="R32" i="15"/>
  <c r="E444" i="23"/>
  <c r="D1692" i="19"/>
  <c r="I1692" i="19" s="1"/>
  <c r="G1692" i="19" s="1"/>
  <c r="O45" i="13"/>
  <c r="E1787" i="19"/>
  <c r="C1787" i="19"/>
  <c r="H1787" i="19" s="1"/>
  <c r="B2721" i="23"/>
  <c r="B456" i="23"/>
  <c r="B2769" i="23"/>
  <c r="N1897" i="19"/>
  <c r="N1850" i="19"/>
  <c r="N1802" i="19"/>
  <c r="E2741" i="23"/>
  <c r="D1917" i="19"/>
  <c r="I1917" i="19" s="1"/>
  <c r="C1870" i="19"/>
  <c r="H1870" i="19" s="1"/>
  <c r="D1870" i="19"/>
  <c r="I1870" i="19" s="1"/>
  <c r="N30" i="14"/>
  <c r="B483" i="23"/>
  <c r="N1829" i="19"/>
  <c r="N1924" i="19"/>
  <c r="B2748" i="23"/>
  <c r="N1877" i="19"/>
  <c r="B2796" i="23"/>
  <c r="E2751" i="23"/>
  <c r="D1927" i="19"/>
  <c r="I1927" i="19" s="1"/>
  <c r="C1880" i="19"/>
  <c r="H1880" i="19" s="1"/>
  <c r="D1880" i="19"/>
  <c r="I1880" i="19" s="1"/>
  <c r="N40" i="14"/>
  <c r="E2799" i="23" s="1"/>
  <c r="E2761" i="23"/>
  <c r="C1890" i="19"/>
  <c r="H1890" i="19" s="1"/>
  <c r="D1890" i="19"/>
  <c r="I1890" i="19" s="1"/>
  <c r="D1937" i="19"/>
  <c r="I1937" i="19" s="1"/>
  <c r="G1937" i="19" s="1"/>
  <c r="N50" i="14"/>
  <c r="E2809" i="23" s="1"/>
  <c r="D2879" i="23"/>
  <c r="I63" i="16"/>
  <c r="D2932" i="23" s="1"/>
  <c r="D907" i="23"/>
  <c r="D968" i="23"/>
  <c r="E968" i="23"/>
  <c r="D2427" i="19"/>
  <c r="I2427" i="19" s="1"/>
  <c r="G2427" i="19" s="1"/>
  <c r="D973" i="23"/>
  <c r="E973" i="23"/>
  <c r="D2431" i="19"/>
  <c r="I2431" i="19" s="1"/>
  <c r="G2431" i="19" s="1"/>
  <c r="E2441" i="19"/>
  <c r="E1035" i="23"/>
  <c r="D1035" i="23"/>
  <c r="I65" i="17"/>
  <c r="C553" i="19"/>
  <c r="H553" i="19" s="1"/>
  <c r="G553" i="19" s="1"/>
  <c r="N1074" i="19"/>
  <c r="N1301" i="19"/>
  <c r="G1662" i="19"/>
  <c r="D1693" i="19"/>
  <c r="I1693" i="19" s="1"/>
  <c r="G1693" i="19" s="1"/>
  <c r="E1209" i="23"/>
  <c r="D1209" i="23"/>
  <c r="E1595" i="23"/>
  <c r="E233" i="19"/>
  <c r="E234" i="19"/>
  <c r="N10" i="3"/>
  <c r="B1919" i="23"/>
  <c r="B1872" i="23"/>
  <c r="B30" i="23"/>
  <c r="N527" i="19"/>
  <c r="B1927" i="23"/>
  <c r="B38" i="23"/>
  <c r="B1880" i="23"/>
  <c r="N487" i="19"/>
  <c r="N584" i="19"/>
  <c r="N535" i="19"/>
  <c r="B1931" i="23"/>
  <c r="B1884" i="23"/>
  <c r="B42" i="23"/>
  <c r="N491" i="19"/>
  <c r="N588" i="19"/>
  <c r="B1941" i="23"/>
  <c r="B1894" i="23"/>
  <c r="B52" i="23"/>
  <c r="N670" i="19"/>
  <c r="N621" i="19"/>
  <c r="E193" i="23"/>
  <c r="D942" i="19"/>
  <c r="I942" i="19" s="1"/>
  <c r="C942" i="19"/>
  <c r="H942" i="19" s="1"/>
  <c r="E197" i="23"/>
  <c r="E1043" i="19"/>
  <c r="C1043" i="19"/>
  <c r="H1043" i="19" s="1"/>
  <c r="D946" i="19"/>
  <c r="I946" i="19" s="1"/>
  <c r="C946" i="19"/>
  <c r="H946" i="19" s="1"/>
  <c r="E205" i="23"/>
  <c r="E1051" i="19"/>
  <c r="C1051" i="19"/>
  <c r="H1051" i="19" s="1"/>
  <c r="D954" i="19"/>
  <c r="I954" i="19" s="1"/>
  <c r="C954" i="19"/>
  <c r="H954" i="19" s="1"/>
  <c r="U10" i="7"/>
  <c r="U18" i="7"/>
  <c r="U25" i="7"/>
  <c r="E2341" i="23"/>
  <c r="D1261" i="19"/>
  <c r="I1261" i="19" s="1"/>
  <c r="G1261" i="19" s="1"/>
  <c r="D1310" i="19"/>
  <c r="I1310" i="19" s="1"/>
  <c r="E2345" i="23"/>
  <c r="D1314" i="19"/>
  <c r="I1314" i="19" s="1"/>
  <c r="C1265" i="19"/>
  <c r="H1265" i="19" s="1"/>
  <c r="D1265" i="19"/>
  <c r="I1265" i="19" s="1"/>
  <c r="E2357" i="23"/>
  <c r="D1326" i="19"/>
  <c r="I1326" i="19" s="1"/>
  <c r="D1277" i="19"/>
  <c r="I1277" i="19" s="1"/>
  <c r="G1277" i="19" s="1"/>
  <c r="E2367" i="23"/>
  <c r="C1288" i="19"/>
  <c r="H1288" i="19" s="1"/>
  <c r="D1288" i="19"/>
  <c r="I1288" i="19" s="1"/>
  <c r="D1336" i="19"/>
  <c r="E2371" i="23"/>
  <c r="C1292" i="19"/>
  <c r="H1292" i="19" s="1"/>
  <c r="D1340" i="19"/>
  <c r="I1340" i="19" s="1"/>
  <c r="D1292" i="19"/>
  <c r="I1292" i="19" s="1"/>
  <c r="B2542" i="23"/>
  <c r="B2589" i="23"/>
  <c r="B371" i="23"/>
  <c r="N1616" i="19"/>
  <c r="N1568" i="19"/>
  <c r="E2556" i="23"/>
  <c r="D1630" i="19"/>
  <c r="I1630" i="19" s="1"/>
  <c r="D1582" i="19"/>
  <c r="I1582" i="19" s="1"/>
  <c r="G1582" i="19" s="1"/>
  <c r="B2297" i="23"/>
  <c r="B2250" i="23"/>
  <c r="B220" i="23"/>
  <c r="E232" i="23"/>
  <c r="D1081" i="19"/>
  <c r="I1081" i="19" s="1"/>
  <c r="C1081" i="19"/>
  <c r="H1081" i="19" s="1"/>
  <c r="E1178" i="19"/>
  <c r="C1178" i="19"/>
  <c r="H1178" i="19" s="1"/>
  <c r="E2271" i="23"/>
  <c r="C1139" i="19"/>
  <c r="H1139" i="19" s="1"/>
  <c r="D1187" i="19"/>
  <c r="I1187" i="19" s="1"/>
  <c r="D1139" i="19"/>
  <c r="I1139" i="19" s="1"/>
  <c r="B2324" i="23"/>
  <c r="B2277" i="23"/>
  <c r="B247" i="23"/>
  <c r="N1193" i="19"/>
  <c r="N1145" i="19"/>
  <c r="E248" i="23"/>
  <c r="C1194" i="19"/>
  <c r="H1194" i="19" s="1"/>
  <c r="D1097" i="19"/>
  <c r="I1097" i="19" s="1"/>
  <c r="C1097" i="19"/>
  <c r="H1097" i="19" s="1"/>
  <c r="E1194" i="19"/>
  <c r="E258" i="23"/>
  <c r="D1107" i="19"/>
  <c r="I1107" i="19" s="1"/>
  <c r="C1107" i="19"/>
  <c r="H1107" i="19" s="1"/>
  <c r="O47" i="9"/>
  <c r="U26" i="11"/>
  <c r="E2474" i="23"/>
  <c r="D1496" i="19"/>
  <c r="I1496" i="19" s="1"/>
  <c r="D1448" i="19"/>
  <c r="I1448" i="19" s="1"/>
  <c r="C1448" i="19"/>
  <c r="H1448" i="19" s="1"/>
  <c r="N2135" i="19"/>
  <c r="N2071" i="19"/>
  <c r="N2103" i="19"/>
  <c r="N2106" i="19"/>
  <c r="N2138" i="19"/>
  <c r="N2074" i="19"/>
  <c r="N2151" i="19"/>
  <c r="N2215" i="19"/>
  <c r="E2225" i="19"/>
  <c r="C2161" i="19"/>
  <c r="H2161" i="19" s="1"/>
  <c r="E798" i="23"/>
  <c r="D2161" i="19"/>
  <c r="I2161" i="19" s="1"/>
  <c r="F59" i="28"/>
  <c r="N1975" i="19"/>
  <c r="N1942" i="19"/>
  <c r="N2007" i="19"/>
  <c r="B2629" i="23"/>
  <c r="B411" i="23"/>
  <c r="N1754" i="19"/>
  <c r="B2676" i="23"/>
  <c r="N1659" i="19"/>
  <c r="N1707" i="19"/>
  <c r="B2656" i="23"/>
  <c r="B2703" i="23"/>
  <c r="N1734" i="19"/>
  <c r="N1686" i="19"/>
  <c r="B438" i="23"/>
  <c r="N1781" i="19"/>
  <c r="U46" i="13"/>
  <c r="B2716" i="23"/>
  <c r="B2764" i="23"/>
  <c r="N1892" i="19"/>
  <c r="B451" i="23"/>
  <c r="N1797" i="19"/>
  <c r="N1845" i="19"/>
  <c r="E1900" i="19"/>
  <c r="C1900" i="19"/>
  <c r="H1900" i="19" s="1"/>
  <c r="C1805" i="19"/>
  <c r="H1805" i="19" s="1"/>
  <c r="G1805" i="19" s="1"/>
  <c r="E459" i="23"/>
  <c r="U13" i="14"/>
  <c r="O13" i="14"/>
  <c r="E464" i="23"/>
  <c r="D1810" i="19"/>
  <c r="I1810" i="19" s="1"/>
  <c r="C1905" i="19"/>
  <c r="H1905" i="19" s="1"/>
  <c r="C1810" i="19"/>
  <c r="H1810" i="19" s="1"/>
  <c r="C1817" i="19"/>
  <c r="H1817" i="19" s="1"/>
  <c r="D1817" i="19"/>
  <c r="I1817" i="19" s="1"/>
  <c r="E471" i="23"/>
  <c r="S25" i="14"/>
  <c r="C1912" i="19"/>
  <c r="H1912" i="19" s="1"/>
  <c r="G1912" i="19" s="1"/>
  <c r="U33" i="14"/>
  <c r="D2864" i="23"/>
  <c r="D2883" i="23"/>
  <c r="I67" i="16"/>
  <c r="D2936" i="23" s="1"/>
  <c r="J67" i="16"/>
  <c r="E948" i="23"/>
  <c r="D948" i="23"/>
  <c r="D2392" i="19"/>
  <c r="I2392" i="19" s="1"/>
  <c r="G2392" i="19" s="1"/>
  <c r="E54" i="17"/>
  <c r="E983" i="23"/>
  <c r="D983" i="23"/>
  <c r="D2462" i="19"/>
  <c r="I2462" i="19" s="1"/>
  <c r="G2462" i="19" s="1"/>
  <c r="E979" i="23"/>
  <c r="D979" i="23"/>
  <c r="D2438" i="19"/>
  <c r="I2438" i="19" s="1"/>
  <c r="G2438" i="19" s="1"/>
  <c r="J60" i="17"/>
  <c r="E3020" i="23"/>
  <c r="O6" i="18"/>
  <c r="E3007" i="23"/>
  <c r="J14" i="18"/>
  <c r="D1120" i="23"/>
  <c r="E1120" i="23"/>
  <c r="D1125" i="23"/>
  <c r="H34" i="18"/>
  <c r="E2655" i="19"/>
  <c r="D1155" i="23"/>
  <c r="E1155" i="23"/>
  <c r="E1182" i="23"/>
  <c r="D2616" i="19"/>
  <c r="I2616" i="19" s="1"/>
  <c r="D1275" i="23"/>
  <c r="E1275" i="23"/>
  <c r="E86" i="19"/>
  <c r="D1283" i="23"/>
  <c r="E1283" i="23"/>
  <c r="D1291" i="23"/>
  <c r="E1291" i="23"/>
  <c r="D78" i="19"/>
  <c r="I78" i="19" s="1"/>
  <c r="D1247" i="23"/>
  <c r="E1247" i="23"/>
  <c r="E1263" i="23"/>
  <c r="D1263" i="23"/>
  <c r="E1202" i="23"/>
  <c r="D1202" i="23"/>
  <c r="E42" i="19"/>
  <c r="I57" i="1"/>
  <c r="D1299" i="23"/>
  <c r="E1299" i="23"/>
  <c r="N20" i="3"/>
  <c r="E18" i="23"/>
  <c r="D18" i="23"/>
  <c r="H326" i="19"/>
  <c r="G326" i="19" s="1"/>
  <c r="C326" i="19"/>
  <c r="E1873" i="23"/>
  <c r="C528" i="19"/>
  <c r="H528" i="19" s="1"/>
  <c r="G528" i="19" s="1"/>
  <c r="D577" i="19"/>
  <c r="I577" i="19" s="1"/>
  <c r="E1881" i="23"/>
  <c r="D585" i="19"/>
  <c r="I585" i="19" s="1"/>
  <c r="E1885" i="23"/>
  <c r="C540" i="19"/>
  <c r="H540" i="19" s="1"/>
  <c r="G540" i="19" s="1"/>
  <c r="E1895" i="23"/>
  <c r="D599" i="19"/>
  <c r="I599" i="19" s="1"/>
  <c r="E1899" i="23"/>
  <c r="D555" i="19"/>
  <c r="I555" i="19" s="1"/>
  <c r="C555" i="19"/>
  <c r="H555" i="19" s="1"/>
  <c r="E1910" i="23"/>
  <c r="D566" i="19"/>
  <c r="I566" i="19" s="1"/>
  <c r="C566" i="19"/>
  <c r="H566" i="19" s="1"/>
  <c r="E1914" i="23"/>
  <c r="D572" i="19"/>
  <c r="I572" i="19" s="1"/>
  <c r="G572" i="19" s="1"/>
  <c r="B2010" i="23"/>
  <c r="B1963" i="23"/>
  <c r="B74" i="23"/>
  <c r="N623" i="19"/>
  <c r="N671" i="19"/>
  <c r="B2014" i="23"/>
  <c r="B78" i="23"/>
  <c r="B1967" i="23"/>
  <c r="N675" i="19"/>
  <c r="B1971" i="23"/>
  <c r="B82" i="23"/>
  <c r="B2018" i="23"/>
  <c r="N631" i="19"/>
  <c r="N728" i="19"/>
  <c r="B86" i="23"/>
  <c r="B1975" i="23"/>
  <c r="B2022" i="23"/>
  <c r="N683" i="19"/>
  <c r="N732" i="19"/>
  <c r="B1979" i="23"/>
  <c r="B2026" i="23"/>
  <c r="B90" i="23"/>
  <c r="N639" i="19"/>
  <c r="B1989" i="23"/>
  <c r="B2036" i="23"/>
  <c r="B100" i="23"/>
  <c r="N746" i="19"/>
  <c r="B1993" i="23"/>
  <c r="B2040" i="23"/>
  <c r="B104" i="23"/>
  <c r="N653" i="19"/>
  <c r="N750" i="19"/>
  <c r="B1997" i="23"/>
  <c r="B108" i="23"/>
  <c r="B2044" i="23"/>
  <c r="N754" i="19"/>
  <c r="N706" i="19"/>
  <c r="B2048" i="23"/>
  <c r="B2001" i="23"/>
  <c r="B112" i="23"/>
  <c r="B2051" i="23"/>
  <c r="B115" i="23"/>
  <c r="B2004" i="23"/>
  <c r="N761" i="19"/>
  <c r="B2055" i="23"/>
  <c r="B2008" i="23"/>
  <c r="B119" i="23"/>
  <c r="E121" i="23"/>
  <c r="E867" i="19"/>
  <c r="C867" i="19"/>
  <c r="H867" i="19" s="1"/>
  <c r="D770" i="19"/>
  <c r="I770" i="19" s="1"/>
  <c r="C770" i="19"/>
  <c r="H770" i="19" s="1"/>
  <c r="E125" i="23"/>
  <c r="E871" i="19"/>
  <c r="D774" i="19"/>
  <c r="I774" i="19" s="1"/>
  <c r="G774" i="19" s="1"/>
  <c r="E129" i="23"/>
  <c r="E875" i="19"/>
  <c r="D778" i="19"/>
  <c r="I778" i="19" s="1"/>
  <c r="G778" i="19" s="1"/>
  <c r="E133" i="23"/>
  <c r="D782" i="19"/>
  <c r="I782" i="19" s="1"/>
  <c r="G782" i="19" s="1"/>
  <c r="E137" i="23"/>
  <c r="C786" i="19"/>
  <c r="H786" i="19" s="1"/>
  <c r="G786" i="19" s="1"/>
  <c r="E151" i="23"/>
  <c r="E897" i="19"/>
  <c r="C897" i="19"/>
  <c r="H897" i="19" s="1"/>
  <c r="C800" i="19"/>
  <c r="H800" i="19" s="1"/>
  <c r="G800" i="19" s="1"/>
  <c r="D804" i="19"/>
  <c r="I804" i="19" s="1"/>
  <c r="E155" i="23"/>
  <c r="C901" i="19"/>
  <c r="H901" i="19" s="1"/>
  <c r="E901" i="19"/>
  <c r="C804" i="19"/>
  <c r="H804" i="19" s="1"/>
  <c r="E162" i="23"/>
  <c r="D811" i="19"/>
  <c r="I811" i="19" s="1"/>
  <c r="G811" i="19" s="1"/>
  <c r="E908" i="19"/>
  <c r="C908" i="19"/>
  <c r="H908" i="19" s="1"/>
  <c r="N6" i="10"/>
  <c r="E2388" i="23" s="1"/>
  <c r="N10" i="10"/>
  <c r="E2392" i="23" s="1"/>
  <c r="N14" i="10"/>
  <c r="E2396" i="23" s="1"/>
  <c r="N18" i="10"/>
  <c r="E2400" i="23" s="1"/>
  <c r="N22" i="10"/>
  <c r="E2404" i="23" s="1"/>
  <c r="N25" i="10"/>
  <c r="E2407" i="23" s="1"/>
  <c r="N28" i="10"/>
  <c r="N32" i="10"/>
  <c r="E2414" i="23" s="1"/>
  <c r="N36" i="10"/>
  <c r="E2418" i="23" s="1"/>
  <c r="B2420" i="23"/>
  <c r="B2373" i="23"/>
  <c r="B296" i="23"/>
  <c r="N1245" i="19"/>
  <c r="N1342" i="19"/>
  <c r="E1343" i="19"/>
  <c r="C1343" i="19"/>
  <c r="H1343" i="19" s="1"/>
  <c r="E297" i="23"/>
  <c r="D1246" i="19"/>
  <c r="I1246" i="19" s="1"/>
  <c r="C1246" i="19"/>
  <c r="H1246" i="19" s="1"/>
  <c r="B2574" i="23"/>
  <c r="B2527" i="23"/>
  <c r="B356" i="23"/>
  <c r="N1601" i="19"/>
  <c r="N1553" i="19"/>
  <c r="E2532" i="23"/>
  <c r="D1606" i="19"/>
  <c r="I1606" i="19" s="1"/>
  <c r="C1558" i="19"/>
  <c r="H1558" i="19" s="1"/>
  <c r="G1558" i="19" s="1"/>
  <c r="D1558" i="19"/>
  <c r="I1558" i="19" s="1"/>
  <c r="N13" i="12"/>
  <c r="E2583" i="23" s="1"/>
  <c r="B2538" i="23"/>
  <c r="B2585" i="23"/>
  <c r="N1516" i="19"/>
  <c r="B367" i="23"/>
  <c r="N1564" i="19"/>
  <c r="N1612" i="19"/>
  <c r="E368" i="23"/>
  <c r="C1613" i="19"/>
  <c r="H1613" i="19" s="1"/>
  <c r="E1613" i="19"/>
  <c r="C1517" i="19"/>
  <c r="H1517" i="19" s="1"/>
  <c r="D1517" i="19"/>
  <c r="I1517" i="19" s="1"/>
  <c r="E2552" i="23"/>
  <c r="D1626" i="19"/>
  <c r="I1626" i="19" s="1"/>
  <c r="C1578" i="19"/>
  <c r="H1578" i="19" s="1"/>
  <c r="D1578" i="19"/>
  <c r="I1578" i="19" s="1"/>
  <c r="N33" i="12"/>
  <c r="E2603" i="23" s="1"/>
  <c r="D1537" i="19"/>
  <c r="I1537" i="19" s="1"/>
  <c r="C1537" i="19"/>
  <c r="H1537" i="19" s="1"/>
  <c r="E388" i="23"/>
  <c r="B2568" i="23"/>
  <c r="B397" i="23"/>
  <c r="B2615" i="23"/>
  <c r="N1642" i="19"/>
  <c r="N1594" i="19"/>
  <c r="N1546" i="19"/>
  <c r="B2246" i="23"/>
  <c r="B2293" i="23"/>
  <c r="B216" i="23"/>
  <c r="N1113" i="19"/>
  <c r="N1065" i="19"/>
  <c r="E217" i="23"/>
  <c r="C1066" i="19"/>
  <c r="H1066" i="19" s="1"/>
  <c r="D1066" i="19"/>
  <c r="I1066" i="19" s="1"/>
  <c r="C1163" i="19"/>
  <c r="H1163" i="19" s="1"/>
  <c r="G1163" i="19" s="1"/>
  <c r="E228" i="23"/>
  <c r="C1174" i="19"/>
  <c r="H1174" i="19" s="1"/>
  <c r="G1174" i="19" s="1"/>
  <c r="C1077" i="19"/>
  <c r="H1077" i="19" s="1"/>
  <c r="D1077" i="19"/>
  <c r="I1077" i="19" s="1"/>
  <c r="N30" i="9"/>
  <c r="B2320" i="23"/>
  <c r="B2273" i="23"/>
  <c r="N1189" i="19"/>
  <c r="N1141" i="19"/>
  <c r="N1092" i="19"/>
  <c r="B243" i="23"/>
  <c r="E244" i="23"/>
  <c r="C1190" i="19"/>
  <c r="H1190" i="19" s="1"/>
  <c r="G1190" i="19" s="1"/>
  <c r="B2331" i="23"/>
  <c r="B2284" i="23"/>
  <c r="N1200" i="19"/>
  <c r="N1152" i="19"/>
  <c r="B254" i="23"/>
  <c r="N1103" i="19"/>
  <c r="E2435" i="23"/>
  <c r="D1457" i="19"/>
  <c r="I1457" i="19" s="1"/>
  <c r="D1408" i="19"/>
  <c r="I1408" i="19" s="1"/>
  <c r="G1408" i="19" s="1"/>
  <c r="N13" i="11"/>
  <c r="E2489" i="23" s="1"/>
  <c r="E2445" i="23"/>
  <c r="D1418" i="19"/>
  <c r="I1418" i="19" s="1"/>
  <c r="C1418" i="19"/>
  <c r="H1418" i="19" s="1"/>
  <c r="G1418" i="19" s="1"/>
  <c r="D1467" i="19"/>
  <c r="I1467" i="19" s="1"/>
  <c r="B2458" i="23"/>
  <c r="B2505" i="23"/>
  <c r="N1432" i="19"/>
  <c r="B334" i="23"/>
  <c r="N1480" i="19"/>
  <c r="N1383" i="19"/>
  <c r="C1384" i="19"/>
  <c r="H1384" i="19" s="1"/>
  <c r="E1481" i="19"/>
  <c r="E335" i="23"/>
  <c r="D1384" i="19"/>
  <c r="I1384" i="19" s="1"/>
  <c r="C1481" i="19"/>
  <c r="H1481" i="19" s="1"/>
  <c r="F30" i="11"/>
  <c r="S30" i="11"/>
  <c r="E338" i="23"/>
  <c r="C1387" i="19"/>
  <c r="H1387" i="19" s="1"/>
  <c r="D1387" i="19"/>
  <c r="I1387" i="19" s="1"/>
  <c r="E1484" i="19"/>
  <c r="C1484" i="19"/>
  <c r="H1484" i="19" s="1"/>
  <c r="E341" i="23"/>
  <c r="E1487" i="19"/>
  <c r="C1487" i="19"/>
  <c r="H1487" i="19" s="1"/>
  <c r="D1390" i="19"/>
  <c r="I1390" i="19" s="1"/>
  <c r="C1390" i="19"/>
  <c r="H1390" i="19" s="1"/>
  <c r="R43" i="11"/>
  <c r="N45" i="11"/>
  <c r="E2521" i="23" s="1"/>
  <c r="E611" i="23"/>
  <c r="D2080" i="19"/>
  <c r="I2080" i="19" s="1"/>
  <c r="D2112" i="19"/>
  <c r="I2112" i="19" s="1"/>
  <c r="C2080" i="19"/>
  <c r="H2080" i="19" s="1"/>
  <c r="N2050" i="19"/>
  <c r="N2082" i="19"/>
  <c r="N15" i="28"/>
  <c r="E654" i="23" s="1"/>
  <c r="N2091" i="19"/>
  <c r="N2059" i="19"/>
  <c r="N2123" i="19"/>
  <c r="E626" i="23"/>
  <c r="C2095" i="19"/>
  <c r="H2095" i="19" s="1"/>
  <c r="G2095" i="19" s="1"/>
  <c r="D2127" i="19"/>
  <c r="I2127" i="19" s="1"/>
  <c r="N27" i="28"/>
  <c r="E666" i="23" s="1"/>
  <c r="N30" i="28"/>
  <c r="E669" i="23" s="1"/>
  <c r="N2143" i="19"/>
  <c r="N2207" i="19"/>
  <c r="N2175" i="19"/>
  <c r="E796" i="23"/>
  <c r="D2159" i="19"/>
  <c r="I2159" i="19" s="1"/>
  <c r="C2159" i="19"/>
  <c r="H2159" i="19" s="1"/>
  <c r="E2223" i="19"/>
  <c r="N61" i="28"/>
  <c r="E766" i="23" s="1"/>
  <c r="N2198" i="19"/>
  <c r="N2166" i="19"/>
  <c r="N2230" i="19"/>
  <c r="C1945" i="19"/>
  <c r="H1945" i="19" s="1"/>
  <c r="E579" i="23"/>
  <c r="D1945" i="19"/>
  <c r="I1945" i="19" s="1"/>
  <c r="N11" i="15"/>
  <c r="E538" i="23" s="1"/>
  <c r="D1986" i="19"/>
  <c r="I1986" i="19" s="1"/>
  <c r="E509" i="23"/>
  <c r="D2018" i="19"/>
  <c r="I2018" i="19" s="1"/>
  <c r="C1986" i="19"/>
  <c r="H1986" i="19" s="1"/>
  <c r="N16" i="15"/>
  <c r="E543" i="23" s="1"/>
  <c r="R27" i="15"/>
  <c r="E603" i="23"/>
  <c r="E2034" i="19"/>
  <c r="O32" i="15"/>
  <c r="E528" i="23"/>
  <c r="D2005" i="19"/>
  <c r="I2005" i="19" s="1"/>
  <c r="C2005" i="19"/>
  <c r="H2005" i="19" s="1"/>
  <c r="G2005" i="19" s="1"/>
  <c r="D2037" i="19"/>
  <c r="I2037" i="19" s="1"/>
  <c r="F50" i="15"/>
  <c r="E571" i="23"/>
  <c r="I66" i="15"/>
  <c r="D571" i="23" s="1"/>
  <c r="N7" i="13"/>
  <c r="E2671" i="23" s="1"/>
  <c r="N10" i="13"/>
  <c r="E2674" i="23" s="1"/>
  <c r="E430" i="23"/>
  <c r="D1678" i="19"/>
  <c r="I1678" i="19" s="1"/>
  <c r="C1678" i="19"/>
  <c r="H1678" i="19" s="1"/>
  <c r="C1773" i="19"/>
  <c r="H1773" i="19" s="1"/>
  <c r="E1773" i="19"/>
  <c r="E2651" i="23"/>
  <c r="D1729" i="19"/>
  <c r="I1729" i="19" s="1"/>
  <c r="D1776" i="19"/>
  <c r="I1776" i="19" s="1"/>
  <c r="C1729" i="19"/>
  <c r="H1729" i="19" s="1"/>
  <c r="G34" i="13"/>
  <c r="N45" i="13"/>
  <c r="E2709" i="23" s="1"/>
  <c r="S8" i="14"/>
  <c r="E461" i="23"/>
  <c r="E1902" i="19"/>
  <c r="C1902" i="19"/>
  <c r="H1902" i="19" s="1"/>
  <c r="C1807" i="19"/>
  <c r="H1807" i="19" s="1"/>
  <c r="D1807" i="19"/>
  <c r="I1807" i="19" s="1"/>
  <c r="O15" i="14"/>
  <c r="F15" i="14"/>
  <c r="B2783" i="23"/>
  <c r="B470" i="23"/>
  <c r="B2735" i="23"/>
  <c r="N1911" i="19"/>
  <c r="N1816" i="19"/>
  <c r="N1864" i="19"/>
  <c r="E478" i="23"/>
  <c r="E1919" i="19"/>
  <c r="C1919" i="19"/>
  <c r="H1919" i="19" s="1"/>
  <c r="D1824" i="19"/>
  <c r="I1824" i="19" s="1"/>
  <c r="O32" i="14"/>
  <c r="C1824" i="19"/>
  <c r="H1824" i="19" s="1"/>
  <c r="B2798" i="23"/>
  <c r="B485" i="23"/>
  <c r="B2750" i="23"/>
  <c r="N1926" i="19"/>
  <c r="N1879" i="19"/>
  <c r="N1831" i="19"/>
  <c r="E2753" i="23"/>
  <c r="D1882" i="19"/>
  <c r="I1882" i="19" s="1"/>
  <c r="D1929" i="19"/>
  <c r="I1929" i="19" s="1"/>
  <c r="C1882" i="19"/>
  <c r="H1882" i="19" s="1"/>
  <c r="N42" i="14"/>
  <c r="E2801" i="23" s="1"/>
  <c r="D1838" i="19"/>
  <c r="I1838" i="19" s="1"/>
  <c r="E1933" i="19"/>
  <c r="C1933" i="19"/>
  <c r="H1933" i="19" s="1"/>
  <c r="E492" i="23"/>
  <c r="C1838" i="19"/>
  <c r="H1838" i="19" s="1"/>
  <c r="U46" i="14"/>
  <c r="O46" i="14"/>
  <c r="F46" i="14"/>
  <c r="E2849" i="23"/>
  <c r="D2289" i="19"/>
  <c r="I2289" i="19" s="1"/>
  <c r="C2289" i="19"/>
  <c r="H2289" i="19" s="1"/>
  <c r="D2342" i="19"/>
  <c r="I2342" i="19" s="1"/>
  <c r="I47" i="16"/>
  <c r="D2916" i="23" s="1"/>
  <c r="E2876" i="23"/>
  <c r="D2366" i="19"/>
  <c r="I2366" i="19" s="1"/>
  <c r="C2313" i="19"/>
  <c r="H2313" i="19" s="1"/>
  <c r="D2313" i="19"/>
  <c r="I2313" i="19" s="1"/>
  <c r="O60" i="16"/>
  <c r="G60" i="16"/>
  <c r="N63" i="16"/>
  <c r="E2932" i="23" s="1"/>
  <c r="E2948" i="23"/>
  <c r="D2471" i="19"/>
  <c r="I2471" i="19" s="1"/>
  <c r="F7" i="17"/>
  <c r="E2969" i="23"/>
  <c r="K23" i="17"/>
  <c r="E2957" i="23" s="1"/>
  <c r="F14" i="17"/>
  <c r="I14" i="17" s="1"/>
  <c r="E2954" i="23"/>
  <c r="C2478" i="19"/>
  <c r="H2478" i="19" s="1"/>
  <c r="D2478" i="19"/>
  <c r="I2478" i="19" s="1"/>
  <c r="F18" i="17"/>
  <c r="E923" i="23"/>
  <c r="D923" i="23"/>
  <c r="E2402" i="19"/>
  <c r="D929" i="23"/>
  <c r="E929" i="23"/>
  <c r="D2391" i="19"/>
  <c r="I2391" i="19" s="1"/>
  <c r="E2409" i="19"/>
  <c r="C2409" i="19"/>
  <c r="H2409" i="19" s="1"/>
  <c r="J38" i="17"/>
  <c r="E1015" i="23"/>
  <c r="D1015" i="23"/>
  <c r="E1065" i="23"/>
  <c r="D1065" i="23"/>
  <c r="E2446" i="19"/>
  <c r="E3004" i="23"/>
  <c r="J10" i="18"/>
  <c r="E2985" i="23" s="1"/>
  <c r="E3026" i="23"/>
  <c r="P22" i="18"/>
  <c r="E3034" i="23" s="1"/>
  <c r="E1132" i="23"/>
  <c r="D1132" i="23"/>
  <c r="Q32" i="18"/>
  <c r="D1160" i="23"/>
  <c r="D2563" i="19"/>
  <c r="I2563" i="19" s="1"/>
  <c r="E1160" i="23"/>
  <c r="C2555" i="19"/>
  <c r="H2555" i="19" s="1"/>
  <c r="C2563" i="19"/>
  <c r="H2563" i="19" s="1"/>
  <c r="G2563" i="19" s="1"/>
  <c r="Q51" i="18"/>
  <c r="E68" i="19"/>
  <c r="V126" i="19"/>
  <c r="V177" i="19"/>
  <c r="V315" i="19"/>
  <c r="V449" i="19"/>
  <c r="C492" i="19"/>
  <c r="H492" i="19" s="1"/>
  <c r="G492" i="19" s="1"/>
  <c r="C506" i="19"/>
  <c r="H506" i="19" s="1"/>
  <c r="G506" i="19" s="1"/>
  <c r="D524" i="19"/>
  <c r="I524" i="19" s="1"/>
  <c r="C542" i="19"/>
  <c r="H542" i="19" s="1"/>
  <c r="G542" i="19" s="1"/>
  <c r="D678" i="19"/>
  <c r="I678" i="19" s="1"/>
  <c r="D723" i="19"/>
  <c r="I723" i="19" s="1"/>
  <c r="N726" i="19"/>
  <c r="D749" i="19"/>
  <c r="I749" i="19" s="1"/>
  <c r="V782" i="19"/>
  <c r="C879" i="19"/>
  <c r="H879" i="19" s="1"/>
  <c r="D888" i="19"/>
  <c r="I888" i="19" s="1"/>
  <c r="N914" i="19"/>
  <c r="D920" i="19"/>
  <c r="I920" i="19" s="1"/>
  <c r="C976" i="19"/>
  <c r="H976" i="19" s="1"/>
  <c r="G976" i="19" s="1"/>
  <c r="N1086" i="19"/>
  <c r="D1090" i="19"/>
  <c r="I1090" i="19" s="1"/>
  <c r="C1133" i="19"/>
  <c r="H1133" i="19" s="1"/>
  <c r="C1144" i="19"/>
  <c r="H1144" i="19" s="1"/>
  <c r="G1144" i="19" s="1"/>
  <c r="D1154" i="19"/>
  <c r="I1154" i="19" s="1"/>
  <c r="E1167" i="19"/>
  <c r="G1278" i="19"/>
  <c r="N1463" i="19"/>
  <c r="C1496" i="19"/>
  <c r="H1496" i="19" s="1"/>
  <c r="E1637" i="19"/>
  <c r="C1699" i="19"/>
  <c r="H1699" i="19" s="1"/>
  <c r="G1699" i="19" s="1"/>
  <c r="C1732" i="19"/>
  <c r="H1732" i="19" s="1"/>
  <c r="G1732" i="19" s="1"/>
  <c r="D2048" i="19"/>
  <c r="I2048" i="19" s="1"/>
  <c r="E2406" i="19"/>
  <c r="E2455" i="23"/>
  <c r="D1477" i="19"/>
  <c r="I1477" i="19" s="1"/>
  <c r="C1429" i="19"/>
  <c r="H1429" i="19" s="1"/>
  <c r="G1429" i="19" s="1"/>
  <c r="E2458" i="23"/>
  <c r="D1432" i="19"/>
  <c r="I1432" i="19" s="1"/>
  <c r="C1432" i="19"/>
  <c r="H1432" i="19" s="1"/>
  <c r="G1432" i="19" s="1"/>
  <c r="D1480" i="19"/>
  <c r="I1480" i="19" s="1"/>
  <c r="E2462" i="23"/>
  <c r="D1484" i="19"/>
  <c r="I1484" i="19" s="1"/>
  <c r="D1436" i="19"/>
  <c r="I1436" i="19" s="1"/>
  <c r="C1436" i="19"/>
  <c r="H1436" i="19" s="1"/>
  <c r="E2466" i="23"/>
  <c r="D1488" i="19"/>
  <c r="I1488" i="19" s="1"/>
  <c r="D1440" i="19"/>
  <c r="E2470" i="23"/>
  <c r="D1492" i="19"/>
  <c r="I1492" i="19" s="1"/>
  <c r="D1444" i="19"/>
  <c r="I1444" i="19" s="1"/>
  <c r="G1444" i="19" s="1"/>
  <c r="D2046" i="19"/>
  <c r="I2046" i="19" s="1"/>
  <c r="C2046" i="19"/>
  <c r="H2046" i="19" s="1"/>
  <c r="E2110" i="19"/>
  <c r="E677" i="23"/>
  <c r="D2050" i="19"/>
  <c r="I2050" i="19" s="1"/>
  <c r="E681" i="23"/>
  <c r="E2114" i="19"/>
  <c r="C2050" i="19"/>
  <c r="H2050" i="19" s="1"/>
  <c r="D2090" i="19"/>
  <c r="I2090" i="19" s="1"/>
  <c r="C2090" i="19"/>
  <c r="H2090" i="19" s="1"/>
  <c r="E621" i="23"/>
  <c r="E625" i="23"/>
  <c r="D2094" i="19"/>
  <c r="I2094" i="19" s="1"/>
  <c r="C2094" i="19"/>
  <c r="H2094" i="19" s="1"/>
  <c r="D2126" i="19"/>
  <c r="I2126" i="19" s="1"/>
  <c r="E784" i="23"/>
  <c r="C2147" i="19"/>
  <c r="H2147" i="19" s="1"/>
  <c r="E2211" i="19"/>
  <c r="D2147" i="19"/>
  <c r="I2147" i="19" s="1"/>
  <c r="E2222" i="19"/>
  <c r="D2158" i="19"/>
  <c r="I2158" i="19" s="1"/>
  <c r="C2158" i="19"/>
  <c r="H2158" i="19" s="1"/>
  <c r="E795" i="23"/>
  <c r="N2196" i="19"/>
  <c r="N2228" i="19"/>
  <c r="N2164" i="19"/>
  <c r="E736" i="23"/>
  <c r="D2199" i="19"/>
  <c r="I2199" i="19" s="1"/>
  <c r="G2199" i="19" s="1"/>
  <c r="N1986" i="19"/>
  <c r="N2018" i="19"/>
  <c r="N1990" i="19"/>
  <c r="N2022" i="19"/>
  <c r="N1957" i="19"/>
  <c r="E522" i="23"/>
  <c r="C1999" i="19"/>
  <c r="H1999" i="19" s="1"/>
  <c r="D2031" i="19"/>
  <c r="I2031" i="19" s="1"/>
  <c r="D1999" i="19"/>
  <c r="I1999" i="19" s="1"/>
  <c r="E526" i="23"/>
  <c r="D2035" i="19"/>
  <c r="I2035" i="19" s="1"/>
  <c r="D2003" i="19"/>
  <c r="I2003" i="19" s="1"/>
  <c r="C2003" i="19"/>
  <c r="H2003" i="19" s="1"/>
  <c r="E2622" i="23"/>
  <c r="D1747" i="19"/>
  <c r="I1747" i="19" s="1"/>
  <c r="D1700" i="19"/>
  <c r="I1700" i="19" s="1"/>
  <c r="C1700" i="19"/>
  <c r="H1700" i="19" s="1"/>
  <c r="G1700" i="19" s="1"/>
  <c r="E2626" i="23"/>
  <c r="D1751" i="19"/>
  <c r="I1751" i="19" s="1"/>
  <c r="C1704" i="19"/>
  <c r="H1704" i="19" s="1"/>
  <c r="D1704" i="19"/>
  <c r="I1704" i="19" s="1"/>
  <c r="E2630" i="23"/>
  <c r="D1755" i="19"/>
  <c r="I1755" i="19" s="1"/>
  <c r="E2634" i="23"/>
  <c r="D1759" i="19"/>
  <c r="I1759" i="19" s="1"/>
  <c r="D1712" i="19"/>
  <c r="I1712" i="19" s="1"/>
  <c r="C1712" i="19"/>
  <c r="H1712" i="19" s="1"/>
  <c r="E2638" i="23"/>
  <c r="C1716" i="19"/>
  <c r="H1716" i="19" s="1"/>
  <c r="G1716" i="19" s="1"/>
  <c r="D1763" i="19"/>
  <c r="I1763" i="19" s="1"/>
  <c r="E2641" i="23"/>
  <c r="D1766" i="19"/>
  <c r="I1766" i="19" s="1"/>
  <c r="C1719" i="19"/>
  <c r="H1719" i="19" s="1"/>
  <c r="D1719" i="19"/>
  <c r="I1719" i="19" s="1"/>
  <c r="E2648" i="23"/>
  <c r="D1773" i="19"/>
  <c r="I1773" i="19" s="1"/>
  <c r="D1726" i="19"/>
  <c r="I1726" i="19" s="1"/>
  <c r="C1726" i="19"/>
  <c r="H1726" i="19" s="1"/>
  <c r="E2652" i="23"/>
  <c r="C1730" i="19"/>
  <c r="H1730" i="19" s="1"/>
  <c r="D1777" i="19"/>
  <c r="I1777" i="19" s="1"/>
  <c r="D1730" i="19"/>
  <c r="I1730" i="19" s="1"/>
  <c r="E2656" i="23"/>
  <c r="D1734" i="19"/>
  <c r="I1734" i="19" s="1"/>
  <c r="D1781" i="19"/>
  <c r="I1781" i="19" s="1"/>
  <c r="C1734" i="19"/>
  <c r="H1734" i="19" s="1"/>
  <c r="E2660" i="23"/>
  <c r="D1738" i="19"/>
  <c r="I1738" i="19" s="1"/>
  <c r="D1785" i="19"/>
  <c r="I1785" i="19" s="1"/>
  <c r="C1738" i="19"/>
  <c r="H1738" i="19" s="1"/>
  <c r="E2663" i="23"/>
  <c r="C1741" i="19"/>
  <c r="H1741" i="19" s="1"/>
  <c r="D1741" i="19"/>
  <c r="I1741" i="19" s="1"/>
  <c r="D1788" i="19"/>
  <c r="I1788" i="19" s="1"/>
  <c r="N1795" i="19"/>
  <c r="N1794" i="19"/>
  <c r="N1938" i="19"/>
  <c r="E2720" i="23"/>
  <c r="C1849" i="19"/>
  <c r="H1849" i="19" s="1"/>
  <c r="D1896" i="19"/>
  <c r="I1896" i="19" s="1"/>
  <c r="D1849" i="19"/>
  <c r="I1849" i="19" s="1"/>
  <c r="E2727" i="23"/>
  <c r="C1856" i="19"/>
  <c r="H1856" i="19" s="1"/>
  <c r="G1856" i="19" s="1"/>
  <c r="D1903" i="19"/>
  <c r="I1903" i="19" s="1"/>
  <c r="N16" i="14"/>
  <c r="E2775" i="23" s="1"/>
  <c r="E474" i="23"/>
  <c r="D1820" i="19"/>
  <c r="I1820" i="19" s="1"/>
  <c r="E1915" i="19"/>
  <c r="C1915" i="19"/>
  <c r="H1915" i="19" s="1"/>
  <c r="C1820" i="19"/>
  <c r="H1820" i="19" s="1"/>
  <c r="B2745" i="23"/>
  <c r="B2793" i="23"/>
  <c r="B480" i="23"/>
  <c r="N1921" i="19"/>
  <c r="N1826" i="19"/>
  <c r="N1874" i="19"/>
  <c r="C1922" i="19"/>
  <c r="H1922" i="19" s="1"/>
  <c r="E1922" i="19"/>
  <c r="C1827" i="19"/>
  <c r="H1827" i="19" s="1"/>
  <c r="D1827" i="19"/>
  <c r="I1827" i="19" s="1"/>
  <c r="E481" i="23"/>
  <c r="U35" i="14"/>
  <c r="N1933" i="19"/>
  <c r="B492" i="23"/>
  <c r="N1886" i="19"/>
  <c r="B2805" i="23"/>
  <c r="N1838" i="19"/>
  <c r="B2757" i="23"/>
  <c r="E2758" i="23"/>
  <c r="C1887" i="19"/>
  <c r="H1887" i="19" s="1"/>
  <c r="D1934" i="19"/>
  <c r="I1934" i="19" s="1"/>
  <c r="D1887" i="19"/>
  <c r="I1887" i="19" s="1"/>
  <c r="N47" i="14"/>
  <c r="E2806" i="23" s="1"/>
  <c r="E2842" i="23"/>
  <c r="D2335" i="19"/>
  <c r="I2335" i="19" s="1"/>
  <c r="F2542" i="19"/>
  <c r="D2282" i="19"/>
  <c r="I2282" i="19" s="1"/>
  <c r="C2282" i="19"/>
  <c r="H2282" i="19" s="1"/>
  <c r="O24" i="16"/>
  <c r="E2847" i="23"/>
  <c r="C2287" i="19"/>
  <c r="H2287" i="19" s="1"/>
  <c r="D2340" i="19"/>
  <c r="I2340" i="19" s="1"/>
  <c r="D2287" i="19"/>
  <c r="I2287" i="19" s="1"/>
  <c r="E2852" i="23"/>
  <c r="C2292" i="19"/>
  <c r="H2292" i="19" s="1"/>
  <c r="D2345" i="19"/>
  <c r="I2345" i="19" s="1"/>
  <c r="D2292" i="19"/>
  <c r="I2292" i="19" s="1"/>
  <c r="O34" i="16"/>
  <c r="E2955" i="23"/>
  <c r="D2479" i="19"/>
  <c r="I2479" i="19" s="1"/>
  <c r="E918" i="23"/>
  <c r="D2404" i="19"/>
  <c r="I2404" i="19" s="1"/>
  <c r="C2387" i="19"/>
  <c r="H2387" i="19" s="1"/>
  <c r="D2387" i="19"/>
  <c r="I2387" i="19" s="1"/>
  <c r="D918" i="23"/>
  <c r="C2404" i="19"/>
  <c r="H2404" i="19" s="1"/>
  <c r="E991" i="23"/>
  <c r="D991" i="23"/>
  <c r="E989" i="23"/>
  <c r="D989" i="23"/>
  <c r="D2467" i="19"/>
  <c r="I2467" i="19" s="1"/>
  <c r="G2467" i="19" s="1"/>
  <c r="E1037" i="23"/>
  <c r="E2520" i="19"/>
  <c r="D1037" i="23"/>
  <c r="E3005" i="23"/>
  <c r="M11" i="18"/>
  <c r="E3008" i="23"/>
  <c r="J15" i="18"/>
  <c r="E2989" i="23" s="1"/>
  <c r="D1174" i="23"/>
  <c r="D2557" i="19"/>
  <c r="I2557" i="19" s="1"/>
  <c r="D2579" i="19"/>
  <c r="I2579" i="19" s="1"/>
  <c r="E1174" i="23"/>
  <c r="C2557" i="19"/>
  <c r="H2557" i="19" s="1"/>
  <c r="V193" i="19"/>
  <c r="V473" i="19"/>
  <c r="V488" i="19"/>
  <c r="V1087" i="19"/>
  <c r="C1708" i="19"/>
  <c r="H1708" i="19" s="1"/>
  <c r="D2474" i="19"/>
  <c r="I2474" i="19" s="1"/>
  <c r="M2201" i="23"/>
  <c r="N2201" i="23"/>
  <c r="B2333" i="23"/>
  <c r="B2286" i="23"/>
  <c r="N1202" i="19"/>
  <c r="N1105" i="19"/>
  <c r="B256" i="23"/>
  <c r="N1154" i="19"/>
  <c r="B2337" i="23"/>
  <c r="B2290" i="23"/>
  <c r="N1207" i="19"/>
  <c r="B260" i="23"/>
  <c r="N1110" i="19"/>
  <c r="E609" i="23"/>
  <c r="D2078" i="19"/>
  <c r="I2078" i="19" s="1"/>
  <c r="D2110" i="19"/>
  <c r="I2110" i="19" s="1"/>
  <c r="C2078" i="19"/>
  <c r="H2078" i="19" s="1"/>
  <c r="E613" i="23"/>
  <c r="C2082" i="19"/>
  <c r="H2082" i="19" s="1"/>
  <c r="D2082" i="19"/>
  <c r="I2082" i="19" s="1"/>
  <c r="N2068" i="19"/>
  <c r="N2132" i="19"/>
  <c r="N2136" i="19"/>
  <c r="N2072" i="19"/>
  <c r="N2104" i="19"/>
  <c r="N2076" i="19"/>
  <c r="N2140" i="19"/>
  <c r="N2108" i="19"/>
  <c r="N2144" i="19"/>
  <c r="N2176" i="19"/>
  <c r="N2208" i="19"/>
  <c r="D2211" i="19"/>
  <c r="I2211" i="19" s="1"/>
  <c r="D2179" i="19"/>
  <c r="I2179" i="19" s="1"/>
  <c r="E716" i="23"/>
  <c r="C2179" i="19"/>
  <c r="H2179" i="19" s="1"/>
  <c r="N2187" i="19"/>
  <c r="N2219" i="19"/>
  <c r="N2155" i="19"/>
  <c r="D2222" i="19"/>
  <c r="I2222" i="19" s="1"/>
  <c r="E727" i="23"/>
  <c r="D2190" i="19"/>
  <c r="I2190" i="19" s="1"/>
  <c r="C2190" i="19"/>
  <c r="H2190" i="19" s="1"/>
  <c r="G2190" i="19" s="1"/>
  <c r="D2169" i="19"/>
  <c r="I2169" i="19" s="1"/>
  <c r="E806" i="23"/>
  <c r="C2169" i="19"/>
  <c r="H2169" i="19" s="1"/>
  <c r="N2006" i="19"/>
  <c r="N1941" i="19"/>
  <c r="N1974" i="19"/>
  <c r="N1945" i="19"/>
  <c r="N1978" i="19"/>
  <c r="E584" i="23"/>
  <c r="D1950" i="19"/>
  <c r="I1950" i="19" s="1"/>
  <c r="E2015" i="19"/>
  <c r="C1950" i="19"/>
  <c r="H1950" i="19" s="1"/>
  <c r="E588" i="23"/>
  <c r="C1954" i="19"/>
  <c r="H1954" i="19" s="1"/>
  <c r="D1954" i="19"/>
  <c r="I1954" i="19" s="1"/>
  <c r="E2019" i="19"/>
  <c r="E592" i="23"/>
  <c r="C1958" i="19"/>
  <c r="H1958" i="19" s="1"/>
  <c r="E2023" i="19"/>
  <c r="D1958" i="19"/>
  <c r="I1958" i="19" s="1"/>
  <c r="K53" i="15"/>
  <c r="B2729" i="23"/>
  <c r="B2777" i="23"/>
  <c r="N1810" i="19"/>
  <c r="B464" i="23"/>
  <c r="N1858" i="19"/>
  <c r="N1905" i="19"/>
  <c r="E465" i="23"/>
  <c r="D1811" i="19"/>
  <c r="I1811" i="19" s="1"/>
  <c r="E1906" i="19"/>
  <c r="C1906" i="19"/>
  <c r="H1906" i="19" s="1"/>
  <c r="C1811" i="19"/>
  <c r="H1811" i="19" s="1"/>
  <c r="E2739" i="23"/>
  <c r="C1868" i="19"/>
  <c r="H1868" i="19" s="1"/>
  <c r="D1868" i="19"/>
  <c r="I1868" i="19" s="1"/>
  <c r="D1915" i="19"/>
  <c r="I1915" i="19" s="1"/>
  <c r="E2746" i="23"/>
  <c r="D1922" i="19"/>
  <c r="I1922" i="19" s="1"/>
  <c r="C1875" i="19"/>
  <c r="H1875" i="19" s="1"/>
  <c r="D1875" i="19"/>
  <c r="I1875" i="19" s="1"/>
  <c r="E2382" i="19"/>
  <c r="E872" i="23"/>
  <c r="C2248" i="19"/>
  <c r="H2248" i="19" s="1"/>
  <c r="E2329" i="19"/>
  <c r="D2248" i="19"/>
  <c r="I2248" i="19" s="1"/>
  <c r="C2329" i="19"/>
  <c r="H2329" i="19" s="1"/>
  <c r="F8" i="16"/>
  <c r="J9" i="16" s="1"/>
  <c r="D874" i="23" s="1"/>
  <c r="E288" i="19"/>
  <c r="E289" i="19"/>
  <c r="D2887" i="23"/>
  <c r="I74" i="16"/>
  <c r="L23" i="17"/>
  <c r="M16" i="17"/>
  <c r="E2971" i="23" s="1"/>
  <c r="E925" i="23"/>
  <c r="D925" i="23"/>
  <c r="E2404" i="19"/>
  <c r="E1001" i="23"/>
  <c r="D1001" i="23"/>
  <c r="D2511" i="19"/>
  <c r="I2511" i="19" s="1"/>
  <c r="G2511" i="19" s="1"/>
  <c r="M54" i="17"/>
  <c r="E951" i="23"/>
  <c r="D951" i="23"/>
  <c r="D2395" i="19"/>
  <c r="I2395" i="19" s="1"/>
  <c r="G2395" i="19" s="1"/>
  <c r="O50" i="17"/>
  <c r="D953" i="23"/>
  <c r="D2397" i="19"/>
  <c r="I2397" i="19" s="1"/>
  <c r="G2397" i="19" s="1"/>
  <c r="E953" i="23"/>
  <c r="O53" i="17"/>
  <c r="D2493" i="19"/>
  <c r="I2493" i="19" s="1"/>
  <c r="G2493" i="19" s="1"/>
  <c r="E999" i="23"/>
  <c r="D999" i="23"/>
  <c r="E2537" i="19"/>
  <c r="D1038" i="23"/>
  <c r="E1038" i="23"/>
  <c r="E3024" i="23"/>
  <c r="O11" i="18"/>
  <c r="D3024" i="23" s="1"/>
  <c r="E1130" i="23"/>
  <c r="C2629" i="19"/>
  <c r="H2629" i="19" s="1"/>
  <c r="G2629" i="19" s="1"/>
  <c r="E1143" i="23"/>
  <c r="D1143" i="23"/>
  <c r="E2605" i="19"/>
  <c r="C2615" i="19"/>
  <c r="H2615" i="19" s="1"/>
  <c r="E1178" i="23"/>
  <c r="D2607" i="19"/>
  <c r="I2607" i="19" s="1"/>
  <c r="C2607" i="19"/>
  <c r="H2607" i="19" s="1"/>
  <c r="C2634" i="19"/>
  <c r="H2634" i="19" s="1"/>
  <c r="G2634" i="19" s="1"/>
  <c r="V463" i="19"/>
  <c r="V471" i="19"/>
  <c r="V479" i="19"/>
  <c r="V508" i="19"/>
  <c r="V928" i="19"/>
  <c r="V1146" i="19"/>
  <c r="G1158" i="19"/>
  <c r="V1513" i="19"/>
  <c r="V1586" i="19"/>
  <c r="D1708" i="19"/>
  <c r="I1708" i="19" s="1"/>
  <c r="M391" i="23"/>
  <c r="F391" i="23" s="1"/>
  <c r="N391" i="23"/>
  <c r="E639" i="23"/>
  <c r="D2108" i="19"/>
  <c r="I2108" i="19" s="1"/>
  <c r="C2108" i="19"/>
  <c r="H2108" i="19" s="1"/>
  <c r="D2140" i="19"/>
  <c r="I2140" i="19" s="1"/>
  <c r="D2176" i="19"/>
  <c r="I2176" i="19" s="1"/>
  <c r="C2176" i="19"/>
  <c r="H2176" i="19" s="1"/>
  <c r="D2208" i="19"/>
  <c r="I2208" i="19" s="1"/>
  <c r="E713" i="23"/>
  <c r="N2152" i="19"/>
  <c r="N2216" i="19"/>
  <c r="N2184" i="19"/>
  <c r="D2187" i="19"/>
  <c r="I2187" i="19" s="1"/>
  <c r="C2187" i="19"/>
  <c r="H2187" i="19" s="1"/>
  <c r="E724" i="23"/>
  <c r="E803" i="23"/>
  <c r="E2230" i="19"/>
  <c r="D2166" i="19"/>
  <c r="I2166" i="19" s="1"/>
  <c r="C2166" i="19"/>
  <c r="H2166" i="19" s="1"/>
  <c r="G2166" i="19" s="1"/>
  <c r="N2172" i="19"/>
  <c r="N2236" i="19"/>
  <c r="N2204" i="19"/>
  <c r="E497" i="23"/>
  <c r="C1974" i="19"/>
  <c r="H1974" i="19" s="1"/>
  <c r="D1974" i="19"/>
  <c r="I1974" i="19" s="1"/>
  <c r="E501" i="23"/>
  <c r="C1978" i="19"/>
  <c r="H1978" i="19" s="1"/>
  <c r="G1978" i="19" s="1"/>
  <c r="D2010" i="19"/>
  <c r="I2010" i="19" s="1"/>
  <c r="G2010" i="19" s="1"/>
  <c r="N1963" i="19"/>
  <c r="N2028" i="19"/>
  <c r="N1996" i="19"/>
  <c r="N2000" i="19"/>
  <c r="N2032" i="19"/>
  <c r="N1967" i="19"/>
  <c r="N2036" i="19"/>
  <c r="N2004" i="19"/>
  <c r="N1971" i="19"/>
  <c r="B2670" i="23"/>
  <c r="B405" i="23"/>
  <c r="B2623" i="23"/>
  <c r="N1653" i="19"/>
  <c r="N1748" i="19"/>
  <c r="N1701" i="19"/>
  <c r="B2674" i="23"/>
  <c r="B2627" i="23"/>
  <c r="B409" i="23"/>
  <c r="N1705" i="19"/>
  <c r="N1657" i="19"/>
  <c r="N1752" i="19"/>
  <c r="B2631" i="23"/>
  <c r="B2678" i="23"/>
  <c r="B413" i="23"/>
  <c r="N1756" i="19"/>
  <c r="N1661" i="19"/>
  <c r="N1709" i="19"/>
  <c r="B2682" i="23"/>
  <c r="B2635" i="23"/>
  <c r="N1665" i="19"/>
  <c r="B417" i="23"/>
  <c r="N1760" i="19"/>
  <c r="N1713" i="19"/>
  <c r="B2639" i="23"/>
  <c r="B2686" i="23"/>
  <c r="B421" i="23"/>
  <c r="N1764" i="19"/>
  <c r="N1717" i="19"/>
  <c r="N1669" i="19"/>
  <c r="B2642" i="23"/>
  <c r="B424" i="23"/>
  <c r="N1767" i="19"/>
  <c r="N1720" i="19"/>
  <c r="B2689" i="23"/>
  <c r="N1672" i="19"/>
  <c r="B2692" i="23"/>
  <c r="B2645" i="23"/>
  <c r="B427" i="23"/>
  <c r="N1675" i="19"/>
  <c r="N1723" i="19"/>
  <c r="B2649" i="23"/>
  <c r="B2696" i="23"/>
  <c r="N1727" i="19"/>
  <c r="B431" i="23"/>
  <c r="N1679" i="19"/>
  <c r="B2653" i="23"/>
  <c r="B2700" i="23"/>
  <c r="B435" i="23"/>
  <c r="N1778" i="19"/>
  <c r="N1731" i="19"/>
  <c r="N1683" i="19"/>
  <c r="B2657" i="23"/>
  <c r="B2704" i="23"/>
  <c r="N1782" i="19"/>
  <c r="N1687" i="19"/>
  <c r="N1735" i="19"/>
  <c r="B439" i="23"/>
  <c r="B2711" i="23"/>
  <c r="B2664" i="23"/>
  <c r="B446" i="23"/>
  <c r="N1789" i="19"/>
  <c r="N1742" i="19"/>
  <c r="N1694" i="19"/>
  <c r="D1796" i="19"/>
  <c r="I1796" i="19" s="1"/>
  <c r="C1796" i="19"/>
  <c r="H1796" i="19" s="1"/>
  <c r="G1796" i="19" s="1"/>
  <c r="C1891" i="19"/>
  <c r="H1891" i="19" s="1"/>
  <c r="E1891" i="19"/>
  <c r="C1851" i="19"/>
  <c r="H1851" i="19" s="1"/>
  <c r="E2722" i="23"/>
  <c r="D1851" i="19"/>
  <c r="I1851" i="19" s="1"/>
  <c r="D1898" i="19"/>
  <c r="I1898" i="19" s="1"/>
  <c r="E2729" i="23"/>
  <c r="C1858" i="19"/>
  <c r="H1858" i="19" s="1"/>
  <c r="D1905" i="19"/>
  <c r="I1905" i="19" s="1"/>
  <c r="D1858" i="19"/>
  <c r="I1858" i="19" s="1"/>
  <c r="E1911" i="19"/>
  <c r="E470" i="23"/>
  <c r="D1816" i="19"/>
  <c r="I1816" i="19" s="1"/>
  <c r="G1816" i="19" s="1"/>
  <c r="U24" i="14"/>
  <c r="B2747" i="23"/>
  <c r="B2795" i="23"/>
  <c r="B482" i="23"/>
  <c r="N1876" i="19"/>
  <c r="N1923" i="19"/>
  <c r="N1828" i="19"/>
  <c r="D1829" i="19"/>
  <c r="I1829" i="19" s="1"/>
  <c r="E483" i="23"/>
  <c r="E1924" i="19"/>
  <c r="C1924" i="19"/>
  <c r="H1924" i="19" s="1"/>
  <c r="C1829" i="19"/>
  <c r="H1829" i="19" s="1"/>
  <c r="U37" i="14"/>
  <c r="E867" i="23"/>
  <c r="D2245" i="19"/>
  <c r="I2245" i="19" s="1"/>
  <c r="E2326" i="19"/>
  <c r="C2326" i="19"/>
  <c r="H2326" i="19" s="1"/>
  <c r="C2245" i="19"/>
  <c r="H2245" i="19" s="1"/>
  <c r="E2275" i="19"/>
  <c r="D2817" i="23"/>
  <c r="D2832" i="23"/>
  <c r="E2843" i="23"/>
  <c r="D2283" i="19"/>
  <c r="I2283" i="19" s="1"/>
  <c r="C2283" i="19"/>
  <c r="H2283" i="19" s="1"/>
  <c r="D2336" i="19"/>
  <c r="I2336" i="19" s="1"/>
  <c r="E2848" i="23"/>
  <c r="D2341" i="19"/>
  <c r="I2341" i="19" s="1"/>
  <c r="C2288" i="19"/>
  <c r="H2288" i="19" s="1"/>
  <c r="G2288" i="19" s="1"/>
  <c r="O30" i="16"/>
  <c r="E2853" i="23"/>
  <c r="D2346" i="19"/>
  <c r="I2346" i="19" s="1"/>
  <c r="D2293" i="19"/>
  <c r="I2293" i="19" s="1"/>
  <c r="C2293" i="19"/>
  <c r="H2293" i="19" s="1"/>
  <c r="E2858" i="23"/>
  <c r="D2297" i="19"/>
  <c r="I2297" i="19" s="1"/>
  <c r="D2351" i="19"/>
  <c r="I2351" i="19" s="1"/>
  <c r="G2351" i="19" s="1"/>
  <c r="C2297" i="19"/>
  <c r="H2297" i="19" s="1"/>
  <c r="O41" i="16"/>
  <c r="G41" i="16"/>
  <c r="D2866" i="23"/>
  <c r="I50" i="16"/>
  <c r="D2919" i="23" s="1"/>
  <c r="E2871" i="23"/>
  <c r="D2308" i="19"/>
  <c r="I2308" i="19" s="1"/>
  <c r="C2308" i="19"/>
  <c r="H2308" i="19" s="1"/>
  <c r="D2361" i="19"/>
  <c r="I2361" i="19" s="1"/>
  <c r="G2361" i="19" s="1"/>
  <c r="O55" i="16"/>
  <c r="G55" i="16"/>
  <c r="E2877" i="23"/>
  <c r="D2314" i="19"/>
  <c r="I2314" i="19" s="1"/>
  <c r="C2314" i="19"/>
  <c r="H2314" i="19" s="1"/>
  <c r="D2367" i="19"/>
  <c r="I2367" i="19" s="1"/>
  <c r="G2367" i="19" s="1"/>
  <c r="G61" i="16"/>
  <c r="D2888" i="23"/>
  <c r="J75" i="16"/>
  <c r="E2956" i="23"/>
  <c r="D2480" i="19"/>
  <c r="I2480" i="19" s="1"/>
  <c r="E2407" i="19"/>
  <c r="E985" i="23"/>
  <c r="D985" i="23"/>
  <c r="D2464" i="19"/>
  <c r="I2464" i="19" s="1"/>
  <c r="G2464" i="19" s="1"/>
  <c r="D1016" i="23"/>
  <c r="E1016" i="23"/>
  <c r="D2533" i="19"/>
  <c r="I2533" i="19" s="1"/>
  <c r="G2533" i="19" s="1"/>
  <c r="D990" i="23"/>
  <c r="E990" i="23"/>
  <c r="D2468" i="19"/>
  <c r="I2468" i="19" s="1"/>
  <c r="G2468" i="19" s="1"/>
  <c r="E3033" i="23"/>
  <c r="O21" i="18"/>
  <c r="D3033" i="23" s="1"/>
  <c r="E1127" i="23"/>
  <c r="D1127" i="23"/>
  <c r="H30" i="18"/>
  <c r="D1157" i="23"/>
  <c r="E1157" i="23"/>
  <c r="D2560" i="19"/>
  <c r="I2560" i="19" s="1"/>
  <c r="C2575" i="19"/>
  <c r="H2575" i="19" s="1"/>
  <c r="C2560" i="19"/>
  <c r="H2560" i="19" s="1"/>
  <c r="D1185" i="23"/>
  <c r="H54" i="18"/>
  <c r="F85" i="23"/>
  <c r="M230" i="23"/>
  <c r="N230" i="23"/>
  <c r="N2108" i="23"/>
  <c r="M2108" i="23"/>
  <c r="E2374" i="23"/>
  <c r="D1343" i="19"/>
  <c r="I1343" i="19" s="1"/>
  <c r="C1295" i="19"/>
  <c r="H1295" i="19" s="1"/>
  <c r="G1295" i="19" s="1"/>
  <c r="E2378" i="23"/>
  <c r="C1299" i="19"/>
  <c r="H1299" i="19" s="1"/>
  <c r="D1347" i="19"/>
  <c r="I1347" i="19" s="1"/>
  <c r="D1299" i="19"/>
  <c r="I1299" i="19" s="1"/>
  <c r="E2381" i="23"/>
  <c r="C1302" i="19"/>
  <c r="H1302" i="19" s="1"/>
  <c r="D1302" i="19"/>
  <c r="I1302" i="19" s="1"/>
  <c r="D1350" i="19"/>
  <c r="I1350" i="19" s="1"/>
  <c r="G1350" i="19" s="1"/>
  <c r="B2575" i="23"/>
  <c r="B2528" i="23"/>
  <c r="N1506" i="19"/>
  <c r="N1602" i="19"/>
  <c r="N1554" i="19"/>
  <c r="B2532" i="23"/>
  <c r="B361" i="23"/>
  <c r="B2579" i="23"/>
  <c r="N1558" i="19"/>
  <c r="N1510" i="19"/>
  <c r="N1606" i="19"/>
  <c r="B2536" i="23"/>
  <c r="B2583" i="23"/>
  <c r="B365" i="23"/>
  <c r="N1610" i="19"/>
  <c r="N1562" i="19"/>
  <c r="N1514" i="19"/>
  <c r="B2587" i="23"/>
  <c r="B2540" i="23"/>
  <c r="N1566" i="19"/>
  <c r="N1518" i="19"/>
  <c r="B369" i="23"/>
  <c r="B2591" i="23"/>
  <c r="B2544" i="23"/>
  <c r="B373" i="23"/>
  <c r="N1522" i="19"/>
  <c r="N1570" i="19"/>
  <c r="N1618" i="19"/>
  <c r="B2547" i="23"/>
  <c r="B2594" i="23"/>
  <c r="B376" i="23"/>
  <c r="N1525" i="19"/>
  <c r="N1621" i="19"/>
  <c r="N1573" i="19"/>
  <c r="B2601" i="23"/>
  <c r="B2554" i="23"/>
  <c r="B383" i="23"/>
  <c r="N1532" i="19"/>
  <c r="N1628" i="19"/>
  <c r="B2558" i="23"/>
  <c r="B387" i="23"/>
  <c r="N1584" i="19"/>
  <c r="B2605" i="23"/>
  <c r="N1632" i="19"/>
  <c r="B2609" i="23"/>
  <c r="B2562" i="23"/>
  <c r="B391" i="23"/>
  <c r="N1588" i="19"/>
  <c r="N1540" i="19"/>
  <c r="N1636" i="19"/>
  <c r="B2566" i="23"/>
  <c r="B395" i="23"/>
  <c r="B2613" i="23"/>
  <c r="N1640" i="19"/>
  <c r="N1592" i="19"/>
  <c r="N1544" i="19"/>
  <c r="B2569" i="23"/>
  <c r="B2616" i="23"/>
  <c r="B398" i="23"/>
  <c r="N1595" i="19"/>
  <c r="N1596" i="19"/>
  <c r="N1547" i="19"/>
  <c r="N1643" i="19"/>
  <c r="N1550" i="19"/>
  <c r="N1599" i="19"/>
  <c r="E310" i="23"/>
  <c r="C1456" i="19"/>
  <c r="H1456" i="19" s="1"/>
  <c r="G1456" i="19" s="1"/>
  <c r="D1359" i="19"/>
  <c r="I1359" i="19" s="1"/>
  <c r="C1359" i="19"/>
  <c r="H1359" i="19" s="1"/>
  <c r="C1363" i="19"/>
  <c r="H1363" i="19" s="1"/>
  <c r="E314" i="23"/>
  <c r="D1363" i="19"/>
  <c r="I1363" i="19" s="1"/>
  <c r="E318" i="23"/>
  <c r="C1464" i="19"/>
  <c r="H1464" i="19" s="1"/>
  <c r="C1367" i="19"/>
  <c r="H1367" i="19" s="1"/>
  <c r="G1367" i="19" s="1"/>
  <c r="E1464" i="19"/>
  <c r="D1367" i="19"/>
  <c r="I1367" i="19" s="1"/>
  <c r="E322" i="23"/>
  <c r="C1371" i="19"/>
  <c r="H1371" i="19" s="1"/>
  <c r="E1468" i="19"/>
  <c r="C1468" i="19"/>
  <c r="H1468" i="19" s="1"/>
  <c r="D1371" i="19"/>
  <c r="I1371" i="19" s="1"/>
  <c r="E326" i="23"/>
  <c r="E1472" i="19"/>
  <c r="C1472" i="19"/>
  <c r="H1472" i="19" s="1"/>
  <c r="D1375" i="19"/>
  <c r="I1375" i="19" s="1"/>
  <c r="G1375" i="19" s="1"/>
  <c r="C1475" i="19"/>
  <c r="H1475" i="19" s="1"/>
  <c r="E1475" i="19"/>
  <c r="D1378" i="19"/>
  <c r="I1378" i="19" s="1"/>
  <c r="C1378" i="19"/>
  <c r="H1378" i="19" s="1"/>
  <c r="E336" i="23"/>
  <c r="C1482" i="19"/>
  <c r="H1482" i="19" s="1"/>
  <c r="E1482" i="19"/>
  <c r="D1385" i="19"/>
  <c r="I1385" i="19" s="1"/>
  <c r="C1385" i="19"/>
  <c r="H1385" i="19" s="1"/>
  <c r="C1389" i="19"/>
  <c r="H1389" i="19" s="1"/>
  <c r="E340" i="23"/>
  <c r="D1389" i="19"/>
  <c r="I1389" i="19" s="1"/>
  <c r="E1486" i="19"/>
  <c r="E1490" i="19"/>
  <c r="E344" i="23"/>
  <c r="D1393" i="19"/>
  <c r="I1393" i="19" s="1"/>
  <c r="C1393" i="19"/>
  <c r="H1393" i="19" s="1"/>
  <c r="C1397" i="19"/>
  <c r="H1397" i="19" s="1"/>
  <c r="E1494" i="19"/>
  <c r="E348" i="23"/>
  <c r="D1397" i="19"/>
  <c r="I1397" i="19" s="1"/>
  <c r="E351" i="23"/>
  <c r="D1400" i="19"/>
  <c r="I1400" i="19" s="1"/>
  <c r="E1497" i="19"/>
  <c r="C1497" i="19"/>
  <c r="H1497" i="19" s="1"/>
  <c r="C1400" i="19"/>
  <c r="H1400" i="19" s="1"/>
  <c r="N2111" i="19"/>
  <c r="N2047" i="19"/>
  <c r="N2079" i="19"/>
  <c r="N2051" i="19"/>
  <c r="N2115" i="19"/>
  <c r="N2083" i="19"/>
  <c r="E2120" i="19"/>
  <c r="E687" i="23"/>
  <c r="D2056" i="19"/>
  <c r="I2056" i="19" s="1"/>
  <c r="G2056" i="19" s="1"/>
  <c r="E2124" i="19"/>
  <c r="D2060" i="19"/>
  <c r="I2060" i="19" s="1"/>
  <c r="C2060" i="19"/>
  <c r="H2060" i="19" s="1"/>
  <c r="G2060" i="19" s="1"/>
  <c r="E2128" i="19"/>
  <c r="D2064" i="19"/>
  <c r="I2064" i="19" s="1"/>
  <c r="E695" i="23"/>
  <c r="C2064" i="19"/>
  <c r="H2064" i="19" s="1"/>
  <c r="N2066" i="19"/>
  <c r="N2130" i="19"/>
  <c r="N2098" i="19"/>
  <c r="E783" i="23"/>
  <c r="D2146" i="19"/>
  <c r="I2146" i="19" s="1"/>
  <c r="E2210" i="19"/>
  <c r="C2146" i="19"/>
  <c r="H2146" i="19" s="1"/>
  <c r="C2157" i="19"/>
  <c r="H2157" i="19" s="1"/>
  <c r="G2157" i="19" s="1"/>
  <c r="E794" i="23"/>
  <c r="E2221" i="19"/>
  <c r="D2157" i="19"/>
  <c r="I2157" i="19" s="1"/>
  <c r="N2163" i="19"/>
  <c r="N2227" i="19"/>
  <c r="N2195" i="19"/>
  <c r="D2230" i="19"/>
  <c r="I2230" i="19" s="1"/>
  <c r="D2198" i="19"/>
  <c r="I2198" i="19" s="1"/>
  <c r="C2198" i="19"/>
  <c r="H2198" i="19" s="1"/>
  <c r="E735" i="23"/>
  <c r="U13" i="15"/>
  <c r="U17" i="15"/>
  <c r="U21" i="15"/>
  <c r="E598" i="23"/>
  <c r="E2029" i="19"/>
  <c r="C1964" i="19"/>
  <c r="H1964" i="19" s="1"/>
  <c r="D1964" i="19"/>
  <c r="I1964" i="19" s="1"/>
  <c r="C1968" i="19"/>
  <c r="H1968" i="19" s="1"/>
  <c r="D1968" i="19"/>
  <c r="I1968" i="19" s="1"/>
  <c r="E2033" i="19"/>
  <c r="E2037" i="19"/>
  <c r="D1972" i="19"/>
  <c r="I1972" i="19" s="1"/>
  <c r="E606" i="23"/>
  <c r="C1972" i="19"/>
  <c r="H1972" i="19" s="1"/>
  <c r="E406" i="23"/>
  <c r="E1749" i="19"/>
  <c r="C1749" i="19"/>
  <c r="H1749" i="19" s="1"/>
  <c r="C1654" i="19"/>
  <c r="H1654" i="19" s="1"/>
  <c r="G1654" i="19" s="1"/>
  <c r="C1753" i="19"/>
  <c r="H1753" i="19" s="1"/>
  <c r="E1753" i="19"/>
  <c r="E410" i="23"/>
  <c r="D1658" i="19"/>
  <c r="I1658" i="19" s="1"/>
  <c r="G1658" i="19" s="1"/>
  <c r="E1757" i="19"/>
  <c r="E414" i="23"/>
  <c r="E1761" i="19"/>
  <c r="C1761" i="19"/>
  <c r="H1761" i="19" s="1"/>
  <c r="E418" i="23"/>
  <c r="D1666" i="19"/>
  <c r="I1666" i="19" s="1"/>
  <c r="C1666" i="19"/>
  <c r="H1666" i="19" s="1"/>
  <c r="C1673" i="19"/>
  <c r="H1673" i="19" s="1"/>
  <c r="G1673" i="19" s="1"/>
  <c r="E425" i="23"/>
  <c r="C1768" i="19"/>
  <c r="H1768" i="19" s="1"/>
  <c r="G1768" i="19" s="1"/>
  <c r="E428" i="23"/>
  <c r="E1771" i="19"/>
  <c r="D1676" i="19"/>
  <c r="I1676" i="19" s="1"/>
  <c r="G1676" i="19" s="1"/>
  <c r="C1771" i="19"/>
  <c r="H1771" i="19" s="1"/>
  <c r="E432" i="23"/>
  <c r="D1680" i="19"/>
  <c r="I1680" i="19" s="1"/>
  <c r="E1775" i="19"/>
  <c r="C1775" i="19"/>
  <c r="H1775" i="19" s="1"/>
  <c r="C1680" i="19"/>
  <c r="H1680" i="19" s="1"/>
  <c r="E1779" i="19"/>
  <c r="D1684" i="19"/>
  <c r="I1684" i="19" s="1"/>
  <c r="E436" i="23"/>
  <c r="C1684" i="19"/>
  <c r="H1684" i="19" s="1"/>
  <c r="E440" i="23"/>
  <c r="D1688" i="19"/>
  <c r="I1688" i="19" s="1"/>
  <c r="C1688" i="19"/>
  <c r="H1688" i="19" s="1"/>
  <c r="E1783" i="19"/>
  <c r="C1783" i="19"/>
  <c r="H1783" i="19" s="1"/>
  <c r="E2715" i="23"/>
  <c r="C1844" i="19"/>
  <c r="H1844" i="19" s="1"/>
  <c r="D1891" i="19"/>
  <c r="I1891" i="19" s="1"/>
  <c r="D1844" i="19"/>
  <c r="I1844" i="19" s="1"/>
  <c r="N4" i="14"/>
  <c r="U19" i="14"/>
  <c r="E2735" i="23"/>
  <c r="D1864" i="19"/>
  <c r="I1864" i="19" s="1"/>
  <c r="C1864" i="19"/>
  <c r="H1864" i="19" s="1"/>
  <c r="D1911" i="19"/>
  <c r="I1911" i="19" s="1"/>
  <c r="B2788" i="23"/>
  <c r="N1916" i="19"/>
  <c r="B475" i="23"/>
  <c r="B2740" i="23"/>
  <c r="N1869" i="19"/>
  <c r="N1821" i="19"/>
  <c r="E476" i="23"/>
  <c r="D1822" i="19"/>
  <c r="I1822" i="19" s="1"/>
  <c r="C1822" i="19"/>
  <c r="H1822" i="19" s="1"/>
  <c r="C1917" i="19"/>
  <c r="H1917" i="19" s="1"/>
  <c r="E1917" i="19"/>
  <c r="C1877" i="19"/>
  <c r="H1877" i="19" s="1"/>
  <c r="D1924" i="19"/>
  <c r="I1924" i="19" s="1"/>
  <c r="E2748" i="23"/>
  <c r="D1877" i="19"/>
  <c r="I1877" i="19" s="1"/>
  <c r="E486" i="23"/>
  <c r="E1927" i="19"/>
  <c r="D1832" i="19"/>
  <c r="I1832" i="19" s="1"/>
  <c r="C1832" i="19"/>
  <c r="H1832" i="19" s="1"/>
  <c r="C1927" i="19"/>
  <c r="H1927" i="19" s="1"/>
  <c r="D1835" i="19"/>
  <c r="I1835" i="19" s="1"/>
  <c r="C1835" i="19"/>
  <c r="H1835" i="19" s="1"/>
  <c r="E489" i="23"/>
  <c r="E1930" i="19"/>
  <c r="U43" i="14"/>
  <c r="E2811" i="23"/>
  <c r="C2273" i="19"/>
  <c r="H2273" i="19" s="1"/>
  <c r="D2326" i="19"/>
  <c r="I2326" i="19" s="1"/>
  <c r="D2273" i="19"/>
  <c r="I2273" i="19" s="1"/>
  <c r="E898" i="23"/>
  <c r="C2269" i="19"/>
  <c r="H2269" i="19" s="1"/>
  <c r="C2354" i="19"/>
  <c r="H2354" i="19" s="1"/>
  <c r="E2353" i="19"/>
  <c r="E2354" i="19"/>
  <c r="D2269" i="19"/>
  <c r="I2269" i="19" s="1"/>
  <c r="C2353" i="19"/>
  <c r="H2353" i="19" s="1"/>
  <c r="E907" i="23"/>
  <c r="D2454" i="19"/>
  <c r="I2454" i="19" s="1"/>
  <c r="C2454" i="19"/>
  <c r="H2454" i="19" s="1"/>
  <c r="C2475" i="19"/>
  <c r="H2475" i="19" s="1"/>
  <c r="G2475" i="19" s="1"/>
  <c r="D2390" i="19"/>
  <c r="I2390" i="19" s="1"/>
  <c r="E2408" i="19"/>
  <c r="C2390" i="19"/>
  <c r="H2390" i="19" s="1"/>
  <c r="E928" i="23"/>
  <c r="D928" i="23"/>
  <c r="C2408" i="19"/>
  <c r="H2408" i="19" s="1"/>
  <c r="D942" i="23"/>
  <c r="E942" i="23"/>
  <c r="D992" i="23"/>
  <c r="D2487" i="19"/>
  <c r="I2487" i="19" s="1"/>
  <c r="G2487" i="19" s="1"/>
  <c r="E992" i="23"/>
  <c r="D1000" i="23"/>
  <c r="E1000" i="23"/>
  <c r="D2494" i="19"/>
  <c r="I2494" i="19" s="1"/>
  <c r="G2494" i="19" s="1"/>
  <c r="E3049" i="23"/>
  <c r="Q21" i="18"/>
  <c r="D3049" i="23" s="1"/>
  <c r="D1133" i="23"/>
  <c r="E1133" i="23"/>
  <c r="D1161" i="23"/>
  <c r="D2575" i="19"/>
  <c r="I2575" i="19" s="1"/>
  <c r="E1161" i="23"/>
  <c r="N40" i="18"/>
  <c r="K48" i="18"/>
  <c r="K54" i="18" s="1"/>
  <c r="V279" i="19"/>
  <c r="V297" i="19"/>
  <c r="V345" i="19"/>
  <c r="V353" i="19"/>
  <c r="V476" i="19"/>
  <c r="V505" i="19"/>
  <c r="G592" i="19"/>
  <c r="V617" i="19"/>
  <c r="V764" i="19"/>
  <c r="V793" i="19"/>
  <c r="V1199" i="19"/>
  <c r="V1447" i="19"/>
  <c r="D2231" i="19"/>
  <c r="I2231" i="19" s="1"/>
  <c r="N231" i="23"/>
  <c r="M231" i="23"/>
  <c r="F231" i="23" s="1"/>
  <c r="N382" i="23"/>
  <c r="M382" i="23"/>
  <c r="B2761" i="23"/>
  <c r="B495" i="23"/>
  <c r="B2809" i="23"/>
  <c r="N1842" i="19"/>
  <c r="N1890" i="19"/>
  <c r="C2500" i="19"/>
  <c r="H2500" i="19" s="1"/>
  <c r="G2500" i="19" s="1"/>
  <c r="C2453" i="19"/>
  <c r="H2453" i="19" s="1"/>
  <c r="C2474" i="19"/>
  <c r="H2474" i="19" s="1"/>
  <c r="G2474" i="19" s="1"/>
  <c r="D2453" i="19"/>
  <c r="I2453" i="19" s="1"/>
  <c r="E906" i="23"/>
  <c r="E944" i="23"/>
  <c r="D944" i="23"/>
  <c r="D982" i="23"/>
  <c r="E982" i="23"/>
  <c r="D2461" i="19"/>
  <c r="I2461" i="19" s="1"/>
  <c r="G2461" i="19" s="1"/>
  <c r="D1006" i="23"/>
  <c r="E1006" i="23"/>
  <c r="D2516" i="19"/>
  <c r="I2516" i="19" s="1"/>
  <c r="G2516" i="19" s="1"/>
  <c r="E2550" i="19"/>
  <c r="D1039" i="23"/>
  <c r="E1059" i="23"/>
  <c r="E2554" i="19"/>
  <c r="D1059" i="23"/>
  <c r="E1142" i="23"/>
  <c r="E2604" i="19"/>
  <c r="D1142" i="23"/>
  <c r="V964" i="19"/>
  <c r="V1252" i="19"/>
  <c r="G1255" i="19"/>
  <c r="V1301" i="19"/>
  <c r="V1533" i="19"/>
  <c r="M2157" i="23"/>
  <c r="F2157" i="23" s="1"/>
  <c r="N2157" i="23"/>
  <c r="E2862" i="23"/>
  <c r="D2354" i="19"/>
  <c r="I2354" i="19" s="1"/>
  <c r="D2301" i="19"/>
  <c r="I2301" i="19" s="1"/>
  <c r="C2301" i="19"/>
  <c r="H2301" i="19" s="1"/>
  <c r="E2864" i="23"/>
  <c r="D2303" i="19"/>
  <c r="I2303" i="19" s="1"/>
  <c r="C2303" i="19"/>
  <c r="H2303" i="19" s="1"/>
  <c r="D2356" i="19"/>
  <c r="I2356" i="19" s="1"/>
  <c r="E2866" i="23"/>
  <c r="D2358" i="19"/>
  <c r="I2358" i="19" s="1"/>
  <c r="G2358" i="19" s="1"/>
  <c r="D2304" i="19"/>
  <c r="I2304" i="19" s="1"/>
  <c r="C2304" i="19"/>
  <c r="H2304" i="19" s="1"/>
  <c r="E2873" i="23"/>
  <c r="D2310" i="19"/>
  <c r="I2310" i="19" s="1"/>
  <c r="D2363" i="19"/>
  <c r="I2363" i="19" s="1"/>
  <c r="G2363" i="19" s="1"/>
  <c r="C2310" i="19"/>
  <c r="H2310" i="19" s="1"/>
  <c r="E2878" i="23"/>
  <c r="C2315" i="19"/>
  <c r="H2315" i="19" s="1"/>
  <c r="D2368" i="19"/>
  <c r="I2368" i="19" s="1"/>
  <c r="G2368" i="19" s="1"/>
  <c r="D2315" i="19"/>
  <c r="I2315" i="19" s="1"/>
  <c r="E2883" i="23"/>
  <c r="D2320" i="19"/>
  <c r="I2320" i="19" s="1"/>
  <c r="G2320" i="19" s="1"/>
  <c r="D2373" i="19"/>
  <c r="I2373" i="19" s="1"/>
  <c r="G2373" i="19" s="1"/>
  <c r="E2887" i="23"/>
  <c r="D2323" i="19"/>
  <c r="I2323" i="19" s="1"/>
  <c r="C2323" i="19"/>
  <c r="H2323" i="19" s="1"/>
  <c r="D2378" i="19"/>
  <c r="I2378" i="19" s="1"/>
  <c r="G2378" i="19" s="1"/>
  <c r="E2949" i="23"/>
  <c r="C2498" i="19"/>
  <c r="H2498" i="19" s="1"/>
  <c r="G2498" i="19" s="1"/>
  <c r="C2472" i="19"/>
  <c r="H2472" i="19" s="1"/>
  <c r="D2472" i="19"/>
  <c r="I2472" i="19" s="1"/>
  <c r="C2506" i="19"/>
  <c r="H2506" i="19" s="1"/>
  <c r="G2506" i="19" s="1"/>
  <c r="C2457" i="19"/>
  <c r="H2457" i="19" s="1"/>
  <c r="D2457" i="19"/>
  <c r="I2457" i="19" s="1"/>
  <c r="C2479" i="19"/>
  <c r="H2479" i="19" s="1"/>
  <c r="G2479" i="19" s="1"/>
  <c r="D930" i="23"/>
  <c r="E930" i="23"/>
  <c r="D2408" i="19"/>
  <c r="I2408" i="19" s="1"/>
  <c r="E945" i="23"/>
  <c r="D945" i="23"/>
  <c r="E1002" i="23"/>
  <c r="D2512" i="19"/>
  <c r="I2512" i="19" s="1"/>
  <c r="G2512" i="19" s="1"/>
  <c r="E995" i="23"/>
  <c r="D2490" i="19"/>
  <c r="I2490" i="19" s="1"/>
  <c r="G2490" i="19" s="1"/>
  <c r="D995" i="23"/>
  <c r="D965" i="23"/>
  <c r="E965" i="23"/>
  <c r="D2421" i="19"/>
  <c r="I2421" i="19" s="1"/>
  <c r="G2421" i="19" s="1"/>
  <c r="D1148" i="23"/>
  <c r="E2631" i="19"/>
  <c r="E1148" i="23"/>
  <c r="D1169" i="23"/>
  <c r="E1169" i="23"/>
  <c r="C2616" i="19"/>
  <c r="H2616" i="19" s="1"/>
  <c r="D2608" i="19"/>
  <c r="I2608" i="19" s="1"/>
  <c r="E1179" i="23"/>
  <c r="C2608" i="19"/>
  <c r="H2608" i="19" s="1"/>
  <c r="V850" i="19"/>
  <c r="V956" i="19"/>
  <c r="V1003" i="19"/>
  <c r="V1147" i="19"/>
  <c r="V1430" i="19"/>
  <c r="F366" i="23"/>
  <c r="C2332" i="19"/>
  <c r="H2332" i="19" s="1"/>
  <c r="E2332" i="19"/>
  <c r="E878" i="23"/>
  <c r="D2250" i="19"/>
  <c r="I2250" i="19" s="1"/>
  <c r="C2250" i="19"/>
  <c r="H2250" i="19" s="1"/>
  <c r="G2250" i="19" s="1"/>
  <c r="E916" i="23"/>
  <c r="D2386" i="19"/>
  <c r="I2386" i="19" s="1"/>
  <c r="C2386" i="19"/>
  <c r="H2386" i="19" s="1"/>
  <c r="C2403" i="19"/>
  <c r="H2403" i="19" s="1"/>
  <c r="D2403" i="19"/>
  <c r="I2403" i="19" s="1"/>
  <c r="D916" i="23"/>
  <c r="E931" i="23"/>
  <c r="D931" i="23"/>
  <c r="D2409" i="19"/>
  <c r="I2409" i="19" s="1"/>
  <c r="D957" i="23"/>
  <c r="E957" i="23"/>
  <c r="D2414" i="19"/>
  <c r="I2414" i="19" s="1"/>
  <c r="G2414" i="19" s="1"/>
  <c r="D993" i="23"/>
  <c r="E993" i="23"/>
  <c r="D2488" i="19"/>
  <c r="I2488" i="19" s="1"/>
  <c r="G2488" i="19" s="1"/>
  <c r="E986" i="23"/>
  <c r="D986" i="23"/>
  <c r="D2465" i="19"/>
  <c r="I2465" i="19" s="1"/>
  <c r="G2465" i="19" s="1"/>
  <c r="E1146" i="23"/>
  <c r="D1146" i="23"/>
  <c r="E2613" i="19"/>
  <c r="D1171" i="23"/>
  <c r="E1171" i="23"/>
  <c r="V1088" i="19"/>
  <c r="G1251" i="19"/>
  <c r="V1289" i="19"/>
  <c r="N84" i="23"/>
  <c r="M84" i="23"/>
  <c r="F84" i="23" s="1"/>
  <c r="M428" i="23"/>
  <c r="N428" i="23"/>
  <c r="B2710" i="23"/>
  <c r="B2663" i="23"/>
  <c r="B445" i="23"/>
  <c r="N1693" i="19"/>
  <c r="N1788" i="19"/>
  <c r="E2818" i="23"/>
  <c r="D2332" i="19"/>
  <c r="I2332" i="19" s="1"/>
  <c r="D2280" i="19"/>
  <c r="I2280" i="19" s="1"/>
  <c r="C2280" i="19"/>
  <c r="H2280" i="19" s="1"/>
  <c r="D2305" i="19"/>
  <c r="I2305" i="19" s="1"/>
  <c r="D2359" i="19"/>
  <c r="C2305" i="19"/>
  <c r="H2305" i="19" s="1"/>
  <c r="E2867" i="23"/>
  <c r="E2874" i="23"/>
  <c r="D2311" i="19"/>
  <c r="I2311" i="19" s="1"/>
  <c r="D2364" i="19"/>
  <c r="I2364" i="19" s="1"/>
  <c r="G2364" i="19" s="1"/>
  <c r="E2879" i="23"/>
  <c r="D2316" i="19"/>
  <c r="I2316" i="19" s="1"/>
  <c r="G2316" i="19" s="1"/>
  <c r="D2369" i="19"/>
  <c r="I2369" i="19" s="1"/>
  <c r="G2369" i="19" s="1"/>
  <c r="D2321" i="19"/>
  <c r="I2321" i="19" s="1"/>
  <c r="E2884" i="23"/>
  <c r="D2374" i="19"/>
  <c r="I2374" i="19" s="1"/>
  <c r="G2374" i="19" s="1"/>
  <c r="C2321" i="19"/>
  <c r="H2321" i="19" s="1"/>
  <c r="E2888" i="23"/>
  <c r="D2324" i="19"/>
  <c r="I2324" i="19" s="1"/>
  <c r="D2379" i="19"/>
  <c r="I2379" i="19" s="1"/>
  <c r="G2379" i="19" s="1"/>
  <c r="C2324" i="19"/>
  <c r="H2324" i="19" s="1"/>
  <c r="C2499" i="19"/>
  <c r="H2499" i="19" s="1"/>
  <c r="G2499" i="19" s="1"/>
  <c r="C2473" i="19"/>
  <c r="H2473" i="19" s="1"/>
  <c r="G2473" i="19" s="1"/>
  <c r="D2452" i="19"/>
  <c r="I2452" i="19" s="1"/>
  <c r="C2452" i="19"/>
  <c r="H2452" i="19" s="1"/>
  <c r="E905" i="23"/>
  <c r="E924" i="23"/>
  <c r="D924" i="23"/>
  <c r="D933" i="23"/>
  <c r="E933" i="23"/>
  <c r="C2424" i="19"/>
  <c r="H2424" i="19" s="1"/>
  <c r="C2434" i="19"/>
  <c r="H2434" i="19" s="1"/>
  <c r="D2424" i="19"/>
  <c r="I2424" i="19" s="1"/>
  <c r="E2434" i="19"/>
  <c r="D2425" i="19"/>
  <c r="I2425" i="19" s="1"/>
  <c r="G2425" i="19" s="1"/>
  <c r="E966" i="23"/>
  <c r="D966" i="23"/>
  <c r="E1003" i="23"/>
  <c r="D2513" i="19"/>
  <c r="I2513" i="19" s="1"/>
  <c r="G2513" i="19" s="1"/>
  <c r="D1003" i="23"/>
  <c r="E996" i="23"/>
  <c r="D996" i="23"/>
  <c r="D2491" i="19"/>
  <c r="I2491" i="19" s="1"/>
  <c r="G2491" i="19" s="1"/>
  <c r="D1030" i="23"/>
  <c r="E2440" i="19"/>
  <c r="E1030" i="23"/>
  <c r="D1121" i="23"/>
  <c r="E1121" i="23"/>
  <c r="E1149" i="23"/>
  <c r="D1149" i="23"/>
  <c r="E2632" i="19"/>
  <c r="D1167" i="23"/>
  <c r="E1167" i="23"/>
  <c r="C2566" i="19"/>
  <c r="H2566" i="19" s="1"/>
  <c r="C2580" i="19"/>
  <c r="H2580" i="19" s="1"/>
  <c r="G2580" i="19" s="1"/>
  <c r="D2566" i="19"/>
  <c r="I2566" i="19" s="1"/>
  <c r="V847" i="19"/>
  <c r="V929" i="19"/>
  <c r="V1158" i="19"/>
  <c r="V1271" i="19"/>
  <c r="G1300" i="19"/>
  <c r="V1327" i="19"/>
  <c r="V1860" i="19"/>
  <c r="M412" i="23"/>
  <c r="N412" i="23"/>
  <c r="E910" i="23"/>
  <c r="O441" i="23"/>
  <c r="K441" i="23"/>
  <c r="F441" i="23"/>
  <c r="P441" i="23"/>
  <c r="G842" i="19"/>
  <c r="V971" i="19"/>
  <c r="V1072" i="19"/>
  <c r="G1305" i="19"/>
  <c r="V1731" i="19"/>
  <c r="V1998" i="19"/>
  <c r="G1306" i="19"/>
  <c r="N392" i="23"/>
  <c r="M392" i="23"/>
  <c r="F392" i="23" s="1"/>
  <c r="V805" i="19"/>
  <c r="G1011" i="19"/>
  <c r="V1359" i="19"/>
  <c r="V1365" i="19"/>
  <c r="G1452" i="19"/>
  <c r="V1733" i="19"/>
  <c r="M2583" i="23"/>
  <c r="F2583" i="23" s="1"/>
  <c r="N2583" i="23"/>
  <c r="V1656" i="19"/>
  <c r="V2044" i="19"/>
  <c r="M149" i="23"/>
  <c r="N149" i="23"/>
  <c r="V1353" i="19"/>
  <c r="V1556" i="19"/>
  <c r="V1687" i="19"/>
  <c r="N58" i="23"/>
  <c r="M58" i="23"/>
  <c r="F58" i="23" s="1"/>
  <c r="N348" i="23"/>
  <c r="M348" i="23"/>
  <c r="F348" i="23" s="1"/>
  <c r="V1142" i="19"/>
  <c r="V1381" i="19"/>
  <c r="G1572" i="19"/>
  <c r="V1663" i="19"/>
  <c r="V1700" i="19"/>
  <c r="M75" i="23"/>
  <c r="F75" i="23" s="1"/>
  <c r="N75" i="23"/>
  <c r="N103" i="23"/>
  <c r="M103" i="23"/>
  <c r="F103" i="23" s="1"/>
  <c r="N407" i="23"/>
  <c r="M407" i="23"/>
  <c r="M340" i="23"/>
  <c r="N340" i="23"/>
  <c r="M1905" i="23"/>
  <c r="N1905" i="23"/>
  <c r="N2284" i="23"/>
  <c r="M2284" i="23"/>
  <c r="F2284" i="23" s="1"/>
  <c r="G864" i="19"/>
  <c r="G890" i="19"/>
  <c r="V1211" i="19"/>
  <c r="V1592" i="19"/>
  <c r="V1715" i="19"/>
  <c r="F63" i="23"/>
  <c r="V2045" i="19"/>
  <c r="D2508" i="22"/>
  <c r="M86" i="23"/>
  <c r="F86" i="23" s="1"/>
  <c r="N86" i="23"/>
  <c r="N316" i="23"/>
  <c r="M316" i="23"/>
  <c r="F316" i="23" s="1"/>
  <c r="N2540" i="23"/>
  <c r="M2540" i="23"/>
  <c r="F2540" i="23" s="1"/>
  <c r="F36" i="23"/>
  <c r="M2228" i="23"/>
  <c r="F2228" i="23" s="1"/>
  <c r="N2228" i="23"/>
  <c r="V1660" i="19"/>
  <c r="N36" i="23"/>
  <c r="N45" i="23"/>
  <c r="M45" i="23"/>
  <c r="F45" i="23" s="1"/>
  <c r="N79" i="23"/>
  <c r="M79" i="23"/>
  <c r="F79" i="23" s="1"/>
  <c r="M217" i="23"/>
  <c r="N217" i="23"/>
  <c r="F264" i="23"/>
  <c r="D2525" i="22"/>
  <c r="E2490" i="22"/>
  <c r="D2490" i="22"/>
  <c r="D2506" i="22"/>
  <c r="E2506" i="22"/>
  <c r="D2495" i="22"/>
  <c r="E2495" i="22"/>
  <c r="F198" i="23"/>
  <c r="P427" i="23"/>
  <c r="F427" i="23" s="1"/>
  <c r="O427" i="23"/>
  <c r="L427" i="23"/>
  <c r="K427" i="23"/>
  <c r="M433" i="23"/>
  <c r="N433" i="23"/>
  <c r="M2020" i="23"/>
  <c r="N2020" i="23"/>
  <c r="M2469" i="23"/>
  <c r="F2469" i="23" s="1"/>
  <c r="N2469" i="23"/>
  <c r="F2489" i="23"/>
  <c r="M2139" i="23"/>
  <c r="F2139" i="23" s="1"/>
  <c r="N2139" i="23"/>
  <c r="V1405" i="19"/>
  <c r="G1425" i="19"/>
  <c r="V1583" i="19"/>
  <c r="V1871" i="19"/>
  <c r="V2253" i="19"/>
  <c r="I2459" i="22"/>
  <c r="I2476" i="22"/>
  <c r="N52" i="23"/>
  <c r="M52" i="23"/>
  <c r="F52" i="23" s="1"/>
  <c r="F290" i="23"/>
  <c r="F2027" i="23"/>
  <c r="N2189" i="23"/>
  <c r="M2189" i="23"/>
  <c r="F2189" i="23" s="1"/>
  <c r="K2677" i="23"/>
  <c r="F2677" i="23" s="1"/>
  <c r="P2677" i="23"/>
  <c r="O2677" i="23"/>
  <c r="L2677" i="23"/>
  <c r="P2683" i="23"/>
  <c r="L2683" i="23"/>
  <c r="F2683" i="23" s="1"/>
  <c r="K2683" i="23"/>
  <c r="O2683" i="23"/>
  <c r="V1546" i="19"/>
  <c r="V1695" i="19"/>
  <c r="V2303" i="19"/>
  <c r="M300" i="23"/>
  <c r="F300" i="23" s="1"/>
  <c r="N300" i="23"/>
  <c r="N1969" i="23"/>
  <c r="M1969" i="23"/>
  <c r="F2151" i="23"/>
  <c r="N2216" i="23"/>
  <c r="M2216" i="23"/>
  <c r="F2216" i="23" s="1"/>
  <c r="V927" i="19"/>
  <c r="V943" i="19"/>
  <c r="V1239" i="19"/>
  <c r="V1435" i="19"/>
  <c r="V1500" i="19"/>
  <c r="V1563" i="19"/>
  <c r="V1579" i="19"/>
  <c r="V1664" i="19"/>
  <c r="N338" i="23"/>
  <c r="M338" i="23"/>
  <c r="F338" i="23" s="1"/>
  <c r="N450" i="23"/>
  <c r="M450" i="23"/>
  <c r="F450" i="23" s="1"/>
  <c r="M1916" i="23"/>
  <c r="N1916" i="23"/>
  <c r="V1837" i="19"/>
  <c r="V2599" i="19"/>
  <c r="M131" i="23"/>
  <c r="N131" i="23"/>
  <c r="M294" i="23"/>
  <c r="N294" i="23"/>
  <c r="F1973" i="23"/>
  <c r="F2115" i="23"/>
  <c r="M2261" i="23"/>
  <c r="F2261" i="23" s="1"/>
  <c r="N2261" i="23"/>
  <c r="M204" i="23"/>
  <c r="N204" i="23"/>
  <c r="K410" i="23"/>
  <c r="F410" i="23" s="1"/>
  <c r="P410" i="23"/>
  <c r="L410" i="23"/>
  <c r="M431" i="23"/>
  <c r="N431" i="23"/>
  <c r="F2163" i="23"/>
  <c r="N2280" i="23"/>
  <c r="M2280" i="23"/>
  <c r="V1296" i="19"/>
  <c r="V1680" i="19"/>
  <c r="V1685" i="19"/>
  <c r="V1797" i="19"/>
  <c r="V1967" i="19"/>
  <c r="M125" i="23"/>
  <c r="F125" i="23" s="1"/>
  <c r="M227" i="23"/>
  <c r="N227" i="23"/>
  <c r="O410" i="23"/>
  <c r="N461" i="23"/>
  <c r="M461" i="23"/>
  <c r="F461" i="23" s="1"/>
  <c r="M1974" i="23"/>
  <c r="F1974" i="23" s="1"/>
  <c r="N1974" i="23"/>
  <c r="M2087" i="23"/>
  <c r="N2087" i="23"/>
  <c r="N2115" i="23"/>
  <c r="N2163" i="23"/>
  <c r="V1661" i="19"/>
  <c r="V1765" i="19"/>
  <c r="V1997" i="19"/>
  <c r="V2001" i="19"/>
  <c r="V2294" i="19"/>
  <c r="F346" i="23"/>
  <c r="F356" i="23"/>
  <c r="K417" i="23"/>
  <c r="L417" i="23"/>
  <c r="F417" i="23" s="1"/>
  <c r="P417" i="23"/>
  <c r="O417" i="23"/>
  <c r="N1930" i="23"/>
  <c r="M1930" i="23"/>
  <c r="F1930" i="23" s="1"/>
  <c r="N2116" i="23"/>
  <c r="M2116" i="23"/>
  <c r="N2480" i="23"/>
  <c r="M2480" i="23"/>
  <c r="F2480" i="23" s="1"/>
  <c r="N2707" i="23"/>
  <c r="M2707" i="23"/>
  <c r="V1375" i="19"/>
  <c r="V1793" i="19"/>
  <c r="V1889" i="19"/>
  <c r="V1931" i="19"/>
  <c r="V2300" i="19"/>
  <c r="V2372" i="19"/>
  <c r="N178" i="23"/>
  <c r="M178" i="23"/>
  <c r="F178" i="23" s="1"/>
  <c r="M388" i="23"/>
  <c r="N388" i="23"/>
  <c r="L418" i="23"/>
  <c r="O418" i="23"/>
  <c r="F418" i="23" s="1"/>
  <c r="P418" i="23"/>
  <c r="F1917" i="23"/>
  <c r="V1646" i="19"/>
  <c r="V1675" i="19"/>
  <c r="G1696" i="19"/>
  <c r="V1698" i="19"/>
  <c r="V1858" i="19"/>
  <c r="V2534" i="19"/>
  <c r="M2069" i="23"/>
  <c r="F2069" i="23" s="1"/>
  <c r="N2069" i="23"/>
  <c r="D2486" i="22"/>
  <c r="D2527" i="22" s="1"/>
  <c r="E2486" i="22"/>
  <c r="D2507" i="22"/>
  <c r="E2507" i="22"/>
  <c r="D2492" i="22"/>
  <c r="E2493" i="22"/>
  <c r="D2493" i="22"/>
  <c r="E2509" i="22"/>
  <c r="D2509" i="22"/>
  <c r="E2512" i="22"/>
  <c r="D2512" i="22"/>
  <c r="E2513" i="22"/>
  <c r="D2513" i="22"/>
  <c r="D2500" i="22"/>
  <c r="D2501" i="22"/>
  <c r="E2501" i="22"/>
  <c r="F102" i="23"/>
  <c r="L421" i="23"/>
  <c r="F421" i="23" s="1"/>
  <c r="K421" i="23"/>
  <c r="P421" i="23"/>
  <c r="O421" i="23"/>
  <c r="N2061" i="23"/>
  <c r="M2061" i="23"/>
  <c r="F2061" i="23" s="1"/>
  <c r="N2096" i="23"/>
  <c r="M2096" i="23"/>
  <c r="F2096" i="23" s="1"/>
  <c r="N2141" i="23"/>
  <c r="M2141" i="23"/>
  <c r="F2141" i="23" s="1"/>
  <c r="V1406" i="19"/>
  <c r="V1519" i="19"/>
  <c r="V1732" i="19"/>
  <c r="V1844" i="19"/>
  <c r="V1879" i="19"/>
  <c r="V1990" i="19"/>
  <c r="V1996" i="19"/>
  <c r="V2003" i="19"/>
  <c r="V2431" i="19"/>
  <c r="V2574" i="19"/>
  <c r="N54" i="23"/>
  <c r="M54" i="23"/>
  <c r="N60" i="23"/>
  <c r="M60" i="23"/>
  <c r="N196" i="23"/>
  <c r="M196" i="23"/>
  <c r="F196" i="23" s="1"/>
  <c r="F233" i="23"/>
  <c r="M2200" i="23"/>
  <c r="F2200" i="23" s="1"/>
  <c r="F61" i="23"/>
  <c r="N311" i="23"/>
  <c r="M311" i="23"/>
  <c r="N325" i="23"/>
  <c r="M325" i="23"/>
  <c r="F325" i="23" s="1"/>
  <c r="M1901" i="23"/>
  <c r="F1901" i="23" s="1"/>
  <c r="N1901" i="23"/>
  <c r="M1949" i="23"/>
  <c r="N1949" i="23"/>
  <c r="F2083" i="23"/>
  <c r="M2419" i="23"/>
  <c r="N2419" i="23"/>
  <c r="N207" i="23"/>
  <c r="M207" i="23"/>
  <c r="M341" i="23"/>
  <c r="F341" i="23" s="1"/>
  <c r="N341" i="23"/>
  <c r="N2545" i="23"/>
  <c r="M2545" i="23"/>
  <c r="F2545" i="23" s="1"/>
  <c r="M2554" i="23"/>
  <c r="N2554" i="23"/>
  <c r="M2698" i="23"/>
  <c r="N2698" i="23"/>
  <c r="V2502" i="19"/>
  <c r="F342" i="23"/>
  <c r="K404" i="23"/>
  <c r="F404" i="23" s="1"/>
  <c r="P404" i="23"/>
  <c r="L404" i="23"/>
  <c r="O404" i="23"/>
  <c r="N1902" i="23"/>
  <c r="M1902" i="23"/>
  <c r="F1902" i="23" s="1"/>
  <c r="M2092" i="23"/>
  <c r="N2092" i="23"/>
  <c r="M2322" i="23"/>
  <c r="N2322" i="23"/>
  <c r="N2446" i="23"/>
  <c r="M2446" i="23"/>
  <c r="F2446" i="23" s="1"/>
  <c r="N2564" i="23"/>
  <c r="M2564" i="23"/>
  <c r="F2564" i="23" s="1"/>
  <c r="N2699" i="23"/>
  <c r="M2699" i="23"/>
  <c r="F81" i="23"/>
  <c r="N89" i="23"/>
  <c r="M89" i="23"/>
  <c r="F89" i="23" s="1"/>
  <c r="N223" i="23"/>
  <c r="M223" i="23"/>
  <c r="L415" i="23"/>
  <c r="K415" i="23"/>
  <c r="F415" i="23" s="1"/>
  <c r="F463" i="23"/>
  <c r="F1933" i="23"/>
  <c r="V1566" i="19"/>
  <c r="G1645" i="19"/>
  <c r="V1670" i="19"/>
  <c r="V1703" i="19"/>
  <c r="V1737" i="19"/>
  <c r="V1832" i="19"/>
  <c r="V1838" i="19"/>
  <c r="V2284" i="19"/>
  <c r="V2380" i="19"/>
  <c r="V2648" i="19"/>
  <c r="F37" i="23"/>
  <c r="N454" i="23"/>
  <c r="M454" i="23"/>
  <c r="F454" i="23" s="1"/>
  <c r="M2510" i="23"/>
  <c r="F2510" i="23" s="1"/>
  <c r="N2510" i="23"/>
  <c r="M2566" i="23"/>
  <c r="N2566" i="23"/>
  <c r="O2649" i="23"/>
  <c r="L2649" i="23"/>
  <c r="K2649" i="23"/>
  <c r="P2649" i="23"/>
  <c r="F2649" i="23"/>
  <c r="D2494" i="22"/>
  <c r="E2494" i="22"/>
  <c r="D2510" i="22"/>
  <c r="E2510" i="22"/>
  <c r="E2519" i="22"/>
  <c r="M43" i="23"/>
  <c r="N43" i="23"/>
  <c r="M99" i="23"/>
  <c r="N99" i="23"/>
  <c r="F111" i="23"/>
  <c r="F124" i="23"/>
  <c r="F153" i="23"/>
  <c r="N321" i="23"/>
  <c r="M321" i="23"/>
  <c r="N406" i="23"/>
  <c r="M406" i="23"/>
  <c r="N438" i="23"/>
  <c r="M438" i="23"/>
  <c r="N1977" i="23"/>
  <c r="M1977" i="23"/>
  <c r="F1977" i="23" s="1"/>
  <c r="N2024" i="23"/>
  <c r="M2024" i="23"/>
  <c r="F2024" i="23" s="1"/>
  <c r="N2093" i="23"/>
  <c r="M2093" i="23"/>
  <c r="F2093" i="23" s="1"/>
  <c r="V1730" i="19"/>
  <c r="V1769" i="19"/>
  <c r="V1888" i="19"/>
  <c r="V1914" i="19"/>
  <c r="V2568" i="19"/>
  <c r="N31" i="23"/>
  <c r="M31" i="23"/>
  <c r="F31" i="23" s="1"/>
  <c r="N87" i="23"/>
  <c r="M87" i="23"/>
  <c r="N172" i="23"/>
  <c r="M172" i="23"/>
  <c r="F172" i="23" s="1"/>
  <c r="F177" i="23"/>
  <c r="M195" i="23"/>
  <c r="N195" i="23"/>
  <c r="F222" i="23"/>
  <c r="M271" i="23"/>
  <c r="F271" i="23" s="1"/>
  <c r="N271" i="23"/>
  <c r="N455" i="23"/>
  <c r="M455" i="23"/>
  <c r="N2256" i="23"/>
  <c r="M2256" i="23"/>
  <c r="F2256" i="23" s="1"/>
  <c r="K2622" i="23"/>
  <c r="L2622" i="23"/>
  <c r="P2622" i="23"/>
  <c r="F2622" i="23" s="1"/>
  <c r="O2622" i="23"/>
  <c r="V1704" i="19"/>
  <c r="V2038" i="19"/>
  <c r="E2492" i="22"/>
  <c r="N175" i="23"/>
  <c r="M175" i="23"/>
  <c r="F175" i="23" s="1"/>
  <c r="N180" i="23"/>
  <c r="M180" i="23"/>
  <c r="F180" i="23" s="1"/>
  <c r="N197" i="23"/>
  <c r="M197" i="23"/>
  <c r="F197" i="23" s="1"/>
  <c r="M291" i="23"/>
  <c r="F291" i="23" s="1"/>
  <c r="N291" i="23"/>
  <c r="M489" i="23"/>
  <c r="F489" i="23" s="1"/>
  <c r="N489" i="23"/>
  <c r="M1918" i="23"/>
  <c r="N1918" i="23"/>
  <c r="M2039" i="23"/>
  <c r="N2039" i="23"/>
  <c r="D2511" i="22"/>
  <c r="N27" i="23"/>
  <c r="M27" i="23"/>
  <c r="M186" i="23"/>
  <c r="N186" i="23"/>
  <c r="N420" i="23"/>
  <c r="M420" i="23"/>
  <c r="N453" i="23"/>
  <c r="M453" i="23"/>
  <c r="F453" i="23" s="1"/>
  <c r="F1921" i="23"/>
  <c r="V1505" i="19"/>
  <c r="V1529" i="19"/>
  <c r="V1568" i="19"/>
  <c r="V1701" i="19"/>
  <c r="V1806" i="19"/>
  <c r="N123" i="23"/>
  <c r="M123" i="23"/>
  <c r="F123" i="23" s="1"/>
  <c r="N128" i="23"/>
  <c r="M128" i="23"/>
  <c r="F128" i="23" s="1"/>
  <c r="N138" i="23"/>
  <c r="M138" i="23"/>
  <c r="F138" i="23" s="1"/>
  <c r="N159" i="23"/>
  <c r="M159" i="23"/>
  <c r="N246" i="23"/>
  <c r="M246" i="23"/>
  <c r="F246" i="23" s="1"/>
  <c r="F371" i="23"/>
  <c r="M439" i="23"/>
  <c r="F2066" i="23"/>
  <c r="F2398" i="23"/>
  <c r="F2505" i="23"/>
  <c r="M2726" i="23"/>
  <c r="N2726" i="23"/>
  <c r="V1712" i="19"/>
  <c r="V1825" i="19"/>
  <c r="V2527" i="19"/>
  <c r="E2497" i="22"/>
  <c r="M279" i="23"/>
  <c r="N279" i="23"/>
  <c r="M314" i="23"/>
  <c r="N314" i="23"/>
  <c r="N393" i="23"/>
  <c r="M393" i="23"/>
  <c r="F393" i="23" s="1"/>
  <c r="N1921" i="23"/>
  <c r="N2457" i="23"/>
  <c r="M2457" i="23"/>
  <c r="F2457" i="23" s="1"/>
  <c r="M2560" i="23"/>
  <c r="F2560" i="23" s="1"/>
  <c r="N2560" i="23"/>
  <c r="M2752" i="23"/>
  <c r="N2752" i="23"/>
  <c r="V1557" i="19"/>
  <c r="V1589" i="19"/>
  <c r="V1719" i="19"/>
  <c r="V2040" i="19"/>
  <c r="V2369" i="19"/>
  <c r="V2472" i="19"/>
  <c r="V2560" i="19"/>
  <c r="AM27" i="22"/>
  <c r="K62" i="1" s="1"/>
  <c r="AO20" i="22"/>
  <c r="M55" i="1" s="1"/>
  <c r="AO29" i="22"/>
  <c r="M64" i="1" s="1"/>
  <c r="AO22" i="22"/>
  <c r="M57" i="1" s="1"/>
  <c r="AM19" i="22"/>
  <c r="K54" i="1" s="1"/>
  <c r="AM29" i="22"/>
  <c r="K64" i="1" s="1"/>
  <c r="AO25" i="22"/>
  <c r="M60" i="1" s="1"/>
  <c r="AM22" i="22"/>
  <c r="K57" i="1" s="1"/>
  <c r="AP28" i="22"/>
  <c r="N63" i="1" s="1"/>
  <c r="AP24" i="22"/>
  <c r="N59" i="1" s="1"/>
  <c r="AO28" i="22"/>
  <c r="M63" i="1" s="1"/>
  <c r="AO24" i="22"/>
  <c r="M59" i="1" s="1"/>
  <c r="AN23" i="22"/>
  <c r="L58" i="1" s="1"/>
  <c r="AO19" i="22"/>
  <c r="M54" i="1" s="1"/>
  <c r="AO26" i="22"/>
  <c r="M61" i="1" s="1"/>
  <c r="AM24" i="22"/>
  <c r="K59" i="1" s="1"/>
  <c r="AM20" i="22"/>
  <c r="K55" i="1" s="1"/>
  <c r="AN28" i="22"/>
  <c r="L63" i="1" s="1"/>
  <c r="AP22" i="22"/>
  <c r="N57" i="1" s="1"/>
  <c r="N57" i="23"/>
  <c r="M57" i="23"/>
  <c r="F57" i="23" s="1"/>
  <c r="M77" i="23"/>
  <c r="N77" i="23"/>
  <c r="F176" i="23"/>
  <c r="M202" i="23"/>
  <c r="N202" i="23"/>
  <c r="N215" i="23"/>
  <c r="M215" i="23"/>
  <c r="N225" i="23"/>
  <c r="M225" i="23"/>
  <c r="F225" i="23" s="1"/>
  <c r="M254" i="23"/>
  <c r="N254" i="23"/>
  <c r="M287" i="23"/>
  <c r="N287" i="23"/>
  <c r="N335" i="23"/>
  <c r="M335" i="23"/>
  <c r="F335" i="23" s="1"/>
  <c r="M347" i="23"/>
  <c r="F347" i="23" s="1"/>
  <c r="N347" i="23"/>
  <c r="M1951" i="23"/>
  <c r="N1951" i="23"/>
  <c r="N2122" i="23"/>
  <c r="M2122" i="23"/>
  <c r="F2122" i="23" s="1"/>
  <c r="F2272" i="23"/>
  <c r="M2306" i="23"/>
  <c r="F2306" i="23" s="1"/>
  <c r="N2306" i="23"/>
  <c r="F2371" i="23"/>
  <c r="V1855" i="19"/>
  <c r="V2297" i="19"/>
  <c r="V2429" i="19"/>
  <c r="V2498" i="19"/>
  <c r="AO27" i="22"/>
  <c r="M62" i="1" s="1"/>
  <c r="N42" i="23"/>
  <c r="M42" i="23"/>
  <c r="F42" i="23" s="1"/>
  <c r="N62" i="23"/>
  <c r="F62" i="23" s="1"/>
  <c r="N245" i="23"/>
  <c r="F245" i="23" s="1"/>
  <c r="N293" i="23"/>
  <c r="F293" i="23" s="1"/>
  <c r="M390" i="23"/>
  <c r="N390" i="23"/>
  <c r="L434" i="23"/>
  <c r="K434" i="23"/>
  <c r="O434" i="23"/>
  <c r="F434" i="23"/>
  <c r="N468" i="23"/>
  <c r="M468" i="23"/>
  <c r="F475" i="23"/>
  <c r="M1929" i="23"/>
  <c r="F1929" i="23" s="1"/>
  <c r="N1929" i="23"/>
  <c r="N2044" i="23"/>
  <c r="M2044" i="23"/>
  <c r="F2044" i="23" s="1"/>
  <c r="N2114" i="23"/>
  <c r="M2114" i="23"/>
  <c r="F2114" i="23" s="1"/>
  <c r="M2281" i="23"/>
  <c r="N2281" i="23"/>
  <c r="N2348" i="23"/>
  <c r="M2348" i="23"/>
  <c r="F2348" i="23" s="1"/>
  <c r="P2670" i="23"/>
  <c r="O2670" i="23"/>
  <c r="K2670" i="23"/>
  <c r="F2670" i="23" s="1"/>
  <c r="O2701" i="23"/>
  <c r="L2701" i="23"/>
  <c r="K2701" i="23"/>
  <c r="F2701" i="23"/>
  <c r="D2489" i="22"/>
  <c r="E2489" i="22"/>
  <c r="D2514" i="22"/>
  <c r="E2515" i="22"/>
  <c r="D2515" i="22"/>
  <c r="E2517" i="22"/>
  <c r="D2518" i="22"/>
  <c r="N1988" i="23"/>
  <c r="M1988" i="23"/>
  <c r="F1988" i="23" s="1"/>
  <c r="N1996" i="23"/>
  <c r="M1996" i="23"/>
  <c r="F1996" i="23" s="1"/>
  <c r="N2393" i="23"/>
  <c r="M2393" i="23"/>
  <c r="F2393" i="23" s="1"/>
  <c r="N2680" i="23"/>
  <c r="M2680" i="23"/>
  <c r="V1740" i="19"/>
  <c r="V1796" i="19"/>
  <c r="V1800" i="19"/>
  <c r="V2394" i="19"/>
  <c r="V2491" i="19"/>
  <c r="E2518" i="22"/>
  <c r="M34" i="23"/>
  <c r="N34" i="23"/>
  <c r="F39" i="23"/>
  <c r="F183" i="23"/>
  <c r="N296" i="23"/>
  <c r="M296" i="23"/>
  <c r="F296" i="23" s="1"/>
  <c r="N344" i="23"/>
  <c r="M344" i="23"/>
  <c r="F344" i="23" s="1"/>
  <c r="O408" i="23"/>
  <c r="L408" i="23"/>
  <c r="P408" i="23"/>
  <c r="F408" i="23" s="1"/>
  <c r="N2178" i="23"/>
  <c r="M2178" i="23"/>
  <c r="F2178" i="23" s="1"/>
  <c r="N2225" i="23"/>
  <c r="M2225" i="23"/>
  <c r="F2225" i="23" s="1"/>
  <c r="N2598" i="23"/>
  <c r="M2598" i="23"/>
  <c r="F2598" i="23" s="1"/>
  <c r="L2637" i="23"/>
  <c r="P2637" i="23"/>
  <c r="O2637" i="23"/>
  <c r="K2637" i="23"/>
  <c r="F2637" i="23" s="1"/>
  <c r="O2655" i="23"/>
  <c r="K2655" i="23"/>
  <c r="F2655" i="23" s="1"/>
  <c r="L2655" i="23"/>
  <c r="P2655" i="23"/>
  <c r="F360" i="23"/>
  <c r="F381" i="23"/>
  <c r="M456" i="23"/>
  <c r="N456" i="23"/>
  <c r="M483" i="23"/>
  <c r="N483" i="23"/>
  <c r="F2015" i="23"/>
  <c r="N2113" i="23"/>
  <c r="M2113" i="23"/>
  <c r="F2113" i="23" s="1"/>
  <c r="N2299" i="23"/>
  <c r="M2299" i="23"/>
  <c r="F2299" i="23" s="1"/>
  <c r="N2695" i="23"/>
  <c r="M2695" i="23"/>
  <c r="N345" i="23"/>
  <c r="M345" i="23"/>
  <c r="M389" i="23"/>
  <c r="N389" i="23"/>
  <c r="N395" i="23"/>
  <c r="M395" i="23"/>
  <c r="F395" i="23" s="1"/>
  <c r="K416" i="23"/>
  <c r="L416" i="23"/>
  <c r="O416" i="23"/>
  <c r="F416" i="23"/>
  <c r="K440" i="23"/>
  <c r="F440" i="23" s="1"/>
  <c r="O440" i="23"/>
  <c r="L440" i="23"/>
  <c r="M452" i="23"/>
  <c r="N452" i="23"/>
  <c r="M1934" i="23"/>
  <c r="N1934" i="23"/>
  <c r="N2012" i="23"/>
  <c r="M2012" i="23"/>
  <c r="N2331" i="23"/>
  <c r="M2331" i="23"/>
  <c r="F2331" i="23" s="1"/>
  <c r="M2490" i="23"/>
  <c r="F2490" i="23" s="1"/>
  <c r="N2490" i="23"/>
  <c r="N372" i="23"/>
  <c r="M372" i="23"/>
  <c r="F372" i="23" s="1"/>
  <c r="N416" i="23"/>
  <c r="M430" i="23"/>
  <c r="N430" i="23"/>
  <c r="N1978" i="23"/>
  <c r="M1978" i="23"/>
  <c r="F1978" i="23" s="1"/>
  <c r="N2002" i="23"/>
  <c r="M2002" i="23"/>
  <c r="F2002" i="23" s="1"/>
  <c r="M2018" i="23"/>
  <c r="N2018" i="23"/>
  <c r="M2341" i="23"/>
  <c r="F2341" i="23" s="1"/>
  <c r="N29" i="23"/>
  <c r="M29" i="23"/>
  <c r="F29" i="23" s="1"/>
  <c r="F92" i="23"/>
  <c r="F146" i="23"/>
  <c r="N289" i="23"/>
  <c r="M289" i="23"/>
  <c r="F358" i="23"/>
  <c r="N409" i="23"/>
  <c r="M409" i="23"/>
  <c r="P416" i="23"/>
  <c r="N440" i="23"/>
  <c r="M1926" i="23"/>
  <c r="F1926" i="23" s="1"/>
  <c r="M1979" i="23"/>
  <c r="N1979" i="23"/>
  <c r="M2065" i="23"/>
  <c r="F2065" i="23" s="1"/>
  <c r="N2065" i="23"/>
  <c r="N2184" i="23"/>
  <c r="M2184" i="23"/>
  <c r="F2184" i="23" s="1"/>
  <c r="N2365" i="23"/>
  <c r="M2365" i="23"/>
  <c r="F2365" i="23" s="1"/>
  <c r="M2445" i="23"/>
  <c r="N2445" i="23"/>
  <c r="N2463" i="23"/>
  <c r="M2463" i="23"/>
  <c r="F2463" i="23" s="1"/>
  <c r="N2517" i="23"/>
  <c r="M2517" i="23"/>
  <c r="V2039" i="19"/>
  <c r="V2518" i="19"/>
  <c r="V2544" i="19"/>
  <c r="F56" i="23"/>
  <c r="F90" i="23"/>
  <c r="F298" i="23"/>
  <c r="L413" i="23"/>
  <c r="K413" i="23"/>
  <c r="O413" i="23"/>
  <c r="F1895" i="23"/>
  <c r="N1945" i="23"/>
  <c r="M1945" i="23"/>
  <c r="F1945" i="23" s="1"/>
  <c r="N2045" i="23"/>
  <c r="M2045" i="23"/>
  <c r="F2045" i="23" s="1"/>
  <c r="N2231" i="23"/>
  <c r="M2231" i="23"/>
  <c r="F2231" i="23" s="1"/>
  <c r="N2271" i="23"/>
  <c r="M2271" i="23"/>
  <c r="F2271" i="23" s="1"/>
  <c r="F2296" i="23"/>
  <c r="N2318" i="23"/>
  <c r="M2318" i="23"/>
  <c r="N2729" i="23"/>
  <c r="M2729" i="23"/>
  <c r="F2729" i="23" s="1"/>
  <c r="G1888" i="19"/>
  <c r="V2289" i="19"/>
  <c r="F122" i="23"/>
  <c r="F137" i="23"/>
  <c r="F179" i="23"/>
  <c r="N224" i="23"/>
  <c r="M224" i="23"/>
  <c r="F263" i="23"/>
  <c r="M319" i="23"/>
  <c r="F319" i="23" s="1"/>
  <c r="M373" i="23"/>
  <c r="F373" i="23" s="1"/>
  <c r="K437" i="23"/>
  <c r="F437" i="23" s="1"/>
  <c r="L437" i="23"/>
  <c r="F1882" i="23"/>
  <c r="M1924" i="23"/>
  <c r="N1924" i="23"/>
  <c r="M1994" i="23"/>
  <c r="F1994" i="23" s="1"/>
  <c r="N1994" i="23"/>
  <c r="F2074" i="23"/>
  <c r="F2134" i="23"/>
  <c r="N2279" i="23"/>
  <c r="M2279" i="23"/>
  <c r="F2279" i="23" s="1"/>
  <c r="F2325" i="23"/>
  <c r="M2778" i="23"/>
  <c r="N2778" i="23"/>
  <c r="F41" i="23"/>
  <c r="N88" i="23"/>
  <c r="M88" i="23"/>
  <c r="F88" i="23" s="1"/>
  <c r="F357" i="23"/>
  <c r="N370" i="23"/>
  <c r="M370" i="23"/>
  <c r="F370" i="23" s="1"/>
  <c r="N411" i="23"/>
  <c r="M411" i="23"/>
  <c r="K435" i="23"/>
  <c r="P435" i="23"/>
  <c r="F435" i="23" s="1"/>
  <c r="F464" i="23"/>
  <c r="N2034" i="23"/>
  <c r="M2034" i="23"/>
  <c r="F2034" i="23" s="1"/>
  <c r="M2152" i="23"/>
  <c r="N2152" i="23"/>
  <c r="N2660" i="23"/>
  <c r="M2660" i="23"/>
  <c r="V2286" i="19"/>
  <c r="V2529" i="19"/>
  <c r="V2570" i="19"/>
  <c r="F273" i="23"/>
  <c r="N357" i="23"/>
  <c r="L414" i="23"/>
  <c r="P414" i="23"/>
  <c r="O442" i="23"/>
  <c r="F442" i="23" s="1"/>
  <c r="P442" i="23"/>
  <c r="N2250" i="23"/>
  <c r="M2250" i="23"/>
  <c r="K2678" i="23"/>
  <c r="F2678" i="23" s="1"/>
  <c r="P2678" i="23"/>
  <c r="O2678" i="23"/>
  <c r="L2678" i="23"/>
  <c r="V2428" i="19"/>
  <c r="V2463" i="19"/>
  <c r="V2476" i="19"/>
  <c r="N1990" i="23"/>
  <c r="M1990" i="23"/>
  <c r="F1990" i="23" s="1"/>
  <c r="N2042" i="23"/>
  <c r="M2042" i="23"/>
  <c r="F2042" i="23" s="1"/>
  <c r="M2063" i="23"/>
  <c r="N2063" i="23"/>
  <c r="N2223" i="23"/>
  <c r="M2223" i="23"/>
  <c r="F2223" i="23" s="1"/>
  <c r="N2339" i="23"/>
  <c r="M2339" i="23"/>
  <c r="F2339" i="23" s="1"/>
  <c r="F2389" i="23"/>
  <c r="M2746" i="23"/>
  <c r="N2746" i="23"/>
  <c r="N2801" i="23"/>
  <c r="M2801" i="23"/>
  <c r="V2467" i="19"/>
  <c r="V2510" i="19"/>
  <c r="V2564" i="19"/>
  <c r="F266" i="23"/>
  <c r="F324" i="23"/>
  <c r="F2011" i="23"/>
  <c r="N2023" i="23"/>
  <c r="M2023" i="23"/>
  <c r="F2023" i="23" s="1"/>
  <c r="F2043" i="23"/>
  <c r="N2347" i="23"/>
  <c r="M2347" i="23"/>
  <c r="F2347" i="23" s="1"/>
  <c r="M2390" i="23"/>
  <c r="N2390" i="23"/>
  <c r="M2471" i="23"/>
  <c r="N2471" i="23"/>
  <c r="F2530" i="23"/>
  <c r="N2684" i="23"/>
  <c r="M2684" i="23"/>
  <c r="D2503" i="22"/>
  <c r="D2497" i="22"/>
  <c r="M309" i="23"/>
  <c r="N309" i="23"/>
  <c r="F1876" i="23"/>
  <c r="M1894" i="23"/>
  <c r="N1894" i="23"/>
  <c r="N1927" i="23"/>
  <c r="M1927" i="23"/>
  <c r="F1927" i="23" s="1"/>
  <c r="N1992" i="23"/>
  <c r="M1992" i="23"/>
  <c r="N2026" i="23"/>
  <c r="M2026" i="23"/>
  <c r="F2026" i="23" s="1"/>
  <c r="M2269" i="23"/>
  <c r="N2269" i="23"/>
  <c r="N2579" i="23"/>
  <c r="M2579" i="23"/>
  <c r="F2579" i="23" s="1"/>
  <c r="P2629" i="23"/>
  <c r="O2629" i="23"/>
  <c r="F2629" i="23"/>
  <c r="L2629" i="23"/>
  <c r="K2629" i="23"/>
  <c r="M2674" i="23"/>
  <c r="N2674" i="23"/>
  <c r="O2694" i="23"/>
  <c r="P2694" i="23"/>
  <c r="L2694" i="23"/>
  <c r="K2694" i="23"/>
  <c r="F2694" i="23" s="1"/>
  <c r="N2789" i="23"/>
  <c r="M2789" i="23"/>
  <c r="F2789" i="23" s="1"/>
  <c r="V2532" i="19"/>
  <c r="F148" i="23"/>
  <c r="K436" i="23"/>
  <c r="F436" i="23" s="1"/>
  <c r="M1906" i="23"/>
  <c r="N1906" i="23"/>
  <c r="N1928" i="23"/>
  <c r="M1928" i="23"/>
  <c r="N1972" i="23"/>
  <c r="M1972" i="23"/>
  <c r="F1972" i="23" s="1"/>
  <c r="F2128" i="23"/>
  <c r="M2458" i="23"/>
  <c r="N2458" i="23"/>
  <c r="N2484" i="23"/>
  <c r="M2484" i="23"/>
  <c r="F2484" i="23" s="1"/>
  <c r="N2515" i="23"/>
  <c r="M2515" i="23"/>
  <c r="F2515" i="23" s="1"/>
  <c r="K2624" i="23"/>
  <c r="F2624" i="23" s="1"/>
  <c r="O2624" i="23"/>
  <c r="P2624" i="23"/>
  <c r="L2624" i="23"/>
  <c r="P2668" i="23"/>
  <c r="O2668" i="23"/>
  <c r="K2668" i="23"/>
  <c r="F2668" i="23" s="1"/>
  <c r="L2668" i="23"/>
  <c r="N1952" i="23"/>
  <c r="M1952" i="23"/>
  <c r="F1952" i="23" s="1"/>
  <c r="N1964" i="23"/>
  <c r="M1964" i="23"/>
  <c r="N2161" i="23"/>
  <c r="M2161" i="23"/>
  <c r="F2161" i="23" s="1"/>
  <c r="F2245" i="23"/>
  <c r="M2374" i="23"/>
  <c r="N2374" i="23"/>
  <c r="N2516" i="23"/>
  <c r="M2516" i="23"/>
  <c r="F2516" i="23" s="1"/>
  <c r="F432" i="23"/>
  <c r="M1872" i="23"/>
  <c r="N1872" i="23"/>
  <c r="F1981" i="23"/>
  <c r="N2245" i="23"/>
  <c r="F2355" i="23"/>
  <c r="N2435" i="23"/>
  <c r="M2435" i="23"/>
  <c r="K2639" i="23"/>
  <c r="F2639" i="23"/>
  <c r="P2639" i="23"/>
  <c r="O2639" i="23"/>
  <c r="K2653" i="23"/>
  <c r="P2653" i="23"/>
  <c r="O2653" i="23"/>
  <c r="L2653" i="23"/>
  <c r="F2653" i="23" s="1"/>
  <c r="N2669" i="23"/>
  <c r="M2669" i="23"/>
  <c r="F2685" i="23"/>
  <c r="K2685" i="23"/>
  <c r="L2685" i="23"/>
  <c r="O2685" i="23"/>
  <c r="P2685" i="23"/>
  <c r="P2704" i="23"/>
  <c r="K2704" i="23"/>
  <c r="F2704" i="23" s="1"/>
  <c r="F297" i="23"/>
  <c r="N2117" i="23"/>
  <c r="M2117" i="23"/>
  <c r="F2117" i="23" s="1"/>
  <c r="F2198" i="23"/>
  <c r="N2211" i="23"/>
  <c r="F2211" i="23" s="1"/>
  <c r="F2259" i="23"/>
  <c r="M2297" i="23"/>
  <c r="N2297" i="23"/>
  <c r="N2606" i="23"/>
  <c r="M2606" i="23"/>
  <c r="F2606" i="23" s="1"/>
  <c r="O2627" i="23"/>
  <c r="K2627" i="23"/>
  <c r="F2627" i="23" s="1"/>
  <c r="N2659" i="23"/>
  <c r="M2659" i="23"/>
  <c r="F480" i="23"/>
  <c r="N1896" i="23"/>
  <c r="M1896" i="23"/>
  <c r="F1896" i="23" s="1"/>
  <c r="M2185" i="23"/>
  <c r="N2185" i="23"/>
  <c r="M2277" i="23"/>
  <c r="N2277" i="23"/>
  <c r="N2307" i="23"/>
  <c r="M2307" i="23"/>
  <c r="F2307" i="23" s="1"/>
  <c r="O2650" i="23"/>
  <c r="P2650" i="23"/>
  <c r="K2650" i="23"/>
  <c r="L2650" i="23"/>
  <c r="F2650" i="23" s="1"/>
  <c r="N1877" i="23"/>
  <c r="M1877" i="23"/>
  <c r="F1877" i="23" s="1"/>
  <c r="N2089" i="23"/>
  <c r="M2089" i="23"/>
  <c r="F2089" i="23" s="1"/>
  <c r="N2187" i="23"/>
  <c r="M2187" i="23"/>
  <c r="M2213" i="23"/>
  <c r="N2213" i="23"/>
  <c r="F2246" i="23"/>
  <c r="N2356" i="23"/>
  <c r="M2356" i="23"/>
  <c r="F2356" i="23" s="1"/>
  <c r="N2433" i="23"/>
  <c r="M2433" i="23"/>
  <c r="M2626" i="23"/>
  <c r="N2626" i="23"/>
  <c r="N2001" i="23"/>
  <c r="M2001" i="23"/>
  <c r="F2046" i="23"/>
  <c r="F2168" i="23"/>
  <c r="M2274" i="23"/>
  <c r="N2274" i="23"/>
  <c r="F2301" i="23"/>
  <c r="F2319" i="23"/>
  <c r="N2351" i="23"/>
  <c r="M2351" i="23"/>
  <c r="F2351" i="23" s="1"/>
  <c r="N2388" i="23"/>
  <c r="M2388" i="23"/>
  <c r="F2388" i="23" s="1"/>
  <c r="N2495" i="23"/>
  <c r="M2495" i="23"/>
  <c r="F2495" i="23" s="1"/>
  <c r="M2589" i="23"/>
  <c r="N2589" i="23"/>
  <c r="O2657" i="23"/>
  <c r="P2657" i="23"/>
  <c r="L2657" i="23"/>
  <c r="F2657" i="23" s="1"/>
  <c r="F2715" i="23"/>
  <c r="F276" i="23"/>
  <c r="F1993" i="23"/>
  <c r="M2110" i="23"/>
  <c r="N2110" i="23"/>
  <c r="F2326" i="23"/>
  <c r="F2416" i="23"/>
  <c r="N2442" i="23"/>
  <c r="M2442" i="23"/>
  <c r="F2442" i="23" s="1"/>
  <c r="N2561" i="23"/>
  <c r="M2561" i="23"/>
  <c r="M2623" i="23"/>
  <c r="N2623" i="23"/>
  <c r="K2675" i="23"/>
  <c r="L2675" i="23"/>
  <c r="F2675" i="23" s="1"/>
  <c r="P2675" i="23"/>
  <c r="O2675" i="23"/>
  <c r="M2798" i="23"/>
  <c r="N2798" i="23"/>
  <c r="F2035" i="23"/>
  <c r="N2131" i="23"/>
  <c r="M2131" i="23"/>
  <c r="F2131" i="23" s="1"/>
  <c r="F2142" i="23"/>
  <c r="N2166" i="23"/>
  <c r="M2166" i="23"/>
  <c r="F2166" i="23" s="1"/>
  <c r="F2395" i="23"/>
  <c r="F2443" i="23"/>
  <c r="N2467" i="23"/>
  <c r="M2467" i="23"/>
  <c r="F2467" i="23" s="1"/>
  <c r="M2534" i="23"/>
  <c r="N2534" i="23"/>
  <c r="O2632" i="23"/>
  <c r="P2632" i="23"/>
  <c r="K2632" i="23"/>
  <c r="F2632" i="23" s="1"/>
  <c r="L2632" i="23"/>
  <c r="F2730" i="23"/>
  <c r="F2794" i="23"/>
  <c r="F2014" i="23"/>
  <c r="F2072" i="23"/>
  <c r="M2120" i="23"/>
  <c r="N2120" i="23"/>
  <c r="N2132" i="23"/>
  <c r="M2132" i="23"/>
  <c r="F2132" i="23" s="1"/>
  <c r="F2143" i="23"/>
  <c r="N2214" i="23"/>
  <c r="M2214" i="23"/>
  <c r="F2214" i="23" s="1"/>
  <c r="N2222" i="23"/>
  <c r="M2222" i="23"/>
  <c r="F2222" i="23" s="1"/>
  <c r="N2251" i="23"/>
  <c r="M2251" i="23"/>
  <c r="F2251" i="23" s="1"/>
  <c r="N2444" i="23"/>
  <c r="M2444" i="23"/>
  <c r="F2444" i="23" s="1"/>
  <c r="N2488" i="23"/>
  <c r="M2488" i="23"/>
  <c r="F2488" i="23" s="1"/>
  <c r="N2507" i="23"/>
  <c r="M2507" i="23"/>
  <c r="N2611" i="23"/>
  <c r="M2611" i="23"/>
  <c r="F2611" i="23" s="1"/>
  <c r="N2724" i="23"/>
  <c r="M2724" i="23"/>
  <c r="F2739" i="23"/>
  <c r="M2403" i="23"/>
  <c r="N2403" i="23"/>
  <c r="F2422" i="23"/>
  <c r="N2584" i="23"/>
  <c r="M2584" i="23"/>
  <c r="F2584" i="23" s="1"/>
  <c r="N2645" i="23"/>
  <c r="M2645" i="23"/>
  <c r="M2696" i="23"/>
  <c r="N2696" i="23"/>
  <c r="F2771" i="23"/>
  <c r="F2791" i="23"/>
  <c r="F2797" i="23"/>
  <c r="F2112" i="23"/>
  <c r="M2118" i="23"/>
  <c r="N2118" i="23"/>
  <c r="F2129" i="23"/>
  <c r="N2199" i="23"/>
  <c r="M2199" i="23"/>
  <c r="N2354" i="23"/>
  <c r="M2354" i="23"/>
  <c r="F2354" i="23" s="1"/>
  <c r="F2366" i="23"/>
  <c r="F2372" i="23"/>
  <c r="F2377" i="23"/>
  <c r="F2399" i="23"/>
  <c r="N2421" i="23"/>
  <c r="M2421" i="23"/>
  <c r="F2421" i="23" s="1"/>
  <c r="N2638" i="23"/>
  <c r="M2638" i="23"/>
  <c r="M2036" i="23"/>
  <c r="N2036" i="23"/>
  <c r="M2159" i="23"/>
  <c r="N2159" i="23"/>
  <c r="N2175" i="23"/>
  <c r="M2175" i="23"/>
  <c r="F2175" i="23" s="1"/>
  <c r="F2224" i="23"/>
  <c r="N2293" i="23"/>
  <c r="M2293" i="23"/>
  <c r="F2298" i="23"/>
  <c r="N2392" i="23"/>
  <c r="M2392" i="23"/>
  <c r="F2392" i="23" s="1"/>
  <c r="N2556" i="23"/>
  <c r="M2556" i="23"/>
  <c r="F2556" i="23" s="1"/>
  <c r="F2581" i="23"/>
  <c r="N2654" i="23"/>
  <c r="M2654" i="23"/>
  <c r="L2692" i="23"/>
  <c r="P2692" i="23"/>
  <c r="F2692" i="23" s="1"/>
  <c r="F2386" i="23"/>
  <c r="N2402" i="23"/>
  <c r="M2402" i="23"/>
  <c r="F2402" i="23" s="1"/>
  <c r="N2441" i="23"/>
  <c r="M2441" i="23"/>
  <c r="N2465" i="23"/>
  <c r="M2465" i="23"/>
  <c r="F2465" i="23" s="1"/>
  <c r="F2527" i="23"/>
  <c r="N2538" i="23"/>
  <c r="M2538" i="23"/>
  <c r="F2538" i="23" s="1"/>
  <c r="N2544" i="23"/>
  <c r="M2544" i="23"/>
  <c r="F2544" i="23" s="1"/>
  <c r="F2575" i="23"/>
  <c r="N2706" i="23"/>
  <c r="M2706" i="23"/>
  <c r="N2747" i="23"/>
  <c r="M2747" i="23"/>
  <c r="F2747" i="23" s="1"/>
  <c r="F2062" i="23"/>
  <c r="F2135" i="23"/>
  <c r="F2164" i="23"/>
  <c r="F2229" i="23"/>
  <c r="N2254" i="23"/>
  <c r="M2254" i="23"/>
  <c r="F2254" i="23" s="1"/>
  <c r="N2270" i="23"/>
  <c r="M2270" i="23"/>
  <c r="F2308" i="23"/>
  <c r="N2394" i="23"/>
  <c r="M2394" i="23"/>
  <c r="F2410" i="23"/>
  <c r="F2415" i="23"/>
  <c r="N2562" i="23"/>
  <c r="M2562" i="23"/>
  <c r="F2562" i="23" s="1"/>
  <c r="M2580" i="23"/>
  <c r="N2580" i="23"/>
  <c r="F2591" i="23"/>
  <c r="M2612" i="23"/>
  <c r="N2612" i="23"/>
  <c r="K2681" i="23"/>
  <c r="P2681" i="23"/>
  <c r="F2681" i="23" s="1"/>
  <c r="N1968" i="23"/>
  <c r="M1968" i="23"/>
  <c r="F1968" i="23" s="1"/>
  <c r="N1995" i="23"/>
  <c r="M1995" i="23"/>
  <c r="F1995" i="23" s="1"/>
  <c r="N2375" i="23"/>
  <c r="M2375" i="23"/>
  <c r="F2375" i="23" s="1"/>
  <c r="N2464" i="23"/>
  <c r="M2464" i="23"/>
  <c r="N2497" i="23"/>
  <c r="M2497" i="23"/>
  <c r="F2497" i="23" s="1"/>
  <c r="N2625" i="23"/>
  <c r="M2625" i="23"/>
  <c r="L2635" i="23"/>
  <c r="K2635" i="23"/>
  <c r="F2635" i="23" s="1"/>
  <c r="P2702" i="23"/>
  <c r="F2702" i="23" s="1"/>
  <c r="O2702" i="23"/>
  <c r="N2764" i="23"/>
  <c r="M2764" i="23"/>
  <c r="F2764" i="23" s="1"/>
  <c r="F1900" i="23"/>
  <c r="F2133" i="23"/>
  <c r="F2153" i="23"/>
  <c r="F2162" i="23"/>
  <c r="N2236" i="23"/>
  <c r="M2236" i="23"/>
  <c r="F2236" i="23" s="1"/>
  <c r="M2345" i="23"/>
  <c r="F2345" i="23" s="1"/>
  <c r="N2345" i="23"/>
  <c r="N2492" i="23"/>
  <c r="M2492" i="23"/>
  <c r="F2492" i="23" s="1"/>
  <c r="M2513" i="23"/>
  <c r="F2513" i="23" s="1"/>
  <c r="M2519" i="23"/>
  <c r="N2519" i="23"/>
  <c r="M2532" i="23"/>
  <c r="N2532" i="23"/>
  <c r="F2543" i="23"/>
  <c r="N2588" i="23"/>
  <c r="F2588" i="23" s="1"/>
  <c r="M2609" i="23"/>
  <c r="N2609" i="23"/>
  <c r="O2628" i="23"/>
  <c r="F2628" i="23" s="1"/>
  <c r="N2725" i="23"/>
  <c r="M2725" i="23"/>
  <c r="F2725" i="23" s="1"/>
  <c r="F1987" i="23"/>
  <c r="N2091" i="23"/>
  <c r="M2091" i="23"/>
  <c r="F2091" i="23" s="1"/>
  <c r="F2095" i="23"/>
  <c r="N2130" i="23"/>
  <c r="M2130" i="23"/>
  <c r="F2177" i="23"/>
  <c r="N2186" i="23"/>
  <c r="M2186" i="23"/>
  <c r="F2186" i="23" s="1"/>
  <c r="F2253" i="23"/>
  <c r="N2258" i="23"/>
  <c r="M2258" i="23"/>
  <c r="F2258" i="23" s="1"/>
  <c r="F2346" i="23"/>
  <c r="F2369" i="23"/>
  <c r="F2420" i="23"/>
  <c r="N2459" i="23"/>
  <c r="M2459" i="23"/>
  <c r="F2459" i="23" s="1"/>
  <c r="F2508" i="23"/>
  <c r="M2586" i="23"/>
  <c r="N2586" i="23"/>
  <c r="O2673" i="23"/>
  <c r="P2673" i="23"/>
  <c r="K2673" i="23"/>
  <c r="F2673" i="23"/>
  <c r="F2792" i="23"/>
  <c r="N2058" i="23"/>
  <c r="M2058" i="23"/>
  <c r="F2058" i="23" s="1"/>
  <c r="N2482" i="23"/>
  <c r="M2482" i="23"/>
  <c r="F2482" i="23" s="1"/>
  <c r="P2648" i="23"/>
  <c r="O2648" i="23"/>
  <c r="L2648" i="23"/>
  <c r="F2648" i="23" s="1"/>
  <c r="M2652" i="23"/>
  <c r="N2652" i="23"/>
  <c r="P2656" i="23"/>
  <c r="K2656" i="23"/>
  <c r="F2656" i="23"/>
  <c r="F2768" i="23"/>
  <c r="F2041" i="23"/>
  <c r="F2300" i="23"/>
  <c r="M2376" i="23"/>
  <c r="N2376" i="23"/>
  <c r="F2470" i="23"/>
  <c r="F2528" i="23"/>
  <c r="N2542" i="23"/>
  <c r="M2542" i="23"/>
  <c r="F2542" i="23" s="1"/>
  <c r="K2648" i="23"/>
  <c r="F2721" i="23"/>
  <c r="N2138" i="23"/>
  <c r="M2138" i="23"/>
  <c r="F2138" i="23" s="1"/>
  <c r="N2181" i="23"/>
  <c r="M2181" i="23"/>
  <c r="F2181" i="23" s="1"/>
  <c r="F2232" i="23"/>
  <c r="M2397" i="23"/>
  <c r="N2397" i="23"/>
  <c r="N2418" i="23"/>
  <c r="M2418" i="23"/>
  <c r="F2418" i="23" s="1"/>
  <c r="N2436" i="23"/>
  <c r="M2436" i="23"/>
  <c r="F2436" i="23" s="1"/>
  <c r="F2461" i="23"/>
  <c r="N2647" i="23"/>
  <c r="M2647" i="23"/>
  <c r="P2679" i="23"/>
  <c r="L2679" i="23"/>
  <c r="F2679" i="23" s="1"/>
  <c r="M2770" i="23"/>
  <c r="N2770" i="23"/>
  <c r="M2796" i="23"/>
  <c r="N2796" i="23"/>
  <c r="F2038" i="23"/>
  <c r="F2156" i="23"/>
  <c r="N2210" i="23"/>
  <c r="M2210" i="23"/>
  <c r="F2210" i="23" s="1"/>
  <c r="N2412" i="23"/>
  <c r="M2412" i="23"/>
  <c r="N2693" i="23"/>
  <c r="M2693" i="23"/>
  <c r="N2121" i="23"/>
  <c r="M2121" i="23"/>
  <c r="F2121" i="23" s="1"/>
  <c r="F2136" i="23"/>
  <c r="F2305" i="23"/>
  <c r="N2387" i="23"/>
  <c r="M2387" i="23"/>
  <c r="F2387" i="23" s="1"/>
  <c r="F2487" i="23"/>
  <c r="F2509" i="23"/>
  <c r="M2577" i="23"/>
  <c r="F2577" i="23" s="1"/>
  <c r="P2633" i="23"/>
  <c r="O2633" i="23"/>
  <c r="F2633" i="23" s="1"/>
  <c r="P2700" i="23"/>
  <c r="O2700" i="23"/>
  <c r="K2700" i="23"/>
  <c r="F2700" i="23" s="1"/>
  <c r="N2793" i="23"/>
  <c r="M2793" i="23"/>
  <c r="F2793" i="23" s="1"/>
  <c r="F2537" i="23"/>
  <c r="F2309" i="23"/>
  <c r="F2531" i="23"/>
  <c r="K2621" i="23"/>
  <c r="L2621" i="23"/>
  <c r="F2651" i="23"/>
  <c r="P2676" i="23"/>
  <c r="L2676" i="23"/>
  <c r="K2676" i="23"/>
  <c r="F2676" i="23"/>
  <c r="F2235" i="23"/>
  <c r="F2400" i="23"/>
  <c r="N2462" i="23"/>
  <c r="M2462" i="23"/>
  <c r="F2462" i="23" s="1"/>
  <c r="N2780" i="23"/>
  <c r="M2780" i="23"/>
  <c r="F2780" i="23" s="1"/>
  <c r="F2790" i="23"/>
  <c r="F2303" i="23"/>
  <c r="N2468" i="23"/>
  <c r="M2468" i="23"/>
  <c r="F2468" i="23" s="1"/>
  <c r="K2636" i="23"/>
  <c r="L2636" i="23"/>
  <c r="F2636" i="23" s="1"/>
  <c r="P2658" i="23"/>
  <c r="O2658" i="23"/>
  <c r="L2658" i="23"/>
  <c r="K2658" i="23"/>
  <c r="F2658" i="23" s="1"/>
  <c r="N2705" i="23"/>
  <c r="M2705" i="23"/>
  <c r="N2766" i="23"/>
  <c r="M2766" i="23"/>
  <c r="F2226" i="23"/>
  <c r="N2391" i="23"/>
  <c r="M2391" i="23"/>
  <c r="F2391" i="23" s="1"/>
  <c r="P2646" i="23"/>
  <c r="O2646" i="23"/>
  <c r="F2646" i="23" s="1"/>
  <c r="N2745" i="23"/>
  <c r="M2745" i="23"/>
  <c r="F2745" i="23" s="1"/>
  <c r="F2750" i="23"/>
  <c r="P2672" i="23"/>
  <c r="F2672" i="23" s="1"/>
  <c r="O2672" i="23"/>
  <c r="P2682" i="23"/>
  <c r="O2682" i="23"/>
  <c r="F2682" i="23" s="1"/>
  <c r="N2802" i="23"/>
  <c r="M2802" i="23"/>
  <c r="F2802" i="23" s="1"/>
  <c r="L2634" i="23"/>
  <c r="F2634" i="23"/>
  <c r="F2733" i="23"/>
  <c r="F2728" i="23"/>
  <c r="F2763" i="23"/>
  <c r="F2799" i="23"/>
  <c r="N2742" i="23"/>
  <c r="M2742" i="23"/>
  <c r="F2742" i="23" s="1"/>
  <c r="M2697" i="23"/>
  <c r="N2697" i="23"/>
  <c r="D3074" i="23"/>
  <c r="W207" i="19"/>
  <c r="W1256" i="19"/>
  <c r="W155" i="19"/>
  <c r="W539" i="19"/>
  <c r="W1632" i="19"/>
  <c r="W1934" i="19"/>
  <c r="W772" i="19"/>
  <c r="W469" i="19"/>
  <c r="W701" i="19"/>
  <c r="W2199" i="19"/>
  <c r="W288" i="19"/>
  <c r="W1084" i="19"/>
  <c r="W971" i="19"/>
  <c r="W2440" i="19"/>
  <c r="W226" i="19"/>
  <c r="W691" i="19"/>
  <c r="W2457" i="19"/>
  <c r="W1586" i="19"/>
  <c r="W1088" i="19"/>
  <c r="W1456" i="19"/>
  <c r="W858" i="19"/>
  <c r="W488" i="19"/>
  <c r="W1716" i="19"/>
  <c r="W1821" i="19"/>
  <c r="W1768" i="19"/>
  <c r="W930" i="19"/>
  <c r="W2133" i="19"/>
  <c r="W1298" i="19"/>
  <c r="W291" i="19"/>
  <c r="W2173" i="19"/>
  <c r="W391" i="19"/>
  <c r="W1699" i="19"/>
  <c r="W2171" i="19"/>
  <c r="W2167" i="19"/>
  <c r="W1201" i="19"/>
  <c r="W550" i="19"/>
  <c r="W132" i="19"/>
  <c r="W1634" i="19"/>
  <c r="W2362" i="19"/>
  <c r="W1249" i="19"/>
  <c r="W2139" i="19"/>
  <c r="W1264" i="19"/>
  <c r="W68" i="19"/>
  <c r="W1307" i="19"/>
  <c r="W1962" i="19"/>
  <c r="W564" i="19"/>
  <c r="W456" i="19"/>
  <c r="W1500" i="19"/>
  <c r="W783" i="19"/>
  <c r="W2205" i="19"/>
  <c r="W944" i="19"/>
  <c r="W865" i="19"/>
  <c r="W788" i="19"/>
  <c r="W758" i="19"/>
  <c r="W2392" i="19"/>
  <c r="W64" i="19"/>
  <c r="W269" i="19"/>
  <c r="W2259" i="19"/>
  <c r="W96" i="19"/>
  <c r="W1001" i="19"/>
  <c r="W1761" i="19"/>
  <c r="W285" i="19"/>
  <c r="W380" i="19"/>
  <c r="W2637" i="19"/>
  <c r="W1190" i="19"/>
  <c r="W12" i="19"/>
  <c r="W733" i="19"/>
  <c r="W1690" i="19"/>
  <c r="W519" i="19"/>
  <c r="W1611" i="19"/>
  <c r="W1489" i="19"/>
  <c r="W2180" i="19"/>
  <c r="W1767" i="19"/>
  <c r="W2418" i="19"/>
  <c r="W2034" i="19"/>
  <c r="W2495" i="19"/>
  <c r="W1616" i="19"/>
  <c r="W2305" i="19"/>
  <c r="W1748" i="19"/>
  <c r="W1726" i="19"/>
  <c r="W2251" i="19"/>
  <c r="W1593" i="19"/>
  <c r="W2196" i="19"/>
  <c r="W1765" i="19"/>
  <c r="W2523" i="19"/>
  <c r="W555" i="19"/>
  <c r="W1337" i="19"/>
  <c r="W2085" i="19"/>
  <c r="W2316" i="19"/>
  <c r="W718" i="19"/>
  <c r="W2597" i="19"/>
  <c r="W1871" i="19"/>
  <c r="W1039" i="19"/>
  <c r="W2216" i="19"/>
  <c r="W220" i="19"/>
  <c r="W1606" i="19"/>
  <c r="W258" i="19"/>
  <c r="W2564" i="19"/>
  <c r="W112" i="19"/>
  <c r="W1313" i="19"/>
  <c r="W222" i="19"/>
  <c r="W442" i="19"/>
  <c r="W781" i="19"/>
  <c r="W2338" i="19"/>
  <c r="W2534" i="19"/>
  <c r="W774" i="19"/>
  <c r="W2182" i="19"/>
  <c r="W2244" i="19"/>
  <c r="W2494" i="19"/>
  <c r="W582" i="19"/>
  <c r="W2439" i="19"/>
  <c r="W1881" i="19"/>
  <c r="W1403" i="19"/>
  <c r="W1869" i="19"/>
  <c r="W470" i="19"/>
  <c r="W1549" i="19"/>
  <c r="W1044" i="19"/>
  <c r="W1849" i="19"/>
  <c r="W1566" i="19"/>
  <c r="W1680" i="19"/>
  <c r="W131" i="19"/>
  <c r="W2395" i="19"/>
  <c r="W2643" i="19"/>
  <c r="W208" i="19"/>
  <c r="W1691" i="19"/>
  <c r="W47" i="19"/>
  <c r="W513" i="19"/>
  <c r="W2537" i="19"/>
  <c r="W684" i="19"/>
  <c r="W1046" i="19"/>
  <c r="W1531" i="19"/>
  <c r="W433" i="19"/>
  <c r="W716" i="19"/>
  <c r="W2506" i="19"/>
  <c r="W2337" i="19"/>
  <c r="W640" i="19"/>
  <c r="W2188" i="19"/>
  <c r="W115" i="19"/>
  <c r="W587" i="19"/>
  <c r="W1334" i="19"/>
  <c r="W1509" i="19"/>
  <c r="W180" i="19"/>
  <c r="W1582" i="19"/>
  <c r="W615" i="19"/>
  <c r="W213" i="19"/>
  <c r="W1323" i="19"/>
  <c r="W968" i="19"/>
  <c r="W1210" i="19"/>
  <c r="W1895" i="19"/>
  <c r="W2189" i="19"/>
  <c r="W2152" i="19"/>
  <c r="W1260" i="19"/>
  <c r="W378" i="19"/>
  <c r="W294" i="19"/>
  <c r="W827" i="19"/>
  <c r="W948" i="19"/>
  <c r="W2526" i="19"/>
  <c r="W2370" i="19"/>
  <c r="W2444" i="19"/>
  <c r="W1248" i="19"/>
  <c r="W900" i="19"/>
  <c r="W915" i="19"/>
  <c r="W200" i="19"/>
  <c r="W1297" i="19"/>
  <c r="W2240" i="19"/>
  <c r="W606" i="19"/>
  <c r="W410" i="19"/>
  <c r="W387" i="19"/>
  <c r="W2606" i="19"/>
  <c r="W588" i="19"/>
  <c r="W1026" i="19"/>
  <c r="W1935" i="19"/>
  <c r="W730" i="19"/>
  <c r="W156" i="19"/>
  <c r="W578" i="19"/>
  <c r="W2451" i="19"/>
  <c r="W2466" i="19"/>
  <c r="W851" i="19"/>
  <c r="W327" i="19"/>
  <c r="W159" i="19"/>
  <c r="W2490" i="19"/>
  <c r="W880" i="19"/>
  <c r="W249" i="19"/>
  <c r="W1375" i="19"/>
  <c r="W60" i="19"/>
  <c r="W2560" i="19"/>
  <c r="W1579" i="19"/>
  <c r="W1708" i="19"/>
  <c r="W35" i="19"/>
  <c r="W1760" i="19"/>
  <c r="W2018" i="19"/>
  <c r="W1178" i="19"/>
  <c r="W802" i="19"/>
  <c r="W1432" i="19"/>
  <c r="W993" i="19"/>
  <c r="W2361" i="19"/>
  <c r="W1177" i="19"/>
  <c r="W787" i="19"/>
  <c r="W263" i="19"/>
  <c r="W2312" i="19"/>
  <c r="W2248" i="19"/>
  <c r="W350" i="19"/>
  <c r="W729" i="19"/>
  <c r="W1207" i="19"/>
  <c r="W2076" i="19"/>
  <c r="W1980" i="19"/>
  <c r="W1831" i="19"/>
  <c r="W381" i="19"/>
  <c r="W2044" i="19"/>
  <c r="W126" i="19"/>
  <c r="W1860" i="19"/>
  <c r="W2438" i="19"/>
  <c r="W260" i="19"/>
  <c r="W1724" i="19"/>
  <c r="W1639" i="19"/>
  <c r="W2654" i="19"/>
  <c r="W2070" i="19"/>
  <c r="W1111" i="19"/>
  <c r="W1826" i="19"/>
  <c r="W2094" i="19"/>
  <c r="W318" i="19"/>
  <c r="W1401" i="19"/>
  <c r="W221" i="19"/>
  <c r="W1235" i="19"/>
  <c r="W261" i="19"/>
  <c r="W693" i="19"/>
  <c r="W1174" i="19"/>
  <c r="W2051" i="19"/>
  <c r="W1508" i="19"/>
  <c r="W2390" i="19"/>
  <c r="W2049" i="19"/>
  <c r="W63" i="19"/>
  <c r="W1377" i="19"/>
  <c r="W1977" i="19"/>
  <c r="W505" i="19"/>
  <c r="W1993" i="19"/>
  <c r="W777" i="19"/>
  <c r="W1094" i="19"/>
  <c r="W140" i="19"/>
  <c r="W2539" i="19"/>
  <c r="W278" i="19"/>
  <c r="W2431" i="19"/>
  <c r="W1907" i="19"/>
  <c r="W25" i="19"/>
  <c r="W1222" i="19"/>
  <c r="W2384" i="19"/>
  <c r="W314" i="19"/>
  <c r="W847" i="19"/>
  <c r="W1828" i="19"/>
  <c r="W264" i="19"/>
  <c r="W2605" i="19"/>
  <c r="W248" i="19"/>
  <c r="W2554" i="19"/>
  <c r="W901" i="19"/>
  <c r="W810" i="19"/>
  <c r="W762" i="19"/>
  <c r="W2198" i="19"/>
  <c r="W65" i="19"/>
  <c r="W88" i="19"/>
  <c r="W389" i="19"/>
  <c r="W238" i="19"/>
  <c r="W996" i="19"/>
  <c r="W1755" i="19"/>
  <c r="W481" i="19"/>
  <c r="W1725" i="19"/>
  <c r="W1791" i="19"/>
  <c r="W1844" i="19"/>
  <c r="W2568" i="19"/>
  <c r="W784" i="19"/>
  <c r="W1203" i="19"/>
  <c r="W1554" i="19"/>
  <c r="W2074" i="19"/>
  <c r="W1322" i="19"/>
  <c r="W1794" i="19"/>
  <c r="W275" i="19"/>
  <c r="W2518" i="19"/>
  <c r="W2028" i="19"/>
  <c r="W897" i="19"/>
  <c r="W1212" i="19"/>
  <c r="W2073" i="19"/>
  <c r="W231" i="19"/>
  <c r="W862" i="19"/>
  <c r="W2238" i="19"/>
  <c r="W710" i="19"/>
  <c r="W1817" i="19"/>
  <c r="W1921" i="19"/>
  <c r="W584" i="19"/>
  <c r="W204" i="19"/>
  <c r="W2280" i="19"/>
  <c r="W1009" i="19"/>
  <c r="W2652" i="19"/>
  <c r="W984" i="19"/>
  <c r="W1478" i="19"/>
  <c r="W590" i="19"/>
  <c r="W478" i="19"/>
  <c r="W354" i="19"/>
  <c r="W2257" i="19"/>
  <c r="W1618" i="19"/>
  <c r="W909" i="19"/>
  <c r="W1503" i="19"/>
  <c r="W1692" i="19"/>
  <c r="W454" i="19"/>
  <c r="W598" i="19"/>
  <c r="W87" i="19"/>
  <c r="W1696" i="19"/>
  <c r="W2456" i="19"/>
  <c r="W497" i="19"/>
  <c r="W1802" i="19"/>
  <c r="W1272" i="19"/>
  <c r="W1894" i="19"/>
  <c r="W2071" i="19"/>
  <c r="W2478" i="19"/>
  <c r="W72" i="19"/>
  <c r="W741" i="19"/>
  <c r="W460" i="19"/>
  <c r="W69" i="19"/>
  <c r="W2311" i="19"/>
  <c r="W973" i="19"/>
  <c r="W2149" i="19"/>
  <c r="W414" i="19"/>
  <c r="W604" i="19"/>
  <c r="W292" i="19"/>
  <c r="W333" i="19"/>
  <c r="W300" i="19"/>
  <c r="W396" i="19"/>
  <c r="W1952" i="19"/>
  <c r="W2121" i="19"/>
  <c r="W98" i="19"/>
  <c r="W695" i="19"/>
  <c r="W2445" i="19"/>
  <c r="W57" i="19"/>
  <c r="W2488" i="19"/>
  <c r="W1330" i="19"/>
  <c r="W1911" i="19"/>
  <c r="W669" i="19"/>
  <c r="W1654" i="19"/>
  <c r="W732" i="19"/>
  <c r="W349" i="19"/>
  <c r="W690" i="19"/>
  <c r="W1252" i="19"/>
  <c r="W1682" i="19"/>
  <c r="W1169" i="19"/>
  <c r="W304" i="19"/>
  <c r="W768" i="19"/>
  <c r="W2344" i="19"/>
  <c r="W1030" i="19"/>
  <c r="W898" i="19"/>
  <c r="W272" i="19"/>
  <c r="W760" i="19"/>
  <c r="W775" i="19"/>
  <c r="W270" i="19"/>
  <c r="W1671" i="19"/>
  <c r="W779" i="19"/>
  <c r="W526" i="19"/>
  <c r="W331" i="19"/>
  <c r="W1017" i="19"/>
  <c r="W1361" i="19"/>
  <c r="W1889" i="19"/>
  <c r="W1747" i="19"/>
  <c r="W1227" i="19"/>
  <c r="W293" i="19"/>
  <c r="W1896" i="19"/>
  <c r="W1383" i="19"/>
  <c r="W146" i="19"/>
  <c r="W2127" i="19"/>
  <c r="W2340" i="19"/>
  <c r="W254" i="19"/>
  <c r="W856" i="19"/>
  <c r="W2465" i="19"/>
  <c r="W1130" i="19"/>
  <c r="W1539" i="19"/>
  <c r="W1931" i="19"/>
  <c r="W1994" i="19"/>
  <c r="W812" i="19"/>
  <c r="W2454" i="19"/>
  <c r="W463" i="19"/>
  <c r="W679" i="19"/>
  <c r="W1055" i="19"/>
  <c r="W1721" i="19"/>
  <c r="W508" i="19"/>
  <c r="W2398" i="19"/>
  <c r="W1476" i="19"/>
  <c r="W215" i="19"/>
  <c r="W62" i="19"/>
  <c r="W2066" i="19"/>
  <c r="W7" i="19"/>
  <c r="W1829" i="19"/>
  <c r="W406" i="19"/>
  <c r="W2528" i="19"/>
  <c r="W2324" i="19"/>
  <c r="W605" i="19"/>
  <c r="W1268" i="19"/>
  <c r="W276" i="19"/>
  <c r="W771" i="19"/>
  <c r="W511" i="19"/>
  <c r="W2270" i="19"/>
  <c r="W1561" i="19"/>
  <c r="W1978" i="19"/>
  <c r="W558" i="19"/>
  <c r="W2626" i="19"/>
  <c r="W1165" i="19"/>
  <c r="W737" i="19"/>
  <c r="W2482" i="19"/>
  <c r="W147" i="19"/>
  <c r="W2562" i="19"/>
  <c r="W661" i="19"/>
  <c r="W712" i="19"/>
  <c r="W911" i="19"/>
  <c r="W2032" i="19"/>
  <c r="W549" i="19"/>
  <c r="W1568" i="19"/>
  <c r="W2409" i="19"/>
  <c r="W1463" i="19"/>
  <c r="W183" i="19"/>
  <c r="W1809" i="19"/>
  <c r="W878" i="19"/>
  <c r="W2558" i="19"/>
  <c r="W2143" i="19"/>
  <c r="W1228" i="19"/>
  <c r="W1617" i="19"/>
  <c r="W2601" i="19"/>
  <c r="W295" i="19"/>
  <c r="W2585" i="19"/>
  <c r="W1374" i="19"/>
  <c r="W870" i="19"/>
  <c r="W2329" i="19"/>
  <c r="W592" i="19"/>
  <c r="W2144" i="19"/>
  <c r="W312" i="19"/>
  <c r="W1525" i="19"/>
  <c r="W739" i="19"/>
  <c r="W2161" i="19"/>
  <c r="W2105" i="19"/>
  <c r="W1939" i="19"/>
  <c r="W43" i="19"/>
  <c r="W1092" i="19"/>
  <c r="W2561" i="19"/>
  <c r="W143" i="19"/>
  <c r="W2441" i="19"/>
  <c r="W1637" i="19"/>
  <c r="W1753" i="19"/>
  <c r="W916" i="19"/>
  <c r="W1607" i="19"/>
  <c r="W369" i="19"/>
  <c r="W731" i="19"/>
  <c r="W2185" i="19"/>
  <c r="W521" i="19"/>
  <c r="W1198" i="19"/>
  <c r="W1353" i="19"/>
  <c r="W1021" i="19"/>
  <c r="W1966" i="19"/>
  <c r="W1842" i="19"/>
  <c r="W2035" i="19"/>
  <c r="W1998" i="19"/>
  <c r="W2327" i="19"/>
  <c r="W1340" i="19"/>
  <c r="W167" i="19"/>
  <c r="W531" i="19"/>
  <c r="W1975" i="19"/>
  <c r="W629" i="19"/>
  <c r="W307" i="19"/>
  <c r="W1796" i="19"/>
  <c r="W438" i="19"/>
  <c r="W301" i="19"/>
  <c r="W1181" i="19"/>
  <c r="W1312" i="19"/>
  <c r="W1426" i="19"/>
  <c r="W2058" i="19"/>
  <c r="W455" i="19"/>
  <c r="W1356" i="19"/>
  <c r="W1498" i="19"/>
  <c r="W573" i="19"/>
  <c r="W1797" i="19"/>
  <c r="W2301" i="19"/>
  <c r="W1292" i="19"/>
  <c r="W509" i="19"/>
  <c r="W1542" i="19"/>
  <c r="W2275" i="19"/>
  <c r="W1688" i="19"/>
  <c r="W2621" i="19"/>
  <c r="W2048" i="19"/>
  <c r="W2589" i="19"/>
  <c r="W1898" i="19"/>
  <c r="W834" i="19"/>
  <c r="W2132" i="19"/>
  <c r="W451" i="19"/>
  <c r="W20" i="19"/>
  <c r="W1036" i="19"/>
  <c r="W1676" i="19"/>
  <c r="W2096" i="19"/>
  <c r="W1701" i="19"/>
  <c r="W2615" i="19"/>
  <c r="W2629" i="19"/>
  <c r="W1219" i="19"/>
  <c r="W471" i="19"/>
  <c r="W1890" i="19"/>
  <c r="W128" i="19"/>
  <c r="W1134" i="19"/>
  <c r="W899" i="19"/>
  <c r="W548" i="19"/>
  <c r="W1186" i="19"/>
  <c r="W2268" i="19"/>
  <c r="W512" i="19"/>
  <c r="W1504" i="19"/>
  <c r="W1614" i="19"/>
  <c r="W1288" i="19"/>
  <c r="W875" i="19"/>
  <c r="W2559" i="19"/>
  <c r="W522" i="19"/>
  <c r="W2326" i="19"/>
  <c r="W1635" i="19"/>
  <c r="W40" i="19"/>
  <c r="W468" i="19"/>
  <c r="W1405" i="19"/>
  <c r="W947" i="19"/>
  <c r="W1957" i="19"/>
  <c r="W1864" i="19"/>
  <c r="W638" i="19"/>
  <c r="W1387" i="19"/>
  <c r="W1923" i="19"/>
  <c r="W362" i="19"/>
  <c r="W769" i="19"/>
  <c r="W1964" i="19"/>
  <c r="W1533" i="19"/>
  <c r="W1239" i="19"/>
  <c r="W477" i="19"/>
  <c r="W738" i="19"/>
  <c r="W620" i="19"/>
  <c r="W173" i="19"/>
  <c r="W2314" i="19"/>
  <c r="W2415" i="19"/>
  <c r="W1070" i="19"/>
  <c r="W946" i="19"/>
  <c r="W1156" i="19"/>
  <c r="W2455" i="19"/>
  <c r="W199" i="19"/>
  <c r="W2520" i="19"/>
  <c r="W33" i="19"/>
  <c r="W1805" i="19"/>
  <c r="W2655" i="19"/>
  <c r="W273" i="19"/>
  <c r="W1064" i="19"/>
  <c r="W2022" i="19"/>
  <c r="W133" i="19"/>
  <c r="W1585" i="19"/>
  <c r="W2632" i="19"/>
  <c r="W1750" i="19"/>
  <c r="W2360" i="19"/>
  <c r="W1779" i="19"/>
  <c r="W1574" i="19"/>
  <c r="W796" i="19"/>
  <c r="W1359" i="19"/>
  <c r="W423" i="19"/>
  <c r="W375" i="19"/>
  <c r="W242" i="19"/>
  <c r="W1675" i="19"/>
  <c r="W990" i="19"/>
  <c r="W896" i="19"/>
  <c r="W1271" i="19"/>
  <c r="W2142" i="19"/>
  <c r="W2029" i="19"/>
  <c r="W1656" i="19"/>
  <c r="W636" i="19"/>
  <c r="W743" i="19"/>
  <c r="W2289" i="19"/>
  <c r="W2557" i="19"/>
  <c r="W1862" i="19"/>
  <c r="W1480" i="19"/>
  <c r="W1673" i="19"/>
  <c r="W2397" i="19"/>
  <c r="W2599" i="19"/>
  <c r="W235" i="19"/>
  <c r="W1904" i="19"/>
  <c r="W1455" i="19"/>
  <c r="W2353" i="19"/>
  <c r="W1537" i="19"/>
  <c r="W2334" i="19"/>
  <c r="W1241" i="19"/>
  <c r="W1400" i="19"/>
  <c r="W1608" i="19"/>
  <c r="W2641" i="19"/>
  <c r="W315" i="19"/>
  <c r="W2322" i="19"/>
  <c r="W1646" i="19"/>
  <c r="W393" i="19"/>
  <c r="W723" i="19"/>
  <c r="W793" i="19"/>
  <c r="W467" i="19"/>
  <c r="W2400" i="19"/>
  <c r="W274" i="19"/>
  <c r="W956" i="19"/>
  <c r="W170" i="19"/>
  <c r="W1668" i="19"/>
  <c r="W100" i="19"/>
  <c r="W1973" i="19"/>
  <c r="W2576" i="19"/>
  <c r="W352" i="19"/>
  <c r="W1640" i="19"/>
  <c r="W18" i="19"/>
  <c r="W2025" i="19"/>
  <c r="W1211" i="19"/>
  <c r="W237" i="19"/>
  <c r="W1541" i="19"/>
  <c r="W2351" i="19"/>
  <c r="W1819" i="19"/>
  <c r="W225" i="19"/>
  <c r="W357" i="19"/>
  <c r="W22" i="19"/>
  <c r="W339" i="19"/>
  <c r="W905" i="19"/>
  <c r="W1626" i="19"/>
  <c r="W569" i="19"/>
  <c r="W2075" i="19"/>
  <c r="W428" i="19"/>
  <c r="W1491" i="19"/>
  <c r="W1697" i="19"/>
  <c r="W1486" i="19"/>
  <c r="W1394" i="19"/>
  <c r="W1347" i="19"/>
  <c r="W421" i="19"/>
  <c r="W951" i="19"/>
  <c r="W1927" i="19"/>
  <c r="W1072" i="19"/>
  <c r="W1378" i="19"/>
  <c r="W326" i="19"/>
  <c r="W2100" i="19"/>
  <c r="R34" i="19"/>
  <c r="W1294" i="19"/>
  <c r="W384" i="19"/>
  <c r="W1059" i="19"/>
  <c r="W2237" i="19"/>
  <c r="W2247" i="19"/>
  <c r="W627" i="19"/>
  <c r="W234" i="19"/>
  <c r="W1569" i="19"/>
  <c r="W681" i="19"/>
  <c r="W1822" i="19"/>
  <c r="W1806" i="19"/>
  <c r="W533" i="19"/>
  <c r="W1205" i="19"/>
  <c r="W2552" i="19"/>
  <c r="W1710" i="19"/>
  <c r="W1373" i="19"/>
  <c r="W2042" i="19"/>
  <c r="W1399" i="19"/>
  <c r="W2425" i="19"/>
  <c r="W1423" i="19"/>
  <c r="W1447" i="19"/>
  <c r="W2378" i="19"/>
  <c r="W1433" i="19"/>
  <c r="W1240" i="19"/>
  <c r="W181" i="19"/>
  <c r="W157" i="19"/>
  <c r="W1787" i="19"/>
  <c r="W2170" i="19"/>
  <c r="W1238" i="19"/>
  <c r="W688" i="19"/>
  <c r="W489" i="19"/>
  <c r="W711" i="19"/>
  <c r="W1454" i="19"/>
  <c r="W2285" i="19"/>
  <c r="W924" i="19"/>
  <c r="W79" i="19"/>
  <c r="W2473" i="19"/>
  <c r="W2202" i="19"/>
  <c r="W1945" i="19"/>
  <c r="W474" i="19"/>
  <c r="W321" i="19"/>
  <c r="W2565" i="19"/>
  <c r="W187" i="19"/>
  <c r="W1516" i="19"/>
  <c r="W1562" i="19"/>
  <c r="W1303" i="19"/>
  <c r="W1650" i="19"/>
  <c r="W819" i="19"/>
  <c r="W1097" i="19"/>
  <c r="W1326" i="19"/>
  <c r="W790" i="19"/>
  <c r="W154" i="19"/>
  <c r="W1736" i="19"/>
  <c r="W1029" i="19"/>
  <c r="W2286" i="19"/>
  <c r="W24" i="19"/>
  <c r="W152" i="19"/>
  <c r="W2342" i="19"/>
  <c r="W857" i="19"/>
  <c r="W1153" i="19"/>
  <c r="W290" i="19"/>
  <c r="W2574" i="19"/>
  <c r="W529" i="19"/>
  <c r="W928" i="19"/>
  <c r="W2426" i="19"/>
  <c r="W1287" i="19"/>
  <c r="W1119" i="19"/>
  <c r="W2204" i="19"/>
  <c r="W1859" i="19"/>
  <c r="W2458" i="19"/>
  <c r="W420" i="19"/>
  <c r="W1069" i="19"/>
  <c r="W1651" i="19"/>
  <c r="W832" i="19"/>
  <c r="W2001" i="19"/>
  <c r="W986" i="19"/>
  <c r="W552" i="19"/>
  <c r="W1300" i="19"/>
  <c r="W869" i="19"/>
  <c r="W1870" i="19"/>
  <c r="W835" i="19"/>
  <c r="W527" i="19"/>
  <c r="W525" i="19"/>
  <c r="W1785" i="19"/>
  <c r="W1757" i="19"/>
  <c r="W171" i="19"/>
  <c r="W2078" i="19"/>
  <c r="W174" i="19"/>
  <c r="W499" i="19"/>
  <c r="W2578" i="19"/>
  <c r="W983" i="19"/>
  <c r="W86" i="19"/>
  <c r="W2104" i="19"/>
  <c r="W2485" i="19"/>
  <c r="W1445" i="19"/>
  <c r="W926" i="19"/>
  <c r="W2162" i="19"/>
  <c r="W51" i="19"/>
  <c r="W1183" i="19"/>
  <c r="W466" i="19"/>
  <c r="W727" i="19"/>
  <c r="W540" i="19"/>
  <c r="W1202" i="19"/>
  <c r="W2603" i="19"/>
  <c r="W1231" i="19"/>
  <c r="W1917" i="19"/>
  <c r="W1319" i="19"/>
  <c r="W846" i="19"/>
  <c r="W1098" i="19"/>
  <c r="W1955" i="19"/>
  <c r="W2489" i="19"/>
  <c r="W1193" i="19"/>
  <c r="W306" i="19"/>
  <c r="W766" i="19"/>
  <c r="W979" i="19"/>
  <c r="W2063" i="19"/>
  <c r="W2176" i="19"/>
  <c r="W1096" i="19"/>
  <c r="W194" i="19"/>
  <c r="W1992" i="19"/>
  <c r="W1450" i="19"/>
  <c r="W1989" i="19"/>
  <c r="W1188" i="19"/>
  <c r="W671" i="19"/>
  <c r="W1643" i="19"/>
  <c r="W820" i="19"/>
  <c r="W1397" i="19"/>
  <c r="W648" i="19"/>
  <c r="W1194" i="19"/>
  <c r="W1105" i="19"/>
  <c r="W2505" i="19"/>
  <c r="W1117" i="19"/>
  <c r="W1513" i="19"/>
  <c r="W122" i="19"/>
  <c r="W2079" i="19"/>
  <c r="W1391" i="19"/>
  <c r="W1758" i="19"/>
  <c r="W608" i="19"/>
  <c r="W1277" i="19"/>
  <c r="W415" i="19"/>
  <c r="W1762" i="19"/>
  <c r="W446" i="19"/>
  <c r="W1357" i="19"/>
  <c r="W696" i="19"/>
  <c r="W1521" i="19"/>
  <c r="W1436" i="19"/>
  <c r="W1291" i="19"/>
  <c r="W277" i="19"/>
  <c r="W1641" i="19"/>
  <c r="W178" i="19"/>
  <c r="W516" i="19"/>
  <c r="W4" i="19"/>
  <c r="W1042" i="19"/>
  <c r="W2046" i="19"/>
  <c r="W31" i="19"/>
  <c r="W1243" i="19"/>
  <c r="W744" i="19"/>
  <c r="W943" i="19"/>
  <c r="W411" i="19"/>
  <c r="W30" i="19"/>
  <c r="W2317" i="19"/>
  <c r="W978" i="19"/>
  <c r="W1944" i="19"/>
  <c r="W1774" i="19"/>
  <c r="W2379" i="19"/>
  <c r="W761" i="19"/>
  <c r="W2521" i="19"/>
  <c r="W2613" i="19"/>
  <c r="W2128" i="19"/>
  <c r="W267" i="19"/>
  <c r="W55" i="19"/>
  <c r="W496" i="19"/>
  <c r="W212" i="19"/>
  <c r="W137" i="19"/>
  <c r="W748" i="19"/>
  <c r="W2299" i="19"/>
  <c r="W1718" i="19"/>
  <c r="W687" i="19"/>
  <c r="W329" i="19"/>
  <c r="W1759" i="19"/>
  <c r="W2542" i="19"/>
  <c r="W1741" i="19"/>
  <c r="W2546" i="19"/>
  <c r="W1662" i="19"/>
  <c r="W16" i="19"/>
  <c r="W1875" i="19"/>
  <c r="W2507" i="19"/>
  <c r="W813" i="19"/>
  <c r="W2592" i="19"/>
  <c r="W1642" i="19"/>
  <c r="W1979" i="19"/>
  <c r="W2538" i="19"/>
  <c r="W1490" i="19"/>
  <c r="W1559" i="19"/>
  <c r="W923" i="19"/>
  <c r="W1275" i="19"/>
  <c r="W1195" i="19"/>
  <c r="W1116" i="19"/>
  <c r="W2223" i="19"/>
  <c r="W2481" i="19"/>
  <c r="W1149" i="19"/>
  <c r="W2496" i="19"/>
  <c r="W2111" i="19"/>
  <c r="W1587" i="19"/>
  <c r="W1468" i="19"/>
  <c r="W1318" i="19"/>
  <c r="W1824" i="19"/>
  <c r="W1141" i="19"/>
  <c r="W757" i="19"/>
  <c r="W1717" i="19"/>
  <c r="W1948" i="19"/>
  <c r="W1571" i="19"/>
  <c r="W619" i="19"/>
  <c r="W2220" i="19"/>
  <c r="W385" i="19"/>
  <c r="W1388" i="19"/>
  <c r="W2155" i="19"/>
  <c r="W2404" i="19"/>
  <c r="W233" i="19"/>
  <c r="W2642" i="19"/>
  <c r="W2365" i="19"/>
  <c r="W338" i="19"/>
  <c r="W184" i="19"/>
  <c r="W1296" i="19"/>
  <c r="W390" i="19"/>
  <c r="W1079" i="19"/>
  <c r="W1472" i="19"/>
  <c r="W1888" i="19"/>
  <c r="W1043" i="19"/>
  <c r="W565" i="19"/>
  <c r="W328" i="19"/>
  <c r="W1113" i="19"/>
  <c r="W1818" i="19"/>
  <c r="W1947" i="19"/>
  <c r="W252" i="19"/>
  <c r="W492" i="19"/>
  <c r="W868" i="19"/>
  <c r="W325" i="19"/>
  <c r="W1766" i="19"/>
  <c r="W1081" i="19"/>
  <c r="W1778" i="19"/>
  <c r="W1172" i="19"/>
  <c r="W2371" i="19"/>
  <c r="W298" i="19"/>
  <c r="W416" i="19"/>
  <c r="W1469" i="19"/>
  <c r="W305" i="19"/>
  <c r="W720" i="19"/>
  <c r="W472" i="19"/>
  <c r="W1191" i="19"/>
  <c r="W119" i="19"/>
  <c r="W186" i="19"/>
  <c r="W873" i="19"/>
  <c r="W1925" i="19"/>
  <c r="W374" i="19"/>
  <c r="W397" i="19"/>
  <c r="W2591" i="19"/>
  <c r="W1723" i="19"/>
  <c r="W2283" i="19"/>
  <c r="W486" i="19"/>
  <c r="W1371" i="19"/>
  <c r="W475" i="19"/>
  <c r="W59" i="19"/>
  <c r="W2302" i="19"/>
  <c r="W2203" i="19"/>
  <c r="W175" i="19"/>
  <c r="W1474" i="19"/>
  <c r="W874" i="19"/>
  <c r="W969" i="19"/>
  <c r="W770" i="19"/>
  <c r="W933" i="19"/>
  <c r="W422" i="19"/>
  <c r="W902" i="19"/>
  <c r="W434" i="19"/>
  <c r="W613" i="19"/>
  <c r="W2522" i="19"/>
  <c r="W1151" i="19"/>
  <c r="W1395" i="19"/>
  <c r="W2630" i="19"/>
  <c r="W476" i="19"/>
  <c r="W903" i="19"/>
  <c r="W1570" i="19"/>
  <c r="W413" i="19"/>
  <c r="W36" i="19"/>
  <c r="W2374" i="19"/>
  <c r="W1538" i="19"/>
  <c r="W3" i="19"/>
  <c r="W689" i="19"/>
  <c r="W1936" i="19"/>
  <c r="W2228" i="19"/>
  <c r="W818" i="19"/>
  <c r="W1259" i="19"/>
  <c r="W435" i="19"/>
  <c r="W1431" i="19"/>
  <c r="W2038" i="19"/>
  <c r="W1120" i="19"/>
  <c r="W1583" i="19"/>
  <c r="W1851" i="19"/>
  <c r="W1444" i="19"/>
  <c r="W2061" i="19"/>
  <c r="W1497" i="19"/>
  <c r="W1324" i="19"/>
  <c r="W2323" i="19"/>
  <c r="W1545" i="19"/>
  <c r="W798" i="19"/>
  <c r="W1018" i="19"/>
  <c r="W1305" i="19"/>
  <c r="W1255" i="19"/>
  <c r="W2059" i="19"/>
  <c r="W1236" i="19"/>
  <c r="W879" i="19"/>
  <c r="W2421" i="19"/>
  <c r="W2284" i="19"/>
  <c r="W2097" i="19"/>
  <c r="W2476" i="19"/>
  <c r="W1175" i="19"/>
  <c r="W1534" i="19"/>
  <c r="W560" i="19"/>
  <c r="W2101" i="19"/>
  <c r="W367" i="19"/>
  <c r="W632" i="19"/>
  <c r="W1983" i="19"/>
  <c r="W2380" i="19"/>
  <c r="W2235" i="19"/>
  <c r="W1129" i="19"/>
  <c r="W236" i="19"/>
  <c r="W402" i="19"/>
  <c r="W281" i="19"/>
  <c r="W2068" i="19"/>
  <c r="W1301" i="19"/>
  <c r="W2634" i="19"/>
  <c r="W2573" i="19"/>
  <c r="W139" i="19"/>
  <c r="W2555" i="19"/>
  <c r="W2596" i="19"/>
  <c r="W1135" i="19"/>
  <c r="W1719" i="19"/>
  <c r="W2502" i="19"/>
  <c r="W773" i="19"/>
  <c r="W1591" i="19"/>
  <c r="W892" i="19"/>
  <c r="W1032" i="19"/>
  <c r="W1457" i="19"/>
  <c r="W805" i="19"/>
  <c r="W829" i="19"/>
  <c r="W490" i="19"/>
  <c r="W386" i="19"/>
  <c r="W1790" i="19"/>
  <c r="W2376" i="19"/>
  <c r="W2226" i="19"/>
  <c r="W886" i="19"/>
  <c r="W2236" i="19"/>
  <c r="W1913" i="19"/>
  <c r="W595" i="19"/>
  <c r="W1524" i="19"/>
  <c r="W1352" i="19"/>
  <c r="W703" i="19"/>
  <c r="W859" i="19"/>
  <c r="W961" i="19"/>
  <c r="W1461" i="19"/>
  <c r="W1333" i="19"/>
  <c r="W597" i="19"/>
  <c r="W2272" i="19"/>
  <c r="W747" i="19"/>
  <c r="W1122" i="19"/>
  <c r="W1163" i="19"/>
  <c r="W1527" i="19"/>
  <c r="W1563" i="19"/>
  <c r="W1257" i="19"/>
  <c r="W61" i="19"/>
  <c r="W2218" i="19"/>
  <c r="W2318" i="19"/>
  <c r="W2584" i="19"/>
  <c r="W1317" i="19"/>
  <c r="W395" i="19"/>
  <c r="W778" i="19"/>
  <c r="W17" i="19"/>
  <c r="W1592" i="19"/>
  <c r="W708" i="19"/>
  <c r="W1293" i="19"/>
  <c r="W1402" i="19"/>
  <c r="W976" i="19"/>
  <c r="W219" i="19"/>
  <c r="W1735" i="19"/>
  <c r="W2166" i="19"/>
  <c r="W1751" i="19"/>
  <c r="W1578" i="19"/>
  <c r="W1110" i="19"/>
  <c r="W482" i="19"/>
  <c r="W1168" i="19"/>
  <c r="W1366" i="19"/>
  <c r="W861" i="19"/>
  <c r="W2254" i="19"/>
  <c r="W1596" i="19"/>
  <c r="W2624" i="19"/>
  <c r="W166" i="19"/>
  <c r="W728" i="19"/>
  <c r="W2333" i="19"/>
  <c r="W1928" i="19"/>
  <c r="W610" i="19"/>
  <c r="W2310" i="19"/>
  <c r="W1886" i="19"/>
  <c r="W360" i="19"/>
  <c r="W1867" i="19"/>
  <c r="W1453" i="19"/>
  <c r="W1709" i="19"/>
  <c r="W129" i="19"/>
  <c r="W1501" i="19"/>
  <c r="W409" i="19"/>
  <c r="W1777" i="19"/>
  <c r="W637" i="19"/>
  <c r="W836" i="19"/>
  <c r="W1916" i="19"/>
  <c r="W1282" i="19"/>
  <c r="W1953" i="19"/>
  <c r="W1990" i="19"/>
  <c r="W1215" i="19"/>
  <c r="W1552" i="19"/>
  <c r="W518" i="19"/>
  <c r="W2174" i="19"/>
  <c r="W1037" i="19"/>
  <c r="W1915" i="19"/>
  <c r="W1833" i="19"/>
  <c r="W82" i="19"/>
  <c r="W1471" i="19"/>
  <c r="W2551" i="19"/>
  <c r="W2168" i="19"/>
  <c r="W1638" i="19"/>
  <c r="W2065" i="19"/>
  <c r="W2433" i="19"/>
  <c r="W2020" i="19"/>
  <c r="W1982" i="19"/>
  <c r="W2420" i="19"/>
  <c r="W1316" i="19"/>
  <c r="W1206" i="19"/>
  <c r="W634" i="19"/>
  <c r="W2246" i="19"/>
  <c r="W895" i="19"/>
  <c r="W1920" i="19"/>
  <c r="W791" i="19"/>
  <c r="W709" i="19"/>
  <c r="W1142" i="19"/>
  <c r="W2336" i="19"/>
  <c r="W2282" i="19"/>
  <c r="W643" i="19"/>
  <c r="W1514" i="19"/>
  <c r="W2618" i="19"/>
  <c r="W1332" i="19"/>
  <c r="W1743" i="19"/>
  <c r="W568" i="19"/>
  <c r="W686" i="19"/>
  <c r="W1067" i="19"/>
  <c r="W542" i="19"/>
  <c r="W1789" i="19"/>
  <c r="W1162" i="19"/>
  <c r="W371" i="19"/>
  <c r="W759" i="19"/>
  <c r="W1599" i="19"/>
  <c r="W2532" i="19"/>
  <c r="W1773" i="19"/>
  <c r="W544" i="19"/>
  <c r="W2410" i="19"/>
  <c r="W654" i="19"/>
  <c r="W2087" i="19"/>
  <c r="W2308" i="19"/>
  <c r="W425" i="19"/>
  <c r="W1237" i="19"/>
  <c r="W1011" i="19"/>
  <c r="W1002" i="19"/>
  <c r="W2386" i="19"/>
  <c r="W2263" i="19"/>
  <c r="W429" i="19"/>
  <c r="W932" i="19"/>
  <c r="W2158" i="19"/>
  <c r="W1365" i="19"/>
  <c r="W1729" i="19"/>
  <c r="W999" i="19"/>
  <c r="W1209" i="19"/>
  <c r="W2194" i="19"/>
  <c r="W1225" i="19"/>
  <c r="W1244" i="19"/>
  <c r="W1502" i="19"/>
  <c r="W1327" i="19"/>
  <c r="W1960" i="19"/>
  <c r="W372" i="19"/>
  <c r="W939" i="19"/>
  <c r="W1338" i="19"/>
  <c r="W1465" i="19"/>
  <c r="W2039" i="19"/>
  <c r="W1140" i="19"/>
  <c r="W110" i="19"/>
  <c r="W158" i="19"/>
  <c r="W2377" i="19"/>
  <c r="W81" i="19"/>
  <c r="W1101" i="19"/>
  <c r="W543" i="19"/>
  <c r="W722" i="19"/>
  <c r="W2364" i="19"/>
  <c r="W1496" i="19"/>
  <c r="W852" i="19"/>
  <c r="W93" i="19"/>
  <c r="W2252" i="19"/>
  <c r="W39" i="19"/>
  <c r="W2157" i="19"/>
  <c r="W954" i="19"/>
  <c r="W746" i="19"/>
  <c r="W1250" i="19"/>
  <c r="W168" i="19"/>
  <c r="W2566" i="19"/>
  <c r="W1027" i="19"/>
  <c r="W400" i="19"/>
  <c r="W2515" i="19"/>
  <c r="W1843" i="19"/>
  <c r="W659" i="19"/>
  <c r="W2452" i="19"/>
  <c r="W5" i="19"/>
  <c r="W251" i="19"/>
  <c r="W2614" i="19"/>
  <c r="W1056" i="19"/>
  <c r="W1649" i="19"/>
  <c r="W1299" i="19"/>
  <c r="W2292" i="19"/>
  <c r="W2321" i="19"/>
  <c r="W651" i="19"/>
  <c r="W340" i="19"/>
  <c r="W940" i="19"/>
  <c r="W1792" i="19"/>
  <c r="W2206" i="19"/>
  <c r="W165" i="19"/>
  <c r="W2276" i="19"/>
  <c r="W2306" i="19"/>
  <c r="W2077" i="19"/>
  <c r="W1900" i="19"/>
  <c r="W1344" i="19"/>
  <c r="W1590" i="19"/>
  <c r="W1834" i="19"/>
  <c r="W1555" i="19"/>
  <c r="W1930" i="19"/>
  <c r="W2214" i="19"/>
  <c r="W2253" i="19"/>
  <c r="W377" i="19"/>
  <c r="W982" i="19"/>
  <c r="W191" i="19"/>
  <c r="W1655" i="19"/>
  <c r="W556" i="19"/>
  <c r="W2021" i="19"/>
  <c r="W1783" i="19"/>
  <c r="W2315" i="19"/>
  <c r="W2343" i="19"/>
  <c r="W953" i="19"/>
  <c r="W2330" i="19"/>
  <c r="W1588" i="19"/>
  <c r="W190" i="19"/>
  <c r="W2530" i="19"/>
  <c r="W2208" i="19"/>
  <c r="W1146" i="19"/>
  <c r="W618" i="19"/>
  <c r="W2307" i="19"/>
  <c r="W2024" i="19"/>
  <c r="W1848" i="19"/>
  <c r="W1003" i="19"/>
  <c r="W1289" i="19"/>
  <c r="W2140" i="19"/>
  <c r="W534" i="19"/>
  <c r="W330" i="19"/>
  <c r="W1891" i="19"/>
  <c r="W583" i="19"/>
  <c r="W887" i="19"/>
  <c r="W240" i="19"/>
  <c r="W1016" i="19"/>
  <c r="W1950" i="19"/>
  <c r="W2579" i="19"/>
  <c r="W652" i="19"/>
  <c r="W515" i="19"/>
  <c r="W1376" i="19"/>
  <c r="W461" i="19"/>
  <c r="W359" i="19"/>
  <c r="W322" i="19"/>
  <c r="W685" i="19"/>
  <c r="W1483" i="19"/>
  <c r="W1417" i="19"/>
  <c r="W2385" i="19"/>
  <c r="W2412" i="19"/>
  <c r="W2265" i="19"/>
  <c r="W1961" i="19"/>
  <c r="W1598" i="19"/>
  <c r="W998" i="19"/>
  <c r="W54" i="19"/>
  <c r="W884" i="19"/>
  <c r="W2004" i="19"/>
  <c r="W1078" i="19"/>
  <c r="W2159" i="19"/>
  <c r="W871" i="19"/>
  <c r="W1004" i="19"/>
  <c r="W189" i="19"/>
  <c r="W1065" i="19"/>
  <c r="W1594" i="19"/>
  <c r="W2480" i="19"/>
  <c r="W2503" i="19"/>
  <c r="W1033" i="19"/>
  <c r="W942" i="19"/>
  <c r="W2582" i="19"/>
  <c r="W97" i="19"/>
  <c r="W363" i="19"/>
  <c r="W2622" i="19"/>
  <c r="W2225" i="19"/>
  <c r="W151" i="19"/>
  <c r="W1523" i="19"/>
  <c r="W257" i="19"/>
  <c r="W334" i="19"/>
  <c r="W1625" i="19"/>
  <c r="W1182" i="19"/>
  <c r="W107" i="19"/>
  <c r="W635" i="19"/>
  <c r="W1369" i="19"/>
  <c r="W877" i="19"/>
  <c r="W1339" i="19"/>
  <c r="W1082" i="19"/>
  <c r="W1873" i="19"/>
  <c r="W462" i="19"/>
  <c r="W1343" i="19"/>
  <c r="W2387" i="19"/>
  <c r="W1782" i="19"/>
  <c r="W1775" i="19"/>
  <c r="W1107" i="19"/>
  <c r="W1223" i="19"/>
  <c r="W2544" i="19"/>
  <c r="W2563" i="19"/>
  <c r="W1311" i="19"/>
  <c r="W2346" i="19"/>
  <c r="W1360" i="19"/>
  <c r="W1713" i="19"/>
  <c r="W303" i="19"/>
  <c r="W1663" i="19"/>
  <c r="W1076" i="19"/>
  <c r="W2648" i="19"/>
  <c r="W967" i="19"/>
  <c r="W2531" i="19"/>
  <c r="W379" i="19"/>
  <c r="W763" i="19"/>
  <c r="W2512" i="19"/>
  <c r="W683" i="19"/>
  <c r="W1801" i="19"/>
  <c r="W1408" i="19"/>
  <c r="W2319" i="19"/>
  <c r="W934" i="19"/>
  <c r="W407" i="19"/>
  <c r="W1267" i="19"/>
  <c r="W1077" i="19"/>
  <c r="W2525" i="19"/>
  <c r="W34" i="19"/>
  <c r="W646" i="19"/>
  <c r="W1144" i="19"/>
  <c r="W641" i="19"/>
  <c r="W92" i="19"/>
  <c r="W581" i="19"/>
  <c r="W1932" i="19"/>
  <c r="W664" i="19"/>
  <c r="W2138" i="19"/>
  <c r="W1278" i="19"/>
  <c r="W1265" i="19"/>
  <c r="W177" i="19"/>
  <c r="W127" i="19"/>
  <c r="W1342" i="19"/>
  <c r="W2550" i="19"/>
  <c r="W1124" i="19"/>
  <c r="W2064" i="19"/>
  <c r="W1150" i="19"/>
  <c r="W1548" i="19"/>
  <c r="W1674" i="19"/>
  <c r="W1823" i="19"/>
  <c r="W546" i="19"/>
  <c r="W2118" i="19"/>
  <c r="W49" i="19"/>
  <c r="W1446" i="19"/>
  <c r="W2207" i="19"/>
  <c r="W614" i="19"/>
  <c r="W1384" i="19"/>
  <c r="W1832" i="19"/>
  <c r="W2368" i="19"/>
  <c r="W804" i="19"/>
  <c r="W1494" i="19"/>
  <c r="W1073" i="19"/>
  <c r="W214" i="19"/>
  <c r="W1694" i="19"/>
  <c r="W2057" i="19"/>
  <c r="W480" i="19"/>
  <c r="W1208" i="19"/>
  <c r="W343" i="19"/>
  <c r="W576" i="19"/>
  <c r="W795" i="19"/>
  <c r="W1620" i="19"/>
  <c r="W495" i="19"/>
  <c r="W2134" i="19"/>
  <c r="W1217" i="19"/>
  <c r="W2081" i="19"/>
  <c r="W881" i="19"/>
  <c r="W1091" i="19"/>
  <c r="W1492" i="19"/>
  <c r="W1576" i="19"/>
  <c r="W1166" i="19"/>
  <c r="W885" i="19"/>
  <c r="W674" i="19"/>
  <c r="W2529" i="19"/>
  <c r="W1025" i="19"/>
  <c r="W373" i="19"/>
  <c r="W419" i="19"/>
  <c r="W1847" i="19"/>
  <c r="W2250" i="19"/>
  <c r="W1705" i="19"/>
  <c r="W1473" i="19"/>
  <c r="W1700" i="19"/>
  <c r="W447" i="19"/>
  <c r="W1507" i="19"/>
  <c r="W2580" i="19"/>
  <c r="W2519" i="19"/>
  <c r="W2233" i="19"/>
  <c r="W1452" i="19"/>
  <c r="W2393" i="19"/>
  <c r="W2109" i="19"/>
  <c r="W2137" i="19"/>
  <c r="W2535" i="19"/>
  <c r="W2099" i="19"/>
  <c r="W1320" i="19"/>
  <c r="W910" i="19"/>
  <c r="W600" i="19"/>
  <c r="W1425" i="19"/>
  <c r="W2373" i="19"/>
  <c r="W920" i="19"/>
  <c r="W1771" i="19"/>
  <c r="W1350" i="19"/>
  <c r="W2462" i="19"/>
  <c r="W734" i="19"/>
  <c r="W545" i="19"/>
  <c r="W244" i="19"/>
  <c r="W1050" i="19"/>
  <c r="W182" i="19"/>
  <c r="W2125" i="19"/>
  <c r="W1253" i="19"/>
  <c r="W302" i="19"/>
  <c r="W2193" i="19"/>
  <c r="W577" i="19"/>
  <c r="W160" i="19"/>
  <c r="W196" i="19"/>
  <c r="W2136" i="19"/>
  <c r="W2442" i="19"/>
  <c r="W2517" i="19"/>
  <c r="W102" i="19"/>
  <c r="W625" i="19"/>
  <c r="W1853" i="19"/>
  <c r="W323" i="19"/>
  <c r="W1880" i="19"/>
  <c r="W717" i="19"/>
  <c r="W1943" i="19"/>
  <c r="W493" i="19"/>
  <c r="W308" i="19"/>
  <c r="W955" i="19"/>
  <c r="W2403" i="19"/>
  <c r="W1439" i="19"/>
  <c r="W831" i="19"/>
  <c r="W38" i="19"/>
  <c r="W1976" i="19"/>
  <c r="W658" i="19"/>
  <c r="W1938" i="19"/>
  <c r="W1954" i="19"/>
  <c r="W929" i="19"/>
  <c r="W1413" i="19"/>
  <c r="W2620" i="19"/>
  <c r="W591" i="19"/>
  <c r="W163" i="19"/>
  <c r="W1737" i="19"/>
  <c r="W76" i="19"/>
  <c r="W2219" i="19"/>
  <c r="W1234" i="19"/>
  <c r="W1420" i="19"/>
  <c r="W807" i="19"/>
  <c r="W218" i="19"/>
  <c r="W2545" i="19"/>
  <c r="W1517" i="19"/>
  <c r="W2112" i="19"/>
  <c r="W370" i="19"/>
  <c r="W205" i="19"/>
  <c r="W2165" i="19"/>
  <c r="W1145" i="19"/>
  <c r="W675" i="19"/>
  <c r="W2304" i="19"/>
  <c r="W1157" i="19"/>
  <c r="W524" i="19"/>
  <c r="W353" i="19"/>
  <c r="W1800" i="19"/>
  <c r="W2477" i="19"/>
  <c r="W2210" i="19"/>
  <c r="W2639" i="19"/>
  <c r="W432" i="19"/>
  <c r="W348" i="19"/>
  <c r="W721" i="19"/>
  <c r="W2116" i="19"/>
  <c r="W510" i="19"/>
  <c r="W1414" i="19"/>
  <c r="W833" i="19"/>
  <c r="W1515" i="19"/>
  <c r="W2570" i="19"/>
  <c r="W680" i="19"/>
  <c r="W2187" i="19"/>
  <c r="W1678" i="19"/>
  <c r="W1903" i="19"/>
  <c r="W2027" i="19"/>
  <c r="W562" i="19"/>
  <c r="W2448" i="19"/>
  <c r="W1855" i="19"/>
  <c r="W32" i="19"/>
  <c r="W398" i="19"/>
  <c r="W1772" i="19"/>
  <c r="W1434" i="19"/>
  <c r="W2419" i="19"/>
  <c r="W1336" i="19"/>
  <c r="W1815" i="19"/>
  <c r="W2372" i="19"/>
  <c r="W678" i="19"/>
  <c r="W2388" i="19"/>
  <c r="W1837" i="19"/>
  <c r="W116" i="19"/>
  <c r="W286" i="19"/>
  <c r="W2060" i="19"/>
  <c r="W1462" i="19"/>
  <c r="W1367" i="19"/>
  <c r="W817" i="19"/>
  <c r="W138" i="19"/>
  <c r="W1924" i="19"/>
  <c r="W1083" i="19"/>
  <c r="W1090" i="19"/>
  <c r="W453" i="19"/>
  <c r="W1063" i="19"/>
  <c r="W2497" i="19"/>
  <c r="W262" i="19"/>
  <c r="W1099" i="19"/>
  <c r="W2483" i="19"/>
  <c r="W1553" i="19"/>
  <c r="W19" i="19"/>
  <c r="W418" i="19"/>
  <c r="W2056" i="19"/>
  <c r="W2141" i="19"/>
  <c r="W1220" i="19"/>
  <c r="W1422" i="19"/>
  <c r="W644" i="19"/>
  <c r="W2215" i="19"/>
  <c r="W324" i="19"/>
  <c r="W342" i="19"/>
  <c r="W1535" i="19"/>
  <c r="W1636" i="19"/>
  <c r="W299" i="19"/>
  <c r="W840" i="19"/>
  <c r="W2212" i="19"/>
  <c r="W704" i="19"/>
  <c r="W1354" i="19"/>
  <c r="W105" i="19"/>
  <c r="W806" i="19"/>
  <c r="W424" i="19"/>
  <c r="W2115" i="19"/>
  <c r="W2498" i="19"/>
  <c r="W2281" i="19"/>
  <c r="W172" i="19"/>
  <c r="W2492" i="19"/>
  <c r="W114" i="19"/>
  <c r="W1995" i="19"/>
  <c r="W2432" i="19"/>
  <c r="W1929" i="19"/>
  <c r="W2491" i="19"/>
  <c r="W1667" i="19"/>
  <c r="W2422" i="19"/>
  <c r="W1745" i="19"/>
  <c r="W1883" i="19"/>
  <c r="W1914" i="19"/>
  <c r="W931" i="19"/>
  <c r="W698" i="19"/>
  <c r="W2469" i="19"/>
  <c r="W2417" i="19"/>
  <c r="W2098" i="19"/>
  <c r="W845" i="19"/>
  <c r="W2335" i="19"/>
  <c r="W388" i="19"/>
  <c r="W559" i="19"/>
  <c r="W2126" i="19"/>
  <c r="W1306" i="19"/>
  <c r="W1946" i="19"/>
  <c r="W296" i="19"/>
  <c r="W1695" i="19"/>
  <c r="W192" i="19"/>
  <c r="W2224" i="19"/>
  <c r="W2325" i="19"/>
  <c r="W1684" i="19"/>
  <c r="W1624" i="19"/>
  <c r="W2258" i="19"/>
  <c r="W2571" i="19"/>
  <c r="W1440" i="19"/>
  <c r="W2350" i="19"/>
  <c r="W341" i="19"/>
  <c r="W894" i="19"/>
  <c r="W1071" i="19"/>
  <c r="W1756" i="19"/>
  <c r="W666" i="19"/>
  <c r="W2117" i="19"/>
  <c r="W995" i="19"/>
  <c r="W1012" i="19"/>
  <c r="W2467" i="19"/>
  <c r="W366" i="19"/>
  <c r="W2428" i="19"/>
  <c r="W1861" i="19"/>
  <c r="W1114" i="19"/>
  <c r="W358" i="19"/>
  <c r="W1512" i="19"/>
  <c r="W445" i="19"/>
  <c r="W702" i="19"/>
  <c r="W2567" i="19"/>
  <c r="W1556" i="19"/>
  <c r="W89" i="19"/>
  <c r="W765" i="19"/>
  <c r="W169" i="19"/>
  <c r="W2401" i="19"/>
  <c r="W2609" i="19"/>
  <c r="W1959" i="19"/>
  <c r="W437" i="19"/>
  <c r="W1285" i="19"/>
  <c r="W532" i="19"/>
  <c r="W195" i="19"/>
  <c r="W1972" i="19"/>
  <c r="W811" i="19"/>
  <c r="W1937" i="19"/>
  <c r="W1019" i="19"/>
  <c r="W1584" i="19"/>
  <c r="W95" i="19"/>
  <c r="W2239" i="19"/>
  <c r="W1956" i="19"/>
  <c r="W2607" i="19"/>
  <c r="W150" i="19"/>
  <c r="W563" i="19"/>
  <c r="W1295" i="19"/>
  <c r="W1518" i="19"/>
  <c r="W310" i="19"/>
  <c r="W394" i="19"/>
  <c r="W1912" i="19"/>
  <c r="W2527" i="19"/>
  <c r="W808" i="19"/>
  <c r="W1830" i="19"/>
  <c r="W2424" i="19"/>
  <c r="W1506" i="19"/>
  <c r="W882" i="19"/>
  <c r="W2486" i="19"/>
  <c r="W1653" i="19"/>
  <c r="W937" i="19"/>
  <c r="W2209" i="19"/>
  <c r="W1427" i="19"/>
  <c r="W10" i="19"/>
  <c r="W1254" i="19"/>
  <c r="W1143" i="19"/>
  <c r="W1485" i="19"/>
  <c r="W2108" i="19"/>
  <c r="W1658" i="19"/>
  <c r="W2055" i="19"/>
  <c r="W1085" i="19"/>
  <c r="W2181" i="19"/>
  <c r="W1885" i="19"/>
  <c r="W1781" i="19"/>
  <c r="W1015" i="19"/>
  <c r="W1102" i="19"/>
  <c r="W440" i="19"/>
  <c r="W1406" i="19"/>
  <c r="W26" i="19"/>
  <c r="W842" i="19"/>
  <c r="W176" i="19"/>
  <c r="W56" i="19"/>
  <c r="W1171" i="19"/>
  <c r="W1868" i="19"/>
  <c r="W981" i="19"/>
  <c r="W2053" i="19"/>
  <c r="W1628" i="19"/>
  <c r="W536" i="19"/>
  <c r="W259" i="19"/>
  <c r="W844" i="19"/>
  <c r="W459" i="19"/>
  <c r="W1505" i="19"/>
  <c r="W2256" i="19"/>
  <c r="W465" i="19"/>
  <c r="W2590" i="19"/>
  <c r="W223" i="19"/>
  <c r="W211" i="19"/>
  <c r="W1644" i="19"/>
  <c r="W1409" i="19"/>
  <c r="W2007" i="19"/>
  <c r="W2649" i="19"/>
  <c r="W2617" i="19"/>
  <c r="W2423" i="19"/>
  <c r="W2511" i="19"/>
  <c r="W1670" i="19"/>
  <c r="W2472" i="19"/>
  <c r="W2631" i="19"/>
  <c r="W1108" i="19"/>
  <c r="W1603" i="19"/>
  <c r="W2352" i="19"/>
  <c r="W2375" i="19"/>
  <c r="W964" i="19"/>
  <c r="W1839" i="19"/>
  <c r="W458" i="19"/>
  <c r="W1996" i="19"/>
  <c r="W676" i="19"/>
  <c r="W1877" i="19"/>
  <c r="W1415" i="19"/>
  <c r="W541" i="19"/>
  <c r="W975" i="19"/>
  <c r="W2468" i="19"/>
  <c r="W135" i="19"/>
  <c r="W1863" i="19"/>
  <c r="W589" i="19"/>
  <c r="W1666" i="19"/>
  <c r="W1730" i="19"/>
  <c r="W1547" i="19"/>
  <c r="W2267" i="19"/>
  <c r="W776" i="19"/>
  <c r="W1544" i="19"/>
  <c r="W1304" i="19"/>
  <c r="W2627" i="19"/>
  <c r="W1495" i="19"/>
  <c r="W523" i="19"/>
  <c r="W284" i="19"/>
  <c r="W1435" i="19"/>
  <c r="W1687" i="19"/>
  <c r="W29" i="19"/>
  <c r="W2588" i="19"/>
  <c r="W450" i="19"/>
  <c r="W645" i="19"/>
  <c r="W2602" i="19"/>
  <c r="W2296" i="19"/>
  <c r="W2638" i="19"/>
  <c r="W1314" i="19"/>
  <c r="W1812" i="19"/>
  <c r="W483" i="19"/>
  <c r="W814" i="19"/>
  <c r="W1132" i="19"/>
  <c r="W962" i="19"/>
  <c r="W1216" i="19"/>
  <c r="W2449" i="19"/>
  <c r="W361" i="19"/>
  <c r="W1407" i="19"/>
  <c r="W1922" i="19"/>
  <c r="W2211" i="19"/>
  <c r="W657" i="19"/>
  <c r="W1062" i="19"/>
  <c r="W1969" i="19"/>
  <c r="W13" i="19"/>
  <c r="W1412" i="19"/>
  <c r="W1968" i="19"/>
  <c r="W630" i="19"/>
  <c r="W753" i="19"/>
  <c r="W958" i="19"/>
  <c r="W2287" i="19"/>
  <c r="W1965" i="19"/>
  <c r="W607" i="19"/>
  <c r="W136" i="19"/>
  <c r="W1118" i="19"/>
  <c r="W2177" i="19"/>
  <c r="W1161" i="19"/>
  <c r="W2107" i="19"/>
  <c r="W1997" i="19"/>
  <c r="W70" i="19"/>
  <c r="W949" i="19"/>
  <c r="W1245" i="19"/>
  <c r="W457" i="19"/>
  <c r="W317" i="19"/>
  <c r="W464" i="19"/>
  <c r="W907" i="19"/>
  <c r="W2611" i="19"/>
  <c r="W2114" i="19"/>
  <c r="W764" i="19"/>
  <c r="W48" i="19"/>
  <c r="W1138" i="19"/>
  <c r="W37" i="19"/>
  <c r="W502" i="19"/>
  <c r="W1799" i="19"/>
  <c r="W1443" i="19"/>
  <c r="W1884" i="19"/>
  <c r="W113" i="19"/>
  <c r="W750" i="19"/>
  <c r="W1158" i="19"/>
  <c r="W1951" i="19"/>
  <c r="W1615" i="19"/>
  <c r="W1619" i="19"/>
  <c r="W2354" i="19"/>
  <c r="W2640" i="19"/>
  <c r="W1581" i="19"/>
  <c r="W2242" i="19"/>
  <c r="W966" i="19"/>
  <c r="W921" i="19"/>
  <c r="W153" i="19"/>
  <c r="W53" i="19"/>
  <c r="W6" i="19"/>
  <c r="W203" i="19"/>
  <c r="W1279" i="19"/>
  <c r="W2427" i="19"/>
  <c r="W1573" i="19"/>
  <c r="W1419" i="19"/>
  <c r="W1112" i="19"/>
  <c r="W1845" i="19"/>
  <c r="W2437" i="19"/>
  <c r="W42" i="19"/>
  <c r="W622" i="19"/>
  <c r="W1488" i="19"/>
  <c r="W1827" i="19"/>
  <c r="W908" i="19"/>
  <c r="W2581" i="19"/>
  <c r="W417" i="19"/>
  <c r="W1536" i="19"/>
  <c r="W2543" i="19"/>
  <c r="W179" i="19"/>
  <c r="W2072" i="19"/>
  <c r="W596" i="19"/>
  <c r="W1739" i="19"/>
  <c r="W1728" i="19"/>
  <c r="W1411" i="19"/>
  <c r="W320" i="19"/>
  <c r="W1698" i="19"/>
  <c r="W1659" i="19"/>
  <c r="W843" i="19"/>
  <c r="W1204" i="19"/>
  <c r="W1396" i="19"/>
  <c r="W491" i="19"/>
  <c r="W2241" i="19"/>
  <c r="W2016" i="19"/>
  <c r="W1381" i="19"/>
  <c r="W1522" i="19"/>
  <c r="W41" i="19"/>
  <c r="W1985" i="19"/>
  <c r="W1876" i="19"/>
  <c r="W2616" i="19"/>
  <c r="W2435" i="19"/>
  <c r="W94" i="19"/>
  <c r="W1905" i="19"/>
  <c r="W673" i="19"/>
  <c r="W1850" i="19"/>
  <c r="W2003" i="19"/>
  <c r="W241" i="19"/>
  <c r="W985" i="19"/>
  <c r="W2533" i="19"/>
  <c r="W1669" i="19"/>
  <c r="W974" i="19"/>
  <c r="W1226" i="19"/>
  <c r="W271" i="19"/>
  <c r="W1841" i="19"/>
  <c r="W2341" i="19"/>
  <c r="W1621" i="19"/>
  <c r="W602" i="19"/>
  <c r="W21" i="19"/>
  <c r="W520" i="19"/>
  <c r="W2650" i="19"/>
  <c r="W1677" i="19"/>
  <c r="W1963" i="19"/>
  <c r="W2363" i="19"/>
  <c r="W287" i="19"/>
  <c r="W2303" i="19"/>
  <c r="W1348" i="19"/>
  <c r="W2369" i="19"/>
  <c r="W1577" i="19"/>
  <c r="W1899" i="19"/>
  <c r="W1704" i="19"/>
  <c r="W906" i="19"/>
  <c r="W2083" i="19"/>
  <c r="W1567" i="19"/>
  <c r="W2093" i="19"/>
  <c r="W1184" i="19"/>
  <c r="W1550" i="19"/>
  <c r="W2332" i="19"/>
  <c r="W1887" i="19"/>
  <c r="W2651" i="19"/>
  <c r="W1803" i="19"/>
  <c r="W1712" i="19"/>
  <c r="W1484" i="19"/>
  <c r="W144" i="19"/>
  <c r="W1310" i="19"/>
  <c r="W1428" i="19"/>
  <c r="W1810" i="19"/>
  <c r="W1389" i="19"/>
  <c r="W2328" i="19"/>
  <c r="W749" i="19"/>
  <c r="W1565" i="19"/>
  <c r="W2010" i="19"/>
  <c r="W697" i="19"/>
  <c r="W1482" i="19"/>
  <c r="W927" i="19"/>
  <c r="W1941" i="19"/>
  <c r="W2595" i="19"/>
  <c r="W1866" i="19"/>
  <c r="W1575" i="19"/>
  <c r="W125" i="19"/>
  <c r="W2406" i="19"/>
  <c r="W2124" i="19"/>
  <c r="W344" i="19"/>
  <c r="W1121" i="19"/>
  <c r="W725" i="19"/>
  <c r="W1707" i="19"/>
  <c r="W2298" i="19"/>
  <c r="W1429" i="19"/>
  <c r="W2231" i="19"/>
  <c r="W849" i="19"/>
  <c r="W2201" i="19"/>
  <c r="W682" i="19"/>
  <c r="W1233" i="19"/>
  <c r="W1010" i="19"/>
  <c r="W1816" i="19"/>
  <c r="W75" i="19"/>
  <c r="W756" i="19"/>
  <c r="W1988" i="19"/>
  <c r="W1329" i="19"/>
  <c r="W633" i="19"/>
  <c r="W579" i="19"/>
  <c r="W853" i="19"/>
  <c r="W2119" i="19"/>
  <c r="W1597" i="19"/>
  <c r="W801" i="19"/>
  <c r="W2514" i="19"/>
  <c r="W528" i="19"/>
  <c r="W667" i="19"/>
  <c r="W2092" i="19"/>
  <c r="W246" i="19"/>
  <c r="W624" i="19"/>
  <c r="W745" i="19"/>
  <c r="W2163" i="19"/>
  <c r="W1242" i="19"/>
  <c r="W2453" i="19"/>
  <c r="W572" i="19"/>
  <c r="W1038" i="19"/>
  <c r="W1999" i="19"/>
  <c r="W1499" i="19"/>
  <c r="W2600" i="19"/>
  <c r="W2413" i="19"/>
  <c r="W1738" i="19"/>
  <c r="W1196" i="19"/>
  <c r="W547" i="19"/>
  <c r="W1854" i="19"/>
  <c r="W202" i="19"/>
  <c r="W1273" i="19"/>
  <c r="W1232" i="19"/>
  <c r="W2148" i="19"/>
  <c r="W1776" i="19"/>
  <c r="W1045" i="19"/>
  <c r="W2186" i="19"/>
  <c r="W1763" i="19"/>
  <c r="W2273" i="19"/>
  <c r="W239" i="19"/>
  <c r="W232" i="19"/>
  <c r="W1784" i="19"/>
  <c r="W106" i="19"/>
  <c r="W1274" i="19"/>
  <c r="W1872" i="19"/>
  <c r="W2229" i="19"/>
  <c r="W1479" i="19"/>
  <c r="W2123" i="19"/>
  <c r="W1940" i="19"/>
  <c r="W1949" i="19"/>
  <c r="W2575" i="19"/>
  <c r="W694" i="19"/>
  <c r="W1052" i="19"/>
  <c r="W2396" i="19"/>
  <c r="W1031" i="19"/>
  <c r="W1051" i="19"/>
  <c r="W1458" i="19"/>
  <c r="W553" i="19"/>
  <c r="W2120" i="19"/>
  <c r="W1908" i="19"/>
  <c r="W1858" i="19"/>
  <c r="W197" i="19"/>
  <c r="W837" i="19"/>
  <c r="W1086" i="19"/>
  <c r="W2277" i="19"/>
  <c r="W1363" i="19"/>
  <c r="W1393" i="19"/>
  <c r="W789" i="19"/>
  <c r="W2366" i="19"/>
  <c r="W997" i="19"/>
  <c r="W2414" i="19"/>
  <c r="W1487" i="19"/>
  <c r="W142" i="19"/>
  <c r="W1247" i="19"/>
  <c r="W2479" i="19"/>
  <c r="W1180" i="19"/>
  <c r="W1727" i="19"/>
  <c r="W1958" i="19"/>
  <c r="W566" i="19"/>
  <c r="W824" i="19"/>
  <c r="W1681" i="19"/>
  <c r="W2358" i="19"/>
  <c r="W1034" i="19"/>
  <c r="W67" i="19"/>
  <c r="W1263" i="19"/>
  <c r="W28" i="19"/>
  <c r="W1481" i="19"/>
  <c r="W1605" i="19"/>
  <c r="W1020" i="19"/>
  <c r="W104" i="19"/>
  <c r="W1865" i="19"/>
  <c r="W2389" i="19"/>
  <c r="W891" i="19"/>
  <c r="W121" i="19"/>
  <c r="W14" i="19"/>
  <c r="W2635" i="19"/>
  <c r="W1345" i="19"/>
  <c r="W71" i="19"/>
  <c r="W1013" i="19"/>
  <c r="W2407" i="19"/>
  <c r="W957" i="19"/>
  <c r="W571" i="19"/>
  <c r="W44" i="19"/>
  <c r="W1302" i="19"/>
  <c r="W2221" i="19"/>
  <c r="W2540" i="19"/>
  <c r="W1290" i="19"/>
  <c r="W1627" i="19"/>
  <c r="W1475" i="19"/>
  <c r="W485" i="19"/>
  <c r="W574" i="19"/>
  <c r="W1510" i="19"/>
  <c r="W2192" i="19"/>
  <c r="W1754" i="19"/>
  <c r="W134" i="19"/>
  <c r="W724" i="19"/>
  <c r="W838" i="19"/>
  <c r="W1981" i="19"/>
  <c r="W649" i="19"/>
  <c r="W2572" i="19"/>
  <c r="W2510" i="19"/>
  <c r="W1882" i="19"/>
  <c r="W1442" i="19"/>
  <c r="W2200" i="19"/>
  <c r="W2009" i="19"/>
  <c r="W1176" i="19"/>
  <c r="W431" i="19"/>
  <c r="W822" i="19"/>
  <c r="W988" i="19"/>
  <c r="W706" i="19"/>
  <c r="W1749" i="19"/>
  <c r="W1221" i="19"/>
  <c r="W1986" i="19"/>
  <c r="W2006" i="19"/>
  <c r="W1331" i="19"/>
  <c r="W1852" i="19"/>
  <c r="W1382" i="19"/>
  <c r="W210" i="19"/>
  <c r="W2264" i="19"/>
  <c r="W1459" i="19"/>
  <c r="W85" i="19"/>
  <c r="W2549" i="19"/>
  <c r="W754" i="19"/>
  <c r="W1967" i="19"/>
  <c r="W1007" i="19"/>
  <c r="W2015" i="19"/>
  <c r="W117" i="19"/>
  <c r="W1838" i="19"/>
  <c r="W2594" i="19"/>
  <c r="W972" i="19"/>
  <c r="W2450" i="19"/>
  <c r="W1200" i="19"/>
  <c r="W2090" i="19"/>
  <c r="W1123" i="19"/>
  <c r="W850" i="19"/>
  <c r="W570" i="19"/>
  <c r="W2653" i="19"/>
  <c r="W2556" i="19"/>
  <c r="W444" i="19"/>
  <c r="W1386" i="19"/>
  <c r="W1808" i="19"/>
  <c r="W1926" i="19"/>
  <c r="W1060" i="19"/>
  <c r="W639" i="19"/>
  <c r="W1689" i="19"/>
  <c r="W1028" i="19"/>
  <c r="W1066" i="19"/>
  <c r="W2195" i="19"/>
  <c r="W1170" i="19"/>
  <c r="W855" i="19"/>
  <c r="W250" i="19"/>
  <c r="W677" i="19"/>
  <c r="W1807" i="19"/>
  <c r="W919" i="19"/>
  <c r="W1835" i="19"/>
  <c r="W2084" i="19"/>
  <c r="W2217" i="19"/>
  <c r="W2516" i="19"/>
  <c r="W989" i="19"/>
  <c r="W130" i="19"/>
  <c r="W1167" i="19"/>
  <c r="W99" i="19"/>
  <c r="W1335" i="19"/>
  <c r="W580" i="19"/>
  <c r="W111" i="19"/>
  <c r="W1281" i="19"/>
  <c r="W2391" i="19"/>
  <c r="W2608" i="19"/>
  <c r="W1679" i="19"/>
  <c r="W828" i="19"/>
  <c r="W405" i="19"/>
  <c r="W2151" i="19"/>
  <c r="W1449" i="19"/>
  <c r="W1470" i="19"/>
  <c r="W1005" i="19"/>
  <c r="W1477" i="19"/>
  <c r="W2150" i="19"/>
  <c r="W1022" i="19"/>
  <c r="W1466" i="19"/>
  <c r="W1557" i="19"/>
  <c r="W1897" i="19"/>
  <c r="W1126" i="19"/>
  <c r="W1000" i="19"/>
  <c r="W2293" i="19"/>
  <c r="W593" i="19"/>
  <c r="W383" i="19"/>
  <c r="W912" i="19"/>
  <c r="W1095" i="19"/>
  <c r="W1660" i="19"/>
  <c r="W1080" i="19"/>
  <c r="W253" i="19"/>
  <c r="W91" i="19"/>
  <c r="W1380" i="19"/>
  <c r="W782" i="19"/>
  <c r="W1309" i="19"/>
  <c r="W2461" i="19"/>
  <c r="W283" i="19"/>
  <c r="W617" i="19"/>
  <c r="W1511" i="19"/>
  <c r="W1137" i="19"/>
  <c r="W1742" i="19"/>
  <c r="W1971" i="19"/>
  <c r="W1385" i="19"/>
  <c r="W1341" i="19"/>
  <c r="W2356" i="19"/>
  <c r="W1418" i="19"/>
  <c r="W27" i="19"/>
  <c r="W650" i="19"/>
  <c r="W2095" i="19"/>
  <c r="W9" i="19"/>
  <c r="W2309" i="19"/>
  <c r="W792" i="19"/>
  <c r="W109" i="19"/>
  <c r="W1355" i="19"/>
  <c r="W188" i="19"/>
  <c r="W876" i="19"/>
  <c r="W1600" i="19"/>
  <c r="W2178" i="19"/>
  <c r="W2113" i="19"/>
  <c r="W551" i="19"/>
  <c r="W1315" i="19"/>
  <c r="W2447" i="19"/>
  <c r="W1613" i="19"/>
  <c r="W1057" i="19"/>
  <c r="W970" i="19"/>
  <c r="W473" i="19"/>
  <c r="W1734" i="19"/>
  <c r="W2172" i="19"/>
  <c r="W2647" i="19"/>
  <c r="W2110" i="19"/>
  <c r="W2313" i="19"/>
  <c r="W715" i="19"/>
  <c r="W2320" i="19"/>
  <c r="W786" i="19"/>
  <c r="W821" i="19"/>
  <c r="W404" i="19"/>
  <c r="W118" i="19"/>
  <c r="W1358" i="19"/>
  <c r="W1661" i="19"/>
  <c r="W2160" i="19"/>
  <c r="W2331" i="19"/>
  <c r="W1720" i="19"/>
  <c r="W860" i="19"/>
  <c r="W1520" i="19"/>
  <c r="W616" i="19"/>
  <c r="W959" i="19"/>
  <c r="W925" i="19"/>
  <c r="W1623" i="19"/>
  <c r="W507" i="19"/>
  <c r="W2014" i="19"/>
  <c r="W347" i="19"/>
  <c r="W752" i="19"/>
  <c r="W660" i="19"/>
  <c r="W1349" i="19"/>
  <c r="W2290" i="19"/>
  <c r="W1054" i="19"/>
  <c r="W1131" i="19"/>
  <c r="W594" i="19"/>
  <c r="W1109" i="19"/>
  <c r="W494" i="19"/>
  <c r="W1075" i="19"/>
  <c r="W2536" i="19"/>
  <c r="W863" i="19"/>
  <c r="W439" i="19"/>
  <c r="W1269" i="19"/>
  <c r="W626" i="19"/>
  <c r="W2234" i="19"/>
  <c r="W2266" i="19"/>
  <c r="W2295" i="19"/>
  <c r="W2230" i="19"/>
  <c r="W2474" i="19"/>
  <c r="W2587" i="19"/>
  <c r="W1280" i="19"/>
  <c r="W399" i="19"/>
  <c r="W623" i="19"/>
  <c r="W412" i="19"/>
  <c r="W960" i="19"/>
  <c r="W1370" i="19"/>
  <c r="W2026" i="19"/>
  <c r="W2593" i="19"/>
  <c r="W611" i="19"/>
  <c r="W2436" i="19"/>
  <c r="W2147" i="19"/>
  <c r="W1846" i="19"/>
  <c r="W742" i="19"/>
  <c r="W1764" i="19"/>
  <c r="W2470" i="19"/>
  <c r="W2583" i="19"/>
  <c r="W1103" i="19"/>
  <c r="W2129" i="19"/>
  <c r="W1351" i="19"/>
  <c r="W45" i="19"/>
  <c r="W2033" i="19"/>
  <c r="W2023" i="19"/>
  <c r="W1564" i="19"/>
  <c r="W1258" i="19"/>
  <c r="W2036" i="19"/>
  <c r="W2644" i="19"/>
  <c r="W148" i="19"/>
  <c r="W185" i="19"/>
  <c r="W1657" i="19"/>
  <c r="W1856" i="19"/>
  <c r="W663" i="19"/>
  <c r="W2011" i="19"/>
  <c r="W965" i="19"/>
  <c r="W1155" i="19"/>
  <c r="W1430" i="19"/>
  <c r="W1154" i="19"/>
  <c r="W2297" i="19"/>
  <c r="W80" i="19"/>
  <c r="W2504" i="19"/>
  <c r="W621" i="19"/>
  <c r="W1878" i="19"/>
  <c r="W826" i="19"/>
  <c r="W1526" i="19"/>
  <c r="W1224" i="19"/>
  <c r="W1645" i="19"/>
  <c r="W1410" i="19"/>
  <c r="W1451" i="19"/>
  <c r="W120" i="19"/>
  <c r="W2349" i="19"/>
  <c r="W740" i="19"/>
  <c r="W427" i="19"/>
  <c r="W1448" i="19"/>
  <c r="W1733" i="19"/>
  <c r="W755" i="19"/>
  <c r="W992" i="19"/>
  <c r="W201" i="19"/>
  <c r="W1530" i="19"/>
  <c r="W356" i="19"/>
  <c r="W797" i="19"/>
  <c r="W224" i="19"/>
  <c r="W1127" i="19"/>
  <c r="W332" i="19"/>
  <c r="W1804" i="19"/>
  <c r="W216" i="19"/>
  <c r="W825" i="19"/>
  <c r="W2484" i="19"/>
  <c r="W2086" i="19"/>
  <c r="W2500" i="19"/>
  <c r="W1991" i="19"/>
  <c r="W1053" i="19"/>
  <c r="W603" i="19"/>
  <c r="W1970" i="19"/>
  <c r="W1630" i="19"/>
  <c r="W557" i="19"/>
  <c r="W1213" i="19"/>
  <c r="W408" i="19"/>
  <c r="W2175" i="19"/>
  <c r="W1702" i="19"/>
  <c r="W2243" i="19"/>
  <c r="W917" i="19"/>
  <c r="W1906" i="19"/>
  <c r="W1780" i="19"/>
  <c r="W1173" i="19"/>
  <c r="W1421" i="19"/>
  <c r="W2227" i="19"/>
  <c r="W1214" i="19"/>
  <c r="W230" i="19"/>
  <c r="W1811" i="19"/>
  <c r="W1732" i="19"/>
  <c r="W1519" i="19"/>
  <c r="W2402" i="19"/>
  <c r="W1874" i="19"/>
  <c r="W2541" i="19"/>
  <c r="W335" i="19"/>
  <c r="W255" i="19"/>
  <c r="W1770" i="19"/>
  <c r="W209" i="19"/>
  <c r="W1185" i="19"/>
  <c r="W1786" i="19"/>
  <c r="W2636" i="19"/>
  <c r="W867" i="19"/>
  <c r="W816" i="19"/>
  <c r="W922" i="19"/>
  <c r="W1631" i="19"/>
  <c r="W506" i="19"/>
  <c r="W2103" i="19"/>
  <c r="W575" i="19"/>
  <c r="W2459" i="19"/>
  <c r="W1089" i="19"/>
  <c r="W1392" i="19"/>
  <c r="W1251" i="19"/>
  <c r="W1460" i="19"/>
  <c r="W1014" i="19"/>
  <c r="W2153" i="19"/>
  <c r="W1139" i="19"/>
  <c r="W2382" i="19"/>
  <c r="W2499" i="19"/>
  <c r="W145" i="19"/>
  <c r="W316" i="19"/>
  <c r="W1262" i="19"/>
  <c r="W1604" i="19"/>
  <c r="W1192" i="19"/>
  <c r="W1892" i="19"/>
  <c r="W2054" i="19"/>
  <c r="W2381" i="19"/>
  <c r="W2232" i="19"/>
  <c r="W2179" i="19"/>
  <c r="W2145" i="19"/>
  <c r="W365" i="19"/>
  <c r="W987" i="19"/>
  <c r="W1058" i="19"/>
  <c r="W2443" i="19"/>
  <c r="W2604" i="19"/>
  <c r="W227" i="19"/>
  <c r="W1093" i="19"/>
  <c r="W991" i="19"/>
  <c r="W631" i="19"/>
  <c r="W2222" i="19"/>
  <c r="W392" i="19"/>
  <c r="W1551" i="19"/>
  <c r="W1364" i="19"/>
  <c r="W1601" i="19"/>
  <c r="W229" i="19"/>
  <c r="W2487" i="19"/>
  <c r="W448" i="19"/>
  <c r="W149" i="19"/>
  <c r="W1543" i="19"/>
  <c r="W479" i="19"/>
  <c r="W2169" i="19"/>
  <c r="W2586" i="19"/>
  <c r="W662" i="19"/>
  <c r="W800" i="19"/>
  <c r="W2645" i="19"/>
  <c r="W2471" i="19"/>
  <c r="W2345" i="19"/>
  <c r="W1560" i="19"/>
  <c r="W2355" i="19"/>
  <c r="W2262" i="19"/>
  <c r="W2577" i="19"/>
  <c r="W1283" i="19"/>
  <c r="W628" i="19"/>
  <c r="W780" i="19"/>
  <c r="W2612" i="19"/>
  <c r="W2197" i="19"/>
  <c r="W2245" i="19"/>
  <c r="W2547" i="19"/>
  <c r="W794" i="19"/>
  <c r="W2037" i="19"/>
  <c r="W1918" i="19"/>
  <c r="W364" i="19"/>
  <c r="W403" i="19"/>
  <c r="W345" i="19"/>
  <c r="W164" i="19"/>
  <c r="W2041" i="19"/>
  <c r="W2619" i="19"/>
  <c r="W1532" i="19"/>
  <c r="W1261" i="19"/>
  <c r="W866" i="19"/>
  <c r="W1825" i="19"/>
  <c r="W699" i="19"/>
  <c r="W561" i="19"/>
  <c r="W1820" i="19"/>
  <c r="W2288" i="19"/>
  <c r="W46" i="19"/>
  <c r="W2429" i="19"/>
  <c r="W2278" i="19"/>
  <c r="W647" i="19"/>
  <c r="W2623" i="19"/>
  <c r="W1008" i="19"/>
  <c r="W726" i="19"/>
  <c r="W11" i="19"/>
  <c r="W1148" i="19"/>
  <c r="W642" i="19"/>
  <c r="W941" i="19"/>
  <c r="W1218" i="19"/>
  <c r="W1793" i="19"/>
  <c r="W1814" i="19"/>
  <c r="W2463" i="19"/>
  <c r="W672" i="19"/>
  <c r="W1133" i="19"/>
  <c r="W883" i="19"/>
  <c r="W2002" i="19"/>
  <c r="W2261" i="19"/>
  <c r="W2156" i="19"/>
  <c r="W994" i="19"/>
  <c r="W2271" i="19"/>
  <c r="W268" i="19"/>
  <c r="W1115" i="19"/>
  <c r="W2005" i="19"/>
  <c r="W265" i="19"/>
  <c r="W2508" i="19"/>
  <c r="W714" i="19"/>
  <c r="W1933" i="19"/>
  <c r="W198" i="19"/>
  <c r="W193" i="19"/>
  <c r="W484" i="19"/>
  <c r="W1136" i="19"/>
  <c r="W530" i="19"/>
  <c r="W2347" i="19"/>
  <c r="W2633" i="19"/>
  <c r="W243" i="19"/>
  <c r="W1325" i="19"/>
  <c r="W2213" i="19"/>
  <c r="W452" i="19"/>
  <c r="W1715" i="19"/>
  <c r="W2383" i="19"/>
  <c r="W501" i="19"/>
  <c r="W2269" i="19"/>
  <c r="W1647" i="19"/>
  <c r="W1047" i="19"/>
  <c r="W1589" i="19"/>
  <c r="W719" i="19"/>
  <c r="W1087" i="19"/>
  <c r="W161" i="19"/>
  <c r="W1100" i="19"/>
  <c r="W1328" i="19"/>
  <c r="W2040" i="19"/>
  <c r="W436" i="19"/>
  <c r="W1189" i="19"/>
  <c r="W1040" i="19"/>
  <c r="W1629" i="19"/>
  <c r="W101" i="19"/>
  <c r="W1147" i="19"/>
  <c r="W487" i="19"/>
  <c r="W1035" i="19"/>
  <c r="W1437" i="19"/>
  <c r="W108" i="19"/>
  <c r="W2411" i="19"/>
  <c r="W2628" i="19"/>
  <c r="W309" i="19"/>
  <c r="W2082" i="19"/>
  <c r="W1438" i="19"/>
  <c r="W1187" i="19"/>
  <c r="W2019" i="19"/>
  <c r="W889" i="19"/>
  <c r="W1714" i="19"/>
  <c r="W1580" i="19"/>
  <c r="W217" i="19"/>
  <c r="W337" i="19"/>
  <c r="W890" i="19"/>
  <c r="W426" i="19"/>
  <c r="W2130" i="19"/>
  <c r="W503" i="19"/>
  <c r="W705" i="19"/>
  <c r="W280" i="19"/>
  <c r="W2017" i="19"/>
  <c r="W935" i="19"/>
  <c r="W2102" i="19"/>
  <c r="W123" i="19"/>
  <c r="W2131" i="19"/>
  <c r="W586" i="19"/>
  <c r="W1744" i="19"/>
  <c r="W2501" i="19"/>
  <c r="W1706" i="19"/>
  <c r="W2569" i="19"/>
  <c r="W707" i="19"/>
  <c r="W1798" i="19"/>
  <c r="W504" i="19"/>
  <c r="W2279" i="19"/>
  <c r="W1164" i="19"/>
  <c r="W313" i="19"/>
  <c r="W1836" i="19"/>
  <c r="W346" i="19"/>
  <c r="W2357" i="19"/>
  <c r="W823" i="19"/>
  <c r="W1558" i="19"/>
  <c r="W15" i="19"/>
  <c r="W1179" i="19"/>
  <c r="W2089" i="19"/>
  <c r="W2069" i="19"/>
  <c r="W1128" i="19"/>
  <c r="W665" i="19"/>
  <c r="W282" i="19"/>
  <c r="W1246" i="19"/>
  <c r="W1703" i="19"/>
  <c r="W1648" i="19"/>
  <c r="W2047" i="19"/>
  <c r="W803" i="19"/>
  <c r="W514" i="19"/>
  <c r="W1984" i="19"/>
  <c r="W1664" i="19"/>
  <c r="W449" i="19"/>
  <c r="W1024" i="19"/>
  <c r="W980" i="19"/>
  <c r="W1740" i="19"/>
  <c r="W124" i="19"/>
  <c r="W977" i="19"/>
  <c r="W58" i="19"/>
  <c r="W1125" i="19"/>
  <c r="W692" i="19"/>
  <c r="W1595" i="19"/>
  <c r="W1284" i="19"/>
  <c r="W1372" i="19"/>
  <c r="W1441" i="19"/>
  <c r="W2553" i="19"/>
  <c r="W535" i="19"/>
  <c r="W1398" i="19"/>
  <c r="W751" i="19"/>
  <c r="W1652" i="19"/>
  <c r="W2300" i="19"/>
  <c r="W2000" i="19"/>
  <c r="W1612" i="19"/>
  <c r="W1023" i="19"/>
  <c r="W2359" i="19"/>
  <c r="W2052" i="19"/>
  <c r="W443" i="19"/>
  <c r="W767" i="19"/>
  <c r="W2509" i="19"/>
  <c r="W713" i="19"/>
  <c r="W1404" i="19"/>
  <c r="W319" i="19"/>
  <c r="W945" i="19"/>
  <c r="W1622" i="19"/>
  <c r="W1540" i="19"/>
  <c r="W1686" i="19"/>
  <c r="W1424" i="19"/>
  <c r="W1769" i="19"/>
  <c r="W1276" i="19"/>
  <c r="W1493" i="19"/>
  <c r="W1909" i="19"/>
  <c r="W245" i="19"/>
  <c r="W963" i="19"/>
  <c r="W2291" i="19"/>
  <c r="W311" i="19"/>
  <c r="W830" i="19"/>
  <c r="W839" i="19"/>
  <c r="W2513" i="19"/>
  <c r="W1041" i="19"/>
  <c r="W78" i="19"/>
  <c r="W2" i="19"/>
  <c r="W950" i="19"/>
  <c r="W2394" i="19"/>
  <c r="W2013" i="19"/>
  <c r="W1902" i="19"/>
  <c r="W1813" i="19"/>
  <c r="W599" i="19"/>
  <c r="W382" i="19"/>
  <c r="W256" i="19"/>
  <c r="W1362" i="19"/>
  <c r="W2088" i="19"/>
  <c r="W2610" i="19"/>
  <c r="W888" i="19"/>
  <c r="W430" i="19"/>
  <c r="W103" i="19"/>
  <c r="W279" i="19"/>
  <c r="W1159" i="19"/>
  <c r="W2399" i="19"/>
  <c r="W2416" i="19"/>
  <c r="W799" i="19"/>
  <c r="W2164" i="19"/>
  <c r="W2184" i="19"/>
  <c r="W23" i="19"/>
  <c r="W52" i="19"/>
  <c r="W228" i="19"/>
  <c r="W1633" i="19"/>
  <c r="W355" i="19"/>
  <c r="W848" i="19"/>
  <c r="W1416" i="19"/>
  <c r="W2012" i="19"/>
  <c r="W2062" i="19"/>
  <c r="W1602" i="19"/>
  <c r="W653" i="19"/>
  <c r="W1321" i="19"/>
  <c r="W2548" i="19"/>
  <c r="W1879" i="19"/>
  <c r="W1529" i="19"/>
  <c r="W609" i="19"/>
  <c r="W8" i="19"/>
  <c r="W2348" i="19"/>
  <c r="W1270" i="19"/>
  <c r="W206" i="19"/>
  <c r="W2430" i="19"/>
  <c r="W893" i="19"/>
  <c r="W1061" i="19"/>
  <c r="W2122" i="19"/>
  <c r="W498" i="19"/>
  <c r="W2190" i="19"/>
  <c r="W1731" i="19"/>
  <c r="W1893" i="19"/>
  <c r="W1152" i="19"/>
  <c r="W601" i="19"/>
  <c r="W841" i="19"/>
  <c r="W77" i="19"/>
  <c r="W1048" i="19"/>
  <c r="W50" i="19"/>
  <c r="W1467" i="19"/>
  <c r="W537" i="19"/>
  <c r="W2475" i="19"/>
  <c r="W585" i="19"/>
  <c r="W2446" i="19"/>
  <c r="W2050" i="19"/>
  <c r="W736" i="19"/>
  <c r="W1346" i="19"/>
  <c r="W2434" i="19"/>
  <c r="W567" i="19"/>
  <c r="W952" i="19"/>
  <c r="W1910" i="19"/>
  <c r="W1068" i="19"/>
  <c r="W864" i="19"/>
  <c r="W735" i="19"/>
  <c r="W1665" i="19"/>
  <c r="W1266" i="19"/>
  <c r="W1160" i="19"/>
  <c r="W351" i="19"/>
  <c r="W1683" i="19"/>
  <c r="W1840" i="19"/>
  <c r="W2067" i="19"/>
  <c r="W1610" i="19"/>
  <c r="W2249" i="19"/>
  <c r="W785" i="19"/>
  <c r="W83" i="19"/>
  <c r="W1230" i="19"/>
  <c r="W656" i="19"/>
  <c r="W2294" i="19"/>
  <c r="W670" i="19"/>
  <c r="W1711" i="19"/>
  <c r="W2255" i="19"/>
  <c r="W1390" i="19"/>
  <c r="W2408" i="19"/>
  <c r="W141" i="19"/>
  <c r="W1104" i="19"/>
  <c r="W700" i="19"/>
  <c r="W1308" i="19"/>
  <c r="W1795" i="19"/>
  <c r="W936" i="19"/>
  <c r="W376" i="19"/>
  <c r="W1572" i="19"/>
  <c r="W1197" i="19"/>
  <c r="W368" i="19"/>
  <c r="W2460" i="19"/>
  <c r="W1049" i="19"/>
  <c r="W66" i="19"/>
  <c r="W297" i="19"/>
  <c r="W2183" i="19"/>
  <c r="W2464" i="19"/>
  <c r="W1199" i="19"/>
  <c r="W1752" i="19"/>
  <c r="W2154" i="19"/>
  <c r="W2339" i="19"/>
  <c r="W2031" i="19"/>
  <c r="W938" i="19"/>
  <c r="W1788" i="19"/>
  <c r="W914" i="19"/>
  <c r="W2646" i="19"/>
  <c r="W538" i="19"/>
  <c r="W1987" i="19"/>
  <c r="W1546" i="19"/>
  <c r="W247" i="19"/>
  <c r="W2598" i="19"/>
  <c r="W913" i="19"/>
  <c r="W1722" i="19"/>
  <c r="W1746" i="19"/>
  <c r="W1672" i="19"/>
  <c r="W266" i="19"/>
  <c r="W1106" i="19"/>
  <c r="W500" i="19"/>
  <c r="W2367" i="19"/>
  <c r="W2106" i="19"/>
  <c r="W904" i="19"/>
  <c r="W612" i="19"/>
  <c r="W1919" i="19"/>
  <c r="W2080" i="19"/>
  <c r="W1609" i="19"/>
  <c r="W2135" i="19"/>
  <c r="W1685" i="19"/>
  <c r="W162" i="19"/>
  <c r="W668" i="19"/>
  <c r="W2045" i="19"/>
  <c r="W854" i="19"/>
  <c r="W2260" i="19"/>
  <c r="W1368" i="19"/>
  <c r="W289" i="19"/>
  <c r="W655" i="19"/>
  <c r="W74" i="19"/>
  <c r="W441" i="19"/>
  <c r="W84" i="19"/>
  <c r="W918" i="19"/>
  <c r="W809" i="19"/>
  <c r="W2405" i="19"/>
  <c r="W1974" i="19"/>
  <c r="W2030" i="19"/>
  <c r="W1286" i="19"/>
  <c r="W1693" i="19"/>
  <c r="W872" i="19"/>
  <c r="W2274" i="19"/>
  <c r="W2008" i="19"/>
  <c r="W1942" i="19"/>
  <c r="W2625" i="19"/>
  <c r="W336" i="19"/>
  <c r="W90" i="19"/>
  <c r="W815" i="19"/>
  <c r="W2191" i="19"/>
  <c r="W1379" i="19"/>
  <c r="W1074" i="19"/>
  <c r="W1229" i="19"/>
  <c r="W1464" i="19"/>
  <c r="W2493" i="19"/>
  <c r="W2091" i="19"/>
  <c r="W2146" i="19"/>
  <c r="W1901" i="19"/>
  <c r="W2524" i="19"/>
  <c r="W2043" i="19"/>
  <c r="W517" i="19"/>
  <c r="W401" i="19"/>
  <c r="W1528" i="19"/>
  <c r="W554" i="19"/>
  <c r="W1857" i="19"/>
  <c r="W73" i="19"/>
  <c r="W1006" i="19"/>
  <c r="G2268" i="19" l="1"/>
  <c r="G2323" i="19"/>
  <c r="G2454" i="19"/>
  <c r="G1832" i="19"/>
  <c r="G1864" i="19"/>
  <c r="G2198" i="19"/>
  <c r="G2003" i="19"/>
  <c r="G530" i="19"/>
  <c r="G1737" i="19"/>
  <c r="G1512" i="19"/>
  <c r="G1441" i="19"/>
  <c r="G1665" i="19"/>
  <c r="G1212" i="19"/>
  <c r="G1651" i="19"/>
  <c r="G2170" i="19"/>
  <c r="G2253" i="19"/>
  <c r="G945" i="19"/>
  <c r="G1424" i="19"/>
  <c r="G803" i="19"/>
  <c r="G1798" i="19"/>
  <c r="G2298" i="19"/>
  <c r="G1094" i="19"/>
  <c r="G1887" i="19"/>
  <c r="G1682" i="19"/>
  <c r="G1236" i="19"/>
  <c r="G1218" i="19"/>
  <c r="G2192" i="19"/>
  <c r="G2322" i="19"/>
  <c r="G1847" i="19"/>
  <c r="G531" i="19"/>
  <c r="G773" i="19"/>
  <c r="G917" i="19"/>
  <c r="G934" i="19"/>
  <c r="G485" i="19"/>
  <c r="G688" i="19"/>
  <c r="G2262" i="19"/>
  <c r="G1799" i="19"/>
  <c r="G2286" i="19"/>
  <c r="G1707" i="19"/>
  <c r="G1723" i="19"/>
  <c r="G849" i="19"/>
  <c r="G1844" i="19"/>
  <c r="G1709" i="19"/>
  <c r="G1044" i="19"/>
  <c r="G1148" i="19"/>
  <c r="G662" i="19"/>
  <c r="D203" i="23"/>
  <c r="G1259" i="19"/>
  <c r="R1044" i="19"/>
  <c r="V1044" i="19" s="1"/>
  <c r="G1431" i="19"/>
  <c r="G536" i="19"/>
  <c r="G1439" i="19"/>
  <c r="G1442" i="19"/>
  <c r="G1962" i="19"/>
  <c r="G2204" i="19"/>
  <c r="G554" i="19"/>
  <c r="G2274" i="19"/>
  <c r="G1797" i="19"/>
  <c r="G1557" i="19"/>
  <c r="G1574" i="19"/>
  <c r="G1821" i="19"/>
  <c r="G1701" i="19"/>
  <c r="G1411" i="19"/>
  <c r="G1577" i="19"/>
  <c r="G708" i="19"/>
  <c r="G1533" i="19"/>
  <c r="G1952" i="19"/>
  <c r="G1659" i="19"/>
  <c r="J13" i="16"/>
  <c r="G2287" i="19"/>
  <c r="G1066" i="19"/>
  <c r="G2183" i="19"/>
  <c r="G2304" i="19"/>
  <c r="N40" i="16"/>
  <c r="G1515" i="19"/>
  <c r="G2281" i="19"/>
  <c r="G1803" i="19"/>
  <c r="G1594" i="19"/>
  <c r="G2556" i="19"/>
  <c r="G2616" i="19"/>
  <c r="G1243" i="19"/>
  <c r="G1967" i="19"/>
  <c r="G2084" i="19"/>
  <c r="G1002" i="19"/>
  <c r="G1361" i="19"/>
  <c r="G826" i="19"/>
  <c r="O34" i="8"/>
  <c r="H44" i="7"/>
  <c r="H48" i="7" s="1"/>
  <c r="G1291" i="19"/>
  <c r="G787" i="19"/>
  <c r="G1211" i="19"/>
  <c r="G1125" i="19"/>
  <c r="L48" i="14"/>
  <c r="E2759" i="23" s="1"/>
  <c r="O45" i="16"/>
  <c r="G1680" i="19"/>
  <c r="G36" i="28"/>
  <c r="G1321" i="19"/>
  <c r="G948" i="19"/>
  <c r="G1714" i="19"/>
  <c r="H17" i="16"/>
  <c r="G529" i="19"/>
  <c r="G2067" i="19"/>
  <c r="G791" i="19"/>
  <c r="G2179" i="19"/>
  <c r="G2158" i="19"/>
  <c r="G2046" i="19"/>
  <c r="G1824" i="19"/>
  <c r="G1413" i="19"/>
  <c r="G836" i="19"/>
  <c r="G703" i="19"/>
  <c r="G1127" i="19"/>
  <c r="G939" i="19"/>
  <c r="O74" i="16"/>
  <c r="G2544" i="19"/>
  <c r="G2391" i="19"/>
  <c r="G224" i="19"/>
  <c r="V34" i="19"/>
  <c r="G34" i="19" s="1"/>
  <c r="G2310" i="19"/>
  <c r="G1822" i="19"/>
  <c r="G1666" i="19"/>
  <c r="G2146" i="19"/>
  <c r="G1385" i="19"/>
  <c r="G2615" i="19"/>
  <c r="G566" i="19"/>
  <c r="G1217" i="19"/>
  <c r="G645" i="19"/>
  <c r="G1007" i="19"/>
  <c r="F80" i="17"/>
  <c r="D1091" i="23" s="1"/>
  <c r="G1307" i="19"/>
  <c r="G926" i="19"/>
  <c r="G2246" i="19"/>
  <c r="G1600" i="19"/>
  <c r="G1826" i="19"/>
  <c r="G1365" i="19"/>
  <c r="G2279" i="19"/>
  <c r="O31" i="8"/>
  <c r="G1879" i="19"/>
  <c r="G1861" i="19"/>
  <c r="J33" i="8"/>
  <c r="J573" i="19"/>
  <c r="G573" i="19" s="1"/>
  <c r="R573" i="19"/>
  <c r="V573" i="19" s="1"/>
  <c r="D268" i="23"/>
  <c r="R10" i="10"/>
  <c r="G1688" i="19"/>
  <c r="G1235" i="19"/>
  <c r="G1192" i="19"/>
  <c r="G122" i="19"/>
  <c r="G2186" i="19"/>
  <c r="G1535" i="19"/>
  <c r="G1369" i="19"/>
  <c r="G1561" i="19"/>
  <c r="G1224" i="19"/>
  <c r="G844" i="19"/>
  <c r="G1143" i="19"/>
  <c r="E661" i="23"/>
  <c r="O22" i="28"/>
  <c r="G1433" i="19"/>
  <c r="G893" i="19"/>
  <c r="G544" i="19"/>
  <c r="G2097" i="19"/>
  <c r="G2155" i="19"/>
  <c r="G629" i="19"/>
  <c r="G1671" i="19"/>
  <c r="G1653" i="19"/>
  <c r="G672" i="19"/>
  <c r="G559" i="19"/>
  <c r="G824" i="19"/>
  <c r="G1364" i="19"/>
  <c r="O16" i="16"/>
  <c r="M44" i="15"/>
  <c r="D304" i="23"/>
  <c r="R46" i="10"/>
  <c r="J46" i="10"/>
  <c r="G1401" i="19"/>
  <c r="G2456" i="19"/>
  <c r="G2153" i="19"/>
  <c r="E2829" i="23"/>
  <c r="O8" i="16"/>
  <c r="G1100" i="19"/>
  <c r="G1149" i="19"/>
  <c r="O26" i="16"/>
  <c r="M51" i="7"/>
  <c r="O33" i="8"/>
  <c r="G1827" i="19"/>
  <c r="G1807" i="19"/>
  <c r="G2082" i="19"/>
  <c r="J47" i="16"/>
  <c r="G776" i="19"/>
  <c r="G2294" i="19"/>
  <c r="G2477" i="19"/>
  <c r="G2312" i="19"/>
  <c r="G951" i="19"/>
  <c r="G707" i="19"/>
  <c r="G2106" i="19"/>
  <c r="E2411" i="23"/>
  <c r="O29" i="10"/>
  <c r="G870" i="19"/>
  <c r="G1976" i="19"/>
  <c r="J37" i="10"/>
  <c r="G509" i="19"/>
  <c r="G1710" i="19"/>
  <c r="G2083" i="19"/>
  <c r="E2833" i="23"/>
  <c r="O13" i="16"/>
  <c r="G675" i="19"/>
  <c r="R25" i="10"/>
  <c r="J25" i="10"/>
  <c r="E2521" i="22"/>
  <c r="G1964" i="19"/>
  <c r="G1517" i="19"/>
  <c r="G1880" i="19"/>
  <c r="G879" i="19"/>
  <c r="G1384" i="19"/>
  <c r="G1852" i="19"/>
  <c r="G1272" i="19"/>
  <c r="G1998" i="19"/>
  <c r="G1092" i="19"/>
  <c r="G2277" i="19"/>
  <c r="G2264" i="19"/>
  <c r="O41" i="10"/>
  <c r="G2145" i="19"/>
  <c r="G2284" i="19"/>
  <c r="O63" i="16"/>
  <c r="E2323" i="23"/>
  <c r="O35" i="9"/>
  <c r="G488" i="19"/>
  <c r="G638" i="19"/>
  <c r="G2457" i="19"/>
  <c r="G2366" i="19"/>
  <c r="G991" i="19"/>
  <c r="G2472" i="19"/>
  <c r="G1848" i="19"/>
  <c r="G1214" i="19"/>
  <c r="G2452" i="19"/>
  <c r="G1835" i="19"/>
  <c r="G2064" i="19"/>
  <c r="G2078" i="19"/>
  <c r="G2289" i="19"/>
  <c r="G2159" i="19"/>
  <c r="G804" i="19"/>
  <c r="G1510" i="19"/>
  <c r="G980" i="19"/>
  <c r="G1981" i="19"/>
  <c r="G2561" i="19"/>
  <c r="G978" i="19"/>
  <c r="G679" i="19"/>
  <c r="I10" i="17"/>
  <c r="G1189" i="19"/>
  <c r="O35" i="5"/>
  <c r="O32" i="5"/>
  <c r="G1548" i="19"/>
  <c r="G1946" i="19"/>
  <c r="G982" i="19"/>
  <c r="G979" i="19"/>
  <c r="G2177" i="19"/>
  <c r="R14" i="15"/>
  <c r="O35" i="10"/>
  <c r="O31" i="10"/>
  <c r="J1039" i="19"/>
  <c r="G1039" i="19" s="1"/>
  <c r="R1039" i="19"/>
  <c r="V1039" i="19" s="1"/>
  <c r="G1294" i="19"/>
  <c r="G556" i="19"/>
  <c r="J50" i="16"/>
  <c r="E2965" i="23"/>
  <c r="N10" i="17"/>
  <c r="G1115" i="19"/>
  <c r="G2144" i="19"/>
  <c r="G1141" i="19"/>
  <c r="G2423" i="19"/>
  <c r="J34" i="5"/>
  <c r="G1694" i="19"/>
  <c r="G2184" i="19"/>
  <c r="G1960" i="19"/>
  <c r="G1980" i="19"/>
  <c r="O37" i="10"/>
  <c r="G1585" i="19"/>
  <c r="G604" i="19"/>
  <c r="G1983" i="19"/>
  <c r="G1285" i="19"/>
  <c r="M57" i="15"/>
  <c r="G1098" i="19"/>
  <c r="G1137" i="19"/>
  <c r="G1538" i="19"/>
  <c r="G643" i="19"/>
  <c r="G1871" i="19"/>
  <c r="G927" i="19"/>
  <c r="O31" i="5"/>
  <c r="G924" i="19"/>
  <c r="D804" i="23"/>
  <c r="J65" i="28"/>
  <c r="O47" i="16"/>
  <c r="G1446" i="19"/>
  <c r="J726" i="19"/>
  <c r="R726" i="19"/>
  <c r="V726" i="19" s="1"/>
  <c r="J735" i="19"/>
  <c r="G735" i="19" s="1"/>
  <c r="R735" i="19"/>
  <c r="V735" i="19" s="1"/>
  <c r="G2313" i="19"/>
  <c r="G1265" i="19"/>
  <c r="G2101" i="19"/>
  <c r="G2245" i="19"/>
  <c r="D2942" i="23"/>
  <c r="J74" i="16"/>
  <c r="G704" i="19"/>
  <c r="G538" i="19"/>
  <c r="G1103" i="19"/>
  <c r="G719" i="19"/>
  <c r="G541" i="19"/>
  <c r="G1745" i="19"/>
  <c r="J35" i="9"/>
  <c r="G1656" i="19"/>
  <c r="G2455" i="19"/>
  <c r="G2051" i="19"/>
  <c r="E2325" i="23"/>
  <c r="O37" i="9"/>
  <c r="D276" i="23"/>
  <c r="J18" i="10"/>
  <c r="G726" i="19"/>
  <c r="G2193" i="19"/>
  <c r="G2324" i="19"/>
  <c r="G2301" i="19"/>
  <c r="G1817" i="19"/>
  <c r="G2276" i="19"/>
  <c r="G1994" i="19"/>
  <c r="G1703" i="19"/>
  <c r="G2105" i="19"/>
  <c r="G1105" i="19"/>
  <c r="G1669" i="19"/>
  <c r="G1263" i="19"/>
  <c r="G1850" i="19"/>
  <c r="G1270" i="19"/>
  <c r="G1520" i="19"/>
  <c r="G1597" i="19"/>
  <c r="M74" i="28"/>
  <c r="G1121" i="19"/>
  <c r="G2066" i="19"/>
  <c r="G1809" i="19"/>
  <c r="O66" i="16"/>
  <c r="G1544" i="19"/>
  <c r="G1955" i="19"/>
  <c r="N9" i="17"/>
  <c r="O51" i="16"/>
  <c r="G696" i="19"/>
  <c r="D290" i="23"/>
  <c r="J32" i="10"/>
  <c r="T32" i="10"/>
  <c r="R32" i="10"/>
  <c r="G1071" i="19"/>
  <c r="G2560" i="19"/>
  <c r="G1738" i="19"/>
  <c r="G1838" i="19"/>
  <c r="G1810" i="19"/>
  <c r="G1834" i="19"/>
  <c r="G1269" i="19"/>
  <c r="G1013" i="19"/>
  <c r="G1860" i="19"/>
  <c r="G53" i="2"/>
  <c r="D1353" i="23" s="1"/>
  <c r="M51" i="13"/>
  <c r="G1414" i="19"/>
  <c r="G1942" i="19"/>
  <c r="I6" i="28"/>
  <c r="D645" i="23" s="1"/>
  <c r="G737" i="19"/>
  <c r="E2506" i="23"/>
  <c r="O30" i="11"/>
  <c r="I19" i="17"/>
  <c r="G627" i="19"/>
  <c r="G807" i="19"/>
  <c r="G48" i="2"/>
  <c r="D1348" i="23" s="1"/>
  <c r="G1286" i="19"/>
  <c r="J45" i="16"/>
  <c r="G1554" i="19"/>
  <c r="G1274" i="19"/>
  <c r="G1830" i="19"/>
  <c r="G2609" i="19"/>
  <c r="G997" i="19"/>
  <c r="G1241" i="19"/>
  <c r="G1956" i="19"/>
  <c r="G2052" i="19"/>
  <c r="I42" i="12"/>
  <c r="D2612" i="23" s="1"/>
  <c r="O36" i="10"/>
  <c r="O41" i="5"/>
  <c r="G2575" i="19"/>
  <c r="E2318" i="23"/>
  <c r="O30" i="9"/>
  <c r="J63" i="16"/>
  <c r="G1870" i="19"/>
  <c r="G476" i="19"/>
  <c r="G2195" i="19"/>
  <c r="G2565" i="19"/>
  <c r="G1717" i="19"/>
  <c r="G896" i="19"/>
  <c r="G80" i="17"/>
  <c r="G2203" i="19"/>
  <c r="O34" i="5"/>
  <c r="O36" i="5"/>
  <c r="G1712" i="19"/>
  <c r="G1999" i="19"/>
  <c r="G1537" i="19"/>
  <c r="G1370" i="19"/>
  <c r="G1514" i="19"/>
  <c r="G1657" i="19"/>
  <c r="G1239" i="19"/>
  <c r="G1995" i="19"/>
  <c r="G2295" i="19"/>
  <c r="G1078" i="19"/>
  <c r="G2172" i="19"/>
  <c r="G985" i="19"/>
  <c r="G2091" i="19"/>
  <c r="G1138" i="19"/>
  <c r="G1975" i="19"/>
  <c r="G969" i="19"/>
  <c r="G490" i="19"/>
  <c r="G2088" i="19"/>
  <c r="G1152" i="19"/>
  <c r="G2181" i="19"/>
  <c r="G785" i="19"/>
  <c r="G2249" i="19"/>
  <c r="G2247" i="19"/>
  <c r="J33" i="19"/>
  <c r="G33" i="19" s="1"/>
  <c r="R33" i="19"/>
  <c r="V33" i="19" s="1"/>
  <c r="D365" i="23"/>
  <c r="T13" i="12"/>
  <c r="R13" i="12"/>
  <c r="J13" i="12"/>
  <c r="J36" i="10"/>
  <c r="G995" i="19"/>
  <c r="O37" i="16"/>
  <c r="G1877" i="19"/>
  <c r="E2919" i="23"/>
  <c r="O50" i="16"/>
  <c r="G1047" i="19"/>
  <c r="M73" i="28"/>
  <c r="G2566" i="19"/>
  <c r="G2315" i="19"/>
  <c r="G2176" i="19"/>
  <c r="G2292" i="19"/>
  <c r="G1387" i="19"/>
  <c r="G1865" i="19"/>
  <c r="G1010" i="19"/>
  <c r="G2202" i="19"/>
  <c r="G513" i="19"/>
  <c r="G177" i="19"/>
  <c r="G1970" i="19"/>
  <c r="O42" i="16"/>
  <c r="G783" i="19"/>
  <c r="G2255" i="19"/>
  <c r="T22" i="10"/>
  <c r="J22" i="10"/>
  <c r="J545" i="19"/>
  <c r="G545" i="19" s="1"/>
  <c r="R545" i="19"/>
  <c r="V545" i="19" s="1"/>
  <c r="G2608" i="19"/>
  <c r="G1389" i="19"/>
  <c r="G2314" i="19"/>
  <c r="G1851" i="19"/>
  <c r="G2248" i="19"/>
  <c r="G2169" i="19"/>
  <c r="G1882" i="19"/>
  <c r="G1139" i="19"/>
  <c r="G1292" i="19"/>
  <c r="G1681" i="19"/>
  <c r="G1800" i="19"/>
  <c r="G569" i="19"/>
  <c r="G1412" i="19"/>
  <c r="G827" i="19"/>
  <c r="G2000" i="19"/>
  <c r="G2160" i="19"/>
  <c r="G1727" i="19"/>
  <c r="G1831" i="19"/>
  <c r="G1135" i="19"/>
  <c r="G1516" i="19"/>
  <c r="G990" i="19"/>
  <c r="G818" i="19"/>
  <c r="G846" i="19"/>
  <c r="G973" i="19"/>
  <c r="G977" i="19"/>
  <c r="G944" i="19"/>
  <c r="P52" i="4"/>
  <c r="D1851" i="23" s="1"/>
  <c r="G2196" i="19"/>
  <c r="G494" i="19"/>
  <c r="D241" i="23"/>
  <c r="T30" i="9"/>
  <c r="J30" i="9"/>
  <c r="R30" i="9"/>
  <c r="O33" i="5"/>
  <c r="J2221" i="19"/>
  <c r="R2221" i="19"/>
  <c r="D2877" i="23"/>
  <c r="J61" i="16"/>
  <c r="I61" i="16"/>
  <c r="D2930" i="23" s="1"/>
  <c r="J1167" i="19"/>
  <c r="R1167" i="19"/>
  <c r="V1167" i="19" s="1"/>
  <c r="R1933" i="19"/>
  <c r="V1933" i="19" s="1"/>
  <c r="J1933" i="19"/>
  <c r="J1484" i="19"/>
  <c r="R1484" i="19"/>
  <c r="V1484" i="19" s="1"/>
  <c r="N44" i="10"/>
  <c r="E2410" i="23"/>
  <c r="E2980" i="23"/>
  <c r="J12" i="18"/>
  <c r="D2655" i="23"/>
  <c r="I38" i="13"/>
  <c r="D2702" i="23" s="1"/>
  <c r="T38" i="13"/>
  <c r="E2909" i="23"/>
  <c r="N43" i="16"/>
  <c r="G1957" i="19"/>
  <c r="D1411" i="23"/>
  <c r="G2285" i="19"/>
  <c r="R1202" i="19"/>
  <c r="V1202" i="19" s="1"/>
  <c r="J1202" i="19"/>
  <c r="G1202" i="19" s="1"/>
  <c r="G1508" i="19"/>
  <c r="D421" i="23"/>
  <c r="T22" i="13"/>
  <c r="R22" i="13"/>
  <c r="J22" i="13"/>
  <c r="G1463" i="19"/>
  <c r="R1106" i="19"/>
  <c r="V1106" i="19" s="1"/>
  <c r="J1106" i="19"/>
  <c r="R1602" i="19"/>
  <c r="V1602" i="19" s="1"/>
  <c r="J1602" i="19"/>
  <c r="G1602" i="19" s="1"/>
  <c r="D1500" i="23"/>
  <c r="G31" i="2"/>
  <c r="D1331" i="23" s="1"/>
  <c r="M31" i="2"/>
  <c r="E1402" i="23"/>
  <c r="D810" i="23"/>
  <c r="J71" i="28"/>
  <c r="F2207" i="23"/>
  <c r="D2384" i="23"/>
  <c r="I50" i="10"/>
  <c r="D2431" i="23" s="1"/>
  <c r="T50" i="10"/>
  <c r="H46" i="15"/>
  <c r="H12" i="28"/>
  <c r="E2191" i="23"/>
  <c r="L48" i="8"/>
  <c r="E2195" i="23" s="1"/>
  <c r="K75" i="17"/>
  <c r="E1409" i="23"/>
  <c r="D2160" i="23"/>
  <c r="I13" i="8"/>
  <c r="D2207" i="23" s="1"/>
  <c r="T13" i="8"/>
  <c r="D1681" i="23"/>
  <c r="Q35" i="2"/>
  <c r="G1101" i="19"/>
  <c r="D1796" i="23"/>
  <c r="Q47" i="2"/>
  <c r="G47" i="2"/>
  <c r="D1347" i="23" s="1"/>
  <c r="E1397" i="23"/>
  <c r="E2857" i="23"/>
  <c r="O40" i="16"/>
  <c r="L43" i="16"/>
  <c r="D2568" i="23"/>
  <c r="I45" i="12"/>
  <c r="D2615" i="23" s="1"/>
  <c r="F2322" i="23"/>
  <c r="F207" i="23"/>
  <c r="F54" i="23"/>
  <c r="F2280" i="23"/>
  <c r="F1905" i="23"/>
  <c r="J2434" i="19"/>
  <c r="G2434" i="19" s="1"/>
  <c r="G2269" i="19"/>
  <c r="J1917" i="19"/>
  <c r="R1917" i="19"/>
  <c r="V1917" i="19" s="1"/>
  <c r="R2037" i="19"/>
  <c r="V2037" i="19" s="1"/>
  <c r="J2037" i="19"/>
  <c r="G2037" i="19" s="1"/>
  <c r="D1115" i="23"/>
  <c r="C2570" i="19"/>
  <c r="H2570" i="19" s="1"/>
  <c r="G2570" i="19" s="1"/>
  <c r="E1115" i="23"/>
  <c r="H32" i="18"/>
  <c r="G1829" i="19"/>
  <c r="G2607" i="19"/>
  <c r="D3005" i="23"/>
  <c r="H11" i="18"/>
  <c r="D2986" i="23" s="1"/>
  <c r="G1734" i="19"/>
  <c r="G2094" i="19"/>
  <c r="G1436" i="19"/>
  <c r="G1678" i="19"/>
  <c r="G1150" i="19"/>
  <c r="J1332" i="19"/>
  <c r="G1332" i="19" s="1"/>
  <c r="R1332" i="19"/>
  <c r="V1332" i="19" s="1"/>
  <c r="R1776" i="19"/>
  <c r="V1776" i="19" s="1"/>
  <c r="J1776" i="19"/>
  <c r="G1776" i="19" s="1"/>
  <c r="G2092" i="19"/>
  <c r="R1467" i="19"/>
  <c r="V1467" i="19" s="1"/>
  <c r="J1467" i="19"/>
  <c r="R283" i="19"/>
  <c r="V283" i="19" s="1"/>
  <c r="J283" i="19"/>
  <c r="G932" i="19"/>
  <c r="R2216" i="19"/>
  <c r="J2216" i="19"/>
  <c r="G1222" i="19"/>
  <c r="D2006" i="23"/>
  <c r="I47" i="6"/>
  <c r="D2053" i="23" s="1"/>
  <c r="R869" i="19"/>
  <c r="V869" i="19" s="1"/>
  <c r="J869" i="19"/>
  <c r="G869" i="19" s="1"/>
  <c r="R2654" i="19"/>
  <c r="V2654" i="19" s="1"/>
  <c r="J2654" i="19"/>
  <c r="G2654" i="19" s="1"/>
  <c r="R2341" i="19"/>
  <c r="J2341" i="19"/>
  <c r="G2341" i="19" s="1"/>
  <c r="G1990" i="19"/>
  <c r="R2122" i="19"/>
  <c r="J2122" i="19"/>
  <c r="G2122" i="19" s="1"/>
  <c r="G820" i="19"/>
  <c r="E1447" i="23"/>
  <c r="R1463" i="19"/>
  <c r="V1463" i="19" s="1"/>
  <c r="J1463" i="19"/>
  <c r="J1203" i="19"/>
  <c r="G1203" i="19" s="1"/>
  <c r="R1203" i="19"/>
  <c r="V1203" i="19" s="1"/>
  <c r="D2077" i="23"/>
  <c r="I24" i="7"/>
  <c r="D2124" i="23" s="1"/>
  <c r="R1466" i="19"/>
  <c r="V1466" i="19" s="1"/>
  <c r="J1466" i="19"/>
  <c r="D163" i="23"/>
  <c r="R46" i="7"/>
  <c r="J46" i="7"/>
  <c r="T46" i="7"/>
  <c r="D30" i="23"/>
  <c r="T7" i="5"/>
  <c r="R7" i="5"/>
  <c r="J7" i="5"/>
  <c r="F23" i="5"/>
  <c r="R880" i="19"/>
  <c r="V880" i="19" s="1"/>
  <c r="J880" i="19"/>
  <c r="E1168" i="23"/>
  <c r="D1168" i="23"/>
  <c r="D2567" i="19"/>
  <c r="I2567" i="19" s="1"/>
  <c r="C2567" i="19"/>
  <c r="H2567" i="19" s="1"/>
  <c r="E2581" i="19"/>
  <c r="C2581" i="19"/>
  <c r="H2581" i="19" s="1"/>
  <c r="G45" i="1"/>
  <c r="D733" i="23"/>
  <c r="I62" i="28"/>
  <c r="D767" i="23" s="1"/>
  <c r="J1483" i="19"/>
  <c r="G1483" i="19" s="1"/>
  <c r="R1483" i="19"/>
  <c r="V1483" i="19" s="1"/>
  <c r="D1689" i="23"/>
  <c r="Q46" i="2"/>
  <c r="G46" i="2"/>
  <c r="D1346" i="23" s="1"/>
  <c r="E67" i="23"/>
  <c r="J75" i="17"/>
  <c r="K48" i="5"/>
  <c r="D343" i="23"/>
  <c r="T38" i="11"/>
  <c r="R38" i="11"/>
  <c r="J38" i="11"/>
  <c r="D1407" i="23"/>
  <c r="J616" i="19"/>
  <c r="R616" i="19"/>
  <c r="V616" i="19" s="1"/>
  <c r="J1181" i="19"/>
  <c r="R1181" i="19"/>
  <c r="V1181" i="19" s="1"/>
  <c r="R1755" i="19"/>
  <c r="V1755" i="19" s="1"/>
  <c r="J1755" i="19"/>
  <c r="E954" i="23"/>
  <c r="D954" i="23"/>
  <c r="G1448" i="19"/>
  <c r="G954" i="19"/>
  <c r="R2345" i="19"/>
  <c r="J2345" i="19"/>
  <c r="G2345" i="19" s="1"/>
  <c r="D587" i="23"/>
  <c r="J16" i="15"/>
  <c r="T16" i="15"/>
  <c r="R16" i="15"/>
  <c r="F49" i="15"/>
  <c r="G1705" i="19"/>
  <c r="D2719" i="23"/>
  <c r="I8" i="14"/>
  <c r="D2767" i="23" s="1"/>
  <c r="D409" i="23"/>
  <c r="T10" i="13"/>
  <c r="J10" i="13"/>
  <c r="R10" i="13"/>
  <c r="R2445" i="19"/>
  <c r="V2445" i="19" s="1"/>
  <c r="J2445" i="19"/>
  <c r="G2445" i="19" s="1"/>
  <c r="G2087" i="19"/>
  <c r="R1337" i="19"/>
  <c r="V1337" i="19" s="1"/>
  <c r="J1337" i="19"/>
  <c r="G1337" i="19" s="1"/>
  <c r="R2022" i="19"/>
  <c r="V2022" i="19" s="1"/>
  <c r="J2022" i="19"/>
  <c r="G1297" i="19"/>
  <c r="G2022" i="19"/>
  <c r="J1341" i="19"/>
  <c r="R1341" i="19"/>
  <c r="V1341" i="19" s="1"/>
  <c r="G634" i="19"/>
  <c r="D1388" i="23"/>
  <c r="R1604" i="19"/>
  <c r="V1604" i="19" s="1"/>
  <c r="J1604" i="19"/>
  <c r="G1106" i="19"/>
  <c r="D1855" i="23"/>
  <c r="J2521" i="19"/>
  <c r="G2521" i="19" s="1"/>
  <c r="R2521" i="19"/>
  <c r="V2521" i="19" s="1"/>
  <c r="R2348" i="19"/>
  <c r="V2348" i="19" s="1"/>
  <c r="J2348" i="19"/>
  <c r="G2348" i="19" s="1"/>
  <c r="E2522" i="19"/>
  <c r="E1047" i="23"/>
  <c r="D1047" i="23"/>
  <c r="M65" i="17"/>
  <c r="G1507" i="19"/>
  <c r="R1045" i="19"/>
  <c r="V1045" i="19" s="1"/>
  <c r="J1045" i="19"/>
  <c r="G1045" i="19" s="1"/>
  <c r="D2569" i="23"/>
  <c r="I46" i="12"/>
  <c r="D2616" i="23" s="1"/>
  <c r="T46" i="12"/>
  <c r="D2875" i="23"/>
  <c r="J59" i="16"/>
  <c r="I59" i="16"/>
  <c r="D2928" i="23" s="1"/>
  <c r="H47" i="15"/>
  <c r="H48" i="28"/>
  <c r="H73" i="28" s="1"/>
  <c r="G1386" i="19"/>
  <c r="D2187" i="23"/>
  <c r="I40" i="8"/>
  <c r="D2234" i="23" s="1"/>
  <c r="D2348" i="23"/>
  <c r="I13" i="10"/>
  <c r="D2395" i="23" s="1"/>
  <c r="R605" i="19"/>
  <c r="V605" i="19" s="1"/>
  <c r="J605" i="19"/>
  <c r="E1792" i="23"/>
  <c r="E2546" i="23"/>
  <c r="L27" i="12"/>
  <c r="E2104" i="23"/>
  <c r="N23" i="7"/>
  <c r="J587" i="19"/>
  <c r="G587" i="19" s="1"/>
  <c r="R587" i="19"/>
  <c r="V587" i="19" s="1"/>
  <c r="R2028" i="19"/>
  <c r="V2028" i="19" s="1"/>
  <c r="J2028" i="19"/>
  <c r="R2132" i="19"/>
  <c r="J2132" i="19"/>
  <c r="P2652" i="23"/>
  <c r="L2652" i="23"/>
  <c r="K2652" i="23"/>
  <c r="O2652" i="23"/>
  <c r="F2652" i="23" s="1"/>
  <c r="P2669" i="23"/>
  <c r="O2669" i="23"/>
  <c r="K2669" i="23"/>
  <c r="F2669" i="23" s="1"/>
  <c r="L2669" i="23"/>
  <c r="F1979" i="23"/>
  <c r="R1924" i="19"/>
  <c r="V1924" i="19" s="1"/>
  <c r="J1924" i="19"/>
  <c r="G1924" i="19" s="1"/>
  <c r="E937" i="23"/>
  <c r="F2482" i="19"/>
  <c r="D937" i="23"/>
  <c r="C2482" i="19"/>
  <c r="H2482" i="19" s="1"/>
  <c r="G29" i="1"/>
  <c r="D2876" i="23"/>
  <c r="J60" i="16"/>
  <c r="I60" i="16"/>
  <c r="E1608" i="23"/>
  <c r="R2441" i="19"/>
  <c r="V2441" i="19" s="1"/>
  <c r="J2441" i="19"/>
  <c r="G2441" i="19" s="1"/>
  <c r="J1787" i="19"/>
  <c r="G1787" i="19" s="1"/>
  <c r="R1787" i="19"/>
  <c r="V1787" i="19" s="1"/>
  <c r="D350" i="23"/>
  <c r="T45" i="11"/>
  <c r="R45" i="11"/>
  <c r="J45" i="11"/>
  <c r="R2018" i="19"/>
  <c r="V2018" i="19" s="1"/>
  <c r="J2018" i="19"/>
  <c r="J1340" i="19"/>
  <c r="R1340" i="19"/>
  <c r="V1340" i="19" s="1"/>
  <c r="R692" i="19"/>
  <c r="V692" i="19" s="1"/>
  <c r="J692" i="19"/>
  <c r="G692" i="19" s="1"/>
  <c r="J1336" i="19"/>
  <c r="R1336" i="19"/>
  <c r="V1336" i="19" s="1"/>
  <c r="R1934" i="19"/>
  <c r="V1934" i="19" s="1"/>
  <c r="J1934" i="19"/>
  <c r="G1934" i="19" s="1"/>
  <c r="J1788" i="19"/>
  <c r="G1788" i="19" s="1"/>
  <c r="R1788" i="19"/>
  <c r="V1788" i="19" s="1"/>
  <c r="R891" i="19"/>
  <c r="V891" i="19" s="1"/>
  <c r="J891" i="19"/>
  <c r="G891" i="19" s="1"/>
  <c r="D1378" i="23"/>
  <c r="D641" i="23"/>
  <c r="D2261" i="23"/>
  <c r="I20" i="9"/>
  <c r="D2308" i="23" s="1"/>
  <c r="R1312" i="19"/>
  <c r="V1312" i="19" s="1"/>
  <c r="J1312" i="19"/>
  <c r="J2335" i="19"/>
  <c r="R2335" i="19"/>
  <c r="V2335" i="19" s="1"/>
  <c r="J1907" i="19"/>
  <c r="R1907" i="19"/>
  <c r="V1907" i="19" s="1"/>
  <c r="R909" i="19"/>
  <c r="V909" i="19" s="1"/>
  <c r="J909" i="19"/>
  <c r="G909" i="19" s="1"/>
  <c r="J1042" i="19"/>
  <c r="R1042" i="19"/>
  <c r="V1042" i="19" s="1"/>
  <c r="J1603" i="19"/>
  <c r="R1603" i="19"/>
  <c r="V1603" i="19" s="1"/>
  <c r="D909" i="23"/>
  <c r="I17" i="17"/>
  <c r="D2636" i="23"/>
  <c r="I19" i="13"/>
  <c r="D2683" i="23" s="1"/>
  <c r="T19" i="13"/>
  <c r="D2002" i="23"/>
  <c r="I43" i="6"/>
  <c r="D2049" i="23" s="1"/>
  <c r="T43" i="6"/>
  <c r="J1926" i="19"/>
  <c r="G1926" i="19" s="1"/>
  <c r="R1926" i="19"/>
  <c r="V1926" i="19" s="1"/>
  <c r="D2175" i="23"/>
  <c r="G44" i="8"/>
  <c r="I28" i="8"/>
  <c r="D47" i="23"/>
  <c r="R24" i="5"/>
  <c r="T24" i="5"/>
  <c r="J24" i="5"/>
  <c r="D384" i="23"/>
  <c r="J32" i="12"/>
  <c r="R32" i="12"/>
  <c r="T32" i="12"/>
  <c r="J2433" i="19"/>
  <c r="D1607" i="23"/>
  <c r="D43" i="3"/>
  <c r="R1891" i="19"/>
  <c r="V1891" i="19" s="1"/>
  <c r="J1891" i="19"/>
  <c r="G1891" i="19" s="1"/>
  <c r="J2520" i="19"/>
  <c r="G2520" i="19" s="1"/>
  <c r="R2520" i="19"/>
  <c r="V2520" i="19" s="1"/>
  <c r="J68" i="19"/>
  <c r="G68" i="19" s="1"/>
  <c r="R68" i="19"/>
  <c r="V68" i="19" s="1"/>
  <c r="G2409" i="19"/>
  <c r="G1578" i="19"/>
  <c r="G1187" i="19"/>
  <c r="G2385" i="19"/>
  <c r="G1146" i="19"/>
  <c r="R614" i="19"/>
  <c r="V614" i="19" s="1"/>
  <c r="J614" i="19"/>
  <c r="G614" i="19" s="1"/>
  <c r="D711" i="23"/>
  <c r="G48" i="28"/>
  <c r="G43" i="15"/>
  <c r="G44" i="15" s="1"/>
  <c r="I40" i="28"/>
  <c r="D745" i="23" s="1"/>
  <c r="D2988" i="23"/>
  <c r="G1839" i="19"/>
  <c r="G1563" i="19"/>
  <c r="R1319" i="19"/>
  <c r="V1319" i="19" s="1"/>
  <c r="J1319" i="19"/>
  <c r="G1319" i="19" s="1"/>
  <c r="D1999" i="23"/>
  <c r="I40" i="6"/>
  <c r="D2046" i="23" s="1"/>
  <c r="E1940" i="23"/>
  <c r="N44" i="5"/>
  <c r="O44" i="5" s="1"/>
  <c r="D3041" i="23"/>
  <c r="D2744" i="23"/>
  <c r="I33" i="14"/>
  <c r="D2792" i="23" s="1"/>
  <c r="T33" i="14"/>
  <c r="G44" i="14"/>
  <c r="J1780" i="19"/>
  <c r="G1780" i="19" s="1"/>
  <c r="R1780" i="19"/>
  <c r="V1780" i="19" s="1"/>
  <c r="G660" i="19"/>
  <c r="E1371" i="23"/>
  <c r="O10" i="2"/>
  <c r="G1812" i="19"/>
  <c r="D593" i="23"/>
  <c r="R22" i="15"/>
  <c r="T22" i="15"/>
  <c r="J22" i="15"/>
  <c r="D2472" i="23"/>
  <c r="I43" i="11"/>
  <c r="D2519" i="23" s="1"/>
  <c r="T43" i="11"/>
  <c r="G1511" i="19"/>
  <c r="E2952" i="23"/>
  <c r="K24" i="17"/>
  <c r="R576" i="19"/>
  <c r="V576" i="19" s="1"/>
  <c r="J576" i="19"/>
  <c r="G576" i="19" s="1"/>
  <c r="J2009" i="19"/>
  <c r="G2009" i="19" s="1"/>
  <c r="R2009" i="19"/>
  <c r="V2009" i="19" s="1"/>
  <c r="G711" i="19"/>
  <c r="D1447" i="23"/>
  <c r="D462" i="23"/>
  <c r="T16" i="14"/>
  <c r="R16" i="14"/>
  <c r="J16" i="14"/>
  <c r="D610" i="23"/>
  <c r="G12" i="28"/>
  <c r="I5" i="28"/>
  <c r="D644" i="23" s="1"/>
  <c r="G46" i="15"/>
  <c r="G1266" i="19"/>
  <c r="J598" i="19"/>
  <c r="R598" i="19"/>
  <c r="V598" i="19" s="1"/>
  <c r="L431" i="23"/>
  <c r="K431" i="23"/>
  <c r="P431" i="23"/>
  <c r="O431" i="23"/>
  <c r="F431" i="23" s="1"/>
  <c r="G2453" i="19"/>
  <c r="G2273" i="19"/>
  <c r="J1482" i="19"/>
  <c r="G1482" i="19" s="1"/>
  <c r="R1482" i="19"/>
  <c r="V1482" i="19" s="1"/>
  <c r="D2871" i="23"/>
  <c r="I55" i="16"/>
  <c r="J55" i="16" s="1"/>
  <c r="G72" i="16"/>
  <c r="G1974" i="19"/>
  <c r="G2108" i="19"/>
  <c r="J2605" i="19"/>
  <c r="G2605" i="19" s="1"/>
  <c r="R2605" i="19"/>
  <c r="V2605" i="19" s="1"/>
  <c r="J2382" i="19"/>
  <c r="G2382" i="19" s="1"/>
  <c r="R2382" i="19"/>
  <c r="V2382" i="19" s="1"/>
  <c r="E855" i="23"/>
  <c r="K56" i="15"/>
  <c r="O53" i="15"/>
  <c r="G2090" i="19"/>
  <c r="E1188" i="23"/>
  <c r="Q54" i="18"/>
  <c r="J2409" i="19"/>
  <c r="D461" i="23"/>
  <c r="R15" i="14"/>
  <c r="J15" i="14"/>
  <c r="T15" i="14"/>
  <c r="G1945" i="19"/>
  <c r="D335" i="23"/>
  <c r="T30" i="11"/>
  <c r="R30" i="11"/>
  <c r="R875" i="19"/>
  <c r="V875" i="19" s="1"/>
  <c r="J875" i="19"/>
  <c r="J1051" i="19"/>
  <c r="G1051" i="19" s="1"/>
  <c r="R1051" i="19"/>
  <c r="V1051" i="19" s="1"/>
  <c r="G2180" i="19"/>
  <c r="R1496" i="19"/>
  <c r="V1496" i="19" s="1"/>
  <c r="J1496" i="19"/>
  <c r="G1496" i="19" s="1"/>
  <c r="G1090" i="19"/>
  <c r="J1329" i="19"/>
  <c r="G1329" i="19" s="1"/>
  <c r="R1329" i="19"/>
  <c r="V1329" i="19" s="1"/>
  <c r="G1953" i="19"/>
  <c r="J2112" i="19"/>
  <c r="G2112" i="19" s="1"/>
  <c r="R2112" i="19"/>
  <c r="G1702" i="19"/>
  <c r="J1025" i="19"/>
  <c r="G1025" i="19" s="1"/>
  <c r="R1025" i="19"/>
  <c r="V1025" i="19" s="1"/>
  <c r="G2165" i="19"/>
  <c r="D1024" i="23"/>
  <c r="E1024" i="23"/>
  <c r="D515" i="23"/>
  <c r="I22" i="15"/>
  <c r="D549" i="23" s="1"/>
  <c r="D680" i="23"/>
  <c r="T7" i="28"/>
  <c r="J7" i="28"/>
  <c r="R7" i="28"/>
  <c r="E1937" i="23"/>
  <c r="E546" i="19"/>
  <c r="M73" i="17"/>
  <c r="E1096" i="23" s="1"/>
  <c r="AB25" i="28"/>
  <c r="AB25" i="15"/>
  <c r="D482" i="23"/>
  <c r="T36" i="14"/>
  <c r="R36" i="14"/>
  <c r="J36" i="14"/>
  <c r="R1631" i="19"/>
  <c r="V1631" i="19" s="1"/>
  <c r="J1631" i="19"/>
  <c r="D309" i="23"/>
  <c r="T4" i="11"/>
  <c r="J4" i="11"/>
  <c r="R4" i="11"/>
  <c r="F23" i="11"/>
  <c r="G1883" i="19"/>
  <c r="E813" i="23"/>
  <c r="L44" i="15"/>
  <c r="N41" i="15"/>
  <c r="E816" i="23" s="1"/>
  <c r="R1085" i="19"/>
  <c r="V1085" i="19" s="1"/>
  <c r="J1085" i="19"/>
  <c r="D2439" i="23"/>
  <c r="I10" i="11"/>
  <c r="D2486" i="23" s="1"/>
  <c r="D2194" i="23"/>
  <c r="I47" i="8"/>
  <c r="D2241" i="23" s="1"/>
  <c r="D1747" i="23"/>
  <c r="Q51" i="2"/>
  <c r="G51" i="2"/>
  <c r="D1351" i="23" s="1"/>
  <c r="E1048" i="23"/>
  <c r="E2539" i="19"/>
  <c r="D1048" i="23"/>
  <c r="N65" i="17"/>
  <c r="D2731" i="23"/>
  <c r="I20" i="14"/>
  <c r="D2779" i="23" s="1"/>
  <c r="D3014" i="23"/>
  <c r="H21" i="18"/>
  <c r="D2995" i="23" s="1"/>
  <c r="D371" i="23"/>
  <c r="T19" i="12"/>
  <c r="R19" i="12"/>
  <c r="J19" i="12"/>
  <c r="D2647" i="23"/>
  <c r="I30" i="13"/>
  <c r="D2694" i="23" s="1"/>
  <c r="T30" i="13"/>
  <c r="D820" i="23"/>
  <c r="J42" i="15"/>
  <c r="E1842" i="23"/>
  <c r="R2339" i="19"/>
  <c r="V2339" i="19" s="1"/>
  <c r="J2339" i="19"/>
  <c r="G2339" i="19" s="1"/>
  <c r="D2646" i="23"/>
  <c r="I29" i="13"/>
  <c r="D2693" i="23" s="1"/>
  <c r="T29" i="13"/>
  <c r="E2567" i="23"/>
  <c r="L48" i="12"/>
  <c r="E2571" i="23" s="1"/>
  <c r="R728" i="19"/>
  <c r="V728" i="19" s="1"/>
  <c r="J728" i="19"/>
  <c r="N44" i="13"/>
  <c r="E2199" i="23"/>
  <c r="N23" i="8"/>
  <c r="R1629" i="19"/>
  <c r="V1629" i="19" s="1"/>
  <c r="J1629" i="19"/>
  <c r="G1629" i="19" s="1"/>
  <c r="R103" i="19"/>
  <c r="V103" i="19" s="1"/>
  <c r="J103" i="19"/>
  <c r="G103" i="19" s="1"/>
  <c r="D2718" i="23"/>
  <c r="I7" i="14"/>
  <c r="D2766" i="23" s="1"/>
  <c r="T7" i="14"/>
  <c r="J2031" i="19"/>
  <c r="R2031" i="19"/>
  <c r="V2031" i="19" s="1"/>
  <c r="D586" i="23"/>
  <c r="T15" i="15"/>
  <c r="R15" i="15"/>
  <c r="J15" i="15"/>
  <c r="F53" i="15"/>
  <c r="F36" i="15"/>
  <c r="R1178" i="19"/>
  <c r="V1178" i="19" s="1"/>
  <c r="J1178" i="19"/>
  <c r="G1178" i="19" s="1"/>
  <c r="J2342" i="19"/>
  <c r="R2342" i="19"/>
  <c r="V2342" i="19" s="1"/>
  <c r="G2048" i="19"/>
  <c r="R1606" i="19"/>
  <c r="V1606" i="19" s="1"/>
  <c r="J1606" i="19"/>
  <c r="G1606" i="19" s="1"/>
  <c r="D2813" i="23"/>
  <c r="G10" i="16"/>
  <c r="I7" i="16"/>
  <c r="D2828" i="23" s="1"/>
  <c r="R2229" i="19"/>
  <c r="J2229" i="19"/>
  <c r="G1340" i="19"/>
  <c r="J1347" i="19"/>
  <c r="G1347" i="19" s="1"/>
  <c r="R1347" i="19"/>
  <c r="V1347" i="19" s="1"/>
  <c r="R1188" i="19"/>
  <c r="V1188" i="19" s="1"/>
  <c r="J1188" i="19"/>
  <c r="G1188" i="19" s="1"/>
  <c r="G1923" i="19"/>
  <c r="J910" i="19"/>
  <c r="G910" i="19" s="1"/>
  <c r="R910" i="19"/>
  <c r="V910" i="19" s="1"/>
  <c r="J1455" i="19"/>
  <c r="R1455" i="19"/>
  <c r="V1455" i="19" s="1"/>
  <c r="J727" i="19"/>
  <c r="G727" i="19" s="1"/>
  <c r="R727" i="19"/>
  <c r="V727" i="19" s="1"/>
  <c r="G1182" i="19"/>
  <c r="D739" i="23"/>
  <c r="I68" i="28"/>
  <c r="D773" i="23" s="1"/>
  <c r="G51" i="15"/>
  <c r="D152" i="23"/>
  <c r="R35" i="7"/>
  <c r="J35" i="7"/>
  <c r="T35" i="7"/>
  <c r="D475" i="23"/>
  <c r="T29" i="14"/>
  <c r="J29" i="14"/>
  <c r="R29" i="14"/>
  <c r="D2542" i="23"/>
  <c r="I19" i="12"/>
  <c r="D2589" i="23" s="1"/>
  <c r="D3011" i="23"/>
  <c r="H18" i="18"/>
  <c r="D2992" i="23" s="1"/>
  <c r="E2815" i="23"/>
  <c r="L17" i="16"/>
  <c r="G2004" i="19"/>
  <c r="G2076" i="19"/>
  <c r="D814" i="23"/>
  <c r="I42" i="15"/>
  <c r="D817" i="23" s="1"/>
  <c r="D282" i="23"/>
  <c r="T24" i="10"/>
  <c r="R24" i="10"/>
  <c r="J24" i="10"/>
  <c r="D1750" i="23"/>
  <c r="G54" i="2"/>
  <c r="D1354" i="23" s="1"/>
  <c r="D1532" i="23"/>
  <c r="G496" i="19"/>
  <c r="R1756" i="19"/>
  <c r="V1756" i="19" s="1"/>
  <c r="J1756" i="19"/>
  <c r="G1756" i="19" s="1"/>
  <c r="E2010" i="23"/>
  <c r="N23" i="6"/>
  <c r="G552" i="19"/>
  <c r="E719" i="23"/>
  <c r="L73" i="28"/>
  <c r="N48" i="28"/>
  <c r="E753" i="23" s="1"/>
  <c r="D902" i="23"/>
  <c r="E24" i="17"/>
  <c r="C2383" i="19" s="1"/>
  <c r="H2383" i="19" s="1"/>
  <c r="G2383" i="19" s="1"/>
  <c r="I4" i="17"/>
  <c r="F456" i="23"/>
  <c r="F2706" i="23"/>
  <c r="P2706" i="23"/>
  <c r="O2706" i="23"/>
  <c r="K2706" i="23"/>
  <c r="L2706" i="23"/>
  <c r="O428" i="23"/>
  <c r="K428" i="23"/>
  <c r="L428" i="23"/>
  <c r="F428" i="23"/>
  <c r="P428" i="23"/>
  <c r="P2660" i="23"/>
  <c r="F2660" i="23" s="1"/>
  <c r="O2660" i="23"/>
  <c r="K2660" i="23"/>
  <c r="L2660" i="23"/>
  <c r="R1783" i="19"/>
  <c r="V1783" i="19" s="1"/>
  <c r="J1783" i="19"/>
  <c r="G1783" i="19" s="1"/>
  <c r="F1894" i="23"/>
  <c r="P430" i="23"/>
  <c r="F430" i="23"/>
  <c r="O430" i="23"/>
  <c r="L430" i="23"/>
  <c r="K430" i="23"/>
  <c r="O438" i="23"/>
  <c r="P438" i="23"/>
  <c r="L438" i="23"/>
  <c r="K438" i="23"/>
  <c r="F438" i="23" s="1"/>
  <c r="F2419" i="23"/>
  <c r="L2707" i="23"/>
  <c r="P2707" i="23"/>
  <c r="K2707" i="23"/>
  <c r="F2707" i="23" s="1"/>
  <c r="O2707" i="23"/>
  <c r="P407" i="23"/>
  <c r="O407" i="23"/>
  <c r="K407" i="23"/>
  <c r="F407" i="23" s="1"/>
  <c r="L407" i="23"/>
  <c r="F149" i="23"/>
  <c r="J2632" i="19"/>
  <c r="G2632" i="19" s="1"/>
  <c r="R2632" i="19"/>
  <c r="V2632" i="19" s="1"/>
  <c r="G1968" i="19"/>
  <c r="R2210" i="19"/>
  <c r="J2210" i="19"/>
  <c r="G2210" i="19" s="1"/>
  <c r="G1299" i="19"/>
  <c r="F2519" i="23"/>
  <c r="F2274" i="23"/>
  <c r="O2697" i="23"/>
  <c r="F2697" i="23"/>
  <c r="K2697" i="23"/>
  <c r="L2697" i="23"/>
  <c r="P2697" i="23"/>
  <c r="F2796" i="23"/>
  <c r="F2403" i="23"/>
  <c r="E1258" i="23"/>
  <c r="D1258" i="23"/>
  <c r="E63" i="19"/>
  <c r="R1900" i="19"/>
  <c r="V1900" i="19" s="1"/>
  <c r="J1900" i="19"/>
  <c r="G1900" i="19" s="1"/>
  <c r="F309" i="23"/>
  <c r="F1949" i="23"/>
  <c r="G1875" i="19"/>
  <c r="J2023" i="19"/>
  <c r="R2023" i="19"/>
  <c r="V2023" i="19" s="1"/>
  <c r="F2201" i="23"/>
  <c r="G1730" i="19"/>
  <c r="G1704" i="19"/>
  <c r="G2050" i="19"/>
  <c r="G2555" i="19"/>
  <c r="G555" i="19"/>
  <c r="J42" i="19"/>
  <c r="G42" i="19" s="1"/>
  <c r="R42" i="19"/>
  <c r="V42" i="19" s="1"/>
  <c r="C2574" i="19"/>
  <c r="H2574" i="19" s="1"/>
  <c r="G2574" i="19" s="1"/>
  <c r="D1119" i="23"/>
  <c r="G1081" i="19"/>
  <c r="G1288" i="19"/>
  <c r="G946" i="19"/>
  <c r="C2585" i="19"/>
  <c r="H2585" i="19" s="1"/>
  <c r="G2585" i="19" s="1"/>
  <c r="E1119" i="23"/>
  <c r="G1360" i="19"/>
  <c r="J1752" i="19"/>
  <c r="G1752" i="19" s="1"/>
  <c r="R1752" i="19"/>
  <c r="V1752" i="19" s="1"/>
  <c r="J2113" i="19"/>
  <c r="R2113" i="19"/>
  <c r="D1995" i="23"/>
  <c r="I36" i="6"/>
  <c r="D2042" i="23" s="1"/>
  <c r="J885" i="19"/>
  <c r="G885" i="19" s="1"/>
  <c r="R885" i="19"/>
  <c r="V885" i="19" s="1"/>
  <c r="G1873" i="19"/>
  <c r="D686" i="23"/>
  <c r="T13" i="28"/>
  <c r="F54" i="15"/>
  <c r="J13" i="28"/>
  <c r="R13" i="28"/>
  <c r="F36" i="28"/>
  <c r="G1358" i="19"/>
  <c r="R1133" i="19"/>
  <c r="V1133" i="19" s="1"/>
  <c r="J1133" i="19"/>
  <c r="G1133" i="19" s="1"/>
  <c r="J839" i="19"/>
  <c r="R839" i="19"/>
  <c r="V839" i="19" s="1"/>
  <c r="J753" i="19"/>
  <c r="G753" i="19" s="1"/>
  <c r="R753" i="19"/>
  <c r="V753" i="19" s="1"/>
  <c r="E1464" i="23"/>
  <c r="G1419" i="19"/>
  <c r="E490" i="23"/>
  <c r="O44" i="14"/>
  <c r="K48" i="14"/>
  <c r="E2827" i="23"/>
  <c r="N10" i="16"/>
  <c r="O10" i="16" s="1"/>
  <c r="R1616" i="19"/>
  <c r="V1616" i="19" s="1"/>
  <c r="J1616" i="19"/>
  <c r="G1616" i="19" s="1"/>
  <c r="D192" i="23"/>
  <c r="F44" i="8"/>
  <c r="T28" i="8"/>
  <c r="R28" i="8"/>
  <c r="J28" i="8"/>
  <c r="D1900" i="23"/>
  <c r="I35" i="5"/>
  <c r="T35" i="5"/>
  <c r="J2340" i="19"/>
  <c r="G2340" i="19" s="1"/>
  <c r="R2340" i="19"/>
  <c r="D267" i="23"/>
  <c r="R9" i="10"/>
  <c r="J9" i="10"/>
  <c r="T9" i="10"/>
  <c r="J2444" i="19"/>
  <c r="G2444" i="19" s="1"/>
  <c r="R2444" i="19"/>
  <c r="V2444" i="19" s="1"/>
  <c r="G1586" i="19"/>
  <c r="F23" i="10"/>
  <c r="D1896" i="23"/>
  <c r="I31" i="5"/>
  <c r="T31" i="5"/>
  <c r="G44" i="5"/>
  <c r="E1450" i="23"/>
  <c r="D2344" i="23"/>
  <c r="I9" i="10"/>
  <c r="D2391" i="23" s="1"/>
  <c r="F2281" i="23"/>
  <c r="F287" i="23"/>
  <c r="F2726" i="23"/>
  <c r="G2424" i="19"/>
  <c r="F195" i="23"/>
  <c r="F2110" i="23"/>
  <c r="F2152" i="23"/>
  <c r="P409" i="23"/>
  <c r="K409" i="23"/>
  <c r="F409" i="23"/>
  <c r="O409" i="23"/>
  <c r="L409" i="23"/>
  <c r="F254" i="23"/>
  <c r="P406" i="23"/>
  <c r="O406" i="23"/>
  <c r="L406" i="23"/>
  <c r="K406" i="23"/>
  <c r="F406" i="23" s="1"/>
  <c r="G1400" i="19"/>
  <c r="E1007" i="23"/>
  <c r="D1007" i="23"/>
  <c r="J2655" i="19"/>
  <c r="G2655" i="19" s="1"/>
  <c r="R2655" i="19"/>
  <c r="V2655" i="19" s="1"/>
  <c r="F2297" i="23"/>
  <c r="O2674" i="23"/>
  <c r="P2674" i="23"/>
  <c r="F2674" i="23"/>
  <c r="L2674" i="23"/>
  <c r="K2674" i="23"/>
  <c r="F2752" i="23"/>
  <c r="F2087" i="23"/>
  <c r="G2403" i="19"/>
  <c r="J2604" i="19"/>
  <c r="G2604" i="19" s="1"/>
  <c r="R2604" i="19"/>
  <c r="V2604" i="19" s="1"/>
  <c r="G1684" i="19"/>
  <c r="R1761" i="19"/>
  <c r="V1761" i="19" s="1"/>
  <c r="J1761" i="19"/>
  <c r="G1761" i="19" s="1"/>
  <c r="R2029" i="19"/>
  <c r="V2029" i="19" s="1"/>
  <c r="J2029" i="19"/>
  <c r="F2770" i="23"/>
  <c r="F2130" i="23"/>
  <c r="F2293" i="23"/>
  <c r="F2199" i="23"/>
  <c r="F2724" i="23"/>
  <c r="F2120" i="23"/>
  <c r="F2001" i="23"/>
  <c r="F1964" i="23"/>
  <c r="F2458" i="23"/>
  <c r="F2318" i="23"/>
  <c r="F389" i="23"/>
  <c r="L439" i="23"/>
  <c r="K439" i="23"/>
  <c r="F439" i="23"/>
  <c r="O439" i="23"/>
  <c r="P439" i="23"/>
  <c r="O420" i="23"/>
  <c r="L420" i="23"/>
  <c r="K420" i="23"/>
  <c r="P420" i="23"/>
  <c r="F420" i="23"/>
  <c r="F321" i="23"/>
  <c r="F2566" i="23"/>
  <c r="F2116" i="23"/>
  <c r="G2386" i="19"/>
  <c r="J1930" i="19"/>
  <c r="G1930" i="19" s="1"/>
  <c r="R1930" i="19"/>
  <c r="V1930" i="19" s="1"/>
  <c r="R1497" i="19"/>
  <c r="V1497" i="19" s="1"/>
  <c r="J1497" i="19"/>
  <c r="G1497" i="19" s="1"/>
  <c r="G1378" i="19"/>
  <c r="G1363" i="19"/>
  <c r="G2308" i="19"/>
  <c r="G2283" i="19"/>
  <c r="G1958" i="19"/>
  <c r="G1849" i="19"/>
  <c r="J2114" i="19"/>
  <c r="G2114" i="19" s="1"/>
  <c r="R2114" i="19"/>
  <c r="D844" i="23"/>
  <c r="G2080" i="19"/>
  <c r="G1246" i="19"/>
  <c r="R908" i="19"/>
  <c r="V908" i="19" s="1"/>
  <c r="J908" i="19"/>
  <c r="G908" i="19" s="1"/>
  <c r="J871" i="19"/>
  <c r="R871" i="19"/>
  <c r="V871" i="19" s="1"/>
  <c r="G1107" i="19"/>
  <c r="E1598" i="23"/>
  <c r="D779" i="23"/>
  <c r="F43" i="15"/>
  <c r="F48" i="28"/>
  <c r="J40" i="28"/>
  <c r="E497" i="19"/>
  <c r="G1225" i="19"/>
  <c r="D904" i="23"/>
  <c r="I7" i="17"/>
  <c r="G2342" i="19"/>
  <c r="R1763" i="19"/>
  <c r="V1763" i="19" s="1"/>
  <c r="J1763" i="19"/>
  <c r="G1763" i="19" s="1"/>
  <c r="D730" i="23"/>
  <c r="I59" i="28"/>
  <c r="D764" i="23" s="1"/>
  <c r="J1777" i="19"/>
  <c r="G1777" i="19" s="1"/>
  <c r="R1777" i="19"/>
  <c r="V1777" i="19" s="1"/>
  <c r="G2049" i="19"/>
  <c r="G1112" i="19"/>
  <c r="R1351" i="19"/>
  <c r="V1351" i="19" s="1"/>
  <c r="J1351" i="19"/>
  <c r="R1315" i="19"/>
  <c r="V1315" i="19" s="1"/>
  <c r="J1315" i="19"/>
  <c r="G1315" i="19" s="1"/>
  <c r="G701" i="19"/>
  <c r="G788" i="19"/>
  <c r="G950" i="19"/>
  <c r="J2553" i="19"/>
  <c r="G2553" i="19" s="1"/>
  <c r="R2553" i="19"/>
  <c r="V2553" i="19" s="1"/>
  <c r="D2625" i="23"/>
  <c r="I8" i="13"/>
  <c r="D2672" i="23" s="1"/>
  <c r="G839" i="19"/>
  <c r="J2526" i="19"/>
  <c r="G2526" i="19" s="1"/>
  <c r="R2526" i="19"/>
  <c r="V2526" i="19" s="1"/>
  <c r="D315" i="23"/>
  <c r="R10" i="11"/>
  <c r="J10" i="11"/>
  <c r="T10" i="11"/>
  <c r="D130" i="23"/>
  <c r="R13" i="7"/>
  <c r="T13" i="7"/>
  <c r="J13" i="7"/>
  <c r="F23" i="7"/>
  <c r="J1057" i="19"/>
  <c r="G1057" i="19" s="1"/>
  <c r="R1057" i="19"/>
  <c r="V1057" i="19" s="1"/>
  <c r="D2157" i="23"/>
  <c r="I10" i="8"/>
  <c r="D2204" i="23" s="1"/>
  <c r="J1897" i="19"/>
  <c r="G1897" i="19" s="1"/>
  <c r="R1897" i="19"/>
  <c r="V1897" i="19" s="1"/>
  <c r="G1124" i="19"/>
  <c r="G1901" i="19"/>
  <c r="J2024" i="19"/>
  <c r="G2024" i="19" s="1"/>
  <c r="R2024" i="19"/>
  <c r="V2024" i="19" s="1"/>
  <c r="D634" i="23"/>
  <c r="I29" i="28"/>
  <c r="D668" i="23" s="1"/>
  <c r="G1160" i="19"/>
  <c r="R1607" i="19"/>
  <c r="V1607" i="19" s="1"/>
  <c r="J1607" i="19"/>
  <c r="G1607" i="19" s="1"/>
  <c r="J812" i="19"/>
  <c r="G812" i="19" s="1"/>
  <c r="R812" i="19"/>
  <c r="V812" i="19" s="1"/>
  <c r="D500" i="23"/>
  <c r="T7" i="15"/>
  <c r="I7" i="15"/>
  <c r="D534" i="23" s="1"/>
  <c r="J2140" i="19"/>
  <c r="G2140" i="19" s="1"/>
  <c r="R2140" i="19"/>
  <c r="G1200" i="19"/>
  <c r="E234" i="23"/>
  <c r="K27" i="9"/>
  <c r="O23" i="9"/>
  <c r="G1231" i="19"/>
  <c r="G941" i="19"/>
  <c r="J1014" i="19"/>
  <c r="G1014" i="19" s="1"/>
  <c r="R1014" i="19"/>
  <c r="V1014" i="19" s="1"/>
  <c r="D1847" i="23"/>
  <c r="R1049" i="19"/>
  <c r="V1049" i="19" s="1"/>
  <c r="J1049" i="19"/>
  <c r="G1216" i="19"/>
  <c r="D2094" i="23"/>
  <c r="I41" i="7"/>
  <c r="D2141" i="23" s="1"/>
  <c r="R610" i="19"/>
  <c r="V610" i="19" s="1"/>
  <c r="J610" i="19"/>
  <c r="J285" i="19"/>
  <c r="R285" i="19"/>
  <c r="V285" i="19" s="1"/>
  <c r="D1389" i="23"/>
  <c r="M23" i="17"/>
  <c r="N23" i="17" s="1"/>
  <c r="F2612" i="23"/>
  <c r="F413" i="23"/>
  <c r="G1917" i="19"/>
  <c r="K2625" i="23"/>
  <c r="F2625" i="23" s="1"/>
  <c r="O2625" i="23"/>
  <c r="L2625" i="23"/>
  <c r="P2625" i="23"/>
  <c r="F2580" i="23"/>
  <c r="F2766" i="23"/>
  <c r="F2464" i="23"/>
  <c r="F2394" i="23"/>
  <c r="F2801" i="23"/>
  <c r="F2517" i="23"/>
  <c r="F289" i="23"/>
  <c r="F345" i="23"/>
  <c r="F215" i="23"/>
  <c r="F87" i="23"/>
  <c r="F223" i="23"/>
  <c r="G2305" i="19"/>
  <c r="J2631" i="19"/>
  <c r="G2631" i="19" s="1"/>
  <c r="R2631" i="19"/>
  <c r="V2631" i="19" s="1"/>
  <c r="D1191" i="23"/>
  <c r="C2586" i="19"/>
  <c r="H2586" i="19" s="1"/>
  <c r="G2586" i="19" s="1"/>
  <c r="L62" i="3"/>
  <c r="G2390" i="19"/>
  <c r="R1757" i="19"/>
  <c r="V1757" i="19" s="1"/>
  <c r="J1757" i="19"/>
  <c r="G1757" i="19" s="1"/>
  <c r="G1359" i="19"/>
  <c r="F2108" i="23"/>
  <c r="G1708" i="19"/>
  <c r="G2282" i="19"/>
  <c r="R1922" i="19"/>
  <c r="V1922" i="19" s="1"/>
  <c r="J1922" i="19"/>
  <c r="G1922" i="19" s="1"/>
  <c r="G1726" i="19"/>
  <c r="R2402" i="19"/>
  <c r="V2402" i="19" s="1"/>
  <c r="J2402" i="19"/>
  <c r="G2402" i="19" s="1"/>
  <c r="R1481" i="19"/>
  <c r="V1481" i="19" s="1"/>
  <c r="J1481" i="19"/>
  <c r="G1481" i="19" s="1"/>
  <c r="J1613" i="19"/>
  <c r="G1613" i="19" s="1"/>
  <c r="R1613" i="19"/>
  <c r="V1613" i="19" s="1"/>
  <c r="D798" i="23"/>
  <c r="J59" i="28"/>
  <c r="J234" i="19"/>
  <c r="G234" i="19" s="1"/>
  <c r="R234" i="19"/>
  <c r="V234" i="19" s="1"/>
  <c r="G1992" i="19"/>
  <c r="G920" i="19"/>
  <c r="G2471" i="19"/>
  <c r="F1875" i="23"/>
  <c r="G685" i="19"/>
  <c r="D439" i="23"/>
  <c r="T40" i="13"/>
  <c r="J40" i="13"/>
  <c r="R40" i="13"/>
  <c r="J1326" i="19"/>
  <c r="G1326" i="19" s="1"/>
  <c r="R1326" i="19"/>
  <c r="V1326" i="19" s="1"/>
  <c r="G1351" i="19"/>
  <c r="R1923" i="19"/>
  <c r="V1923" i="19" s="1"/>
  <c r="J1923" i="19"/>
  <c r="G806" i="19"/>
  <c r="G1154" i="19"/>
  <c r="D565" i="23"/>
  <c r="I67" i="15"/>
  <c r="D572" i="23" s="1"/>
  <c r="D2088" i="23"/>
  <c r="I35" i="7"/>
  <c r="D2135" i="23" s="1"/>
  <c r="J898" i="19"/>
  <c r="R898" i="19"/>
  <c r="V898" i="19" s="1"/>
  <c r="D1789" i="23"/>
  <c r="G1417" i="19"/>
  <c r="G1806" i="19"/>
  <c r="G2103" i="19"/>
  <c r="R1400" i="19"/>
  <c r="V1400" i="19" s="1"/>
  <c r="J1400" i="19"/>
  <c r="D495" i="23"/>
  <c r="R50" i="14"/>
  <c r="T50" i="14"/>
  <c r="D216" i="23"/>
  <c r="T5" i="9"/>
  <c r="R5" i="9"/>
  <c r="J5" i="9"/>
  <c r="F23" i="9"/>
  <c r="R1328" i="19"/>
  <c r="V1328" i="19" s="1"/>
  <c r="J1328" i="19"/>
  <c r="G1328" i="19" s="1"/>
  <c r="G624" i="19"/>
  <c r="D2559" i="23"/>
  <c r="I36" i="12"/>
  <c r="D2606" i="23" s="1"/>
  <c r="T36" i="12"/>
  <c r="G2132" i="19"/>
  <c r="D1821" i="23"/>
  <c r="D2749" i="23"/>
  <c r="I38" i="14"/>
  <c r="D2797" i="23" s="1"/>
  <c r="D387" i="23"/>
  <c r="R35" i="12"/>
  <c r="J35" i="12"/>
  <c r="T35" i="12"/>
  <c r="R1349" i="19"/>
  <c r="V1349" i="19" s="1"/>
  <c r="J1349" i="19"/>
  <c r="G1349" i="19" s="1"/>
  <c r="J1627" i="19"/>
  <c r="R1627" i="19"/>
  <c r="V1627" i="19" s="1"/>
  <c r="J591" i="19"/>
  <c r="R591" i="19"/>
  <c r="V591" i="19" s="1"/>
  <c r="D2538" i="23"/>
  <c r="I15" i="12"/>
  <c r="D2585" i="23" s="1"/>
  <c r="T15" i="12"/>
  <c r="G486" i="19"/>
  <c r="T8" i="13"/>
  <c r="E2913" i="23"/>
  <c r="N49" i="16"/>
  <c r="D452" i="23"/>
  <c r="R6" i="14"/>
  <c r="T6" i="14"/>
  <c r="J6" i="14"/>
  <c r="F23" i="14"/>
  <c r="G770" i="19"/>
  <c r="J1043" i="19"/>
  <c r="G1043" i="19" s="1"/>
  <c r="R1043" i="19"/>
  <c r="V1043" i="19" s="1"/>
  <c r="J233" i="19"/>
  <c r="G233" i="19" s="1"/>
  <c r="R233" i="19"/>
  <c r="V233" i="19" s="1"/>
  <c r="J2206" i="19"/>
  <c r="G2206" i="19" s="1"/>
  <c r="R2206" i="19"/>
  <c r="R1322" i="19"/>
  <c r="V1322" i="19" s="1"/>
  <c r="J1322" i="19"/>
  <c r="G1322" i="19" s="1"/>
  <c r="G888" i="19"/>
  <c r="D2621" i="23"/>
  <c r="G23" i="13"/>
  <c r="I4" i="13"/>
  <c r="E1392" i="23"/>
  <c r="G1167" i="19"/>
  <c r="J1021" i="19"/>
  <c r="G1021" i="19" s="1"/>
  <c r="R1021" i="19"/>
  <c r="V1021" i="19" s="1"/>
  <c r="G2069" i="19"/>
  <c r="J1310" i="19"/>
  <c r="G1310" i="19" s="1"/>
  <c r="R1310" i="19"/>
  <c r="V1310" i="19" s="1"/>
  <c r="R1782" i="19"/>
  <c r="V1782" i="19" s="1"/>
  <c r="J1782" i="19"/>
  <c r="G1273" i="19"/>
  <c r="G2495" i="19"/>
  <c r="R1333" i="19"/>
  <c r="V1333" i="19" s="1"/>
  <c r="J1333" i="19"/>
  <c r="G1333" i="19" s="1"/>
  <c r="R881" i="19"/>
  <c r="V881" i="19" s="1"/>
  <c r="J881" i="19"/>
  <c r="G881" i="19" s="1"/>
  <c r="R35" i="19"/>
  <c r="V35" i="19" s="1"/>
  <c r="J35" i="19"/>
  <c r="G35" i="19" s="1"/>
  <c r="G1869" i="19"/>
  <c r="G898" i="19"/>
  <c r="G779" i="19"/>
  <c r="D1961" i="23"/>
  <c r="E3025" i="23"/>
  <c r="P23" i="18"/>
  <c r="H49" i="15"/>
  <c r="H52" i="15" s="1"/>
  <c r="R1428" i="19"/>
  <c r="V1428" i="19" s="1"/>
  <c r="J1428" i="19"/>
  <c r="G1428" i="19" s="1"/>
  <c r="G1977" i="19"/>
  <c r="D705" i="23"/>
  <c r="T32" i="28"/>
  <c r="J32" i="28"/>
  <c r="R32" i="28"/>
  <c r="J1601" i="19"/>
  <c r="G1601" i="19" s="1"/>
  <c r="R1601" i="19"/>
  <c r="V1601" i="19" s="1"/>
  <c r="J1038" i="19"/>
  <c r="G1038" i="19" s="1"/>
  <c r="R1038" i="19"/>
  <c r="V1038" i="19" s="1"/>
  <c r="D1732" i="23"/>
  <c r="Q33" i="2"/>
  <c r="D1591" i="23"/>
  <c r="R894" i="19"/>
  <c r="V894" i="19" s="1"/>
  <c r="J894" i="19"/>
  <c r="R1313" i="19"/>
  <c r="V1313" i="19" s="1"/>
  <c r="J1313" i="19"/>
  <c r="G1313" i="19" s="1"/>
  <c r="R2523" i="19"/>
  <c r="V2523" i="19" s="1"/>
  <c r="J2523" i="19"/>
  <c r="G2523" i="19" s="1"/>
  <c r="D2821" i="23"/>
  <c r="I16" i="16"/>
  <c r="D2836" i="23" s="1"/>
  <c r="E1463" i="23"/>
  <c r="D1998" i="23"/>
  <c r="I39" i="6"/>
  <c r="D2045" i="23" s="1"/>
  <c r="E529" i="23"/>
  <c r="N36" i="15"/>
  <c r="E563" i="23" s="1"/>
  <c r="F73" i="17"/>
  <c r="D1084" i="23" s="1"/>
  <c r="D1479" i="23"/>
  <c r="G9" i="2"/>
  <c r="D1309" i="23" s="1"/>
  <c r="M9" i="2"/>
  <c r="D10" i="3"/>
  <c r="D2373" i="23"/>
  <c r="I38" i="10"/>
  <c r="D2420" i="23" s="1"/>
  <c r="T38" i="10"/>
  <c r="H45" i="15"/>
  <c r="H48" i="15" s="1"/>
  <c r="H12" i="15"/>
  <c r="E2219" i="23"/>
  <c r="E987" i="19"/>
  <c r="P2645" i="23"/>
  <c r="O2645" i="23"/>
  <c r="K2645" i="23"/>
  <c r="F2645" i="23" s="1"/>
  <c r="L2645" i="23"/>
  <c r="P2659" i="23"/>
  <c r="F2659" i="23" s="1"/>
  <c r="O2659" i="23"/>
  <c r="K2659" i="23"/>
  <c r="L2659" i="23"/>
  <c r="J2033" i="19"/>
  <c r="R2033" i="19"/>
  <c r="V2033" i="19" s="1"/>
  <c r="F2092" i="23"/>
  <c r="E1144" i="23"/>
  <c r="D1144" i="23"/>
  <c r="J62" i="17"/>
  <c r="R1779" i="19"/>
  <c r="V1779" i="19" s="1"/>
  <c r="J1779" i="19"/>
  <c r="G1779" i="19" s="1"/>
  <c r="J2404" i="19"/>
  <c r="G2404" i="19" s="1"/>
  <c r="R2404" i="19"/>
  <c r="V2404" i="19" s="1"/>
  <c r="O2695" i="23"/>
  <c r="P2695" i="23"/>
  <c r="K2695" i="23"/>
  <c r="L2695" i="23"/>
  <c r="F2695" i="23" s="1"/>
  <c r="F186" i="23"/>
  <c r="F204" i="23"/>
  <c r="D2522" i="22"/>
  <c r="O412" i="23"/>
  <c r="K412" i="23"/>
  <c r="F412" i="23" s="1"/>
  <c r="L412" i="23"/>
  <c r="P412" i="23"/>
  <c r="K2542" i="19"/>
  <c r="D1135" i="23"/>
  <c r="E1135" i="23"/>
  <c r="E2637" i="19"/>
  <c r="E2988" i="23"/>
  <c r="J22" i="18"/>
  <c r="J1194" i="19"/>
  <c r="G1194" i="19" s="1"/>
  <c r="R1194" i="19"/>
  <c r="V1194" i="19" s="1"/>
  <c r="D504" i="23"/>
  <c r="I11" i="15"/>
  <c r="D538" i="23" s="1"/>
  <c r="T11" i="15"/>
  <c r="G1782" i="19"/>
  <c r="G3" i="19"/>
  <c r="D286" i="23"/>
  <c r="J28" i="10"/>
  <c r="R28" i="10"/>
  <c r="T28" i="10"/>
  <c r="F44" i="10"/>
  <c r="D1991" i="23"/>
  <c r="I32" i="6"/>
  <c r="D2038" i="23" s="1"/>
  <c r="R2638" i="19"/>
  <c r="V2638" i="19" s="1"/>
  <c r="J2638" i="19"/>
  <c r="G2638" i="19" s="1"/>
  <c r="J1459" i="19"/>
  <c r="G1459" i="19" s="1"/>
  <c r="R1459" i="19"/>
  <c r="V1459" i="19" s="1"/>
  <c r="G876" i="19"/>
  <c r="D1711" i="23"/>
  <c r="C330" i="19"/>
  <c r="H330" i="19" s="1"/>
  <c r="G330" i="19" s="1"/>
  <c r="Q12" i="2"/>
  <c r="G12" i="2"/>
  <c r="D1312" i="23" s="1"/>
  <c r="D84" i="23"/>
  <c r="T14" i="6"/>
  <c r="R14" i="6"/>
  <c r="J14" i="6"/>
  <c r="M52" i="15"/>
  <c r="M58" i="15" s="1"/>
  <c r="N49" i="15"/>
  <c r="D2531" i="23"/>
  <c r="I8" i="12"/>
  <c r="D2578" i="23" s="1"/>
  <c r="E187" i="23"/>
  <c r="K27" i="8"/>
  <c r="O23" i="8"/>
  <c r="J721" i="19"/>
  <c r="G721" i="19" s="1"/>
  <c r="R721" i="19"/>
  <c r="V721" i="19" s="1"/>
  <c r="D1628" i="23"/>
  <c r="M41" i="2"/>
  <c r="G41" i="2"/>
  <c r="D1341" i="23" s="1"/>
  <c r="E1289" i="23"/>
  <c r="D1289" i="23"/>
  <c r="R40" i="1"/>
  <c r="R750" i="19"/>
  <c r="V750" i="19" s="1"/>
  <c r="J750" i="19"/>
  <c r="G750" i="19" s="1"/>
  <c r="D303" i="23"/>
  <c r="T45" i="10"/>
  <c r="R45" i="10"/>
  <c r="J45" i="10"/>
  <c r="R24" i="13"/>
  <c r="T24" i="13"/>
  <c r="D423" i="23"/>
  <c r="J24" i="13"/>
  <c r="E1748" i="23"/>
  <c r="J58" i="4"/>
  <c r="D693" i="23"/>
  <c r="T20" i="28"/>
  <c r="R20" i="28"/>
  <c r="J20" i="28"/>
  <c r="D506" i="23"/>
  <c r="I13" i="15"/>
  <c r="D540" i="23" s="1"/>
  <c r="G36" i="15"/>
  <c r="G53" i="15"/>
  <c r="D300" i="23"/>
  <c r="T42" i="10"/>
  <c r="R42" i="10"/>
  <c r="J42" i="10"/>
  <c r="E1077" i="23"/>
  <c r="J2440" i="19"/>
  <c r="G2440" i="19" s="1"/>
  <c r="R2440" i="19"/>
  <c r="V2440" i="19" s="1"/>
  <c r="F34" i="23"/>
  <c r="E2789" i="23"/>
  <c r="N44" i="14"/>
  <c r="E2640" i="23"/>
  <c r="L27" i="13"/>
  <c r="R1457" i="19"/>
  <c r="V1457" i="19" s="1"/>
  <c r="J1457" i="19"/>
  <c r="G1457" i="19" s="1"/>
  <c r="E1443" i="23"/>
  <c r="J1311" i="19"/>
  <c r="G1311" i="19" s="1"/>
  <c r="R1311" i="19"/>
  <c r="V1311" i="19" s="1"/>
  <c r="R903" i="19"/>
  <c r="V903" i="19" s="1"/>
  <c r="J903" i="19"/>
  <c r="G903" i="19" s="1"/>
  <c r="J749" i="19"/>
  <c r="R749" i="19"/>
  <c r="V749" i="19" s="1"/>
  <c r="R1750" i="19"/>
  <c r="V1750" i="19" s="1"/>
  <c r="J1750" i="19"/>
  <c r="R129" i="19"/>
  <c r="V129" i="19" s="1"/>
  <c r="J129" i="19"/>
  <c r="G129" i="19" s="1"/>
  <c r="E1176" i="23"/>
  <c r="D1176" i="23"/>
  <c r="D2581" i="19"/>
  <c r="I2581" i="19" s="1"/>
  <c r="I45" i="1"/>
  <c r="H57" i="15"/>
  <c r="F2376" i="23"/>
  <c r="F2270" i="23"/>
  <c r="F2441" i="23"/>
  <c r="F2118" i="23"/>
  <c r="F2507" i="23"/>
  <c r="F2433" i="23"/>
  <c r="F2435" i="23"/>
  <c r="F1928" i="23"/>
  <c r="F2746" i="23"/>
  <c r="F2250" i="23"/>
  <c r="F2012" i="23"/>
  <c r="D2524" i="22"/>
  <c r="D2526" i="22" s="1"/>
  <c r="D2528" i="22" s="1"/>
  <c r="F468" i="23"/>
  <c r="F202" i="23"/>
  <c r="F159" i="23"/>
  <c r="F27" i="23"/>
  <c r="F311" i="23"/>
  <c r="G2280" i="19"/>
  <c r="G2303" i="19"/>
  <c r="F382" i="23"/>
  <c r="R1753" i="19"/>
  <c r="V1753" i="19" s="1"/>
  <c r="J1753" i="19"/>
  <c r="G1753" i="19" s="1"/>
  <c r="F230" i="23"/>
  <c r="R2230" i="19"/>
  <c r="J2230" i="19"/>
  <c r="G2230" i="19" s="1"/>
  <c r="G1868" i="19"/>
  <c r="G1954" i="19"/>
  <c r="R2110" i="19"/>
  <c r="J2110" i="19"/>
  <c r="G2110" i="19" s="1"/>
  <c r="R2406" i="19"/>
  <c r="V2406" i="19" s="1"/>
  <c r="J2406" i="19"/>
  <c r="G2406" i="19" s="1"/>
  <c r="D2954" i="23"/>
  <c r="H18" i="17"/>
  <c r="D2973" i="23" s="1"/>
  <c r="R1343" i="19"/>
  <c r="V1343" i="19" s="1"/>
  <c r="J1343" i="19"/>
  <c r="G1343" i="19" s="1"/>
  <c r="R901" i="19"/>
  <c r="V901" i="19" s="1"/>
  <c r="J901" i="19"/>
  <c r="G901" i="19" s="1"/>
  <c r="G2161" i="19"/>
  <c r="G1097" i="19"/>
  <c r="G942" i="19"/>
  <c r="G798" i="19"/>
  <c r="G2451" i="19"/>
  <c r="R1929" i="19"/>
  <c r="V1929" i="19" s="1"/>
  <c r="J1929" i="19"/>
  <c r="G1929" i="19" s="1"/>
  <c r="G585" i="19"/>
  <c r="D454" i="23"/>
  <c r="R8" i="14"/>
  <c r="J8" i="14"/>
  <c r="T8" i="14"/>
  <c r="O419" i="23"/>
  <c r="K419" i="23"/>
  <c r="F419" i="23" s="1"/>
  <c r="P419" i="23"/>
  <c r="L419" i="23"/>
  <c r="G2057" i="19"/>
  <c r="G2562" i="19"/>
  <c r="G1064" i="19"/>
  <c r="G1556" i="19"/>
  <c r="G1655" i="19"/>
  <c r="G1423" i="19"/>
  <c r="D313" i="23"/>
  <c r="T8" i="11"/>
  <c r="R8" i="11"/>
  <c r="J8" i="11"/>
  <c r="D2886" i="23"/>
  <c r="G76" i="16"/>
  <c r="J73" i="16"/>
  <c r="I73" i="16"/>
  <c r="D788" i="23"/>
  <c r="F55" i="15"/>
  <c r="J49" i="28"/>
  <c r="F72" i="28"/>
  <c r="G848" i="19"/>
  <c r="R876" i="19"/>
  <c r="V876" i="19" s="1"/>
  <c r="J876" i="19"/>
  <c r="D1041" i="23"/>
  <c r="E1041" i="23"/>
  <c r="D220" i="23"/>
  <c r="T9" i="9"/>
  <c r="J9" i="9"/>
  <c r="R9" i="9"/>
  <c r="R1916" i="19"/>
  <c r="V1916" i="19" s="1"/>
  <c r="J1916" i="19"/>
  <c r="G1916" i="19" s="1"/>
  <c r="D354" i="23"/>
  <c r="T50" i="11"/>
  <c r="R50" i="11"/>
  <c r="D1022" i="23"/>
  <c r="E1022" i="23"/>
  <c r="D615" i="23"/>
  <c r="I10" i="28"/>
  <c r="D649" i="23" s="1"/>
  <c r="T10" i="28"/>
  <c r="J1162" i="19"/>
  <c r="G1162" i="19" s="1"/>
  <c r="R1162" i="19"/>
  <c r="V1162" i="19" s="1"/>
  <c r="D271" i="23"/>
  <c r="T13" i="10"/>
  <c r="R13" i="10"/>
  <c r="J13" i="10"/>
  <c r="E1431" i="23"/>
  <c r="D2463" i="23"/>
  <c r="I34" i="11"/>
  <c r="D2510" i="23" s="1"/>
  <c r="D83" i="23"/>
  <c r="J13" i="6"/>
  <c r="R13" i="6"/>
  <c r="T13" i="6"/>
  <c r="E1420" i="23"/>
  <c r="D1819" i="23"/>
  <c r="D1419" i="23"/>
  <c r="E838" i="23"/>
  <c r="N50" i="15"/>
  <c r="O50" i="15" s="1"/>
  <c r="L52" i="15"/>
  <c r="R2126" i="19"/>
  <c r="J2126" i="19"/>
  <c r="G2126" i="19" s="1"/>
  <c r="R78" i="19"/>
  <c r="V78" i="19" s="1"/>
  <c r="J78" i="19"/>
  <c r="G78" i="19" s="1"/>
  <c r="K2654" i="23"/>
  <c r="P2654" i="23"/>
  <c r="O2654" i="23"/>
  <c r="F2654" i="23"/>
  <c r="L2654" i="23"/>
  <c r="F340" i="23"/>
  <c r="J2408" i="19"/>
  <c r="G2408" i="19" s="1"/>
  <c r="F2798" i="23"/>
  <c r="F1924" i="23"/>
  <c r="J2550" i="19"/>
  <c r="G2550" i="19" s="1"/>
  <c r="R2550" i="19"/>
  <c r="V2550" i="19" s="1"/>
  <c r="J1775" i="19"/>
  <c r="G1775" i="19" s="1"/>
  <c r="R1775" i="19"/>
  <c r="V1775" i="19" s="1"/>
  <c r="J2128" i="19"/>
  <c r="R2128" i="19"/>
  <c r="J1494" i="19"/>
  <c r="G1494" i="19" s="1"/>
  <c r="R1494" i="19"/>
  <c r="V1494" i="19" s="1"/>
  <c r="D2858" i="23"/>
  <c r="I41" i="16"/>
  <c r="D2910" i="23" s="1"/>
  <c r="R867" i="19"/>
  <c r="V867" i="19" s="1"/>
  <c r="J867" i="19"/>
  <c r="G867" i="19" s="1"/>
  <c r="D3020" i="23"/>
  <c r="O12" i="18"/>
  <c r="R2225" i="19"/>
  <c r="J2225" i="19"/>
  <c r="G2225" i="19" s="1"/>
  <c r="G2142" i="19"/>
  <c r="D3010" i="23"/>
  <c r="H17" i="18"/>
  <c r="D2991" i="23" s="1"/>
  <c r="M22" i="18"/>
  <c r="D3015" i="23" s="1"/>
  <c r="E1433" i="23"/>
  <c r="R1017" i="19"/>
  <c r="V1017" i="19" s="1"/>
  <c r="J1017" i="19"/>
  <c r="G1017" i="19" s="1"/>
  <c r="J2401" i="19"/>
  <c r="R2401" i="19"/>
  <c r="V2401" i="19" s="1"/>
  <c r="D624" i="23"/>
  <c r="I19" i="28"/>
  <c r="D658" i="23" s="1"/>
  <c r="T19" i="28"/>
  <c r="D3012" i="23"/>
  <c r="H19" i="18"/>
  <c r="D2993" i="23" s="1"/>
  <c r="J1913" i="19"/>
  <c r="G1913" i="19" s="1"/>
  <c r="R1913" i="19"/>
  <c r="V1913" i="19" s="1"/>
  <c r="J2137" i="19"/>
  <c r="R2137" i="19"/>
  <c r="G1567" i="19"/>
  <c r="G677" i="19"/>
  <c r="R1747" i="19"/>
  <c r="V1747" i="19" s="1"/>
  <c r="J1747" i="19"/>
  <c r="G1747" i="19" s="1"/>
  <c r="D2881" i="23"/>
  <c r="J65" i="16"/>
  <c r="I65" i="16"/>
  <c r="D2934" i="23" s="1"/>
  <c r="E1868" i="23"/>
  <c r="C275" i="19"/>
  <c r="H275" i="19" s="1"/>
  <c r="G275" i="19" s="1"/>
  <c r="J62" i="2"/>
  <c r="E1362" i="23" s="1"/>
  <c r="D2448" i="23"/>
  <c r="I19" i="11"/>
  <c r="D2495" i="23" s="1"/>
  <c r="G1728" i="19"/>
  <c r="E857" i="23"/>
  <c r="O55" i="15"/>
  <c r="J730" i="19"/>
  <c r="G730" i="19" s="1"/>
  <c r="R730" i="19"/>
  <c r="V730" i="19" s="1"/>
  <c r="D1827" i="23"/>
  <c r="G24" i="2"/>
  <c r="D1324" i="23" s="1"/>
  <c r="G1166" i="19"/>
  <c r="J1173" i="19"/>
  <c r="G1173" i="19" s="1"/>
  <c r="R1173" i="19"/>
  <c r="V1173" i="19" s="1"/>
  <c r="D601" i="23"/>
  <c r="T30" i="15"/>
  <c r="R30" i="15"/>
  <c r="J30" i="15"/>
  <c r="R1470" i="19"/>
  <c r="V1470" i="19" s="1"/>
  <c r="J1470" i="19"/>
  <c r="G1470" i="19" s="1"/>
  <c r="R1762" i="19"/>
  <c r="V1762" i="19" s="1"/>
  <c r="J1762" i="19"/>
  <c r="G1762" i="19" s="1"/>
  <c r="D682" i="23"/>
  <c r="R9" i="28"/>
  <c r="J9" i="28"/>
  <c r="T9" i="28"/>
  <c r="R904" i="19"/>
  <c r="V904" i="19" s="1"/>
  <c r="J904" i="19"/>
  <c r="G904" i="19" s="1"/>
  <c r="D2181" i="23"/>
  <c r="I34" i="8"/>
  <c r="D2228" i="23" s="1"/>
  <c r="D1558" i="23"/>
  <c r="D2092" i="23"/>
  <c r="I39" i="7"/>
  <c r="D2139" i="23" s="1"/>
  <c r="D737" i="23"/>
  <c r="I66" i="28"/>
  <c r="D771" i="23" s="1"/>
  <c r="R1609" i="19"/>
  <c r="V1609" i="19" s="1"/>
  <c r="J1609" i="19"/>
  <c r="E1376" i="23"/>
  <c r="D1752" i="23"/>
  <c r="D1728" i="23"/>
  <c r="T19" i="11"/>
  <c r="J1754" i="19"/>
  <c r="R1754" i="19"/>
  <c r="V1754" i="19" s="1"/>
  <c r="D1433" i="23"/>
  <c r="J2026" i="19"/>
  <c r="G2026" i="19" s="1"/>
  <c r="R2026" i="19"/>
  <c r="V2026" i="19" s="1"/>
  <c r="D2633" i="23"/>
  <c r="I16" i="13"/>
  <c r="D2680" i="23" s="1"/>
  <c r="D514" i="23"/>
  <c r="I21" i="15"/>
  <c r="D548" i="23" s="1"/>
  <c r="L2647" i="23"/>
  <c r="P2647" i="23"/>
  <c r="O2647" i="23"/>
  <c r="K2647" i="23"/>
  <c r="F2647" i="23" s="1"/>
  <c r="F2471" i="23"/>
  <c r="K2699" i="23"/>
  <c r="F2699" i="23" s="1"/>
  <c r="O2699" i="23"/>
  <c r="P2699" i="23"/>
  <c r="L2699" i="23"/>
  <c r="F217" i="23"/>
  <c r="J2332" i="19"/>
  <c r="G2332" i="19" s="1"/>
  <c r="R2332" i="19"/>
  <c r="V2332" i="19" s="1"/>
  <c r="G1397" i="19"/>
  <c r="R1472" i="19"/>
  <c r="V1472" i="19" s="1"/>
  <c r="J1472" i="19"/>
  <c r="G1472" i="19" s="1"/>
  <c r="D1184" i="23"/>
  <c r="F2502" i="22"/>
  <c r="R2275" i="19"/>
  <c r="V2275" i="19" s="1"/>
  <c r="J2275" i="19"/>
  <c r="G2275" i="19" s="1"/>
  <c r="J2537" i="19"/>
  <c r="G2537" i="19" s="1"/>
  <c r="R2537" i="19"/>
  <c r="V2537" i="19" s="1"/>
  <c r="G1811" i="19"/>
  <c r="G1950" i="19"/>
  <c r="G2557" i="19"/>
  <c r="G2387" i="19"/>
  <c r="G1719" i="19"/>
  <c r="G2478" i="19"/>
  <c r="D492" i="23"/>
  <c r="J46" i="14"/>
  <c r="R46" i="14"/>
  <c r="T46" i="14"/>
  <c r="D2651" i="23"/>
  <c r="I34" i="13"/>
  <c r="D2698" i="23" s="1"/>
  <c r="T34" i="13"/>
  <c r="J2034" i="19"/>
  <c r="R2034" i="19"/>
  <c r="V2034" i="19" s="1"/>
  <c r="G1390" i="19"/>
  <c r="G1948" i="19"/>
  <c r="G2072" i="19"/>
  <c r="G1534" i="19"/>
  <c r="R1318" i="19"/>
  <c r="V1318" i="19" s="1"/>
  <c r="J1318" i="19"/>
  <c r="G1318" i="19" s="1"/>
  <c r="G749" i="19"/>
  <c r="E749" i="23"/>
  <c r="E1134" i="19"/>
  <c r="R1895" i="19"/>
  <c r="V1895" i="19" s="1"/>
  <c r="J1895" i="19"/>
  <c r="G1895" i="19" s="1"/>
  <c r="G1989" i="19"/>
  <c r="E422" i="23"/>
  <c r="K27" i="13"/>
  <c r="O23" i="13"/>
  <c r="G2220" i="19"/>
  <c r="G2093" i="19"/>
  <c r="G1455" i="19"/>
  <c r="R429" i="19"/>
  <c r="V429" i="19" s="1"/>
  <c r="J429" i="19"/>
  <c r="J1920" i="19"/>
  <c r="G1920" i="19" s="1"/>
  <c r="R1920" i="19"/>
  <c r="V1920" i="19" s="1"/>
  <c r="G1750" i="19"/>
  <c r="J1477" i="19"/>
  <c r="G1477" i="19" s="1"/>
  <c r="R1477" i="19"/>
  <c r="V1477" i="19" s="1"/>
  <c r="E851" i="23"/>
  <c r="N55" i="15"/>
  <c r="E854" i="23" s="1"/>
  <c r="G1421" i="19"/>
  <c r="J1461" i="19"/>
  <c r="G1461" i="19" s="1"/>
  <c r="R1461" i="19"/>
  <c r="V1461" i="19" s="1"/>
  <c r="G515" i="19"/>
  <c r="D1878" i="23"/>
  <c r="I13" i="5"/>
  <c r="D1925" i="23" s="1"/>
  <c r="T13" i="5"/>
  <c r="G23" i="5"/>
  <c r="J2442" i="19"/>
  <c r="G2442" i="19" s="1"/>
  <c r="R2442" i="19"/>
  <c r="V2442" i="19" s="1"/>
  <c r="G1854" i="19"/>
  <c r="D523" i="23"/>
  <c r="I30" i="15"/>
  <c r="D557" i="23" s="1"/>
  <c r="E302" i="23"/>
  <c r="K48" i="10"/>
  <c r="O44" i="10"/>
  <c r="R1894" i="19"/>
  <c r="V1894" i="19" s="1"/>
  <c r="J1894" i="19"/>
  <c r="E505" i="23"/>
  <c r="D1982" i="19"/>
  <c r="C1982" i="19"/>
  <c r="N12" i="15"/>
  <c r="E539" i="23" s="1"/>
  <c r="L37" i="15"/>
  <c r="R1186" i="19"/>
  <c r="V1186" i="19" s="1"/>
  <c r="J1186" i="19"/>
  <c r="D158" i="23"/>
  <c r="T41" i="7"/>
  <c r="R41" i="7"/>
  <c r="J41" i="7"/>
  <c r="D1467" i="23"/>
  <c r="E2036" i="23"/>
  <c r="N44" i="6"/>
  <c r="O44" i="6" s="1"/>
  <c r="E1445" i="23"/>
  <c r="G2062" i="19"/>
  <c r="D2441" i="23"/>
  <c r="I12" i="11"/>
  <c r="D2488" i="23" s="1"/>
  <c r="R2329" i="19"/>
  <c r="V2329" i="19" s="1"/>
  <c r="J2329" i="19"/>
  <c r="G2329" i="19" s="1"/>
  <c r="R1927" i="19"/>
  <c r="V1927" i="19" s="1"/>
  <c r="J1927" i="19"/>
  <c r="G1927" i="19" s="1"/>
  <c r="G1393" i="19"/>
  <c r="J2407" i="19"/>
  <c r="G2407" i="19" s="1"/>
  <c r="R2407" i="19"/>
  <c r="V2407" i="19" s="1"/>
  <c r="G2297" i="19"/>
  <c r="R1911" i="19"/>
  <c r="V1911" i="19" s="1"/>
  <c r="J1911" i="19"/>
  <c r="G1911" i="19" s="1"/>
  <c r="G2187" i="19"/>
  <c r="J2015" i="19"/>
  <c r="G2015" i="19" s="1"/>
  <c r="R2015" i="19"/>
  <c r="V2015" i="19" s="1"/>
  <c r="G1741" i="19"/>
  <c r="R2222" i="19"/>
  <c r="J2222" i="19"/>
  <c r="G2222" i="19" s="1"/>
  <c r="G1729" i="19"/>
  <c r="D1036" i="23"/>
  <c r="E1036" i="23"/>
  <c r="D2454" i="23"/>
  <c r="I25" i="11"/>
  <c r="D2501" i="23" s="1"/>
  <c r="O22" i="18"/>
  <c r="D3034" i="23" s="1"/>
  <c r="J1626" i="19"/>
  <c r="G1626" i="19" s="1"/>
  <c r="R1626" i="19"/>
  <c r="V1626" i="19" s="1"/>
  <c r="G1541" i="19"/>
  <c r="J2133" i="19"/>
  <c r="G2133" i="19" s="1"/>
  <c r="R2133" i="19"/>
  <c r="R1610" i="19"/>
  <c r="V1610" i="19" s="1"/>
  <c r="J1610" i="19"/>
  <c r="G1610" i="19" s="1"/>
  <c r="E2943" i="23"/>
  <c r="N76" i="16"/>
  <c r="G2188" i="19"/>
  <c r="R2540" i="19"/>
  <c r="V2540" i="19" s="1"/>
  <c r="J2540" i="19"/>
  <c r="G2540" i="19" s="1"/>
  <c r="G1095" i="19"/>
  <c r="G429" i="19"/>
  <c r="R2220" i="19"/>
  <c r="J2220" i="19"/>
  <c r="R2134" i="19"/>
  <c r="J2134" i="19"/>
  <c r="G2134" i="19" s="1"/>
  <c r="R1161" i="19"/>
  <c r="V1161" i="19" s="1"/>
  <c r="J1161" i="19"/>
  <c r="G1161" i="19" s="1"/>
  <c r="G2579" i="19"/>
  <c r="G1825" i="19"/>
  <c r="H6" i="18"/>
  <c r="D2981" i="23" s="1"/>
  <c r="D1624" i="23"/>
  <c r="D2250" i="23"/>
  <c r="I9" i="9"/>
  <c r="D2297" i="23" s="1"/>
  <c r="R2413" i="19"/>
  <c r="V2413" i="19" s="1"/>
  <c r="J2413" i="19"/>
  <c r="G2413" i="19" s="1"/>
  <c r="R2549" i="19"/>
  <c r="V2549" i="19" s="1"/>
  <c r="J2549" i="19"/>
  <c r="G2549" i="19" s="1"/>
  <c r="J1342" i="19"/>
  <c r="G1342" i="19" s="1"/>
  <c r="R1342" i="19"/>
  <c r="V1342" i="19" s="1"/>
  <c r="J1317" i="19"/>
  <c r="G1317" i="19" s="1"/>
  <c r="R1317" i="19"/>
  <c r="V1317" i="19" s="1"/>
  <c r="H48" i="6"/>
  <c r="G76" i="17"/>
  <c r="R1034" i="19"/>
  <c r="V1034" i="19" s="1"/>
  <c r="J1034" i="19"/>
  <c r="G1034" i="19" s="1"/>
  <c r="D998" i="23"/>
  <c r="E998" i="23"/>
  <c r="G1881" i="19"/>
  <c r="D498" i="23"/>
  <c r="I5" i="15"/>
  <c r="D532" i="23" s="1"/>
  <c r="G45" i="15"/>
  <c r="G12" i="15"/>
  <c r="D612" i="23"/>
  <c r="I7" i="28"/>
  <c r="D646" i="23" s="1"/>
  <c r="D240" i="23"/>
  <c r="T29" i="9"/>
  <c r="R29" i="9"/>
  <c r="J29" i="9"/>
  <c r="F44" i="9"/>
  <c r="G930" i="19"/>
  <c r="H27" i="6"/>
  <c r="D1486" i="23"/>
  <c r="M16" i="2"/>
  <c r="G16" i="2"/>
  <c r="D1316" i="23" s="1"/>
  <c r="G998" i="19"/>
  <c r="D1852" i="23"/>
  <c r="E1311" i="23"/>
  <c r="J20" i="2"/>
  <c r="E1320" i="23" s="1"/>
  <c r="D1445" i="23"/>
  <c r="F44" i="14"/>
  <c r="G1536" i="19"/>
  <c r="F91" i="23"/>
  <c r="E1823" i="23"/>
  <c r="E1414" i="23"/>
  <c r="E2504" i="23"/>
  <c r="N44" i="11"/>
  <c r="O44" i="11" s="1"/>
  <c r="F2532" i="23"/>
  <c r="F2374" i="23"/>
  <c r="F1916" i="23"/>
  <c r="R2019" i="19"/>
  <c r="V2019" i="19" s="1"/>
  <c r="J2019" i="19"/>
  <c r="G2019" i="19" s="1"/>
  <c r="R2223" i="19"/>
  <c r="J2223" i="19"/>
  <c r="L2705" i="23"/>
  <c r="F2705" i="23" s="1"/>
  <c r="O2705" i="23"/>
  <c r="K2705" i="23"/>
  <c r="P2705" i="23"/>
  <c r="E2524" i="22"/>
  <c r="E2526" i="22" s="1"/>
  <c r="L411" i="23"/>
  <c r="P411" i="23"/>
  <c r="K411" i="23"/>
  <c r="F411" i="23" s="1"/>
  <c r="O411" i="23"/>
  <c r="F2277" i="23"/>
  <c r="F227" i="23"/>
  <c r="F2586" i="23"/>
  <c r="F1906" i="23"/>
  <c r="F314" i="23"/>
  <c r="F2039" i="23"/>
  <c r="F43" i="23"/>
  <c r="F2554" i="23"/>
  <c r="R1749" i="19"/>
  <c r="V1749" i="19" s="1"/>
  <c r="J1749" i="19"/>
  <c r="G1749" i="19" s="1"/>
  <c r="R2124" i="19"/>
  <c r="J2124" i="19"/>
  <c r="G2124" i="19" s="1"/>
  <c r="R1906" i="19"/>
  <c r="V1906" i="19" s="1"/>
  <c r="J1906" i="19"/>
  <c r="G1906" i="19" s="1"/>
  <c r="J1637" i="19"/>
  <c r="G1637" i="19" s="1"/>
  <c r="R1637" i="19"/>
  <c r="V1637" i="19" s="1"/>
  <c r="D2969" i="23"/>
  <c r="H14" i="17"/>
  <c r="F23" i="17"/>
  <c r="D2957" i="23" s="1"/>
  <c r="J2013" i="19"/>
  <c r="G2013" i="19" s="1"/>
  <c r="R2013" i="19"/>
  <c r="V2013" i="19" s="1"/>
  <c r="J2136" i="19"/>
  <c r="G2136" i="19" s="1"/>
  <c r="R2136" i="19"/>
  <c r="R1427" i="19"/>
  <c r="V1427" i="19" s="1"/>
  <c r="J1427" i="19"/>
  <c r="G1427" i="19" s="1"/>
  <c r="J1630" i="19"/>
  <c r="G1630" i="19" s="1"/>
  <c r="R1630" i="19"/>
  <c r="V1630" i="19" s="1"/>
  <c r="E1102" i="23"/>
  <c r="D694" i="23"/>
  <c r="T21" i="28"/>
  <c r="J21" i="28"/>
  <c r="R21" i="28"/>
  <c r="D2662" i="23"/>
  <c r="I45" i="13"/>
  <c r="D2709" i="23" s="1"/>
  <c r="T45" i="13"/>
  <c r="D720" i="23"/>
  <c r="I49" i="28"/>
  <c r="D754" i="23" s="1"/>
  <c r="G72" i="28"/>
  <c r="G55" i="15"/>
  <c r="J2215" i="19"/>
  <c r="G2215" i="19" s="1"/>
  <c r="R2215" i="19"/>
  <c r="G1117" i="19"/>
  <c r="D502" i="23"/>
  <c r="I9" i="15"/>
  <c r="D536" i="23" s="1"/>
  <c r="E825" i="23"/>
  <c r="N45" i="15"/>
  <c r="E828" i="23" s="1"/>
  <c r="L48" i="15"/>
  <c r="U45" i="15"/>
  <c r="L20" i="3"/>
  <c r="D2540" i="23"/>
  <c r="I17" i="12"/>
  <c r="D2587" i="23" s="1"/>
  <c r="J80" i="19"/>
  <c r="D2377" i="23"/>
  <c r="I42" i="10"/>
  <c r="D2424" i="23" s="1"/>
  <c r="E1521" i="23"/>
  <c r="F58" i="3"/>
  <c r="H36" i="15"/>
  <c r="H53" i="15"/>
  <c r="E2146" i="23"/>
  <c r="E1450" i="19"/>
  <c r="E862" i="19"/>
  <c r="J1183" i="19"/>
  <c r="R1183" i="19"/>
  <c r="V1183" i="19" s="1"/>
  <c r="D2354" i="23"/>
  <c r="I19" i="10"/>
  <c r="D2401" i="23" s="1"/>
  <c r="G822" i="19"/>
  <c r="R36" i="19"/>
  <c r="V36" i="19" s="1"/>
  <c r="J36" i="19"/>
  <c r="G36" i="19" s="1"/>
  <c r="D519" i="23"/>
  <c r="I26" i="15"/>
  <c r="D553" i="23" s="1"/>
  <c r="D1829" i="23"/>
  <c r="D76" i="23"/>
  <c r="J6" i="6"/>
  <c r="T6" i="6"/>
  <c r="R6" i="6"/>
  <c r="R1464" i="19"/>
  <c r="V1464" i="19" s="1"/>
  <c r="J1464" i="19"/>
  <c r="G1464" i="19" s="1"/>
  <c r="P2684" i="23"/>
  <c r="O2684" i="23"/>
  <c r="L2684" i="23"/>
  <c r="K2684" i="23"/>
  <c r="F2684" i="23"/>
  <c r="R2554" i="19"/>
  <c r="V2554" i="19" s="1"/>
  <c r="J2554" i="19"/>
  <c r="G2554" i="19" s="1"/>
  <c r="F2621" i="23"/>
  <c r="F2036" i="23"/>
  <c r="F2185" i="23"/>
  <c r="F2269" i="23"/>
  <c r="O2693" i="23"/>
  <c r="P2693" i="23"/>
  <c r="L2693" i="23"/>
  <c r="K2693" i="23"/>
  <c r="F2693" i="23" s="1"/>
  <c r="F414" i="23"/>
  <c r="F2018" i="23"/>
  <c r="F452" i="23"/>
  <c r="J2326" i="19"/>
  <c r="G2326" i="19" s="1"/>
  <c r="R2326" i="19"/>
  <c r="V2326" i="19" s="1"/>
  <c r="J289" i="19"/>
  <c r="G289" i="19" s="1"/>
  <c r="R289" i="19"/>
  <c r="V289" i="19" s="1"/>
  <c r="G1820" i="19"/>
  <c r="R2211" i="19"/>
  <c r="J2211" i="19"/>
  <c r="G2211" i="19" s="1"/>
  <c r="R1919" i="19"/>
  <c r="V1919" i="19" s="1"/>
  <c r="J1919" i="19"/>
  <c r="G1919" i="19" s="1"/>
  <c r="R1487" i="19"/>
  <c r="V1487" i="19" s="1"/>
  <c r="J1487" i="19"/>
  <c r="G1487" i="19" s="1"/>
  <c r="J50" i="19"/>
  <c r="G50" i="19" s="1"/>
  <c r="R50" i="19"/>
  <c r="V50" i="19" s="1"/>
  <c r="D321" i="23"/>
  <c r="T16" i="11"/>
  <c r="J16" i="11"/>
  <c r="R16" i="11"/>
  <c r="D620" i="23"/>
  <c r="I15" i="28"/>
  <c r="D654" i="23" s="1"/>
  <c r="G54" i="15"/>
  <c r="T15" i="28"/>
  <c r="G1562" i="19"/>
  <c r="E1138" i="23"/>
  <c r="D1138" i="23"/>
  <c r="G1341" i="19"/>
  <c r="D1969" i="23"/>
  <c r="I10" i="6"/>
  <c r="D2016" i="23" s="1"/>
  <c r="J899" i="19"/>
  <c r="G899" i="19" s="1"/>
  <c r="R899" i="19"/>
  <c r="V899" i="19" s="1"/>
  <c r="R2344" i="19"/>
  <c r="V2344" i="19" s="1"/>
  <c r="J2344" i="19"/>
  <c r="S51" i="15"/>
  <c r="U51" i="15"/>
  <c r="O51" i="15"/>
  <c r="J2125" i="19"/>
  <c r="G2125" i="19" s="1"/>
  <c r="R2125" i="19"/>
  <c r="J1465" i="19"/>
  <c r="G1465" i="19" s="1"/>
  <c r="R1465" i="19"/>
  <c r="V1465" i="19" s="1"/>
  <c r="G1631" i="19"/>
  <c r="R2538" i="19"/>
  <c r="V2538" i="19" s="1"/>
  <c r="J2538" i="19"/>
  <c r="G2538" i="19" s="1"/>
  <c r="D38" i="23"/>
  <c r="T15" i="5"/>
  <c r="J15" i="5"/>
  <c r="R15" i="5"/>
  <c r="G612" i="19"/>
  <c r="D1718" i="23"/>
  <c r="R2032" i="19"/>
  <c r="V2032" i="19" s="1"/>
  <c r="J2032" i="19"/>
  <c r="D2535" i="23"/>
  <c r="I12" i="12"/>
  <c r="D2582" i="23" s="1"/>
  <c r="J1018" i="19"/>
  <c r="R1018" i="19"/>
  <c r="V1018" i="19" s="1"/>
  <c r="D2850" i="23"/>
  <c r="I32" i="16"/>
  <c r="D2901" i="23" s="1"/>
  <c r="J32" i="16"/>
  <c r="D2270" i="23"/>
  <c r="I29" i="9"/>
  <c r="D2317" i="23" s="1"/>
  <c r="G937" i="19"/>
  <c r="D485" i="23"/>
  <c r="R39" i="14"/>
  <c r="T39" i="14"/>
  <c r="J39" i="14"/>
  <c r="G2081" i="19"/>
  <c r="G1186" i="19"/>
  <c r="R1334" i="19"/>
  <c r="V1334" i="19" s="1"/>
  <c r="J1334" i="19"/>
  <c r="G1334" i="19" s="1"/>
  <c r="D2183" i="23"/>
  <c r="I36" i="8"/>
  <c r="D2230" i="23" s="1"/>
  <c r="D1798" i="23"/>
  <c r="N23" i="9"/>
  <c r="R1928" i="19"/>
  <c r="V1928" i="19" s="1"/>
  <c r="J1928" i="19"/>
  <c r="G1928" i="19" s="1"/>
  <c r="D2639" i="23"/>
  <c r="I22" i="13"/>
  <c r="D2686" i="23" s="1"/>
  <c r="R2007" i="19"/>
  <c r="V2007" i="19" s="1"/>
  <c r="J2007" i="19"/>
  <c r="G2007" i="19" s="1"/>
  <c r="G871" i="19"/>
  <c r="D2380" i="23"/>
  <c r="I45" i="10"/>
  <c r="D2427" i="23" s="1"/>
  <c r="D2846" i="23"/>
  <c r="I28" i="16"/>
  <c r="D2897" i="23" s="1"/>
  <c r="J28" i="16"/>
  <c r="F2525" i="19"/>
  <c r="G40" i="16"/>
  <c r="C285" i="19"/>
  <c r="H285" i="19" s="1"/>
  <c r="G285" i="19" s="1"/>
  <c r="J1475" i="19"/>
  <c r="G1475" i="19" s="1"/>
  <c r="R1475" i="19"/>
  <c r="V1475" i="19" s="1"/>
  <c r="K2626" i="23"/>
  <c r="F2626" i="23" s="1"/>
  <c r="L2626" i="23"/>
  <c r="O2626" i="23"/>
  <c r="P2626" i="23"/>
  <c r="F2159" i="23"/>
  <c r="F99" i="23"/>
  <c r="F2589" i="23"/>
  <c r="F77" i="23"/>
  <c r="F388" i="23"/>
  <c r="P2696" i="23"/>
  <c r="O2696" i="23"/>
  <c r="K2696" i="23"/>
  <c r="F2696" i="23" s="1"/>
  <c r="L2696" i="23"/>
  <c r="L2623" i="23"/>
  <c r="F2623" i="23" s="1"/>
  <c r="P2623" i="23"/>
  <c r="O2623" i="23"/>
  <c r="K2623" i="23"/>
  <c r="G2321" i="19"/>
  <c r="R2354" i="19"/>
  <c r="V2354" i="19" s="1"/>
  <c r="J2354" i="19"/>
  <c r="G2354" i="19" s="1"/>
  <c r="J1771" i="19"/>
  <c r="G1771" i="19" s="1"/>
  <c r="R1771" i="19"/>
  <c r="V1771" i="19" s="1"/>
  <c r="R1468" i="19"/>
  <c r="V1468" i="19" s="1"/>
  <c r="J1468" i="19"/>
  <c r="G1468" i="19" s="1"/>
  <c r="D1026" i="23"/>
  <c r="E1026" i="23"/>
  <c r="R288" i="19"/>
  <c r="V288" i="19" s="1"/>
  <c r="J288" i="19"/>
  <c r="G288" i="19" s="1"/>
  <c r="G2147" i="19"/>
  <c r="I1437" i="19"/>
  <c r="G1437" i="19" s="1"/>
  <c r="I1440" i="19"/>
  <c r="G1440" i="19" s="1"/>
  <c r="R2446" i="19"/>
  <c r="V2446" i="19" s="1"/>
  <c r="J2446" i="19"/>
  <c r="G2446" i="19" s="1"/>
  <c r="G1986" i="19"/>
  <c r="J897" i="19"/>
  <c r="G897" i="19" s="1"/>
  <c r="R897" i="19"/>
  <c r="V897" i="19" s="1"/>
  <c r="G1905" i="19"/>
  <c r="G1890" i="19"/>
  <c r="G678" i="19"/>
  <c r="J2127" i="19"/>
  <c r="G2127" i="19" s="1"/>
  <c r="R2127" i="19"/>
  <c r="G1467" i="19"/>
  <c r="E2031" i="23"/>
  <c r="E693" i="19"/>
  <c r="G2089" i="19"/>
  <c r="D1156" i="23"/>
  <c r="O62" i="17"/>
  <c r="E1156" i="23"/>
  <c r="D257" i="23"/>
  <c r="T46" i="9"/>
  <c r="J46" i="9"/>
  <c r="R46" i="9"/>
  <c r="D1968" i="23"/>
  <c r="I9" i="6"/>
  <c r="D2015" i="23" s="1"/>
  <c r="T9" i="6"/>
  <c r="J584" i="19"/>
  <c r="R584" i="19"/>
  <c r="V584" i="19" s="1"/>
  <c r="D1561" i="23"/>
  <c r="G33" i="2"/>
  <c r="D1333" i="23" s="1"/>
  <c r="M33" i="2"/>
  <c r="D813" i="23"/>
  <c r="I41" i="15"/>
  <c r="D816" i="23" s="1"/>
  <c r="G533" i="19"/>
  <c r="G2290" i="19"/>
  <c r="J724" i="19"/>
  <c r="G724" i="19" s="1"/>
  <c r="R724" i="19"/>
  <c r="V724" i="19" s="1"/>
  <c r="G2113" i="19"/>
  <c r="G1089" i="19"/>
  <c r="R1612" i="19"/>
  <c r="V1612" i="19" s="1"/>
  <c r="J1612" i="19"/>
  <c r="G1612" i="19" s="1"/>
  <c r="D2090" i="23"/>
  <c r="I37" i="7"/>
  <c r="D2137" i="23" s="1"/>
  <c r="R1027" i="19"/>
  <c r="V1027" i="19" s="1"/>
  <c r="J1027" i="19"/>
  <c r="G1027" i="19" s="1"/>
  <c r="G713" i="19"/>
  <c r="D1691" i="23"/>
  <c r="Q48" i="2"/>
  <c r="E1469" i="23"/>
  <c r="D252" i="23"/>
  <c r="T41" i="9"/>
  <c r="J41" i="9"/>
  <c r="R41" i="9"/>
  <c r="D2534" i="23"/>
  <c r="I11" i="12"/>
  <c r="D2581" i="23" s="1"/>
  <c r="D2570" i="23"/>
  <c r="I47" i="12"/>
  <c r="D2617" i="23" s="1"/>
  <c r="D1817" i="23"/>
  <c r="C433" i="19"/>
  <c r="H433" i="19" s="1"/>
  <c r="G433" i="19" s="1"/>
  <c r="D1644" i="23"/>
  <c r="M57" i="2"/>
  <c r="G57" i="2"/>
  <c r="D1357" i="23" s="1"/>
  <c r="R615" i="19"/>
  <c r="V615" i="19" s="1"/>
  <c r="J615" i="19"/>
  <c r="D2880" i="23"/>
  <c r="I64" i="16"/>
  <c r="D2933" i="23" s="1"/>
  <c r="G1833" i="19"/>
  <c r="I14" i="28"/>
  <c r="D653" i="23" s="1"/>
  <c r="G50" i="15"/>
  <c r="D619" i="23"/>
  <c r="D235" i="23"/>
  <c r="T24" i="9"/>
  <c r="J24" i="9"/>
  <c r="R24" i="9"/>
  <c r="D2528" i="23"/>
  <c r="I5" i="12"/>
  <c r="D2575" i="23" s="1"/>
  <c r="T5" i="12"/>
  <c r="D1409" i="23"/>
  <c r="G2028" i="19"/>
  <c r="D2814" i="23"/>
  <c r="I8" i="16"/>
  <c r="D2829" i="23" s="1"/>
  <c r="R1921" i="19"/>
  <c r="V1921" i="19" s="1"/>
  <c r="J1921" i="19"/>
  <c r="G1921" i="19" s="1"/>
  <c r="E1380" i="23"/>
  <c r="D98" i="23"/>
  <c r="F44" i="6"/>
  <c r="T28" i="6"/>
  <c r="R28" i="6"/>
  <c r="J28" i="6"/>
  <c r="F2778" i="23"/>
  <c r="E1023" i="23"/>
  <c r="D1023" i="23"/>
  <c r="J2613" i="19"/>
  <c r="G2613" i="19" s="1"/>
  <c r="R2613" i="19"/>
  <c r="V2613" i="19" s="1"/>
  <c r="J1902" i="19"/>
  <c r="G1902" i="19" s="1"/>
  <c r="R1902" i="19"/>
  <c r="V1902" i="19" s="1"/>
  <c r="F2445" i="23"/>
  <c r="K2698" i="23"/>
  <c r="F2698" i="23" s="1"/>
  <c r="O2698" i="23"/>
  <c r="P2698" i="23"/>
  <c r="L2698" i="23"/>
  <c r="F1934" i="23"/>
  <c r="F2020" i="23"/>
  <c r="F2390" i="23"/>
  <c r="F294" i="23"/>
  <c r="L433" i="23"/>
  <c r="K433" i="23"/>
  <c r="F433" i="23" s="1"/>
  <c r="O433" i="23"/>
  <c r="P433" i="23"/>
  <c r="E2763" i="23"/>
  <c r="N23" i="14"/>
  <c r="L2638" i="23"/>
  <c r="F2638" i="23" s="1"/>
  <c r="K2638" i="23"/>
  <c r="P2638" i="23"/>
  <c r="O2638" i="23"/>
  <c r="F2213" i="23"/>
  <c r="F1872" i="23"/>
  <c r="P2680" i="23"/>
  <c r="L2680" i="23"/>
  <c r="K2680" i="23"/>
  <c r="F2680" i="23" s="1"/>
  <c r="O2680" i="23"/>
  <c r="F1951" i="23"/>
  <c r="F279" i="23"/>
  <c r="F1918" i="23"/>
  <c r="G1972" i="19"/>
  <c r="R1490" i="19"/>
  <c r="V1490" i="19" s="1"/>
  <c r="J1490" i="19"/>
  <c r="G1490" i="19" s="1"/>
  <c r="G1858" i="19"/>
  <c r="F2412" i="23"/>
  <c r="F2397" i="23"/>
  <c r="F2609" i="23"/>
  <c r="F2534" i="23"/>
  <c r="F2561" i="23"/>
  <c r="F2187" i="23"/>
  <c r="F1992" i="23"/>
  <c r="F2063" i="23"/>
  <c r="F224" i="23"/>
  <c r="F483" i="23"/>
  <c r="F390" i="23"/>
  <c r="F455" i="23"/>
  <c r="F60" i="23"/>
  <c r="E2527" i="22"/>
  <c r="E2522" i="22"/>
  <c r="F131" i="23"/>
  <c r="F1969" i="23"/>
  <c r="R2353" i="19"/>
  <c r="V2353" i="19" s="1"/>
  <c r="J2353" i="19"/>
  <c r="G2353" i="19" s="1"/>
  <c r="R2120" i="19"/>
  <c r="J2120" i="19"/>
  <c r="G2120" i="19" s="1"/>
  <c r="R1486" i="19"/>
  <c r="V1486" i="19" s="1"/>
  <c r="J1486" i="19"/>
  <c r="G1486" i="19" s="1"/>
  <c r="G1371" i="19"/>
  <c r="G2293" i="19"/>
  <c r="D872" i="23"/>
  <c r="J8" i="16"/>
  <c r="J1915" i="19"/>
  <c r="G1915" i="19" s="1"/>
  <c r="R1915" i="19"/>
  <c r="V1915" i="19" s="1"/>
  <c r="G2031" i="19"/>
  <c r="D2948" i="23"/>
  <c r="H7" i="17"/>
  <c r="D2962" i="23" s="1"/>
  <c r="G1933" i="19"/>
  <c r="J1773" i="19"/>
  <c r="G1773" i="19" s="1"/>
  <c r="R1773" i="19"/>
  <c r="V1773" i="19" s="1"/>
  <c r="G2018" i="19"/>
  <c r="G1484" i="19"/>
  <c r="R86" i="19"/>
  <c r="V86" i="19" s="1"/>
  <c r="J86" i="19"/>
  <c r="G86" i="19" s="1"/>
  <c r="R2227" i="19"/>
  <c r="J2227" i="19"/>
  <c r="G2227" i="19" s="1"/>
  <c r="G2098" i="19"/>
  <c r="R599" i="19"/>
  <c r="V599" i="19" s="1"/>
  <c r="J599" i="19"/>
  <c r="G599" i="19" s="1"/>
  <c r="R2639" i="19"/>
  <c r="V2639" i="19" s="1"/>
  <c r="J2639" i="19"/>
  <c r="G2639" i="19" s="1"/>
  <c r="J2231" i="19"/>
  <c r="G2231" i="19" s="1"/>
  <c r="R2231" i="19"/>
  <c r="R1746" i="19"/>
  <c r="V1746" i="19" s="1"/>
  <c r="J1746" i="19"/>
  <c r="G1746" i="19" s="1"/>
  <c r="R1036" i="19"/>
  <c r="V1036" i="19" s="1"/>
  <c r="J1036" i="19"/>
  <c r="G1036" i="19" s="1"/>
  <c r="M12" i="18"/>
  <c r="G2152" i="19"/>
  <c r="R1479" i="19"/>
  <c r="V1479" i="19" s="1"/>
  <c r="J1479" i="19"/>
  <c r="G1479" i="19" s="1"/>
  <c r="J1323" i="19"/>
  <c r="R1323" i="19"/>
  <c r="V1323" i="19" s="1"/>
  <c r="D591" i="23"/>
  <c r="T20" i="15"/>
  <c r="R20" i="15"/>
  <c r="J20" i="15"/>
  <c r="R895" i="19"/>
  <c r="V895" i="19" s="1"/>
  <c r="J895" i="19"/>
  <c r="G895" i="19" s="1"/>
  <c r="G549" i="19"/>
  <c r="G2061" i="19"/>
  <c r="E1462" i="23"/>
  <c r="G1604" i="19"/>
  <c r="R46" i="19"/>
  <c r="V46" i="19" s="1"/>
  <c r="J46" i="19"/>
  <c r="G46" i="19" s="1"/>
  <c r="D317" i="23"/>
  <c r="T12" i="11"/>
  <c r="J12" i="11"/>
  <c r="R12" i="11"/>
  <c r="J959" i="19"/>
  <c r="R959" i="19"/>
  <c r="V959" i="19" s="1"/>
  <c r="G2576" i="19"/>
  <c r="D2721" i="23"/>
  <c r="I10" i="14"/>
  <c r="D2769" i="23" s="1"/>
  <c r="G1804" i="19"/>
  <c r="R2234" i="19"/>
  <c r="J2234" i="19"/>
  <c r="G2234" i="19" s="1"/>
  <c r="D231" i="23"/>
  <c r="T20" i="9"/>
  <c r="J20" i="9"/>
  <c r="R20" i="9"/>
  <c r="D883" i="23"/>
  <c r="C2239" i="19"/>
  <c r="H2239" i="19" s="1"/>
  <c r="G2239" i="19" s="1"/>
  <c r="G1282" i="19"/>
  <c r="R2224" i="19"/>
  <c r="J2224" i="19"/>
  <c r="G2224" i="19" s="1"/>
  <c r="D247" i="23"/>
  <c r="T36" i="9"/>
  <c r="R36" i="9"/>
  <c r="D80" i="23"/>
  <c r="J10" i="6"/>
  <c r="T10" i="6"/>
  <c r="R10" i="6"/>
  <c r="E978" i="23"/>
  <c r="D978" i="23"/>
  <c r="D2649" i="23"/>
  <c r="I32" i="13"/>
  <c r="D2696" i="23" s="1"/>
  <c r="R81" i="19"/>
  <c r="V81" i="19" s="1"/>
  <c r="J81" i="19"/>
  <c r="G81" i="19" s="1"/>
  <c r="G852" i="19"/>
  <c r="E1461" i="23"/>
  <c r="E1349" i="23"/>
  <c r="F53" i="19"/>
  <c r="G2100" i="19"/>
  <c r="E1079" i="23"/>
  <c r="N80" i="17"/>
  <c r="D2356" i="23"/>
  <c r="I21" i="10"/>
  <c r="D2403" i="23" s="1"/>
  <c r="D1068" i="23"/>
  <c r="C2525" i="19"/>
  <c r="H2525" i="19" s="1"/>
  <c r="D2031" i="23"/>
  <c r="D1659" i="23"/>
  <c r="C278" i="19"/>
  <c r="H278" i="19" s="1"/>
  <c r="G278" i="19" s="1"/>
  <c r="Q13" i="2"/>
  <c r="G13" i="2"/>
  <c r="D1313" i="23" s="1"/>
  <c r="D781" i="23"/>
  <c r="J42" i="28"/>
  <c r="R1628" i="19"/>
  <c r="V1628" i="19" s="1"/>
  <c r="J1628" i="19"/>
  <c r="G1628" i="19" s="1"/>
  <c r="D292" i="23"/>
  <c r="R34" i="10"/>
  <c r="J34" i="10"/>
  <c r="T34" i="10"/>
  <c r="G23" i="10"/>
  <c r="J1760" i="19"/>
  <c r="R1760" i="19"/>
  <c r="V1760" i="19" s="1"/>
  <c r="I23" i="28"/>
  <c r="D662" i="23" s="1"/>
  <c r="D628" i="23"/>
  <c r="D2165" i="23"/>
  <c r="I18" i="8"/>
  <c r="D2212" i="23" s="1"/>
  <c r="E1444" i="23"/>
  <c r="J2131" i="19"/>
  <c r="R2131" i="19"/>
  <c r="G2096" i="19"/>
  <c r="E1719" i="23"/>
  <c r="D2469" i="23"/>
  <c r="I40" i="11"/>
  <c r="D2516" i="23" s="1"/>
  <c r="J938" i="19"/>
  <c r="R938" i="19"/>
  <c r="V938" i="19" s="1"/>
  <c r="D69" i="23"/>
  <c r="V51" i="15"/>
  <c r="R46" i="5"/>
  <c r="E77" i="17"/>
  <c r="T46" i="5"/>
  <c r="E1410" i="23"/>
  <c r="G761" i="19"/>
  <c r="G482" i="19"/>
  <c r="E1441" i="23"/>
  <c r="R609" i="19"/>
  <c r="V609" i="19" s="1"/>
  <c r="J609" i="19"/>
  <c r="D699" i="23"/>
  <c r="T26" i="28"/>
  <c r="R26" i="28"/>
  <c r="J26" i="28"/>
  <c r="G1301" i="19"/>
  <c r="D1778" i="23"/>
  <c r="E2865" i="23"/>
  <c r="L52" i="16"/>
  <c r="O49" i="16"/>
  <c r="R2213" i="19"/>
  <c r="J2213" i="19"/>
  <c r="G655" i="19"/>
  <c r="J518" i="19"/>
  <c r="G518" i="19" s="1"/>
  <c r="R518" i="19"/>
  <c r="V518" i="19" s="1"/>
  <c r="E1439" i="23"/>
  <c r="D2386" i="23"/>
  <c r="R665" i="19"/>
  <c r="V665" i="19" s="1"/>
  <c r="J665" i="19"/>
  <c r="G665" i="19" s="1"/>
  <c r="G1755" i="19"/>
  <c r="G1643" i="19"/>
  <c r="G918" i="19"/>
  <c r="D3046" i="23"/>
  <c r="Q22" i="18"/>
  <c r="D3050" i="23" s="1"/>
  <c r="G625" i="19"/>
  <c r="G2001" i="19"/>
  <c r="G2168" i="19"/>
  <c r="G1580" i="19"/>
  <c r="G882" i="19"/>
  <c r="G1114" i="19"/>
  <c r="R590" i="19"/>
  <c r="V590" i="19" s="1"/>
  <c r="J590" i="19"/>
  <c r="E140" i="23"/>
  <c r="K27" i="7"/>
  <c r="O23" i="7"/>
  <c r="D100" i="23"/>
  <c r="R30" i="6"/>
  <c r="J30" i="6"/>
  <c r="T30" i="6"/>
  <c r="D2471" i="23"/>
  <c r="I42" i="11"/>
  <c r="D2518" i="23" s="1"/>
  <c r="G1271" i="19"/>
  <c r="D1674" i="23"/>
  <c r="G28" i="2"/>
  <c r="D1328" i="23" s="1"/>
  <c r="Q28" i="2"/>
  <c r="D1845" i="23"/>
  <c r="D911" i="23"/>
  <c r="I20" i="17"/>
  <c r="J2209" i="19"/>
  <c r="G2209" i="19" s="1"/>
  <c r="R2209" i="19"/>
  <c r="D1781" i="23"/>
  <c r="E2358" i="23"/>
  <c r="L27" i="10"/>
  <c r="D640" i="23"/>
  <c r="I35" i="28"/>
  <c r="D674" i="23" s="1"/>
  <c r="D150" i="23"/>
  <c r="T33" i="7"/>
  <c r="R33" i="7"/>
  <c r="J33" i="7"/>
  <c r="E1437" i="23"/>
  <c r="S43" i="2"/>
  <c r="D200" i="23"/>
  <c r="T36" i="8"/>
  <c r="J36" i="8"/>
  <c r="R36" i="8"/>
  <c r="R2217" i="19"/>
  <c r="J2217" i="19"/>
  <c r="G2217" i="19" s="1"/>
  <c r="E988" i="23"/>
  <c r="D988" i="23"/>
  <c r="G2068" i="19"/>
  <c r="D2340" i="23"/>
  <c r="I5" i="10"/>
  <c r="D2387" i="23" s="1"/>
  <c r="D2861" i="23"/>
  <c r="G49" i="16"/>
  <c r="J44" i="16"/>
  <c r="I44" i="16"/>
  <c r="C428" i="19"/>
  <c r="H428" i="19" s="1"/>
  <c r="M51" i="9"/>
  <c r="D690" i="23"/>
  <c r="T17" i="28"/>
  <c r="R17" i="28"/>
  <c r="J17" i="28"/>
  <c r="E1382" i="23"/>
  <c r="J762" i="19"/>
  <c r="R762" i="19"/>
  <c r="V762" i="19" s="1"/>
  <c r="J1643" i="19"/>
  <c r="R1643" i="19"/>
  <c r="V1643" i="19" s="1"/>
  <c r="D87" i="23"/>
  <c r="J17" i="6"/>
  <c r="T17" i="6"/>
  <c r="R17" i="6"/>
  <c r="D1716" i="23"/>
  <c r="D1832" i="23"/>
  <c r="J2336" i="19"/>
  <c r="G2336" i="19" s="1"/>
  <c r="R2336" i="19"/>
  <c r="D173" i="23"/>
  <c r="R9" i="8"/>
  <c r="J9" i="8"/>
  <c r="T9" i="8"/>
  <c r="R567" i="19"/>
  <c r="V567" i="19" s="1"/>
  <c r="J567" i="19"/>
  <c r="G567" i="19" s="1"/>
  <c r="J2443" i="19"/>
  <c r="G2443" i="19" s="1"/>
  <c r="R2443" i="19"/>
  <c r="V2443" i="19" s="1"/>
  <c r="D245" i="23"/>
  <c r="R34" i="9"/>
  <c r="T34" i="9"/>
  <c r="J34" i="9"/>
  <c r="G590" i="19"/>
  <c r="D1501" i="23"/>
  <c r="M32" i="2"/>
  <c r="G32" i="2"/>
  <c r="D1332" i="23" s="1"/>
  <c r="R740" i="19"/>
  <c r="V740" i="19" s="1"/>
  <c r="J740" i="19"/>
  <c r="E880" i="23"/>
  <c r="K17" i="16"/>
  <c r="G1540" i="19"/>
  <c r="D2169" i="23"/>
  <c r="I22" i="8"/>
  <c r="D2216" i="23" s="1"/>
  <c r="D1976" i="23"/>
  <c r="I17" i="6"/>
  <c r="D2023" i="23" s="1"/>
  <c r="J2347" i="19"/>
  <c r="G2347" i="19" s="1"/>
  <c r="R2347" i="19"/>
  <c r="V2347" i="19" s="1"/>
  <c r="D2750" i="23"/>
  <c r="I39" i="14"/>
  <c r="D2798" i="23" s="1"/>
  <c r="R1379" i="19"/>
  <c r="V1379" i="19" s="1"/>
  <c r="J1379" i="19"/>
  <c r="G1379" i="19" s="1"/>
  <c r="D1387" i="23"/>
  <c r="D126" i="23"/>
  <c r="R9" i="7"/>
  <c r="T9" i="7"/>
  <c r="J9" i="7"/>
  <c r="D706" i="23"/>
  <c r="R33" i="28"/>
  <c r="J33" i="28"/>
  <c r="T33" i="28"/>
  <c r="D2179" i="23"/>
  <c r="I32" i="8"/>
  <c r="D2226" i="23" s="1"/>
  <c r="E1373" i="23"/>
  <c r="D1667" i="23"/>
  <c r="D43" i="4"/>
  <c r="Q21" i="2"/>
  <c r="R1046" i="19"/>
  <c r="V1046" i="19" s="1"/>
  <c r="J1046" i="19"/>
  <c r="G1046" i="19" s="1"/>
  <c r="E1395" i="23"/>
  <c r="D790" i="23"/>
  <c r="J51" i="28"/>
  <c r="D2375" i="23"/>
  <c r="I40" i="10"/>
  <c r="D2422" i="23" s="1"/>
  <c r="D597" i="23"/>
  <c r="T26" i="15"/>
  <c r="R26" i="15"/>
  <c r="J26" i="15"/>
  <c r="D401" i="23"/>
  <c r="T50" i="12"/>
  <c r="R50" i="12"/>
  <c r="G2149" i="19"/>
  <c r="E1571" i="23"/>
  <c r="D279" i="23"/>
  <c r="T21" i="10"/>
  <c r="R21" i="10"/>
  <c r="J21" i="10"/>
  <c r="E1250" i="23"/>
  <c r="D1250" i="23"/>
  <c r="D801" i="23"/>
  <c r="J62" i="28"/>
  <c r="G636" i="19"/>
  <c r="G2033" i="19"/>
  <c r="D1806" i="23"/>
  <c r="D263" i="23"/>
  <c r="R5" i="10"/>
  <c r="J5" i="10"/>
  <c r="T5" i="10"/>
  <c r="R2232" i="19"/>
  <c r="J2232" i="19"/>
  <c r="G2232" i="19" s="1"/>
  <c r="R744" i="19"/>
  <c r="V744" i="19" s="1"/>
  <c r="J744" i="19"/>
  <c r="G744" i="19" s="1"/>
  <c r="G2401" i="19"/>
  <c r="D740" i="23"/>
  <c r="I69" i="28"/>
  <c r="D774" i="23" s="1"/>
  <c r="D2280" i="23"/>
  <c r="I39" i="9"/>
  <c r="D2327" i="23" s="1"/>
  <c r="J1302" i="19"/>
  <c r="G1302" i="19" s="1"/>
  <c r="R1302" i="19"/>
  <c r="V1302" i="19" s="1"/>
  <c r="J2030" i="19"/>
  <c r="R2030" i="19"/>
  <c r="V2030" i="19" s="1"/>
  <c r="D1557" i="23"/>
  <c r="M29" i="2"/>
  <c r="G29" i="2"/>
  <c r="D1329" i="23" s="1"/>
  <c r="J2330" i="19"/>
  <c r="G2330" i="19" s="1"/>
  <c r="R2330" i="19"/>
  <c r="V2330" i="19" s="1"/>
  <c r="D391" i="23"/>
  <c r="T39" i="12"/>
  <c r="R39" i="12"/>
  <c r="J39" i="12"/>
  <c r="D1672" i="23"/>
  <c r="Q26" i="2"/>
  <c r="R388" i="19"/>
  <c r="V388" i="19" s="1"/>
  <c r="J388" i="19"/>
  <c r="G388" i="19" s="1"/>
  <c r="G1609" i="19"/>
  <c r="G2257" i="19"/>
  <c r="G1724" i="19"/>
  <c r="D2560" i="23"/>
  <c r="I37" i="12"/>
  <c r="D2607" i="23" s="1"/>
  <c r="G631" i="19"/>
  <c r="D1749" i="23"/>
  <c r="D1814" i="23"/>
  <c r="C430" i="19"/>
  <c r="H430" i="19" s="1"/>
  <c r="G430" i="19" s="1"/>
  <c r="P20" i="4"/>
  <c r="G616" i="19"/>
  <c r="G680" i="19"/>
  <c r="R582" i="19"/>
  <c r="V582" i="19" s="1"/>
  <c r="J582" i="19"/>
  <c r="G582" i="19" s="1"/>
  <c r="G1181" i="19"/>
  <c r="D154" i="23"/>
  <c r="T37" i="7"/>
  <c r="R37" i="7"/>
  <c r="J37" i="7"/>
  <c r="R579" i="19"/>
  <c r="V579" i="19" s="1"/>
  <c r="J579" i="19"/>
  <c r="G579" i="19" s="1"/>
  <c r="D1665" i="23"/>
  <c r="Q19" i="2"/>
  <c r="G683" i="19"/>
  <c r="D1804" i="23"/>
  <c r="E1400" i="23"/>
  <c r="G1260" i="19"/>
  <c r="G2300" i="19"/>
  <c r="D334" i="23"/>
  <c r="R29" i="11"/>
  <c r="T29" i="11"/>
  <c r="J29" i="11"/>
  <c r="F44" i="11"/>
  <c r="D106" i="23"/>
  <c r="R36" i="6"/>
  <c r="J36" i="6"/>
  <c r="T36" i="6"/>
  <c r="R1325" i="19"/>
  <c r="V1325" i="19" s="1"/>
  <c r="J1325" i="19"/>
  <c r="G1325" i="19" s="1"/>
  <c r="D1197" i="23"/>
  <c r="E1197" i="23"/>
  <c r="J1015" i="19"/>
  <c r="G1015" i="19" s="1"/>
  <c r="R1015" i="19"/>
  <c r="V1015" i="19" s="1"/>
  <c r="J722" i="19"/>
  <c r="G722" i="19" s="1"/>
  <c r="R722" i="19"/>
  <c r="V722" i="19" s="1"/>
  <c r="D1657" i="23"/>
  <c r="C276" i="19"/>
  <c r="H276" i="19" s="1"/>
  <c r="G276" i="19" s="1"/>
  <c r="Q11" i="2"/>
  <c r="D20" i="4"/>
  <c r="D1964" i="23"/>
  <c r="I5" i="6"/>
  <c r="D2011" i="23" s="1"/>
  <c r="E46" i="23"/>
  <c r="K27" i="5"/>
  <c r="J71" i="17"/>
  <c r="D1254" i="23"/>
  <c r="E1254" i="23"/>
  <c r="E59" i="19"/>
  <c r="D702" i="23"/>
  <c r="T29" i="28"/>
  <c r="R29" i="28"/>
  <c r="J29" i="28"/>
  <c r="R1171" i="19"/>
  <c r="V1171" i="19" s="1"/>
  <c r="J1171" i="19"/>
  <c r="D1824" i="23"/>
  <c r="P43" i="4"/>
  <c r="D2664" i="23"/>
  <c r="I47" i="13"/>
  <c r="D2711" i="23" s="1"/>
  <c r="D45" i="23"/>
  <c r="J22" i="5"/>
  <c r="T22" i="5"/>
  <c r="R22" i="5"/>
  <c r="J1893" i="19"/>
  <c r="G1893" i="19" s="1"/>
  <c r="R1893" i="19"/>
  <c r="V1893" i="19" s="1"/>
  <c r="J2123" i="19"/>
  <c r="G2123" i="19" s="1"/>
  <c r="R2123" i="19"/>
  <c r="D1775" i="23"/>
  <c r="D1259" i="23"/>
  <c r="E1259" i="23"/>
  <c r="E64" i="19"/>
  <c r="R1635" i="19"/>
  <c r="V1635" i="19" s="1"/>
  <c r="J1635" i="19"/>
  <c r="G1635" i="19" s="1"/>
  <c r="D697" i="23"/>
  <c r="R24" i="28"/>
  <c r="T24" i="28"/>
  <c r="J24" i="28"/>
  <c r="D117" i="23"/>
  <c r="J47" i="6"/>
  <c r="T47" i="6"/>
  <c r="R47" i="6"/>
  <c r="D389" i="23"/>
  <c r="R37" i="12"/>
  <c r="T37" i="12"/>
  <c r="J37" i="12"/>
  <c r="D1737" i="23"/>
  <c r="Q41" i="2"/>
  <c r="E583" i="23"/>
  <c r="O12" i="15"/>
  <c r="K37" i="15"/>
  <c r="S12" i="15"/>
  <c r="U12" i="15"/>
  <c r="D3002" i="23"/>
  <c r="H7" i="18"/>
  <c r="D2982" i="23" s="1"/>
  <c r="J1197" i="19"/>
  <c r="R1197" i="19"/>
  <c r="V1197" i="19" s="1"/>
  <c r="E1470" i="23"/>
  <c r="D225" i="23"/>
  <c r="T14" i="9"/>
  <c r="J14" i="9"/>
  <c r="R14" i="9"/>
  <c r="L72" i="17"/>
  <c r="M27" i="6"/>
  <c r="D1664" i="23"/>
  <c r="Q18" i="2"/>
  <c r="E2052" i="23"/>
  <c r="E1596" i="19"/>
  <c r="E715" i="19"/>
  <c r="R593" i="19"/>
  <c r="V593" i="19" s="1"/>
  <c r="J593" i="19"/>
  <c r="G593" i="19" s="1"/>
  <c r="G1268" i="19"/>
  <c r="G605" i="19"/>
  <c r="D938" i="23"/>
  <c r="E938" i="23"/>
  <c r="I28" i="1"/>
  <c r="E2481" i="19" s="1"/>
  <c r="G1987" i="19"/>
  <c r="G2200" i="19"/>
  <c r="R1632" i="19"/>
  <c r="V1632" i="19" s="1"/>
  <c r="J1632" i="19"/>
  <c r="G1632" i="19" s="1"/>
  <c r="D1745" i="23"/>
  <c r="Q49" i="2"/>
  <c r="G728" i="19"/>
  <c r="D1786" i="23"/>
  <c r="D596" i="23"/>
  <c r="J25" i="15"/>
  <c r="G1627" i="19"/>
  <c r="G610" i="19"/>
  <c r="D2566" i="23"/>
  <c r="I43" i="12"/>
  <c r="D2613" i="23" s="1"/>
  <c r="D1994" i="23"/>
  <c r="I35" i="6"/>
  <c r="D2041" i="23" s="1"/>
  <c r="T35" i="6"/>
  <c r="D2099" i="23"/>
  <c r="I46" i="7"/>
  <c r="D2146" i="23" s="1"/>
  <c r="D1972" i="23"/>
  <c r="I13" i="6"/>
  <c r="D2019" i="23" s="1"/>
  <c r="E849" i="23"/>
  <c r="L56" i="15"/>
  <c r="N53" i="15"/>
  <c r="E852" i="23" s="1"/>
  <c r="J583" i="19"/>
  <c r="G583" i="19" s="1"/>
  <c r="R583" i="19"/>
  <c r="V583" i="19" s="1"/>
  <c r="R284" i="19"/>
  <c r="V284" i="19" s="1"/>
  <c r="J284" i="19"/>
  <c r="G284" i="19" s="1"/>
  <c r="D868" i="23"/>
  <c r="J5" i="16"/>
  <c r="P11" i="3"/>
  <c r="F10" i="16"/>
  <c r="AO21" i="22" s="1"/>
  <c r="M56" i="1" s="1"/>
  <c r="D327" i="23"/>
  <c r="R22" i="11"/>
  <c r="J22" i="11"/>
  <c r="T22" i="11"/>
  <c r="R900" i="19"/>
  <c r="V900" i="19" s="1"/>
  <c r="J900" i="19"/>
  <c r="G900" i="19" s="1"/>
  <c r="G994" i="19"/>
  <c r="E1429" i="23"/>
  <c r="D678" i="23"/>
  <c r="R5" i="28"/>
  <c r="T5" i="28"/>
  <c r="F12" i="28"/>
  <c r="J5" i="28"/>
  <c r="F46" i="15"/>
  <c r="E644" i="19"/>
  <c r="G1996" i="19"/>
  <c r="G1296" i="19"/>
  <c r="D484" i="23"/>
  <c r="T38" i="14"/>
  <c r="J38" i="14"/>
  <c r="R38" i="14"/>
  <c r="D298" i="23"/>
  <c r="R40" i="10"/>
  <c r="J40" i="10"/>
  <c r="T40" i="10"/>
  <c r="J752" i="19"/>
  <c r="G752" i="19" s="1"/>
  <c r="R752" i="19"/>
  <c r="V752" i="19" s="1"/>
  <c r="J2035" i="19"/>
  <c r="G2035" i="19" s="1"/>
  <c r="R2035" i="19"/>
  <c r="V2035" i="19" s="1"/>
  <c r="R733" i="19"/>
  <c r="V733" i="19" s="1"/>
  <c r="J733" i="19"/>
  <c r="G733" i="19" s="1"/>
  <c r="R56" i="19"/>
  <c r="V56" i="19" s="1"/>
  <c r="J56" i="19"/>
  <c r="G56" i="19" s="1"/>
  <c r="D160" i="23"/>
  <c r="R43" i="7"/>
  <c r="J43" i="7"/>
  <c r="T43" i="7"/>
  <c r="J1309" i="19"/>
  <c r="G1309" i="19" s="1"/>
  <c r="R1309" i="19"/>
  <c r="V1309" i="19" s="1"/>
  <c r="D369" i="23"/>
  <c r="R17" i="12"/>
  <c r="T17" i="12"/>
  <c r="J17" i="12"/>
  <c r="G1965" i="19"/>
  <c r="D249" i="23"/>
  <c r="T38" i="9"/>
  <c r="R38" i="9"/>
  <c r="J38" i="9"/>
  <c r="D2074" i="23"/>
  <c r="I21" i="7"/>
  <c r="D2121" i="23" s="1"/>
  <c r="D2347" i="23"/>
  <c r="I12" i="10"/>
  <c r="D2394" i="23" s="1"/>
  <c r="D2091" i="23"/>
  <c r="I38" i="7"/>
  <c r="D2138" i="23" s="1"/>
  <c r="G2458" i="19"/>
  <c r="J2135" i="19"/>
  <c r="G2135" i="19" s="1"/>
  <c r="R2135" i="19"/>
  <c r="D408" i="23"/>
  <c r="T9" i="13"/>
  <c r="J9" i="13"/>
  <c r="R9" i="13"/>
  <c r="D1726" i="23"/>
  <c r="G1963" i="19"/>
  <c r="D684" i="23"/>
  <c r="T11" i="28"/>
  <c r="R11" i="28"/>
  <c r="J11" i="28"/>
  <c r="G1383" i="19"/>
  <c r="D1413" i="23"/>
  <c r="R2228" i="19"/>
  <c r="J2228" i="19"/>
  <c r="G2228" i="19" s="1"/>
  <c r="L71" i="3"/>
  <c r="D2269" i="23"/>
  <c r="I28" i="9"/>
  <c r="G44" i="9"/>
  <c r="R1634" i="19"/>
  <c r="V1634" i="19" s="1"/>
  <c r="J1634" i="19"/>
  <c r="G1634" i="19" s="1"/>
  <c r="D2058" i="23"/>
  <c r="I5" i="7"/>
  <c r="D2105" i="23" s="1"/>
  <c r="G23" i="7"/>
  <c r="D2153" i="23"/>
  <c r="I6" i="8"/>
  <c r="D2200" i="23" s="1"/>
  <c r="D260" i="23"/>
  <c r="R50" i="9"/>
  <c r="T50" i="9"/>
  <c r="E80" i="17"/>
  <c r="D124" i="23"/>
  <c r="T7" i="7"/>
  <c r="R7" i="7"/>
  <c r="J7" i="7"/>
  <c r="J578" i="19"/>
  <c r="G578" i="19" s="1"/>
  <c r="R578" i="19"/>
  <c r="V578" i="19" s="1"/>
  <c r="G14" i="2"/>
  <c r="D1314" i="23" s="1"/>
  <c r="D1678" i="23"/>
  <c r="Q32" i="2"/>
  <c r="G2480" i="19"/>
  <c r="G2071" i="19"/>
  <c r="D1799" i="23"/>
  <c r="G50" i="2"/>
  <c r="D1350" i="23" s="1"/>
  <c r="J1028" i="19"/>
  <c r="R1028" i="19"/>
  <c r="V1028" i="19" s="1"/>
  <c r="E1440" i="23"/>
  <c r="D2527" i="23"/>
  <c r="G23" i="12"/>
  <c r="I4" i="12"/>
  <c r="J872" i="19"/>
  <c r="R872" i="19"/>
  <c r="V872" i="19" s="1"/>
  <c r="D2104" i="23"/>
  <c r="E2316" i="23"/>
  <c r="N44" i="9"/>
  <c r="D1884" i="23"/>
  <c r="I19" i="5"/>
  <c r="D1931" i="23" s="1"/>
  <c r="D136" i="23"/>
  <c r="T19" i="7"/>
  <c r="R19" i="7"/>
  <c r="J19" i="7"/>
  <c r="J868" i="19"/>
  <c r="R868" i="19"/>
  <c r="V868" i="19" s="1"/>
  <c r="D42" i="23"/>
  <c r="T19" i="5"/>
  <c r="R19" i="5"/>
  <c r="J19" i="5"/>
  <c r="D1376" i="23"/>
  <c r="R1165" i="19"/>
  <c r="V1165" i="19" s="1"/>
  <c r="J1165" i="19"/>
  <c r="D2529" i="23"/>
  <c r="I6" i="12"/>
  <c r="D2576" i="23" s="1"/>
  <c r="D3048" i="23"/>
  <c r="H20" i="18"/>
  <c r="D2994" i="23" s="1"/>
  <c r="L24" i="17"/>
  <c r="M19" i="16" s="1"/>
  <c r="D405" i="23"/>
  <c r="T6" i="13"/>
  <c r="R6" i="13"/>
  <c r="J6" i="13"/>
  <c r="R2027" i="19"/>
  <c r="V2027" i="19" s="1"/>
  <c r="J2027" i="19"/>
  <c r="G2027" i="19" s="1"/>
  <c r="J2525" i="19"/>
  <c r="D1556" i="23"/>
  <c r="M27" i="2"/>
  <c r="R2327" i="19"/>
  <c r="V2327" i="19" s="1"/>
  <c r="J2327" i="19"/>
  <c r="G2327" i="19" s="1"/>
  <c r="D637" i="23"/>
  <c r="I32" i="28"/>
  <c r="D671" i="23" s="1"/>
  <c r="G1376" i="19"/>
  <c r="D1850" i="23"/>
  <c r="D1710" i="23"/>
  <c r="C329" i="19"/>
  <c r="H329" i="19" s="1"/>
  <c r="G329" i="19" s="1"/>
  <c r="H20" i="4"/>
  <c r="E1388" i="23"/>
  <c r="G650" i="19"/>
  <c r="G1532" i="19"/>
  <c r="D1562" i="23"/>
  <c r="M34" i="2"/>
  <c r="D2461" i="23"/>
  <c r="I32" i="11"/>
  <c r="D2508" i="23" s="1"/>
  <c r="G658" i="19"/>
  <c r="R2130" i="19"/>
  <c r="J2130" i="19"/>
  <c r="G2130" i="19" s="1"/>
  <c r="R906" i="19"/>
  <c r="V906" i="19" s="1"/>
  <c r="J906" i="19"/>
  <c r="G906" i="19" s="1"/>
  <c r="E1375" i="23"/>
  <c r="O20" i="2"/>
  <c r="D2950" i="23"/>
  <c r="H9" i="17"/>
  <c r="D438" i="23"/>
  <c r="T39" i="13"/>
  <c r="R39" i="13"/>
  <c r="J39" i="13"/>
  <c r="G2023" i="19"/>
  <c r="E2285" i="23"/>
  <c r="L48" i="9"/>
  <c r="E2289" i="23" s="1"/>
  <c r="G925" i="19"/>
  <c r="J588" i="19"/>
  <c r="G588" i="19" s="1"/>
  <c r="R588" i="19"/>
  <c r="V588" i="19" s="1"/>
  <c r="J2006" i="19"/>
  <c r="G2006" i="19" s="1"/>
  <c r="R2006" i="19"/>
  <c r="V2006" i="19" s="1"/>
  <c r="D1688" i="23"/>
  <c r="Q45" i="2"/>
  <c r="D52" i="4"/>
  <c r="G1837" i="19"/>
  <c r="D446" i="23"/>
  <c r="J47" i="13"/>
  <c r="T47" i="13"/>
  <c r="R47" i="13"/>
  <c r="G2194" i="19"/>
  <c r="G935" i="19"/>
  <c r="E1028" i="23"/>
  <c r="C2547" i="19"/>
  <c r="H2547" i="19" s="1"/>
  <c r="G2547" i="19" s="1"/>
  <c r="D1028" i="23"/>
  <c r="J2612" i="19"/>
  <c r="G2612" i="19" s="1"/>
  <c r="R2612" i="19"/>
  <c r="V2612" i="19" s="1"/>
  <c r="R2016" i="19"/>
  <c r="V2016" i="19" s="1"/>
  <c r="J2016" i="19"/>
  <c r="E2576" i="23"/>
  <c r="N23" i="12"/>
  <c r="D2370" i="23"/>
  <c r="I35" i="10"/>
  <c r="D2417" i="23" s="1"/>
  <c r="E1408" i="23"/>
  <c r="D2733" i="23"/>
  <c r="I22" i="14"/>
  <c r="D2781" i="23" s="1"/>
  <c r="T22" i="14"/>
  <c r="D2923" i="23"/>
  <c r="J1748" i="19"/>
  <c r="G1748" i="19" s="1"/>
  <c r="R1748" i="19"/>
  <c r="V1748" i="19" s="1"/>
  <c r="D2275" i="23"/>
  <c r="I34" i="9"/>
  <c r="D2322" i="23" s="1"/>
  <c r="R55" i="19"/>
  <c r="V55" i="19" s="1"/>
  <c r="J55" i="19"/>
  <c r="G55" i="19" s="1"/>
  <c r="D364" i="23"/>
  <c r="J12" i="12"/>
  <c r="T12" i="12"/>
  <c r="R12" i="12"/>
  <c r="D64" i="23"/>
  <c r="T41" i="5"/>
  <c r="R41" i="5"/>
  <c r="D2468" i="23"/>
  <c r="I39" i="11"/>
  <c r="D2515" i="23" s="1"/>
  <c r="T39" i="11"/>
  <c r="E2334" i="23"/>
  <c r="E1156" i="19"/>
  <c r="E1009" i="19"/>
  <c r="J1449" i="19"/>
  <c r="R1449" i="19"/>
  <c r="V1449" i="19" s="1"/>
  <c r="J2381" i="19"/>
  <c r="G2381" i="19" s="1"/>
  <c r="R2381" i="19"/>
  <c r="V2381" i="19" s="1"/>
  <c r="J1473" i="19"/>
  <c r="G1473" i="19" s="1"/>
  <c r="R1473" i="19"/>
  <c r="V1473" i="19" s="1"/>
  <c r="D2084" i="23"/>
  <c r="I31" i="7"/>
  <c r="D2131" i="23" s="1"/>
  <c r="G44" i="7"/>
  <c r="D2069" i="23"/>
  <c r="I16" i="7"/>
  <c r="D2116" i="23" s="1"/>
  <c r="D204" i="23"/>
  <c r="T40" i="8"/>
  <c r="R40" i="8"/>
  <c r="J40" i="8"/>
  <c r="D1524" i="23"/>
  <c r="G55" i="2"/>
  <c r="D1355" i="23" s="1"/>
  <c r="M55" i="2"/>
  <c r="E1432" i="23"/>
  <c r="D508" i="23"/>
  <c r="I15" i="15"/>
  <c r="D542" i="23" s="1"/>
  <c r="J2208" i="19"/>
  <c r="G2208" i="19" s="1"/>
  <c r="R2208" i="19"/>
  <c r="D250" i="23"/>
  <c r="T39" i="9"/>
  <c r="J39" i="9"/>
  <c r="R39" i="9"/>
  <c r="J1925" i="19"/>
  <c r="G1925" i="19" s="1"/>
  <c r="R1925" i="19"/>
  <c r="V1925" i="19" s="1"/>
  <c r="D2717" i="23"/>
  <c r="I6" i="14"/>
  <c r="D2765" i="23" s="1"/>
  <c r="J2117" i="19"/>
  <c r="R2117" i="19"/>
  <c r="D2629" i="23"/>
  <c r="I12" i="13"/>
  <c r="D2676" i="23" s="1"/>
  <c r="R1480" i="19"/>
  <c r="V1480" i="19" s="1"/>
  <c r="J1480" i="19"/>
  <c r="G1480" i="19" s="1"/>
  <c r="D399" i="23"/>
  <c r="J47" i="12"/>
  <c r="R47" i="12"/>
  <c r="T47" i="12"/>
  <c r="L43" i="4"/>
  <c r="D2726" i="23"/>
  <c r="I15" i="14"/>
  <c r="D2774" i="23" s="1"/>
  <c r="D1791" i="23"/>
  <c r="D325" i="23"/>
  <c r="T20" i="11"/>
  <c r="R20" i="11"/>
  <c r="J20" i="11"/>
  <c r="G1664" i="19"/>
  <c r="G809" i="19"/>
  <c r="E1490" i="23"/>
  <c r="G1518" i="19"/>
  <c r="D1416" i="23"/>
  <c r="J1176" i="19"/>
  <c r="R1176" i="19"/>
  <c r="V1176" i="19" s="1"/>
  <c r="G598" i="19"/>
  <c r="R1032" i="19"/>
  <c r="V1032" i="19" s="1"/>
  <c r="J1032" i="19"/>
  <c r="J52" i="19"/>
  <c r="R52" i="19"/>
  <c r="R2447" i="19"/>
  <c r="V2447" i="19" s="1"/>
  <c r="J2447" i="19"/>
  <c r="G2447" i="19" s="1"/>
  <c r="D2635" i="23"/>
  <c r="I18" i="13"/>
  <c r="D2682" i="23" s="1"/>
  <c r="D2863" i="23"/>
  <c r="J46" i="16"/>
  <c r="I46" i="16"/>
  <c r="D2915" i="23" s="1"/>
  <c r="J1040" i="19"/>
  <c r="R1040" i="19"/>
  <c r="V1040" i="19" s="1"/>
  <c r="G1262" i="19"/>
  <c r="J1050" i="19"/>
  <c r="G1050" i="19" s="1"/>
  <c r="R1050" i="19"/>
  <c r="V1050" i="19" s="1"/>
  <c r="H48" i="5"/>
  <c r="G75" i="17"/>
  <c r="E1418" i="23"/>
  <c r="R48" i="19"/>
  <c r="V48" i="19" s="1"/>
  <c r="J48" i="19"/>
  <c r="G48" i="19" s="1"/>
  <c r="D92" i="23"/>
  <c r="J22" i="6"/>
  <c r="R22" i="6"/>
  <c r="T22" i="6"/>
  <c r="G1247" i="19"/>
  <c r="D580" i="23"/>
  <c r="T9" i="15"/>
  <c r="J9" i="15"/>
  <c r="R9" i="15"/>
  <c r="R1462" i="19"/>
  <c r="V1462" i="19" s="1"/>
  <c r="J1462" i="19"/>
  <c r="G1462" i="19" s="1"/>
  <c r="D2859" i="23"/>
  <c r="I42" i="16"/>
  <c r="D2911" i="23" s="1"/>
  <c r="J42" i="16"/>
  <c r="D424" i="23"/>
  <c r="T25" i="13"/>
  <c r="R25" i="13"/>
  <c r="J25" i="13"/>
  <c r="J1471" i="19"/>
  <c r="R1471" i="19"/>
  <c r="V1471" i="19" s="1"/>
  <c r="D1403" i="23"/>
  <c r="D431" i="23"/>
  <c r="T32" i="13"/>
  <c r="R32" i="13"/>
  <c r="J32" i="13"/>
  <c r="R759" i="19"/>
  <c r="V759" i="19" s="1"/>
  <c r="J759" i="19"/>
  <c r="G759" i="19" s="1"/>
  <c r="R755" i="19"/>
  <c r="V755" i="19" s="1"/>
  <c r="J755" i="19"/>
  <c r="G755" i="19" s="1"/>
  <c r="D1481" i="23"/>
  <c r="C119" i="19"/>
  <c r="H119" i="19" s="1"/>
  <c r="G119" i="19" s="1"/>
  <c r="D20" i="3"/>
  <c r="M11" i="2"/>
  <c r="G11" i="2"/>
  <c r="D1916" i="23"/>
  <c r="D110" i="23"/>
  <c r="R40" i="6"/>
  <c r="T40" i="6"/>
  <c r="J40" i="6"/>
  <c r="H21" i="17"/>
  <c r="D2976" i="23" s="1"/>
  <c r="G23" i="17"/>
  <c r="D2279" i="23"/>
  <c r="I38" i="9"/>
  <c r="D2326" i="23" s="1"/>
  <c r="D210" i="23"/>
  <c r="R46" i="8"/>
  <c r="J46" i="8"/>
  <c r="T46" i="8"/>
  <c r="R1625" i="19"/>
  <c r="V1625" i="19" s="1"/>
  <c r="J1625" i="19"/>
  <c r="G1625" i="19" s="1"/>
  <c r="D1812" i="23"/>
  <c r="J1024" i="19"/>
  <c r="R1024" i="19"/>
  <c r="V1024" i="19" s="1"/>
  <c r="G1085" i="19"/>
  <c r="D1908" i="23"/>
  <c r="I43" i="5"/>
  <c r="D1955" i="23" s="1"/>
  <c r="T43" i="5"/>
  <c r="D742" i="23"/>
  <c r="I71" i="28"/>
  <c r="D776" i="23" s="1"/>
  <c r="D2128" i="23"/>
  <c r="I44" i="7"/>
  <c r="D2533" i="23"/>
  <c r="I10" i="12"/>
  <c r="D2580" i="23" s="1"/>
  <c r="T10" i="12"/>
  <c r="R1175" i="19"/>
  <c r="V1175" i="19" s="1"/>
  <c r="J1175" i="19"/>
  <c r="G1175" i="19" s="1"/>
  <c r="D809" i="23"/>
  <c r="J70" i="28"/>
  <c r="R2138" i="19"/>
  <c r="J2138" i="19"/>
  <c r="G2138" i="19" s="1"/>
  <c r="G1677" i="19"/>
  <c r="G2311" i="19"/>
  <c r="D2287" i="23"/>
  <c r="I46" i="9"/>
  <c r="D2334" i="23" s="1"/>
  <c r="E2097" i="23"/>
  <c r="L48" i="7"/>
  <c r="E2101" i="23" s="1"/>
  <c r="D1401" i="23"/>
  <c r="D2156" i="23"/>
  <c r="I9" i="8"/>
  <c r="D2203" i="23" s="1"/>
  <c r="D156" i="23"/>
  <c r="R39" i="7"/>
  <c r="T39" i="7"/>
  <c r="J39" i="7"/>
  <c r="R1489" i="19"/>
  <c r="V1489" i="19" s="1"/>
  <c r="J1489" i="19"/>
  <c r="G1489" i="19" s="1"/>
  <c r="D2151" i="23"/>
  <c r="I4" i="8"/>
  <c r="G23" i="8"/>
  <c r="E1307" i="23"/>
  <c r="J10" i="2"/>
  <c r="E1310" i="23" s="1"/>
  <c r="G1513" i="19"/>
  <c r="D1410" i="23"/>
  <c r="R861" i="19"/>
  <c r="V861" i="19" s="1"/>
  <c r="J861" i="19"/>
  <c r="G861" i="19" s="1"/>
  <c r="G1040" i="19"/>
  <c r="R426" i="19"/>
  <c r="V426" i="19" s="1"/>
  <c r="J426" i="19"/>
  <c r="G426" i="19" s="1"/>
  <c r="D2410" i="23"/>
  <c r="I17" i="19"/>
  <c r="G498" i="19"/>
  <c r="D2549" i="23"/>
  <c r="I26" i="12"/>
  <c r="D2596" i="23" s="1"/>
  <c r="D1997" i="23"/>
  <c r="I38" i="6"/>
  <c r="D2044" i="23" s="1"/>
  <c r="T38" i="6"/>
  <c r="E2360" i="19"/>
  <c r="E2307" i="19"/>
  <c r="R2017" i="19"/>
  <c r="V2017" i="19" s="1"/>
  <c r="J2017" i="19"/>
  <c r="D2558" i="23"/>
  <c r="I35" i="12"/>
  <c r="D2605" i="23" s="1"/>
  <c r="J1344" i="19"/>
  <c r="G1344" i="19" s="1"/>
  <c r="R1344" i="19"/>
  <c r="V1344" i="19" s="1"/>
  <c r="E1377" i="23"/>
  <c r="D52" i="23"/>
  <c r="T29" i="5"/>
  <c r="R29" i="5"/>
  <c r="J29" i="5"/>
  <c r="F44" i="5"/>
  <c r="J1898" i="19"/>
  <c r="G1898" i="19" s="1"/>
  <c r="R1898" i="19"/>
  <c r="V1898" i="19" s="1"/>
  <c r="J756" i="19"/>
  <c r="R756" i="19"/>
  <c r="V756" i="19" s="1"/>
  <c r="G1872" i="19"/>
  <c r="D722" i="23"/>
  <c r="I51" i="28"/>
  <c r="D756" i="23" s="1"/>
  <c r="D88" i="23"/>
  <c r="T18" i="6"/>
  <c r="R18" i="6"/>
  <c r="J18" i="6"/>
  <c r="T4" i="8"/>
  <c r="D59" i="23"/>
  <c r="R36" i="5"/>
  <c r="J36" i="5"/>
  <c r="T36" i="5"/>
  <c r="G537" i="19"/>
  <c r="D2068" i="23"/>
  <c r="I15" i="7"/>
  <c r="D2115" i="23" s="1"/>
  <c r="D1735" i="23"/>
  <c r="Q38" i="2"/>
  <c r="D2728" i="23"/>
  <c r="I17" i="14"/>
  <c r="D2776" i="23" s="1"/>
  <c r="G2216" i="19"/>
  <c r="D2453" i="23"/>
  <c r="T24" i="11"/>
  <c r="I24" i="11"/>
  <c r="D2500" i="23" s="1"/>
  <c r="G21" i="2"/>
  <c r="F23" i="13"/>
  <c r="J2116" i="19"/>
  <c r="G2116" i="19" s="1"/>
  <c r="R2116" i="19"/>
  <c r="I831" i="19"/>
  <c r="G831" i="19" s="1"/>
  <c r="I828" i="19"/>
  <c r="G828" i="19" s="1"/>
  <c r="G1859" i="19"/>
  <c r="D629" i="23"/>
  <c r="I24" i="28"/>
  <c r="D663" i="23" s="1"/>
  <c r="G1583" i="19"/>
  <c r="R1330" i="19"/>
  <c r="V1330" i="19" s="1"/>
  <c r="J1330" i="19"/>
  <c r="G1330" i="19" s="1"/>
  <c r="D1987" i="23"/>
  <c r="G44" i="6"/>
  <c r="I28" i="6"/>
  <c r="G2073" i="19"/>
  <c r="J877" i="19"/>
  <c r="G877" i="19" s="1"/>
  <c r="R877" i="19"/>
  <c r="V877" i="19" s="1"/>
  <c r="G700" i="19"/>
  <c r="G2137" i="19"/>
  <c r="J2119" i="19"/>
  <c r="G2119" i="19" s="1"/>
  <c r="R2119" i="19"/>
  <c r="G1123" i="19"/>
  <c r="J1611" i="19"/>
  <c r="G1611" i="19" s="1"/>
  <c r="R1611" i="19"/>
  <c r="V1611" i="19" s="1"/>
  <c r="R723" i="19"/>
  <c r="V723" i="19" s="1"/>
  <c r="J723" i="19"/>
  <c r="G723" i="19" s="1"/>
  <c r="D2855" i="23"/>
  <c r="I37" i="16"/>
  <c r="D2906" i="23" s="1"/>
  <c r="R1764" i="19"/>
  <c r="V1764" i="19" s="1"/>
  <c r="J1764" i="19"/>
  <c r="G1764" i="19" s="1"/>
  <c r="J2012" i="19"/>
  <c r="R2012" i="19"/>
  <c r="V2012" i="19" s="1"/>
  <c r="G1215" i="19"/>
  <c r="D141" i="23"/>
  <c r="R24" i="7"/>
  <c r="T24" i="7"/>
  <c r="J24" i="7"/>
  <c r="R1899" i="19"/>
  <c r="V1899" i="19" s="1"/>
  <c r="J1899" i="19"/>
  <c r="G1899" i="19" s="1"/>
  <c r="G1113" i="19"/>
  <c r="G1559" i="19"/>
  <c r="G2032" i="19"/>
  <c r="D2854" i="23"/>
  <c r="I36" i="16"/>
  <c r="D2905" i="23" s="1"/>
  <c r="G1373" i="19"/>
  <c r="D275" i="23"/>
  <c r="J17" i="10"/>
  <c r="R17" i="10"/>
  <c r="T17" i="10"/>
  <c r="G1049" i="19"/>
  <c r="G1018" i="19"/>
  <c r="G2074" i="19"/>
  <c r="J1772" i="19"/>
  <c r="G1772" i="19" s="1"/>
  <c r="R1772" i="19"/>
  <c r="V1772" i="19" s="1"/>
  <c r="D1137" i="23"/>
  <c r="M40" i="18"/>
  <c r="E1137" i="23"/>
  <c r="G1492" i="19"/>
  <c r="D2459" i="23"/>
  <c r="I30" i="11"/>
  <c r="D2506" i="23" s="1"/>
  <c r="J1023" i="19"/>
  <c r="G1023" i="19" s="1"/>
  <c r="R1023" i="19"/>
  <c r="V1023" i="19" s="1"/>
  <c r="E1449" i="23"/>
  <c r="E1383" i="23"/>
  <c r="H51" i="10"/>
  <c r="F2510" i="22" s="1"/>
  <c r="G854" i="19"/>
  <c r="G478" i="19"/>
  <c r="G1878" i="19"/>
  <c r="D397" i="23"/>
  <c r="R45" i="12"/>
  <c r="T45" i="12"/>
  <c r="J45" i="12"/>
  <c r="J45" i="19"/>
  <c r="R45" i="19"/>
  <c r="V45" i="19" s="1"/>
  <c r="E2170" i="23"/>
  <c r="L27" i="8"/>
  <c r="K71" i="17"/>
  <c r="I60" i="1"/>
  <c r="G500" i="19"/>
  <c r="J88" i="19"/>
  <c r="J1469" i="19"/>
  <c r="G1469" i="19" s="1"/>
  <c r="R1469" i="19"/>
  <c r="V1469" i="19" s="1"/>
  <c r="D2365" i="23"/>
  <c r="I30" i="10"/>
  <c r="D2412" i="23" s="1"/>
  <c r="T30" i="10"/>
  <c r="G44" i="10"/>
  <c r="E328" i="23"/>
  <c r="O23" i="11"/>
  <c r="K27" i="11"/>
  <c r="D169" i="23"/>
  <c r="R5" i="8"/>
  <c r="T5" i="8"/>
  <c r="J5" i="8"/>
  <c r="F23" i="8"/>
  <c r="D1457" i="23"/>
  <c r="E1639" i="23"/>
  <c r="N58" i="3"/>
  <c r="D1504" i="23"/>
  <c r="M35" i="2"/>
  <c r="G35" i="2"/>
  <c r="D1335" i="23" s="1"/>
  <c r="G1985" i="19"/>
  <c r="G1575" i="19"/>
  <c r="E2885" i="23"/>
  <c r="L77" i="16"/>
  <c r="G1584" i="19"/>
  <c r="D936" i="23"/>
  <c r="C2481" i="19"/>
  <c r="H2481" i="19" s="1"/>
  <c r="E936" i="23"/>
  <c r="F2481" i="19"/>
  <c r="G28" i="1"/>
  <c r="C2545" i="19"/>
  <c r="H2545" i="19" s="1"/>
  <c r="G2545" i="19" s="1"/>
  <c r="D2438" i="23"/>
  <c r="I9" i="11"/>
  <c r="D2485" i="23" s="1"/>
  <c r="T9" i="11"/>
  <c r="G23" i="11"/>
  <c r="J1644" i="19"/>
  <c r="G1644" i="19" s="1"/>
  <c r="R1644" i="19"/>
  <c r="V1644" i="19" s="1"/>
  <c r="J741" i="19"/>
  <c r="G741" i="19" s="1"/>
  <c r="R741" i="19"/>
  <c r="V741" i="19" s="1"/>
  <c r="E2264" i="23"/>
  <c r="L27" i="9"/>
  <c r="E1386" i="23"/>
  <c r="G1374" i="19"/>
  <c r="G1679" i="19"/>
  <c r="D330" i="23"/>
  <c r="R25" i="11"/>
  <c r="T25" i="11"/>
  <c r="J25" i="11"/>
  <c r="E208" i="23"/>
  <c r="K48" i="8"/>
  <c r="G1686" i="19"/>
  <c r="J40" i="19"/>
  <c r="G40" i="19" s="1"/>
  <c r="R40" i="19"/>
  <c r="V40" i="19" s="1"/>
  <c r="E375" i="23"/>
  <c r="K27" i="12"/>
  <c r="O23" i="12"/>
  <c r="G829" i="19"/>
  <c r="G1001" i="19"/>
  <c r="G535" i="19"/>
  <c r="D2788" i="23"/>
  <c r="R2111" i="19"/>
  <c r="J2111" i="19"/>
  <c r="E856" i="23"/>
  <c r="O54" i="15"/>
  <c r="D2155" i="23"/>
  <c r="I8" i="8"/>
  <c r="D2202" i="23" s="1"/>
  <c r="D1536" i="23"/>
  <c r="H10" i="3"/>
  <c r="C171" i="19"/>
  <c r="H171" i="19" s="1"/>
  <c r="G171" i="19" s="1"/>
  <c r="M7" i="2"/>
  <c r="G7" i="2"/>
  <c r="J1492" i="19"/>
  <c r="R1492" i="19"/>
  <c r="V1492" i="19" s="1"/>
  <c r="J1008" i="19"/>
  <c r="R1008" i="19"/>
  <c r="V1008" i="19" s="1"/>
  <c r="D109" i="23"/>
  <c r="J39" i="6"/>
  <c r="R39" i="6"/>
  <c r="T39" i="6"/>
  <c r="E1427" i="23"/>
  <c r="S20" i="2"/>
  <c r="D1443" i="23"/>
  <c r="D86" i="23"/>
  <c r="R16" i="6"/>
  <c r="J16" i="6"/>
  <c r="T16" i="6"/>
  <c r="D1639" i="23"/>
  <c r="L58" i="3"/>
  <c r="J902" i="19"/>
  <c r="G902" i="19" s="1"/>
  <c r="R902" i="19"/>
  <c r="V902" i="19" s="1"/>
  <c r="D1147" i="23"/>
  <c r="E1147" i="23"/>
  <c r="G959" i="19"/>
  <c r="D102" i="23"/>
  <c r="R32" i="6"/>
  <c r="T32" i="6"/>
  <c r="J32" i="6"/>
  <c r="D638" i="23"/>
  <c r="I33" i="28"/>
  <c r="D672" i="23" s="1"/>
  <c r="G757" i="19"/>
  <c r="D1699" i="23"/>
  <c r="Q56" i="2"/>
  <c r="G56" i="2"/>
  <c r="D1356" i="23" s="1"/>
  <c r="D503" i="23"/>
  <c r="I10" i="15"/>
  <c r="D537" i="23" s="1"/>
  <c r="D339" i="23"/>
  <c r="T34" i="11"/>
  <c r="R34" i="11"/>
  <c r="J34" i="11"/>
  <c r="D1891" i="23"/>
  <c r="I26" i="5"/>
  <c r="R37" i="19"/>
  <c r="V37" i="19" s="1"/>
  <c r="J37" i="19"/>
  <c r="G37" i="19" s="1"/>
  <c r="R738" i="19"/>
  <c r="V738" i="19" s="1"/>
  <c r="J738" i="19"/>
  <c r="G738" i="19" s="1"/>
  <c r="D1840" i="23"/>
  <c r="E2923" i="23"/>
  <c r="N72" i="16"/>
  <c r="O72" i="16" s="1"/>
  <c r="H27" i="5"/>
  <c r="G71" i="17"/>
  <c r="G2433" i="19"/>
  <c r="D1492" i="23"/>
  <c r="G22" i="2"/>
  <c r="D1322" i="23" s="1"/>
  <c r="M22" i="2"/>
  <c r="D577" i="23"/>
  <c r="T6" i="15"/>
  <c r="R6" i="15"/>
  <c r="J6" i="15"/>
  <c r="R1767" i="19"/>
  <c r="V1767" i="19" s="1"/>
  <c r="J1767" i="19"/>
  <c r="G1767" i="19" s="1"/>
  <c r="R1774" i="19"/>
  <c r="V1774" i="19" s="1"/>
  <c r="J1774" i="19"/>
  <c r="G1774" i="19" s="1"/>
  <c r="D442" i="23"/>
  <c r="R43" i="13"/>
  <c r="J43" i="13"/>
  <c r="T43" i="13"/>
  <c r="D2102" i="23"/>
  <c r="I50" i="7"/>
  <c r="D2149" i="23" s="1"/>
  <c r="T50" i="7"/>
  <c r="J986" i="19"/>
  <c r="R986" i="19"/>
  <c r="V986" i="19" s="1"/>
  <c r="E2003" i="23"/>
  <c r="K76" i="17"/>
  <c r="E1087" i="23" s="1"/>
  <c r="L48" i="6"/>
  <c r="E2007" i="23" s="1"/>
  <c r="D1764" i="23"/>
  <c r="C378" i="19"/>
  <c r="H378" i="19" s="1"/>
  <c r="G378" i="19" s="1"/>
  <c r="D1431" i="23"/>
  <c r="D1880" i="23"/>
  <c r="I15" i="5"/>
  <c r="D1927" i="23" s="1"/>
  <c r="J878" i="19"/>
  <c r="G878" i="19" s="1"/>
  <c r="R878" i="19"/>
  <c r="V878" i="19" s="1"/>
  <c r="D1713" i="23"/>
  <c r="C332" i="19"/>
  <c r="H332" i="19" s="1"/>
  <c r="G332" i="19" s="1"/>
  <c r="D2366" i="23"/>
  <c r="I31" i="10"/>
  <c r="D2413" i="23" s="1"/>
  <c r="D2161" i="23"/>
  <c r="I14" i="8"/>
  <c r="D2208" i="23" s="1"/>
  <c r="E1917" i="23"/>
  <c r="N23" i="5"/>
  <c r="O23" i="5" s="1"/>
  <c r="G34" i="2"/>
  <c r="D1334" i="23" s="1"/>
  <c r="R1789" i="19"/>
  <c r="V1789" i="19" s="1"/>
  <c r="J1789" i="19"/>
  <c r="G1789" i="19" s="1"/>
  <c r="E1801" i="23"/>
  <c r="N58" i="4"/>
  <c r="R1345" i="19"/>
  <c r="V1345" i="19" s="1"/>
  <c r="J1345" i="19"/>
  <c r="D74" i="23"/>
  <c r="R4" i="6"/>
  <c r="F23" i="6"/>
  <c r="J4" i="6"/>
  <c r="T4" i="6"/>
  <c r="D2742" i="23"/>
  <c r="I31" i="14"/>
  <c r="D2790" i="23" s="1"/>
  <c r="D1385" i="23"/>
  <c r="D2659" i="23"/>
  <c r="I42" i="13"/>
  <c r="D2706" i="23" s="1"/>
  <c r="D352" i="23"/>
  <c r="R47" i="11"/>
  <c r="J47" i="11"/>
  <c r="T47" i="11"/>
  <c r="D227" i="23"/>
  <c r="T16" i="9"/>
  <c r="R16" i="9"/>
  <c r="J16" i="9"/>
  <c r="R1193" i="19"/>
  <c r="V1193" i="19" s="1"/>
  <c r="J1193" i="19"/>
  <c r="G1193" i="19" s="1"/>
  <c r="G1245" i="19"/>
  <c r="G1220" i="19"/>
  <c r="M13" i="17"/>
  <c r="R2524" i="19"/>
  <c r="V2524" i="19" s="1"/>
  <c r="J2524" i="19"/>
  <c r="G2524" i="19" s="1"/>
  <c r="D419" i="23"/>
  <c r="R20" i="13"/>
  <c r="T20" i="13"/>
  <c r="J20" i="13"/>
  <c r="D2451" i="23"/>
  <c r="I22" i="11"/>
  <c r="D2498" i="23" s="1"/>
  <c r="J1155" i="19"/>
  <c r="G1155" i="19" s="1"/>
  <c r="R1155" i="19"/>
  <c r="V1155" i="19" s="1"/>
  <c r="J1608" i="19"/>
  <c r="G1608" i="19" s="1"/>
  <c r="R1608" i="19"/>
  <c r="V1608" i="19" s="1"/>
  <c r="D1730" i="23"/>
  <c r="E1630" i="23"/>
  <c r="G965" i="19"/>
  <c r="J1766" i="19"/>
  <c r="G1766" i="19" s="1"/>
  <c r="R1766" i="19"/>
  <c r="V1766" i="19" s="1"/>
  <c r="R748" i="19"/>
  <c r="V748" i="19" s="1"/>
  <c r="J748" i="19"/>
  <c r="G748" i="19" s="1"/>
  <c r="D1902" i="23"/>
  <c r="I37" i="5"/>
  <c r="D1949" i="23" s="1"/>
  <c r="H23" i="11"/>
  <c r="H27" i="11" s="1"/>
  <c r="H51" i="11" s="1"/>
  <c r="F2511" i="22" s="1"/>
  <c r="I4" i="11"/>
  <c r="D1963" i="23"/>
  <c r="G23" i="6"/>
  <c r="I4" i="6"/>
  <c r="E1405" i="23"/>
  <c r="E1020" i="23"/>
  <c r="D1020" i="23"/>
  <c r="R1485" i="19"/>
  <c r="V1485" i="19" s="1"/>
  <c r="J1485" i="19"/>
  <c r="G1485" i="19" s="1"/>
  <c r="E161" i="23"/>
  <c r="K48" i="7"/>
  <c r="O44" i="7"/>
  <c r="J76" i="17"/>
  <c r="D1685" i="23"/>
  <c r="Q42" i="2"/>
  <c r="G42" i="2"/>
  <c r="D1342" i="23" s="1"/>
  <c r="D49" i="23"/>
  <c r="T26" i="5"/>
  <c r="R26" i="5"/>
  <c r="J26" i="5"/>
  <c r="D808" i="23"/>
  <c r="J69" i="28"/>
  <c r="D616" i="23"/>
  <c r="I11" i="28"/>
  <c r="D650" i="23" s="1"/>
  <c r="E2379" i="23"/>
  <c r="L48" i="10"/>
  <c r="E2383" i="23" s="1"/>
  <c r="R601" i="19"/>
  <c r="V601" i="19" s="1"/>
  <c r="J601" i="19"/>
  <c r="G601" i="19" s="1"/>
  <c r="E1772" i="23"/>
  <c r="E1255" i="23"/>
  <c r="D1255" i="23"/>
  <c r="E60" i="19"/>
  <c r="D411" i="23"/>
  <c r="R12" i="13"/>
  <c r="J12" i="13"/>
  <c r="T12" i="13"/>
  <c r="D412" i="23"/>
  <c r="R13" i="13"/>
  <c r="T13" i="13"/>
  <c r="J13" i="13"/>
  <c r="R39" i="19"/>
  <c r="V39" i="19" s="1"/>
  <c r="J39" i="19"/>
  <c r="G39" i="19" s="1"/>
  <c r="E1435" i="23"/>
  <c r="D1770" i="23"/>
  <c r="G756" i="19"/>
  <c r="G2185" i="19"/>
  <c r="J734" i="19"/>
  <c r="G734" i="19" s="1"/>
  <c r="R734" i="19"/>
  <c r="V734" i="19" s="1"/>
  <c r="G2617" i="19"/>
  <c r="D2277" i="23"/>
  <c r="I36" i="9"/>
  <c r="D2324" i="23" s="1"/>
  <c r="D2172" i="23"/>
  <c r="I25" i="8"/>
  <c r="D2219" i="23" s="1"/>
  <c r="W25" i="15"/>
  <c r="W25" i="28"/>
  <c r="D1634" i="23"/>
  <c r="G584" i="19"/>
  <c r="H54" i="15"/>
  <c r="H36" i="28"/>
  <c r="I36" i="28" s="1"/>
  <c r="D675" i="23" s="1"/>
  <c r="I13" i="28"/>
  <c r="D652" i="23" s="1"/>
  <c r="D132" i="23"/>
  <c r="T15" i="7"/>
  <c r="R15" i="7"/>
  <c r="J15" i="7"/>
  <c r="G1287" i="19"/>
  <c r="G975" i="19"/>
  <c r="G2558" i="19"/>
  <c r="D441" i="23"/>
  <c r="R42" i="13"/>
  <c r="T42" i="13"/>
  <c r="J42" i="13"/>
  <c r="C2272" i="19"/>
  <c r="H2272" i="19" s="1"/>
  <c r="G2272" i="19" s="1"/>
  <c r="K53" i="16"/>
  <c r="D1676" i="23"/>
  <c r="Q30" i="2"/>
  <c r="G2436" i="19"/>
  <c r="G1947" i="19"/>
  <c r="R1618" i="19"/>
  <c r="V1618" i="19" s="1"/>
  <c r="J1618" i="19"/>
  <c r="G1618" i="19" s="1"/>
  <c r="D2066" i="23"/>
  <c r="I13" i="7"/>
  <c r="D2113" i="23" s="1"/>
  <c r="G2205" i="19"/>
  <c r="G2335" i="19"/>
  <c r="D521" i="23"/>
  <c r="I28" i="15"/>
  <c r="D555" i="23" s="1"/>
  <c r="T28" i="15"/>
  <c r="J1498" i="19"/>
  <c r="G1498" i="19" s="1"/>
  <c r="R1498" i="19"/>
  <c r="V1498" i="19" s="1"/>
  <c r="D320" i="23"/>
  <c r="T15" i="11"/>
  <c r="R15" i="11"/>
  <c r="J15" i="11"/>
  <c r="J1622" i="19"/>
  <c r="G1622" i="19" s="1"/>
  <c r="R1622" i="19"/>
  <c r="V1622" i="19" s="1"/>
  <c r="D196" i="23"/>
  <c r="T32" i="8"/>
  <c r="J32" i="8"/>
  <c r="R32" i="8"/>
  <c r="R2236" i="19"/>
  <c r="J2236" i="19"/>
  <c r="G2236" i="19" s="1"/>
  <c r="D2959" i="23"/>
  <c r="F13" i="17"/>
  <c r="H4" i="17"/>
  <c r="D2645" i="23"/>
  <c r="G44" i="13"/>
  <c r="I28" i="13"/>
  <c r="R384" i="19"/>
  <c r="V384" i="19" s="1"/>
  <c r="J384" i="19"/>
  <c r="D148" i="23"/>
  <c r="R31" i="7"/>
  <c r="J31" i="7"/>
  <c r="T31" i="7"/>
  <c r="R575" i="19"/>
  <c r="V575" i="19" s="1"/>
  <c r="J575" i="19"/>
  <c r="G575" i="19" s="1"/>
  <c r="D2745" i="23"/>
  <c r="I34" i="14"/>
  <c r="D2793" i="23" s="1"/>
  <c r="D37" i="23"/>
  <c r="J14" i="5"/>
  <c r="R14" i="5"/>
  <c r="T14" i="5"/>
  <c r="R1623" i="19"/>
  <c r="V1623" i="19" s="1"/>
  <c r="J1623" i="19"/>
  <c r="G1623" i="19" s="1"/>
  <c r="D2856" i="23"/>
  <c r="I38" i="16"/>
  <c r="D2907" i="23" s="1"/>
  <c r="J38" i="16"/>
  <c r="E1025" i="23"/>
  <c r="D1025" i="23"/>
  <c r="G1519" i="19"/>
  <c r="E1385" i="23"/>
  <c r="O43" i="2"/>
  <c r="G2302" i="19"/>
  <c r="J61" i="19"/>
  <c r="G61" i="19" s="1"/>
  <c r="R61" i="19"/>
  <c r="V61" i="19" s="1"/>
  <c r="D939" i="23"/>
  <c r="E939" i="23"/>
  <c r="E2482" i="19"/>
  <c r="I29" i="1"/>
  <c r="D2096" i="23"/>
  <c r="I43" i="7"/>
  <c r="D2143" i="23" s="1"/>
  <c r="G875" i="19"/>
  <c r="D198" i="23"/>
  <c r="T34" i="8"/>
  <c r="R34" i="8"/>
  <c r="J34" i="8"/>
  <c r="G547" i="19"/>
  <c r="D1683" i="23"/>
  <c r="Q40" i="2"/>
  <c r="G40" i="2"/>
  <c r="D1340" i="23" s="1"/>
  <c r="D1619" i="23"/>
  <c r="L43" i="3"/>
  <c r="T10" i="15"/>
  <c r="R595" i="19"/>
  <c r="V595" i="19" s="1"/>
  <c r="J595" i="19"/>
  <c r="G595" i="19" s="1"/>
  <c r="D2544" i="23"/>
  <c r="I21" i="12"/>
  <c r="D2591" i="23" s="1"/>
  <c r="D480" i="23"/>
  <c r="R34" i="14"/>
  <c r="J34" i="14"/>
  <c r="T34" i="14"/>
  <c r="E1428" i="23"/>
  <c r="E1322" i="23"/>
  <c r="J43" i="2"/>
  <c r="E1343" i="23" s="1"/>
  <c r="D95" i="23"/>
  <c r="J25" i="6"/>
  <c r="T25" i="6"/>
  <c r="R25" i="6"/>
  <c r="G2260" i="19"/>
  <c r="J1896" i="19"/>
  <c r="G1896" i="19" s="1"/>
  <c r="R1896" i="19"/>
  <c r="V1896" i="19" s="1"/>
  <c r="D1889" i="23"/>
  <c r="I24" i="5"/>
  <c r="D1936" i="23" s="1"/>
  <c r="J1785" i="19"/>
  <c r="G1785" i="19" s="1"/>
  <c r="R1785" i="19"/>
  <c r="V1785" i="19" s="1"/>
  <c r="R389" i="19"/>
  <c r="V389" i="19" s="1"/>
  <c r="J389" i="19"/>
  <c r="G389" i="19" s="1"/>
  <c r="M51" i="10"/>
  <c r="G919" i="19"/>
  <c r="G580" i="19"/>
  <c r="R2226" i="19"/>
  <c r="J2226" i="19"/>
  <c r="G2226" i="19" s="1"/>
  <c r="D827" i="23"/>
  <c r="I47" i="15"/>
  <c r="D830" i="23" s="1"/>
  <c r="D2263" i="23"/>
  <c r="I22" i="9"/>
  <c r="D2310" i="23" s="1"/>
  <c r="G1422" i="19"/>
  <c r="D899" i="23"/>
  <c r="F52" i="16"/>
  <c r="G2047" i="19"/>
  <c r="J2025" i="19"/>
  <c r="R2025" i="19"/>
  <c r="V2025" i="19" s="1"/>
  <c r="D1977" i="23"/>
  <c r="I18" i="6"/>
  <c r="D2024" i="23" s="1"/>
  <c r="G1818" i="19"/>
  <c r="G1454" i="19"/>
  <c r="G1652" i="19"/>
  <c r="G1449" i="19"/>
  <c r="G2154" i="19"/>
  <c r="D1837" i="23"/>
  <c r="J2338" i="19"/>
  <c r="G2338" i="19" s="1"/>
  <c r="R2338" i="19"/>
  <c r="G1312" i="19"/>
  <c r="R887" i="19"/>
  <c r="V887" i="19" s="1"/>
  <c r="J887" i="19"/>
  <c r="G887" i="19" s="1"/>
  <c r="D2476" i="23"/>
  <c r="I47" i="11"/>
  <c r="D2523" i="23" s="1"/>
  <c r="D2259" i="23"/>
  <c r="I18" i="9"/>
  <c r="D2306" i="23" s="1"/>
  <c r="J2237" i="19"/>
  <c r="G2237" i="19" s="1"/>
  <c r="R2237" i="19"/>
  <c r="D2352" i="23"/>
  <c r="I17" i="10"/>
  <c r="D2399" i="23" s="1"/>
  <c r="D466" i="23"/>
  <c r="R20" i="14"/>
  <c r="J20" i="14"/>
  <c r="T20" i="14"/>
  <c r="G2030" i="19"/>
  <c r="E827" i="23"/>
  <c r="N47" i="15"/>
  <c r="E830" i="23" s="1"/>
  <c r="G1076" i="19"/>
  <c r="G1042" i="19"/>
  <c r="F2037" i="23"/>
  <c r="D358" i="23"/>
  <c r="J6" i="12"/>
  <c r="R6" i="12"/>
  <c r="T6" i="12"/>
  <c r="F23" i="12"/>
  <c r="R2541" i="19"/>
  <c r="V2541" i="19" s="1"/>
  <c r="J2541" i="19"/>
  <c r="G2541" i="19" s="1"/>
  <c r="D435" i="23"/>
  <c r="T36" i="13"/>
  <c r="R36" i="13"/>
  <c r="J36" i="13"/>
  <c r="D1031" i="23"/>
  <c r="E1031" i="23"/>
  <c r="J65" i="17"/>
  <c r="J1048" i="19"/>
  <c r="G1048" i="19" s="1"/>
  <c r="R1048" i="19"/>
  <c r="V1048" i="19" s="1"/>
  <c r="D1720" i="23"/>
  <c r="H43" i="4"/>
  <c r="G894" i="19"/>
  <c r="G702" i="19"/>
  <c r="G635" i="19"/>
  <c r="E1442" i="23"/>
  <c r="D2079" i="23"/>
  <c r="I26" i="7"/>
  <c r="D2126" i="23" s="1"/>
  <c r="R1056" i="19"/>
  <c r="V1056" i="19" s="1"/>
  <c r="J1056" i="19"/>
  <c r="G1056" i="19" s="1"/>
  <c r="D2465" i="23"/>
  <c r="I36" i="11"/>
  <c r="D2512" i="23" s="1"/>
  <c r="T36" i="11"/>
  <c r="G2267" i="19"/>
  <c r="R1909" i="19"/>
  <c r="V1909" i="19" s="1"/>
  <c r="J1909" i="19"/>
  <c r="G1909" i="19" s="1"/>
  <c r="E743" i="23"/>
  <c r="N72" i="28"/>
  <c r="E777" i="23" s="1"/>
  <c r="G1176" i="19"/>
  <c r="G651" i="19"/>
  <c r="E2480" i="23"/>
  <c r="N23" i="11"/>
  <c r="G2107" i="19"/>
  <c r="E1512" i="23"/>
  <c r="E1982" i="23"/>
  <c r="L27" i="6"/>
  <c r="K72" i="17"/>
  <c r="E1083" i="23" s="1"/>
  <c r="H51" i="13"/>
  <c r="D2555" i="23"/>
  <c r="I32" i="12"/>
  <c r="D2602" i="23" s="1"/>
  <c r="D576" i="23"/>
  <c r="T5" i="15"/>
  <c r="J5" i="15"/>
  <c r="F45" i="15"/>
  <c r="R5" i="15"/>
  <c r="G1388" i="19"/>
  <c r="R1458" i="19"/>
  <c r="V1458" i="19" s="1"/>
  <c r="J1458" i="19"/>
  <c r="G1458" i="19" s="1"/>
  <c r="D237" i="23"/>
  <c r="T26" i="9"/>
  <c r="J26" i="9"/>
  <c r="R26" i="9"/>
  <c r="G858" i="19"/>
  <c r="D146" i="23"/>
  <c r="T29" i="7"/>
  <c r="R29" i="7"/>
  <c r="J29" i="7"/>
  <c r="F44" i="7"/>
  <c r="R17" i="19"/>
  <c r="J17" i="19"/>
  <c r="G1573" i="19"/>
  <c r="D2254" i="23"/>
  <c r="I13" i="9"/>
  <c r="D2301" i="23" s="1"/>
  <c r="G2213" i="19"/>
  <c r="D143" i="23"/>
  <c r="T26" i="7"/>
  <c r="R26" i="7"/>
  <c r="J26" i="7"/>
  <c r="D1794" i="23"/>
  <c r="L52" i="4"/>
  <c r="D2757" i="23"/>
  <c r="I46" i="14"/>
  <c r="D2805" i="23" s="1"/>
  <c r="G1754" i="19"/>
  <c r="J2011" i="19"/>
  <c r="G2011" i="19" s="1"/>
  <c r="R2011" i="19"/>
  <c r="V2011" i="19" s="1"/>
  <c r="G615" i="19"/>
  <c r="R2008" i="19"/>
  <c r="V2008" i="19" s="1"/>
  <c r="J2008" i="19"/>
  <c r="G2008" i="19" s="1"/>
  <c r="G762" i="19"/>
  <c r="G1660" i="19"/>
  <c r="D417" i="23"/>
  <c r="T18" i="13"/>
  <c r="J18" i="13"/>
  <c r="R18" i="13"/>
  <c r="D2168" i="23"/>
  <c r="I21" i="8"/>
  <c r="D2215" i="23" s="1"/>
  <c r="T21" i="8"/>
  <c r="G603" i="19"/>
  <c r="D360" i="23"/>
  <c r="T8" i="12"/>
  <c r="R8" i="12"/>
  <c r="J8" i="12"/>
  <c r="I1035" i="19"/>
  <c r="G1035" i="19" s="1"/>
  <c r="I1032" i="19"/>
  <c r="G1032" i="19" s="1"/>
  <c r="G691" i="19"/>
  <c r="G821" i="19"/>
  <c r="T6" i="8"/>
  <c r="J6" i="8"/>
  <c r="D170" i="23"/>
  <c r="R6" i="8"/>
  <c r="D1725" i="23"/>
  <c r="D345" i="23"/>
  <c r="R40" i="11"/>
  <c r="T40" i="11"/>
  <c r="J40" i="11"/>
  <c r="D34" i="23"/>
  <c r="T11" i="5"/>
  <c r="R11" i="5"/>
  <c r="J11" i="5"/>
  <c r="E1350" i="23"/>
  <c r="E107" i="17"/>
  <c r="G1179" i="19"/>
  <c r="D1740" i="23"/>
  <c r="H52" i="4"/>
  <c r="G44" i="2"/>
  <c r="M78" i="16"/>
  <c r="D2008" i="23"/>
  <c r="I50" i="6"/>
  <c r="D2055" i="23" s="1"/>
  <c r="C384" i="19"/>
  <c r="H384" i="19" s="1"/>
  <c r="G732" i="19"/>
  <c r="J1642" i="19"/>
  <c r="G1642" i="19" s="1"/>
  <c r="R1642" i="19"/>
  <c r="V1642" i="19" s="1"/>
  <c r="G1008" i="19"/>
  <c r="E3051" i="23"/>
  <c r="R27" i="18"/>
  <c r="E3053" i="23" s="1"/>
  <c r="J2349" i="19"/>
  <c r="G2349" i="19" s="1"/>
  <c r="R2349" i="19"/>
  <c r="V2349" i="19" s="1"/>
  <c r="G1661" i="19"/>
  <c r="D1886" i="23"/>
  <c r="I21" i="5"/>
  <c r="D1933" i="23" s="1"/>
  <c r="T21" i="5"/>
  <c r="J1615" i="19"/>
  <c r="G1615" i="19" s="1"/>
  <c r="R1615" i="19"/>
  <c r="V1615" i="19" s="1"/>
  <c r="G966" i="19"/>
  <c r="G970" i="19"/>
  <c r="D1738" i="23"/>
  <c r="E2222" i="23"/>
  <c r="N44" i="8"/>
  <c r="O44" i="8" s="1"/>
  <c r="D2637" i="23"/>
  <c r="I20" i="13"/>
  <c r="D2684" i="23" s="1"/>
  <c r="G1183" i="19"/>
  <c r="D1734" i="23"/>
  <c r="D1488" i="23"/>
  <c r="M18" i="2"/>
  <c r="G18" i="2"/>
  <c r="D1318" i="23" s="1"/>
  <c r="R19" i="19"/>
  <c r="V19" i="19" s="1"/>
  <c r="J19" i="19"/>
  <c r="G19" i="19" s="1"/>
  <c r="E1419" i="23"/>
  <c r="G609" i="19"/>
  <c r="J2235" i="19"/>
  <c r="G2235" i="19" s="1"/>
  <c r="R2235" i="19"/>
  <c r="G2117" i="19"/>
  <c r="C385" i="19"/>
  <c r="H385" i="19" s="1"/>
  <c r="R1170" i="19"/>
  <c r="V1170" i="19" s="1"/>
  <c r="J1170" i="19"/>
  <c r="G1170" i="19" s="1"/>
  <c r="J889" i="19"/>
  <c r="G889" i="19" s="1"/>
  <c r="R889" i="19"/>
  <c r="V889" i="19" s="1"/>
  <c r="G1886" i="19"/>
  <c r="D1598" i="23"/>
  <c r="D1894" i="23"/>
  <c r="I29" i="5"/>
  <c r="D1941" i="23" s="1"/>
  <c r="G632" i="19"/>
  <c r="D2827" i="23"/>
  <c r="I10" i="16"/>
  <c r="J2346" i="19"/>
  <c r="G2346" i="19" s="1"/>
  <c r="R2346" i="19"/>
  <c r="V2346" i="19" s="1"/>
  <c r="D1911" i="23"/>
  <c r="W51" i="15"/>
  <c r="I46" i="5"/>
  <c r="J46" i="5" s="1"/>
  <c r="F77" i="17"/>
  <c r="D1088" i="23" s="1"/>
  <c r="G1509" i="19"/>
  <c r="M27" i="5"/>
  <c r="M51" i="5" s="1"/>
  <c r="L71" i="17"/>
  <c r="E2831" i="23"/>
  <c r="N15" i="16"/>
  <c r="E2835" i="23" s="1"/>
  <c r="D2062" i="23"/>
  <c r="I9" i="7"/>
  <c r="D2109" i="23" s="1"/>
  <c r="R1904" i="19"/>
  <c r="V1904" i="19" s="1"/>
  <c r="J1904" i="19"/>
  <c r="G1904" i="19" s="1"/>
  <c r="E1118" i="23"/>
  <c r="C2584" i="19"/>
  <c r="H2584" i="19" s="1"/>
  <c r="G2584" i="19" s="1"/>
  <c r="K25" i="18"/>
  <c r="K26" i="18"/>
  <c r="K24" i="18"/>
  <c r="D451" i="23"/>
  <c r="T5" i="14"/>
  <c r="J5" i="14"/>
  <c r="R5" i="14"/>
  <c r="R1476" i="19"/>
  <c r="V1476" i="19" s="1"/>
  <c r="J1476" i="19"/>
  <c r="G1476" i="19" s="1"/>
  <c r="J2328" i="19"/>
  <c r="G2328" i="19" s="1"/>
  <c r="R2328" i="19"/>
  <c r="V2328" i="19" s="1"/>
  <c r="G938" i="19"/>
  <c r="D1555" i="23"/>
  <c r="R1493" i="19"/>
  <c r="V1493" i="19" s="1"/>
  <c r="J1493" i="19"/>
  <c r="G1077" i="19"/>
  <c r="E1060" i="23"/>
  <c r="D1060" i="23"/>
  <c r="I68" i="17"/>
  <c r="G2163" i="19"/>
  <c r="R1314" i="19"/>
  <c r="V1314" i="19" s="1"/>
  <c r="J1314" i="19"/>
  <c r="G1314" i="19" s="1"/>
  <c r="J577" i="19"/>
  <c r="G577" i="19" s="1"/>
  <c r="R577" i="19"/>
  <c r="V577" i="19" s="1"/>
  <c r="G283" i="19"/>
  <c r="G2229" i="19"/>
  <c r="D789" i="23"/>
  <c r="J50" i="28"/>
  <c r="F51" i="15"/>
  <c r="G1293" i="19"/>
  <c r="G1323" i="19"/>
  <c r="G2344" i="19"/>
  <c r="G2156" i="19"/>
  <c r="J742" i="19"/>
  <c r="G742" i="19" s="1"/>
  <c r="R742" i="19"/>
  <c r="V742" i="19" s="1"/>
  <c r="G2450" i="19"/>
  <c r="R2218" i="19"/>
  <c r="J2218" i="19"/>
  <c r="G2218" i="19" s="1"/>
  <c r="R1172" i="19"/>
  <c r="V1172" i="19" s="1"/>
  <c r="J1172" i="19"/>
  <c r="G1172" i="19" s="1"/>
  <c r="E1480" i="23"/>
  <c r="E2661" i="23"/>
  <c r="L48" i="13"/>
  <c r="E2665" i="23" s="1"/>
  <c r="G1522" i="19"/>
  <c r="D1669" i="23"/>
  <c r="Q23" i="2"/>
  <c r="G23" i="2"/>
  <c r="D1323" i="23" s="1"/>
  <c r="D211" i="23"/>
  <c r="T47" i="8"/>
  <c r="J47" i="8"/>
  <c r="R47" i="8"/>
  <c r="G725" i="19"/>
  <c r="D456" i="23"/>
  <c r="T10" i="14"/>
  <c r="J10" i="14"/>
  <c r="R10" i="14"/>
  <c r="G2173" i="19"/>
  <c r="G1907" i="19"/>
  <c r="G2175" i="19"/>
  <c r="G1466" i="19"/>
  <c r="D2248" i="23"/>
  <c r="I7" i="9"/>
  <c r="D2295" i="23" s="1"/>
  <c r="G23" i="9"/>
  <c r="G1526" i="19"/>
  <c r="D2953" i="23"/>
  <c r="H17" i="17"/>
  <c r="D2972" i="23" s="1"/>
  <c r="G1731" i="19"/>
  <c r="G1096" i="19"/>
  <c r="G1603" i="19"/>
  <c r="J2536" i="19"/>
  <c r="G2536" i="19" s="1"/>
  <c r="R2536" i="19"/>
  <c r="V2536" i="19" s="1"/>
  <c r="E338" i="19"/>
  <c r="H49" i="16"/>
  <c r="H52" i="16" s="1"/>
  <c r="E339" i="19"/>
  <c r="R1778" i="19"/>
  <c r="V1778" i="19" s="1"/>
  <c r="J1778" i="19"/>
  <c r="G1778" i="19" s="1"/>
  <c r="J2519" i="19"/>
  <c r="G2519" i="19" s="1"/>
  <c r="R2519" i="19"/>
  <c r="V2519" i="19" s="1"/>
  <c r="G1894" i="19"/>
  <c r="G1667" i="19"/>
  <c r="J1031" i="19"/>
  <c r="G1031" i="19" s="1"/>
  <c r="R1031" i="19"/>
  <c r="V1031" i="19" s="1"/>
  <c r="G797" i="19"/>
  <c r="D2369" i="23"/>
  <c r="I34" i="10"/>
  <c r="D2416" i="23" s="1"/>
  <c r="G1874" i="19"/>
  <c r="D631" i="23"/>
  <c r="I26" i="28"/>
  <c r="D665" i="23" s="1"/>
  <c r="J1198" i="19"/>
  <c r="G1198" i="19" s="1"/>
  <c r="R1198" i="19"/>
  <c r="V1198" i="19" s="1"/>
  <c r="G841" i="19"/>
  <c r="G2296" i="19"/>
  <c r="E2670" i="23"/>
  <c r="N23" i="13"/>
  <c r="G1814" i="19"/>
  <c r="D413" i="23"/>
  <c r="T14" i="13"/>
  <c r="R14" i="13"/>
  <c r="J14" i="13"/>
  <c r="T38" i="7"/>
  <c r="D2152" i="23"/>
  <c r="I5" i="8"/>
  <c r="D2199" i="23" s="1"/>
  <c r="D741" i="23"/>
  <c r="I70" i="28"/>
  <c r="D775" i="23" s="1"/>
  <c r="G1581" i="19"/>
  <c r="E2076" i="23"/>
  <c r="L27" i="7"/>
  <c r="D2642" i="23"/>
  <c r="I25" i="13"/>
  <c r="D2689" i="23" s="1"/>
  <c r="E641" i="23"/>
  <c r="N36" i="28"/>
  <c r="E675" i="23" s="1"/>
  <c r="G1086" i="19"/>
  <c r="G664" i="19"/>
  <c r="D33" i="23"/>
  <c r="J10" i="5"/>
  <c r="R10" i="5"/>
  <c r="T10" i="5"/>
  <c r="D1414" i="23"/>
  <c r="G949" i="19"/>
  <c r="D1499" i="23"/>
  <c r="M30" i="2"/>
  <c r="G30" i="2"/>
  <c r="D1330" i="23" s="1"/>
  <c r="G2171" i="19"/>
  <c r="D224" i="23"/>
  <c r="T13" i="9"/>
  <c r="J13" i="9"/>
  <c r="R13" i="9"/>
  <c r="G792" i="19"/>
  <c r="R754" i="19"/>
  <c r="V754" i="19" s="1"/>
  <c r="J754" i="19"/>
  <c r="G754" i="19" s="1"/>
  <c r="E1417" i="23"/>
  <c r="G45" i="19"/>
  <c r="E709" i="23"/>
  <c r="U36" i="28"/>
  <c r="S36" i="28"/>
  <c r="E1348" i="23"/>
  <c r="F52" i="19"/>
  <c r="G1943" i="19"/>
  <c r="J1547" i="19"/>
  <c r="G1547" i="19" s="1"/>
  <c r="R1547" i="19"/>
  <c r="V1547" i="19" s="1"/>
  <c r="E1457" i="23"/>
  <c r="S52" i="2"/>
  <c r="G1760" i="19"/>
  <c r="J729" i="19"/>
  <c r="G729" i="19" s="1"/>
  <c r="R729" i="19"/>
  <c r="V729" i="19" s="1"/>
  <c r="D805" i="23"/>
  <c r="J66" i="28"/>
  <c r="E1958" i="23"/>
  <c r="E568" i="19"/>
  <c r="M77" i="17"/>
  <c r="E1100" i="23" s="1"/>
  <c r="E1303" i="19"/>
  <c r="AB51" i="15"/>
  <c r="J1605" i="19"/>
  <c r="G1605" i="19" s="1"/>
  <c r="R1605" i="19"/>
  <c r="V1605" i="19" s="1"/>
  <c r="N44" i="7"/>
  <c r="D1983" i="23"/>
  <c r="I24" i="6"/>
  <c r="D2030" i="23" s="1"/>
  <c r="E1539" i="23"/>
  <c r="D2816" i="23"/>
  <c r="G15" i="16"/>
  <c r="D2820" i="23" s="1"/>
  <c r="I11" i="16"/>
  <c r="J11" i="16" s="1"/>
  <c r="D604" i="23"/>
  <c r="T33" i="15"/>
  <c r="R33" i="15"/>
  <c r="J33" i="15"/>
  <c r="D463" i="23"/>
  <c r="T17" i="14"/>
  <c r="R17" i="14"/>
  <c r="J17" i="14"/>
  <c r="E1686" i="23"/>
  <c r="R1908" i="19"/>
  <c r="V1908" i="19" s="1"/>
  <c r="J1908" i="19"/>
  <c r="G1908" i="19" s="1"/>
  <c r="J102" i="19"/>
  <c r="G2265" i="19"/>
  <c r="G1689" i="19"/>
  <c r="G2128" i="19"/>
  <c r="D1177" i="23"/>
  <c r="M48" i="18"/>
  <c r="G54" i="18"/>
  <c r="C2568" i="19" s="1"/>
  <c r="H2568" i="19" s="1"/>
  <c r="G2568" i="19" s="1"/>
  <c r="D871" i="23"/>
  <c r="J7" i="16"/>
  <c r="R574" i="19"/>
  <c r="V574" i="19" s="1"/>
  <c r="J574" i="19"/>
  <c r="G574" i="19" s="1"/>
  <c r="D427" i="23"/>
  <c r="F44" i="13"/>
  <c r="T28" i="13"/>
  <c r="R28" i="13"/>
  <c r="J28" i="13"/>
  <c r="E1407" i="23"/>
  <c r="O52" i="2"/>
  <c r="D708" i="23"/>
  <c r="T35" i="28"/>
  <c r="J35" i="28"/>
  <c r="R35" i="28"/>
  <c r="J1164" i="19"/>
  <c r="G1164" i="19" s="1"/>
  <c r="R1164" i="19"/>
  <c r="V1164" i="19" s="1"/>
  <c r="D1417" i="23"/>
  <c r="E685" i="23"/>
  <c r="K37" i="28"/>
  <c r="U12" i="28"/>
  <c r="S12" i="28"/>
  <c r="O12" i="28"/>
  <c r="G654" i="19"/>
  <c r="G2318" i="19"/>
  <c r="G649" i="19"/>
  <c r="E255" i="23"/>
  <c r="K48" i="9"/>
  <c r="O44" i="9"/>
  <c r="D1723" i="23"/>
  <c r="D2292" i="23"/>
  <c r="I1742" i="19"/>
  <c r="G1742" i="19" s="1"/>
  <c r="I1739" i="19"/>
  <c r="G1739" i="19" s="1"/>
  <c r="E2473" i="23"/>
  <c r="L48" i="11"/>
  <c r="E2477" i="23" s="1"/>
  <c r="E1851" i="23"/>
  <c r="R58" i="4"/>
  <c r="D780" i="23"/>
  <c r="J41" i="28"/>
  <c r="F47" i="15"/>
  <c r="E281" i="23"/>
  <c r="O23" i="10"/>
  <c r="K27" i="10"/>
  <c r="E1446" i="23"/>
  <c r="G2034" i="19"/>
  <c r="E1266" i="23"/>
  <c r="D1266" i="23"/>
  <c r="D589" i="23"/>
  <c r="R18" i="15"/>
  <c r="T18" i="15"/>
  <c r="J18" i="15"/>
  <c r="R600" i="19"/>
  <c r="V600" i="19" s="1"/>
  <c r="J600" i="19"/>
  <c r="G600" i="19" s="1"/>
  <c r="J2141" i="19"/>
  <c r="G2141" i="19" s="1"/>
  <c r="R2141" i="19"/>
  <c r="G591" i="19"/>
  <c r="E1892" i="23"/>
  <c r="L51" i="5"/>
  <c r="E1915" i="23" s="1"/>
  <c r="G1801" i="19"/>
  <c r="G1690" i="19"/>
  <c r="E787" i="23"/>
  <c r="O48" i="28"/>
  <c r="K73" i="28"/>
  <c r="E2452" i="23"/>
  <c r="L27" i="11"/>
  <c r="D1112" i="23"/>
  <c r="H24" i="18"/>
  <c r="D1106" i="23" s="1"/>
  <c r="E850" i="23"/>
  <c r="N54" i="15"/>
  <c r="E853" i="23" s="1"/>
  <c r="G1434" i="19"/>
  <c r="G1145" i="19"/>
  <c r="G986" i="19"/>
  <c r="D1989" i="23"/>
  <c r="I30" i="6"/>
  <c r="D2036" i="23" s="1"/>
  <c r="R1022" i="19"/>
  <c r="V1022" i="19" s="1"/>
  <c r="J1022" i="19"/>
  <c r="G1022" i="19" s="1"/>
  <c r="E1454" i="23"/>
  <c r="R1932" i="19"/>
  <c r="V1932" i="19" s="1"/>
  <c r="J1932" i="19"/>
  <c r="G1932" i="19" s="1"/>
  <c r="D731" i="23"/>
  <c r="I60" i="28"/>
  <c r="D765" i="23" s="1"/>
  <c r="G853" i="19"/>
  <c r="D186" i="23"/>
  <c r="T22" i="8"/>
  <c r="J22" i="8"/>
  <c r="R22" i="8"/>
  <c r="D1680" i="23"/>
  <c r="Q34" i="2"/>
  <c r="E1389" i="23"/>
  <c r="G1130" i="19"/>
  <c r="L76" i="17"/>
  <c r="M48" i="6"/>
  <c r="E2929" i="23"/>
  <c r="J62" i="4"/>
  <c r="R751" i="19"/>
  <c r="V751" i="19" s="1"/>
  <c r="J751" i="19"/>
  <c r="R1903" i="19"/>
  <c r="V1903" i="19" s="1"/>
  <c r="J1903" i="19"/>
  <c r="G1903" i="19" s="1"/>
  <c r="D2359" i="23"/>
  <c r="I24" i="10"/>
  <c r="D2406" i="23" s="1"/>
  <c r="D2252" i="23"/>
  <c r="I11" i="9"/>
  <c r="D2299" i="23" s="1"/>
  <c r="G1426" i="19"/>
  <c r="G1185" i="19"/>
  <c r="D189" i="23"/>
  <c r="T25" i="8"/>
  <c r="J25" i="8"/>
  <c r="R25" i="8"/>
  <c r="G1951" i="19"/>
  <c r="G2389" i="19"/>
  <c r="G872" i="19"/>
  <c r="E833" i="23"/>
  <c r="O47" i="15"/>
  <c r="J1308" i="19"/>
  <c r="R1308" i="19"/>
  <c r="V1308" i="19" s="1"/>
  <c r="D82" i="23"/>
  <c r="R12" i="6"/>
  <c r="T12" i="6"/>
  <c r="J12" i="6"/>
  <c r="E1387" i="23"/>
  <c r="G1067" i="19"/>
  <c r="R2588" i="19"/>
  <c r="V2588" i="19" s="1"/>
  <c r="J2588" i="19"/>
  <c r="G2588" i="19" s="1"/>
  <c r="E1260" i="23"/>
  <c r="D1260" i="23"/>
  <c r="E65" i="19"/>
  <c r="D467" i="23"/>
  <c r="J21" i="14"/>
  <c r="R21" i="14"/>
  <c r="T21" i="14"/>
  <c r="G2162" i="19"/>
  <c r="D1898" i="23"/>
  <c r="I33" i="5"/>
  <c r="D1945" i="23" s="1"/>
  <c r="R1784" i="19"/>
  <c r="V1784" i="19" s="1"/>
  <c r="J1784" i="19"/>
  <c r="G1784" i="19" s="1"/>
  <c r="E832" i="23"/>
  <c r="O46" i="15"/>
  <c r="G751" i="19"/>
  <c r="G1808" i="19"/>
  <c r="G1279" i="19"/>
  <c r="J1338" i="19"/>
  <c r="G1338" i="19" s="1"/>
  <c r="R1338" i="19"/>
  <c r="V1338" i="19" s="1"/>
  <c r="D696" i="23"/>
  <c r="J23" i="28"/>
  <c r="R1185" i="19"/>
  <c r="V1185" i="19" s="1"/>
  <c r="J1185" i="19"/>
  <c r="D1774" i="23"/>
  <c r="D1721" i="23"/>
  <c r="Q22" i="2"/>
  <c r="D347" i="23"/>
  <c r="T42" i="11"/>
  <c r="R42" i="11"/>
  <c r="J42" i="11"/>
  <c r="G477" i="19"/>
  <c r="E917" i="23"/>
  <c r="D917" i="23"/>
  <c r="G1438" i="19"/>
  <c r="D60" i="23"/>
  <c r="T37" i="5"/>
  <c r="J37" i="5"/>
  <c r="R37" i="5"/>
  <c r="J2139" i="19"/>
  <c r="G2139" i="19" s="1"/>
  <c r="R2139" i="19"/>
  <c r="E443" i="23"/>
  <c r="O44" i="13"/>
  <c r="K48" i="13"/>
  <c r="G2077" i="19"/>
  <c r="D2368" i="23"/>
  <c r="I33" i="10"/>
  <c r="D2415" i="23" s="1"/>
  <c r="G775" i="19"/>
  <c r="R2207" i="19"/>
  <c r="J2207" i="19"/>
  <c r="G2207" i="19" s="1"/>
  <c r="G1396" i="19"/>
  <c r="D1904" i="23"/>
  <c r="I39" i="5"/>
  <c r="D1951" i="23" s="1"/>
  <c r="D1514" i="23"/>
  <c r="G45" i="2"/>
  <c r="D1345" i="23" s="1"/>
  <c r="M45" i="2"/>
  <c r="D52" i="3"/>
  <c r="R606" i="19"/>
  <c r="V606" i="19" s="1"/>
  <c r="J606" i="19"/>
  <c r="G606" i="19" s="1"/>
  <c r="E1129" i="23"/>
  <c r="D1129" i="23"/>
  <c r="E2611" i="19"/>
  <c r="G503" i="19"/>
  <c r="R1035" i="19"/>
  <c r="V1035" i="19" s="1"/>
  <c r="J1035" i="19"/>
  <c r="D243" i="23"/>
  <c r="R32" i="9"/>
  <c r="T32" i="9"/>
  <c r="J32" i="9"/>
  <c r="J1638" i="19"/>
  <c r="G1638" i="19" s="1"/>
  <c r="R1638" i="19"/>
  <c r="V1638" i="19" s="1"/>
  <c r="D2756" i="23"/>
  <c r="I45" i="14"/>
  <c r="D2804" i="23" s="1"/>
  <c r="D138" i="23"/>
  <c r="R21" i="7"/>
  <c r="T21" i="7"/>
  <c r="J21" i="7"/>
  <c r="G2059" i="19"/>
  <c r="G2143" i="19"/>
  <c r="G1493" i="19"/>
  <c r="G1308" i="19"/>
  <c r="J608" i="19"/>
  <c r="G608" i="19" s="1"/>
  <c r="R608" i="19"/>
  <c r="V608" i="19" s="1"/>
  <c r="G1675" i="19"/>
  <c r="J2020" i="19"/>
  <c r="R2020" i="19"/>
  <c r="V2020" i="19" s="1"/>
  <c r="R182" i="19"/>
  <c r="V182" i="19" s="1"/>
  <c r="J182" i="19"/>
  <c r="G182" i="19" s="1"/>
  <c r="D2632" i="23"/>
  <c r="I15" i="13"/>
  <c r="D2679" i="23" s="1"/>
  <c r="T15" i="13"/>
  <c r="D614" i="23"/>
  <c r="I9" i="28"/>
  <c r="D648" i="23" s="1"/>
  <c r="E353" i="23"/>
  <c r="E1695" i="23"/>
  <c r="F58" i="4"/>
  <c r="R183" i="19"/>
  <c r="V183" i="19" s="1"/>
  <c r="J183" i="19"/>
  <c r="G183" i="19" s="1"/>
  <c r="E93" i="23"/>
  <c r="J72" i="17"/>
  <c r="K27" i="6"/>
  <c r="O23" i="6"/>
  <c r="E1212" i="23"/>
  <c r="D1212" i="23"/>
  <c r="E44" i="19"/>
  <c r="C44" i="19"/>
  <c r="H44" i="19" s="1"/>
  <c r="Q40" i="17"/>
  <c r="J2278" i="19"/>
  <c r="G2278" i="19" s="1"/>
  <c r="R2278" i="19"/>
  <c r="V2278" i="19" s="1"/>
  <c r="G2025" i="19"/>
  <c r="J2129" i="19"/>
  <c r="G2129" i="19" s="1"/>
  <c r="R2129" i="19"/>
  <c r="D1537" i="23"/>
  <c r="G1542" i="19"/>
  <c r="D207" i="23"/>
  <c r="T43" i="8"/>
  <c r="R43" i="8"/>
  <c r="J43" i="8"/>
  <c r="G943" i="19"/>
  <c r="G1223" i="19"/>
  <c r="E1401" i="23"/>
  <c r="G1565" i="19"/>
  <c r="D1777" i="23"/>
  <c r="J1770" i="19"/>
  <c r="G1770" i="19" s="1"/>
  <c r="R1770" i="19"/>
  <c r="V1770" i="19" s="1"/>
  <c r="H2" i="19"/>
  <c r="G2" i="19" s="1"/>
  <c r="E826" i="23"/>
  <c r="N46" i="15"/>
  <c r="E829" i="23" s="1"/>
  <c r="R385" i="19"/>
  <c r="V385" i="19" s="1"/>
  <c r="J385" i="19"/>
  <c r="G2270" i="19"/>
  <c r="D415" i="23"/>
  <c r="R16" i="13"/>
  <c r="T16" i="13"/>
  <c r="J16" i="13"/>
  <c r="D2167" i="23"/>
  <c r="I20" i="8"/>
  <c r="D2214" i="23" s="1"/>
  <c r="D40" i="23"/>
  <c r="R17" i="5"/>
  <c r="T17" i="5"/>
  <c r="J17" i="5"/>
  <c r="E1455" i="23"/>
  <c r="G1885" i="19"/>
  <c r="J746" i="19"/>
  <c r="G746" i="19" s="1"/>
  <c r="R746" i="19"/>
  <c r="V746" i="19" s="1"/>
  <c r="R1320" i="19"/>
  <c r="V1320" i="19" s="1"/>
  <c r="J1320" i="19"/>
  <c r="G1320" i="19" s="1"/>
  <c r="R58" i="19"/>
  <c r="V58" i="19" s="1"/>
  <c r="J58" i="19"/>
  <c r="G58" i="19" s="1"/>
  <c r="L75" i="17"/>
  <c r="G1471" i="19"/>
  <c r="D1990" i="23"/>
  <c r="I31" i="6"/>
  <c r="G1539" i="19"/>
  <c r="D1017" i="23"/>
  <c r="E1017" i="23"/>
  <c r="G763" i="19"/>
  <c r="D1506" i="23"/>
  <c r="G37" i="2"/>
  <c r="D1337" i="23" s="1"/>
  <c r="M37" i="2"/>
  <c r="D1780" i="23"/>
  <c r="G2384" i="19"/>
  <c r="R1191" i="19"/>
  <c r="V1191" i="19" s="1"/>
  <c r="J1191" i="19"/>
  <c r="G1191" i="19" s="1"/>
  <c r="G833" i="19"/>
  <c r="G493" i="19"/>
  <c r="D1623" i="23"/>
  <c r="J43" i="19"/>
  <c r="G43" i="19" s="1"/>
  <c r="R43" i="19"/>
  <c r="V43" i="19" s="1"/>
  <c r="J1016" i="19"/>
  <c r="G1016" i="19" s="1"/>
  <c r="R1016" i="19"/>
  <c r="V1016" i="19" s="1"/>
  <c r="D1876" i="23"/>
  <c r="I11" i="5"/>
  <c r="D1923" i="23" s="1"/>
  <c r="G781" i="19"/>
  <c r="D477" i="23"/>
  <c r="R31" i="14"/>
  <c r="J31" i="14"/>
  <c r="T31" i="14"/>
  <c r="J1636" i="19"/>
  <c r="G1636" i="19" s="1"/>
  <c r="R1636" i="19"/>
  <c r="V1636" i="19" s="1"/>
  <c r="D32" i="23"/>
  <c r="R9" i="5"/>
  <c r="T9" i="5"/>
  <c r="J9" i="5"/>
  <c r="D2882" i="23"/>
  <c r="I66" i="16"/>
  <c r="D2935" i="23" s="1"/>
  <c r="G1420" i="19"/>
  <c r="D1835" i="23"/>
  <c r="D342" i="23"/>
  <c r="R37" i="11"/>
  <c r="T37" i="11"/>
  <c r="J37" i="11"/>
  <c r="G1171" i="19"/>
  <c r="H40" i="16"/>
  <c r="H43" i="16" s="1"/>
  <c r="F2514" i="22" s="1"/>
  <c r="G1720" i="19"/>
  <c r="E617" i="23"/>
  <c r="D2086" i="19"/>
  <c r="I2086" i="19" s="1"/>
  <c r="C2086" i="19"/>
  <c r="H2086" i="19" s="1"/>
  <c r="N12" i="28"/>
  <c r="E651" i="23" s="1"/>
  <c r="L37" i="28"/>
  <c r="G2606" i="19"/>
  <c r="G1993" i="19"/>
  <c r="G489" i="19"/>
  <c r="D590" i="23"/>
  <c r="T19" i="15"/>
  <c r="R19" i="15"/>
  <c r="J19" i="15"/>
  <c r="D2562" i="23"/>
  <c r="I39" i="12"/>
  <c r="D2609" i="23" s="1"/>
  <c r="L2686" i="23"/>
  <c r="P2686" i="23"/>
  <c r="O2686" i="23"/>
  <c r="K2686" i="23"/>
  <c r="F2686" i="23" s="1"/>
  <c r="D2281" i="23"/>
  <c r="I40" i="9"/>
  <c r="D2328" i="23" s="1"/>
  <c r="I1339" i="19"/>
  <c r="I1336" i="19"/>
  <c r="G1336" i="19" s="1"/>
  <c r="G884" i="19"/>
  <c r="D1496" i="23"/>
  <c r="M26" i="2"/>
  <c r="G26" i="2"/>
  <c r="D1326" i="23" s="1"/>
  <c r="G845" i="19"/>
  <c r="R428" i="19"/>
  <c r="V428" i="19" s="1"/>
  <c r="J428" i="19"/>
  <c r="G1410" i="19"/>
  <c r="R714" i="19"/>
  <c r="V714" i="19" s="1"/>
  <c r="J714" i="19"/>
  <c r="G714" i="19" s="1"/>
  <c r="E1336" i="23"/>
  <c r="E106" i="17"/>
  <c r="J427" i="19"/>
  <c r="G427" i="19" s="1"/>
  <c r="R427" i="19"/>
  <c r="V427" i="19" s="1"/>
  <c r="G13" i="17"/>
  <c r="H6" i="17"/>
  <c r="D2961" i="23" s="1"/>
  <c r="G922" i="19"/>
  <c r="H51" i="12"/>
  <c r="D1440" i="23"/>
  <c r="D1124" i="23"/>
  <c r="H33" i="18"/>
  <c r="G2319" i="19"/>
  <c r="D289" i="23"/>
  <c r="T31" i="10"/>
  <c r="R31" i="10"/>
  <c r="J31" i="10"/>
  <c r="D1662" i="23"/>
  <c r="Q16" i="2"/>
  <c r="G1074" i="19"/>
  <c r="R602" i="19"/>
  <c r="V602" i="19" s="1"/>
  <c r="J602" i="19"/>
  <c r="G602" i="19" s="1"/>
  <c r="G2079" i="19"/>
  <c r="G2355" i="19"/>
  <c r="D507" i="23"/>
  <c r="I14" i="15"/>
  <c r="G49" i="15"/>
  <c r="G1120" i="19"/>
  <c r="J87" i="19"/>
  <c r="G87" i="19" s="1"/>
  <c r="R87" i="19"/>
  <c r="V87" i="19" s="1"/>
  <c r="G1588" i="19"/>
  <c r="R1053" i="19"/>
  <c r="V1053" i="19" s="1"/>
  <c r="J1053" i="19"/>
  <c r="G1053" i="19" s="1"/>
  <c r="G2131" i="19"/>
  <c r="D270" i="23"/>
  <c r="R12" i="10"/>
  <c r="T12" i="10"/>
  <c r="J12" i="10"/>
  <c r="D2005" i="23"/>
  <c r="I46" i="6"/>
  <c r="D2052" i="23" s="1"/>
  <c r="D1505" i="23"/>
  <c r="G36" i="2"/>
  <c r="D1336" i="23" s="1"/>
  <c r="M36" i="2"/>
  <c r="G1523" i="19"/>
  <c r="G2109" i="19"/>
  <c r="D1765" i="23"/>
  <c r="C379" i="19"/>
  <c r="H379" i="19" s="1"/>
  <c r="G379" i="19" s="1"/>
  <c r="E963" i="23"/>
  <c r="D963" i="23"/>
  <c r="R1019" i="19"/>
  <c r="V1019" i="19" s="1"/>
  <c r="J1019" i="19"/>
  <c r="G1019" i="19" s="1"/>
  <c r="G1099" i="19"/>
  <c r="G856" i="19"/>
  <c r="R1751" i="19"/>
  <c r="V1751" i="19" s="1"/>
  <c r="J1751" i="19"/>
  <c r="G1751" i="19" s="1"/>
  <c r="G2111" i="19"/>
  <c r="R720" i="19"/>
  <c r="V720" i="19" s="1"/>
  <c r="J720" i="19"/>
  <c r="G720" i="19" s="1"/>
  <c r="R747" i="19"/>
  <c r="V747" i="19" s="1"/>
  <c r="J747" i="19"/>
  <c r="G747" i="19" s="1"/>
  <c r="M51" i="14"/>
  <c r="R1253" i="19"/>
  <c r="V1253" i="19" s="1"/>
  <c r="J1253" i="19"/>
  <c r="G1253" i="19" s="1"/>
  <c r="D1550" i="23"/>
  <c r="H43" i="3"/>
  <c r="J2356" i="19"/>
  <c r="G2356" i="19" s="1"/>
  <c r="R2356" i="19"/>
  <c r="V2356" i="19" s="1"/>
  <c r="J1595" i="19"/>
  <c r="G1595" i="19" s="1"/>
  <c r="R1595" i="19"/>
  <c r="V1595" i="19" s="1"/>
  <c r="E1399" i="23"/>
  <c r="E2925" i="23"/>
  <c r="F62" i="4"/>
  <c r="E972" i="23"/>
  <c r="D972" i="23"/>
  <c r="D2274" i="23"/>
  <c r="I33" i="9"/>
  <c r="D2321" i="23" s="1"/>
  <c r="T33" i="9"/>
  <c r="D1580" i="23"/>
  <c r="H58" i="3"/>
  <c r="E118" i="23"/>
  <c r="D1638" i="23"/>
  <c r="O49" i="15"/>
  <c r="K52" i="15"/>
  <c r="J1892" i="19"/>
  <c r="G1892" i="19" s="1"/>
  <c r="R1892" i="19"/>
  <c r="V1892" i="19" s="1"/>
  <c r="G1238" i="19"/>
  <c r="D1822" i="23"/>
  <c r="E1451" i="23"/>
  <c r="R2551" i="19"/>
  <c r="V2551" i="19" s="1"/>
  <c r="J2551" i="19"/>
  <c r="G2551" i="19" s="1"/>
  <c r="G1663" i="19"/>
  <c r="J1169" i="19"/>
  <c r="G1169" i="19" s="1"/>
  <c r="R1169" i="19"/>
  <c r="V1169" i="19" s="1"/>
  <c r="D128" i="23"/>
  <c r="T11" i="7"/>
  <c r="R11" i="7"/>
  <c r="J11" i="7"/>
  <c r="G2099" i="19"/>
  <c r="E840" i="19"/>
  <c r="G2271" i="19"/>
  <c r="D1767" i="23"/>
  <c r="D2980" i="23"/>
  <c r="H12" i="18"/>
  <c r="D520" i="23"/>
  <c r="I27" i="15"/>
  <c r="D554" i="23" s="1"/>
  <c r="T27" i="15"/>
  <c r="G1142" i="19"/>
  <c r="M80" i="17"/>
  <c r="E1103" i="23" s="1"/>
  <c r="G868" i="19"/>
  <c r="D1660" i="23"/>
  <c r="C279" i="19"/>
  <c r="H279" i="19" s="1"/>
  <c r="G279" i="19" s="1"/>
  <c r="Q14" i="2"/>
  <c r="K2671" i="23"/>
  <c r="O2671" i="23"/>
  <c r="P2671" i="23"/>
  <c r="L2671" i="23"/>
  <c r="F2671" i="23" s="1"/>
  <c r="D2893" i="23"/>
  <c r="E469" i="23"/>
  <c r="O23" i="14"/>
  <c r="K27" i="14"/>
  <c r="D1640" i="23"/>
  <c r="G1391" i="19"/>
  <c r="D56" i="23"/>
  <c r="T33" i="5"/>
  <c r="R33" i="5"/>
  <c r="E1252" i="23"/>
  <c r="D1252" i="23"/>
  <c r="E57" i="19"/>
  <c r="F94" i="17"/>
  <c r="H94" i="17" s="1"/>
  <c r="D395" i="23"/>
  <c r="T43" i="12"/>
  <c r="R43" i="12"/>
  <c r="J43" i="12"/>
  <c r="R586" i="19"/>
  <c r="V586" i="19" s="1"/>
  <c r="J586" i="19"/>
  <c r="G586" i="19" s="1"/>
  <c r="D2643" i="23"/>
  <c r="I26" i="13"/>
  <c r="D2690" i="23" s="1"/>
  <c r="T26" i="13"/>
  <c r="R2021" i="19"/>
  <c r="V2021" i="19" s="1"/>
  <c r="J2021" i="19"/>
  <c r="G2021" i="19" s="1"/>
  <c r="E2734" i="23"/>
  <c r="L27" i="14"/>
  <c r="D230" i="23"/>
  <c r="T19" i="9"/>
  <c r="R19" i="9"/>
  <c r="J19" i="9"/>
  <c r="E1021" i="23"/>
  <c r="D1021" i="23"/>
  <c r="D726" i="23"/>
  <c r="I55" i="28"/>
  <c r="D760" i="23" s="1"/>
  <c r="D293" i="23"/>
  <c r="R35" i="10"/>
  <c r="J35" i="10"/>
  <c r="T35" i="10"/>
  <c r="G1219" i="19"/>
  <c r="D48" i="23"/>
  <c r="V25" i="15"/>
  <c r="T25" i="5"/>
  <c r="R25" i="5"/>
  <c r="J25" i="5"/>
  <c r="E73" i="17"/>
  <c r="V25" i="28"/>
  <c r="J328" i="19"/>
  <c r="G328" i="19" s="1"/>
  <c r="R328" i="19"/>
  <c r="V328" i="19" s="1"/>
  <c r="R1619" i="19"/>
  <c r="V1619" i="19" s="1"/>
  <c r="J1619" i="19"/>
  <c r="G1619" i="19" s="1"/>
  <c r="D2872" i="23"/>
  <c r="I56" i="16"/>
  <c r="D2925" i="23" s="1"/>
  <c r="J56" i="16"/>
  <c r="D728" i="23"/>
  <c r="I57" i="28"/>
  <c r="D762" i="23" s="1"/>
  <c r="D605" i="23"/>
  <c r="T34" i="15"/>
  <c r="R34" i="15"/>
  <c r="J34" i="15"/>
  <c r="D1548" i="23"/>
  <c r="G19" i="2"/>
  <c r="D1319" i="23" s="1"/>
  <c r="M19" i="2"/>
  <c r="D122" i="23"/>
  <c r="R5" i="7"/>
  <c r="T5" i="7"/>
  <c r="J5" i="7"/>
  <c r="G481" i="19"/>
  <c r="P2630" i="23"/>
  <c r="K2630" i="23"/>
  <c r="F2630" i="23" s="1"/>
  <c r="O2630" i="23"/>
  <c r="L2630" i="23"/>
  <c r="D3036" i="23"/>
  <c r="H26" i="18"/>
  <c r="D2998" i="23" s="1"/>
  <c r="R1335" i="19"/>
  <c r="V1335" i="19" s="1"/>
  <c r="J1335" i="19"/>
  <c r="G1335" i="19" s="1"/>
  <c r="R1488" i="19"/>
  <c r="V1488" i="19" s="1"/>
  <c r="J1488" i="19"/>
  <c r="G1488" i="19" s="1"/>
  <c r="J76" i="19"/>
  <c r="G76" i="19" s="1"/>
  <c r="R76" i="19"/>
  <c r="V76" i="19" s="1"/>
  <c r="G1988" i="19"/>
  <c r="R1640" i="19"/>
  <c r="V1640" i="19" s="1"/>
  <c r="J1640" i="19"/>
  <c r="D299" i="23"/>
  <c r="T41" i="10"/>
  <c r="R41" i="10"/>
  <c r="J41" i="10"/>
  <c r="D908" i="23"/>
  <c r="I15" i="17"/>
  <c r="R2115" i="19"/>
  <c r="J2115" i="19"/>
  <c r="G2115" i="19" s="1"/>
  <c r="G2016" i="19"/>
  <c r="E2598" i="23"/>
  <c r="N44" i="12"/>
  <c r="D2716" i="23"/>
  <c r="I5" i="14"/>
  <c r="G23" i="14"/>
  <c r="D174" i="23"/>
  <c r="T10" i="8"/>
  <c r="J10" i="8"/>
  <c r="R10" i="8"/>
  <c r="D1872" i="23"/>
  <c r="I7" i="5"/>
  <c r="D1919" i="23" s="1"/>
  <c r="E1413" i="23"/>
  <c r="G2189" i="19"/>
  <c r="G1242" i="19"/>
  <c r="J1316" i="19"/>
  <c r="G1316" i="19" s="1"/>
  <c r="R1316" i="19"/>
  <c r="V1316" i="19" s="1"/>
  <c r="H51" i="7"/>
  <c r="F2507" i="22" s="1"/>
  <c r="D178" i="23"/>
  <c r="T14" i="8"/>
  <c r="R14" i="8"/>
  <c r="J14" i="8"/>
  <c r="D785" i="23"/>
  <c r="J46" i="28"/>
  <c r="M8" i="2"/>
  <c r="G2309" i="19"/>
  <c r="G2223" i="19"/>
  <c r="D2457" i="23"/>
  <c r="I28" i="11"/>
  <c r="J28" i="11" s="1"/>
  <c r="G44" i="11"/>
  <c r="D1763" i="23"/>
  <c r="C377" i="19"/>
  <c r="H377" i="19" s="1"/>
  <c r="G377" i="19" s="1"/>
  <c r="L20" i="4"/>
  <c r="D2844" i="23"/>
  <c r="I26" i="16"/>
  <c r="D2895" i="23" s="1"/>
  <c r="J2036" i="19"/>
  <c r="G2036" i="19" s="1"/>
  <c r="R2036" i="19"/>
  <c r="V2036" i="19" s="1"/>
  <c r="G2012" i="19"/>
  <c r="J1196" i="19"/>
  <c r="G1196" i="19" s="1"/>
  <c r="R1196" i="19"/>
  <c r="V1196" i="19" s="1"/>
  <c r="H20" i="3"/>
  <c r="R1614" i="19"/>
  <c r="V1614" i="19" s="1"/>
  <c r="J1614" i="19"/>
  <c r="G1614" i="19" s="1"/>
  <c r="J1781" i="19"/>
  <c r="G1781" i="19" s="1"/>
  <c r="R1781" i="19"/>
  <c r="V1781" i="19" s="1"/>
  <c r="D1377" i="23"/>
  <c r="G1991" i="19"/>
  <c r="G819" i="19"/>
  <c r="D1487" i="23"/>
  <c r="M17" i="2"/>
  <c r="G17" i="2"/>
  <c r="D1317" i="23" s="1"/>
  <c r="D176" i="23"/>
  <c r="T12" i="8"/>
  <c r="R12" i="8"/>
  <c r="J12" i="8"/>
  <c r="G740" i="19"/>
  <c r="D1700" i="23"/>
  <c r="Q57" i="2"/>
  <c r="J1491" i="19"/>
  <c r="G1491" i="19" s="1"/>
  <c r="R1491" i="19"/>
  <c r="V1491" i="19" s="1"/>
  <c r="G823" i="19"/>
  <c r="D1940" i="23"/>
  <c r="R1918" i="19"/>
  <c r="V1918" i="19" s="1"/>
  <c r="J1918" i="19"/>
  <c r="G1918" i="19" s="1"/>
  <c r="E1430" i="23"/>
  <c r="D880" i="23"/>
  <c r="D251" i="23"/>
  <c r="R40" i="9"/>
  <c r="J40" i="9"/>
  <c r="T40" i="9"/>
  <c r="D499" i="23"/>
  <c r="I6" i="15"/>
  <c r="D533" i="23" s="1"/>
  <c r="D714" i="23"/>
  <c r="I43" i="28"/>
  <c r="D748" i="23" s="1"/>
  <c r="D1742" i="23"/>
  <c r="D1029" i="23"/>
  <c r="E1029" i="23"/>
  <c r="C2548" i="19"/>
  <c r="H2548" i="19" s="1"/>
  <c r="G2548" i="19" s="1"/>
  <c r="J1758" i="19"/>
  <c r="G1758" i="19" s="1"/>
  <c r="R1758" i="19"/>
  <c r="V1758" i="19" s="1"/>
  <c r="E1468" i="23"/>
  <c r="E607" i="23"/>
  <c r="S36" i="15"/>
  <c r="U36" i="15"/>
  <c r="O36" i="15"/>
  <c r="G1165" i="19"/>
  <c r="D182" i="23"/>
  <c r="T18" i="8"/>
  <c r="R18" i="8"/>
  <c r="J18" i="8"/>
  <c r="E1172" i="23"/>
  <c r="D1172" i="23"/>
  <c r="D2559" i="19"/>
  <c r="I2559" i="19" s="1"/>
  <c r="C2559" i="19"/>
  <c r="H2559" i="19" s="1"/>
  <c r="G2559" i="19" s="1"/>
  <c r="G46" i="1"/>
  <c r="R874" i="19"/>
  <c r="V874" i="19" s="1"/>
  <c r="J874" i="19"/>
  <c r="G874" i="19" s="1"/>
  <c r="D1405" i="23"/>
  <c r="D2732" i="23"/>
  <c r="I21" i="14"/>
  <c r="D2780" i="23" s="1"/>
  <c r="G880" i="19"/>
  <c r="E1073" i="23"/>
  <c r="N73" i="17"/>
  <c r="D2970" i="23"/>
  <c r="H15" i="17"/>
  <c r="T31" i="6"/>
  <c r="R54" i="19"/>
  <c r="V54" i="19" s="1"/>
  <c r="J54" i="19"/>
  <c r="G54" i="19" s="1"/>
  <c r="D1882" i="23"/>
  <c r="I17" i="5"/>
  <c r="D1929" i="23" s="1"/>
  <c r="F2513" i="22"/>
  <c r="E819" i="23"/>
  <c r="O41" i="15"/>
  <c r="K44" i="15"/>
  <c r="U41" i="15"/>
  <c r="S41" i="15"/>
  <c r="G1394" i="19"/>
  <c r="E3006" i="23"/>
  <c r="N23" i="18"/>
  <c r="D380" i="23"/>
  <c r="J28" i="12"/>
  <c r="F44" i="12"/>
  <c r="T28" i="12"/>
  <c r="R28" i="12"/>
  <c r="D1980" i="23"/>
  <c r="I21" i="6"/>
  <c r="D2027" i="23" s="1"/>
  <c r="I2020" i="19"/>
  <c r="G2020" i="19" s="1"/>
  <c r="I2017" i="19"/>
  <c r="G2017" i="19" s="1"/>
  <c r="D2449" i="23"/>
  <c r="I20" i="11"/>
  <c r="D2496" i="23" s="1"/>
  <c r="E1459" i="23"/>
  <c r="D2273" i="23"/>
  <c r="I32" i="9"/>
  <c r="D2320" i="23" s="1"/>
  <c r="G1590" i="19"/>
  <c r="J1026" i="19"/>
  <c r="G1026" i="19" s="1"/>
  <c r="R1026" i="19"/>
  <c r="V1026" i="19" s="1"/>
  <c r="D1698" i="23"/>
  <c r="Q55" i="2"/>
  <c r="G931" i="19"/>
  <c r="G923" i="19"/>
  <c r="Q25" i="2"/>
  <c r="G2221" i="19"/>
  <c r="D2551" i="23"/>
  <c r="G44" i="12"/>
  <c r="I28" i="12"/>
  <c r="J1339" i="19"/>
  <c r="R1339" i="19"/>
  <c r="V1339" i="19" s="1"/>
  <c r="D2070" i="23"/>
  <c r="I17" i="7"/>
  <c r="D2117" i="23" s="1"/>
  <c r="J2212" i="19"/>
  <c r="G2212" i="19" s="1"/>
  <c r="R2212" i="19"/>
  <c r="D134" i="23"/>
  <c r="R17" i="7"/>
  <c r="J17" i="7"/>
  <c r="T17" i="7"/>
  <c r="G562" i="19"/>
  <c r="G2002" i="19"/>
  <c r="G2191" i="19"/>
  <c r="G1997" i="19"/>
  <c r="E1344" i="23"/>
  <c r="J52" i="2"/>
  <c r="G1971" i="19"/>
  <c r="D218" i="23"/>
  <c r="R7" i="9"/>
  <c r="T7" i="9"/>
  <c r="J7" i="9"/>
  <c r="D1706" i="23"/>
  <c r="J2343" i="19"/>
  <c r="G2343" i="19" s="1"/>
  <c r="R2343" i="19"/>
  <c r="R1759" i="19"/>
  <c r="V1759" i="19" s="1"/>
  <c r="J1759" i="19"/>
  <c r="G1759" i="19" s="1"/>
  <c r="D394" i="23"/>
  <c r="R42" i="12"/>
  <c r="T42" i="12"/>
  <c r="J42" i="12"/>
  <c r="G659" i="19"/>
  <c r="E1403" i="23"/>
  <c r="G1711" i="19"/>
  <c r="R1195" i="19"/>
  <c r="V1195" i="19" s="1"/>
  <c r="J1195" i="19"/>
  <c r="G1195" i="19" s="1"/>
  <c r="D1784" i="23"/>
  <c r="G771" i="19"/>
  <c r="G491" i="19"/>
  <c r="D1696" i="23"/>
  <c r="Q53" i="2"/>
  <c r="F2206" i="23"/>
  <c r="D575" i="23"/>
  <c r="F12" i="15"/>
  <c r="F41" i="15"/>
  <c r="R4" i="15"/>
  <c r="T4" i="15"/>
  <c r="J4" i="15"/>
  <c r="J1041" i="19"/>
  <c r="G1041" i="19" s="1"/>
  <c r="R1041" i="19"/>
  <c r="V1041" i="19" s="1"/>
  <c r="D1874" i="23"/>
  <c r="I9" i="5"/>
  <c r="D1921" i="23" s="1"/>
  <c r="D1618" i="23"/>
  <c r="D1870" i="23"/>
  <c r="I5" i="5"/>
  <c r="D1917" i="23" s="1"/>
  <c r="D491" i="23"/>
  <c r="R45" i="14"/>
  <c r="T45" i="14"/>
  <c r="J45" i="14"/>
  <c r="G1197" i="19"/>
  <c r="E396" i="23"/>
  <c r="O44" i="12"/>
  <c r="K48" i="12"/>
  <c r="G1640" i="19"/>
  <c r="G1345" i="19"/>
  <c r="R1055" i="19"/>
  <c r="V1055" i="19" s="1"/>
  <c r="J1055" i="19"/>
  <c r="G1055" i="19" s="1"/>
  <c r="D1693" i="23"/>
  <c r="Q50" i="2"/>
  <c r="E839" i="23"/>
  <c r="N51" i="15"/>
  <c r="G1088" i="19"/>
  <c r="G1555" i="19"/>
  <c r="G1028" i="19"/>
  <c r="E2386" i="23"/>
  <c r="N23" i="10"/>
  <c r="R1020" i="19"/>
  <c r="V1020" i="19" s="1"/>
  <c r="J1020" i="19"/>
  <c r="G1020" i="19" s="1"/>
  <c r="G1024" i="19"/>
  <c r="D3027" i="23"/>
  <c r="H15" i="18"/>
  <c r="D2989" i="23" s="1"/>
  <c r="G2148" i="19"/>
  <c r="D1906" i="23"/>
  <c r="I41" i="5"/>
  <c r="D1953" i="23" s="1"/>
  <c r="R594" i="19"/>
  <c r="V594" i="19" s="1"/>
  <c r="J594" i="19"/>
  <c r="G594" i="19" s="1"/>
  <c r="D525" i="23"/>
  <c r="I32" i="15"/>
  <c r="D559" i="23" s="1"/>
  <c r="T32" i="15"/>
  <c r="G2029" i="19"/>
  <c r="E1580" i="23"/>
  <c r="J58" i="3"/>
  <c r="J2337" i="19"/>
  <c r="G2337" i="19" s="1"/>
  <c r="K48" i="15"/>
  <c r="T46" i="6"/>
  <c r="R2525" i="19"/>
  <c r="R2409" i="19"/>
  <c r="R2434" i="19"/>
  <c r="R2408" i="19"/>
  <c r="R2433" i="19"/>
  <c r="S2542" i="19"/>
  <c r="R2337" i="19"/>
  <c r="R88" i="19"/>
  <c r="R102" i="19"/>
  <c r="R80" i="19"/>
  <c r="X25" i="15" l="1"/>
  <c r="J64" i="16"/>
  <c r="P58" i="4"/>
  <c r="G1339" i="19"/>
  <c r="G24" i="17"/>
  <c r="J36" i="16"/>
  <c r="O36" i="28"/>
  <c r="V2409" i="19"/>
  <c r="V2434" i="19"/>
  <c r="V2408" i="19"/>
  <c r="V2433" i="19"/>
  <c r="V88" i="19"/>
  <c r="G88" i="19" s="1"/>
  <c r="V80" i="19"/>
  <c r="G80" i="19" s="1"/>
  <c r="V102" i="19"/>
  <c r="G102" i="19" s="1"/>
  <c r="V2337" i="19"/>
  <c r="V2542" i="19"/>
  <c r="D541" i="23"/>
  <c r="J14" i="15"/>
  <c r="D2037" i="23"/>
  <c r="J31" i="6"/>
  <c r="J41" i="16"/>
  <c r="F108" i="17"/>
  <c r="G78" i="17"/>
  <c r="E2944" i="23"/>
  <c r="O76" i="16"/>
  <c r="D1947" i="23"/>
  <c r="J35" i="5"/>
  <c r="N77" i="17"/>
  <c r="I40" i="16"/>
  <c r="D2909" i="23" s="1"/>
  <c r="J41" i="5"/>
  <c r="J66" i="16"/>
  <c r="O15" i="16"/>
  <c r="D1943" i="23"/>
  <c r="J31" i="5"/>
  <c r="G384" i="19"/>
  <c r="M43" i="2"/>
  <c r="D1406" i="23" s="1"/>
  <c r="J30" i="11"/>
  <c r="J36" i="9"/>
  <c r="H51" i="6"/>
  <c r="F2506" i="22" s="1"/>
  <c r="G385" i="19"/>
  <c r="J37" i="16"/>
  <c r="G17" i="19"/>
  <c r="D2964" i="23"/>
  <c r="I9" i="17"/>
  <c r="J33" i="5"/>
  <c r="J26" i="16"/>
  <c r="E842" i="23"/>
  <c r="E845" i="23"/>
  <c r="D1549" i="23"/>
  <c r="E1705" i="23"/>
  <c r="E323" i="19"/>
  <c r="N62" i="4"/>
  <c r="E1701" i="23"/>
  <c r="F59" i="4"/>
  <c r="J2482" i="19"/>
  <c r="E1076" i="23"/>
  <c r="E2968" i="23"/>
  <c r="M24" i="17"/>
  <c r="F62" i="3"/>
  <c r="E2940" i="23"/>
  <c r="N77" i="16"/>
  <c r="O77" i="16" s="1"/>
  <c r="K2481" i="19"/>
  <c r="E1082" i="23"/>
  <c r="K82" i="17"/>
  <c r="E1093" i="23" s="1"/>
  <c r="K74" i="17"/>
  <c r="I23" i="5"/>
  <c r="D1695" i="23"/>
  <c r="D58" i="4"/>
  <c r="I23" i="10"/>
  <c r="K53" i="19"/>
  <c r="G53" i="19" s="1"/>
  <c r="S53" i="19"/>
  <c r="V53" i="19" s="1"/>
  <c r="E1527" i="23"/>
  <c r="F59" i="3"/>
  <c r="D743" i="23"/>
  <c r="I72" i="28"/>
  <c r="D777" i="23" s="1"/>
  <c r="E844" i="23"/>
  <c r="E841" i="23"/>
  <c r="D1480" i="23"/>
  <c r="E2830" i="23"/>
  <c r="N17" i="16"/>
  <c r="O17" i="16" s="1"/>
  <c r="D856" i="23"/>
  <c r="J54" i="15"/>
  <c r="E1191" i="23"/>
  <c r="C2641" i="19"/>
  <c r="H2641" i="19" s="1"/>
  <c r="G2641" i="19" s="1"/>
  <c r="N62" i="3"/>
  <c r="D1460" i="23"/>
  <c r="D187" i="23"/>
  <c r="J23" i="8"/>
  <c r="F27" i="8"/>
  <c r="E2174" i="23"/>
  <c r="L51" i="8"/>
  <c r="E2197" i="23" s="1"/>
  <c r="D1458" i="23"/>
  <c r="E1384" i="23"/>
  <c r="R59" i="19"/>
  <c r="V59" i="19" s="1"/>
  <c r="J59" i="19"/>
  <c r="G59" i="19" s="1"/>
  <c r="D1392" i="23"/>
  <c r="E144" i="23"/>
  <c r="K51" i="7"/>
  <c r="O27" i="7"/>
  <c r="D2857" i="23"/>
  <c r="J40" i="16"/>
  <c r="G43" i="16"/>
  <c r="D1373" i="23"/>
  <c r="D607" i="23"/>
  <c r="R36" i="15"/>
  <c r="F37" i="15"/>
  <c r="T36" i="15"/>
  <c r="E2550" i="23"/>
  <c r="L51" i="12"/>
  <c r="E2573" i="23" s="1"/>
  <c r="D2831" i="23"/>
  <c r="I15" i="16"/>
  <c r="D1435" i="23"/>
  <c r="K2525" i="19"/>
  <c r="D505" i="23"/>
  <c r="I12" i="15"/>
  <c r="D539" i="23" s="1"/>
  <c r="D1428" i="23"/>
  <c r="E3035" i="23"/>
  <c r="P27" i="18"/>
  <c r="E3037" i="23" s="1"/>
  <c r="E494" i="23"/>
  <c r="O48" i="14"/>
  <c r="D855" i="23"/>
  <c r="J53" i="15"/>
  <c r="F56" i="15"/>
  <c r="D328" i="23"/>
  <c r="F27" i="11"/>
  <c r="J23" i="11"/>
  <c r="D2987" i="23"/>
  <c r="F2501" i="22"/>
  <c r="L4" i="3"/>
  <c r="D1593" i="23" s="1"/>
  <c r="G20" i="16"/>
  <c r="E836" i="23"/>
  <c r="O48" i="15"/>
  <c r="I44" i="5"/>
  <c r="E2238" i="23"/>
  <c r="N48" i="8"/>
  <c r="E2242" i="23" s="1"/>
  <c r="E165" i="23"/>
  <c r="O48" i="7"/>
  <c r="D93" i="23"/>
  <c r="E72" i="17"/>
  <c r="F27" i="6"/>
  <c r="J23" i="6"/>
  <c r="E1436" i="23"/>
  <c r="E1228" i="23"/>
  <c r="D1228" i="23"/>
  <c r="D23" i="19"/>
  <c r="D1400" i="23"/>
  <c r="D1408" i="23"/>
  <c r="D1450" i="23"/>
  <c r="E1465" i="23"/>
  <c r="S58" i="2"/>
  <c r="E2080" i="23"/>
  <c r="L51" i="7"/>
  <c r="E2103" i="23" s="1"/>
  <c r="L74" i="17"/>
  <c r="L82" i="17"/>
  <c r="F96" i="17"/>
  <c r="E2499" i="23"/>
  <c r="N27" i="11"/>
  <c r="I44" i="10"/>
  <c r="D1311" i="23"/>
  <c r="G20" i="2"/>
  <c r="D1320" i="23" s="1"/>
  <c r="E2332" i="23"/>
  <c r="N48" i="9"/>
  <c r="E2336" i="23" s="1"/>
  <c r="D1448" i="23"/>
  <c r="E1210" i="23"/>
  <c r="D1210" i="23"/>
  <c r="Q37" i="17"/>
  <c r="I39" i="1"/>
  <c r="E881" i="23"/>
  <c r="C2252" i="19"/>
  <c r="H2252" i="19" s="1"/>
  <c r="G2252" i="19" s="1"/>
  <c r="D1429" i="23"/>
  <c r="D3006" i="23"/>
  <c r="M23" i="18"/>
  <c r="D825" i="23"/>
  <c r="I45" i="15"/>
  <c r="D828" i="23" s="1"/>
  <c r="G48" i="15"/>
  <c r="G57" i="15" s="1"/>
  <c r="D811" i="23"/>
  <c r="J72" i="28"/>
  <c r="E2644" i="23"/>
  <c r="L51" i="13"/>
  <c r="E2667" i="23" s="1"/>
  <c r="D1404" i="23"/>
  <c r="D2504" i="23"/>
  <c r="I44" i="11"/>
  <c r="C2240" i="19"/>
  <c r="H2240" i="19" s="1"/>
  <c r="G2240" i="19" s="1"/>
  <c r="F53" i="16"/>
  <c r="F2519" i="22"/>
  <c r="H19" i="16"/>
  <c r="D2598" i="23"/>
  <c r="I44" i="12"/>
  <c r="D1372" i="23"/>
  <c r="D2734" i="23"/>
  <c r="G27" i="14"/>
  <c r="E473" i="23"/>
  <c r="O27" i="14"/>
  <c r="K51" i="14"/>
  <c r="D1630" i="23"/>
  <c r="D1375" i="23"/>
  <c r="M20" i="2"/>
  <c r="D2097" i="23"/>
  <c r="G48" i="7"/>
  <c r="D2101" i="23" s="1"/>
  <c r="E2593" i="23"/>
  <c r="N27" i="12"/>
  <c r="D2285" i="23"/>
  <c r="G48" i="9"/>
  <c r="D2289" i="23" s="1"/>
  <c r="D114" i="23"/>
  <c r="E76" i="17"/>
  <c r="F48" i="6"/>
  <c r="D838" i="23"/>
  <c r="I50" i="15"/>
  <c r="E1227" i="23"/>
  <c r="D1227" i="23"/>
  <c r="E2978" i="23"/>
  <c r="J62" i="3"/>
  <c r="E1063" i="23"/>
  <c r="D1063" i="23"/>
  <c r="D2222" i="23"/>
  <c r="I44" i="8"/>
  <c r="D843" i="23"/>
  <c r="F52" i="15"/>
  <c r="E8" i="23"/>
  <c r="D8" i="23"/>
  <c r="D1451" i="23"/>
  <c r="D1383" i="23"/>
  <c r="E2405" i="23"/>
  <c r="N27" i="10"/>
  <c r="E824" i="23"/>
  <c r="D824" i="23"/>
  <c r="K57" i="15"/>
  <c r="O44" i="15"/>
  <c r="D1521" i="23"/>
  <c r="D58" i="3"/>
  <c r="E1586" i="23"/>
  <c r="J59" i="3"/>
  <c r="D845" i="23"/>
  <c r="T51" i="15"/>
  <c r="J51" i="15"/>
  <c r="R51" i="15"/>
  <c r="D2567" i="23"/>
  <c r="G48" i="12"/>
  <c r="D2571" i="23" s="1"/>
  <c r="D2764" i="23"/>
  <c r="I23" i="14"/>
  <c r="I23" i="9"/>
  <c r="D1439" i="23"/>
  <c r="D1739" i="23"/>
  <c r="I44" i="14"/>
  <c r="E2890" i="23"/>
  <c r="N4" i="4"/>
  <c r="D422" i="23"/>
  <c r="F27" i="13"/>
  <c r="J23" i="13"/>
  <c r="D1490" i="23"/>
  <c r="I23" i="7"/>
  <c r="D2316" i="23"/>
  <c r="I44" i="9"/>
  <c r="J44" i="9" s="1"/>
  <c r="J2481" i="19"/>
  <c r="E1071" i="23"/>
  <c r="N13" i="17"/>
  <c r="K12" i="16"/>
  <c r="E877" i="23" s="1"/>
  <c r="Q37" i="3"/>
  <c r="J74" i="17"/>
  <c r="Q26" i="3"/>
  <c r="J82" i="17"/>
  <c r="K73" i="2"/>
  <c r="N24" i="17"/>
  <c r="E1456" i="23"/>
  <c r="E1049" i="23"/>
  <c r="D1049" i="23"/>
  <c r="E2552" i="19"/>
  <c r="O65" i="17"/>
  <c r="H23" i="17"/>
  <c r="I23" i="17" s="1"/>
  <c r="R1134" i="19"/>
  <c r="V1134" i="19" s="1"/>
  <c r="J1134" i="19"/>
  <c r="G1134" i="19" s="1"/>
  <c r="D3025" i="23"/>
  <c r="O23" i="18"/>
  <c r="D857" i="23"/>
  <c r="J55" i="15"/>
  <c r="E2803" i="23"/>
  <c r="N48" i="14"/>
  <c r="E2807" i="23" s="1"/>
  <c r="E1754" i="23"/>
  <c r="J59" i="4"/>
  <c r="D1449" i="23"/>
  <c r="H80" i="17"/>
  <c r="D1103" i="23" s="1"/>
  <c r="E238" i="23"/>
  <c r="K51" i="9"/>
  <c r="O27" i="9"/>
  <c r="E860" i="23"/>
  <c r="O56" i="15"/>
  <c r="E1374" i="23"/>
  <c r="D2191" i="23"/>
  <c r="G48" i="8"/>
  <c r="D2195" i="23" s="1"/>
  <c r="E1062" i="23"/>
  <c r="D1062" i="23"/>
  <c r="G2581" i="19"/>
  <c r="E332" i="23"/>
  <c r="O27" i="11"/>
  <c r="K51" i="11"/>
  <c r="E1139" i="23"/>
  <c r="D1139" i="23"/>
  <c r="M42" i="18"/>
  <c r="D1321" i="23"/>
  <c r="G43" i="2"/>
  <c r="D1343" i="23" s="1"/>
  <c r="D875" i="23"/>
  <c r="AO18" i="22"/>
  <c r="M53" i="1" s="1"/>
  <c r="M65" i="1" s="1"/>
  <c r="J10" i="16"/>
  <c r="F17" i="16"/>
  <c r="P9" i="3"/>
  <c r="J16" i="16"/>
  <c r="E50" i="23"/>
  <c r="K51" i="5"/>
  <c r="E306" i="23"/>
  <c r="D234" i="23"/>
  <c r="J23" i="9"/>
  <c r="F27" i="9"/>
  <c r="E744" i="23"/>
  <c r="N73" i="28"/>
  <c r="E778" i="23" s="1"/>
  <c r="R2539" i="19"/>
  <c r="V2539" i="19" s="1"/>
  <c r="J2539" i="19"/>
  <c r="G2539" i="19" s="1"/>
  <c r="M52" i="2"/>
  <c r="R2581" i="19"/>
  <c r="V2581" i="19" s="1"/>
  <c r="J2581" i="19"/>
  <c r="D1432" i="23"/>
  <c r="D822" i="23"/>
  <c r="I44" i="15"/>
  <c r="D823" i="23" s="1"/>
  <c r="E2520" i="23"/>
  <c r="N48" i="11"/>
  <c r="D1380" i="23"/>
  <c r="E2050" i="23"/>
  <c r="M76" i="17"/>
  <c r="E1099" i="23" s="1"/>
  <c r="N48" i="6"/>
  <c r="D2941" i="23"/>
  <c r="I76" i="16"/>
  <c r="D2944" i="23" s="1"/>
  <c r="G2567" i="19"/>
  <c r="D1446" i="23"/>
  <c r="D1938" i="23"/>
  <c r="H73" i="17"/>
  <c r="D1096" i="23" s="1"/>
  <c r="E2268" i="23"/>
  <c r="L51" i="9"/>
  <c r="E2291" i="23" s="1"/>
  <c r="D349" i="23"/>
  <c r="F48" i="11"/>
  <c r="J44" i="11"/>
  <c r="G428" i="19"/>
  <c r="D1444" i="23"/>
  <c r="R693" i="19"/>
  <c r="V693" i="19" s="1"/>
  <c r="J693" i="19"/>
  <c r="G693" i="19" s="1"/>
  <c r="D1608" i="23"/>
  <c r="E2996" i="23"/>
  <c r="M20" i="16"/>
  <c r="D469" i="23"/>
  <c r="J23" i="14"/>
  <c r="F27" i="14"/>
  <c r="H22" i="18"/>
  <c r="R2522" i="19"/>
  <c r="V2522" i="19" s="1"/>
  <c r="J2522" i="19"/>
  <c r="G2522" i="19" s="1"/>
  <c r="D1394" i="23"/>
  <c r="E191" i="23"/>
  <c r="O27" i="8"/>
  <c r="K51" i="8"/>
  <c r="E2029" i="23"/>
  <c r="M72" i="17"/>
  <c r="E1095" i="23" s="1"/>
  <c r="N27" i="6"/>
  <c r="D1464" i="23"/>
  <c r="D1857" i="23"/>
  <c r="P59" i="4"/>
  <c r="D1512" i="23"/>
  <c r="D2929" i="23"/>
  <c r="H62" i="4"/>
  <c r="D1868" i="23"/>
  <c r="C230" i="19"/>
  <c r="H230" i="19" s="1"/>
  <c r="G230" i="19" s="1"/>
  <c r="G62" i="2"/>
  <c r="D2889" i="23"/>
  <c r="G77" i="16"/>
  <c r="E812" i="23"/>
  <c r="O73" i="28"/>
  <c r="E259" i="23"/>
  <c r="O48" i="9"/>
  <c r="D1748" i="23"/>
  <c r="H58" i="4"/>
  <c r="D1061" i="23"/>
  <c r="E1061" i="23"/>
  <c r="D2010" i="23"/>
  <c r="I23" i="6"/>
  <c r="D1391" i="23"/>
  <c r="D2546" i="23"/>
  <c r="G27" i="12"/>
  <c r="R644" i="19"/>
  <c r="V644" i="19" s="1"/>
  <c r="J644" i="19"/>
  <c r="G644" i="19" s="1"/>
  <c r="D1666" i="23"/>
  <c r="D1395" i="23"/>
  <c r="E2868" i="23"/>
  <c r="L53" i="16"/>
  <c r="J4" i="4"/>
  <c r="X25" i="28"/>
  <c r="D1461" i="23"/>
  <c r="E834" i="23"/>
  <c r="N48" i="15"/>
  <c r="E835" i="23" s="1"/>
  <c r="G72" i="17"/>
  <c r="G82" i="17" s="1"/>
  <c r="R497" i="19"/>
  <c r="V497" i="19" s="1"/>
  <c r="J497" i="19"/>
  <c r="G497" i="19" s="1"/>
  <c r="D839" i="23"/>
  <c r="I51" i="15"/>
  <c r="D842" i="23" s="1"/>
  <c r="E1406" i="23"/>
  <c r="D1470" i="23"/>
  <c r="I43" i="16"/>
  <c r="D2264" i="23"/>
  <c r="G27" i="9"/>
  <c r="D2144" i="23"/>
  <c r="I48" i="7"/>
  <c r="D2148" i="23" s="1"/>
  <c r="E1352" i="23"/>
  <c r="F98" i="17"/>
  <c r="J58" i="2"/>
  <c r="D1982" i="23"/>
  <c r="F72" i="17"/>
  <c r="D1083" i="23" s="1"/>
  <c r="G27" i="6"/>
  <c r="D1386" i="23"/>
  <c r="D1397" i="23"/>
  <c r="D832" i="23"/>
  <c r="J46" i="15"/>
  <c r="R715" i="19"/>
  <c r="V715" i="19" s="1"/>
  <c r="J715" i="19"/>
  <c r="G715" i="19" s="1"/>
  <c r="D1427" i="23"/>
  <c r="Q20" i="2"/>
  <c r="D1442" i="23"/>
  <c r="D2865" i="23"/>
  <c r="G52" i="16"/>
  <c r="D1077" i="23"/>
  <c r="D1396" i="23"/>
  <c r="J2637" i="19"/>
  <c r="G2637" i="19" s="1"/>
  <c r="R2637" i="19"/>
  <c r="V2637" i="19" s="1"/>
  <c r="D2668" i="23"/>
  <c r="I23" i="13"/>
  <c r="D140" i="23"/>
  <c r="J23" i="7"/>
  <c r="F27" i="7"/>
  <c r="D2815" i="23"/>
  <c r="G17" i="16"/>
  <c r="D2755" i="23"/>
  <c r="G48" i="14"/>
  <c r="D2759" i="23" s="1"/>
  <c r="D815" i="23"/>
  <c r="I43" i="15"/>
  <c r="D818" i="23" s="1"/>
  <c r="E2912" i="23"/>
  <c r="C2299" i="19"/>
  <c r="H2299" i="19" s="1"/>
  <c r="G2299" i="19" s="1"/>
  <c r="F5" i="4"/>
  <c r="G58" i="4" s="1"/>
  <c r="D831" i="23"/>
  <c r="J45" i="15"/>
  <c r="F48" i="15"/>
  <c r="T45" i="15"/>
  <c r="R45" i="15"/>
  <c r="J840" i="19"/>
  <c r="G840" i="19" s="1"/>
  <c r="R840" i="19"/>
  <c r="V840" i="19" s="1"/>
  <c r="E379" i="23"/>
  <c r="O27" i="12"/>
  <c r="K51" i="12"/>
  <c r="D2034" i="23"/>
  <c r="I44" i="6"/>
  <c r="J44" i="6" s="1"/>
  <c r="R2307" i="19"/>
  <c r="V2307" i="19" s="1"/>
  <c r="J2307" i="19"/>
  <c r="G2307" i="19" s="1"/>
  <c r="R1596" i="19"/>
  <c r="V1596" i="19" s="1"/>
  <c r="J1596" i="19"/>
  <c r="G1596" i="19" s="1"/>
  <c r="D1842" i="23"/>
  <c r="D2640" i="23"/>
  <c r="G27" i="13"/>
  <c r="D787" i="23"/>
  <c r="F73" i="28"/>
  <c r="J48" i="28"/>
  <c r="D1909" i="23"/>
  <c r="F75" i="17"/>
  <c r="G48" i="5"/>
  <c r="D1913" i="23" s="1"/>
  <c r="D208" i="23"/>
  <c r="F48" i="8"/>
  <c r="J44" i="8"/>
  <c r="D719" i="23"/>
  <c r="G73" i="28"/>
  <c r="I48" i="28"/>
  <c r="D753" i="23" s="1"/>
  <c r="E71" i="23"/>
  <c r="B79" i="20"/>
  <c r="E2860" i="23"/>
  <c r="O43" i="16"/>
  <c r="F4" i="4"/>
  <c r="E1086" i="23"/>
  <c r="K78" i="17"/>
  <c r="E1089" i="23" s="1"/>
  <c r="D1958" i="23"/>
  <c r="X51" i="15"/>
  <c r="H77" i="17"/>
  <c r="D1100" i="23" s="1"/>
  <c r="E1807" i="23"/>
  <c r="N59" i="4"/>
  <c r="J44" i="19"/>
  <c r="G44" i="19" s="1"/>
  <c r="R44" i="19"/>
  <c r="V44" i="19" s="1"/>
  <c r="D1344" i="23"/>
  <c r="G52" i="2"/>
  <c r="D2379" i="23"/>
  <c r="G48" i="10"/>
  <c r="D2383" i="23" s="1"/>
  <c r="L78" i="17"/>
  <c r="F97" i="17"/>
  <c r="E97" i="23"/>
  <c r="K51" i="6"/>
  <c r="O27" i="6"/>
  <c r="D1438" i="23"/>
  <c r="R1303" i="19"/>
  <c r="J1303" i="19"/>
  <c r="G1303" i="19" s="1"/>
  <c r="D2480" i="23"/>
  <c r="I23" i="11"/>
  <c r="E1935" i="23"/>
  <c r="M71" i="17"/>
  <c r="N71" i="17" s="1"/>
  <c r="N27" i="5"/>
  <c r="O27" i="5" s="1"/>
  <c r="D1645" i="23"/>
  <c r="L59" i="3"/>
  <c r="D1307" i="23"/>
  <c r="G10" i="2"/>
  <c r="D1310" i="23" s="1"/>
  <c r="D1398" i="23"/>
  <c r="D2003" i="23"/>
  <c r="F76" i="17"/>
  <c r="D1087" i="23" s="1"/>
  <c r="G48" i="6"/>
  <c r="D2007" i="23" s="1"/>
  <c r="R2360" i="19"/>
  <c r="V2360" i="19" s="1"/>
  <c r="J2360" i="19"/>
  <c r="G2360" i="19" s="1"/>
  <c r="D1079" i="23"/>
  <c r="I80" i="17"/>
  <c r="D685" i="23"/>
  <c r="J12" i="28"/>
  <c r="R12" i="28"/>
  <c r="F37" i="28"/>
  <c r="T12" i="28"/>
  <c r="D1437" i="23"/>
  <c r="Q43" i="2"/>
  <c r="D2358" i="23"/>
  <c r="G27" i="10"/>
  <c r="D1420" i="23"/>
  <c r="D1888" i="23"/>
  <c r="F71" i="17"/>
  <c r="G27" i="5"/>
  <c r="R987" i="19"/>
  <c r="V987" i="19" s="1"/>
  <c r="J987" i="19"/>
  <c r="G987" i="19" s="1"/>
  <c r="E2918" i="23"/>
  <c r="N52" i="16"/>
  <c r="O52" i="16" s="1"/>
  <c r="D821" i="23"/>
  <c r="R43" i="15"/>
  <c r="J43" i="15"/>
  <c r="T43" i="15"/>
  <c r="D46" i="23"/>
  <c r="E71" i="17"/>
  <c r="F27" i="5"/>
  <c r="J23" i="5"/>
  <c r="D819" i="23"/>
  <c r="R41" i="15"/>
  <c r="T41" i="15"/>
  <c r="J41" i="15"/>
  <c r="F44" i="15"/>
  <c r="D1118" i="23"/>
  <c r="C2573" i="19"/>
  <c r="H2573" i="19" s="1"/>
  <c r="G2573" i="19" s="1"/>
  <c r="I24" i="18"/>
  <c r="I25" i="18"/>
  <c r="I26" i="18"/>
  <c r="E1072" i="23"/>
  <c r="N72" i="17"/>
  <c r="C2448" i="19"/>
  <c r="H2448" i="19" s="1"/>
  <c r="G2448" i="19" s="1"/>
  <c r="D1067" i="23"/>
  <c r="E1067" i="23"/>
  <c r="I16" i="1"/>
  <c r="D1382" i="23"/>
  <c r="D2452" i="23"/>
  <c r="G27" i="11"/>
  <c r="D1418" i="23"/>
  <c r="J1009" i="19"/>
  <c r="G1009" i="19" s="1"/>
  <c r="R1009" i="19"/>
  <c r="V1009" i="19" s="1"/>
  <c r="I72" i="16"/>
  <c r="J72" i="16" s="1"/>
  <c r="D1434" i="23"/>
  <c r="E608" i="23"/>
  <c r="U37" i="15"/>
  <c r="S37" i="15"/>
  <c r="R64" i="19"/>
  <c r="V64" i="19" s="1"/>
  <c r="J62" i="19"/>
  <c r="G62" i="19" s="1"/>
  <c r="J64" i="19"/>
  <c r="G64" i="19" s="1"/>
  <c r="D1686" i="23"/>
  <c r="E2362" i="23"/>
  <c r="L51" i="10"/>
  <c r="E2385" i="23" s="1"/>
  <c r="J862" i="19"/>
  <c r="G862" i="19" s="1"/>
  <c r="R862" i="19"/>
  <c r="V862" i="19" s="1"/>
  <c r="E2528" i="22"/>
  <c r="D255" i="23"/>
  <c r="F48" i="9"/>
  <c r="E843" i="23"/>
  <c r="E840" i="23"/>
  <c r="D302" i="23"/>
  <c r="F48" i="10"/>
  <c r="J44" i="10"/>
  <c r="E2958" i="23"/>
  <c r="L19" i="16"/>
  <c r="E2824" i="23" s="1"/>
  <c r="Q4" i="3"/>
  <c r="E1075" i="23"/>
  <c r="J78" i="17"/>
  <c r="N75" i="17"/>
  <c r="K14" i="16"/>
  <c r="E879" i="23" s="1"/>
  <c r="D1117" i="23"/>
  <c r="E1117" i="23"/>
  <c r="C2572" i="19"/>
  <c r="H2572" i="19" s="1"/>
  <c r="G2572" i="19" s="1"/>
  <c r="I27" i="18"/>
  <c r="D1463" i="23"/>
  <c r="E2456" i="23"/>
  <c r="L51" i="11"/>
  <c r="E2479" i="23" s="1"/>
  <c r="D1453" i="23"/>
  <c r="F2681" i="19"/>
  <c r="F2682" i="19" s="1"/>
  <c r="K52" i="19"/>
  <c r="D2574" i="23"/>
  <c r="I23" i="12"/>
  <c r="D2913" i="23"/>
  <c r="I49" i="16"/>
  <c r="J49" i="16" s="1"/>
  <c r="D1468" i="23"/>
  <c r="D396" i="23"/>
  <c r="F48" i="12"/>
  <c r="J44" i="12"/>
  <c r="E285" i="23"/>
  <c r="O27" i="10"/>
  <c r="K51" i="10"/>
  <c r="D2830" i="23"/>
  <c r="I17" i="16"/>
  <c r="J17" i="16" s="1"/>
  <c r="V17" i="19"/>
  <c r="D1430" i="23"/>
  <c r="D1571" i="23"/>
  <c r="E1758" i="23"/>
  <c r="E374" i="19"/>
  <c r="D443" i="23"/>
  <c r="F48" i="13"/>
  <c r="J44" i="13"/>
  <c r="J568" i="19"/>
  <c r="G568" i="19" s="1"/>
  <c r="R568" i="19"/>
  <c r="V568" i="19" s="1"/>
  <c r="F48" i="7"/>
  <c r="J44" i="7"/>
  <c r="D161" i="23"/>
  <c r="D2692" i="23"/>
  <c r="I44" i="13"/>
  <c r="D1371" i="23"/>
  <c r="M10" i="2"/>
  <c r="E1645" i="23"/>
  <c r="N59" i="3"/>
  <c r="D1452" i="23"/>
  <c r="J1156" i="19"/>
  <c r="G1156" i="19" s="1"/>
  <c r="R1156" i="19"/>
  <c r="V1156" i="19" s="1"/>
  <c r="D850" i="23"/>
  <c r="I54" i="15"/>
  <c r="D853" i="23" s="1"/>
  <c r="R1450" i="19"/>
  <c r="V1450" i="19" s="1"/>
  <c r="J1450" i="19"/>
  <c r="G1450" i="19" s="1"/>
  <c r="D2885" i="23"/>
  <c r="D826" i="23"/>
  <c r="I46" i="15"/>
  <c r="D829" i="23" s="1"/>
  <c r="Q23" i="18"/>
  <c r="K2482" i="19"/>
  <c r="E1415" i="23"/>
  <c r="O58" i="2"/>
  <c r="D1393" i="23"/>
  <c r="E400" i="23"/>
  <c r="O48" i="12"/>
  <c r="D583" i="23"/>
  <c r="R12" i="15"/>
  <c r="J12" i="15"/>
  <c r="T12" i="15"/>
  <c r="E3016" i="23"/>
  <c r="N27" i="18"/>
  <c r="E3018" i="23" s="1"/>
  <c r="D833" i="23"/>
  <c r="J47" i="15"/>
  <c r="D1381" i="23"/>
  <c r="D1772" i="23"/>
  <c r="E447" i="23"/>
  <c r="O48" i="13"/>
  <c r="E2687" i="23"/>
  <c r="N27" i="13"/>
  <c r="J339" i="19"/>
  <c r="G339" i="19" s="1"/>
  <c r="R339" i="19"/>
  <c r="V339" i="19" s="1"/>
  <c r="D2661" i="23"/>
  <c r="G48" i="13"/>
  <c r="D2665" i="23" s="1"/>
  <c r="D1455" i="23"/>
  <c r="D1462" i="23"/>
  <c r="D1823" i="23"/>
  <c r="E2311" i="23"/>
  <c r="N27" i="9"/>
  <c r="D1046" i="23"/>
  <c r="E1046" i="23"/>
  <c r="D281" i="23"/>
  <c r="J23" i="10"/>
  <c r="F27" i="10"/>
  <c r="E2822" i="23"/>
  <c r="J4" i="3"/>
  <c r="E2217" i="23"/>
  <c r="N27" i="8"/>
  <c r="D1027" i="23"/>
  <c r="E1027" i="23"/>
  <c r="C2546" i="19"/>
  <c r="H2546" i="19" s="1"/>
  <c r="G2546" i="19" s="1"/>
  <c r="E2987" i="23"/>
  <c r="L18" i="18"/>
  <c r="L10" i="18"/>
  <c r="L7" i="18"/>
  <c r="L20" i="16"/>
  <c r="L6" i="18"/>
  <c r="L19" i="18"/>
  <c r="L5" i="18"/>
  <c r="L17" i="18"/>
  <c r="J23" i="18"/>
  <c r="L22" i="18"/>
  <c r="L16" i="18"/>
  <c r="N4" i="3"/>
  <c r="L9" i="18"/>
  <c r="L8" i="18"/>
  <c r="L14" i="18"/>
  <c r="L21" i="18"/>
  <c r="L27" i="18"/>
  <c r="L11" i="18"/>
  <c r="L20" i="18"/>
  <c r="L15" i="18"/>
  <c r="D1441" i="23"/>
  <c r="D1390" i="23"/>
  <c r="J2611" i="19"/>
  <c r="G2611" i="19" s="1"/>
  <c r="R2611" i="19"/>
  <c r="V2611" i="19" s="1"/>
  <c r="E1986" i="23"/>
  <c r="L51" i="6"/>
  <c r="E2009" i="23" s="1"/>
  <c r="J60" i="19"/>
  <c r="G60" i="19" s="1"/>
  <c r="R60" i="19"/>
  <c r="V60" i="19" s="1"/>
  <c r="D1539" i="23"/>
  <c r="D67" i="23"/>
  <c r="E75" i="17"/>
  <c r="F48" i="5"/>
  <c r="J44" i="5"/>
  <c r="D1454" i="23"/>
  <c r="E2782" i="23"/>
  <c r="N27" i="14"/>
  <c r="H56" i="15"/>
  <c r="H58" i="15" s="1"/>
  <c r="D490" i="23"/>
  <c r="J44" i="14"/>
  <c r="F48" i="14"/>
  <c r="E530" i="23"/>
  <c r="N37" i="15"/>
  <c r="E564" i="23" s="1"/>
  <c r="D849" i="23"/>
  <c r="G56" i="15"/>
  <c r="I53" i="15"/>
  <c r="D852" i="23" s="1"/>
  <c r="D709" i="23"/>
  <c r="R36" i="28"/>
  <c r="T36" i="28"/>
  <c r="J36" i="28"/>
  <c r="R546" i="19"/>
  <c r="V546" i="19" s="1"/>
  <c r="J546" i="19"/>
  <c r="G546" i="19" s="1"/>
  <c r="D2924" i="23"/>
  <c r="D62" i="4"/>
  <c r="D617" i="23"/>
  <c r="I12" i="28"/>
  <c r="D651" i="23" s="1"/>
  <c r="G37" i="28"/>
  <c r="D1459" i="23"/>
  <c r="H37" i="28"/>
  <c r="H74" i="28" s="1"/>
  <c r="D1792" i="23"/>
  <c r="E2144" i="23"/>
  <c r="N48" i="7"/>
  <c r="E2148" i="23" s="1"/>
  <c r="E848" i="23"/>
  <c r="K58" i="15"/>
  <c r="R57" i="19"/>
  <c r="V57" i="19" s="1"/>
  <c r="J57" i="19"/>
  <c r="G57" i="19" s="1"/>
  <c r="D837" i="23"/>
  <c r="I49" i="15"/>
  <c r="D840" i="23" s="1"/>
  <c r="G52" i="15"/>
  <c r="E642" i="23"/>
  <c r="L74" i="28"/>
  <c r="N74" i="28" s="1"/>
  <c r="N37" i="28"/>
  <c r="E676" i="23" s="1"/>
  <c r="F2515" i="22"/>
  <c r="H53" i="16"/>
  <c r="H78" i="16" s="1"/>
  <c r="D1466" i="23"/>
  <c r="D1073" i="23"/>
  <c r="I73" i="17"/>
  <c r="D1586" i="23"/>
  <c r="H59" i="3"/>
  <c r="D1399" i="23"/>
  <c r="E1857" i="23"/>
  <c r="R59" i="4"/>
  <c r="E710" i="23"/>
  <c r="K74" i="28"/>
  <c r="O74" i="28" s="1"/>
  <c r="U37" i="28"/>
  <c r="S37" i="28"/>
  <c r="J338" i="19"/>
  <c r="G338" i="19" s="1"/>
  <c r="R338" i="19"/>
  <c r="V338" i="19" s="1"/>
  <c r="H13" i="17"/>
  <c r="G74" i="17"/>
  <c r="G81" i="17" s="1"/>
  <c r="H18" i="16" s="1"/>
  <c r="D1469" i="23"/>
  <c r="E212" i="23"/>
  <c r="O48" i="8"/>
  <c r="Q52" i="2"/>
  <c r="D2170" i="23"/>
  <c r="G27" i="8"/>
  <c r="D1719" i="23"/>
  <c r="E858" i="23"/>
  <c r="N56" i="15"/>
  <c r="E859" i="23" s="1"/>
  <c r="H37" i="15"/>
  <c r="D529" i="23"/>
  <c r="I36" i="15"/>
  <c r="D563" i="23" s="1"/>
  <c r="G37" i="15"/>
  <c r="E2708" i="23"/>
  <c r="N48" i="13"/>
  <c r="E2712" i="23" s="1"/>
  <c r="E2614" i="23"/>
  <c r="N48" i="12"/>
  <c r="E2618" i="23" s="1"/>
  <c r="D2473" i="23"/>
  <c r="G48" i="11"/>
  <c r="D2477" i="23" s="1"/>
  <c r="E2738" i="23"/>
  <c r="L51" i="14"/>
  <c r="E2762" i="23" s="1"/>
  <c r="G2086" i="19"/>
  <c r="R65" i="19"/>
  <c r="V65" i="19" s="1"/>
  <c r="J65" i="19"/>
  <c r="G65" i="19" s="1"/>
  <c r="D1801" i="23"/>
  <c r="L58" i="4"/>
  <c r="D375" i="23"/>
  <c r="J23" i="12"/>
  <c r="F27" i="12"/>
  <c r="D1211" i="23"/>
  <c r="E1211" i="23"/>
  <c r="Q38" i="17"/>
  <c r="D2952" i="23"/>
  <c r="F24" i="17"/>
  <c r="H51" i="5"/>
  <c r="F2505" i="22" s="1"/>
  <c r="E1261" i="23"/>
  <c r="D1261" i="23"/>
  <c r="C66" i="19"/>
  <c r="H66" i="19" s="1"/>
  <c r="G66" i="19" s="1"/>
  <c r="D2198" i="23"/>
  <c r="I23" i="8"/>
  <c r="D2076" i="23"/>
  <c r="G27" i="7"/>
  <c r="M51" i="6"/>
  <c r="D851" i="23"/>
  <c r="I55" i="15"/>
  <c r="D854" i="23" s="1"/>
  <c r="E426" i="23"/>
  <c r="K51" i="13"/>
  <c r="O27" i="13"/>
  <c r="E846" i="23"/>
  <c r="N52" i="15"/>
  <c r="O52" i="15" s="1"/>
  <c r="L58" i="15"/>
  <c r="D1293" i="23"/>
  <c r="E1293" i="23"/>
  <c r="R45" i="1"/>
  <c r="D1649" i="23"/>
  <c r="J63" i="19"/>
  <c r="G63" i="19" s="1"/>
  <c r="R63" i="19"/>
  <c r="V63" i="19" s="1"/>
  <c r="E822" i="23"/>
  <c r="N44" i="15"/>
  <c r="E823" i="23" s="1"/>
  <c r="L57" i="15"/>
  <c r="E1956" i="23"/>
  <c r="M75" i="17"/>
  <c r="N48" i="5"/>
  <c r="E1960" i="23" s="1"/>
  <c r="E2123" i="23"/>
  <c r="N27" i="7"/>
  <c r="E2426" i="23"/>
  <c r="N48" i="10"/>
  <c r="E2430" i="23" s="1"/>
  <c r="S2482" i="19"/>
  <c r="S2481" i="19"/>
  <c r="R2482" i="19"/>
  <c r="S2525" i="19"/>
  <c r="R2481" i="19"/>
  <c r="S52" i="19"/>
  <c r="O48" i="5" l="1"/>
  <c r="J49" i="15"/>
  <c r="G62" i="4"/>
  <c r="V2525" i="19"/>
  <c r="G2525" i="19" s="1"/>
  <c r="I77" i="17"/>
  <c r="E2054" i="23"/>
  <c r="O48" i="6"/>
  <c r="O48" i="10"/>
  <c r="O37" i="28"/>
  <c r="E2524" i="23"/>
  <c r="O48" i="11"/>
  <c r="O37" i="15"/>
  <c r="N76" i="17"/>
  <c r="D2835" i="23"/>
  <c r="J15" i="16"/>
  <c r="D841" i="23"/>
  <c r="J50" i="15"/>
  <c r="J36" i="15"/>
  <c r="J76" i="16"/>
  <c r="V2481" i="19"/>
  <c r="G2481" i="19" s="1"/>
  <c r="D118" i="23"/>
  <c r="D3016" i="23"/>
  <c r="M27" i="18"/>
  <c r="D3018" i="23" s="1"/>
  <c r="D860" i="23"/>
  <c r="J56" i="15"/>
  <c r="E2979" i="23"/>
  <c r="C2510" i="19"/>
  <c r="H2510" i="19" s="1"/>
  <c r="G2510" i="19" s="1"/>
  <c r="N19" i="16"/>
  <c r="Q5" i="3"/>
  <c r="D2687" i="23"/>
  <c r="I27" i="13"/>
  <c r="D447" i="23"/>
  <c r="J48" i="13"/>
  <c r="D710" i="23"/>
  <c r="F74" i="28"/>
  <c r="T37" i="28"/>
  <c r="R37" i="28"/>
  <c r="E866" i="23"/>
  <c r="O58" i="15"/>
  <c r="D2268" i="23"/>
  <c r="G51" i="9"/>
  <c r="D861" i="23"/>
  <c r="I57" i="15"/>
  <c r="D2174" i="23"/>
  <c r="G51" i="8"/>
  <c r="D2708" i="23"/>
  <c r="I48" i="13"/>
  <c r="D2712" i="23" s="1"/>
  <c r="E214" i="23"/>
  <c r="C964" i="19"/>
  <c r="H964" i="19" s="1"/>
  <c r="G964" i="19" s="1"/>
  <c r="O50" i="8"/>
  <c r="D2978" i="23"/>
  <c r="H62" i="3"/>
  <c r="D2782" i="23"/>
  <c r="I27" i="14"/>
  <c r="H98" i="17"/>
  <c r="D353" i="23"/>
  <c r="D2238" i="19"/>
  <c r="I2238" i="19" s="1"/>
  <c r="D881" i="23"/>
  <c r="C2238" i="19"/>
  <c r="H2238" i="19" s="1"/>
  <c r="E1198" i="23"/>
  <c r="D1198" i="23"/>
  <c r="I22" i="1"/>
  <c r="D473" i="23"/>
  <c r="J27" i="14"/>
  <c r="F51" i="14"/>
  <c r="D426" i="23"/>
  <c r="J27" i="13"/>
  <c r="F51" i="13"/>
  <c r="D1956" i="23"/>
  <c r="H75" i="17"/>
  <c r="I48" i="5"/>
  <c r="D1960" i="23" s="1"/>
  <c r="E1755" i="23"/>
  <c r="J60" i="4"/>
  <c r="E1587" i="23"/>
  <c r="J60" i="3"/>
  <c r="D259" i="23"/>
  <c r="J44" i="15"/>
  <c r="F57" i="15"/>
  <c r="D2912" i="23"/>
  <c r="C2241" i="19"/>
  <c r="H2241" i="19" s="1"/>
  <c r="G2241" i="19" s="1"/>
  <c r="D5" i="4"/>
  <c r="E58" i="4" s="1"/>
  <c r="E1064" i="23"/>
  <c r="D1064" i="23"/>
  <c r="D2332" i="23"/>
  <c r="I48" i="9"/>
  <c r="D2336" i="23" s="1"/>
  <c r="L81" i="17"/>
  <c r="M18" i="16" s="1"/>
  <c r="M21" i="16" s="1"/>
  <c r="M79" i="16" s="1"/>
  <c r="E861" i="23"/>
  <c r="N57" i="15"/>
  <c r="L68" i="15"/>
  <c r="D1587" i="23"/>
  <c r="H60" i="3"/>
  <c r="D2456" i="23"/>
  <c r="G51" i="11"/>
  <c r="D2362" i="23"/>
  <c r="G51" i="10"/>
  <c r="D744" i="23"/>
  <c r="I73" i="28"/>
  <c r="D778" i="23" s="1"/>
  <c r="D2050" i="23"/>
  <c r="I48" i="6"/>
  <c r="D2054" i="23" s="1"/>
  <c r="H76" i="17"/>
  <c r="D1099" i="23" s="1"/>
  <c r="D2890" i="23"/>
  <c r="F2500" i="22"/>
  <c r="L4" i="4"/>
  <c r="D1761" i="23" s="1"/>
  <c r="D191" i="23"/>
  <c r="J27" i="8"/>
  <c r="F51" i="8"/>
  <c r="V2482" i="19"/>
  <c r="G2482" i="19" s="1"/>
  <c r="D2996" i="23"/>
  <c r="F2517" i="22"/>
  <c r="H20" i="16"/>
  <c r="H21" i="16" s="1"/>
  <c r="H79" i="16" s="1"/>
  <c r="D285" i="23"/>
  <c r="F51" i="10"/>
  <c r="J27" i="10"/>
  <c r="E2869" i="23"/>
  <c r="O53" i="16"/>
  <c r="L78" i="16"/>
  <c r="E1098" i="23"/>
  <c r="M78" i="17"/>
  <c r="E1101" i="23" s="1"/>
  <c r="E2997" i="23"/>
  <c r="J27" i="18"/>
  <c r="D3051" i="23"/>
  <c r="Q27" i="18"/>
  <c r="D3053" i="23" s="1"/>
  <c r="E308" i="23"/>
  <c r="O50" i="10"/>
  <c r="C1258" i="19"/>
  <c r="H1258" i="19" s="1"/>
  <c r="G1258" i="19" s="1"/>
  <c r="D1076" i="23"/>
  <c r="D608" i="23"/>
  <c r="R37" i="15"/>
  <c r="T37" i="15"/>
  <c r="D2822" i="23"/>
  <c r="F2497" i="22"/>
  <c r="H4" i="3"/>
  <c r="D1534" i="23" s="1"/>
  <c r="R2552" i="19"/>
  <c r="V2552" i="19" s="1"/>
  <c r="J2552" i="19"/>
  <c r="G2552" i="19" s="1"/>
  <c r="D2614" i="23"/>
  <c r="I48" i="12"/>
  <c r="D2618" i="23" s="1"/>
  <c r="D1072" i="23"/>
  <c r="I72" i="17"/>
  <c r="E1528" i="23"/>
  <c r="F60" i="3"/>
  <c r="D2217" i="23"/>
  <c r="I27" i="8"/>
  <c r="E2315" i="23"/>
  <c r="N51" i="9"/>
  <c r="D165" i="23"/>
  <c r="J48" i="7"/>
  <c r="D1352" i="23"/>
  <c r="G58" i="2"/>
  <c r="D144" i="23"/>
  <c r="J27" i="7"/>
  <c r="F51" i="7"/>
  <c r="E261" i="23"/>
  <c r="O50" i="9"/>
  <c r="C1111" i="19"/>
  <c r="H1111" i="19" s="1"/>
  <c r="G1111" i="19" s="1"/>
  <c r="O51" i="9"/>
  <c r="D2123" i="23"/>
  <c r="I27" i="7"/>
  <c r="D400" i="23"/>
  <c r="D1456" i="23"/>
  <c r="D1362" i="23"/>
  <c r="F2527" i="22"/>
  <c r="E1808" i="23"/>
  <c r="N60" i="4"/>
  <c r="D2837" i="23"/>
  <c r="C2244" i="19"/>
  <c r="H2244" i="19" s="1"/>
  <c r="G2244" i="19" s="1"/>
  <c r="H5" i="3"/>
  <c r="D1436" i="23"/>
  <c r="D97" i="23"/>
  <c r="F51" i="6"/>
  <c r="J27" i="6"/>
  <c r="D2080" i="23"/>
  <c r="G51" i="7"/>
  <c r="D1465" i="23"/>
  <c r="Q58" i="2"/>
  <c r="D858" i="23"/>
  <c r="I56" i="15"/>
  <c r="D859" i="23" s="1"/>
  <c r="D50" i="23"/>
  <c r="J27" i="5"/>
  <c r="F51" i="5"/>
  <c r="D1646" i="23"/>
  <c r="L60" i="3"/>
  <c r="E402" i="23"/>
  <c r="C1552" i="19"/>
  <c r="H1552" i="19" s="1"/>
  <c r="G1552" i="19" s="1"/>
  <c r="O50" i="12"/>
  <c r="E2597" i="23"/>
  <c r="N51" i="12"/>
  <c r="O51" i="12" s="1"/>
  <c r="D494" i="23"/>
  <c r="J48" i="14"/>
  <c r="D1071" i="23"/>
  <c r="E74" i="17"/>
  <c r="E82" i="17"/>
  <c r="AN21" i="22" s="1"/>
  <c r="L56" i="1" s="1"/>
  <c r="I71" i="17"/>
  <c r="I13" i="17"/>
  <c r="P26" i="3"/>
  <c r="F12" i="16"/>
  <c r="D877" i="23" s="1"/>
  <c r="P37" i="3"/>
  <c r="H73" i="2"/>
  <c r="D212" i="23"/>
  <c r="D1415" i="23"/>
  <c r="M58" i="2"/>
  <c r="E1221" i="23"/>
  <c r="D1221" i="23"/>
  <c r="E1471" i="23"/>
  <c r="D2405" i="23"/>
  <c r="I27" i="10"/>
  <c r="E1702" i="23"/>
  <c r="G59" i="4"/>
  <c r="S59" i="2"/>
  <c r="F60" i="4"/>
  <c r="D848" i="23"/>
  <c r="F58" i="15"/>
  <c r="D2860" i="23"/>
  <c r="F2498" i="22"/>
  <c r="J43" i="16"/>
  <c r="D4" i="4"/>
  <c r="E1649" i="23"/>
  <c r="D1701" i="23"/>
  <c r="D59" i="4"/>
  <c r="E1811" i="23"/>
  <c r="C423" i="19"/>
  <c r="H423" i="19" s="1"/>
  <c r="G423" i="19" s="1"/>
  <c r="C374" i="19"/>
  <c r="H374" i="19" s="1"/>
  <c r="D1935" i="23"/>
  <c r="H71" i="17"/>
  <c r="I27" i="5"/>
  <c r="C323" i="19"/>
  <c r="H323" i="19" s="1"/>
  <c r="D1295" i="23"/>
  <c r="E1295" i="23"/>
  <c r="D2499" i="23"/>
  <c r="I27" i="11"/>
  <c r="R374" i="19"/>
  <c r="V374" i="19" s="1"/>
  <c r="J374" i="19"/>
  <c r="D2593" i="23"/>
  <c r="I27" i="12"/>
  <c r="E1652" i="23"/>
  <c r="I121" i="17"/>
  <c r="D1986" i="23"/>
  <c r="G51" i="6"/>
  <c r="D2029" i="23"/>
  <c r="H72" i="17"/>
  <c r="D1095" i="23" s="1"/>
  <c r="I27" i="6"/>
  <c r="D238" i="23"/>
  <c r="J27" i="9"/>
  <c r="F51" i="9"/>
  <c r="E355" i="23"/>
  <c r="C1405" i="19"/>
  <c r="H1405" i="19" s="1"/>
  <c r="G1405" i="19" s="1"/>
  <c r="O50" i="11"/>
  <c r="E1081" i="23"/>
  <c r="Q7" i="3"/>
  <c r="H23" i="18"/>
  <c r="E167" i="23"/>
  <c r="C817" i="19"/>
  <c r="H817" i="19" s="1"/>
  <c r="G817" i="19" s="1"/>
  <c r="O51" i="7"/>
  <c r="O50" i="7"/>
  <c r="E1085" i="23"/>
  <c r="K81" i="17"/>
  <c r="J323" i="19"/>
  <c r="R323" i="19"/>
  <c r="V323" i="19" s="1"/>
  <c r="D812" i="23"/>
  <c r="J73" i="28"/>
  <c r="D836" i="23"/>
  <c r="J48" i="15"/>
  <c r="D1858" i="23"/>
  <c r="P60" i="4"/>
  <c r="D1527" i="23"/>
  <c r="D59" i="3"/>
  <c r="D2918" i="23"/>
  <c r="I52" i="16"/>
  <c r="J52" i="16" s="1"/>
  <c r="D2803" i="23"/>
  <c r="I48" i="14"/>
  <c r="D2807" i="23" s="1"/>
  <c r="E1590" i="23"/>
  <c r="E2837" i="23"/>
  <c r="C2380" i="19"/>
  <c r="H2380" i="19" s="1"/>
  <c r="G2380" i="19" s="1"/>
  <c r="J5" i="3"/>
  <c r="K62" i="3" s="1"/>
  <c r="D2968" i="23"/>
  <c r="H24" i="17"/>
  <c r="I24" i="17" s="1"/>
  <c r="D62" i="3"/>
  <c r="E2921" i="23"/>
  <c r="C2306" i="19"/>
  <c r="H2306" i="19" s="1"/>
  <c r="G2306" i="19" s="1"/>
  <c r="N53" i="16"/>
  <c r="J5" i="4"/>
  <c r="S5" i="2" s="1"/>
  <c r="D846" i="23"/>
  <c r="I52" i="15"/>
  <c r="J52" i="15" s="1"/>
  <c r="G58" i="15"/>
  <c r="I23" i="19"/>
  <c r="G23" i="19" s="1"/>
  <c r="V52" i="19"/>
  <c r="G52" i="19" s="1"/>
  <c r="D1141" i="23"/>
  <c r="C2590" i="19"/>
  <c r="H2590" i="19" s="1"/>
  <c r="G2590" i="19" s="1"/>
  <c r="E1141" i="23"/>
  <c r="D1086" i="23"/>
  <c r="F78" i="17"/>
  <c r="D1089" i="23" s="1"/>
  <c r="D642" i="23"/>
  <c r="I37" i="28"/>
  <c r="D676" i="23" s="1"/>
  <c r="G74" i="28"/>
  <c r="I74" i="28" s="1"/>
  <c r="D530" i="23"/>
  <c r="I37" i="15"/>
  <c r="D564" i="23" s="1"/>
  <c r="D1705" i="23"/>
  <c r="E62" i="4"/>
  <c r="E280" i="19"/>
  <c r="L62" i="4"/>
  <c r="E847" i="23"/>
  <c r="O65" i="15"/>
  <c r="O63" i="15"/>
  <c r="O67" i="15"/>
  <c r="O64" i="15"/>
  <c r="O62" i="15"/>
  <c r="O61" i="15"/>
  <c r="O66" i="15"/>
  <c r="O60" i="15"/>
  <c r="D2644" i="23"/>
  <c r="G51" i="13"/>
  <c r="D2667" i="23" s="1"/>
  <c r="E1358" i="23"/>
  <c r="J59" i="2"/>
  <c r="D379" i="23"/>
  <c r="F51" i="12"/>
  <c r="J27" i="12"/>
  <c r="D71" i="23"/>
  <c r="J48" i="5"/>
  <c r="E1646" i="23"/>
  <c r="N60" i="3"/>
  <c r="D306" i="23"/>
  <c r="E1656" i="23"/>
  <c r="G5" i="4"/>
  <c r="G40" i="4"/>
  <c r="G25" i="4"/>
  <c r="G15" i="4"/>
  <c r="G13" i="4"/>
  <c r="G48" i="4"/>
  <c r="G23" i="4"/>
  <c r="G53" i="4"/>
  <c r="G14" i="4"/>
  <c r="G16" i="4"/>
  <c r="G18" i="4"/>
  <c r="G19" i="4"/>
  <c r="G46" i="4"/>
  <c r="G34" i="4"/>
  <c r="G20" i="4"/>
  <c r="G11" i="4"/>
  <c r="G51" i="4"/>
  <c r="G49" i="4"/>
  <c r="G56" i="4"/>
  <c r="G26" i="4"/>
  <c r="G63" i="4"/>
  <c r="G28" i="4"/>
  <c r="G33" i="4"/>
  <c r="G30" i="4"/>
  <c r="G41" i="4"/>
  <c r="G50" i="4"/>
  <c r="G45" i="4"/>
  <c r="G24" i="4"/>
  <c r="G32" i="4"/>
  <c r="G47" i="4"/>
  <c r="G21" i="4"/>
  <c r="G55" i="4"/>
  <c r="G29" i="4"/>
  <c r="G42" i="4"/>
  <c r="G35" i="4"/>
  <c r="G54" i="4"/>
  <c r="G57" i="4"/>
  <c r="G12" i="4"/>
  <c r="G17" i="4"/>
  <c r="G22" i="4"/>
  <c r="G27" i="4"/>
  <c r="G44" i="4"/>
  <c r="G31" i="4"/>
  <c r="G38" i="4"/>
  <c r="G52" i="4"/>
  <c r="G43" i="4"/>
  <c r="D2868" i="23"/>
  <c r="F2499" i="22"/>
  <c r="G53" i="16"/>
  <c r="H4" i="4"/>
  <c r="D1708" i="23" s="1"/>
  <c r="D1754" i="23"/>
  <c r="H59" i="4"/>
  <c r="E1074" i="23"/>
  <c r="J81" i="17"/>
  <c r="N74" i="17"/>
  <c r="E863" i="23"/>
  <c r="O57" i="15"/>
  <c r="K68" i="15"/>
  <c r="C1843" i="19"/>
  <c r="H1843" i="19" s="1"/>
  <c r="G1843" i="19" s="1"/>
  <c r="E496" i="23"/>
  <c r="O50" i="14"/>
  <c r="O51" i="14"/>
  <c r="E1939" i="23"/>
  <c r="N51" i="5"/>
  <c r="O51" i="5" s="1"/>
  <c r="E2221" i="23"/>
  <c r="N51" i="8"/>
  <c r="O51" i="8" s="1"/>
  <c r="E1655" i="23"/>
  <c r="J121" i="17"/>
  <c r="S4" i="2"/>
  <c r="E1425" i="23" s="1"/>
  <c r="E2945" i="23"/>
  <c r="C2325" i="19"/>
  <c r="H2325" i="19" s="1"/>
  <c r="G2325" i="19" s="1"/>
  <c r="N5" i="4"/>
  <c r="O62" i="4" s="1"/>
  <c r="D2550" i="23"/>
  <c r="G51" i="12"/>
  <c r="D2573" i="23" s="1"/>
  <c r="E1094" i="23"/>
  <c r="M74" i="17"/>
  <c r="M82" i="17"/>
  <c r="E1105" i="23" s="1"/>
  <c r="L10" i="2"/>
  <c r="L8" i="2"/>
  <c r="L7" i="2"/>
  <c r="L9" i="2"/>
  <c r="D1384" i="23"/>
  <c r="E864" i="23"/>
  <c r="N58" i="15"/>
  <c r="E865" i="23" s="1"/>
  <c r="E2033" i="23"/>
  <c r="N51" i="6"/>
  <c r="D2426" i="23"/>
  <c r="I48" i="10"/>
  <c r="D2430" i="23" s="1"/>
  <c r="D332" i="23"/>
  <c r="J27" i="11"/>
  <c r="F51" i="11"/>
  <c r="D1758" i="23"/>
  <c r="E333" i="19"/>
  <c r="D2520" i="23"/>
  <c r="I48" i="11"/>
  <c r="D2524" i="23" s="1"/>
  <c r="E1078" i="23"/>
  <c r="N78" i="17"/>
  <c r="D2238" i="23"/>
  <c r="I48" i="8"/>
  <c r="D2242" i="23" s="1"/>
  <c r="D2958" i="23"/>
  <c r="F2503" i="22"/>
  <c r="P4" i="3"/>
  <c r="D1652" i="23" s="1"/>
  <c r="G19" i="16"/>
  <c r="D2824" i="23" s="1"/>
  <c r="E2786" i="23"/>
  <c r="N51" i="14"/>
  <c r="E1761" i="23"/>
  <c r="M121" i="17"/>
  <c r="D1075" i="23"/>
  <c r="E78" i="17"/>
  <c r="F14" i="16"/>
  <c r="D879" i="23" s="1"/>
  <c r="I75" i="17"/>
  <c r="E2691" i="23"/>
  <c r="N51" i="13"/>
  <c r="E1421" i="23"/>
  <c r="O59" i="2"/>
  <c r="D3035" i="23"/>
  <c r="O27" i="18"/>
  <c r="D3037" i="23" s="1"/>
  <c r="D834" i="23"/>
  <c r="I48" i="15"/>
  <c r="D835" i="23" s="1"/>
  <c r="C1698" i="19"/>
  <c r="H1698" i="19" s="1"/>
  <c r="G1698" i="19" s="1"/>
  <c r="E449" i="23"/>
  <c r="O50" i="13"/>
  <c r="O51" i="13"/>
  <c r="E1534" i="23"/>
  <c r="F121" i="17"/>
  <c r="D1892" i="23"/>
  <c r="G51" i="5"/>
  <c r="E1708" i="23"/>
  <c r="K121" i="17"/>
  <c r="E73" i="23"/>
  <c r="C523" i="19"/>
  <c r="H523" i="19" s="1"/>
  <c r="G523" i="19" s="1"/>
  <c r="O50" i="5"/>
  <c r="E2127" i="23"/>
  <c r="N51" i="7"/>
  <c r="D1807" i="23"/>
  <c r="L59" i="4"/>
  <c r="E1858" i="23"/>
  <c r="R60" i="4"/>
  <c r="E1593" i="23"/>
  <c r="H121" i="17"/>
  <c r="D1374" i="23"/>
  <c r="D2940" i="23"/>
  <c r="I77" i="16"/>
  <c r="J77" i="16" s="1"/>
  <c r="D1082" i="23"/>
  <c r="F74" i="17"/>
  <c r="F82" i="17"/>
  <c r="D1093" i="23" s="1"/>
  <c r="E120" i="23"/>
  <c r="O50" i="6"/>
  <c r="C670" i="19"/>
  <c r="H670" i="19" s="1"/>
  <c r="G670" i="19" s="1"/>
  <c r="O51" i="6"/>
  <c r="D2311" i="23"/>
  <c r="I27" i="9"/>
  <c r="E2409" i="23"/>
  <c r="N51" i="10"/>
  <c r="O51" i="10" s="1"/>
  <c r="D2738" i="23"/>
  <c r="G51" i="14"/>
  <c r="E2503" i="23"/>
  <c r="N51" i="11"/>
  <c r="O51" i="11" s="1"/>
  <c r="E1531" i="23"/>
  <c r="J48" i="11" l="1"/>
  <c r="K59" i="3"/>
  <c r="J74" i="28"/>
  <c r="N82" i="17"/>
  <c r="G323" i="19"/>
  <c r="I59" i="3"/>
  <c r="J48" i="10"/>
  <c r="J48" i="12"/>
  <c r="J37" i="15"/>
  <c r="J48" i="8"/>
  <c r="I76" i="17"/>
  <c r="J37" i="28"/>
  <c r="E2839" i="23"/>
  <c r="O19" i="16"/>
  <c r="J48" i="9"/>
  <c r="J48" i="6"/>
  <c r="E1426" i="23"/>
  <c r="S61" i="2"/>
  <c r="T5" i="2"/>
  <c r="T18" i="2"/>
  <c r="T53" i="2"/>
  <c r="T47" i="2"/>
  <c r="T22" i="2"/>
  <c r="T54" i="2"/>
  <c r="T40" i="2"/>
  <c r="T45" i="2"/>
  <c r="T32" i="2"/>
  <c r="T38" i="2"/>
  <c r="T27" i="2"/>
  <c r="T26" i="2"/>
  <c r="T55" i="2"/>
  <c r="T17" i="2"/>
  <c r="T13" i="2"/>
  <c r="T14" i="2"/>
  <c r="T33" i="2"/>
  <c r="T41" i="2"/>
  <c r="T15" i="2"/>
  <c r="T31" i="2"/>
  <c r="T12" i="2"/>
  <c r="T24" i="2"/>
  <c r="T16" i="2"/>
  <c r="T34" i="2"/>
  <c r="T50" i="2"/>
  <c r="T30" i="2"/>
  <c r="T56" i="2"/>
  <c r="T49" i="2"/>
  <c r="T51" i="2"/>
  <c r="T29" i="2"/>
  <c r="T28" i="2"/>
  <c r="T57" i="2"/>
  <c r="T19" i="2"/>
  <c r="T42" i="2"/>
  <c r="T35" i="2"/>
  <c r="T46" i="2"/>
  <c r="T21" i="2"/>
  <c r="T44" i="2"/>
  <c r="T11" i="2"/>
  <c r="T48" i="2"/>
  <c r="T25" i="2"/>
  <c r="T23" i="2"/>
  <c r="T20" i="2"/>
  <c r="T52" i="2"/>
  <c r="T43" i="2"/>
  <c r="T58" i="2"/>
  <c r="D261" i="23"/>
  <c r="C1062" i="19"/>
  <c r="H1062" i="19" s="1"/>
  <c r="G1062" i="19" s="1"/>
  <c r="J50" i="9"/>
  <c r="E1472" i="23"/>
  <c r="T59" i="2"/>
  <c r="S60" i="2"/>
  <c r="D402" i="23"/>
  <c r="C1503" i="19"/>
  <c r="H1503" i="19" s="1"/>
  <c r="G1503" i="19" s="1"/>
  <c r="J50" i="12"/>
  <c r="D1094" i="23"/>
  <c r="H82" i="17"/>
  <c r="D1105" i="23" s="1"/>
  <c r="H74" i="17"/>
  <c r="D2786" i="23"/>
  <c r="I51" i="14"/>
  <c r="E2244" i="23"/>
  <c r="C1061" i="19"/>
  <c r="H1061" i="19" s="1"/>
  <c r="G1061" i="19" s="1"/>
  <c r="E1703" i="23"/>
  <c r="G60" i="4"/>
  <c r="E2526" i="23"/>
  <c r="C1502" i="19"/>
  <c r="H1502" i="19" s="1"/>
  <c r="G1502" i="19" s="1"/>
  <c r="D2869" i="23"/>
  <c r="G78" i="16"/>
  <c r="D1939" i="23"/>
  <c r="I51" i="5"/>
  <c r="E1756" i="23"/>
  <c r="K60" i="4"/>
  <c r="E1859" i="23"/>
  <c r="R63" i="4"/>
  <c r="C472" i="19"/>
  <c r="H472" i="19" s="1"/>
  <c r="G472" i="19" s="1"/>
  <c r="D1531" i="23"/>
  <c r="D2221" i="23"/>
  <c r="I51" i="8"/>
  <c r="J51" i="8" s="1"/>
  <c r="D2762" i="23"/>
  <c r="F2496" i="22"/>
  <c r="D2979" i="23"/>
  <c r="C2422" i="19"/>
  <c r="H2422" i="19" s="1"/>
  <c r="G2422" i="19" s="1"/>
  <c r="I19" i="16"/>
  <c r="P5" i="3"/>
  <c r="D214" i="23"/>
  <c r="J50" i="8"/>
  <c r="C915" i="19"/>
  <c r="H915" i="19" s="1"/>
  <c r="G915" i="19" s="1"/>
  <c r="E862" i="23"/>
  <c r="N68" i="15"/>
  <c r="O68" i="15" s="1"/>
  <c r="E1359" i="23"/>
  <c r="J60" i="2"/>
  <c r="D2033" i="23"/>
  <c r="I51" i="6"/>
  <c r="J51" i="6" s="1"/>
  <c r="D2409" i="23"/>
  <c r="I51" i="10"/>
  <c r="D1471" i="23"/>
  <c r="D1098" i="23"/>
  <c r="H78" i="17"/>
  <c r="D1101" i="23" s="1"/>
  <c r="D1590" i="23"/>
  <c r="I62" i="3"/>
  <c r="E2432" i="23"/>
  <c r="C1355" i="19"/>
  <c r="H1355" i="19" s="1"/>
  <c r="G1355" i="19" s="1"/>
  <c r="E1962" i="23"/>
  <c r="C620" i="19"/>
  <c r="H620" i="19" s="1"/>
  <c r="G620" i="19" s="1"/>
  <c r="F61" i="4"/>
  <c r="G374" i="19"/>
  <c r="D1081" i="23"/>
  <c r="P7" i="3"/>
  <c r="AN18" i="22"/>
  <c r="L53" i="1" s="1"/>
  <c r="L65" i="1" s="1"/>
  <c r="E1529" i="23"/>
  <c r="D1808" i="23"/>
  <c r="L60" i="4"/>
  <c r="E1535" i="23"/>
  <c r="J61" i="3"/>
  <c r="K35" i="3"/>
  <c r="K57" i="3"/>
  <c r="K51" i="3"/>
  <c r="K47" i="3"/>
  <c r="K41" i="3"/>
  <c r="K50" i="3"/>
  <c r="K22" i="3"/>
  <c r="K29" i="3"/>
  <c r="K23" i="3"/>
  <c r="K13" i="3"/>
  <c r="K17" i="3"/>
  <c r="K9" i="3"/>
  <c r="K56" i="3"/>
  <c r="K5" i="3"/>
  <c r="K42" i="3"/>
  <c r="K12" i="3"/>
  <c r="K46" i="3"/>
  <c r="K30" i="3"/>
  <c r="K18" i="3"/>
  <c r="K33" i="3"/>
  <c r="K27" i="3"/>
  <c r="K19" i="3"/>
  <c r="K20" i="3"/>
  <c r="K40" i="3"/>
  <c r="K25" i="3"/>
  <c r="K55" i="3"/>
  <c r="K16" i="3"/>
  <c r="K63" i="3"/>
  <c r="K21" i="3"/>
  <c r="K24" i="3"/>
  <c r="K45" i="3"/>
  <c r="K53" i="3"/>
  <c r="K48" i="3"/>
  <c r="K32" i="3"/>
  <c r="K38" i="3"/>
  <c r="K49" i="3"/>
  <c r="K8" i="3"/>
  <c r="K44" i="3"/>
  <c r="K26" i="3"/>
  <c r="K15" i="3"/>
  <c r="K34" i="3"/>
  <c r="K14" i="3"/>
  <c r="K11" i="3"/>
  <c r="K31" i="3"/>
  <c r="K36" i="3"/>
  <c r="K37" i="3"/>
  <c r="K54" i="3"/>
  <c r="K39" i="3"/>
  <c r="K7" i="3"/>
  <c r="K43" i="3"/>
  <c r="K10" i="3"/>
  <c r="K52" i="3"/>
  <c r="K58" i="3"/>
  <c r="D1074" i="23"/>
  <c r="E81" i="17"/>
  <c r="AM21" i="22" s="1"/>
  <c r="K56" i="1" s="1"/>
  <c r="I74" i="17"/>
  <c r="D449" i="23"/>
  <c r="C1649" i="19"/>
  <c r="H1649" i="19" s="1"/>
  <c r="G1649" i="19" s="1"/>
  <c r="J50" i="13"/>
  <c r="J51" i="13"/>
  <c r="D2009" i="23"/>
  <c r="F2490" i="22"/>
  <c r="D2103" i="23"/>
  <c r="F2491" i="22"/>
  <c r="D2127" i="23"/>
  <c r="I51" i="7"/>
  <c r="E2150" i="23"/>
  <c r="C914" i="19"/>
  <c r="H914" i="19" s="1"/>
  <c r="G914" i="19" s="1"/>
  <c r="D1702" i="23"/>
  <c r="D60" i="4"/>
  <c r="D61" i="4" s="1"/>
  <c r="E59" i="4"/>
  <c r="Q59" i="2"/>
  <c r="D2691" i="23"/>
  <c r="I51" i="13"/>
  <c r="E1422" i="23"/>
  <c r="O60" i="2"/>
  <c r="E2999" i="23"/>
  <c r="C2582" i="19"/>
  <c r="H2582" i="19" s="1"/>
  <c r="G2582" i="19" s="1"/>
  <c r="N20" i="16"/>
  <c r="E2840" i="23" s="1"/>
  <c r="N5" i="3"/>
  <c r="D496" i="23"/>
  <c r="C1794" i="19"/>
  <c r="H1794" i="19" s="1"/>
  <c r="G1794" i="19" s="1"/>
  <c r="J50" i="14"/>
  <c r="J51" i="14"/>
  <c r="E2620" i="23"/>
  <c r="C1648" i="19"/>
  <c r="H1648" i="19" s="1"/>
  <c r="G1648" i="19" s="1"/>
  <c r="D120" i="23"/>
  <c r="C621" i="19"/>
  <c r="H621" i="19" s="1"/>
  <c r="G621" i="19" s="1"/>
  <c r="J50" i="6"/>
  <c r="D1656" i="23"/>
  <c r="E5" i="4"/>
  <c r="E54" i="4"/>
  <c r="E22" i="4"/>
  <c r="E12" i="4"/>
  <c r="E24" i="4"/>
  <c r="E51" i="4"/>
  <c r="E33" i="4"/>
  <c r="E15" i="4"/>
  <c r="E25" i="4"/>
  <c r="E27" i="4"/>
  <c r="E31" i="4"/>
  <c r="E44" i="4"/>
  <c r="E41" i="4"/>
  <c r="E47" i="4"/>
  <c r="E49" i="4"/>
  <c r="E38" i="4"/>
  <c r="E17" i="4"/>
  <c r="E29" i="4"/>
  <c r="E53" i="4"/>
  <c r="E46" i="4"/>
  <c r="E56" i="4"/>
  <c r="E55" i="4"/>
  <c r="E16" i="4"/>
  <c r="E21" i="4"/>
  <c r="E18" i="4"/>
  <c r="E42" i="4"/>
  <c r="E14" i="4"/>
  <c r="E50" i="4"/>
  <c r="E11" i="4"/>
  <c r="E30" i="4"/>
  <c r="E23" i="4"/>
  <c r="E26" i="4"/>
  <c r="E48" i="4"/>
  <c r="E28" i="4"/>
  <c r="E40" i="4"/>
  <c r="E57" i="4"/>
  <c r="E35" i="4"/>
  <c r="E13" i="4"/>
  <c r="E34" i="4"/>
  <c r="E63" i="4"/>
  <c r="E32" i="4"/>
  <c r="E19" i="4"/>
  <c r="E45" i="4"/>
  <c r="E52" i="4"/>
  <c r="E43" i="4"/>
  <c r="E20" i="4"/>
  <c r="E1653" i="23"/>
  <c r="Q62" i="3"/>
  <c r="E1654" i="23" s="1"/>
  <c r="D2597" i="23"/>
  <c r="I51" i="12"/>
  <c r="J51" i="12" s="1"/>
  <c r="D1421" i="23"/>
  <c r="M59" i="2"/>
  <c r="E1204" i="23"/>
  <c r="D1204" i="23"/>
  <c r="I43" i="1"/>
  <c r="D2197" i="23"/>
  <c r="F2492" i="22"/>
  <c r="E2714" i="23"/>
  <c r="C1793" i="19"/>
  <c r="H1793" i="19" s="1"/>
  <c r="G1793" i="19" s="1"/>
  <c r="E1092" i="23"/>
  <c r="F4" i="3"/>
  <c r="L18" i="16"/>
  <c r="E1097" i="23"/>
  <c r="M81" i="17"/>
  <c r="N81" i="17" s="1"/>
  <c r="E2891" i="23"/>
  <c r="C2542" i="19"/>
  <c r="H2542" i="19" s="1"/>
  <c r="G2542" i="19" s="1"/>
  <c r="D863" i="23"/>
  <c r="F68" i="15"/>
  <c r="J57" i="15"/>
  <c r="C1973" i="19"/>
  <c r="H1973" i="19" s="1"/>
  <c r="G1973" i="19" s="1"/>
  <c r="E574" i="23"/>
  <c r="R333" i="19"/>
  <c r="V333" i="19" s="1"/>
  <c r="J333" i="19"/>
  <c r="D2921" i="23"/>
  <c r="C2242" i="19"/>
  <c r="H2242" i="19" s="1"/>
  <c r="G2242" i="19" s="1"/>
  <c r="H5" i="4"/>
  <c r="Q5" i="2" s="1"/>
  <c r="I53" i="16"/>
  <c r="J53" i="16" s="1"/>
  <c r="D2997" i="23"/>
  <c r="H27" i="18"/>
  <c r="D1655" i="23"/>
  <c r="Q4" i="2"/>
  <c r="D1425" i="23" s="1"/>
  <c r="D167" i="23"/>
  <c r="C768" i="19"/>
  <c r="H768" i="19" s="1"/>
  <c r="G768" i="19" s="1"/>
  <c r="J50" i="7"/>
  <c r="J51" i="7"/>
  <c r="D1085" i="23"/>
  <c r="F81" i="17"/>
  <c r="D862" i="23"/>
  <c r="I68" i="15"/>
  <c r="D1078" i="23"/>
  <c r="D355" i="23"/>
  <c r="C1356" i="19"/>
  <c r="H1356" i="19" s="1"/>
  <c r="G1356" i="19" s="1"/>
  <c r="J50" i="11"/>
  <c r="E1080" i="23"/>
  <c r="N79" i="17"/>
  <c r="D2543" i="19" s="1"/>
  <c r="I2543" i="19" s="1"/>
  <c r="G2543" i="19" s="1"/>
  <c r="K18" i="16"/>
  <c r="E882" i="23" s="1"/>
  <c r="D864" i="23"/>
  <c r="I58" i="15"/>
  <c r="D865" i="23" s="1"/>
  <c r="D1528" i="23"/>
  <c r="D60" i="3"/>
  <c r="D2503" i="23"/>
  <c r="I51" i="11"/>
  <c r="J51" i="11" s="1"/>
  <c r="I8" i="2"/>
  <c r="I7" i="2"/>
  <c r="I9" i="2"/>
  <c r="I10" i="2"/>
  <c r="I5" i="3"/>
  <c r="H61" i="3"/>
  <c r="D1535" i="23"/>
  <c r="I35" i="3"/>
  <c r="I54" i="3"/>
  <c r="I53" i="3"/>
  <c r="I14" i="3"/>
  <c r="I31" i="3"/>
  <c r="I55" i="3"/>
  <c r="I16" i="3"/>
  <c r="I38" i="3"/>
  <c r="I49" i="3"/>
  <c r="I44" i="3"/>
  <c r="I36" i="3"/>
  <c r="I57" i="3"/>
  <c r="I15" i="3"/>
  <c r="I45" i="3"/>
  <c r="I48" i="3"/>
  <c r="I25" i="3"/>
  <c r="I32" i="3"/>
  <c r="I11" i="3"/>
  <c r="I40" i="3"/>
  <c r="I39" i="3"/>
  <c r="I24" i="3"/>
  <c r="I13" i="3"/>
  <c r="I37" i="3"/>
  <c r="I18" i="3"/>
  <c r="I41" i="3"/>
  <c r="I23" i="3"/>
  <c r="I46" i="3"/>
  <c r="I50" i="3"/>
  <c r="I9" i="3"/>
  <c r="I12" i="3"/>
  <c r="I51" i="3"/>
  <c r="I17" i="3"/>
  <c r="I56" i="3"/>
  <c r="I42" i="3"/>
  <c r="I22" i="3"/>
  <c r="I47" i="3"/>
  <c r="I52" i="3"/>
  <c r="I30" i="3"/>
  <c r="I7" i="3"/>
  <c r="I21" i="3"/>
  <c r="I27" i="3"/>
  <c r="I33" i="3"/>
  <c r="I34" i="3"/>
  <c r="I19" i="3"/>
  <c r="I29" i="3"/>
  <c r="I63" i="3"/>
  <c r="I26" i="3"/>
  <c r="I8" i="3"/>
  <c r="I10" i="3"/>
  <c r="I43" i="3"/>
  <c r="I20" i="3"/>
  <c r="I58" i="3"/>
  <c r="D2385" i="23"/>
  <c r="F2494" i="22"/>
  <c r="G68" i="15"/>
  <c r="D2945" i="23"/>
  <c r="C2243" i="19"/>
  <c r="H2243" i="19" s="1"/>
  <c r="G2243" i="19" s="1"/>
  <c r="L5" i="4"/>
  <c r="D1915" i="23"/>
  <c r="F2489" i="22"/>
  <c r="J63" i="15"/>
  <c r="J66" i="15"/>
  <c r="J61" i="15"/>
  <c r="J65" i="15"/>
  <c r="J60" i="15"/>
  <c r="D847" i="23"/>
  <c r="J67" i="15"/>
  <c r="J64" i="15"/>
  <c r="J62" i="15"/>
  <c r="D1647" i="23"/>
  <c r="D1358" i="23"/>
  <c r="G59" i="2"/>
  <c r="G2238" i="19"/>
  <c r="D2315" i="23"/>
  <c r="I51" i="9"/>
  <c r="J51" i="9" s="1"/>
  <c r="E1762" i="23"/>
  <c r="O5" i="4"/>
  <c r="N61" i="4"/>
  <c r="O40" i="4"/>
  <c r="O32" i="4"/>
  <c r="O17" i="4"/>
  <c r="O12" i="4"/>
  <c r="O48" i="4"/>
  <c r="O34" i="4"/>
  <c r="O11" i="4"/>
  <c r="O54" i="4"/>
  <c r="O13" i="4"/>
  <c r="O63" i="4"/>
  <c r="O15" i="4"/>
  <c r="O31" i="4"/>
  <c r="O21" i="4"/>
  <c r="O29" i="4"/>
  <c r="O41" i="4"/>
  <c r="O22" i="4"/>
  <c r="O53" i="4"/>
  <c r="O23" i="4"/>
  <c r="O28" i="4"/>
  <c r="O44" i="4"/>
  <c r="O50" i="4"/>
  <c r="O45" i="4"/>
  <c r="O30" i="4"/>
  <c r="O27" i="4"/>
  <c r="O26" i="4"/>
  <c r="O47" i="4"/>
  <c r="O46" i="4"/>
  <c r="O56" i="4"/>
  <c r="O51" i="4"/>
  <c r="O18" i="4"/>
  <c r="O38" i="4"/>
  <c r="O25" i="4"/>
  <c r="O42" i="4"/>
  <c r="O35" i="4"/>
  <c r="O14" i="4"/>
  <c r="O24" i="4"/>
  <c r="O19" i="4"/>
  <c r="O16" i="4"/>
  <c r="O49" i="4"/>
  <c r="O33" i="4"/>
  <c r="O57" i="4"/>
  <c r="O55" i="4"/>
  <c r="O52" i="4"/>
  <c r="O43" i="4"/>
  <c r="O20" i="4"/>
  <c r="O58" i="4"/>
  <c r="E1647" i="23"/>
  <c r="D1811" i="23"/>
  <c r="C333" i="19"/>
  <c r="H333" i="19" s="1"/>
  <c r="C280" i="19"/>
  <c r="H280" i="19" s="1"/>
  <c r="G280" i="19" s="1"/>
  <c r="C381" i="19"/>
  <c r="H381" i="19" s="1"/>
  <c r="G381" i="19" s="1"/>
  <c r="D308" i="23"/>
  <c r="C1209" i="19"/>
  <c r="H1209" i="19" s="1"/>
  <c r="G1209" i="19" s="1"/>
  <c r="J50" i="10"/>
  <c r="J51" i="10"/>
  <c r="D2479" i="23"/>
  <c r="F2495" i="22"/>
  <c r="E1588" i="23"/>
  <c r="K60" i="3"/>
  <c r="D2291" i="23"/>
  <c r="F2493" i="22"/>
  <c r="D1755" i="23"/>
  <c r="H60" i="4"/>
  <c r="R280" i="19"/>
  <c r="J280" i="19"/>
  <c r="E2681" i="19"/>
  <c r="E2682" i="19" s="1"/>
  <c r="E1709" i="23"/>
  <c r="K30" i="4"/>
  <c r="K19" i="4"/>
  <c r="K31" i="4"/>
  <c r="K51" i="4"/>
  <c r="K5" i="4"/>
  <c r="K41" i="4"/>
  <c r="K16" i="4"/>
  <c r="K54" i="4"/>
  <c r="J61" i="4"/>
  <c r="K21" i="4"/>
  <c r="K12" i="4"/>
  <c r="K33" i="4"/>
  <c r="K15" i="4"/>
  <c r="K14" i="4"/>
  <c r="K34" i="4"/>
  <c r="K43" i="4"/>
  <c r="K38" i="4"/>
  <c r="K53" i="4"/>
  <c r="K46" i="4"/>
  <c r="K27" i="4"/>
  <c r="K49" i="4"/>
  <c r="K22" i="4"/>
  <c r="K29" i="4"/>
  <c r="K42" i="4"/>
  <c r="K57" i="4"/>
  <c r="K35" i="4"/>
  <c r="K47" i="4"/>
  <c r="K26" i="4"/>
  <c r="K24" i="4"/>
  <c r="K44" i="4"/>
  <c r="K11" i="4"/>
  <c r="K17" i="4"/>
  <c r="K25" i="4"/>
  <c r="K63" i="4"/>
  <c r="K48" i="4"/>
  <c r="K56" i="4"/>
  <c r="K13" i="4"/>
  <c r="K18" i="4"/>
  <c r="K28" i="4"/>
  <c r="K23" i="4"/>
  <c r="K50" i="4"/>
  <c r="K32" i="4"/>
  <c r="K55" i="4"/>
  <c r="K40" i="4"/>
  <c r="K45" i="4"/>
  <c r="K20" i="4"/>
  <c r="K52" i="4"/>
  <c r="K62" i="4"/>
  <c r="K58" i="4"/>
  <c r="D1859" i="23"/>
  <c r="C434" i="19"/>
  <c r="H434" i="19" s="1"/>
  <c r="G434" i="19" s="1"/>
  <c r="P63" i="4"/>
  <c r="D866" i="23"/>
  <c r="O59" i="4"/>
  <c r="E2810" i="23"/>
  <c r="C1938" i="19"/>
  <c r="H1938" i="19" s="1"/>
  <c r="G1938" i="19" s="1"/>
  <c r="E2922" i="23"/>
  <c r="N78" i="16"/>
  <c r="E2946" i="23" s="1"/>
  <c r="D73" i="23"/>
  <c r="J50" i="5"/>
  <c r="J51" i="5"/>
  <c r="C474" i="19"/>
  <c r="H474" i="19" s="1"/>
  <c r="G474" i="19" s="1"/>
  <c r="E1809" i="23"/>
  <c r="O60" i="4"/>
  <c r="E2056" i="23"/>
  <c r="C767" i="19"/>
  <c r="H767" i="19" s="1"/>
  <c r="G767" i="19" s="1"/>
  <c r="E2338" i="23"/>
  <c r="C1208" i="19"/>
  <c r="H1208" i="19" s="1"/>
  <c r="G1208" i="19" s="1"/>
  <c r="D1588" i="23"/>
  <c r="I60" i="3"/>
  <c r="K59" i="4"/>
  <c r="G333" i="19" l="1"/>
  <c r="O78" i="16"/>
  <c r="J58" i="15"/>
  <c r="I59" i="4"/>
  <c r="I78" i="17"/>
  <c r="D2839" i="23"/>
  <c r="J19" i="16"/>
  <c r="K78" i="16"/>
  <c r="E901" i="23" s="1"/>
  <c r="I82" i="17"/>
  <c r="E1475" i="23"/>
  <c r="J4" i="2"/>
  <c r="O4" i="2"/>
  <c r="E1369" i="23" s="1"/>
  <c r="E121" i="17"/>
  <c r="D1860" i="23"/>
  <c r="D228" i="19"/>
  <c r="I228" i="19" s="1"/>
  <c r="D334" i="19"/>
  <c r="I334" i="19" s="1"/>
  <c r="D123" i="19"/>
  <c r="I123" i="19" s="1"/>
  <c r="D382" i="19"/>
  <c r="I382" i="19" s="1"/>
  <c r="C334" i="19"/>
  <c r="H334" i="19" s="1"/>
  <c r="G334" i="19" s="1"/>
  <c r="C382" i="19"/>
  <c r="H382" i="19" s="1"/>
  <c r="C178" i="19"/>
  <c r="H178" i="19" s="1"/>
  <c r="C281" i="19"/>
  <c r="H281" i="19" s="1"/>
  <c r="D281" i="19"/>
  <c r="I281" i="19" s="1"/>
  <c r="C435" i="19"/>
  <c r="H435" i="19" s="1"/>
  <c r="G435" i="19" s="1"/>
  <c r="D178" i="19"/>
  <c r="I178" i="19" s="1"/>
  <c r="C123" i="19"/>
  <c r="H123" i="19" s="1"/>
  <c r="C228" i="19"/>
  <c r="H228" i="19" s="1"/>
  <c r="D1472" i="23"/>
  <c r="R59" i="2"/>
  <c r="Q60" i="2"/>
  <c r="Q61" i="2" s="1"/>
  <c r="E1360" i="23"/>
  <c r="F104" i="17"/>
  <c r="E1860" i="23"/>
  <c r="D375" i="19"/>
  <c r="I375" i="19" s="1"/>
  <c r="D219" i="19"/>
  <c r="I219" i="19" s="1"/>
  <c r="D424" i="19"/>
  <c r="I424" i="19" s="1"/>
  <c r="C424" i="19"/>
  <c r="H424" i="19" s="1"/>
  <c r="D270" i="19"/>
  <c r="I270" i="19" s="1"/>
  <c r="D324" i="19"/>
  <c r="I324" i="19" s="1"/>
  <c r="C375" i="19"/>
  <c r="H375" i="19" s="1"/>
  <c r="G375" i="19" s="1"/>
  <c r="C219" i="19"/>
  <c r="H219" i="19" s="1"/>
  <c r="G219" i="19" s="1"/>
  <c r="D165" i="19"/>
  <c r="I165" i="19" s="1"/>
  <c r="C324" i="19"/>
  <c r="H324" i="19" s="1"/>
  <c r="C165" i="19"/>
  <c r="H165" i="19" s="1"/>
  <c r="C473" i="19"/>
  <c r="H473" i="19" s="1"/>
  <c r="G473" i="19" s="1"/>
  <c r="C270" i="19"/>
  <c r="H270" i="19" s="1"/>
  <c r="E1757" i="23"/>
  <c r="K61" i="4"/>
  <c r="J64" i="4"/>
  <c r="E1810" i="23"/>
  <c r="O61" i="4"/>
  <c r="N64" i="4"/>
  <c r="D1589" i="23"/>
  <c r="I61" i="3"/>
  <c r="H64" i="3"/>
  <c r="D1762" i="23"/>
  <c r="M5" i="4"/>
  <c r="L61" i="4"/>
  <c r="M14" i="4"/>
  <c r="M48" i="4"/>
  <c r="M44" i="4"/>
  <c r="M19" i="4"/>
  <c r="M21" i="4"/>
  <c r="M30" i="4"/>
  <c r="M41" i="4"/>
  <c r="M53" i="4"/>
  <c r="M51" i="4"/>
  <c r="M38" i="4"/>
  <c r="M54" i="4"/>
  <c r="M56" i="4"/>
  <c r="M24" i="4"/>
  <c r="M27" i="4"/>
  <c r="M31" i="4"/>
  <c r="M46" i="4"/>
  <c r="M35" i="4"/>
  <c r="M33" i="4"/>
  <c r="M17" i="4"/>
  <c r="M16" i="4"/>
  <c r="M50" i="4"/>
  <c r="M49" i="4"/>
  <c r="M55" i="4"/>
  <c r="M23" i="4"/>
  <c r="M25" i="4"/>
  <c r="M15" i="4"/>
  <c r="M29" i="4"/>
  <c r="M22" i="4"/>
  <c r="M11" i="4"/>
  <c r="M12" i="4"/>
  <c r="M34" i="4"/>
  <c r="M13" i="4"/>
  <c r="M26" i="4"/>
  <c r="M42" i="4"/>
  <c r="M32" i="4"/>
  <c r="M18" i="4"/>
  <c r="M47" i="4"/>
  <c r="M57" i="4"/>
  <c r="M40" i="4"/>
  <c r="M63" i="4"/>
  <c r="M45" i="4"/>
  <c r="M28" i="4"/>
  <c r="M52" i="4"/>
  <c r="M43" i="4"/>
  <c r="M20" i="4"/>
  <c r="M58" i="4"/>
  <c r="D1225" i="23"/>
  <c r="E1225" i="23"/>
  <c r="I47" i="1"/>
  <c r="D1703" i="23"/>
  <c r="E60" i="4"/>
  <c r="E573" i="23"/>
  <c r="C2045" i="19"/>
  <c r="H2045" i="19" s="1"/>
  <c r="G2045" i="19" s="1"/>
  <c r="D2338" i="23"/>
  <c r="C1063" i="19"/>
  <c r="H1063" i="19" s="1"/>
  <c r="G1063" i="19" s="1"/>
  <c r="E1704" i="23"/>
  <c r="G61" i="4"/>
  <c r="F64" i="4"/>
  <c r="D1962" i="23"/>
  <c r="C475" i="19"/>
  <c r="H475" i="19" s="1"/>
  <c r="G475" i="19" s="1"/>
  <c r="E1473" i="23"/>
  <c r="T60" i="2"/>
  <c r="D1426" i="23"/>
  <c r="R5" i="2"/>
  <c r="R17" i="2"/>
  <c r="R44" i="2"/>
  <c r="R29" i="2"/>
  <c r="R24" i="2"/>
  <c r="R54" i="2"/>
  <c r="R31" i="2"/>
  <c r="R15" i="2"/>
  <c r="R27" i="2"/>
  <c r="R26" i="2"/>
  <c r="R28" i="2"/>
  <c r="R40" i="2"/>
  <c r="R23" i="2"/>
  <c r="R32" i="2"/>
  <c r="R42" i="2"/>
  <c r="R41" i="2"/>
  <c r="R18" i="2"/>
  <c r="R51" i="2"/>
  <c r="R22" i="2"/>
  <c r="R14" i="2"/>
  <c r="R48" i="2"/>
  <c r="R53" i="2"/>
  <c r="R19" i="2"/>
  <c r="R38" i="2"/>
  <c r="R34" i="2"/>
  <c r="R55" i="2"/>
  <c r="R33" i="2"/>
  <c r="R30" i="2"/>
  <c r="R47" i="2"/>
  <c r="R12" i="2"/>
  <c r="R21" i="2"/>
  <c r="R56" i="2"/>
  <c r="R25" i="2"/>
  <c r="R16" i="2"/>
  <c r="R50" i="2"/>
  <c r="R49" i="2"/>
  <c r="R46" i="2"/>
  <c r="R57" i="2"/>
  <c r="R35" i="2"/>
  <c r="R13" i="2"/>
  <c r="R11" i="2"/>
  <c r="R45" i="2"/>
  <c r="R20" i="2"/>
  <c r="R52" i="2"/>
  <c r="R43" i="2"/>
  <c r="D2999" i="23"/>
  <c r="C2569" i="19"/>
  <c r="H2569" i="19" s="1"/>
  <c r="G2569" i="19" s="1"/>
  <c r="I20" i="16"/>
  <c r="D2840" i="23" s="1"/>
  <c r="L5" i="3"/>
  <c r="D2922" i="23"/>
  <c r="I78" i="16"/>
  <c r="D2946" i="23" s="1"/>
  <c r="D1709" i="23"/>
  <c r="I5" i="4"/>
  <c r="H61" i="4"/>
  <c r="I45" i="4"/>
  <c r="I23" i="4"/>
  <c r="I32" i="4"/>
  <c r="I30" i="4"/>
  <c r="I13" i="4"/>
  <c r="I16" i="4"/>
  <c r="I25" i="4"/>
  <c r="I63" i="4"/>
  <c r="I48" i="4"/>
  <c r="I28" i="4"/>
  <c r="I34" i="4"/>
  <c r="I18" i="4"/>
  <c r="I40" i="4"/>
  <c r="I50" i="4"/>
  <c r="I47" i="4"/>
  <c r="I57" i="4"/>
  <c r="I15" i="4"/>
  <c r="I55" i="4"/>
  <c r="I11" i="4"/>
  <c r="I14" i="4"/>
  <c r="I41" i="4"/>
  <c r="I49" i="4"/>
  <c r="I35" i="4"/>
  <c r="I38" i="4"/>
  <c r="I22" i="4"/>
  <c r="I21" i="4"/>
  <c r="I24" i="4"/>
  <c r="I17" i="4"/>
  <c r="I44" i="4"/>
  <c r="I51" i="4"/>
  <c r="I33" i="4"/>
  <c r="I56" i="4"/>
  <c r="I31" i="4"/>
  <c r="I54" i="4"/>
  <c r="I19" i="4"/>
  <c r="I26" i="4"/>
  <c r="I46" i="4"/>
  <c r="I12" i="4"/>
  <c r="I29" i="4"/>
  <c r="I42" i="4"/>
  <c r="I53" i="4"/>
  <c r="I27" i="4"/>
  <c r="I20" i="4"/>
  <c r="I52" i="4"/>
  <c r="I43" i="4"/>
  <c r="I58" i="4"/>
  <c r="I62" i="4"/>
  <c r="D1422" i="23"/>
  <c r="M60" i="2"/>
  <c r="D573" i="23"/>
  <c r="C1940" i="19"/>
  <c r="H1940" i="19" s="1"/>
  <c r="G1940" i="19" s="1"/>
  <c r="D2150" i="23"/>
  <c r="C769" i="19"/>
  <c r="H769" i="19" s="1"/>
  <c r="G769" i="19" s="1"/>
  <c r="D1359" i="23"/>
  <c r="G60" i="2"/>
  <c r="D2891" i="23"/>
  <c r="M62" i="4"/>
  <c r="D1092" i="23"/>
  <c r="D4" i="3"/>
  <c r="G18" i="16"/>
  <c r="C1939" i="19"/>
  <c r="H1939" i="19" s="1"/>
  <c r="G1939" i="19" s="1"/>
  <c r="D574" i="23"/>
  <c r="J68" i="15"/>
  <c r="D2620" i="23"/>
  <c r="C1504" i="19"/>
  <c r="H1504" i="19" s="1"/>
  <c r="G1504" i="19" s="1"/>
  <c r="D1653" i="23"/>
  <c r="P62" i="3"/>
  <c r="D1654" i="23" s="1"/>
  <c r="D2526" i="23"/>
  <c r="C1357" i="19"/>
  <c r="H1357" i="19" s="1"/>
  <c r="G1357" i="19" s="1"/>
  <c r="E1594" i="23"/>
  <c r="O27" i="3"/>
  <c r="O15" i="3"/>
  <c r="N61" i="3"/>
  <c r="O32" i="3"/>
  <c r="O24" i="3"/>
  <c r="O22" i="3"/>
  <c r="O54" i="3"/>
  <c r="O5" i="3"/>
  <c r="O45" i="3"/>
  <c r="O44" i="3"/>
  <c r="O48" i="3"/>
  <c r="O39" i="3"/>
  <c r="O37" i="3"/>
  <c r="O17" i="3"/>
  <c r="O8" i="3"/>
  <c r="O40" i="3"/>
  <c r="O38" i="3"/>
  <c r="O36" i="3"/>
  <c r="O55" i="3"/>
  <c r="O50" i="3"/>
  <c r="O41" i="3"/>
  <c r="O26" i="3"/>
  <c r="O49" i="3"/>
  <c r="O21" i="3"/>
  <c r="O16" i="3"/>
  <c r="O25" i="3"/>
  <c r="O9" i="3"/>
  <c r="O18" i="3"/>
  <c r="O42" i="3"/>
  <c r="O33" i="3"/>
  <c r="O51" i="3"/>
  <c r="O31" i="3"/>
  <c r="O53" i="3"/>
  <c r="O14" i="3"/>
  <c r="O23" i="3"/>
  <c r="O7" i="3"/>
  <c r="O47" i="3"/>
  <c r="O46" i="3"/>
  <c r="O13" i="3"/>
  <c r="O12" i="3"/>
  <c r="O56" i="3"/>
  <c r="O57" i="3"/>
  <c r="O19" i="3"/>
  <c r="O29" i="3"/>
  <c r="O11" i="3"/>
  <c r="O34" i="3"/>
  <c r="O63" i="3"/>
  <c r="O30" i="3"/>
  <c r="O35" i="3"/>
  <c r="O52" i="3"/>
  <c r="O10" i="3"/>
  <c r="O20" i="3"/>
  <c r="O43" i="3"/>
  <c r="O58" i="3"/>
  <c r="O59" i="3"/>
  <c r="O62" i="3"/>
  <c r="D1529" i="23"/>
  <c r="E2683" i="19"/>
  <c r="E1589" i="23"/>
  <c r="J64" i="3"/>
  <c r="K61" i="3"/>
  <c r="O60" i="3"/>
  <c r="E1104" i="23"/>
  <c r="F5" i="3"/>
  <c r="N18" i="16"/>
  <c r="O18" i="16" s="1"/>
  <c r="R58" i="2"/>
  <c r="V280" i="19"/>
  <c r="R2682" i="19"/>
  <c r="M59" i="4"/>
  <c r="D2244" i="23"/>
  <c r="C916" i="19"/>
  <c r="H916" i="19" s="1"/>
  <c r="G916" i="19" s="1"/>
  <c r="D1756" i="23"/>
  <c r="I60" i="4"/>
  <c r="E2823" i="23"/>
  <c r="L21" i="16"/>
  <c r="E1423" i="23"/>
  <c r="D1809" i="23"/>
  <c r="M60" i="4"/>
  <c r="D2432" i="23"/>
  <c r="C1210" i="19"/>
  <c r="H1210" i="19" s="1"/>
  <c r="G1210" i="19" s="1"/>
  <c r="D2810" i="23"/>
  <c r="C1795" i="19"/>
  <c r="H1795" i="19" s="1"/>
  <c r="G1795" i="19" s="1"/>
  <c r="D1704" i="23"/>
  <c r="D64" i="4"/>
  <c r="E61" i="4"/>
  <c r="D1080" i="23"/>
  <c r="D2400" i="19"/>
  <c r="I2400" i="19" s="1"/>
  <c r="G2400" i="19" s="1"/>
  <c r="AM18" i="22"/>
  <c r="K53" i="1" s="1"/>
  <c r="K65" i="1" s="1"/>
  <c r="I79" i="17"/>
  <c r="F18" i="16"/>
  <c r="D882" i="23" s="1"/>
  <c r="D2056" i="23"/>
  <c r="C622" i="19"/>
  <c r="H622" i="19" s="1"/>
  <c r="G622" i="19" s="1"/>
  <c r="D1097" i="23"/>
  <c r="H81" i="17"/>
  <c r="I81" i="17" s="1"/>
  <c r="E1474" i="23"/>
  <c r="T61" i="2"/>
  <c r="D2714" i="23"/>
  <c r="C1650" i="19"/>
  <c r="H1650" i="19" s="1"/>
  <c r="G1650" i="19" s="1"/>
  <c r="G178" i="19" l="1"/>
  <c r="G281" i="19"/>
  <c r="J78" i="16"/>
  <c r="C112" i="19"/>
  <c r="H112" i="19" s="1"/>
  <c r="K4" i="2"/>
  <c r="F78" i="16"/>
  <c r="D901" i="23" s="1"/>
  <c r="G165" i="19"/>
  <c r="G424" i="19"/>
  <c r="E1707" i="23"/>
  <c r="G64" i="4"/>
  <c r="C325" i="19"/>
  <c r="H325" i="19" s="1"/>
  <c r="G325" i="19" s="1"/>
  <c r="E2838" i="23"/>
  <c r="N21" i="16"/>
  <c r="O21" i="16" s="1"/>
  <c r="D1229" i="23"/>
  <c r="E1229" i="23"/>
  <c r="I68" i="1"/>
  <c r="P47" i="1"/>
  <c r="D1104" i="23"/>
  <c r="D5" i="3"/>
  <c r="I18" i="16"/>
  <c r="J18" i="16" s="1"/>
  <c r="G270" i="19"/>
  <c r="G228" i="19"/>
  <c r="E2825" i="23"/>
  <c r="L79" i="16"/>
  <c r="D1423" i="23"/>
  <c r="G123" i="19"/>
  <c r="D1474" i="23"/>
  <c r="R61" i="2"/>
  <c r="G324" i="19"/>
  <c r="D2823" i="23"/>
  <c r="G21" i="16"/>
  <c r="G382" i="19"/>
  <c r="K56" i="20"/>
  <c r="E6" i="23"/>
  <c r="D6" i="23"/>
  <c r="D1475" i="23"/>
  <c r="G4" i="2"/>
  <c r="H4" i="2" s="1"/>
  <c r="M4" i="2"/>
  <c r="D1369" i="23" s="1"/>
  <c r="D1810" i="23"/>
  <c r="M61" i="4"/>
  <c r="L64" i="4"/>
  <c r="D1757" i="23"/>
  <c r="I61" i="4"/>
  <c r="H64" i="4"/>
  <c r="D1707" i="23"/>
  <c r="C282" i="19"/>
  <c r="H282" i="19" s="1"/>
  <c r="G282" i="19" s="1"/>
  <c r="E64" i="4"/>
  <c r="D1592" i="23"/>
  <c r="I64" i="3"/>
  <c r="C179" i="19"/>
  <c r="H179" i="19" s="1"/>
  <c r="G179" i="19" s="1"/>
  <c r="E1476" i="23"/>
  <c r="G5" i="3"/>
  <c r="O5" i="2"/>
  <c r="G25" i="3"/>
  <c r="G55" i="3"/>
  <c r="G44" i="3"/>
  <c r="G39" i="3"/>
  <c r="F61" i="3"/>
  <c r="G49" i="3"/>
  <c r="G31" i="3"/>
  <c r="G53" i="3"/>
  <c r="G15" i="3"/>
  <c r="G48" i="3"/>
  <c r="G24" i="3"/>
  <c r="G14" i="3"/>
  <c r="G54" i="3"/>
  <c r="G19" i="3"/>
  <c r="G38" i="3"/>
  <c r="G45" i="3"/>
  <c r="G17" i="3"/>
  <c r="G63" i="3"/>
  <c r="G51" i="3"/>
  <c r="G36" i="3"/>
  <c r="G8" i="3"/>
  <c r="G16" i="3"/>
  <c r="G47" i="3"/>
  <c r="G57" i="3"/>
  <c r="G23" i="3"/>
  <c r="G12" i="3"/>
  <c r="G27" i="3"/>
  <c r="G21" i="3"/>
  <c r="G37" i="3"/>
  <c r="G40" i="3"/>
  <c r="G41" i="3"/>
  <c r="G18" i="3"/>
  <c r="G22" i="3"/>
  <c r="G30" i="3"/>
  <c r="G35" i="3"/>
  <c r="G50" i="3"/>
  <c r="G26" i="3"/>
  <c r="G56" i="3"/>
  <c r="G42" i="3"/>
  <c r="G13" i="3"/>
  <c r="G32" i="3"/>
  <c r="G9" i="3"/>
  <c r="G7" i="3"/>
  <c r="G33" i="3"/>
  <c r="G11" i="3"/>
  <c r="G46" i="3"/>
  <c r="G29" i="3"/>
  <c r="G34" i="3"/>
  <c r="G52" i="3"/>
  <c r="G43" i="3"/>
  <c r="G20" i="3"/>
  <c r="G10" i="3"/>
  <c r="G58" i="3"/>
  <c r="G62" i="3"/>
  <c r="G59" i="3"/>
  <c r="G60" i="3"/>
  <c r="D1360" i="23"/>
  <c r="F2525" i="22"/>
  <c r="E1648" i="23"/>
  <c r="O61" i="3"/>
  <c r="N64" i="3"/>
  <c r="E1813" i="23"/>
  <c r="O64" i="4"/>
  <c r="C425" i="19"/>
  <c r="H425" i="19" s="1"/>
  <c r="G425" i="19" s="1"/>
  <c r="D1594" i="23"/>
  <c r="M5" i="3"/>
  <c r="L61" i="3"/>
  <c r="M48" i="3"/>
  <c r="M11" i="3"/>
  <c r="M18" i="3"/>
  <c r="M23" i="3"/>
  <c r="M7" i="3"/>
  <c r="M38" i="3"/>
  <c r="M35" i="3"/>
  <c r="M14" i="3"/>
  <c r="M13" i="3"/>
  <c r="M21" i="3"/>
  <c r="M56" i="3"/>
  <c r="M33" i="3"/>
  <c r="M27" i="3"/>
  <c r="M22" i="3"/>
  <c r="M24" i="3"/>
  <c r="M26" i="3"/>
  <c r="M9" i="3"/>
  <c r="M34" i="3"/>
  <c r="M42" i="3"/>
  <c r="M29" i="3"/>
  <c r="M46" i="3"/>
  <c r="M17" i="3"/>
  <c r="M12" i="3"/>
  <c r="M50" i="3"/>
  <c r="M63" i="3"/>
  <c r="M8" i="3"/>
  <c r="M55" i="3"/>
  <c r="M16" i="3"/>
  <c r="M39" i="3"/>
  <c r="M44" i="3"/>
  <c r="M49" i="3"/>
  <c r="M15" i="3"/>
  <c r="M54" i="3"/>
  <c r="M40" i="3"/>
  <c r="M45" i="3"/>
  <c r="M30" i="3"/>
  <c r="M25" i="3"/>
  <c r="M10" i="3"/>
  <c r="M47" i="3"/>
  <c r="M57" i="3"/>
  <c r="M52" i="3"/>
  <c r="M51" i="3"/>
  <c r="M36" i="3"/>
  <c r="M19" i="3"/>
  <c r="M32" i="3"/>
  <c r="M31" i="3"/>
  <c r="M53" i="3"/>
  <c r="M41" i="3"/>
  <c r="M37" i="3"/>
  <c r="M20" i="3"/>
  <c r="M43" i="3"/>
  <c r="M62" i="3"/>
  <c r="M58" i="3"/>
  <c r="M59" i="3"/>
  <c r="M60" i="3"/>
  <c r="E1592" i="23"/>
  <c r="C220" i="19"/>
  <c r="H220" i="19" s="1"/>
  <c r="G220" i="19" s="1"/>
  <c r="K64" i="3"/>
  <c r="E1760" i="23"/>
  <c r="C376" i="19"/>
  <c r="H376" i="19" s="1"/>
  <c r="G376" i="19" s="1"/>
  <c r="K64" i="4"/>
  <c r="D1473" i="23"/>
  <c r="R60" i="2"/>
  <c r="E1305" i="23"/>
  <c r="L53" i="2"/>
  <c r="L43" i="2"/>
  <c r="L35" i="2"/>
  <c r="L19" i="2"/>
  <c r="L64" i="2"/>
  <c r="L50" i="2"/>
  <c r="L32" i="2"/>
  <c r="D112" i="19"/>
  <c r="I112" i="19" s="1"/>
  <c r="L60" i="2"/>
  <c r="L26" i="2"/>
  <c r="L16" i="2"/>
  <c r="L40" i="2"/>
  <c r="L51" i="2"/>
  <c r="L41" i="2"/>
  <c r="L33" i="2"/>
  <c r="L27" i="2"/>
  <c r="L17" i="2"/>
  <c r="L58" i="2"/>
  <c r="L48" i="2"/>
  <c r="L24" i="2"/>
  <c r="L30" i="2"/>
  <c r="L14" i="2"/>
  <c r="L52" i="2"/>
  <c r="L29" i="2"/>
  <c r="L20" i="2"/>
  <c r="L49" i="2"/>
  <c r="L28" i="2"/>
  <c r="L59" i="2"/>
  <c r="L21" i="2"/>
  <c r="L25" i="2"/>
  <c r="L22" i="2"/>
  <c r="L38" i="2"/>
  <c r="L11" i="2"/>
  <c r="L46" i="2"/>
  <c r="L56" i="2"/>
  <c r="L37" i="2"/>
  <c r="L13" i="2"/>
  <c r="L44" i="2"/>
  <c r="L65" i="2"/>
  <c r="L45" i="2"/>
  <c r="L34" i="2"/>
  <c r="L23" i="2"/>
  <c r="L18" i="2"/>
  <c r="L55" i="2"/>
  <c r="L31" i="2"/>
  <c r="L47" i="2"/>
  <c r="L39" i="2"/>
  <c r="L36" i="2"/>
  <c r="L15" i="2"/>
  <c r="L57" i="2"/>
  <c r="L62" i="2"/>
  <c r="L67" i="2"/>
  <c r="L54" i="2"/>
  <c r="L42" i="2"/>
  <c r="L12" i="2"/>
  <c r="G112" i="19" l="1"/>
  <c r="D2838" i="23"/>
  <c r="I21" i="16"/>
  <c r="J21" i="16" s="1"/>
  <c r="D1305" i="23"/>
  <c r="C111" i="19"/>
  <c r="H111" i="19" s="1"/>
  <c r="D111" i="19"/>
  <c r="I111" i="19" s="1"/>
  <c r="I53" i="2"/>
  <c r="I43" i="2"/>
  <c r="I35" i="2"/>
  <c r="I56" i="2"/>
  <c r="I46" i="2"/>
  <c r="I22" i="2"/>
  <c r="I12" i="2"/>
  <c r="I19" i="2"/>
  <c r="I54" i="2"/>
  <c r="I44" i="2"/>
  <c r="I38" i="2"/>
  <c r="I36" i="2"/>
  <c r="I20" i="2"/>
  <c r="I59" i="2"/>
  <c r="I50" i="2"/>
  <c r="I65" i="2"/>
  <c r="I41" i="2"/>
  <c r="I47" i="2"/>
  <c r="I26" i="2"/>
  <c r="I62" i="2"/>
  <c r="I30" i="2"/>
  <c r="I14" i="2"/>
  <c r="I15" i="2"/>
  <c r="I17" i="2"/>
  <c r="I57" i="2"/>
  <c r="I49" i="2"/>
  <c r="I27" i="2"/>
  <c r="I67" i="2"/>
  <c r="I24" i="2"/>
  <c r="I32" i="2"/>
  <c r="I60" i="2"/>
  <c r="I55" i="2"/>
  <c r="I28" i="2"/>
  <c r="I52" i="2"/>
  <c r="I51" i="2"/>
  <c r="I11" i="2"/>
  <c r="I16" i="2"/>
  <c r="I48" i="2"/>
  <c r="I29" i="2"/>
  <c r="I21" i="2"/>
  <c r="I40" i="2"/>
  <c r="I37" i="2"/>
  <c r="I23" i="2"/>
  <c r="I31" i="2"/>
  <c r="I33" i="2"/>
  <c r="I58" i="2"/>
  <c r="I13" i="2"/>
  <c r="I45" i="2"/>
  <c r="I34" i="2"/>
  <c r="I18" i="2"/>
  <c r="I64" i="2"/>
  <c r="I42" i="2"/>
  <c r="I39" i="2"/>
  <c r="I25" i="2"/>
  <c r="E13" i="23"/>
  <c r="D13" i="23"/>
  <c r="D2825" i="23"/>
  <c r="G79" i="16"/>
  <c r="D1760" i="23"/>
  <c r="I64" i="4"/>
  <c r="C335" i="19"/>
  <c r="H335" i="19" s="1"/>
  <c r="G335" i="19" s="1"/>
  <c r="E2892" i="23"/>
  <c r="D1813" i="23"/>
  <c r="C383" i="19"/>
  <c r="H383" i="19" s="1"/>
  <c r="G383" i="19" s="1"/>
  <c r="M64" i="4"/>
  <c r="D1648" i="23"/>
  <c r="L64" i="3"/>
  <c r="M61" i="3"/>
  <c r="E1530" i="23"/>
  <c r="G61" i="3"/>
  <c r="F64" i="3"/>
  <c r="D1476" i="23"/>
  <c r="E7" i="3"/>
  <c r="E5" i="3"/>
  <c r="M5" i="2"/>
  <c r="D61" i="3"/>
  <c r="E47" i="3"/>
  <c r="E21" i="3"/>
  <c r="E33" i="3"/>
  <c r="E34" i="3"/>
  <c r="E12" i="3"/>
  <c r="E23" i="3"/>
  <c r="E56" i="3"/>
  <c r="E46" i="3"/>
  <c r="E40" i="3"/>
  <c r="E25" i="3"/>
  <c r="E8" i="3"/>
  <c r="E29" i="3"/>
  <c r="E27" i="3"/>
  <c r="E57" i="3"/>
  <c r="E51" i="3"/>
  <c r="E41" i="3"/>
  <c r="E13" i="3"/>
  <c r="E42" i="3"/>
  <c r="E50" i="3"/>
  <c r="E49" i="3"/>
  <c r="E54" i="3"/>
  <c r="E15" i="3"/>
  <c r="E38" i="3"/>
  <c r="E48" i="3"/>
  <c r="E14" i="3"/>
  <c r="E53" i="3"/>
  <c r="E39" i="3"/>
  <c r="E19" i="3"/>
  <c r="E44" i="3"/>
  <c r="E24" i="3"/>
  <c r="E36" i="3"/>
  <c r="E63" i="3"/>
  <c r="E17" i="3"/>
  <c r="E55" i="3"/>
  <c r="E18" i="3"/>
  <c r="E26" i="3"/>
  <c r="E22" i="3"/>
  <c r="E35" i="3"/>
  <c r="E30" i="3"/>
  <c r="E31" i="3"/>
  <c r="E32" i="3"/>
  <c r="E16" i="3"/>
  <c r="E45" i="3"/>
  <c r="E37" i="3"/>
  <c r="E9" i="3"/>
  <c r="E11" i="3"/>
  <c r="E43" i="3"/>
  <c r="E10" i="3"/>
  <c r="E52" i="3"/>
  <c r="E20" i="3"/>
  <c r="E58" i="3"/>
  <c r="E62" i="3"/>
  <c r="E59" i="3"/>
  <c r="E60" i="3"/>
  <c r="E1267" i="23"/>
  <c r="D1267" i="23"/>
  <c r="H86" i="17"/>
  <c r="H88" i="17" s="1"/>
  <c r="H100" i="17" s="1"/>
  <c r="D71" i="19"/>
  <c r="C71" i="19"/>
  <c r="E1651" i="23"/>
  <c r="C271" i="19"/>
  <c r="H271" i="19" s="1"/>
  <c r="G271" i="19" s="1"/>
  <c r="O64" i="3"/>
  <c r="E1370" i="23"/>
  <c r="P5" i="2"/>
  <c r="J5" i="2"/>
  <c r="O61" i="2"/>
  <c r="P49" i="2"/>
  <c r="P30" i="2"/>
  <c r="P53" i="2"/>
  <c r="P27" i="2"/>
  <c r="P15" i="2"/>
  <c r="P14" i="2"/>
  <c r="P33" i="2"/>
  <c r="P35" i="2"/>
  <c r="P8" i="2"/>
  <c r="P26" i="2"/>
  <c r="P31" i="2"/>
  <c r="P41" i="2"/>
  <c r="P48" i="2"/>
  <c r="P17" i="2"/>
  <c r="P40" i="2"/>
  <c r="P9" i="2"/>
  <c r="P34" i="2"/>
  <c r="P37" i="2"/>
  <c r="P24" i="2"/>
  <c r="P54" i="2"/>
  <c r="P50" i="2"/>
  <c r="P23" i="2"/>
  <c r="P19" i="2"/>
  <c r="P56" i="2"/>
  <c r="P44" i="2"/>
  <c r="P36" i="2"/>
  <c r="P38" i="2"/>
  <c r="P21" i="2"/>
  <c r="P46" i="2"/>
  <c r="P51" i="2"/>
  <c r="P32" i="2"/>
  <c r="P29" i="2"/>
  <c r="P12" i="2"/>
  <c r="P42" i="2"/>
  <c r="P16" i="2"/>
  <c r="P39" i="2"/>
  <c r="P7" i="2"/>
  <c r="P57" i="2"/>
  <c r="P47" i="2"/>
  <c r="P22" i="2"/>
  <c r="P13" i="2"/>
  <c r="P55" i="2"/>
  <c r="P18" i="2"/>
  <c r="P11" i="2"/>
  <c r="P45" i="2"/>
  <c r="P25" i="2"/>
  <c r="P52" i="2"/>
  <c r="P20" i="2"/>
  <c r="P43" i="2"/>
  <c r="P10" i="2"/>
  <c r="P58" i="2"/>
  <c r="P59" i="2"/>
  <c r="P60" i="2"/>
  <c r="E2841" i="23"/>
  <c r="N79" i="16"/>
  <c r="E2947" i="23" s="1"/>
  <c r="K5" i="2" l="1"/>
  <c r="L5" i="2"/>
  <c r="O79" i="16"/>
  <c r="G111" i="19"/>
  <c r="E1533" i="23"/>
  <c r="C166" i="19"/>
  <c r="H166" i="19" s="1"/>
  <c r="G166" i="19" s="1"/>
  <c r="G64" i="3"/>
  <c r="D2841" i="23"/>
  <c r="I79" i="16"/>
  <c r="D2947" i="23" s="1"/>
  <c r="D1651" i="23"/>
  <c r="C229" i="19"/>
  <c r="H229" i="19" s="1"/>
  <c r="G229" i="19" s="1"/>
  <c r="M64" i="3"/>
  <c r="E1424" i="23"/>
  <c r="P61" i="2"/>
  <c r="D1370" i="23"/>
  <c r="G5" i="2"/>
  <c r="M61" i="2"/>
  <c r="N5" i="2"/>
  <c r="N39" i="2"/>
  <c r="N15" i="2"/>
  <c r="N49" i="2"/>
  <c r="N24" i="2"/>
  <c r="N42" i="2"/>
  <c r="N14" i="2"/>
  <c r="N40" i="2"/>
  <c r="N21" i="2"/>
  <c r="N46" i="2"/>
  <c r="N47" i="2"/>
  <c r="N38" i="2"/>
  <c r="N50" i="2"/>
  <c r="N53" i="2"/>
  <c r="N51" i="2"/>
  <c r="N23" i="2"/>
  <c r="N12" i="2"/>
  <c r="N48" i="2"/>
  <c r="N44" i="2"/>
  <c r="N25" i="2"/>
  <c r="N13" i="2"/>
  <c r="N56" i="2"/>
  <c r="N54" i="2"/>
  <c r="N7" i="2"/>
  <c r="N30" i="2"/>
  <c r="N27" i="2"/>
  <c r="N43" i="2"/>
  <c r="N45" i="2"/>
  <c r="N11" i="2"/>
  <c r="N16" i="2"/>
  <c r="N29" i="2"/>
  <c r="N37" i="2"/>
  <c r="N41" i="2"/>
  <c r="N33" i="2"/>
  <c r="N18" i="2"/>
  <c r="N26" i="2"/>
  <c r="N9" i="2"/>
  <c r="N17" i="2"/>
  <c r="N55" i="2"/>
  <c r="N22" i="2"/>
  <c r="N34" i="2"/>
  <c r="N31" i="2"/>
  <c r="N32" i="2"/>
  <c r="N8" i="2"/>
  <c r="N19" i="2"/>
  <c r="N35" i="2"/>
  <c r="N57" i="2"/>
  <c r="N36" i="2"/>
  <c r="N10" i="2"/>
  <c r="N52" i="2"/>
  <c r="N20" i="2"/>
  <c r="N58" i="2"/>
  <c r="N59" i="2"/>
  <c r="N60" i="2"/>
  <c r="I71" i="19"/>
  <c r="E1306" i="23"/>
  <c r="F102" i="17"/>
  <c r="H109" i="17" s="1"/>
  <c r="H110" i="17" s="1"/>
  <c r="H111" i="17" s="1"/>
  <c r="C65" i="17" s="1"/>
  <c r="K64" i="2"/>
  <c r="K60" i="2"/>
  <c r="K40" i="2"/>
  <c r="K53" i="2"/>
  <c r="K43" i="2"/>
  <c r="K35" i="2"/>
  <c r="K19" i="2"/>
  <c r="K26" i="2"/>
  <c r="K16" i="2"/>
  <c r="K10" i="2"/>
  <c r="K8" i="2"/>
  <c r="K50" i="2"/>
  <c r="K32" i="2"/>
  <c r="K61" i="2"/>
  <c r="K51" i="2"/>
  <c r="K41" i="2"/>
  <c r="K33" i="2"/>
  <c r="K27" i="2"/>
  <c r="K17" i="2"/>
  <c r="J61" i="2"/>
  <c r="L61" i="2" s="1"/>
  <c r="S45" i="4"/>
  <c r="S24" i="4"/>
  <c r="K18" i="2"/>
  <c r="K52" i="2"/>
  <c r="K15" i="2"/>
  <c r="S51" i="4"/>
  <c r="K67" i="2"/>
  <c r="K54" i="2"/>
  <c r="K22" i="2"/>
  <c r="K14" i="2"/>
  <c r="K24" i="2"/>
  <c r="K11" i="2"/>
  <c r="K7" i="2"/>
  <c r="K56" i="2"/>
  <c r="K21" i="2"/>
  <c r="K44" i="2"/>
  <c r="K12" i="2"/>
  <c r="S55" i="4"/>
  <c r="K38" i="2"/>
  <c r="K59" i="2"/>
  <c r="K46" i="2"/>
  <c r="K48" i="2"/>
  <c r="K29" i="2"/>
  <c r="K36" i="2"/>
  <c r="K57" i="2"/>
  <c r="K25" i="2"/>
  <c r="K58" i="2"/>
  <c r="K37" i="2"/>
  <c r="K13" i="2"/>
  <c r="K65" i="2"/>
  <c r="K45" i="2"/>
  <c r="S56" i="4"/>
  <c r="S48" i="4"/>
  <c r="K55" i="2"/>
  <c r="K28" i="2"/>
  <c r="S35" i="4"/>
  <c r="K42" i="2"/>
  <c r="K47" i="2"/>
  <c r="K39" i="2"/>
  <c r="K20" i="2"/>
  <c r="K9" i="2"/>
  <c r="K49" i="2"/>
  <c r="K34" i="2"/>
  <c r="K23" i="2"/>
  <c r="K31" i="2"/>
  <c r="K62" i="2"/>
  <c r="K30" i="2"/>
  <c r="S14" i="4"/>
  <c r="S53" i="4"/>
  <c r="S21" i="4"/>
  <c r="S19" i="4"/>
  <c r="S23" i="4"/>
  <c r="S33" i="4"/>
  <c r="S13" i="4"/>
  <c r="S50" i="4"/>
  <c r="S46" i="4"/>
  <c r="S18" i="4"/>
  <c r="S31" i="4"/>
  <c r="S11" i="4"/>
  <c r="S54" i="4"/>
  <c r="S27" i="4"/>
  <c r="S17" i="4"/>
  <c r="S32" i="4"/>
  <c r="S40" i="4"/>
  <c r="S44" i="4"/>
  <c r="S41" i="4"/>
  <c r="S47" i="4"/>
  <c r="S38" i="4"/>
  <c r="S49" i="4"/>
  <c r="S57" i="4"/>
  <c r="S22" i="4"/>
  <c r="S16" i="4"/>
  <c r="S26" i="4"/>
  <c r="S12" i="4"/>
  <c r="S15" i="4"/>
  <c r="S25" i="4"/>
  <c r="S30" i="4"/>
  <c r="S29" i="4"/>
  <c r="S34" i="4"/>
  <c r="S42" i="4"/>
  <c r="S52" i="4"/>
  <c r="S20" i="4"/>
  <c r="S43" i="4"/>
  <c r="S58" i="4"/>
  <c r="S59" i="4"/>
  <c r="S60" i="4"/>
  <c r="S63" i="4"/>
  <c r="D2892" i="23"/>
  <c r="H71" i="19"/>
  <c r="D1530" i="23"/>
  <c r="D64" i="3"/>
  <c r="E61" i="3"/>
  <c r="D1069" i="23" l="1"/>
  <c r="E1069" i="23"/>
  <c r="H5" i="2"/>
  <c r="I5" i="2"/>
  <c r="J79" i="16"/>
  <c r="E1361" i="23"/>
  <c r="J63" i="2"/>
  <c r="D1533" i="23"/>
  <c r="C124" i="19"/>
  <c r="H124" i="19" s="1"/>
  <c r="G124" i="19" s="1"/>
  <c r="E64" i="3"/>
  <c r="D1424" i="23"/>
  <c r="N61" i="2"/>
  <c r="D1306" i="23"/>
  <c r="F2524" i="22"/>
  <c r="H65" i="2"/>
  <c r="H59" i="2"/>
  <c r="H49" i="2"/>
  <c r="H37" i="2"/>
  <c r="H31" i="2"/>
  <c r="H25" i="2"/>
  <c r="H15" i="2"/>
  <c r="H56" i="2"/>
  <c r="H46" i="2"/>
  <c r="H22" i="2"/>
  <c r="H12" i="2"/>
  <c r="H67" i="2"/>
  <c r="H57" i="2"/>
  <c r="H47" i="2"/>
  <c r="H29" i="2"/>
  <c r="H23" i="2"/>
  <c r="H13" i="2"/>
  <c r="H44" i="2"/>
  <c r="H20" i="2"/>
  <c r="H54" i="2"/>
  <c r="H38" i="2"/>
  <c r="H36" i="2"/>
  <c r="Q15" i="4"/>
  <c r="H34" i="2"/>
  <c r="H16" i="2"/>
  <c r="G61" i="2"/>
  <c r="I61" i="2" s="1"/>
  <c r="H50" i="2"/>
  <c r="H58" i="2"/>
  <c r="H19" i="2"/>
  <c r="H32" i="2"/>
  <c r="H39" i="2"/>
  <c r="H62" i="2"/>
  <c r="H41" i="2"/>
  <c r="H35" i="2"/>
  <c r="H30" i="2"/>
  <c r="Q47" i="4"/>
  <c r="H27" i="2"/>
  <c r="H8" i="2"/>
  <c r="H14" i="2"/>
  <c r="H51" i="2"/>
  <c r="H24" i="2"/>
  <c r="H43" i="2"/>
  <c r="H33" i="2"/>
  <c r="H52" i="2"/>
  <c r="H17" i="2"/>
  <c r="H9" i="2"/>
  <c r="H11" i="2"/>
  <c r="H7" i="2"/>
  <c r="H48" i="2"/>
  <c r="H45" i="2"/>
  <c r="H18" i="2"/>
  <c r="Q29" i="4"/>
  <c r="H60" i="2"/>
  <c r="H55" i="2"/>
  <c r="H42" i="2"/>
  <c r="H53" i="2"/>
  <c r="H26" i="2"/>
  <c r="H21" i="2"/>
  <c r="H40" i="2"/>
  <c r="H10" i="2"/>
  <c r="H64" i="2"/>
  <c r="H28" i="2"/>
  <c r="Q44" i="4"/>
  <c r="Q50" i="4"/>
  <c r="Q17" i="4"/>
  <c r="Q25" i="4"/>
  <c r="Q27" i="4"/>
  <c r="Q54" i="4"/>
  <c r="Q13" i="4"/>
  <c r="Q12" i="4"/>
  <c r="Q40" i="4"/>
  <c r="Q42" i="4"/>
  <c r="Q23" i="4"/>
  <c r="Q31" i="4"/>
  <c r="Q49" i="4"/>
  <c r="Q22" i="4"/>
  <c r="Q34" i="4"/>
  <c r="Q45" i="4"/>
  <c r="Q32" i="4"/>
  <c r="Q57" i="4"/>
  <c r="Q38" i="4"/>
  <c r="Q55" i="4"/>
  <c r="Q48" i="4"/>
  <c r="Q11" i="4"/>
  <c r="Q14" i="4"/>
  <c r="Q18" i="4"/>
  <c r="Q19" i="4"/>
  <c r="Q56" i="4"/>
  <c r="Q21" i="4"/>
  <c r="Q35" i="4"/>
  <c r="Q33" i="4"/>
  <c r="Q30" i="4"/>
  <c r="Q52" i="4"/>
  <c r="Q46" i="4"/>
  <c r="Q16" i="4"/>
  <c r="Q26" i="4"/>
  <c r="Q41" i="4"/>
  <c r="Q53" i="4"/>
  <c r="Q51" i="4"/>
  <c r="Q24" i="4"/>
  <c r="Q43" i="4"/>
  <c r="Q58" i="4"/>
  <c r="Q20" i="4"/>
  <c r="Q59" i="4"/>
  <c r="Q60" i="4"/>
  <c r="Q63" i="4"/>
  <c r="G71" i="19"/>
  <c r="H61" i="2" l="1"/>
  <c r="L63" i="2"/>
  <c r="K63" i="2"/>
  <c r="D1361" i="23"/>
  <c r="F2526" i="22"/>
  <c r="G63" i="2"/>
  <c r="E1363" i="23"/>
  <c r="N86" i="17"/>
  <c r="J66" i="2"/>
  <c r="L66" i="2" l="1"/>
  <c r="K66" i="2"/>
  <c r="I63" i="2"/>
  <c r="H63" i="2"/>
  <c r="D1363" i="23"/>
  <c r="G66" i="2"/>
  <c r="E1366" i="23"/>
  <c r="J68" i="2"/>
  <c r="L68" i="2" l="1"/>
  <c r="K68" i="2"/>
  <c r="I66" i="2"/>
  <c r="H66" i="2"/>
  <c r="E1368" i="23"/>
  <c r="R66" i="1"/>
  <c r="D1366" i="23"/>
  <c r="G68" i="2"/>
  <c r="AP21" i="22" l="1"/>
  <c r="N56" i="1" s="1"/>
  <c r="I68" i="2"/>
  <c r="H68" i="2"/>
  <c r="D1368" i="23"/>
  <c r="F2522" i="22"/>
  <c r="F2528" i="22"/>
  <c r="AP18" i="22"/>
  <c r="N53" i="1" s="1"/>
  <c r="N65" i="1" s="1"/>
  <c r="E1302" i="23"/>
  <c r="D1302" i="23"/>
  <c r="M91" i="17"/>
  <c r="R64" i="1"/>
  <c r="E1301" i="23" l="1"/>
  <c r="D1301" i="23"/>
  <c r="C109" i="19"/>
  <c r="R67" i="1"/>
  <c r="E1303" i="23" l="1"/>
  <c r="D1303" i="23"/>
  <c r="M89" i="17"/>
  <c r="N92" i="17" s="1"/>
  <c r="N94" i="17" s="1"/>
  <c r="C60" i="17" s="1"/>
  <c r="R68" i="1"/>
  <c r="H109" i="19"/>
  <c r="G109" i="19" s="1"/>
  <c r="E1304" i="23" l="1"/>
  <c r="D1304" i="23"/>
  <c r="C110" i="19"/>
  <c r="D110" i="19"/>
  <c r="D1070" i="23"/>
  <c r="E1070" i="23"/>
  <c r="I110" i="19" l="1"/>
  <c r="D2681" i="19"/>
  <c r="D2682" i="19" s="1"/>
  <c r="H110" i="19"/>
  <c r="G110" i="19" s="1"/>
  <c r="C2681" i="19"/>
  <c r="C2682" i="19" s="1"/>
  <c r="C2683" i="19" l="1"/>
  <c r="K2" i="20" l="1"/>
  <c r="A2685" i="19"/>
  <c r="D2684" i="19"/>
  <c r="K5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I10" authorId="0" shapeId="0" xr:uid="{E6F7A1AE-3511-4002-9F37-9D5A3D6E3FB3}">
      <text>
        <r>
          <rPr>
            <sz val="9"/>
            <color indexed="81"/>
            <rFont val="Tahoma"/>
            <family val="2"/>
          </rPr>
          <t>No.de ref. du commentaire.: Page1, Ligne 7 [Page1!I10]  - ENCAISSE 
--- Un solde de clôture d'un compte de l'actif DEVRAIT ÊTRE supérieur ou égal à zéro (0) !
*** 100,0 Points de précision seront déduits suite à cette(ces) erreur(s) !</t>
        </r>
      </text>
    </comment>
    <comment ref="R11" authorId="0" shapeId="0" xr:uid="{F9077B76-D249-4EBD-A602-3C34608C0928}">
      <text>
        <r>
          <rPr>
            <sz val="9"/>
            <color indexed="81"/>
            <rFont val="Tahoma"/>
            <family val="2"/>
          </rPr>
          <t>No.de ref. du commentaire.: Page1, Ligne 8 [Page1!R11]  - COMPTES À PAYER - FOURNISSEURS 
--- Un solde de clôture d'un compte du passif DEVRAIT ÊTRE supérieur ou égal à zéro (0) !
*** 100,0 Points de précision seront déduits suite à cette(ces) erreur(s) !</t>
        </r>
      </text>
    </comment>
    <comment ref="R21" authorId="0" shapeId="0" xr:uid="{2DAB4D47-D0AB-46BB-AD6E-1902BBF88607}">
      <text>
        <r>
          <rPr>
            <sz val="9"/>
            <color indexed="81"/>
            <rFont val="Tahoma"/>
            <family val="2"/>
          </rPr>
          <t>No.de ref. du commentaire.: Page1, Ligne 18 [Page1!R21]  - T.P.S. À PAYER 
--- Un solde de clôture d'un compte du passif DEVRAIT ÊTRE supérieur ou égal à zéro (0) !
*** 100,0 Points de précision seront déduits suite à cette(ces) erreur(s) !</t>
        </r>
      </text>
    </comment>
    <comment ref="R39" authorId="0" shapeId="0" xr:uid="{30A35D88-B6D2-441E-80A3-833ABD108841}">
      <text>
        <r>
          <rPr>
            <sz val="9"/>
            <color indexed="81"/>
            <rFont val="Tahoma"/>
            <family val="2"/>
          </rPr>
          <t>No.de ref. du commentaire.: Page1, Ligne 36 [Page1!R39]  - TAXES DIFFÉRÉES 
--- Un solde de clôture d'un compte du passif DEVRAIT ÊTRE supérieur ou égal à zéro (0) !
*** 100,0 Points de précision seront déduits suite à cette(ces) erreur(s) !</t>
        </r>
      </text>
    </comment>
    <comment ref="I40" authorId="0" shapeId="0" xr:uid="{D4D49EBD-A4C5-452C-ACE2-52ABA77A4A4D}">
      <text>
        <r>
          <rPr>
            <sz val="9"/>
            <color indexed="81"/>
            <rFont val="Tahoma"/>
            <family val="2"/>
          </rPr>
          <t>No.de ref. du commentaire.: Page1, Ligne 37 [Page1!I40]  - FRAIS PAYÉS D'AVANCE : IMPÔTS 
--- Les frais payés d'avance représentent PLUS DE 12 mois de frais mensuels moyens courants! CETTE ERREUR NE REPRÉSENTE QU'UNE OBSERVATION.  AUCUN POINT NE SERA DÉDUIT ET AUCUN COMPTE D'ERREUR NE SERA ENREGISTRÉ!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K37" authorId="0" shapeId="0" xr:uid="{664AE658-E599-4A3C-A5CB-C1E1B80787EE}">
      <text>
        <r>
          <rPr>
            <sz val="9"/>
            <color indexed="81"/>
            <rFont val="Tahoma"/>
            <family val="2"/>
          </rPr>
          <t>No.de ref. du commentaire.: Page7, Ligne 34 [Page7!K37]  - TOTAL AUTOS D'OCCASION EN STOCK 
--- L'information à la page 7 ne concorde pas avec l'information à la page 1.  La différence est de    (2 000 $)
*** 600,0 Points de précision seront déduits suite à cette(ces) erreur(s) !</t>
        </r>
      </text>
    </comment>
  </commentList>
</comments>
</file>

<file path=xl/sharedStrings.xml><?xml version="1.0" encoding="utf-8"?>
<sst xmlns="http://schemas.openxmlformats.org/spreadsheetml/2006/main" count="51174" uniqueCount="15737">
  <si>
    <t>OPÉRATIONS FIXES - PROFITABILITÉ</t>
  </si>
  <si>
    <t>#</t>
  </si>
  <si>
    <t>MÉCANIQUE (05)</t>
  </si>
  <si>
    <t>CARROSSERIE (06)</t>
  </si>
  <si>
    <t xml:space="preserve"> PIÈCES ET ACCESSOIRES (07)</t>
  </si>
  <si>
    <t>ADMINISTRATION GÉNÉRALE (09)</t>
  </si>
  <si>
    <t>ligne</t>
  </si>
  <si>
    <t>MOIS</t>
  </si>
  <si>
    <t>CUMUL ANNUEL À CE JOUR</t>
  </si>
  <si>
    <t>VENTES NETTES</t>
  </si>
  <si>
    <t>% vent</t>
  </si>
  <si>
    <t>% vent.</t>
  </si>
  <si>
    <t>PROFIT BRUT / REVENU</t>
  </si>
  <si>
    <t>DÉPENSES</t>
  </si>
  <si>
    <t>RÉMUNÉRATION VENDEURS VÉH. &amp; AUTRES</t>
  </si>
  <si>
    <t>FRAIS DE LIVRAISON</t>
  </si>
  <si>
    <t>TRAVAUX À TITRE GRACIEUX VÉHICULES</t>
  </si>
  <si>
    <t>% p.b.</t>
  </si>
  <si>
    <t>TOTAL FRAIS VARIABLES</t>
  </si>
  <si>
    <t>total</t>
  </si>
  <si>
    <t>RÉMUNÉRATION - PROPR./DIR. GÉNÉRAL</t>
  </si>
  <si>
    <t>RÉMUNÉRATION - CADRES</t>
  </si>
  <si>
    <t>RÉMUNÉRATION - EMPLOYÉS DE BUREAU</t>
  </si>
  <si>
    <t>RÉMUNÉRATION - AUTRES</t>
  </si>
  <si>
    <t>ABSENCES RÉMUNÉRÉES</t>
  </si>
  <si>
    <t>PRIMES DE RENDEMENT - CADRES</t>
  </si>
  <si>
    <t>IMPÔTS RETENUS À LA SOURCE</t>
  </si>
  <si>
    <t>AVANTAGES SOCIAUX</t>
  </si>
  <si>
    <t>CAISSE DE RETRAITE</t>
  </si>
  <si>
    <t>TOTAL PERSONNEL</t>
  </si>
  <si>
    <t>VÉHICULES DE FONCTION</t>
  </si>
  <si>
    <t>FOURNITURES DE BUREAU</t>
  </si>
  <si>
    <t>FOURNITURES - AUTRES</t>
  </si>
  <si>
    <t>COMMERCE ÉLECTRONIQUE / PUBLICITÉ</t>
  </si>
  <si>
    <t>PUBLICITÉ</t>
  </si>
  <si>
    <t>RISTOURNES DE PUBLICITÉ</t>
  </si>
  <si>
    <t>CONTRIBUTIONS</t>
  </si>
  <si>
    <t>TRAV GRACIEUX - PIÈCES ET MAIN-D'ŒUVRE</t>
  </si>
  <si>
    <t>SERVICES EXTÉRIEURS - INFORMATIQUE</t>
  </si>
  <si>
    <t>SERVICES EXTÉRIEURS - AUTRES</t>
  </si>
  <si>
    <t>VOYAGES ET REPRÉSENTATION</t>
  </si>
  <si>
    <t>COTISATIONS, PUBLICATIONS ET ABONN</t>
  </si>
  <si>
    <t>CONTENTIEUX ET VÉRIFICATION</t>
  </si>
  <si>
    <t>TÉLÉPHONE</t>
  </si>
  <si>
    <t>FORMATION ET PERFECTIONNEMENT</t>
  </si>
  <si>
    <t>INTÉRÊT-FINANCEMENT DES STOCKS</t>
  </si>
  <si>
    <t>INTÉRÊT-CRÉDIT FINANCEMENT DES STOCKS</t>
  </si>
  <si>
    <t>INTÉRÊT-BILLETS À PAYER (AUTRE)</t>
  </si>
  <si>
    <t>ASSURANCE - STOCKS DE VÉHICULES</t>
  </si>
  <si>
    <t>FRAIS DE MAUVAISES CRÉANCES</t>
  </si>
  <si>
    <t>FRAIS DE POSTE ET DE TRANSPORT</t>
  </si>
  <si>
    <t>FRAIS DIVERS</t>
  </si>
  <si>
    <t>TOTAL SEMI-FIXES</t>
  </si>
  <si>
    <t>LOYER</t>
  </si>
  <si>
    <t>AMORTISSEMENT AMÉLIORATIONS LOCATIVES</t>
  </si>
  <si>
    <t>RÉPARATIONS AUX IMMEUBLES</t>
  </si>
  <si>
    <t>AMORTISSEMENT - BÂT. ET AMÉLIORATIONS</t>
  </si>
  <si>
    <t>IMPÔTS FONCIERS</t>
  </si>
  <si>
    <t>ASSURANCES - BÂT. ET AMÉLIORATIONS</t>
  </si>
  <si>
    <t>INTÉRÊTS - HYPOTHÈQUES</t>
  </si>
  <si>
    <t>CHAUFF, ÉCLAIRAGE, ÉLECTRICITÉ ET EAU</t>
  </si>
  <si>
    <t>TOTAL PARTIEL LOYER ET ÉQUIVALENT</t>
  </si>
  <si>
    <t>AUTRES ASSURANCES</t>
  </si>
  <si>
    <t>AUTRES TAXES</t>
  </si>
  <si>
    <t>RÉPARATIONS À L'ÉQUIPEMENT</t>
  </si>
  <si>
    <t>AMORTISSEMENT DE L'ÉQUIPEMENT</t>
  </si>
  <si>
    <t>LOCATION D'ÉQUIPEMENT</t>
  </si>
  <si>
    <t>TOTAL FIXE</t>
  </si>
  <si>
    <t>TOTAL FRAIS GÉNÉRAUX FIXES</t>
  </si>
  <si>
    <t>TOTAL DES DÉPENSES</t>
  </si>
  <si>
    <t>PROFIT OU PERTE DU SERVICE</t>
  </si>
  <si>
    <t>TRANSFERT PROFIT BRUT PIÈCES AU CLIENT</t>
  </si>
  <si>
    <t>PRORATA DES FRAIS D'ADMINIS. GÉNÉRALE</t>
  </si>
  <si>
    <t>PROFIT OU PERTE PAR SERVICE APRÈS PRORATA</t>
  </si>
  <si>
    <t>TAUX AFFICHÉS DE MAIN-D'ŒUVRE CLIENT - MÉCANIQUE</t>
  </si>
  <si>
    <t>VOIT. &amp; CAM LÉGERS</t>
  </si>
  <si>
    <t>CAM MOYENS / SAAB</t>
  </si>
  <si>
    <t>AUTRES TAUX AFFICHÉS DE MAIN-D'ŒUVRE</t>
  </si>
  <si>
    <t>MÉCANIQUE</t>
  </si>
  <si>
    <t>CARROSSERIE</t>
  </si>
  <si>
    <t>MAIN-D'ŒUVRE CLIENT</t>
  </si>
  <si>
    <t>GARANTIE</t>
  </si>
  <si>
    <t>MAIN-D'ŒUVRE CONTRAT PROLONGÉ DE SERVICE</t>
  </si>
  <si>
    <t>INTERNE</t>
  </si>
  <si>
    <t>MAIN-D'ŒUVRE SERVICE RAPIDE / GOODWRENCH</t>
  </si>
  <si>
    <t>CARROSSERIE - MAIN-D'ŒUVRE PEINTURE</t>
  </si>
  <si>
    <t>CARROSSERIE - MAIN-D'ŒUVRE CARROSSERIE</t>
  </si>
  <si>
    <t>HIDE %Sls/Grs</t>
  </si>
  <si>
    <t>=</t>
  </si>
  <si>
    <t>CACHER %Vente/%Brut</t>
  </si>
  <si>
    <t>DISPLAY % Sls/Grs</t>
  </si>
  <si>
    <t>AFFICHER %Vente/%Brut</t>
  </si>
  <si>
    <t>ANALYSE DES VENTES ET DU PROFIT BRUT DE VÉHICULES NEUFS</t>
  </si>
  <si>
    <t>Per Unit</t>
  </si>
  <si>
    <t>Month</t>
  </si>
  <si>
    <t>YTD</t>
  </si>
  <si>
    <t>OPÉRATIONS</t>
  </si>
  <si>
    <t>NO. DE</t>
  </si>
  <si>
    <t>Sales</t>
  </si>
  <si>
    <t>Unit</t>
  </si>
  <si>
    <t>VARIABLES</t>
  </si>
  <si>
    <t>CMPTE</t>
  </si>
  <si>
    <t>NOMBRE DE VÉH. VENDUS</t>
  </si>
  <si>
    <t>VENTES</t>
  </si>
  <si>
    <t>COÛT DES VENTES</t>
  </si>
  <si>
    <t>PROFIT BRUT</t>
  </si>
  <si>
    <t>PAR UNITÉ VENDUE</t>
  </si>
  <si>
    <t>Max</t>
  </si>
  <si>
    <t>Flag</t>
  </si>
  <si>
    <t>400A</t>
  </si>
  <si>
    <t>V</t>
  </si>
  <si>
    <t>401A</t>
  </si>
  <si>
    <t>O</t>
  </si>
  <si>
    <t>402A</t>
  </si>
  <si>
    <t>I</t>
  </si>
  <si>
    <t>403A</t>
  </si>
  <si>
    <t>T</t>
  </si>
  <si>
    <t>404A</t>
  </si>
  <si>
    <t>U</t>
  </si>
  <si>
    <t>405A</t>
  </si>
  <si>
    <t>R</t>
  </si>
  <si>
    <t>406A</t>
  </si>
  <si>
    <t>E</t>
  </si>
  <si>
    <t>407A</t>
  </si>
  <si>
    <t>S</t>
  </si>
  <si>
    <t>408A</t>
  </si>
  <si>
    <t>409A</t>
  </si>
  <si>
    <t>N</t>
  </si>
  <si>
    <t>410A</t>
  </si>
  <si>
    <t>411A</t>
  </si>
  <si>
    <t>412A</t>
  </si>
  <si>
    <t>413A</t>
  </si>
  <si>
    <t>414A</t>
  </si>
  <si>
    <t>415A</t>
  </si>
  <si>
    <t>416A</t>
  </si>
  <si>
    <t>417A</t>
  </si>
  <si>
    <t>418A</t>
  </si>
  <si>
    <t>TOTAL VOIT. NEUVES DÉTAIL</t>
  </si>
  <si>
    <t>419A</t>
  </si>
  <si>
    <t>DE PG PARCS</t>
  </si>
  <si>
    <t>421A</t>
  </si>
  <si>
    <t>TOTAL VOITURES NEUVES</t>
  </si>
  <si>
    <t>423A</t>
  </si>
  <si>
    <t>C</t>
  </si>
  <si>
    <t>424A</t>
  </si>
  <si>
    <t>A</t>
  </si>
  <si>
    <t>425A</t>
  </si>
  <si>
    <t>M</t>
  </si>
  <si>
    <t>426A</t>
  </si>
  <si>
    <t>427A</t>
  </si>
  <si>
    <t>428A</t>
  </si>
  <si>
    <t>429A</t>
  </si>
  <si>
    <t>430A</t>
  </si>
  <si>
    <t>431A</t>
  </si>
  <si>
    <t>432A</t>
  </si>
  <si>
    <t>433A</t>
  </si>
  <si>
    <t>434A</t>
  </si>
  <si>
    <t>F</t>
  </si>
  <si>
    <t>435A</t>
  </si>
  <si>
    <t>436A</t>
  </si>
  <si>
    <t>437A</t>
  </si>
  <si>
    <t>438A</t>
  </si>
  <si>
    <t>TOTAL CAM. NEUFS DÉTAIL</t>
  </si>
  <si>
    <t>439A</t>
  </si>
  <si>
    <t>441A</t>
  </si>
  <si>
    <t>TOTAL CAMIONS NEUFS</t>
  </si>
  <si>
    <t xml:space="preserve"> </t>
  </si>
  <si>
    <t>457A</t>
  </si>
  <si>
    <t>TOTAL VÉHICULES NEUFS</t>
  </si>
  <si>
    <t>memo ventes internet, ventes parcs, ventes internes et accessoires ne se rapportent qu'à cette page</t>
  </si>
  <si>
    <t>PUNV</t>
  </si>
  <si>
    <t>HIDE C.O.S.</t>
  </si>
  <si>
    <t>CACHER le Coût des Ventes</t>
  </si>
  <si>
    <t>DISPLAY C.O.S.</t>
  </si>
  <si>
    <t>AFFICHER le Coût des Ventes</t>
  </si>
  <si>
    <t>400B</t>
  </si>
  <si>
    <t>401B</t>
  </si>
  <si>
    <t>402B</t>
  </si>
  <si>
    <t>403B</t>
  </si>
  <si>
    <t>404B</t>
  </si>
  <si>
    <t>405B</t>
  </si>
  <si>
    <t>406B</t>
  </si>
  <si>
    <t>407B</t>
  </si>
  <si>
    <t>408B</t>
  </si>
  <si>
    <t>409B</t>
  </si>
  <si>
    <t>410B</t>
  </si>
  <si>
    <t>411B</t>
  </si>
  <si>
    <t>412B</t>
  </si>
  <si>
    <t>413B</t>
  </si>
  <si>
    <t>414B</t>
  </si>
  <si>
    <t>415B</t>
  </si>
  <si>
    <t>416B</t>
  </si>
  <si>
    <t>417B</t>
  </si>
  <si>
    <t>418B</t>
  </si>
  <si>
    <t>419B</t>
  </si>
  <si>
    <t>421B</t>
  </si>
  <si>
    <t>423B</t>
  </si>
  <si>
    <t>424B</t>
  </si>
  <si>
    <t>425B</t>
  </si>
  <si>
    <t>426B</t>
  </si>
  <si>
    <t>427B</t>
  </si>
  <si>
    <t>428B</t>
  </si>
  <si>
    <t>429B</t>
  </si>
  <si>
    <t>430B</t>
  </si>
  <si>
    <t>431B</t>
  </si>
  <si>
    <t>432B</t>
  </si>
  <si>
    <t>433B</t>
  </si>
  <si>
    <t>434B</t>
  </si>
  <si>
    <t>435B</t>
  </si>
  <si>
    <t>436B</t>
  </si>
  <si>
    <t>437B</t>
  </si>
  <si>
    <t>438B</t>
  </si>
  <si>
    <t>439B</t>
  </si>
  <si>
    <t>441B</t>
  </si>
  <si>
    <t>457B</t>
  </si>
  <si>
    <t>400D</t>
  </si>
  <si>
    <t>401D</t>
  </si>
  <si>
    <t>402D</t>
  </si>
  <si>
    <t>403D</t>
  </si>
  <si>
    <t>404D</t>
  </si>
  <si>
    <t>405D</t>
  </si>
  <si>
    <t>406D</t>
  </si>
  <si>
    <t>407D</t>
  </si>
  <si>
    <t>408D</t>
  </si>
  <si>
    <t>409D</t>
  </si>
  <si>
    <t>410D</t>
  </si>
  <si>
    <t>411D</t>
  </si>
  <si>
    <t>412D</t>
  </si>
  <si>
    <t>413D</t>
  </si>
  <si>
    <t>414D</t>
  </si>
  <si>
    <t>415D</t>
  </si>
  <si>
    <t>416D</t>
  </si>
  <si>
    <t>417D</t>
  </si>
  <si>
    <t>418D</t>
  </si>
  <si>
    <t>419D</t>
  </si>
  <si>
    <t>421D</t>
  </si>
  <si>
    <t>423D</t>
  </si>
  <si>
    <t>424D</t>
  </si>
  <si>
    <t>425D</t>
  </si>
  <si>
    <t>426D</t>
  </si>
  <si>
    <t>427D</t>
  </si>
  <si>
    <t>428D</t>
  </si>
  <si>
    <t>429D</t>
  </si>
  <si>
    <t>430D</t>
  </si>
  <si>
    <t>431D</t>
  </si>
  <si>
    <t>432D</t>
  </si>
  <si>
    <t>433D</t>
  </si>
  <si>
    <t>434D</t>
  </si>
  <si>
    <t>435D</t>
  </si>
  <si>
    <t>436D</t>
  </si>
  <si>
    <t>437D</t>
  </si>
  <si>
    <t>438D</t>
  </si>
  <si>
    <t>439D</t>
  </si>
  <si>
    <t>441D</t>
  </si>
  <si>
    <t>457D</t>
  </si>
  <si>
    <t>400C</t>
  </si>
  <si>
    <t>401C</t>
  </si>
  <si>
    <t>402C</t>
  </si>
  <si>
    <t>403C</t>
  </si>
  <si>
    <t>404C</t>
  </si>
  <si>
    <t>405C</t>
  </si>
  <si>
    <t>406C</t>
  </si>
  <si>
    <t>407C</t>
  </si>
  <si>
    <t>408C</t>
  </si>
  <si>
    <t>409C</t>
  </si>
  <si>
    <t>410C</t>
  </si>
  <si>
    <t>411C</t>
  </si>
  <si>
    <t>412C</t>
  </si>
  <si>
    <t>413C</t>
  </si>
  <si>
    <t>414C</t>
  </si>
  <si>
    <t>415C</t>
  </si>
  <si>
    <t>416C</t>
  </si>
  <si>
    <t>417C</t>
  </si>
  <si>
    <t>418C</t>
  </si>
  <si>
    <t>419C</t>
  </si>
  <si>
    <t>421C</t>
  </si>
  <si>
    <t>423C</t>
  </si>
  <si>
    <t>424C</t>
  </si>
  <si>
    <t>425C</t>
  </si>
  <si>
    <t>426C</t>
  </si>
  <si>
    <t>427C</t>
  </si>
  <si>
    <t>428C</t>
  </si>
  <si>
    <t>429C</t>
  </si>
  <si>
    <t>430C</t>
  </si>
  <si>
    <t>431C</t>
  </si>
  <si>
    <t>432C</t>
  </si>
  <si>
    <t>433C</t>
  </si>
  <si>
    <t>434C</t>
  </si>
  <si>
    <t>435C</t>
  </si>
  <si>
    <t>436C</t>
  </si>
  <si>
    <t>437C</t>
  </si>
  <si>
    <t>438C</t>
  </si>
  <si>
    <t>439C</t>
  </si>
  <si>
    <t>441C</t>
  </si>
  <si>
    <t>457C</t>
  </si>
  <si>
    <t>400F</t>
  </si>
  <si>
    <t>401F</t>
  </si>
  <si>
    <t>402F</t>
  </si>
  <si>
    <t>403F</t>
  </si>
  <si>
    <t>404F</t>
  </si>
  <si>
    <t>405F</t>
  </si>
  <si>
    <t>406F</t>
  </si>
  <si>
    <t>407F</t>
  </si>
  <si>
    <t>408F</t>
  </si>
  <si>
    <t>409F</t>
  </si>
  <si>
    <t>410F</t>
  </si>
  <si>
    <t>411F</t>
  </si>
  <si>
    <t>412F</t>
  </si>
  <si>
    <t>413F</t>
  </si>
  <si>
    <t>414F</t>
  </si>
  <si>
    <t>415F</t>
  </si>
  <si>
    <t>416F</t>
  </si>
  <si>
    <t>417F</t>
  </si>
  <si>
    <t>418F</t>
  </si>
  <si>
    <t>419F</t>
  </si>
  <si>
    <t>421F</t>
  </si>
  <si>
    <t>423F</t>
  </si>
  <si>
    <t>424F</t>
  </si>
  <si>
    <t>425F</t>
  </si>
  <si>
    <t>426F</t>
  </si>
  <si>
    <t>427F</t>
  </si>
  <si>
    <t>428F</t>
  </si>
  <si>
    <t>429F</t>
  </si>
  <si>
    <t>430F</t>
  </si>
  <si>
    <t>431F</t>
  </si>
  <si>
    <t>432F</t>
  </si>
  <si>
    <t>433F</t>
  </si>
  <si>
    <t>434F</t>
  </si>
  <si>
    <t>435F</t>
  </si>
  <si>
    <t>436F</t>
  </si>
  <si>
    <t>437F</t>
  </si>
  <si>
    <t>438F</t>
  </si>
  <si>
    <t>439F</t>
  </si>
  <si>
    <t>441F</t>
  </si>
  <si>
    <t>457F</t>
  </si>
  <si>
    <t>400H</t>
  </si>
  <si>
    <t>401H</t>
  </si>
  <si>
    <t>402H</t>
  </si>
  <si>
    <t>403H</t>
  </si>
  <si>
    <t>404H</t>
  </si>
  <si>
    <t>405H</t>
  </si>
  <si>
    <t>406H</t>
  </si>
  <si>
    <t>407H</t>
  </si>
  <si>
    <t>408H</t>
  </si>
  <si>
    <t>409H</t>
  </si>
  <si>
    <t>410H</t>
  </si>
  <si>
    <t>411H</t>
  </si>
  <si>
    <t>412H</t>
  </si>
  <si>
    <t>413H</t>
  </si>
  <si>
    <t>414H</t>
  </si>
  <si>
    <t>415H</t>
  </si>
  <si>
    <t>416H</t>
  </si>
  <si>
    <t>417H</t>
  </si>
  <si>
    <t>418H</t>
  </si>
  <si>
    <t>419H</t>
  </si>
  <si>
    <t>421H</t>
  </si>
  <si>
    <t>423H</t>
  </si>
  <si>
    <t>424H</t>
  </si>
  <si>
    <t>425H</t>
  </si>
  <si>
    <t>426H</t>
  </si>
  <si>
    <t>427H</t>
  </si>
  <si>
    <t>428H</t>
  </si>
  <si>
    <t>429H</t>
  </si>
  <si>
    <t>430H</t>
  </si>
  <si>
    <t>431H</t>
  </si>
  <si>
    <t>432H</t>
  </si>
  <si>
    <t>433H</t>
  </si>
  <si>
    <t>434H</t>
  </si>
  <si>
    <t>435H</t>
  </si>
  <si>
    <t>436H</t>
  </si>
  <si>
    <t>437H</t>
  </si>
  <si>
    <t>438H</t>
  </si>
  <si>
    <t>439H</t>
  </si>
  <si>
    <t>441H</t>
  </si>
  <si>
    <t>457H</t>
  </si>
  <si>
    <t>400E</t>
  </si>
  <si>
    <t>401E</t>
  </si>
  <si>
    <t>402E</t>
  </si>
  <si>
    <t>403E</t>
  </si>
  <si>
    <t>404E</t>
  </si>
  <si>
    <t>405E</t>
  </si>
  <si>
    <t>406E</t>
  </si>
  <si>
    <t>407E</t>
  </si>
  <si>
    <t>408E</t>
  </si>
  <si>
    <t>409E</t>
  </si>
  <si>
    <t>410E</t>
  </si>
  <si>
    <t>411E</t>
  </si>
  <si>
    <t>412E</t>
  </si>
  <si>
    <t>413E</t>
  </si>
  <si>
    <t>414E</t>
  </si>
  <si>
    <t>415E</t>
  </si>
  <si>
    <t>416E</t>
  </si>
  <si>
    <t>417E</t>
  </si>
  <si>
    <t>418E</t>
  </si>
  <si>
    <t>419E</t>
  </si>
  <si>
    <t>421E</t>
  </si>
  <si>
    <t>423E</t>
  </si>
  <si>
    <t>424E</t>
  </si>
  <si>
    <t>425E</t>
  </si>
  <si>
    <t>426E</t>
  </si>
  <si>
    <t>427E</t>
  </si>
  <si>
    <t>428E</t>
  </si>
  <si>
    <t>429E</t>
  </si>
  <si>
    <t>430E</t>
  </si>
  <si>
    <t>431E</t>
  </si>
  <si>
    <t>432E</t>
  </si>
  <si>
    <t>433E</t>
  </si>
  <si>
    <t>434E</t>
  </si>
  <si>
    <t>435E</t>
  </si>
  <si>
    <t>436E</t>
  </si>
  <si>
    <t>437E</t>
  </si>
  <si>
    <t>438E</t>
  </si>
  <si>
    <t>439E</t>
  </si>
  <si>
    <t>441E</t>
  </si>
  <si>
    <t>457E</t>
  </si>
  <si>
    <t>400G</t>
  </si>
  <si>
    <t>401G</t>
  </si>
  <si>
    <t>402G</t>
  </si>
  <si>
    <t>403G</t>
  </si>
  <si>
    <t>404G</t>
  </si>
  <si>
    <t>405G</t>
  </si>
  <si>
    <t>406G</t>
  </si>
  <si>
    <t>407G</t>
  </si>
  <si>
    <t>408G</t>
  </si>
  <si>
    <t>409G</t>
  </si>
  <si>
    <t>410G</t>
  </si>
  <si>
    <t>411G</t>
  </si>
  <si>
    <t>412G</t>
  </si>
  <si>
    <t>413G</t>
  </si>
  <si>
    <t>414G</t>
  </si>
  <si>
    <t>415G</t>
  </si>
  <si>
    <t>416G</t>
  </si>
  <si>
    <t>417G</t>
  </si>
  <si>
    <t>418G</t>
  </si>
  <si>
    <t>419G</t>
  </si>
  <si>
    <t>421G</t>
  </si>
  <si>
    <t>423G</t>
  </si>
  <si>
    <t>424G</t>
  </si>
  <si>
    <t>425G</t>
  </si>
  <si>
    <t>426G</t>
  </si>
  <si>
    <t>427G</t>
  </si>
  <si>
    <t>428G</t>
  </si>
  <si>
    <t>429G</t>
  </si>
  <si>
    <t>430G</t>
  </si>
  <si>
    <t>431G</t>
  </si>
  <si>
    <t>432G</t>
  </si>
  <si>
    <t>433G</t>
  </si>
  <si>
    <t>434G</t>
  </si>
  <si>
    <t>435G</t>
  </si>
  <si>
    <t>436G</t>
  </si>
  <si>
    <t>437G</t>
  </si>
  <si>
    <t>438G</t>
  </si>
  <si>
    <t>439G</t>
  </si>
  <si>
    <t>441G</t>
  </si>
  <si>
    <t>457G</t>
  </si>
  <si>
    <t>ANALYSE DES VENTES ET DU PROFIT BRUT</t>
  </si>
  <si>
    <t>CONCESSIONNAIRE PARCS - (014/035/038)</t>
  </si>
  <si>
    <t>400L</t>
  </si>
  <si>
    <t>401L</t>
  </si>
  <si>
    <t>402L</t>
  </si>
  <si>
    <t>403L</t>
  </si>
  <si>
    <t>404L</t>
  </si>
  <si>
    <t>405L</t>
  </si>
  <si>
    <t>406L</t>
  </si>
  <si>
    <t>407L</t>
  </si>
  <si>
    <t>TOTAL VOITURES DE PARCS</t>
  </si>
  <si>
    <t>412L</t>
  </si>
  <si>
    <t>413L</t>
  </si>
  <si>
    <t>414L</t>
  </si>
  <si>
    <t>415L</t>
  </si>
  <si>
    <t>416L</t>
  </si>
  <si>
    <t>417L</t>
  </si>
  <si>
    <t>418L</t>
  </si>
  <si>
    <t>419L</t>
  </si>
  <si>
    <t>420L</t>
  </si>
  <si>
    <t>421L</t>
  </si>
  <si>
    <t>422L</t>
  </si>
  <si>
    <t>423L</t>
  </si>
  <si>
    <t>424L</t>
  </si>
  <si>
    <t>425L</t>
  </si>
  <si>
    <t>426L</t>
  </si>
  <si>
    <t>427L</t>
  </si>
  <si>
    <t>428L</t>
  </si>
  <si>
    <t>429L</t>
  </si>
  <si>
    <t>430L</t>
  </si>
  <si>
    <t>431L</t>
  </si>
  <si>
    <t>432L</t>
  </si>
  <si>
    <t>433L</t>
  </si>
  <si>
    <t>434L</t>
  </si>
  <si>
    <t>TOTAL CAMIONS DE PARCS</t>
  </si>
  <si>
    <t>TOTAL VEHICULES PARCS</t>
  </si>
  <si>
    <t>CONCESSIONNAIRE GOUV - (036/040)</t>
  </si>
  <si>
    <t>400M</t>
  </si>
  <si>
    <t>401M</t>
  </si>
  <si>
    <t>402M</t>
  </si>
  <si>
    <t>403M</t>
  </si>
  <si>
    <t>404M</t>
  </si>
  <si>
    <t>405M</t>
  </si>
  <si>
    <t>406M</t>
  </si>
  <si>
    <t>407M</t>
  </si>
  <si>
    <t>TOTAL VOITURES DE GOUV</t>
  </si>
  <si>
    <t>412M</t>
  </si>
  <si>
    <t>413M</t>
  </si>
  <si>
    <t>414M</t>
  </si>
  <si>
    <t>415M</t>
  </si>
  <si>
    <t>416M</t>
  </si>
  <si>
    <t>417M</t>
  </si>
  <si>
    <t>418M</t>
  </si>
  <si>
    <t>419M</t>
  </si>
  <si>
    <t>420M</t>
  </si>
  <si>
    <t>421M</t>
  </si>
  <si>
    <t>422M</t>
  </si>
  <si>
    <t>423M</t>
  </si>
  <si>
    <t>424M</t>
  </si>
  <si>
    <t>425M</t>
  </si>
  <si>
    <t>426M</t>
  </si>
  <si>
    <t>427M</t>
  </si>
  <si>
    <t>428M</t>
  </si>
  <si>
    <t>429M</t>
  </si>
  <si>
    <t>430M</t>
  </si>
  <si>
    <t>431M</t>
  </si>
  <si>
    <t>432M</t>
  </si>
  <si>
    <t>433M</t>
  </si>
  <si>
    <t>434M</t>
  </si>
  <si>
    <t>TOTAL CAMIONS DE GOUV</t>
  </si>
  <si>
    <t>TOTAL VEHICULES DE GOUV</t>
  </si>
  <si>
    <t>TOTAL VEHICULES DE PARCS ET GOUV</t>
  </si>
  <si>
    <t>(MEMO) PETITE ENTERPRISE COMMERCIAL</t>
  </si>
  <si>
    <t>400K</t>
  </si>
  <si>
    <t>401K</t>
  </si>
  <si>
    <t>402K</t>
  </si>
  <si>
    <t>403K</t>
  </si>
  <si>
    <t>404K</t>
  </si>
  <si>
    <t>405K</t>
  </si>
  <si>
    <t>406K</t>
  </si>
  <si>
    <t>407K</t>
  </si>
  <si>
    <t>TOTAL VOITURES DE PETITE ENTREPRISE</t>
  </si>
  <si>
    <t>412K</t>
  </si>
  <si>
    <t>413K</t>
  </si>
  <si>
    <t>414K</t>
  </si>
  <si>
    <t>415K</t>
  </si>
  <si>
    <t>416K</t>
  </si>
  <si>
    <t>417K</t>
  </si>
  <si>
    <t>418K</t>
  </si>
  <si>
    <t>419K</t>
  </si>
  <si>
    <t>420K</t>
  </si>
  <si>
    <t>421K</t>
  </si>
  <si>
    <t>422K</t>
  </si>
  <si>
    <t>423K</t>
  </si>
  <si>
    <t>424K</t>
  </si>
  <si>
    <t>425K</t>
  </si>
  <si>
    <t>426K</t>
  </si>
  <si>
    <t>427K</t>
  </si>
  <si>
    <t>428K</t>
  </si>
  <si>
    <t>429K</t>
  </si>
  <si>
    <t>430K</t>
  </si>
  <si>
    <t>431K</t>
  </si>
  <si>
    <t>432K</t>
  </si>
  <si>
    <t>433K</t>
  </si>
  <si>
    <t>434K</t>
  </si>
  <si>
    <t>TOT CAM. DE PETITE ENTERPRISE</t>
  </si>
  <si>
    <t>TOT VEHICULES DE PETITE ENTERPRISE</t>
  </si>
  <si>
    <t>SOMMAIRE VENTES VEHICULES PARCS/GOUV/COM</t>
  </si>
  <si>
    <t>VOITURES MCI DE COMMERCIAL</t>
  </si>
  <si>
    <t>VOITURES MCI DE PARCS</t>
  </si>
  <si>
    <t>VOITURES MCI DE GOUV</t>
  </si>
  <si>
    <t>TOTAL VOITURES MCI DE PARCS / GOUV / COMMERCIAL</t>
  </si>
  <si>
    <t>VOITURES VE DE COMMERCIAL</t>
  </si>
  <si>
    <t>VOITURES VE DE PARCS</t>
  </si>
  <si>
    <t>VOITURES VE DE GOUV</t>
  </si>
  <si>
    <t>TOTAL VOITURES VE DE PARCS / GOUV / COMMERCIAL</t>
  </si>
  <si>
    <t>CAMIONS MCI DE COMMERCIAL</t>
  </si>
  <si>
    <t>CAMIONS MCI DE PARCS</t>
  </si>
  <si>
    <t>CAMIONS VE DE GOUV</t>
  </si>
  <si>
    <t>TOTAL CAMIONS MCI DE PARCS / GOUV / COMMERCIAL</t>
  </si>
  <si>
    <t>CAMIONS VE DE COMMERCIAL</t>
  </si>
  <si>
    <t>CAMIONS VE DE PARCS</t>
  </si>
  <si>
    <t>TOTAL CAMIONS VE DE PARCS / GOUV / COMMERCIAL</t>
  </si>
  <si>
    <t>MEMO: TOTAL VENTES VOITURES PARCS/GOUV/COM</t>
  </si>
  <si>
    <t>MEMO: TOTAL VENTES CAMIONS PARCS/GOUV/COM</t>
  </si>
  <si>
    <t>D</t>
  </si>
  <si>
    <t>RÉMUN. VENDEURS</t>
  </si>
  <si>
    <t>637K</t>
  </si>
  <si>
    <t>RÉMUN. DIRECTEUR</t>
  </si>
  <si>
    <t>638K</t>
  </si>
  <si>
    <t>639K</t>
  </si>
  <si>
    <t>FIN. DES STOCKS</t>
  </si>
  <si>
    <t>640K</t>
  </si>
  <si>
    <t>VOY. ET REPRÉS.</t>
  </si>
  <si>
    <t>641K</t>
  </si>
  <si>
    <t>SALONS COMM.</t>
  </si>
  <si>
    <t>642K</t>
  </si>
  <si>
    <t>AUTRE</t>
  </si>
  <si>
    <t>643K</t>
  </si>
  <si>
    <t>TOTAL FRAIS DIRECTS</t>
  </si>
  <si>
    <t>NET PARCS, GOUV ET COMMERCIAL</t>
  </si>
  <si>
    <t>400I</t>
  </si>
  <si>
    <t>401I</t>
  </si>
  <si>
    <t>402I</t>
  </si>
  <si>
    <t>403I</t>
  </si>
  <si>
    <t>404I</t>
  </si>
  <si>
    <t>405I</t>
  </si>
  <si>
    <t>406I</t>
  </si>
  <si>
    <t>407I</t>
  </si>
  <si>
    <t>408I</t>
  </si>
  <si>
    <t>409I</t>
  </si>
  <si>
    <t>410I</t>
  </si>
  <si>
    <t>411I</t>
  </si>
  <si>
    <t>412I</t>
  </si>
  <si>
    <t>413I</t>
  </si>
  <si>
    <t>414I</t>
  </si>
  <si>
    <t>415I</t>
  </si>
  <si>
    <t>416I</t>
  </si>
  <si>
    <t>417I</t>
  </si>
  <si>
    <t>418I</t>
  </si>
  <si>
    <t>419I</t>
  </si>
  <si>
    <t>420I</t>
  </si>
  <si>
    <t>421I</t>
  </si>
  <si>
    <t>423I</t>
  </si>
  <si>
    <t>424I</t>
  </si>
  <si>
    <t>425I</t>
  </si>
  <si>
    <t>426I</t>
  </si>
  <si>
    <t>427I</t>
  </si>
  <si>
    <t>428I</t>
  </si>
  <si>
    <t>429I</t>
  </si>
  <si>
    <t>430I</t>
  </si>
  <si>
    <t>431I</t>
  </si>
  <si>
    <t>432I</t>
  </si>
  <si>
    <t>433I</t>
  </si>
  <si>
    <t>434I</t>
  </si>
  <si>
    <t>435I</t>
  </si>
  <si>
    <t>436I</t>
  </si>
  <si>
    <t>437I</t>
  </si>
  <si>
    <t>438I</t>
  </si>
  <si>
    <t>439I</t>
  </si>
  <si>
    <t>440I</t>
  </si>
  <si>
    <t>441I</t>
  </si>
  <si>
    <t>445I</t>
  </si>
  <si>
    <t>457I</t>
  </si>
  <si>
    <t>400J</t>
  </si>
  <si>
    <t>401J</t>
  </si>
  <si>
    <t>402J</t>
  </si>
  <si>
    <t>403J</t>
  </si>
  <si>
    <t>404J</t>
  </si>
  <si>
    <t>405J</t>
  </si>
  <si>
    <t>406J</t>
  </si>
  <si>
    <t>407J</t>
  </si>
  <si>
    <t>408J</t>
  </si>
  <si>
    <t>409J</t>
  </si>
  <si>
    <t>410J</t>
  </si>
  <si>
    <t>411J</t>
  </si>
  <si>
    <t>412J</t>
  </si>
  <si>
    <t>413J</t>
  </si>
  <si>
    <t>414J</t>
  </si>
  <si>
    <t>415J</t>
  </si>
  <si>
    <t>416J</t>
  </si>
  <si>
    <t>417J</t>
  </si>
  <si>
    <t>418J</t>
  </si>
  <si>
    <t>419J</t>
  </si>
  <si>
    <t>420J</t>
  </si>
  <si>
    <t>421J</t>
  </si>
  <si>
    <t>423J</t>
  </si>
  <si>
    <t>424J</t>
  </si>
  <si>
    <t>425J</t>
  </si>
  <si>
    <t>426J</t>
  </si>
  <si>
    <t>427J</t>
  </si>
  <si>
    <t>428J</t>
  </si>
  <si>
    <t>429J</t>
  </si>
  <si>
    <t>430J</t>
  </si>
  <si>
    <t>431J</t>
  </si>
  <si>
    <t>432J</t>
  </si>
  <si>
    <t>433J</t>
  </si>
  <si>
    <t>434J</t>
  </si>
  <si>
    <t>435J</t>
  </si>
  <si>
    <t>436J</t>
  </si>
  <si>
    <t>437J</t>
  </si>
  <si>
    <t>438J</t>
  </si>
  <si>
    <t>439J</t>
  </si>
  <si>
    <t>440J</t>
  </si>
  <si>
    <t>441J</t>
  </si>
  <si>
    <t>457J</t>
  </si>
  <si>
    <t>NE SE RAPPORTENT QU'AUX VÉHICULES LISTÉS SUR CETTE PAGE.</t>
  </si>
  <si>
    <t>ANALYSE DE VENTES ET DE PROFIT BRUT PAR SERVICE</t>
  </si>
  <si>
    <t>HIDE</t>
  </si>
  <si>
    <t>OPÉRATIONS VARIABLES</t>
  </si>
  <si>
    <t xml:space="preserve">               MOIS</t>
  </si>
  <si>
    <t>Per unit</t>
  </si>
  <si>
    <t>SUITE</t>
  </si>
  <si>
    <t>PAR UNITÉ</t>
  </si>
  <si>
    <t>Sls Max.</t>
  </si>
  <si>
    <t>VOIT. D'OCC DÉT.-OPTIMUM/VUDS</t>
  </si>
  <si>
    <t>446A</t>
  </si>
  <si>
    <t>É</t>
  </si>
  <si>
    <t>VOIT. D'OCCASION DÉT.-AUTRE</t>
  </si>
  <si>
    <t>446B</t>
  </si>
  <si>
    <t>H</t>
  </si>
  <si>
    <t>CERTIFIÉ ---&gt;</t>
  </si>
  <si>
    <t>&lt;-- 647A / 647B  --&gt;</t>
  </si>
  <si>
    <t>AUTRE---&gt;</t>
  </si>
  <si>
    <t>CAM. D'OCC DÉT.-OPTIMUM/VUDS</t>
  </si>
  <si>
    <t>450A</t>
  </si>
  <si>
    <t>D'</t>
  </si>
  <si>
    <t>CAM. D'OCCASION DÉT.-AUTRE</t>
  </si>
  <si>
    <t>450B</t>
  </si>
  <si>
    <t>&lt;-- 651A / 651B  --&gt;</t>
  </si>
  <si>
    <t>&lt;-- 651A / 651B --&gt;</t>
  </si>
  <si>
    <t>TOTAL VÉH. D'OCCASION DÉTAIL</t>
  </si>
  <si>
    <t>VOIT. D'OCCASION EN GROS</t>
  </si>
  <si>
    <t>RATIO VOIT. DÉT. D'OCC À NEUF</t>
  </si>
  <si>
    <t xml:space="preserve">RECTIFICATION STOCK VOITURES D'OCCASION </t>
  </si>
  <si>
    <t>CAM. D'OCCASION EN GROS</t>
  </si>
  <si>
    <t>RATIO CAM. DÉT. D'OCC. À NEUF</t>
  </si>
  <si>
    <t xml:space="preserve">RECTIFICATION STOCK CAMIONS D'OCCASION </t>
  </si>
  <si>
    <t>TOTAL D'OCC. EN GROS ET RECTIF.</t>
  </si>
  <si>
    <t>AUTRES VÉHICULES D'OCCASION</t>
  </si>
  <si>
    <t>TOTAL VÉHICULES D'OCCASION (PVOD)</t>
  </si>
  <si>
    <t>TOTAL NEUF ET D'OCCASION        (PVD)</t>
  </si>
  <si>
    <t>TOTAL F&amp;A ET PLANS PROT.</t>
  </si>
  <si>
    <t>TOTAL LOCATION C &amp; L TERME</t>
  </si>
  <si>
    <t>PVD</t>
  </si>
  <si>
    <t>TOTAL VARIABLES</t>
  </si>
  <si>
    <t>OPÉRATIONS FIXES</t>
  </si>
  <si>
    <t>NOMBRE DE B.R.</t>
  </si>
  <si>
    <t>%  DES VENTES</t>
  </si>
  <si>
    <t>M-D'O CLIENT VOIT &amp; CAM LÉGERS</t>
  </si>
  <si>
    <t>460A</t>
  </si>
  <si>
    <t>M-D’O CLIENT - VOIT, CAM LÉGER VE</t>
  </si>
  <si>
    <t>460E</t>
  </si>
  <si>
    <t>M-D'O CONT. SERV.-VOIT &amp; CAM LÉGERS</t>
  </si>
  <si>
    <t>460B</t>
  </si>
  <si>
    <t>M-D’O CONT SERV - VOIT, CAM LÉGER VE</t>
  </si>
  <si>
    <t>460F</t>
  </si>
  <si>
    <t>M-D'O SERV RAPIDE VOIT &amp; CAM LÉG.</t>
  </si>
  <si>
    <t>460C</t>
  </si>
  <si>
    <t>M-D’O SERV MOBILE - VOIT, CAM LÉGER</t>
  </si>
  <si>
    <t>460D</t>
  </si>
  <si>
    <t>M-D’O CLIENT - NON-GM VE</t>
  </si>
  <si>
    <t>460N</t>
  </si>
  <si>
    <t>P</t>
  </si>
  <si>
    <t>M-D'O CLIENT CAM. COM,PARCS,MOY</t>
  </si>
  <si>
    <t>461A</t>
  </si>
  <si>
    <t>M-D’O CLIENT - CAM COM,PARCS,MOY VE</t>
  </si>
  <si>
    <t>461E</t>
  </si>
  <si>
    <t>M-D'O CONT. SERV.  CAM COM,PARCS,MOY</t>
  </si>
  <si>
    <t>461B</t>
  </si>
  <si>
    <t>Q</t>
  </si>
  <si>
    <t>M-D’O CONT SERV - CAM COM,PARCS,MOY VE</t>
  </si>
  <si>
    <t>461F</t>
  </si>
  <si>
    <t>M-D'O SERV RAPIDE CAM,PARCS,MOY VE</t>
  </si>
  <si>
    <t>461C</t>
  </si>
  <si>
    <t>M-D'O RÉCLAMATION GARANTIE</t>
  </si>
  <si>
    <t>MAIN-D'ŒUVRE INTERNE</t>
  </si>
  <si>
    <t>M-D'O INSPECTION VÉHICULES NEUFS</t>
  </si>
  <si>
    <t>RECTIF AU COÛT DE M-D'O VENTES</t>
  </si>
  <si>
    <t>TOTAL PARTIEL</t>
  </si>
  <si>
    <t>FOURNITURES D'ATELIER</t>
  </si>
  <si>
    <t>RÉPARATIONS SOUS-TRAITÉES</t>
  </si>
  <si>
    <t>TOTAL MÉCANIQUE</t>
  </si>
  <si>
    <t>M-D'O CLIENT - PEINTURE</t>
  </si>
  <si>
    <t>M-D'O CLIENT - CARROSSERIE</t>
  </si>
  <si>
    <t>RECTIF. AU COÛT DE M-D'O VENTES</t>
  </si>
  <si>
    <t>PEINTURE &amp; MAT. D'ATELIER</t>
  </si>
  <si>
    <t>TOTAL CARROSSERIE</t>
  </si>
  <si>
    <t>TOTAL SERVICE APRÈS VENTE</t>
  </si>
  <si>
    <t>PIÈCES ET ACCESSOIRES</t>
  </si>
  <si>
    <t>RÉCLAMATIONS SUR GARANTIE</t>
  </si>
  <si>
    <t>B.R. SERV VOIT &amp; CAM LÉG.</t>
  </si>
  <si>
    <t>B.R. SERV - VOIT, CAM LÉGER VE</t>
  </si>
  <si>
    <t>467E</t>
  </si>
  <si>
    <t>B.R. SERV CAM MOY &amp; SAAB</t>
  </si>
  <si>
    <t>B.R. SERV - CAM COM,PARCS,MOY VE</t>
  </si>
  <si>
    <t>468E</t>
  </si>
  <si>
    <t>B.R. SERVICE RAPIDE</t>
  </si>
  <si>
    <t>X</t>
  </si>
  <si>
    <t>B.R. CLIENT CARROSSERIE</t>
  </si>
  <si>
    <t>B.R. CLIENT SERV MOBILE</t>
  </si>
  <si>
    <t>467D</t>
  </si>
  <si>
    <t>B.R. CLIENT NON-GM VE</t>
  </si>
  <si>
    <t>467N</t>
  </si>
  <si>
    <t>VENTES AU DÉTAIL - COMPTOIR</t>
  </si>
  <si>
    <t xml:space="preserve">COMMERCE ÉLECTRONIQUE - PIÈCES </t>
  </si>
  <si>
    <t>482C</t>
  </si>
  <si>
    <t>EN GROS</t>
  </si>
  <si>
    <t>ACCESSOIRES</t>
  </si>
  <si>
    <t xml:space="preserve">COMMERCE ÉLECTRONIQUE - ACCESSOIRES </t>
  </si>
  <si>
    <t>484C</t>
  </si>
  <si>
    <t>ALLOCATION D'ACHAT</t>
  </si>
  <si>
    <t>RECT. AU STOCK DES PIÈCES</t>
  </si>
  <si>
    <t>TOTAL  PIÈCES ET ACCESS.</t>
  </si>
  <si>
    <t>PNEUS</t>
  </si>
  <si>
    <t>ESSENCE, HUILE &amp; GRAISSE</t>
  </si>
  <si>
    <t>DIVERS</t>
  </si>
  <si>
    <t xml:space="preserve">TOTAL AUTRES </t>
  </si>
  <si>
    <t>TAUX</t>
  </si>
  <si>
    <t>TOTAL PIÈCES ET ACCESS.</t>
  </si>
  <si>
    <t>D'ABSORPTION</t>
  </si>
  <si>
    <t>TOTAL OPÉRATIONS FIXES</t>
  </si>
  <si>
    <t>TOTAL TOUS LES SERVICES</t>
  </si>
  <si>
    <t>DONNÉES SUPPLÉMENTAIRES</t>
  </si>
  <si>
    <t>ACTIVITÉS DE FINANCE, D'ASSURANCE</t>
  </si>
  <si>
    <t>ET DE PLANS DE PROTECTION</t>
  </si>
  <si>
    <t>CONTRATS</t>
  </si>
  <si>
    <t>REVENU / PROFIT BRUT</t>
  </si>
  <si>
    <t>PAR CONTRAT</t>
  </si>
  <si>
    <t>REVENU DE FINANCEMENT</t>
  </si>
  <si>
    <t xml:space="preserve">COMMISSIONS ENCAISSÉES SUR ASSURANCE </t>
  </si>
  <si>
    <t>RÉTROFACTURATION F&amp;A</t>
  </si>
  <si>
    <t>AUTRES REVENUS</t>
  </si>
  <si>
    <t>PLANS DE PROTECTION GM</t>
  </si>
  <si>
    <t>AUTRES PLANS DE PROTECT.</t>
  </si>
  <si>
    <t>PERTES DE REPRISE DE POSSESSION</t>
  </si>
  <si>
    <t>RÉMUNÉRATION F&amp;A</t>
  </si>
  <si>
    <t>REV. F&amp;A &amp; PLANS PROT.NEUFS</t>
  </si>
  <si>
    <t>D'OCCASION</t>
  </si>
  <si>
    <t xml:space="preserve">PERTES DE REPRISE DE POSSESSION </t>
  </si>
  <si>
    <t>CONT./UNITÉS</t>
  </si>
  <si>
    <t>CONTS./UNITÉS</t>
  </si>
  <si>
    <t>REV. F&amp;A &amp; PLANS PROT.D'OCC.</t>
  </si>
  <si>
    <t>TTL de VÉRIF.</t>
  </si>
  <si>
    <r>
      <t>TOTAL REV F&amp;A</t>
    </r>
    <r>
      <rPr>
        <b/>
        <sz val="7"/>
        <color indexed="9"/>
        <rFont val="Arial"/>
        <family val="2"/>
      </rPr>
      <t>.</t>
    </r>
    <r>
      <rPr>
        <sz val="7"/>
        <color indexed="9"/>
        <rFont val="Arial"/>
        <family val="2"/>
      </rPr>
      <t>(à la page 3 lignes 1-2)</t>
    </r>
  </si>
  <si>
    <t>ANALYSE SUPPLÉMENTAIRE DES STOCKS</t>
  </si>
  <si>
    <t>STOCKS</t>
  </si>
  <si>
    <t>GM</t>
  </si>
  <si>
    <t>T.B. Totals</t>
  </si>
  <si>
    <t>VÉHICULES NEUFS</t>
  </si>
  <si>
    <t>UNITS</t>
  </si>
  <si>
    <t>$$</t>
  </si>
  <si>
    <t>VÉH. DE DÉMONSTRATION</t>
  </si>
  <si>
    <t>VOITURES - MCI</t>
  </si>
  <si>
    <t>VOITURES - VE</t>
  </si>
  <si>
    <t>231E</t>
  </si>
  <si>
    <t>CAMIONS - MCI</t>
  </si>
  <si>
    <t>CAMIONS - VE</t>
  </si>
  <si>
    <t>237E</t>
  </si>
  <si>
    <t>TOTAL</t>
  </si>
  <si>
    <t>CAMIONS POIDS MOYEN</t>
  </si>
  <si>
    <t>UNITÉS NEUVES</t>
  </si>
  <si>
    <t xml:space="preserve">AUTRES VÉHICULES </t>
  </si>
  <si>
    <t>VÉHICULES D'OCCASION</t>
  </si>
  <si>
    <t>&lt; 45 JOURS EN STOCK</t>
  </si>
  <si>
    <t>&gt; 45 JOURS EN STOCK</t>
  </si>
  <si>
    <t>TOTAL UNITÉS D'OCCASION EN STOCK</t>
  </si>
  <si>
    <t>UNITÉS</t>
  </si>
  <si>
    <t xml:space="preserve">         CARS</t>
  </si>
  <si>
    <t>VOITURES</t>
  </si>
  <si>
    <t>UNITÉS D'OCC.</t>
  </si>
  <si>
    <t xml:space="preserve">         TRUCKS</t>
  </si>
  <si>
    <t>CAMIONS</t>
  </si>
  <si>
    <t>GM (A)</t>
  </si>
  <si>
    <t>NON-GM (B)</t>
  </si>
  <si>
    <t xml:space="preserve">PIÈCES D'ÉCHANGE </t>
  </si>
  <si>
    <t>242A</t>
  </si>
  <si>
    <t>AUTRES STOCKS</t>
  </si>
  <si>
    <t>243, 244, 245  ET 258</t>
  </si>
  <si>
    <t>M-D'O TRAVAUX EN COURS-MÉCANIQUE</t>
  </si>
  <si>
    <t>247A</t>
  </si>
  <si>
    <t>M-D'O TRAVAUX EN COURS - CARROSSERIE</t>
  </si>
  <si>
    <t>247B</t>
  </si>
  <si>
    <t>PERSONNEL EMPLOYÉ PAR L'ÉTABLISSEMENT (FRACTIONS DE 1/10)</t>
  </si>
  <si>
    <t>CLASSIFICATION</t>
  </si>
  <si>
    <t>NEUFS</t>
  </si>
  <si>
    <t>L C&amp;L T</t>
  </si>
  <si>
    <t>F&amp;A</t>
  </si>
  <si>
    <t>PIÈCES</t>
  </si>
  <si>
    <t>ADM.  GÉN.</t>
  </si>
  <si>
    <t>PROPRIÉTAIRES / DIRECTEUR GÉN.</t>
  </si>
  <si>
    <t>CADRES</t>
  </si>
  <si>
    <t>VENDEURS VÉH.,SERVICE.,PIÈCES</t>
  </si>
  <si>
    <t>CDA (BDC) / E-COMMERCE</t>
  </si>
  <si>
    <t>TECHNICIENS</t>
  </si>
  <si>
    <t>PERSONNEL DE BUREAU</t>
  </si>
  <si>
    <t>PERSONNEL AUTRE</t>
  </si>
  <si>
    <t>NOMBRE D'EMBAUCHES AAD</t>
  </si>
  <si>
    <t>NBRE CESSATIONS D'EMPLOI AAD</t>
  </si>
  <si>
    <t xml:space="preserve">COMPTES CLIENTS A RECEVOIR </t>
  </si>
  <si>
    <t>RETOUR SUR</t>
  </si>
  <si>
    <t>ANALYSE DES COMPTES-CLIENTS À RECEVOIR</t>
  </si>
  <si>
    <t>NON DU</t>
  </si>
  <si>
    <t xml:space="preserve">É C H U S </t>
  </si>
  <si>
    <t>31-60 JOURS</t>
  </si>
  <si>
    <t>61-90 JOURS</t>
  </si>
  <si>
    <t xml:space="preserve"> + 90 JOURS</t>
  </si>
  <si>
    <t>INVESTISSEMENT</t>
  </si>
  <si>
    <t>210 VÉHICULES</t>
  </si>
  <si>
    <t>210 AUTRES</t>
  </si>
  <si>
    <t>220 VÉHICULES</t>
  </si>
  <si>
    <t>220 LOC C&amp;L TERME</t>
  </si>
  <si>
    <t>TAUX DE RENDEMENT</t>
  </si>
  <si>
    <t>220 APRÈS VENTES ET PIÈCES</t>
  </si>
  <si>
    <t>DES  ACTIFS</t>
  </si>
  <si>
    <t>220 AUTRES</t>
  </si>
  <si>
    <t>TOTAL À RECEVOIR DES CLIENTS</t>
  </si>
  <si>
    <t>300 COMPTES À PAYER - SOLDE DÉBITEUR</t>
  </si>
  <si>
    <t>340 MOINS RÉSERVE POUR CRÉANCES DOUTEUSES</t>
  </si>
  <si>
    <t>MEMO</t>
  </si>
  <si>
    <t>NET À RECEVOIR DES CLIENTS</t>
  </si>
  <si>
    <t>VENTES COMPTANT-PIECES/SERV/DEBOS</t>
  </si>
  <si>
    <t>SOMMAIRE DES VENTES DE</t>
  </si>
  <si>
    <t xml:space="preserve">                              MOIS</t>
  </si>
  <si>
    <t xml:space="preserve">         CUMUL ANNUEL À CE JOUR</t>
  </si>
  <si>
    <t>TOTAL VOITURES NEUVES DÉTAIL - MCI</t>
  </si>
  <si>
    <t>TOTAL VOITURES NEUVES DÉTAIL - VE</t>
  </si>
  <si>
    <t>TOTAL VOIT. NEUVES PARCS &amp; INT</t>
  </si>
  <si>
    <t xml:space="preserve">TOTAL VOITURES NEUVES </t>
  </si>
  <si>
    <t>TOTAL CAMIONS NEUFS DÉTAIL - MCI</t>
  </si>
  <si>
    <t>TOTAL CAMIONS NEUFS DÉTAIL - VE</t>
  </si>
  <si>
    <t>TOTAL CAM. NEUFS PARCS &amp; INT</t>
  </si>
  <si>
    <t xml:space="preserve">TOTAL CAMIONS NEUFS </t>
  </si>
  <si>
    <t>AUTRES VÉH. NEUFS (PVND)</t>
  </si>
  <si>
    <t>*MÉMO* TOTAL VÉH. NEUFS DÉT.</t>
  </si>
  <si>
    <t>Return-on-Net Asset Calculation</t>
  </si>
  <si>
    <t>ROI</t>
  </si>
  <si>
    <t>Total Assets (Page 1 Ln 65)</t>
  </si>
  <si>
    <t>NPBBT Page 2 ln 63</t>
  </si>
  <si>
    <t>ADD: YTD - LIFO Resrv Page 1 Ln 35</t>
  </si>
  <si>
    <t>Adjust Assets</t>
  </si>
  <si>
    <t>Less:</t>
  </si>
  <si>
    <t>NET WORTH Page 1 ln 67</t>
  </si>
  <si>
    <t>ADD: LIFO RES Page 1 ln 38</t>
  </si>
  <si>
    <t>GM + Non-GM NC Inv. (FIFO) Page 1 Ln I24</t>
  </si>
  <si>
    <t>LESS: YTD P/L Page 1 ln66</t>
  </si>
  <si>
    <t>GM + Non-GM NT Inv. (FIFO) Page 1 Ln 25+26</t>
  </si>
  <si>
    <t>Adjusted Investment</t>
  </si>
  <si>
    <t>Land Page 1 Ln 47</t>
  </si>
  <si>
    <t>Net Buildings after Accum Depr. Page 1 Ln 48</t>
  </si>
  <si>
    <t>Add:</t>
  </si>
  <si>
    <t>60 days NC Rtl @ YTD C.O.S/Pg 7 Ln 63 ÷ # mths X 2</t>
  </si>
  <si>
    <t>60 days NT Rtl @ YTD C.O.S/Pg 7 Ln 66 ÷ # mths X 2</t>
  </si>
  <si>
    <t>Land &amp; Bldings (10.75%/15yrs. On Rent &amp; Equil) *NPV Pg 2 Ln 49 YTD ÷ #mths</t>
  </si>
  <si>
    <t>Revised Assets</t>
  </si>
  <si>
    <t>Total Gross Profit (Page 2 line 2) YTD</t>
  </si>
  <si>
    <t>Less</t>
  </si>
  <si>
    <t>Total Expenses (Page 2 line 57)YTD</t>
  </si>
  <si>
    <t>Interest - Notes Payable (Pg 2 Ln 33-35)</t>
  </si>
  <si>
    <t xml:space="preserve">Interest - Mortage (Pg 2 ln 47) </t>
  </si>
  <si>
    <t>GMCL Reimbursements (Pg 3 ln 66)</t>
  </si>
  <si>
    <t>Adjusted Operating Profit</t>
  </si>
  <si>
    <t>Annualized (Line above ÷ #mths X 12)</t>
  </si>
  <si>
    <t>Return on Assets (Annualized Oper Profit ÷ Revised Assets)</t>
  </si>
  <si>
    <t>* NPV of the monthly average on Rent &amp; Rent Equivalent - based on a 15 year monthly term at 15%/year</t>
  </si>
  <si>
    <t>DEPT YTD SALES</t>
  </si>
  <si>
    <t>LOCATION À COURT ET LONG TERME</t>
  </si>
  <si>
    <t>(510) CRÉDIT BAIL</t>
  </si>
  <si>
    <t>(520) CRÉDIT BAIL</t>
  </si>
  <si>
    <t xml:space="preserve">(530)  EXPLOITATION DE </t>
  </si>
  <si>
    <t>FRAIS DIRECTS ET REVENU</t>
  </si>
  <si>
    <t>EXPLOITATION TOTALE</t>
  </si>
  <si>
    <t>SIMPLE</t>
  </si>
  <si>
    <t>ALÉATOIRE / AUTRE</t>
  </si>
  <si>
    <t>LOCATION À COURT TERME</t>
  </si>
  <si>
    <t>REVENU</t>
  </si>
  <si>
    <t>NO. DE CMPTE</t>
  </si>
  <si>
    <t>%
DISTRIBUTION</t>
  </si>
  <si>
    <t>L</t>
  </si>
  <si>
    <t>PAIEMENTS PÉRIODIQUES DE LOCATION BAIL</t>
  </si>
  <si>
    <t>5X1</t>
  </si>
  <si>
    <t>REVENU D'ENTRETIEN</t>
  </si>
  <si>
    <t>5X2</t>
  </si>
  <si>
    <t>REVENU PARTIEL MOIS (AU PRORATA)</t>
  </si>
  <si>
    <t>5X3</t>
  </si>
  <si>
    <t>&amp;</t>
  </si>
  <si>
    <t>FRAIS DE PAIEMENT TARDIF</t>
  </si>
  <si>
    <t>5X4</t>
  </si>
  <si>
    <t>REVENU DE LOCATION À COURT TERME</t>
  </si>
  <si>
    <t>5X5</t>
  </si>
  <si>
    <t>FRAIS D'ADMINISTRATION</t>
  </si>
  <si>
    <t>5X6</t>
  </si>
  <si>
    <t>AUTRE REVENU DE LOCATION</t>
  </si>
  <si>
    <t>5X7</t>
  </si>
  <si>
    <t>TOTAL REVENU LOCATION À COURT ET LONG TERME</t>
  </si>
  <si>
    <t>COÛTS DIRECTS</t>
  </si>
  <si>
    <t>% REV</t>
  </si>
  <si>
    <t>(710) CRÉDIT BAIL           SIMPLE</t>
  </si>
  <si>
    <t>(720) CRÉDIT BAIL ALÉATOIRE</t>
  </si>
  <si>
    <t>(730)  LOCATION À                     COURT TERME</t>
  </si>
  <si>
    <t>INTÉRÊTS</t>
  </si>
  <si>
    <t>7X1</t>
  </si>
  <si>
    <t>AMORTISSEMENT</t>
  </si>
  <si>
    <t>7X2</t>
  </si>
  <si>
    <t>ASSURANCE (VEHICLES EN SERVICE)</t>
  </si>
  <si>
    <t>7X3</t>
  </si>
  <si>
    <t>Û</t>
  </si>
  <si>
    <t>IMMATRICULATIONS ET TAXES</t>
  </si>
  <si>
    <t>7X4</t>
  </si>
  <si>
    <t>TRAVAUX À TITRE GRACIEUX - VÉH. LOC. C &amp; L T</t>
  </si>
  <si>
    <t>7X5</t>
  </si>
  <si>
    <t>RÉPARATIONS ET ENTRETIEN</t>
  </si>
  <si>
    <t>7X6</t>
  </si>
  <si>
    <t>PRIX LOCATIF DES UNITÉS SOUS-LOUÉES</t>
  </si>
  <si>
    <t>7X7</t>
  </si>
  <si>
    <t>AUTRES</t>
  </si>
  <si>
    <t>7X8</t>
  </si>
  <si>
    <t>TOTAL COÛTS DIRECTS</t>
  </si>
  <si>
    <t>PROFIT BRUT APRÈS LES COÛTS DIRECTS</t>
  </si>
  <si>
    <t>% SALES</t>
  </si>
  <si>
    <t>* MÉMO * - PRIX DE VENTE DES VÉHICULES CÉDÉS</t>
  </si>
  <si>
    <t>5X0DS</t>
  </si>
  <si>
    <t>* MÉMO * - FRAIS DE CESSION</t>
  </si>
  <si>
    <t>7X0DE</t>
  </si>
  <si>
    <t>GAIN(PERTE) SUR CESSION</t>
  </si>
  <si>
    <t>5X0GL</t>
  </si>
  <si>
    <t>AAD</t>
  </si>
  <si>
    <t>UNITÉS EN SERVICE AU DÉBUT</t>
  </si>
  <si>
    <t>UNITÉS AJOUTÉES EN SERVICE DURANT LA PÉRIODE</t>
  </si>
  <si>
    <t>UNITÉS ÉLIMINÉES DU SERVICE DURANT LA PÉRIODE</t>
  </si>
  <si>
    <t xml:space="preserve">UNITÉS EN SERVICE À LA FIN </t>
  </si>
  <si>
    <t>UNITÉS CÉDÉES</t>
  </si>
  <si>
    <r>
      <t xml:space="preserve">*MÉMO* RÉTENTION DE LA CLIENTÈLE </t>
    </r>
    <r>
      <rPr>
        <vertAlign val="superscript"/>
        <sz val="8"/>
        <rFont val="Arial"/>
        <family val="2"/>
      </rPr>
      <t>(1)</t>
    </r>
  </si>
  <si>
    <t>ANALYSE DES STOCKS</t>
  </si>
  <si>
    <t>MONTANT</t>
  </si>
  <si>
    <t>UNITÉS NEUVES POUR LOCATION</t>
  </si>
  <si>
    <t>277A</t>
  </si>
  <si>
    <t>COMPTES À RECEVOIR</t>
  </si>
  <si>
    <t>NON-ÉCHUS</t>
  </si>
  <si>
    <t>1 - 30 JOURS</t>
  </si>
  <si>
    <t>31 - 60 JOURS</t>
  </si>
  <si>
    <t>61 - 90 JOURS</t>
  </si>
  <si>
    <t>PLUS DE 90 JOURS</t>
  </si>
  <si>
    <t>VÉHICULES DE DÉMONSTRATION</t>
  </si>
  <si>
    <t>277B</t>
  </si>
  <si>
    <t>FACTURATION LOC L.T.</t>
  </si>
  <si>
    <t xml:space="preserve">220 FACT LC&amp;LT </t>
  </si>
  <si>
    <t>UNITÉS HORS SERVICE NON CÉDÉES</t>
  </si>
  <si>
    <t>277C</t>
  </si>
  <si>
    <t>AUTRES COMPTES À REC.</t>
  </si>
  <si>
    <t>220 AUT LC&amp;LT</t>
  </si>
  <si>
    <r>
      <t>*MÉMO" &gt; 30 JOURS</t>
    </r>
    <r>
      <rPr>
        <sz val="10"/>
        <color indexed="17"/>
        <rFont val="Arial"/>
        <family val="2"/>
      </rPr>
      <t xml:space="preserve">  $$/ U</t>
    </r>
  </si>
  <si>
    <t>VÉHICULES EN SERVICE</t>
  </si>
  <si>
    <t xml:space="preserve"> AMORTIS.</t>
  </si>
  <si>
    <t>NET</t>
  </si>
  <si>
    <t>MOINS RÉSERVE POUR CRÉANCES DOUTEUSES</t>
  </si>
  <si>
    <t>340 RCD LC&amp;LT</t>
  </si>
  <si>
    <t>VÉH. LOC. À LONG TERME</t>
  </si>
  <si>
    <t>277D</t>
  </si>
  <si>
    <t>220 LC&amp;TL NET</t>
  </si>
  <si>
    <t>VÉH. LOC. À COURT TERME</t>
  </si>
  <si>
    <t>277E</t>
  </si>
  <si>
    <t>ÉQUIP. LOC. À LONG TERME</t>
  </si>
  <si>
    <t>277F</t>
  </si>
  <si>
    <r>
      <t>(1)</t>
    </r>
    <r>
      <rPr>
        <sz val="9"/>
        <rFont val="Arial"/>
        <family val="2"/>
      </rPr>
      <t xml:space="preserve"> Rétention de la clientèle = </t>
    </r>
    <r>
      <rPr>
        <sz val="9"/>
        <color indexed="12"/>
        <rFont val="Arial"/>
        <family val="2"/>
      </rPr>
      <t xml:space="preserve">Renouvellements de location à long terme en gros plus, renouvellements en transactions </t>
    </r>
  </si>
  <si>
    <t>TOTAL STCK &amp; EN SERVICE</t>
  </si>
  <si>
    <t xml:space="preserve">      au détail plus, prolongations de location à long terme ou du financement plus, rachats.</t>
  </si>
  <si>
    <t>L C&amp;L T -  ACTIVITÉS FINANCE, ASSURANCE</t>
  </si>
  <si>
    <t>ET PLANS DE PROTECTION</t>
  </si>
  <si>
    <t>REVENU /                                       PROFIT BRUT</t>
  </si>
  <si>
    <t>COMMISSIONS ENCAISSÉES SUR ASSU</t>
  </si>
  <si>
    <t>AUTRES PLANS DE PROTECTION</t>
  </si>
  <si>
    <t>COMMISSIONS DIRECTEUR F&amp;A</t>
  </si>
  <si>
    <t>L C&amp;L T - REV. FIN. &amp; ASS.&amp; PLANS DE PROT.(p3, lignes1-2)</t>
  </si>
  <si>
    <t>Étendue de vérification de la gamme de modèles de véhicules ainsi que le mappage à la page 5 PARCS</t>
  </si>
  <si>
    <t>Page--&gt;</t>
  </si>
  <si>
    <t>5 CHV MCI</t>
  </si>
  <si>
    <t>5 CHV VE</t>
  </si>
  <si>
    <t>5 BUI MCI</t>
  </si>
  <si>
    <t>5 BUI VE</t>
  </si>
  <si>
    <t>5 GMC MCI</t>
  </si>
  <si>
    <t>5 GMC VE</t>
  </si>
  <si>
    <t>5 CAD MCI</t>
  </si>
  <si>
    <t>5 CAD VE</t>
  </si>
  <si>
    <t>5i SANS OBJECT</t>
  </si>
  <si>
    <t>5j SANS OBJECT</t>
  </si>
  <si>
    <t>No. Cmpte</t>
  </si>
  <si>
    <t>AUTOS</t>
  </si>
  <si>
    <t>Cell</t>
  </si>
  <si>
    <t>Org Format</t>
  </si>
  <si>
    <t>CRITICAL Formt 1</t>
  </si>
  <si>
    <t>CRITICAL Formt 2</t>
  </si>
  <si>
    <t>Non-CRIT Formt 1</t>
  </si>
  <si>
    <t>Non-CRIT Formt 2</t>
  </si>
  <si>
    <t>Total Comment</t>
  </si>
  <si>
    <t>CRITICAL Comment 1</t>
  </si>
  <si>
    <t>CRITICAL Comment 2</t>
  </si>
  <si>
    <t>Non-CRIT Comment 1</t>
  </si>
  <si>
    <t>Non-CRIT Comment 2</t>
  </si>
  <si>
    <t>Table Ref1
Row #</t>
  </si>
  <si>
    <t>Table Ref2
Row #</t>
  </si>
  <si>
    <t>Column Ref</t>
  </si>
  <si>
    <t>Dup
Test</t>
  </si>
  <si>
    <t>SORT A</t>
  </si>
  <si>
    <t>SORT B</t>
  </si>
  <si>
    <t>Potential
Demerit
Points 1</t>
  </si>
  <si>
    <t>Potential
Demerit
Points 2</t>
  </si>
  <si>
    <t>Non-Critical
Comments1
Row #</t>
  </si>
  <si>
    <t>Non-Critical
Comments2
Row #</t>
  </si>
  <si>
    <t>Deducted Point Comment</t>
  </si>
  <si>
    <t>Line # Ref</t>
  </si>
  <si>
    <t>Test</t>
  </si>
  <si>
    <t>CODE DE CONCESSIONNAIRE "BAC"</t>
  </si>
  <si>
    <t>DU MOIS</t>
  </si>
  <si>
    <t>AU MOIS</t>
  </si>
  <si>
    <t>DIVISION</t>
  </si>
  <si>
    <t>DU JOUR</t>
  </si>
  <si>
    <t>AU JOUR</t>
  </si>
  <si>
    <t>COÛT DU TERRAIN</t>
  </si>
  <si>
    <t>COÛT DU BÂT. &amp; AMÉL.</t>
  </si>
  <si>
    <t>COÛT DES PROPRIÉTÉS LOUÉES À BAIL</t>
  </si>
  <si>
    <t>COÛT DU MATÉRIEL INFORMATIQUE</t>
  </si>
  <si>
    <t>COÛT DU LOGICIEL INFORMATIQUE</t>
  </si>
  <si>
    <t>COÛT DES MACHINES ET DE L'ÉQUIPEMENT D'ATELIER</t>
  </si>
  <si>
    <t>COÛT DU MATÉRIEL P &amp; A</t>
  </si>
  <si>
    <t xml:space="preserve">COÛT DU MOBILIER ET DE L'ÉQUIPEMENT </t>
  </si>
  <si>
    <t>COÛT DES VÉHICULES DE SERVITUDE</t>
  </si>
  <si>
    <t>UNITÉS DE VÉHICULES DE SERVITUDE - VOITURES</t>
  </si>
  <si>
    <t>DE L'ANNÉE</t>
  </si>
  <si>
    <t>À L'ANNÉE</t>
  </si>
  <si>
    <t>UNITÉS DE VÉHICULES ÉDUCATION ROUTIÈRE</t>
  </si>
  <si>
    <t>AMORTIS. CUMULÉ LC&amp;LT</t>
  </si>
  <si>
    <t>AMORTIS. CUMULÉ DU BÂT. ET AMÉL.</t>
  </si>
  <si>
    <t>AMORTIS. CUMULÉ DES PROPRIÉTÉS LOUÉES À BAIL</t>
  </si>
  <si>
    <t>AMORTIS. CUMULÉ DU MATÉRIEL INFORMATIQUE</t>
  </si>
  <si>
    <t>AMORTIS. CUMULÉ DU LOGICIEL INFORMATIQUE</t>
  </si>
  <si>
    <t>AMORTIS. CUMULÉ DES MACHINES ET DE L'ÉQUIPEMENT D'ATELIER</t>
  </si>
  <si>
    <t>AMORTIS. CUMULÉ DU MATÉRIEL P&amp;A</t>
  </si>
  <si>
    <t xml:space="preserve">AMORTIS. CUMULÉ DU MOBILIER ET DE L'ÉQUIPEMENT </t>
  </si>
  <si>
    <t>AMORTIS. CUMULÉ DES VÉHICULES DE SERVITUDE</t>
  </si>
  <si>
    <t xml:space="preserve">AMORTIS. CUMULÉ </t>
  </si>
  <si>
    <t>UNITÉS DE VÉHICULES DE SERVITUDE - CAMIONS</t>
  </si>
  <si>
    <t>ENCAISSE</t>
  </si>
  <si>
    <t>BANQUE</t>
  </si>
  <si>
    <t>CONTRATS EN ATTENTE</t>
  </si>
  <si>
    <t>PORTEFEUILLE</t>
  </si>
  <si>
    <t>À RECEVOIR DU MANUFACTURIER</t>
  </si>
  <si>
    <t>À REC. DES ORGAN. DE FINANCEMENT</t>
  </si>
  <si>
    <t>RÉCLAM. AU TITRE DE LA GARANTIE</t>
  </si>
  <si>
    <t>COMMISSIONS À REC. SUR ASSURANCES</t>
  </si>
  <si>
    <t>T.P.S. ET T.V.P. A RECEVOIR</t>
  </si>
  <si>
    <t>STOCKS - PIÈCES ET ACCESSOIRES</t>
  </si>
  <si>
    <t>STOCKS - PNEUS</t>
  </si>
  <si>
    <t>STOCKS - ESSENCE, HUILE ET GRAISSE</t>
  </si>
  <si>
    <t>STOCKS - MATÉRIEL ATELIER CARROSS. ET PEINT.</t>
  </si>
  <si>
    <t>STOCKS - RÉPARATIONS SOUS-TRAITÉES</t>
  </si>
  <si>
    <t>STOCKS - TRAVAUX EN COURS - MAIN-D'ŒUVRE</t>
  </si>
  <si>
    <t>STOCKS - AUTRES</t>
  </si>
  <si>
    <t>STOCKS - ACTIFS DIVERS DE REPRISE</t>
  </si>
  <si>
    <t>FRAIS PAYÉS D'AVANCE : IMPÔTS</t>
  </si>
  <si>
    <t>FRAIS PAYÉS D'AVANCE : ASSURANCE</t>
  </si>
  <si>
    <t>FRAIS PAYÉS D'AVANCE : AUTRES</t>
  </si>
  <si>
    <t>VALEUR D'ACTIF VÉH. ÉDUC. ROUTIÈRE</t>
  </si>
  <si>
    <t>TERRAIN</t>
  </si>
  <si>
    <t>BÂT. ET AMÉL.</t>
  </si>
  <si>
    <t>PROPRIÉTÉS LOUÉES À BAIL</t>
  </si>
  <si>
    <t>MATÉRIEL INFORMATIQUE</t>
  </si>
  <si>
    <t>LOGICIEL INFORMATIQUE</t>
  </si>
  <si>
    <t>MACHINES ET ÉQUIPEMENT D'ATELIER</t>
  </si>
  <si>
    <t>MATÉRIEL P&amp;A</t>
  </si>
  <si>
    <t>MOBILIER ET ÉQUIPEMENT</t>
  </si>
  <si>
    <t>VÉHICULES DE SERVITUDE</t>
  </si>
  <si>
    <t>ACTIF COMPTE 289  (VIERGE)</t>
  </si>
  <si>
    <t>TOTAUX IMMOBILISATIONS NETTES</t>
  </si>
  <si>
    <t>VALEUR DE RACHAT DES POLICES D'ASSURANCE-VIE</t>
  </si>
  <si>
    <t>BILLETS &amp; COMPTES - CLIENTS À RECEVOIR - ADMINISTRATEURS</t>
  </si>
  <si>
    <t>EFFETS &amp; COMPTES À RECEVOIR - AUTRES</t>
  </si>
  <si>
    <t>AUTRES PLACEMENTS ET BIENS DIVERS</t>
  </si>
  <si>
    <t>ACTIF TOTAL</t>
  </si>
  <si>
    <t>CONCESSIONNAIRE</t>
  </si>
  <si>
    <t>ADRESSE</t>
  </si>
  <si>
    <t>VILLE</t>
  </si>
  <si>
    <t>ÉTAT / PROVINCE</t>
  </si>
  <si>
    <t>*POUR MÉMOIRE: PAIEMENT DIFFÉRÉ - COMPTE 310</t>
  </si>
  <si>
    <t>CODE POSTAL</t>
  </si>
  <si>
    <t>DETTE LONG TERME À EXCL</t>
  </si>
  <si>
    <t>BANQUE - SOLDE CRÉDITEUR</t>
  </si>
  <si>
    <t>COMPTES À PAYER - FOURNISSEURS</t>
  </si>
  <si>
    <t>SOLDES CRÉDITEURS - COMPTES À RECEVOIR</t>
  </si>
  <si>
    <t>DÉPÔTS DES CLIENTS</t>
  </si>
  <si>
    <t>AVANCES RÉCLAMATIONS SUR GARANTIE</t>
  </si>
  <si>
    <t>EFFETS À PAYER VÉH. NEUFS ET DE DÉMONSTRATION</t>
  </si>
  <si>
    <t>EFFETS À PAYER - VÉHICULES D'OCCASION</t>
  </si>
  <si>
    <t>BILLETS À PAYER - VÉH. LOCATION C &amp; L T</t>
  </si>
  <si>
    <t>EFFETS À PAYER - AUTRES</t>
  </si>
  <si>
    <t>T.P.S. À PAYER</t>
  </si>
  <si>
    <t>INTÉRÊTS À PAYER</t>
  </si>
  <si>
    <t>SALAIRES ET COMMISSIONS À PAYER</t>
  </si>
  <si>
    <t>ASSURANCE À PAYER</t>
  </si>
  <si>
    <t>DÉDUCTIONS À LA SOURCE À PAYER</t>
  </si>
  <si>
    <t>TAXES SUR LA VENTE À PAYER</t>
  </si>
  <si>
    <t>AUTRES TAXES À PAYER</t>
  </si>
  <si>
    <t>IMPÔTS SUR LE REVENU À PAYER</t>
  </si>
  <si>
    <t>BONIS À PAYER AUX EMPLOYÉS</t>
  </si>
  <si>
    <t>BONIS À PAYER AUX PROPRIÉTAIRES</t>
  </si>
  <si>
    <t>CAISSE DE RETRAITE À PAYER</t>
  </si>
  <si>
    <t>AUTRES DÉPENSES À PAYER</t>
  </si>
  <si>
    <t>AUTRE PASSIF</t>
  </si>
  <si>
    <t>DETTE À LONG TERME</t>
  </si>
  <si>
    <t>TAXES DIFFÉRÉES</t>
  </si>
  <si>
    <t>HYPOTHÈQUES À PAYER - IMMOBILIER</t>
  </si>
  <si>
    <t>CAPITAL ACTIONS ET CAPITAL D'APPORT</t>
  </si>
  <si>
    <t>BÉNÉFICES NON RÉPARTIS</t>
  </si>
  <si>
    <t>DIVIDENDES</t>
  </si>
  <si>
    <t>PLACEMENTS</t>
  </si>
  <si>
    <t>PRÉLÈVEMENTS</t>
  </si>
  <si>
    <t>ÉCART</t>
  </si>
  <si>
    <t>TOTAL PASSIF ET VALEUR NETTE</t>
  </si>
  <si>
    <t>TOTAL VENTES NETTES - CE MOIS</t>
  </si>
  <si>
    <t>TOTAL VENTES NETTES - AAD</t>
  </si>
  <si>
    <t>BONIS AUX SALARIÉS</t>
  </si>
  <si>
    <t>BONIS AU PROPRIÉTAIRE</t>
  </si>
  <si>
    <t xml:space="preserve">IMPÔTS SUR LE REVENU </t>
  </si>
  <si>
    <t>NEUFS - RÉMUNÉRATION VENDEURS VÉH. ET AUTRES</t>
  </si>
  <si>
    <t>NEUFS - FRAIS DE LIVRAISON</t>
  </si>
  <si>
    <t>NEUFS - TRAVAUX À TITRE GRACIEUX VÉHICULES</t>
  </si>
  <si>
    <t>NEUFS - RÉMUNÉRATION - PROP. / DIR. GÉNÉRAL</t>
  </si>
  <si>
    <t>NEUFS - RÉMUNÉRATION CADRES</t>
  </si>
  <si>
    <t>NEUFS - RÉMUNÉRATION EMPLOYÉS DE BUREAU</t>
  </si>
  <si>
    <t>NEUFS - RÉMUNÉRATION AUTRES</t>
  </si>
  <si>
    <t>NEUF - PRORATA DES FRAIS D'ADMINIS. GÉNÉRALE - MOIS</t>
  </si>
  <si>
    <t>NEUF - PROFIT OU PERTE PAR SERVICE APRÈS TRSF &amp; PRORATA - MOIS</t>
  </si>
  <si>
    <t>NEUFS - ABSENCES RÉMUNÉRÉES</t>
  </si>
  <si>
    <t>NEUFS - PRIMES DE RENDEMENT - CADRES</t>
  </si>
  <si>
    <t>NEUFS - IMPÔTS RETENUS À LA SOURCE</t>
  </si>
  <si>
    <t>NEUFS - AVANTAGES SOCIAUX</t>
  </si>
  <si>
    <t>NEUFS - CAISSE DE RETRAITE</t>
  </si>
  <si>
    <t>NEUFS - DÉPENSES POUR VÉHICULES DE SERVITUDE</t>
  </si>
  <si>
    <t>NEUFS - FOURNITURES ET DÉPENSES DE BUREAU</t>
  </si>
  <si>
    <t>NEUFS - AUTRES FOURNITURES</t>
  </si>
  <si>
    <t>NEUFS - COMMERCE ÉLECTRONIQUE - FRAIS DE PUBLICITÉ</t>
  </si>
  <si>
    <t>NEUFS - PUBLICITÉ</t>
  </si>
  <si>
    <t>NEUFS - RISTOURNES DE PUBLICITÉ</t>
  </si>
  <si>
    <t>NEUFS - CONTRIBUTIONS</t>
  </si>
  <si>
    <t>NEUFS - SERVICES EXTÉRIEURS - INFORMATIQUE</t>
  </si>
  <si>
    <t>NEUFS - SERVICES EXTÉRIEURS - AUTRES</t>
  </si>
  <si>
    <t>NEUFS - VOYAGES ET REPRÉSENTATION</t>
  </si>
  <si>
    <t>NEUFS - COTISATIONS, PUBLICATIONS ET ABONN.</t>
  </si>
  <si>
    <t>NEUFS - CONTENTIEUX ET VÉRIFICATION</t>
  </si>
  <si>
    <t>NEUFS - TÉLÉPHONE</t>
  </si>
  <si>
    <t>NEUFS - FORMATION ET PERFECTIONNEMENT</t>
  </si>
  <si>
    <t>NEUFS - INTÉRÊT- FINANCEMENT DES STOCKS</t>
  </si>
  <si>
    <t>NEUFS - INTÉRÊT - CRÉDIT FINANCEMENT DES STOCKS</t>
  </si>
  <si>
    <t>NEUFS - INTÉRÊT - BILLETS À PAYER (AUTRES)</t>
  </si>
  <si>
    <t>NEUFS - ASSURANCE - STOCKS</t>
  </si>
  <si>
    <t>NEUFS - FRAIS DE MAUVAISES CRÉANCES</t>
  </si>
  <si>
    <t>NEUFS - FRAIS DE POSTE ET DE TRANSPORT</t>
  </si>
  <si>
    <t>NEUFS - FRAIS DIVERS</t>
  </si>
  <si>
    <t>NEUFS - LOYER</t>
  </si>
  <si>
    <t>NEUFS - AMORTISSEMENT AMÉLIORATIONS LOCATIVES</t>
  </si>
  <si>
    <t>NEUFS - RÉPARATIONS AUX IMMEUBLES</t>
  </si>
  <si>
    <t>NEUFS - AMORTISSEMENT - BÂT. ET AMÉLIORATIONS</t>
  </si>
  <si>
    <t>NEUFS - IMPÔTS FONCIERS</t>
  </si>
  <si>
    <t>NEUFS - ASSURANCE - BÂT. ET AMÉLIORATIONS</t>
  </si>
  <si>
    <t>NEUFS - INTÉRÊTS - HYPOTHÈQUES</t>
  </si>
  <si>
    <t>NEUFS - CHAUFF. ÉCLAIRAGE, ÉLECTRICITÉ ET EAU</t>
  </si>
  <si>
    <t>NEUFS - AUTRES ASSURANCES</t>
  </si>
  <si>
    <t>NEUFS - AUTRES TAXES</t>
  </si>
  <si>
    <t>NEUFS - RÉPARATIONS À L'ÉQUIPEMENT</t>
  </si>
  <si>
    <t>NEUFS - AMORTISSEMENT DE L'ÉQUIPEMENT</t>
  </si>
  <si>
    <t>NEUFS - LOCATION D'ÉQUIPEMENT</t>
  </si>
  <si>
    <t>NEUFS - PRORATA DES FRAIS D'ADMINIS. GÉNÉRALE - AAD</t>
  </si>
  <si>
    <t>NEUFS - PROFIT OU PERTE PAR SERVICE APRÈS TRSF &amp; PRORATA - AAD</t>
  </si>
  <si>
    <t>RENTRÉES SUR CRÉANCES RADIÉES</t>
  </si>
  <si>
    <t>GAINS D'ESCOMPTES DE CAISSE</t>
  </si>
  <si>
    <t>AUTRE REVENU</t>
  </si>
  <si>
    <t>D'OCCASION - RÉMUNÉRATION VENDEURS VÉH. ET AUTRES</t>
  </si>
  <si>
    <t>D'OCCASION - FRAIS DE LIVRAISON</t>
  </si>
  <si>
    <t>D'OCCASION - TRAVAUX À TITRE GRACIEUX VÉHICULES</t>
  </si>
  <si>
    <t>D'OCCASION - RÉMUNÉRATION - PROP. / DIR. GÉNÉRAL</t>
  </si>
  <si>
    <t>D'OCCASION - RÉMUNÉRATION CADRES</t>
  </si>
  <si>
    <t>D'OCCASION - RÉMUNÉRATION EMPLOYÉS DE BUREAU</t>
  </si>
  <si>
    <t>D'OCCASION - RÉMUNÉRATION AUTRES</t>
  </si>
  <si>
    <t>D'OCCASION - PRORATA DES FRAIS D'ADMINIS. GÉNÉRALE - MOIS</t>
  </si>
  <si>
    <t>D'OCCASION - PROFIT OU PERTE PAR SERVICE APRÈS TRSF &amp; PRORATA - MOIS</t>
  </si>
  <si>
    <t>D'OCCASION - ABSENCES RÉMUNÉRÉES</t>
  </si>
  <si>
    <t>D'OCCASION - PRIMES DE RENDEMENT - CADRES</t>
  </si>
  <si>
    <t>D'OCCASION - IMPÔTS RETENUS À LA SOURCE</t>
  </si>
  <si>
    <t>D'OCCASION - AVANTAGES SOCIAUX</t>
  </si>
  <si>
    <t>D'OCCASION - CAISSE DE RETRAITE</t>
  </si>
  <si>
    <t>D'OCCASION - DÉPENSES POUR VÉHICULES DE SERVITUDE</t>
  </si>
  <si>
    <t>D'OCCASION - FOURNITURES ET DÉPENSES DE BUREAU</t>
  </si>
  <si>
    <t>D'OCCASION - AUTRES FOURNITURES</t>
  </si>
  <si>
    <t>D'OCCASION - COMMERCE ÉLECTRONIQUE - FRAIS DE PUBLICITÉ</t>
  </si>
  <si>
    <t>D'OCCASION - PUBLICITÉ</t>
  </si>
  <si>
    <t>D'OCCASION - RISTOURNES DE PUBLICITÉ</t>
  </si>
  <si>
    <t>D'OCCASION - CONTRIBUTIONS</t>
  </si>
  <si>
    <t>D'OCCASION - SERVICES EXTÉRIEURS - INFORMATIQUE</t>
  </si>
  <si>
    <t>D'OCCASION - SERVICES EXTÉRIEURS - AUTRES</t>
  </si>
  <si>
    <t>D'OCCASION - VOYAGES ET REPRÉSENTATION</t>
  </si>
  <si>
    <t>D'OCCASION - COTISATIONS, PUBLICATIONS ET ABONN.</t>
  </si>
  <si>
    <t>D'OCCASION - CONTENTIEUX ET VÉRIFICATION</t>
  </si>
  <si>
    <t>D'OCCASION - TÉLÉPHONE</t>
  </si>
  <si>
    <t>D'OCCASION - FORMATION ET PERFECTIONNEMENT</t>
  </si>
  <si>
    <t>D'OCCASION - INTÉRÊT- FINANCEMENT DES STOCKS</t>
  </si>
  <si>
    <t>D'OCCASION - INTÉRÊT - CRÉDIT FINANCEMENT DES STOCKS</t>
  </si>
  <si>
    <t>D'OCCASION - INTÉRÊT - BILLETS À PAYER (AUTRES)</t>
  </si>
  <si>
    <t>D'OCCASION - ASSURANCE - STOCKS</t>
  </si>
  <si>
    <t>D'OCCASION - FRAIS DE MAUVAISES CRÉANCES</t>
  </si>
  <si>
    <t>D'OCCASION - FRAIS DE POSTE ET DE TRANSPORT</t>
  </si>
  <si>
    <t>D'OCCASION - FRAIS DIVERS</t>
  </si>
  <si>
    <t>D'OCCASION - LOYER</t>
  </si>
  <si>
    <t>D'OCCASION - AMORTISSEMENT AMÉLIORATIONS LOCATIVES</t>
  </si>
  <si>
    <t>D'OCCASION - RÉPARATIONS AUX IMMEUBLES</t>
  </si>
  <si>
    <t>D'OCCASION - AMORTISSEMENT - BÂT. ET AMÉLIORATIONS</t>
  </si>
  <si>
    <t>D'OCCASION - IMPÔTS FONCIERS</t>
  </si>
  <si>
    <t>D'OCCASION - ASSURANCE - BÂT. ET AMÉLIORATIONS</t>
  </si>
  <si>
    <t>D'OCCASION - INTÉRÊTS - HYPOTHÈQUES</t>
  </si>
  <si>
    <t>D'OCCASION - CHAUFF. ÉCLAIRAGE, ÉLECTRICITÉ ET EAU</t>
  </si>
  <si>
    <t>D'OCCASION - AUTRES ASSURANCES</t>
  </si>
  <si>
    <t>D'OCCASION - AUTRES TAXES</t>
  </si>
  <si>
    <t>D'OCCASION - RÉPARATIONS À L'ÉQUIPEMENT</t>
  </si>
  <si>
    <t>D'OCCASION - AMORTISSEMENT DE L'ÉQUIPEMENT</t>
  </si>
  <si>
    <t>D'OCCASION - LOCATION D'ÉQUIPEMENT</t>
  </si>
  <si>
    <t>D'OCCASION - PRORATA DES FRAIS D'ADMINIS. GÉNÉRALE - AAD</t>
  </si>
  <si>
    <t>D'OCCASION - PROFIT OU PERTE PAR SERVICE APRÈS TRSF &amp; PRORATA - AAD</t>
  </si>
  <si>
    <t>LC&amp;LT - RÉMUNÉRATION VENDEURS VÉH. ET AUTRES</t>
  </si>
  <si>
    <t>LC&amp;LT - FRAIS DE LIVRAISON</t>
  </si>
  <si>
    <t>LC&amp;LT - TRAVAUX À TITRE GRACIEUX VÉHICULES</t>
  </si>
  <si>
    <t>LC&amp;LT - RÉMUNÉRATION - PROP. / DIR. GÉNÉRAL</t>
  </si>
  <si>
    <t>LC&amp;LT - RÉMUNÉRATION CADRES</t>
  </si>
  <si>
    <t>LC&amp;LT - RÉMUNÉRATION EMPLOYÉS DE BUREAU</t>
  </si>
  <si>
    <t>LC&amp;LT - RÉMUNÉRATION AUTRES</t>
  </si>
  <si>
    <t>LC&amp;LT - PRORATA DES FRAIS D'ADMINIS. GÉNÉRALE - MOIS</t>
  </si>
  <si>
    <t>LC&amp;LT - PROFIT OU PERTE PAR SERVICE APRÈS TRSF &amp; PRORATA - MOIS</t>
  </si>
  <si>
    <t>ADDITIONS ET DÉDUCTIONS NETTES - MOIS</t>
  </si>
  <si>
    <t>LC&amp;LT - ABSENCES RÉMUNÉRÉES</t>
  </si>
  <si>
    <t>LC&amp;LT - PRIMES DE RENDEMENT - CADRES</t>
  </si>
  <si>
    <t>LC&amp;LT - IMPÔTS RETENUS À LA SOURCE</t>
  </si>
  <si>
    <t>LC&amp;LT - AVANTAGES SOCIAUX</t>
  </si>
  <si>
    <t>LC&amp;LT - CAISSE DE RETRAITE</t>
  </si>
  <si>
    <t>LC&amp;LT - DÉPENSES POUR VÉHICULES DE SERVITUDE</t>
  </si>
  <si>
    <t>LC&amp;LT - FOURNITURES ET DÉPENSES DE BUREAU</t>
  </si>
  <si>
    <t>LC&amp;LT - AUTRES FOURNITURES</t>
  </si>
  <si>
    <t>LC&amp;LT - COMMERCE ÉLECTRONIQUE - FRAIS DE PUBLICITÉ</t>
  </si>
  <si>
    <t>LC&amp;LT - PUBLICITÉ</t>
  </si>
  <si>
    <t>LC&amp;LT - RISTOURNES DE PUBLICITÉ</t>
  </si>
  <si>
    <t>LC&amp;LT - CONTRIBUTIONS</t>
  </si>
  <si>
    <t>LC&amp;LT - SERVICES EXTÉRIEURS - INFORMATIQUE</t>
  </si>
  <si>
    <t>LC&amp;LT - SERVICES EXTÉRIEURS - AUTRES</t>
  </si>
  <si>
    <t>LC&amp;LT - VOYAGES ET REPRÉSENTATION</t>
  </si>
  <si>
    <t>LC&amp;LT - COTISATIONS, PUBLICATIONS ET ABONN.</t>
  </si>
  <si>
    <t>LC&amp;LT - CONTENTIEUX ET VÉRIFICATION</t>
  </si>
  <si>
    <t>LC&amp;LT - TÉLÉPHONE</t>
  </si>
  <si>
    <t>LC&amp;LT - FORMATION ET PERFECTIONNEMENT</t>
  </si>
  <si>
    <t>LC&amp;LT - INTÉRÊT- FINANCEMENT DES STOCKS</t>
  </si>
  <si>
    <t>LC&amp;LT - INTÉRÊT - CRÉDIT FINANCEMENT DES STOCKS</t>
  </si>
  <si>
    <t>LC&amp;LT - INTÉRÊT - BILLETS À PAYER (AUTRES)</t>
  </si>
  <si>
    <t>LC&amp;LT - ASSURANCE - STOCKS</t>
  </si>
  <si>
    <t>LC&amp;LT - FRAIS DE MAUVAISES CRÉANCES</t>
  </si>
  <si>
    <t>LC&amp;LT - FRAIS DE POSTE ET DE TRANSPORT</t>
  </si>
  <si>
    <t>LC&amp;LT - FRAIS DIVERS</t>
  </si>
  <si>
    <t>LC&amp;LT - LOYER</t>
  </si>
  <si>
    <t>LC&amp;LT - AMORTISSEMENT AMÉLIORATIONS LOCATIVES</t>
  </si>
  <si>
    <t>LC&amp;LT - RÉPARATIONS AUX IMMEUBLES</t>
  </si>
  <si>
    <t>LC&amp;LT - AMORTISSEMENT - BÂT. ET AMÉLIORATIONS</t>
  </si>
  <si>
    <t>LC&amp;LT - IMPÔTS FONCIERS</t>
  </si>
  <si>
    <t>LC&amp;LT - ASSURANCE - BÂT. ET AMÉLIORATIONS</t>
  </si>
  <si>
    <t>LC&amp;LT - INTÉRÊTS - HYPOTHÈQUES</t>
  </si>
  <si>
    <t>LC&amp;LT - CHAUFF. ÉCLAIRAGE, ÉLECTRICITÉ ET EAU</t>
  </si>
  <si>
    <t>LC&amp;LT - AUTRES ASSURANCES</t>
  </si>
  <si>
    <t>LC&amp;LT - AUTRES TAXES</t>
  </si>
  <si>
    <t>LC&amp;LT - RÉPARATIONS À L'ÉQUIPEMENT</t>
  </si>
  <si>
    <t>LC&amp;LT - AMORTISSEMENT DE L'ÉQUIPEMENT</t>
  </si>
  <si>
    <t>LC&amp;LT - LOCATION D'ÉQUIPEMENT</t>
  </si>
  <si>
    <t>LC&amp;LT - PRORATA DES FRAIS D'ADMINIS. GÉNÉRALE - AAD</t>
  </si>
  <si>
    <t>LC&amp;LT - PROFIT OU PERTE PAR SERVICE APRÈS TRSF &amp; PRORATA - AAD</t>
  </si>
  <si>
    <t>ADDITIONS ET DÉDUCTIONS NETTES - AAD</t>
  </si>
  <si>
    <t>MÉCA - RÉMUNÉRATION - PROP. / DIR. GÉNÉRAL</t>
  </si>
  <si>
    <t>MÉCA - RÉMUNÉRATION CADRES</t>
  </si>
  <si>
    <t>MÉCA - RÉMUNÉRATION EMPLOYÉS DE BUREAU</t>
  </si>
  <si>
    <t>MÉCA - RÉMUNÉRATION AUTRES</t>
  </si>
  <si>
    <t>MÉCA - TRANSFERT DE PROFIT BRUT PIÈCES AU CLIENT</t>
  </si>
  <si>
    <t>MÉCA - PRORATA DES FRAIS D'ADMINIS. GÉNÉRALE - MOIS</t>
  </si>
  <si>
    <t>MÉCA - PROFIT OU PERTE PAR SERVICE APRÈS TRSF &amp; PRORATA - MOIS</t>
  </si>
  <si>
    <t>MÉCA - VOITURES ET CAM. LEG. - MAIN-D'ŒUVRE CLIENT</t>
  </si>
  <si>
    <t>MÉCA - VOITURES ET CAM. LEG - MAIN-D'ŒUVRE CONTRAT PROLONG. DE SERVICE</t>
  </si>
  <si>
    <t>MÉCA - VOITURES ET CAM. LEG - M-D'ŒUVRE SERVICE RAPIDE / GOODWRENCH</t>
  </si>
  <si>
    <t>MÉCA - ABSENCES RÉMUNÉRÉES</t>
  </si>
  <si>
    <t>MÉCA - PRIMES DE RENDEMENT - CADRES</t>
  </si>
  <si>
    <t>MÉCA - IMPÔTS RETENUS À LA SOURCE</t>
  </si>
  <si>
    <t>MÉCA - AVANTAGES SOCIAUX</t>
  </si>
  <si>
    <t>MÉCA - CAISSE DE RETRAITE</t>
  </si>
  <si>
    <t>MÉCA - DÉPENSES POUR VÉHICULES DE SERVITUDE</t>
  </si>
  <si>
    <t>MÉCA - FOURNITURES ET DÉPENSES DE BUREAU</t>
  </si>
  <si>
    <t>MÉCA - AUTRES FOURNITURES</t>
  </si>
  <si>
    <t>MÉCA - COMMERCE ÉLECTRONIQUE - FRAIS DE PUBLICITÉ</t>
  </si>
  <si>
    <t>MÉCA - PUBLICITÉ</t>
  </si>
  <si>
    <t>MÉCA - RISTOURNES DE PUBLICITÉ</t>
  </si>
  <si>
    <t>MÉCA - CONTRIBUTIONS</t>
  </si>
  <si>
    <t>MÉCA - TRAVAUX GRACIEUX-PIÈCES ET SERVICE</t>
  </si>
  <si>
    <t>MÉCA - SERVICES EXTÉRIEURS - INFORMATIQUE</t>
  </si>
  <si>
    <t>MÉCA - SERVICES EXTÉRIEURS - AUTRES</t>
  </si>
  <si>
    <t>MÉCA - VOYAGES ET REPRÉSENTATION</t>
  </si>
  <si>
    <t>MÉCA - COTISATIONS, PUBLICATIONS ET ABONN.</t>
  </si>
  <si>
    <t>MÉCA - CONTENTIEUX ET VÉRIFICATION</t>
  </si>
  <si>
    <t>MÉCA - TÉLÉPHONE</t>
  </si>
  <si>
    <t>MÉCA - FORMATION ET PERFECTIONNEMENT</t>
  </si>
  <si>
    <t>MÉCA - INTÉRÊT - BILLETS À PAYER (AUTRES)</t>
  </si>
  <si>
    <t>MÉCA - FRAIS DE MAUVAISES CRÉANCES</t>
  </si>
  <si>
    <t>MÉCA - FRAIS DE POSTE ET DE TRANSPORT</t>
  </si>
  <si>
    <t>MÉCA - FRAIS DIVERS</t>
  </si>
  <si>
    <t>MÉCA - LOYER</t>
  </si>
  <si>
    <t>MÉCA - AMORTISSEMENT AMÉLIORATIONS LOCATIVES</t>
  </si>
  <si>
    <t>MÉCA - RÉPARATIONS AUX IMMEUBLES</t>
  </si>
  <si>
    <t>MÉCA - AMORTISSEMENT - BÂT. ET AMÉLIORATIONS</t>
  </si>
  <si>
    <t>MÉCA - IMPÔTS FONCIERS</t>
  </si>
  <si>
    <t>MÉCA - ASSURANCE - BÂT. ET AMÉLIORATIONS</t>
  </si>
  <si>
    <t>MÉCA - INTÉRÊTS - HYPOTHÈQUES</t>
  </si>
  <si>
    <t>MÉCA - CHAUFF. ÉCLAIRAGE, ÉLECTRICITÉ ET EAU</t>
  </si>
  <si>
    <t>MÉCA - AUTRES ASSURANCES</t>
  </si>
  <si>
    <t>MÉCA - AUTRES TAXES</t>
  </si>
  <si>
    <t>MÉCA - RÉPARATIONS À L'ÉQUIPEMENT</t>
  </si>
  <si>
    <t>MÉCA - AMORTISSEMENT DE L'ÉQUIPEMENT</t>
  </si>
  <si>
    <t>MÉCA - LOCATION D'ÉQUIPEMENT</t>
  </si>
  <si>
    <t>MÉCA - PRORATA DES FRAIS D'ADMINIS. GÉNÉRALE - AAD</t>
  </si>
  <si>
    <t>MÉCA - PROFIT OU PERTE PAR SERVICE APRÈS TRSF &amp; PRORATA - AAD</t>
  </si>
  <si>
    <t>MÉCA - CAM. MOY. &amp; SAAB - MAIN-D'ŒUVRE CLIENT</t>
  </si>
  <si>
    <t>MÉCA - CAM. MOY. &amp; SAAB - MAIN-D'ŒUVRE CONTRAT PROLONG. DE SERVICE</t>
  </si>
  <si>
    <t>MÉCA - CAM. MOY. &amp; SAAB - M-D'ŒUVRE SERVICE RAPIDE / GOODWRENCH</t>
  </si>
  <si>
    <t>CARROSS - RÉMUNÉRATION - PROP. / DIR. GÉNÉRAL</t>
  </si>
  <si>
    <t>CARROSS - RÉMUNÉRATION CADRES</t>
  </si>
  <si>
    <t>CARROSS - RÉMUNÉRATION EMPLOYÉS DE BUREAU</t>
  </si>
  <si>
    <t>CARROSS - RÉMUNÉRATION AUTRES</t>
  </si>
  <si>
    <t>CARROSS - TRANSFERT DE PROFIT BRUT PIÈCES AU CLIENT</t>
  </si>
  <si>
    <t>CARROSS - PRORATA DES FRAIS D'ADMINIS. GÉNÉRALE - MOIS</t>
  </si>
  <si>
    <t>CARROSS - PROFIT OU PERTE PAR SERVICE APRÈS TRSF &amp; PRORATA - MOIS</t>
  </si>
  <si>
    <t>CARROSS - ABSENCES RÉMUNÉRÉES</t>
  </si>
  <si>
    <t>CARROSS - PRIMES DE RENDEMENT - CADRES</t>
  </si>
  <si>
    <t>CARROSS - IMPÔTS RETENUS À LA SOURCE</t>
  </si>
  <si>
    <t>CARROSS - AVANTAGES SOCIAUX</t>
  </si>
  <si>
    <t>CARROSS - CAISSE DE RETRAITE</t>
  </si>
  <si>
    <t>CARROSS - DÉPENSES POUR VÉHICULES DE SERVITUDE</t>
  </si>
  <si>
    <t>CARROSS - FOURNITURES ET DÉPENSES DE BUREAU</t>
  </si>
  <si>
    <t>CARROSS - AUTRES FOURNITURES</t>
  </si>
  <si>
    <t>CARROSS - COMMERCE ÉLECTRONIQUE - FRAIS DE PUBLICITÉ</t>
  </si>
  <si>
    <t>CARROSS - PUBLICITÉ</t>
  </si>
  <si>
    <t>CARROSS - RISTOURNES DE PUBLICITÉ</t>
  </si>
  <si>
    <t>CARROSS - CONTRIBUTIONS</t>
  </si>
  <si>
    <t>CARROSS - TRAVAUX GRACIEUX-PIÈCES ET SERVICE</t>
  </si>
  <si>
    <t>CARROSS - SERVICES EXTÉRIEURS - INFORMATIQUE</t>
  </si>
  <si>
    <t>CARROSS - SERVICES EXTÉRIEURS - AUTRES</t>
  </si>
  <si>
    <t>CARROSS - VOYAGES ET REPRÉSENTATION</t>
  </si>
  <si>
    <t>CARROSS - COTISATIONS, PUBLICATIONS ET ABONN.</t>
  </si>
  <si>
    <t>CARROSS - CONTENTIEUX ET VÉRIFICATION</t>
  </si>
  <si>
    <t>CARROSS - TÉLÉPHONE</t>
  </si>
  <si>
    <t>CARROSS - FORMATION ET PERFECTIONNEMENT</t>
  </si>
  <si>
    <t>CARROSS - INTÉRÊT - BILLETS À PAYER (AUTRES)</t>
  </si>
  <si>
    <t>CARROSS - FRAIS DE MAUVAISES CRÉANCES</t>
  </si>
  <si>
    <t>CARROSS - FRAIS DE POSTE ET DE TRANSPORT</t>
  </si>
  <si>
    <t>CARROSS - FRAIS DIVERS</t>
  </si>
  <si>
    <t>CARROSS - LOYER</t>
  </si>
  <si>
    <t>CARROSS - AMORTISSEMENT AMÉLIORATIONS LOCATIVES</t>
  </si>
  <si>
    <t>CARROSS - RÉPARATIONS AUX IMMEUBLES</t>
  </si>
  <si>
    <t>CARROSS - AMORTISSEMENT - BÂT. ET AMÉLIORATIONS</t>
  </si>
  <si>
    <t>CARROSS - IMPÔTS FONCIERS</t>
  </si>
  <si>
    <t>CARROSS - ASSURANCE - BÂT. ET AMÉLIORATIONS</t>
  </si>
  <si>
    <t>CARROSS - INTÉRÊTS - HYPOTHÈQUES</t>
  </si>
  <si>
    <t>CARROSS - TOTAL PARTIEL LOYER ET ÉQUIVALENT</t>
  </si>
  <si>
    <t>CARROSS - CHAUFF. ÉCLAIRAGE, ÉLECTRICITÉ ET EAU</t>
  </si>
  <si>
    <t>CARROSS - AUTRES ASSURANCES</t>
  </si>
  <si>
    <t>CARROSS - AUTRES TAXES</t>
  </si>
  <si>
    <t>CARROSS - RÉPARATIONS À L'ÉQUIPEMENT</t>
  </si>
  <si>
    <t>CARROSS - AMORTISSEMENT DE L'ÉQUIPEMENT</t>
  </si>
  <si>
    <t>CARROSS - LOCATION D'ÉQUIPEMENT</t>
  </si>
  <si>
    <t>CARROSS - PRORATA DES FRAIS D'ADMINIS. GÉNÉRALE - AAD</t>
  </si>
  <si>
    <t>CARROSS - PROFIT OU PERTE PAR SERVICE APRÈS TRSF &amp; PRORATA - AAD</t>
  </si>
  <si>
    <t>P&amp;A - RÉMUNÉRATION - PROP. / DIR. GÉNÉRAL</t>
  </si>
  <si>
    <t>P&amp;A - RÉMUNÉRATION CADRES</t>
  </si>
  <si>
    <t>P&amp;A - RÉMUNÉRATION EMPLOYÉS DE BUREAU</t>
  </si>
  <si>
    <t>P&amp;A - RÉMUNÉRATION AUTRES</t>
  </si>
  <si>
    <t>P&amp;A - TRANSFERT DE PROFIT BRUT PIÈCES AU CLIENT</t>
  </si>
  <si>
    <t>P&amp;A - PRORATA DES FRAIS D'ADMINIS. GÉNÉRALE - MOIS</t>
  </si>
  <si>
    <t>P&amp;A - PROFIT OU PERTE PAR SERVICE APRÈS TRSF &amp; PRORATA - MOIS</t>
  </si>
  <si>
    <t>MÉCA - MAIN-D'ŒUVRE GARANTIE</t>
  </si>
  <si>
    <t>MÉCA - MAIN-D'ŒUVRE INTERNE</t>
  </si>
  <si>
    <t>P&amp;A - ABSENCES RÉMUNÉRÉES</t>
  </si>
  <si>
    <t>P&amp;A - PRIMES DE RENDEMENT - CADRES</t>
  </si>
  <si>
    <t>P&amp;A - IMPÔTS RETENUS À LA SOURCE</t>
  </si>
  <si>
    <t>P&amp;A - AVANTAGES SOCIAUX</t>
  </si>
  <si>
    <t>P&amp;A - CAISSE DE RETRAITE</t>
  </si>
  <si>
    <t>P&amp;A - DÉPENSES POUR VÉHICULES DE SERVITUDE</t>
  </si>
  <si>
    <t>P&amp;A - FOURNITURES ET DÉPENSES DE BUREAU</t>
  </si>
  <si>
    <t>P&amp;A - AUTRES FOURNITURES</t>
  </si>
  <si>
    <t>P&amp;A - COMMERCE ÉLECTRONIQUE - FRAIS DE PUBLICITÉ</t>
  </si>
  <si>
    <t>P&amp;A - PUBLICITÉ</t>
  </si>
  <si>
    <t>P&amp;A - RISTOURNES DE PUBLICITÉ</t>
  </si>
  <si>
    <t>P&amp;A - CONTRIBUTIONS</t>
  </si>
  <si>
    <t>P&amp;A - TRAVAUX GRACIEUX-PIÈCES ET SERVICE</t>
  </si>
  <si>
    <t>P&amp;A - SERVICES EXTÉRIEURS - INFORMATIQUE</t>
  </si>
  <si>
    <t>P&amp;A - SERVICES EXTÉRIEURS - AUTRES</t>
  </si>
  <si>
    <t>P&amp;A - VOYAGES ET REPRÉSENTATION</t>
  </si>
  <si>
    <t>P&amp;A - COTISATIONS, PUBLICATIONS ET ABONN.</t>
  </si>
  <si>
    <t>P&amp;A - CONTENTIEUX ET VÉRIFICATION</t>
  </si>
  <si>
    <t>P&amp;A - TÉLÉPHONE</t>
  </si>
  <si>
    <t>P&amp;A - FORMATION ET PERFECTIONNEMENT</t>
  </si>
  <si>
    <t>P&amp;A - INTÉRÊT - BILLETS À PAYER (AUTRES)</t>
  </si>
  <si>
    <t>P&amp;A - FRAIS DE MAUVAISES CRÉANCES</t>
  </si>
  <si>
    <t>P&amp;A - FRAIS DE POSTE ET DE TRANSPORT</t>
  </si>
  <si>
    <t>P&amp;A - FRAIS DIVERS</t>
  </si>
  <si>
    <t>P&amp;A - LOYER</t>
  </si>
  <si>
    <t>P&amp;A - AMORTISSEMENT AMÉLIORATIONS LOCATIVES</t>
  </si>
  <si>
    <t>P&amp;A - RÉPARATIONS AUX IMMEUBLES</t>
  </si>
  <si>
    <t>P&amp;A - AMORTISSEMENT - BÂT. ET AMÉLIORATIONS</t>
  </si>
  <si>
    <t>P&amp;A - IMPÔTS FONCIERS</t>
  </si>
  <si>
    <t>P&amp;A - ASSURANCE - BÂT. ET AMÉLIORATIONS</t>
  </si>
  <si>
    <t>P&amp;A - INTÉRÊTS - HYPOTHÈQUES</t>
  </si>
  <si>
    <t>P&amp;A - CHAUFF. ÉCLAIRAGE, ÉLECTRICITÉ ET EAU</t>
  </si>
  <si>
    <t>P&amp;A - AUTRES ASSURANCES</t>
  </si>
  <si>
    <t>P&amp;A - AUTRES TAXES</t>
  </si>
  <si>
    <t>P&amp;A - RÉPARATIONS À L'ÉQUIPEMENT</t>
  </si>
  <si>
    <t>P&amp;A - AMORTISSEMENT DE L'ÉQUIPEMENT</t>
  </si>
  <si>
    <t>P&amp;A - LOCATION D'ÉQUIPEMENT</t>
  </si>
  <si>
    <t>P&amp;A - PRORATA DES FRAIS D'ADMINIS. GÉNÉRALE - AAD</t>
  </si>
  <si>
    <t>P&amp;A - PROFIT OU PERTE PAR SERVICE APRÈS TRSF &amp; PRORATA - AAD</t>
  </si>
  <si>
    <t>CARROSS - MAIN-D'ŒUVRE GARANTIE</t>
  </si>
  <si>
    <t>CARROSS - MAIN-D'ŒUVRE INTERNE</t>
  </si>
  <si>
    <t>CARROSS - CARROSSERIE - MAIN-D'ŒUVRE PEINTURE</t>
  </si>
  <si>
    <t>CARROSS - CARROSSERIE - MAIN-D'ŒUVRE CARROSSERIE</t>
  </si>
  <si>
    <t>ADMIN. GÉN. - RÉMUNÉRATION - PROP. / DIR. GÉNÉRAL</t>
  </si>
  <si>
    <t>ADMIN. GÉN. - RÉMUNÉRATION CADRES</t>
  </si>
  <si>
    <t>ADMIN. GÉN. - RÉMUNÉRATION EMPLOYÉS DE BUREAU</t>
  </si>
  <si>
    <t>ADMIN. GÉN. - RÉMUNÉRATION AUTRES</t>
  </si>
  <si>
    <t>ADMIN. GÉN. - PRORATA DES FRAIS D'ADMINIS. GÉNÉRALE - MOIS</t>
  </si>
  <si>
    <t>ADMIN. GÉN. - PROFIT OU PERTE PAR SERVICE APRÈS TRSF &amp; PRORATA - MOIS</t>
  </si>
  <si>
    <t>ADMIN. GÉN. - ABSENCES RÉMUNÉRÉES</t>
  </si>
  <si>
    <t>ADMIN. GÉN. - PRIMES DE RENDEMENT - CADRES</t>
  </si>
  <si>
    <t>ADMIN. GÉN. - IMPÔTS RETENUS À LA SOURCE</t>
  </si>
  <si>
    <t>ADMIN. GÉN. - AVANTAGES SOCIAUX</t>
  </si>
  <si>
    <t>ADMIN. GÉN. - CAISSE DE RETRAITE</t>
  </si>
  <si>
    <t>ADMIN. GÉN. - DÉPENSES POUR VÉHICULES DE SERVITUDE</t>
  </si>
  <si>
    <t>ADMIN. GÉN. - FOURNITURES ET DÉPENSES DE BUREAU</t>
  </si>
  <si>
    <t>ADMIN. GÉN. - AUTRES FOURNITURES</t>
  </si>
  <si>
    <t>ADMIN. GÉN. - COMMERCE ÉLECTRONIQUE - FRAIS DE PUBLICITÉ</t>
  </si>
  <si>
    <t>ADMIN. GÉN. - PUBLICITÉ</t>
  </si>
  <si>
    <t>ADMIN. GÉN. - RISTOURNES DE PUBLICITÉ</t>
  </si>
  <si>
    <t>ADMIN. GÉN. - CONTRIBUTIONS</t>
  </si>
  <si>
    <t>ADMIN. GÉN. - SERVICES EXTÉRIEURS - INFORMATIQUE</t>
  </si>
  <si>
    <t>ADMIN. GÉN. - SERVICES EXTÉRIEURS - AUTRES</t>
  </si>
  <si>
    <t>ADMIN. GÉN. - VOYAGES ET REPRÉSENTATION</t>
  </si>
  <si>
    <t>ADMIN. GÉN. - COTISATIONS, PUBLICATIONS ET ABONN.</t>
  </si>
  <si>
    <t>ADMIN. GÉN. - CONTENTIEUX ET VÉRIFICATION</t>
  </si>
  <si>
    <t>ADMIN. GÉN. - TÉLÉPHONE</t>
  </si>
  <si>
    <t>ADMIN. GÉN. - FORMATION ET PERFECTIONNEMENT</t>
  </si>
  <si>
    <t>ADMIN. GÉN. - INTÉRÊT - BILLETS À PAYER (AUTRES)</t>
  </si>
  <si>
    <t>ADMIN. GÉN. - FRAIS DE MAUVAISES CRÉANCES</t>
  </si>
  <si>
    <t>ADMIN. GÉN. - FRAIS DE POSTE ET DE TRANSPORT</t>
  </si>
  <si>
    <t>ADMIN. GÉN. - FRAIS DIVERS</t>
  </si>
  <si>
    <t>ADMIN. GÉN. - LOYER</t>
  </si>
  <si>
    <t>ADMIN. GÉN. - AMORTISSEMENT AMÉLIORATIONS LOCATIVES</t>
  </si>
  <si>
    <t>ADMIN. GÉN. - RÉPARATIONS AUX IMMEUBLES</t>
  </si>
  <si>
    <t>ADMIN. GÉN. - AMORTISSEMENT - BÂT. ET AMÉLIORATIONS</t>
  </si>
  <si>
    <t>ADMIN. GÉN. - IMPÔTS FONCIERS</t>
  </si>
  <si>
    <t>ADMIN. GÉN. - ASSURANCE - BÂT. ET AMÉLIORATIONS</t>
  </si>
  <si>
    <t>ADMIN. GÉN. - INTÉRÊTS - HYPOTHÈQUES</t>
  </si>
  <si>
    <t>ADMIN. GÉN. - CHAUFF. ÉCLAIRAGE, ÉLECTRICITÉ ET EAU</t>
  </si>
  <si>
    <t>ADMIN. GÉN. - AUTRES ASSURANCES</t>
  </si>
  <si>
    <t>ADMIN. GÉN. - AUTRES TAXES</t>
  </si>
  <si>
    <t>ADMIN. GÉN. - RÉPARATIONS À L'ÉQUIPEMENT</t>
  </si>
  <si>
    <t>ADMIN. GÉN. - AMORTISSEMENT DE L'ÉQUIPEMENT</t>
  </si>
  <si>
    <t>ADMIN. GÉN. - LOCATION D'ÉQUIPEMENT</t>
  </si>
  <si>
    <t>ADMIN. GÉN. - PROFIT OU PERTE PAR SERVICE APRÈS TRSF &amp; PRORATA - AAD</t>
  </si>
  <si>
    <t>ADMIN. GÉN. - PRORATA DES FRAIS D'ADMINIS. GÉNÉRALE - AAD</t>
  </si>
  <si>
    <t>PARCS ET COMMER. - RÉMUNÉRATION VENDEURS</t>
  </si>
  <si>
    <t>PARCS ET COMMER. - RÉMUNÉRATION DIRECTEUR</t>
  </si>
  <si>
    <t>PARCS ET COMMER. - PUBLICITÉ</t>
  </si>
  <si>
    <t>PARCS ET COMMER. - FINANCEMENT DES STOCKS</t>
  </si>
  <si>
    <t>PARCS ET COMMER. - VOYAGES &amp; REPRÉSENTATION</t>
  </si>
  <si>
    <t>PARCS ET COMMER. - SALONS COMMERC.</t>
  </si>
  <si>
    <t>PARCS ET COMMER. - AUTRE</t>
  </si>
  <si>
    <t>VÉHICULES D'OCCASION - UNITÉS - AAD</t>
  </si>
  <si>
    <t>TOTAL B.R. MÉCANIQUE - MOIS</t>
  </si>
  <si>
    <t>TOTAL B.R. CARROSSERIE - MOIS</t>
  </si>
  <si>
    <t>PROFIT BRUT TOTAL - MÉCANIQUE  - MOIS</t>
  </si>
  <si>
    <t>PROFIT BRUT TOTAL - CARROSSERIE - MOIS</t>
  </si>
  <si>
    <t>PROFIT BRUT TOTAL - PIÈCES - MOIS</t>
  </si>
  <si>
    <t>PROFIT BRUT VÉHICULES D'OCCASION - AAD</t>
  </si>
  <si>
    <t>CPTE # 446A  VOIT D'OCCASION DÉT - CERTIFIÉ - UNITÉS - AAD</t>
  </si>
  <si>
    <t>CPTE # 446B  VOIT D'OCCASION DÉT - AUTRE - UNITÉS - AAD</t>
  </si>
  <si>
    <t>CPTE # 450A  CAM D'OCCASION DÉT - CERTIFIÉ - UNITÉS - AAD</t>
  </si>
  <si>
    <t>CPTE # 450B  CAM D'OCCASION DÉT - AUTRE - UNITÉS - AAD</t>
  </si>
  <si>
    <t>CPTE # 448  VOIT. D'OCCASION EN GROS - UNITÉS - AAD</t>
  </si>
  <si>
    <t>CPTE # 452  CAM. D'OCCASION EN GROS - UNITÉS - AAD</t>
  </si>
  <si>
    <t>CPTE # 456  AUTRES VÉH. D'OCCASION - UNITÉS - AAD</t>
  </si>
  <si>
    <t>VÉHICULES D'OCCASION - UNITÉS - MOIS</t>
  </si>
  <si>
    <t>TOTAL B.R. MÉCANIQUE - AAD</t>
  </si>
  <si>
    <t>CARROSS - M-D'O CLIENT CARROSSERIE - UNITÉS - AAD</t>
  </si>
  <si>
    <t>CARROSS - M-D'O RÉCLAMATION GARANTIE - UNITÉS - AAD</t>
  </si>
  <si>
    <t>CARROSS - M.D'O INTERNE - UNITÉS - AAD</t>
  </si>
  <si>
    <t>TOTAL B.R. CARROSSERIE - AAD</t>
  </si>
  <si>
    <t>CPTE # 446A  VOIT D'OCCASION DÉT - CERTIFIÉ - CHIFFRE D'AFFAIRES RÉALISÉ - AAD</t>
  </si>
  <si>
    <t>CPTE # 446B  VOIT D'OCCASION DÉT - AUTRE - CHIFFRE D'AFFAIRES RÉALISÉ - AAD</t>
  </si>
  <si>
    <t>CPTE #   *MÉMO* TOTAL REMISE-À-NEUF VOIT DÉT - COÛT DES VENTES - AAD</t>
  </si>
  <si>
    <t>CPTE # 450A CAM D'OCCASION DÉT - CERTIFIÉ - CHIFFRE D'AFFAIRES RÉALISÉ - AAD</t>
  </si>
  <si>
    <t>CPTE # 450B CAM D'OCCASION DÉT - AUTRE - CHIFFRE D'AFFAIRES RÉALISÉ - AAD</t>
  </si>
  <si>
    <t>CPTE # 448  VOIT D'OCCASION EN GROS - CHIFFRE D'AFFAIRES RÉALISÉ - AAD</t>
  </si>
  <si>
    <t>CPTE # 452  CAM D'OCCASION EN GROS - CHIFFRE D'AFFAIRES RÉALISÉ - AAD</t>
  </si>
  <si>
    <t>CPTE # 456 AUTRES VÉH D'OCCASION - CHIFFRE D'AFFAIRES RÉALISÉ - AAD</t>
  </si>
  <si>
    <t>MÉCANIQUE - FOURNITURES D'ATELIER - AAD</t>
  </si>
  <si>
    <t>MÉCANIQUE - RÉPARATIONS SOUS-TRAITÉES - AAD</t>
  </si>
  <si>
    <t>PROFIT BRUT TOTAL MÉCANIQUE - AAD</t>
  </si>
  <si>
    <t>CARROSS - M-D'O CLIENT PEINTURE - CHIFFRE D'AFFAIRES RÉALISÉ - AAD</t>
  </si>
  <si>
    <t>CARROSS - M-D'O CLIENT CARROSS - CHIFFRE D'AFFAIRES RÉALISÉ - AAD</t>
  </si>
  <si>
    <t>CARROSS - M-D-O RÉCLAMATION GARANTIE - CHIFFRE D'AFFAIRES RÉALISÉ - AAD</t>
  </si>
  <si>
    <t>CARROSS - M-D'O INTERNE - CHIFFRE D'AFFAIRES RÉALISÉ - AAD</t>
  </si>
  <si>
    <t>CARROSS RÉPARATIONS SOUS-TRAITÉES - AAD</t>
  </si>
  <si>
    <t>CARROSS PEINTURE ET FOURN D'ATELIER - AAD</t>
  </si>
  <si>
    <t>PROFIT BRUT TOTAL CARROSSERIE - AAD</t>
  </si>
  <si>
    <t>P&amp;A - RÉCLAMATIONS GARANTIE - CHIFFRE D'AFFAIRES RÉALISÉ - AAD</t>
  </si>
  <si>
    <t>P&amp;A - PNEUS - CHIFFRE D'AFFAIRES RÉALISÉ - AAD</t>
  </si>
  <si>
    <t>P&amp;A - ESSENCE, HUILE &amp; GRAISSE - CHIFFRE D'AFFAIRES RÉALISÉ - AAD</t>
  </si>
  <si>
    <t>P&amp;A - DIVERS - CHIFFRE D'AFFAIRES RÉALISÉ - AAD</t>
  </si>
  <si>
    <t>PROFIT BRUT TOTAL PIÈCES - PROFIT BRUT  - AAD</t>
  </si>
  <si>
    <t>CPTE # 446A  VOIT D'OCCASION DÉT - CERTIFIÉ - COÛT DES VENTES - AAD</t>
  </si>
  <si>
    <t>CPTE # 446B  VOIT D'OCCASION DÉT - AUTRE - COÛT DES VENTES - AAD</t>
  </si>
  <si>
    <t>CPTE # 450A  CAM D'OCCASION DÉT - CERTIFIÉ - COÛT DES VENTES - AAD</t>
  </si>
  <si>
    <t>CPTE # 450B  CAM D'OCCASION DÉT - AUTRE - COÛT DES VENTES - AAD</t>
  </si>
  <si>
    <t>CPTE # 448  VOITURES D'OCCASION EN GROS - COÛT DES VENTES - AAD</t>
  </si>
  <si>
    <t>RECTIFICATION STOCK VOITURES D'OCCASION - AAD</t>
  </si>
  <si>
    <t>CPTE # 452 CAMIONS D'OCCASION EN GROS - COÛT DES VENTES - AAD</t>
  </si>
  <si>
    <t>RECTIFICATION STOCK CAMIONS D'OCCASION - AAD</t>
  </si>
  <si>
    <t>CPTE # 456  AUTRES VÉHICULES D'OCCASION - COÛT DES VENTES - AAD</t>
  </si>
  <si>
    <t>13</t>
  </si>
  <si>
    <t>MÉCA - M-D'O SERV RAP-CAM MOY &amp; SAAB- COÛT DES VENTES - AAD</t>
  </si>
  <si>
    <t>MÉCA - M-D'O RÉCLAMATION GARANTIE - COÛT DES VENTES - AAD</t>
  </si>
  <si>
    <t>MÉCA - M-D'O INTERNE - COÛT DES VENTES - AAD</t>
  </si>
  <si>
    <t>MÉCA - M-D'O INSP VÉHICULES NEUFS - COÛT DES VENTES - AAD</t>
  </si>
  <si>
    <t>MÉCA - RECTIFICATION AU COÛT DE M-D'O VENTES - COÛT DES VENTES</t>
  </si>
  <si>
    <t>MÉCA - FOURNITURES D'ATELIER - COÛT DES VENTES - AAD</t>
  </si>
  <si>
    <t>MÉCA - RÉPARATIONS SOUS-TRAITÉES - COÛT DES VENTES - AAD</t>
  </si>
  <si>
    <t>CARROSS - M-D'O CLIENT PEINTURE - COÛT DES VENTES - AAD</t>
  </si>
  <si>
    <t>CARROSS - M-D'O CLIENT CARROSS - COÛT DES VENTES - AAD</t>
  </si>
  <si>
    <t>CARROSS - M-D-O RÉCLAMATION GARANTIE - COÛT DES VENTES - AAD</t>
  </si>
  <si>
    <t>CARROSS - M-D'O INTERNE - COÛT DES VENTES - AAD</t>
  </si>
  <si>
    <t>CARROSS - RECTIFICATION AU COÛT DE M-D'O VENTES - COÛT DES VENTES</t>
  </si>
  <si>
    <t>CARROSS - RÉPARATIONS SOUS-TRAITÉES - COÛT DES VENTES - AAD</t>
  </si>
  <si>
    <t>CARROSS - PEINTURE ET FOURN D'ATELIER - COÛT DES VENTES - AAD</t>
  </si>
  <si>
    <t>P&amp;A - RÉCLAMATIONS GARANTIE - COÛT DES VENTES - AAD</t>
  </si>
  <si>
    <t>P&amp;A - ALLOCATION D'ACHAT - AAD</t>
  </si>
  <si>
    <t>P&amp;A - RECT. AU STOCK DES PIÈCES - AAD</t>
  </si>
  <si>
    <t>P&amp;A - PNEUS - COÛT DES VENTES - AAD</t>
  </si>
  <si>
    <t>P&amp;A - ESSENCE, HUILE &amp; GRAISSE - - COÛT DES VENTES - AAD</t>
  </si>
  <si>
    <t>P&amp;A - DIVERS - COÛT DES VENTES - AAD</t>
  </si>
  <si>
    <t>PROFIT BRUT VÉH. D'OCCASION - MOIS</t>
  </si>
  <si>
    <t>TOTAL F&amp;A ET CONTRATS PLANS DE PROT - MOIS</t>
  </si>
  <si>
    <t>GM (A) - VÉH. DE DÉMONSTRATION - UNITÉS</t>
  </si>
  <si>
    <t>GM (A) - VOITURES - UNITÉS</t>
  </si>
  <si>
    <t>GM (A) - VOITURES - EV - UNITÉS</t>
  </si>
  <si>
    <t>GM (A) - CAMIONS - UNITÉS</t>
  </si>
  <si>
    <t>GM (A) - CAMIONS - EV - UNITÉS</t>
  </si>
  <si>
    <t>GM (A) - CAMIONS MOYENS - UNITÉS</t>
  </si>
  <si>
    <t>STOCK VOIT. D'OCCASION - UNITÉS &lt; 45 D EN STOCK</t>
  </si>
  <si>
    <t>STOCK CAMIONS D'OCCASION - UNITÉS &lt; 45 D EN STOCK</t>
  </si>
  <si>
    <t>NEUFS - PROPRIÉTAIRES / DIRECTEUR GÉN.</t>
  </si>
  <si>
    <t>NEUFS - CADRES</t>
  </si>
  <si>
    <t>NEUFS - VENDEURS VÉH., SERVICE, PIÈCES</t>
  </si>
  <si>
    <t>NEUFS - BDC / E - COMMERCE</t>
  </si>
  <si>
    <t>NEUFS - PERSONNEL DE BUREAU</t>
  </si>
  <si>
    <t>NEUFS - AUTRES</t>
  </si>
  <si>
    <t>NEUFS - NOMBRE D'EMBAUCHES AAD</t>
  </si>
  <si>
    <t>NEUFS - NOMBRE DE CESSATION D'EMPLOI AAD</t>
  </si>
  <si>
    <t>TOTAL VÉHICULES NEUFS - UNITES CE MOIS</t>
  </si>
  <si>
    <t xml:space="preserve">GM (A) - VÉH. DE DEMONSTRATION - AVANT DEPS </t>
  </si>
  <si>
    <t xml:space="preserve">GM (A) - VOITURES - AVANT DEPS </t>
  </si>
  <si>
    <t xml:space="preserve">GM (A) - VOITURES - EV - AVANT DEPS </t>
  </si>
  <si>
    <t xml:space="preserve">GM (A) - CAMIONS - AVANT DEPS </t>
  </si>
  <si>
    <t xml:space="preserve">GM (A) - CAMIONS - EV - AVANT DEPS </t>
  </si>
  <si>
    <t xml:space="preserve">GM (A) - CAMIONS MOYENS - AVANT DEPS </t>
  </si>
  <si>
    <t>NON-GM (B)  AUTRE VOIT.</t>
  </si>
  <si>
    <t>STOCK VOIT. D'OCCASION - $$ &lt; 45 D EN STOCK</t>
  </si>
  <si>
    <t>STOCK CAMIONS D'OCCASION - $$ &lt; 45 D EN STOCK</t>
  </si>
  <si>
    <t>GM(A) PIÈCES ET ACCESSOIRES</t>
  </si>
  <si>
    <t>GM(A) PIÈCES D'ÉCHANGE</t>
  </si>
  <si>
    <t>AUTRES STOCKS GM(A)</t>
  </si>
  <si>
    <t>M-D'O TRAVAUX EN COURS -  SERVICE</t>
  </si>
  <si>
    <t>D'OCCASION - PROPRIÉTAIRES / DIRECTEUR GÉN.</t>
  </si>
  <si>
    <t>D'OCCASION - CADRES</t>
  </si>
  <si>
    <t>D'OCCASION - VENDEURS VÉH., SERVICE, PIÈCES</t>
  </si>
  <si>
    <t>D'OCCASION - BDC / E - COMMERCE</t>
  </si>
  <si>
    <t>D'OCCASION - PERSONNEL DE BUREAU</t>
  </si>
  <si>
    <t>D'OCCASION - AUTRES</t>
  </si>
  <si>
    <t>D'OCCASION - NOMBRE D'EMBAUCHES AAD</t>
  </si>
  <si>
    <t>D'OCCASION - NOMBRE DE CESSATION D'EMPLOI AAD</t>
  </si>
  <si>
    <t>PROFIT BRUT TOTAL F&amp;A ET PLANS PROT - MOIS</t>
  </si>
  <si>
    <t>LC&amp;LT - PROPRIÉTAIRES / DIRECTEUR GÉN.</t>
  </si>
  <si>
    <t>LC&amp;LT - CADRES</t>
  </si>
  <si>
    <t xml:space="preserve">LC&amp;LT - VENDEURS VÉH., SERVICE, PIÈCES </t>
  </si>
  <si>
    <t>LC&amp;LT - BDC / E - COMMERCE</t>
  </si>
  <si>
    <t>LC&amp;LT - PERSONNEL DE BUREAU</t>
  </si>
  <si>
    <t>LC&amp;LT - AUTRES</t>
  </si>
  <si>
    <t>LC&amp;LT - NOMBRE D'EMBAUCHES AAD</t>
  </si>
  <si>
    <t>LC&amp;LT - NOMBRE DE CESSATION D'EMPLOI AAD</t>
  </si>
  <si>
    <t>F&amp;A - CADRES</t>
  </si>
  <si>
    <t>F&amp;A - PERSONNEL DE BUREAU</t>
  </si>
  <si>
    <t>F&amp;A - AUTRES</t>
  </si>
  <si>
    <t>F&amp;A - NOMBRE D'EMBAUCHES AAD</t>
  </si>
  <si>
    <t>F&amp;A - NOMBRE DE CESSATION D'EMPLOI AAD</t>
  </si>
  <si>
    <t>TOTAL - 210 VÉHICULES</t>
  </si>
  <si>
    <t>TOTAL - 210 AUTRES</t>
  </si>
  <si>
    <t>TOTAL - 220 VÉHICULES</t>
  </si>
  <si>
    <t>TOTAL - 220 LC&amp;LT</t>
  </si>
  <si>
    <t>TOTAL - 220 APRÈS VENTE ET PIÈCES</t>
  </si>
  <si>
    <t>TOTAL - 220 AUTRES</t>
  </si>
  <si>
    <t>TOTAL - 300 COMPTES À PAYER - SOLDE DÉBITEUR</t>
  </si>
  <si>
    <t>TOTAL - 340 MOINS RÉSERVE POUR CRÉANCES DOUTEUSES</t>
  </si>
  <si>
    <t>TOTAL NET COMPTES CLIENTS À RECEVOIR</t>
  </si>
  <si>
    <t>REVENU FINANCE VÉH. NEUFS - CONTRATS - AAD</t>
  </si>
  <si>
    <t>COMM. ENCAISSÉES SUR ASSURANCE - NEUFS - CONTRATS - AAD</t>
  </si>
  <si>
    <t>ACCESSOIRES - NEUFS - CONTRATS - AAD</t>
  </si>
  <si>
    <t>PLANS DE PROT GM - NEUFS - CONTRATS - AAD</t>
  </si>
  <si>
    <t>AUTRES PLANS PROT - NEUFS - CONTRATS - AAD</t>
  </si>
  <si>
    <t>REVENU FINANCE VÉH. D'OCCASION - CONTRATS - AAD</t>
  </si>
  <si>
    <t>COMM. ENCAISSÉES SUR ASSURANCE - D'OCCASION - CONTRATS - AAD</t>
  </si>
  <si>
    <t>ACCESSOIRES - D'OCCASION - CONTRATS - AAD</t>
  </si>
  <si>
    <t>PLANS DE PROT GM - D'OCCASION - CONTRATS - AAD</t>
  </si>
  <si>
    <t>AUTRES PLANS DE PROT - D'OCCASION - CONTRATS - AAD</t>
  </si>
  <si>
    <t>TOTAL F&amp;A ET PLANS DE PROT - CONTRATS - AAD</t>
  </si>
  <si>
    <t>MÉCA - PROPRIÉTAIRES / DIRECTEUR GÉN.</t>
  </si>
  <si>
    <t>MÉCA - CADRES</t>
  </si>
  <si>
    <t xml:space="preserve">MÉCA - VENDEURS VÉH., SERVICE, PIÈCES </t>
  </si>
  <si>
    <t>MÉCA - BDC / E - COMMERCE</t>
  </si>
  <si>
    <t>MÉCA - TECHNICIENS</t>
  </si>
  <si>
    <t>MÉCA - PERSONNEL DE BUREAU</t>
  </si>
  <si>
    <t>MÉCA - AUTRES</t>
  </si>
  <si>
    <t>MÉCA - NOMBRE D'EMBAUCHES AAD</t>
  </si>
  <si>
    <t>MÉCA - NOMBRE DE CESSATION D'EMPLOI AAD</t>
  </si>
  <si>
    <t>REVENU FINANCE VÉH. NEUFS - REV - AAD</t>
  </si>
  <si>
    <t>COMM. ENCAISSÉES SUR ASSURANCE - NEUFS - REV - AAD</t>
  </si>
  <si>
    <t>ACCESSOIRES - NEUFS - CHIFFRE D'AFFAIRES RÉALISÉ - AAD</t>
  </si>
  <si>
    <t>AUTRES REVENUS F&amp;I - VENTES - NEUFS - AAD</t>
  </si>
  <si>
    <t>PLANS DE PROT GM - NEUFS - CHIFFRE D'AFFAIRES RÉALISÉ - AAD</t>
  </si>
  <si>
    <t>AUTRES PLANS DE PROT - NEUFS - CHIFFRE D'AFFAIRES RÉALISÉ - AAD</t>
  </si>
  <si>
    <t>REVENU FINANCE VÉH. D'OCCASION - REV - AAD</t>
  </si>
  <si>
    <t>COMM. ENCAISSÉES SUR ASSURANCE - D'OCCASION - REV - AAD</t>
  </si>
  <si>
    <t>ACCESSOIRES - D'OCCASION - CHIFFRE D'AFFAIRES RÉALISÉ - AAD</t>
  </si>
  <si>
    <t>AUTRES REVENUS F&amp;I - VENTES - D'OCCASION - AAD</t>
  </si>
  <si>
    <t>PLANS DE PROT GM - D'OCCASION - CHIFFRE D'AFFAIRES RÉALISÉ - AAD</t>
  </si>
  <si>
    <t>AUTRES PLANS DE PROT - D'OCCASION - CHIFFRE D'AFFAIRES RÉALISÉ - AAD</t>
  </si>
  <si>
    <t>TOTAL AUTOS D'OCCASION EN STOCK</t>
  </si>
  <si>
    <t>TOTAL CAMION D'OCCASION EN STOCK</t>
  </si>
  <si>
    <t>NON-GM(B) PIÈCES ET ACCESSOIRES</t>
  </si>
  <si>
    <t>NON-GM(B) PIÈCES D'ÉCHANGE</t>
  </si>
  <si>
    <t>AUTRES STOCKS NON-GM(B)</t>
  </si>
  <si>
    <t>CARROSS - PROPRIÉTAIRES / DIRECTEUR GÉN.</t>
  </si>
  <si>
    <t>CARROSS - CADRES</t>
  </si>
  <si>
    <t>CARROSS - VENDEURS VÉH. , SERVICE, PIÈCES</t>
  </si>
  <si>
    <t>CARROSS - BDC / E - COMMERCE</t>
  </si>
  <si>
    <t>CARROSS - TECHNICIENS</t>
  </si>
  <si>
    <t>CARROSS - PERSONNEL DE BUREAU</t>
  </si>
  <si>
    <t>CARROSS - AUTRES</t>
  </si>
  <si>
    <t>CARROSS - NOMBRE D'EMBAUCHES AAD</t>
  </si>
  <si>
    <t>CARROSS - NOMBRE DE CESSATION D'EMPLOI AAD</t>
  </si>
  <si>
    <t>RÉTROFACTURATION FIN &amp; ASS. - NEUFS - AAD</t>
  </si>
  <si>
    <t>ACCESSOIRES - NEUFS - COÛT DES VENTES - AAD</t>
  </si>
  <si>
    <t>AUTRES REVENUS F&amp;I  - NEUFS - COÛT DES VENTES - AAD</t>
  </si>
  <si>
    <t>PLANS DE PROT GM - NEUFS - COÛT DES VENTES - AAD</t>
  </si>
  <si>
    <t>AUTRES PLANS DE PROT - NEUFS - COÛT DES VENTES - AAD</t>
  </si>
  <si>
    <t>PERTES DE REPRISE DE POSSESSION - NEUFS</t>
  </si>
  <si>
    <t>RÉMUNÉRATION F&amp;A - NEUFS</t>
  </si>
  <si>
    <t>RÉTROFACTURATION FIN &amp; ASS. - D'OCCASION - AAD</t>
  </si>
  <si>
    <t>ACCESSOIRES - D'OCCASION - COÛT DES VENTES - AAD</t>
  </si>
  <si>
    <t>AUTRES REVENUS F&amp;I  - D'OCCASION - COÛT DES VENTES - AAD</t>
  </si>
  <si>
    <t>PLANS DE PROT GM - D'OCCASION - COÛT DES VENTES - AAD</t>
  </si>
  <si>
    <t>AUTRES PLANS DE PROT - D'OCCASION - COÛT DES VENTES - AAD</t>
  </si>
  <si>
    <t>PERTES DE REPRISE DE POSSESSION - D'OCCASION</t>
  </si>
  <si>
    <t>RÉMUNÉRATION F&amp;A - D'OCCASION</t>
  </si>
  <si>
    <t>PROFIT BRUT TOTAL F&amp;A ET PLANS PROT - AAD</t>
  </si>
  <si>
    <t>P&amp;A - PROPRIÉTAIRES / DIRECTEUR GÉN.</t>
  </si>
  <si>
    <t>P&amp;A - CADRES</t>
  </si>
  <si>
    <t>P&amp;A - VENDEURS VÉH., SERVICE, PIÈCES</t>
  </si>
  <si>
    <t>P&amp;A - BDC / E - COMMERCE</t>
  </si>
  <si>
    <t>P&amp;A - PERSONNEL DE BUREAU</t>
  </si>
  <si>
    <t>P&amp;A - AUTRES</t>
  </si>
  <si>
    <t>P&amp;A - NOMBRE D'EMBAUCHES AAD</t>
  </si>
  <si>
    <t>P&amp;A - NOMBRE DE CESSATION D'EMPLOI AAD</t>
  </si>
  <si>
    <t>30-60 J - 210 VÉHICULES</t>
  </si>
  <si>
    <t>30-60 J - 210 AUTRES</t>
  </si>
  <si>
    <t>30-60 J - 220 VÉHICULES</t>
  </si>
  <si>
    <t>30-60 J - 220 LC&amp;LT</t>
  </si>
  <si>
    <t>30-60 J - 220 APRÈS VENTE ET PIÈCES</t>
  </si>
  <si>
    <t>60-90 J - 220 AUTRES</t>
  </si>
  <si>
    <t>VENTES COMPTANT - CHIFFRE D'AFFAIRES RÉALISÉ - MOIS COURANT</t>
  </si>
  <si>
    <t>M-D'O TRAVAUX EN COURS CARROSSERIE</t>
  </si>
  <si>
    <t>A &amp; G - PROPRIÉTAIRES / DIRECTEUR GÉN.</t>
  </si>
  <si>
    <t>A &amp; G - CADRES</t>
  </si>
  <si>
    <t>A &amp; G - VENDEURS VÉH., SERVICE, PIÈCES</t>
  </si>
  <si>
    <t>A &amp; G - BDC / E - COMMERCE</t>
  </si>
  <si>
    <t>A &amp; G - TECHNICIENS</t>
  </si>
  <si>
    <t>A &amp; G - PERSONNEL DE BUREAU</t>
  </si>
  <si>
    <t>A &amp; G - AUTRES</t>
  </si>
  <si>
    <t>A &amp; G - NOMBRE D'EMBAUCHES AAD</t>
  </si>
  <si>
    <t>A &amp; G - NOMBRE DE CESSATION D'EMPLOI AAD</t>
  </si>
  <si>
    <t>60-90 J - 210 VÉHICULES</t>
  </si>
  <si>
    <t>60-90 J - 210 AUTRES</t>
  </si>
  <si>
    <t>60-90 J - 220 VÉHICULES</t>
  </si>
  <si>
    <t>60-90 J - 220 LC&amp;LT</t>
  </si>
  <si>
    <t>60-90 J - 220 APRÈS VENTE ET PIÈCES</t>
  </si>
  <si>
    <t>VENTES COMPTANT - CHIFFRE D'AFFAIRES RÉALISÉ - AAD</t>
  </si>
  <si>
    <t>TOTAL UNITÉS STOCK VÉHICULES NEUFS</t>
  </si>
  <si>
    <t>TOTAL UNITÉS STOCK VÉHICULES D'OCCASION</t>
  </si>
  <si>
    <t>DÉCOMPTE TOTAL DE PERSONNEL</t>
  </si>
  <si>
    <t>NOMBRE TOTAL D'EMBAUCHES - AAD</t>
  </si>
  <si>
    <t>NOMBRE TOTAL CESSATIONS D'EMPLOI - AAD</t>
  </si>
  <si>
    <t>PLUS DE 90 J - 210 VÉHICULES</t>
  </si>
  <si>
    <t>PLUS DE 90 J - 210 AUTRES</t>
  </si>
  <si>
    <t>PLUS DE 90 J - 220 VÉHICULES</t>
  </si>
  <si>
    <t>PLUS DE 90 J - 220 LC&amp;LT</t>
  </si>
  <si>
    <t>PLUS DE 90 J - 220 APRÈS VENTE ET PIÈCES</t>
  </si>
  <si>
    <t>PLUS DE 90 J - 220 AUTRES</t>
  </si>
  <si>
    <t>LC&amp;LT - *MÉMO PLUS DE 30 JOURS - STOCK $$</t>
  </si>
  <si>
    <t>LC&amp;LT - VÉH. LOC. À LONG TERME-AMORTIS. CUMULÉ $$ EN SERV. -</t>
  </si>
  <si>
    <t>LC&amp;LT - VÉH. LOC. À COURT TERME-AMORTIS. CUMULÉ $$ EN SERV. -</t>
  </si>
  <si>
    <t>LC&amp;LT - ÉQUIPEMENT LOC. À LONG TERME- AMORTIS. CUMULÉ $$ EN SERV. -</t>
  </si>
  <si>
    <t>LOCATION À COURT ET LONG TERME - AMORTISSEMENT CUMULÉ</t>
  </si>
  <si>
    <t>LC&amp;LT - UNITÉS NEUVES POUR LOC. À LONG TERME - STOCKS - UNITÉS</t>
  </si>
  <si>
    <t>LC&amp;LT - VÉH. DE DÉMONSTRATION - STOCKS - UNITÉS</t>
  </si>
  <si>
    <t>LC&amp;LT - TERMINÉS NON CÉDÉS - STOCKS - UNITÉS</t>
  </si>
  <si>
    <t>LC&amp;LT - *MÉMO PLUS DE 30 JOURS - STOCKS - UNITÉS</t>
  </si>
  <si>
    <t>LC&amp;LT - VÉHICULES LOC. À LONG TERME - EN SERV. - UNITÉS</t>
  </si>
  <si>
    <t>LC&amp;LT - VÉHICULES À COURT TERME - EN SERV. - UNITÉS</t>
  </si>
  <si>
    <t>LC&amp;LT - ÉQUIPEMENT LOC. À LONG TERME - EN SERV. - UNITÉS</t>
  </si>
  <si>
    <t xml:space="preserve">LOCATION COURT ET LONG TERME - UNITÉS </t>
  </si>
  <si>
    <t>LOC. COURT ET LONG TERME - TOTAL - CONTRATS F&amp;A - MOIS</t>
  </si>
  <si>
    <t>LOC. COURT ET LONG TERME - TOTAL - REVENU / PROFIT BRUT - MOIS</t>
  </si>
  <si>
    <t>LOC. COURT ET LONG TERME - TOTAL - UNITÉS AJOUTÉES AU SERVICE - MOIS</t>
  </si>
  <si>
    <t>LOC. COURT ET LONG TERME - TOTAL - UNITÉS ÉLIMINÉES DU SERVICE - MOIS</t>
  </si>
  <si>
    <t>LOC. COURT ET LONG TERME - TOTAL - UNITÉS EN SERV. À LA FIN - MOIS</t>
  </si>
  <si>
    <t>LOC. COURT ET LONG TERME - TOTAL - UNITÉS CÉDÉES - MOIS</t>
  </si>
  <si>
    <t>LOC. COURT ET LONG TERME - TOTAL - RÉTENTION DE LA CLIENTÈLE  - MOIS</t>
  </si>
  <si>
    <t>LC&amp;LT - UNITÉS NEUVES EN LOC. À LONG TERME - STOCK $$</t>
  </si>
  <si>
    <t>LC&amp;LT - VÉHICULES DE DÉMONSTRATION - STOCK $$</t>
  </si>
  <si>
    <t>LC&amp;LT - TERMINÉS NON CÉDÉS - STOCK $$</t>
  </si>
  <si>
    <t>LC&amp;LT - VÉHICULES LOCATION À LONG TERME - EN SERV. - $$</t>
  </si>
  <si>
    <t>LC&amp;LT - VÉHICULES LOCATION À COURT TERME - EN SERV. - $$</t>
  </si>
  <si>
    <t>LC&amp;LT - ÉQUIPEMENT LOCATION À LONG TERME - EN SERV. - $$</t>
  </si>
  <si>
    <t>LOC. COURT ET LONG TERME - VALEUR NETTE DE L'ACTIF</t>
  </si>
  <si>
    <t>LOC. COURT ET LONG TERME - TOTAL - REVENU / PROFIT BRUT - AAD</t>
  </si>
  <si>
    <t>LOC. COURT ET LONG TERME - TOTAL - UNITÉS AU DÉBUT</t>
  </si>
  <si>
    <t>LOC. COURT ET LONG TERME - TOTAL - UNITÉS CÉDÉES - AAD</t>
  </si>
  <si>
    <t>LOC. COURT ET LONG TERME - TOTAL - RÉTENTION DE LA CLIENTÈLE - AAD</t>
  </si>
  <si>
    <t>LOC. COURT ET LONG TERME - TOTAL - F&amp;A PROFIT BRUT - MOIS</t>
  </si>
  <si>
    <t>LOC. COURT ET LONG TERME - TOTAL - UNITÉS EN SERV. À LA FIN - AAD</t>
  </si>
  <si>
    <t>(510) CRÉDIT BAIL SIMPLE - REVENU TOTAL - CE MOIS</t>
  </si>
  <si>
    <t>LOC. COURT ET LONG TERME - RÉSERVE POUR CRÉANCES DOUTEUSES</t>
  </si>
  <si>
    <t>LOC. COURT ET LONG TERME - NET COMPTES À RECEVOIR CLIENTS</t>
  </si>
  <si>
    <t>LC&amp;LT - (510) CRÉDIT BAIL SIMPLE - INTÉRÊT</t>
  </si>
  <si>
    <t>LC&amp;LT - (510) CRÉDIT BAIL SIMPLE - AMORTISSEMENT</t>
  </si>
  <si>
    <t>LC&amp;LT - (510) CRÉDIT BAIL SIMPLE - ASSURANCE (VÉHICULES EN SERV.)</t>
  </si>
  <si>
    <t>LC&amp;LT - (510) CRÉDIT BAIL SIMPLE - PLAQUES, TITRES ET TAXES</t>
  </si>
  <si>
    <t>LC&amp;LT - (510) CRÉDIT BAIL SIMPLE - TRAVAUX À TITRE GRACIEUX - VÉH. LOC LONG TERME</t>
  </si>
  <si>
    <t>LC&amp;LT - (510) CRÉDIT BAIL SIMPLE - RÉPARATIONS ET ENTRETIEN</t>
  </si>
  <si>
    <t>LC&amp;LT - (510) CRÉDIT BAIL SIMPLE - PRIX LOCATIF DES UNITÉS SOUS-LOUÉES</t>
  </si>
  <si>
    <t>LC&amp;LT - (510) CRÉDIT BAIL SIMPLE - AUTRES</t>
  </si>
  <si>
    <t>LC&amp;LT - (510) CRÉDIT BAIL SIMPLE - * MÉMO * - PRIX DE VENTE DES VÉHICULES CÉDÉS</t>
  </si>
  <si>
    <t>LC&amp;LT - (510) CRÉDIT BAIL SIMPLE - * MÉMO * - FRAIS DE CESSION</t>
  </si>
  <si>
    <t>LC&amp;LT - (510) CRÉDIT BAIL SIMPLE - GAIN(PERTE) SUR CESSION</t>
  </si>
  <si>
    <t>(510) CRÉDIT BAIL SIMPLE - UNITÉS CÉDÉES - AAD</t>
  </si>
  <si>
    <t>(510) CRÉDIT BAIL SIMPLE - *MÉMO* RÉTENTION DE LA CLIENTÈLE (2) - AAD</t>
  </si>
  <si>
    <t>LC&amp;LT - PAYÉ D'AVANCE - FACTURATION LOC. À LONG TERME</t>
  </si>
  <si>
    <t>LC&amp;LT - PAYÉ D'AVANCE - AUTRES COMPTES À RECEVOIR</t>
  </si>
  <si>
    <t>LC&amp;LT COMMISSIONS ENCAISSÉES SUR ASSU. - CONTRATS - AAD</t>
  </si>
  <si>
    <t>LC&amp;LT ACCESSOIRES - UNITÉS - AAD</t>
  </si>
  <si>
    <t>LC&amp;LT PLANS DE PROT. GM - CONTRATS - AAD</t>
  </si>
  <si>
    <t>LC&amp;LT AUTRES PLANS DE PROT. - CONTRATS - AAD</t>
  </si>
  <si>
    <t>LOC. À COURT ET LONG TERME - TOTAL - CONTRATS F&amp;A - AAD</t>
  </si>
  <si>
    <t>(520) CRÉDIT BAIL ALÉATOIRE/AUTRE - REVENU TOTAL - CE MOIS</t>
  </si>
  <si>
    <t>LC&amp;LT - 1 - 30 JOURS - FACTURATION LOC. À LONG TERME</t>
  </si>
  <si>
    <t>LC&amp;LT - 1 - 30 JOURS - AUTRES COMPTES À RECEVOIR</t>
  </si>
  <si>
    <t>LC&amp;LT COMMISSIONS ENCAISSÉES SUR ASSU. - CHIFFRE D'AFFAIRES RÉALISÉ- AAD</t>
  </si>
  <si>
    <t>LC&amp;LT ACCESSOIRES - CHIFFRE D'AFFAIRES RÉALISÉ - AAD</t>
  </si>
  <si>
    <t>LC&amp;LT PLANS DE PROT. GM - CHIFFRE D'AFFAIRES RÉALISÉ - AAD</t>
  </si>
  <si>
    <t>LC&amp;LT AUTRES PLANS DE PROT. - CHIFFRE D'AFFAIRES RÉALISÉ - AAD</t>
  </si>
  <si>
    <t>LC&amp;LT - (520) CRÉDIT BAIL ALÉATOIRE/AUTRE - INTÉRÊT</t>
  </si>
  <si>
    <t>LC&amp;LT - (520) CRÉDIT BAIL ALÉATOIRE/AUTRE - AMORTISSEMENT</t>
  </si>
  <si>
    <t>LC&amp;LT - (520) CRÉDIT BAIL ALÉATOIRE/AUTRE - ASSURANCE (VÉHICULES EN SERV.)</t>
  </si>
  <si>
    <t>LC&amp;LT - (520) CRÉDIT BAIL ALÉATOIRE/AUTRE - PLAQUES, TITRES ET TAXES</t>
  </si>
  <si>
    <t>LC&amp;LT - (520) CRÉDIT BAIL ALÉATOIRE/AUTRE - TRAVAUX À TITRE GRACIEUX - VÉH. LOC LONG TERME</t>
  </si>
  <si>
    <t>LC&amp;LT - (520) CRÉDIT BAIL ALÉATOIRE/AUTRE - RÉPARATIONS ET ENTRETIEN</t>
  </si>
  <si>
    <t>LC&amp;LT - (520) CRÉDIT BAIL ALÉATOIRE/AUTRE - PRIX LOCATIF DES UNITÉS SOUS-LOUÉES</t>
  </si>
  <si>
    <t>LC&amp;LT - (520) CRÉDIT BAIL ALÉATOIRE/AUTRE - AUTRES</t>
  </si>
  <si>
    <t>LC&amp;LT - (520) CRÉDIT BAIL ALÉATOIRE/AUTRE - * MÉMO * - PRIX DE VENTE DES VÉHICULES CÉDÉS</t>
  </si>
  <si>
    <t>LC&amp;LT - (520) CRÉDIT BAIL ALÉATOIRE/AUTRE - * MÉMO * - FRAIS DE CESSION</t>
  </si>
  <si>
    <t>LC&amp;LT - (520) CRÉDIT BAIL ALÉATOIRE/AUTRE - GAIN(PERTE) SUR CESSION</t>
  </si>
  <si>
    <t>(520) CRÉDIT BAIL ALÉATOIRE/AUTRE - UNITÉS CÉDÉES - AAD</t>
  </si>
  <si>
    <t>(520) CRÉDIT BAIL ALÉATOIRE/AUTRE - *MÉMO* RÉTENTION DE LA CLIENTÈLE (2) - AAD</t>
  </si>
  <si>
    <t>LC&amp;LT - 31 - 60 JOURS - FACTURATION LOC. À LONG TERME</t>
  </si>
  <si>
    <t>LC&amp;LT - 31 - 60 JOURS - AUTRES COMPTES À RECEVOIR</t>
  </si>
  <si>
    <t>LC&amp;LT RÉTROFACTURATION FIN ET ASS. - AAD</t>
  </si>
  <si>
    <t>LC&amp;LT ACCESSOIRES - COÛT DES VENTES - AAD</t>
  </si>
  <si>
    <t>LC&amp;LT PLANS DE PROT. GM - COÛT DES VENTES - AAD</t>
  </si>
  <si>
    <t>LC&amp;LT AUTRES PLANS DE PROT. - COÛT DES VENTES - AAD</t>
  </si>
  <si>
    <t>(530)  EXPLOIT. LOC. À COURT TERME - REVENU TOTAL - CE MOIS</t>
  </si>
  <si>
    <t>LC&amp;LT - 61 - 90 JOURS - FACTURATION LOC. À LONG TERME</t>
  </si>
  <si>
    <t>LC&amp;LT - 61 - 90 JOURS - AUTRES COMPTES À RECEVOIR</t>
  </si>
  <si>
    <t>COMMISSIONS DIRECTEUR F&amp;A - LC&amp;LT</t>
  </si>
  <si>
    <t>LOC. À COURT ET LONG TERME - TOTAL - PROFIT BRUT F&amp;A - AAD</t>
  </si>
  <si>
    <t>LC&amp;LT - (530) EXPLOIT. LOC. À COURT TERME - INTÉRÊT</t>
  </si>
  <si>
    <t>LC&amp;LT - (530) EXPLOIT. LOC. À COURT TERME - AMORTISSEMENT</t>
  </si>
  <si>
    <t>LC&amp;LT - (530) EXPLOIT. LOC. À COURT TERME - ASSURANCE (VÉHICULES EN SERV.)</t>
  </si>
  <si>
    <t>LC&amp;LT - (530) EXPLOIT. LOC. À COURT TERME - PLAQUES, TITRES ET TAXES</t>
  </si>
  <si>
    <t>LC&amp;LT - (530) EXPLOIT. LOC. À COURT TERME - TRAVAUX À TITRE GRACIEUX - VÉH. LOC LONG TERME</t>
  </si>
  <si>
    <t>LC&amp;LT - (530) EXPLOIT. LOC. À COURT TERME - RÉPARATIONS ET ENTRETIEN</t>
  </si>
  <si>
    <t>LC&amp;LT - (530) EXPLOIT. LOC. À COURT TERME - PRIX LOCATIF DES UNITÉS SOUS-LOUÉES</t>
  </si>
  <si>
    <t>LC&amp;LT - (530) EXPLOIT. LOC. À COURT TERME - AUTRES</t>
  </si>
  <si>
    <t>LC&amp;LT - (530) EXPLOIT. LOC. À COURT TERME - * MÉMO * - PRIX DE VENTE DES VÉHICULES CÉDÉS</t>
  </si>
  <si>
    <t>LC&amp;LT - (530) EXPLOIT. LOC. À COURT TERME - * MÉMO * - FRAIS DE CESSION</t>
  </si>
  <si>
    <t>LC&amp;LT - (530) EXPLOIT. LOC. À COURT TERME - GAIN(PERTE) SUR CESSION</t>
  </si>
  <si>
    <t>LOC. À COURT TERME - UNITÉS CÉDÉES</t>
  </si>
  <si>
    <t>LC&amp;LT - PLUS DE 90 JOURS - FACTURATION LOC. À LONG TERME</t>
  </si>
  <si>
    <t>LC&amp;LT - PLUS DE 90 JOURS - AUTRES COMPTES À RECEVOIR</t>
  </si>
  <si>
    <t>CountIf "VRAI"</t>
  </si>
  <si>
    <t>CountIf TRUE</t>
  </si>
  <si>
    <t>Total per Cat.</t>
  </si>
  <si>
    <t>Total All Errors</t>
  </si>
  <si>
    <t>Vos données DBI ont PASSÉES toutes les vérifications et sont retenues pour un traitement supplémentaire par General Motors.
                                     Merci!</t>
  </si>
  <si>
    <t>File Input</t>
  </si>
  <si>
    <t>SavedFile</t>
  </si>
  <si>
    <t>ACCT NO</t>
  </si>
  <si>
    <t>MONTH</t>
  </si>
  <si>
    <t>Y-T-D</t>
  </si>
  <si>
    <t>TBIn Unique Field Name</t>
  </si>
  <si>
    <t>Database</t>
  </si>
  <si>
    <t>TBOut Unique Field Name</t>
  </si>
  <si>
    <t>FROM DATE (DAY)</t>
  </si>
  <si>
    <t>FROM DY</t>
  </si>
  <si>
    <t>Account Key</t>
  </si>
  <si>
    <t>FROM DATE (MTH)</t>
  </si>
  <si>
    <t>FROM MTH</t>
  </si>
  <si>
    <t>&lt;----------------</t>
  </si>
  <si>
    <t>-----------------&gt;</t>
  </si>
  <si>
    <t>FROM DATE (YR)</t>
  </si>
  <si>
    <t>FROM YR</t>
  </si>
  <si>
    <t>GM DEMONSTRATORS UNITS</t>
  </si>
  <si>
    <t>230GMU</t>
  </si>
  <si>
    <t>00-00-230GM-UNIT-CURR</t>
  </si>
  <si>
    <t>00-00-VERSION-NBR-CURR</t>
  </si>
  <si>
    <t>GM CARS</t>
  </si>
  <si>
    <t>231GMU</t>
  </si>
  <si>
    <t>00-00-231GM-UNIT-CURR</t>
  </si>
  <si>
    <t>00-00-BAC-NBR-CURR</t>
  </si>
  <si>
    <t>GM CARS - EV</t>
  </si>
  <si>
    <t>231EGMU</t>
  </si>
  <si>
    <t>00-00-231EGM-UNIT-CURR</t>
  </si>
  <si>
    <t>00-00-ACCURCY-POINTS-CURR</t>
  </si>
  <si>
    <t>GM TRUCKS</t>
  </si>
  <si>
    <t>237GMU</t>
  </si>
  <si>
    <t>00-00-237GM-UNIT-CURR</t>
  </si>
  <si>
    <t>00-00-275-UNIT-CURR</t>
  </si>
  <si>
    <t>GM TRUCKS - EV</t>
  </si>
  <si>
    <t>237EGMU</t>
  </si>
  <si>
    <t>00-00-237EGM-UNIT-CURR</t>
  </si>
  <si>
    <t>00-00-277-UNIT-CURR</t>
  </si>
  <si>
    <t>GM MEDIUM DUTY TRUCKS</t>
  </si>
  <si>
    <t>235GMU</t>
  </si>
  <si>
    <t>00-00-235GM-UNIT-CURR</t>
  </si>
  <si>
    <t>00-00-285CAR-UNIT-CURR</t>
  </si>
  <si>
    <t>GM DEMONSTRATORS</t>
  </si>
  <si>
    <t>230GM</t>
  </si>
  <si>
    <t>00-00-230GM-FIFO-CURR</t>
  </si>
  <si>
    <t>00-00-285TRK-UNIT-CURR</t>
  </si>
  <si>
    <t>231GM</t>
  </si>
  <si>
    <t>00-00-231GM-FIFO-CURR</t>
  </si>
  <si>
    <t>00-00-310DP-AMT-CURR</t>
  </si>
  <si>
    <t>231EGM</t>
  </si>
  <si>
    <t>00-00-231EGM-FIFO-CURR</t>
  </si>
  <si>
    <t>00-00-NWC-QLTD-CURR</t>
  </si>
  <si>
    <t>237GM</t>
  </si>
  <si>
    <t>00-00-237GM-FIFO-CURR</t>
  </si>
  <si>
    <t>00-00-NWC-DLR-CURR</t>
  </si>
  <si>
    <t>237EGM</t>
  </si>
  <si>
    <t>00-00-237EGM-FIFO-CURR</t>
  </si>
  <si>
    <t>00-00-NWC-STANDARD-CURR</t>
  </si>
  <si>
    <t>235GM</t>
  </si>
  <si>
    <t>00-00-235GM-FIFO-CURR</t>
  </si>
  <si>
    <t>00-00-CORPTYPE-CODE-CURR</t>
  </si>
  <si>
    <t>TOTAL NEW VEHICLE INVENTORY UNITS</t>
  </si>
  <si>
    <t>TOTNINVU</t>
  </si>
  <si>
    <t>01-00-TOTINVEN-UNIT-CURR</t>
  </si>
  <si>
    <t>05-00-460A-LABORATE-CURR</t>
  </si>
  <si>
    <t>Submisson Mth</t>
  </si>
  <si>
    <t>Jan</t>
  </si>
  <si>
    <t>NON-GM OTHER AUTO</t>
  </si>
  <si>
    <t>238NGM</t>
  </si>
  <si>
    <t>00-00-238OTH-FIFO-CURR</t>
  </si>
  <si>
    <t>05-00-460B-LABORATE-CURR</t>
  </si>
  <si>
    <t>Feb</t>
  </si>
  <si>
    <t>CARS</t>
  </si>
  <si>
    <t>240&lt;45</t>
  </si>
  <si>
    <t>00-00-240UND45-FIFO-CURR</t>
  </si>
  <si>
    <t>05-00-460C-LABORATE-CURR</t>
  </si>
  <si>
    <t>Mar</t>
  </si>
  <si>
    <t>TRUCKS</t>
  </si>
  <si>
    <t>241&lt;45</t>
  </si>
  <si>
    <t>00-00-241UND45-FIFO-CURR</t>
  </si>
  <si>
    <t>05-00-461A-LABORATE-CURR</t>
  </si>
  <si>
    <t>Apr</t>
  </si>
  <si>
    <t>240&gt;45</t>
  </si>
  <si>
    <t>00-00-240OVR45-FIFO-CURR</t>
  </si>
  <si>
    <t>05-00-461B-LABORATE-CURR</t>
  </si>
  <si>
    <t>May</t>
  </si>
  <si>
    <t>241&gt;45</t>
  </si>
  <si>
    <t>00-00-241OVR45-FIFO-CURR</t>
  </si>
  <si>
    <t>05-00-461C-LABORATE-CURR</t>
  </si>
  <si>
    <t>Jun</t>
  </si>
  <si>
    <t>240&lt;45U</t>
  </si>
  <si>
    <t>00-00-240UND45-UNIT-CURR</t>
  </si>
  <si>
    <t>05-00-462-LABORATE-CURR</t>
  </si>
  <si>
    <t>Jul</t>
  </si>
  <si>
    <t>241&lt;45U</t>
  </si>
  <si>
    <t>00-00-241UND45-UNIT-CURR</t>
  </si>
  <si>
    <t>05-00-463-LABORATE-CURR</t>
  </si>
  <si>
    <t>Aug</t>
  </si>
  <si>
    <t>240&gt;45U</t>
  </si>
  <si>
    <t>00-00-240OVR45-UNIT-CURR</t>
  </si>
  <si>
    <t>06-00-472-LABORATE-CURR</t>
  </si>
  <si>
    <t>Sep</t>
  </si>
  <si>
    <t>241&gt;45U</t>
  </si>
  <si>
    <t>00-00-241OVR45-UNIT-CURR</t>
  </si>
  <si>
    <t>06-00-473-LABORATE-CURR</t>
  </si>
  <si>
    <t>Oct</t>
  </si>
  <si>
    <t>TOTAL USED VEHICLE INVENTORY UNITS</t>
  </si>
  <si>
    <t>TOTUINVU</t>
  </si>
  <si>
    <t>02-00-TOTINVEN-UNIT-CURR</t>
  </si>
  <si>
    <t>06-00-470-LABORATE-CURR</t>
  </si>
  <si>
    <t>Nov</t>
  </si>
  <si>
    <t>PARTS AND ACCESSORIES</t>
  </si>
  <si>
    <t>242GM</t>
  </si>
  <si>
    <t>00-00-242GM-FIFO-CURR</t>
  </si>
  <si>
    <t>06-00-471-LABORATE-CURR</t>
  </si>
  <si>
    <t>Dec</t>
  </si>
  <si>
    <t>PARTS CORES</t>
  </si>
  <si>
    <t>242AGM</t>
  </si>
  <si>
    <t>00-00-242AGM-FIFO-CURR</t>
  </si>
  <si>
    <t>01-00-RTLCAR5A-UNIT-CURR</t>
  </si>
  <si>
    <t>TIRES</t>
  </si>
  <si>
    <t>243GM</t>
  </si>
  <si>
    <t>00-00-243GM-FIFO-CURR</t>
  </si>
  <si>
    <t>01-00-419P5A-UNIT-CURR</t>
  </si>
  <si>
    <t>GAS, OIL AND GREASE</t>
  </si>
  <si>
    <t>244GM</t>
  </si>
  <si>
    <t>00-00-244GM-FIFO-CURR</t>
  </si>
  <si>
    <t>01-00-420P5A-UNIT-CURR</t>
  </si>
  <si>
    <t>PAINT AND BODY SHOP MATERIALS</t>
  </si>
  <si>
    <t>245GM</t>
  </si>
  <si>
    <t>00-00-245GM-FIFO-CURR</t>
  </si>
  <si>
    <t>01-00-421P5A-UNIT-CURR</t>
  </si>
  <si>
    <t>MISC. ASSETS RECEIVED IN TRADE</t>
  </si>
  <si>
    <t>258GM</t>
  </si>
  <si>
    <t>00-00-258GM-FIFO-CURR</t>
  </si>
  <si>
    <t>01-00-TOTCAR5A-UNIT-CURR</t>
  </si>
  <si>
    <t>242NGM</t>
  </si>
  <si>
    <t>00-00-242OTH-FIFO-CURR</t>
  </si>
  <si>
    <t>01-00-RTLTRK5A-UNIT-CURR</t>
  </si>
  <si>
    <t>242ANGM</t>
  </si>
  <si>
    <t>00-00-242AOTH-FIFO-CURR</t>
  </si>
  <si>
    <t>01-00-439P5A-UNIT-CURR</t>
  </si>
  <si>
    <t>243NGM</t>
  </si>
  <si>
    <t>00-00-243OTH-FIFO-CURR</t>
  </si>
  <si>
    <t>01-00-440P5A-UNIT-CURR</t>
  </si>
  <si>
    <t>244NGM</t>
  </si>
  <si>
    <t>00-00-244OTH-FIFO-CURR</t>
  </si>
  <si>
    <t>01-00-441P5A-UNIT-CURR</t>
  </si>
  <si>
    <t>245NGM</t>
  </si>
  <si>
    <t>00-00-245OTH-FIFO-CURR</t>
  </si>
  <si>
    <t>01-00-TOTTRK5A-UNIT-CURR</t>
  </si>
  <si>
    <t>258NGM</t>
  </si>
  <si>
    <t>00-00-258OTH-FIFO-CURR</t>
  </si>
  <si>
    <t>01-00-457P5A-UNIT-CURR</t>
  </si>
  <si>
    <t>WORK-IN-PROCESS LABOR-SERVICE</t>
  </si>
  <si>
    <t>00-00-247A-AMT-CURR</t>
  </si>
  <si>
    <t>01-00-TOTVEH5A-UNIT-CURR</t>
  </si>
  <si>
    <t>WORK-IN-PROCESS LABOR-BODY</t>
  </si>
  <si>
    <t>00-00-247B-AMT-CURR</t>
  </si>
  <si>
    <t>01-00-RTLCAR5B-UNIT-CURR</t>
  </si>
  <si>
    <t>210 VEHICLES 1-60 DAYS</t>
  </si>
  <si>
    <t>210V31-60</t>
  </si>
  <si>
    <t>00-00-210VEH-31-60D-CURR</t>
  </si>
  <si>
    <t>01-00-419P5B-UNIT-CURR</t>
  </si>
  <si>
    <t>210 OTHER 1-60 DAYS</t>
  </si>
  <si>
    <t>210O31-60</t>
  </si>
  <si>
    <t>00-00-210OTH-31-60D-CURR</t>
  </si>
  <si>
    <t>01-00-420P5B-UNIT-CURR</t>
  </si>
  <si>
    <t>220 VEHICLES 1-60 DAYS</t>
  </si>
  <si>
    <t>220V31-60</t>
  </si>
  <si>
    <t>00-00-220VEH-31-60D-CURR</t>
  </si>
  <si>
    <t>01-00-421P5B-UNIT-CURR</t>
  </si>
  <si>
    <t>220 SERVICE &amp; PARTS 31-60 DAYS</t>
  </si>
  <si>
    <t>220S&amp;P31-60</t>
  </si>
  <si>
    <t>00-00-220SVCPT-31-60D-CURR</t>
  </si>
  <si>
    <t>01-00-TOTCAR5B-UNIT-CURR</t>
  </si>
  <si>
    <t>220 OTHER 31-60 DAYS</t>
  </si>
  <si>
    <t>220O31-60</t>
  </si>
  <si>
    <t>00-00-220OTH-31-60D-CURR</t>
  </si>
  <si>
    <t>01-00-RTLTRK5B-UNIT-CURR</t>
  </si>
  <si>
    <t>210 VEHICLES 61-90 DAYS</t>
  </si>
  <si>
    <t>210V61-90</t>
  </si>
  <si>
    <t>00-00-210VEH-61-90D-CURR</t>
  </si>
  <si>
    <t>01-00-439P5B-UNIT-CURR</t>
  </si>
  <si>
    <t>210 OTHER 61-90 DAYS</t>
  </si>
  <si>
    <t>210O61-90</t>
  </si>
  <si>
    <t>00-00-210OTH-61-90D-CURR</t>
  </si>
  <si>
    <t>01-00-440P5B-UNIT-CURR</t>
  </si>
  <si>
    <t>220 VEHICLES 61-90 DAYS</t>
  </si>
  <si>
    <t>220V61-90</t>
  </si>
  <si>
    <t>00-00-220VEH-61-90D-CURR</t>
  </si>
  <si>
    <t>01-00-441P5B-UNIT-CURR</t>
  </si>
  <si>
    <t>220 SERVICE &amp; PARTS 61-90 DAYS</t>
  </si>
  <si>
    <t>220S&amp;P61-90</t>
  </si>
  <si>
    <t>00-00-220SVCPT-61-90D-CURR</t>
  </si>
  <si>
    <t>01-00-TOTTRK5B-UNIT-CURR</t>
  </si>
  <si>
    <t>220 OTHER 61-90 DAYS</t>
  </si>
  <si>
    <t>220O61-90</t>
  </si>
  <si>
    <t>00-00-220OTH-61-90D-CURR</t>
  </si>
  <si>
    <t>01-00-457P5B-UNIT-CURR</t>
  </si>
  <si>
    <t>210 VEHICLES 90+ DAYS</t>
  </si>
  <si>
    <t>210V91+</t>
  </si>
  <si>
    <t>00-00-210VEH-OVER90D-CURR</t>
  </si>
  <si>
    <t>01-00-TOTVEH5B-UNIT-CURR</t>
  </si>
  <si>
    <t>210 OTHER 90+ DAYS</t>
  </si>
  <si>
    <t>210O91+</t>
  </si>
  <si>
    <t>00-00-210OTH-OVER90D-CURR</t>
  </si>
  <si>
    <t>01-00-RTLCAR5C-UNIT-CURR</t>
  </si>
  <si>
    <t>220 VEHICLES 90+ DAYS</t>
  </si>
  <si>
    <t>220V91+</t>
  </si>
  <si>
    <t>00-00-220VEH-OVER90D-CURR</t>
  </si>
  <si>
    <t>01-00-419P5C-UNIT-CURR</t>
  </si>
  <si>
    <t>220 SERVICE &amp; PARTS 90+ DAYS</t>
  </si>
  <si>
    <t>220S&amp;P91+</t>
  </si>
  <si>
    <t>00-00-220SVCPT-OVER90D-CURR</t>
  </si>
  <si>
    <t>01-00-420P5C-UNIT-CURR</t>
  </si>
  <si>
    <t>220 OTHER</t>
  </si>
  <si>
    <t>220O91+</t>
  </si>
  <si>
    <t>00-00-220OTH-OVER90D-CURR</t>
  </si>
  <si>
    <t>01-00-421P5C-UNIT-CURR</t>
  </si>
  <si>
    <t>CASH SALES</t>
  </si>
  <si>
    <t>00-00-CASH-SALES-CURR</t>
  </si>
  <si>
    <t>01-00-TOTCAR5C-UNIT-CURR</t>
  </si>
  <si>
    <t>NEW OWNERS / EXEC MGRS</t>
  </si>
  <si>
    <t>20AU</t>
  </si>
  <si>
    <t>01-00-OWNR-PERSONNL-CURR</t>
  </si>
  <si>
    <t>01-00-RTLTRK5C-UNIT-CURR</t>
  </si>
  <si>
    <t>NEW SUPERVISORS</t>
  </si>
  <si>
    <t>21AU</t>
  </si>
  <si>
    <t>01-00-SUPV-PERSONNL-CURR</t>
  </si>
  <si>
    <t>01-00-439P5C-UNIT-CURR</t>
  </si>
  <si>
    <t>NEW VEH,SRV&amp;PRTS SLSPLE</t>
  </si>
  <si>
    <t>11AU</t>
  </si>
  <si>
    <t>01-00-SALES-PERSONNL-CURR</t>
  </si>
  <si>
    <t>01-00-440P5C-UNIT-CURR</t>
  </si>
  <si>
    <t>NEW BDC / E - COMMERCE</t>
  </si>
  <si>
    <t>01-00-BDCE-PERSONNL-CURR</t>
  </si>
  <si>
    <t>01-00-441P5C-UNIT-CURR</t>
  </si>
  <si>
    <t>NEW CLERICAL</t>
  </si>
  <si>
    <t>22AU</t>
  </si>
  <si>
    <t>01-00-CLERC-PERSONNL-CURR</t>
  </si>
  <si>
    <t>01-00-TOTTRK5C-UNIT-CURR</t>
  </si>
  <si>
    <t>NEW OTHERS</t>
  </si>
  <si>
    <t>23AU</t>
  </si>
  <si>
    <t>01-00-OTHR-PERSONNL-CURR</t>
  </si>
  <si>
    <t>01-00-457P5C-UNIT-CURR</t>
  </si>
  <si>
    <t>NEW HIRED Y-T-D</t>
  </si>
  <si>
    <t>HIREDAU</t>
  </si>
  <si>
    <t>01-00-HIRED-PERSONNL-CURR</t>
  </si>
  <si>
    <t>01-00-TOTVEH5C-UNIT-CURR</t>
  </si>
  <si>
    <t>NEW TERMINATED Y-T-D</t>
  </si>
  <si>
    <t>TERMAU</t>
  </si>
  <si>
    <t>01-00-TERM-PERSONNL-CURR</t>
  </si>
  <si>
    <t>01-00-RTLCAR5D-UNIT-CURR</t>
  </si>
  <si>
    <t>USED OWNERS / EXEC MGRS</t>
  </si>
  <si>
    <t>20BU</t>
  </si>
  <si>
    <t>02-00-OWNR-PERSONNL-CURR</t>
  </si>
  <si>
    <t>01-00-419P5D-UNIT-CURR</t>
  </si>
  <si>
    <t>USED SUPERVISORS</t>
  </si>
  <si>
    <t>21BU</t>
  </si>
  <si>
    <t>02-00-SUPV-PERSONNL-CURR</t>
  </si>
  <si>
    <t>01-00-420P5D-UNIT-CURR</t>
  </si>
  <si>
    <t>USED VEH,SRV&amp;PRTS SLSPLE</t>
  </si>
  <si>
    <t>11BU</t>
  </si>
  <si>
    <t>02-00-SALES-PERSONNL-CURR</t>
  </si>
  <si>
    <t>01-00-421P5D-UNIT-CURR</t>
  </si>
  <si>
    <t>USED BDC / E - COMMERCE</t>
  </si>
  <si>
    <t>02-00-BDCE-PERSONNL-CURR</t>
  </si>
  <si>
    <t>01-00-TOTCAR5D-UNIT-CURR</t>
  </si>
  <si>
    <t>USED CLERICAL</t>
  </si>
  <si>
    <t>22BU</t>
  </si>
  <si>
    <t>02-00-CLERC-PERSONNL-CURR</t>
  </si>
  <si>
    <t>01-00-RTLTRK5D-UNIT-CURR</t>
  </si>
  <si>
    <t>USED OTHERS</t>
  </si>
  <si>
    <t>23BU</t>
  </si>
  <si>
    <t>02-00-OTHR-PERSONNL-CURR</t>
  </si>
  <si>
    <t>01-00-439P5D-UNIT-CURR</t>
  </si>
  <si>
    <t>USED HIRED Y-T-D</t>
  </si>
  <si>
    <t>HIREDBU</t>
  </si>
  <si>
    <t>02-00-HIRED-PERSONNL-CURR</t>
  </si>
  <si>
    <t>01-00-440P5D-UNIT-CURR</t>
  </si>
  <si>
    <t>USED TERMINATED Y-T-D</t>
  </si>
  <si>
    <t>TERMBU</t>
  </si>
  <si>
    <t>02-00-TERM-PERSONNL-CURR</t>
  </si>
  <si>
    <t>01-00-441P5D-UNIT-CURR</t>
  </si>
  <si>
    <t>L&amp;R OWNERS / EXEC MGRS</t>
  </si>
  <si>
    <t>20CU</t>
  </si>
  <si>
    <t>03-00-OWNR-PERSONNL-CURR</t>
  </si>
  <si>
    <t>01-00-TOTTRK5D-UNIT-CURR</t>
  </si>
  <si>
    <t>L&amp;R SUPERVISORS</t>
  </si>
  <si>
    <t>21CU</t>
  </si>
  <si>
    <t>03-00-SUPV-PERSONNL-CURR</t>
  </si>
  <si>
    <t>01-00-457P5D-UNIT-CURR</t>
  </si>
  <si>
    <t>L&amp;R VEH,SRV&amp;PRTS SLSPLE</t>
  </si>
  <si>
    <t>11CU</t>
  </si>
  <si>
    <t>03-00-SALES-PERSONNL-CURR</t>
  </si>
  <si>
    <t>01-00-TOTVEH5D-UNIT-CURR</t>
  </si>
  <si>
    <t>L&amp;R BDC / E - COMMERCE</t>
  </si>
  <si>
    <t>03-00-BDCE-PERSONNL-CURR</t>
  </si>
  <si>
    <t>01-00-RTLCAR5E-UNIT-CURR</t>
  </si>
  <si>
    <t>L&amp;R CLERICAL</t>
  </si>
  <si>
    <t>22CU</t>
  </si>
  <si>
    <t>03-00-CLERC-PERSONNL-CURR</t>
  </si>
  <si>
    <t>01-00-419P5E-UNIT-CURR</t>
  </si>
  <si>
    <t>L&amp;R OTHERS</t>
  </si>
  <si>
    <t>23CU</t>
  </si>
  <si>
    <t>03-00-OTHR-PERSONNL-CURR</t>
  </si>
  <si>
    <t>01-00-420P5E-UNIT-CURR</t>
  </si>
  <si>
    <t>L&amp;R HIRED Y-T-D</t>
  </si>
  <si>
    <t>HIREDCU</t>
  </si>
  <si>
    <t>03-00-HIRED-PERSONNL-CURR</t>
  </si>
  <si>
    <t>01-00-421P5E-UNIT-CURR</t>
  </si>
  <si>
    <t>L&amp;R TERMINATED Y-T-D</t>
  </si>
  <si>
    <t>TERMCU</t>
  </si>
  <si>
    <t>03-00-TERM-PERSONNL-CURR</t>
  </si>
  <si>
    <t>01-00-TOTCAR5E-UNIT-CURR</t>
  </si>
  <si>
    <t>F&amp;I SUPERVISORS</t>
  </si>
  <si>
    <t>21F&amp;IU</t>
  </si>
  <si>
    <t>04-00-SUPV-PERSONNL-CURR</t>
  </si>
  <si>
    <t>01-00-RTLTRK5E-UNIT-CURR</t>
  </si>
  <si>
    <t>F&amp;I CLERICAL</t>
  </si>
  <si>
    <t>22F&amp;IU</t>
  </si>
  <si>
    <t>04-00-CLERC-PERSONNL-CURR</t>
  </si>
  <si>
    <t>01-00-439P5E-UNIT-CURR</t>
  </si>
  <si>
    <t>F&amp;I OTHERS</t>
  </si>
  <si>
    <t>23F&amp;IU</t>
  </si>
  <si>
    <t>04-00-OTHR-PERSONNL-CURR</t>
  </si>
  <si>
    <t>01-00-440P5E-UNIT-CURR</t>
  </si>
  <si>
    <t>F&amp;I HIRED Y-T-D</t>
  </si>
  <si>
    <t>HIREDF&amp;IU</t>
  </si>
  <si>
    <t>04-00-HIRED-PERSONNL-CURR</t>
  </si>
  <si>
    <t>01-00-441P5E-UNIT-CURR</t>
  </si>
  <si>
    <t>F&amp;I TERMINATED Y-T-D</t>
  </si>
  <si>
    <t>TERMF&amp;IU</t>
  </si>
  <si>
    <t>04-00-TERM-PERSONNL-CURR</t>
  </si>
  <si>
    <t>01-00-TOTTRK5E-UNIT-CURR</t>
  </si>
  <si>
    <t>SERV OWNERS / EXEC MGRS</t>
  </si>
  <si>
    <t>20DU</t>
  </si>
  <si>
    <t>05-00-OWNR-PERSONNL-CURR</t>
  </si>
  <si>
    <t>01-00-457P5E-UNIT-CURR</t>
  </si>
  <si>
    <t>SERV SUPERVISORS</t>
  </si>
  <si>
    <t>21DU</t>
  </si>
  <si>
    <t>05-00-SUPV-PERSONNL-CURR</t>
  </si>
  <si>
    <t>01-00-TOTVEH5E-UNIT-CURR</t>
  </si>
  <si>
    <t>SERV VEH,SRV&amp;PRTS SLSPLE</t>
  </si>
  <si>
    <t>11DU</t>
  </si>
  <si>
    <t>05-00-SALES-PERSONNL-CURR</t>
  </si>
  <si>
    <t>01-00-RTLCAR5G-UNIT-CURR</t>
  </si>
  <si>
    <t xml:space="preserve">SERV BDC / E - COMMERCE	</t>
  </si>
  <si>
    <t>05-00-BDCE-PERSONNL-CURR</t>
  </si>
  <si>
    <t>01-00-419P5G-UNIT-CURR</t>
  </si>
  <si>
    <t>SERV TECHNICIANS</t>
  </si>
  <si>
    <t>TECHD</t>
  </si>
  <si>
    <t>05-00-TECH-PERSONNL-CURR</t>
  </si>
  <si>
    <t>01-00-420P5G-UNIT-CURR</t>
  </si>
  <si>
    <t>SERV CLERICAL</t>
  </si>
  <si>
    <t>22DU</t>
  </si>
  <si>
    <t>05-00-CLERC-PERSONNL-CURR</t>
  </si>
  <si>
    <t>01-00-421P5G-UNIT-CURR</t>
  </si>
  <si>
    <t>SERV OTHERS</t>
  </si>
  <si>
    <t>23DU</t>
  </si>
  <si>
    <t>05-00-OTHR-PERSONNL-CURR</t>
  </si>
  <si>
    <t>01-00-TOTCAR5G-UNIT-CURR</t>
  </si>
  <si>
    <t>SERV HIRED Y-T-D</t>
  </si>
  <si>
    <t>HIREDDU</t>
  </si>
  <si>
    <t>05-00-HIRED-PERSONNL-CURR</t>
  </si>
  <si>
    <t>01-00-RTLTRK5G-UNIT-CURR</t>
  </si>
  <si>
    <t>SERV TERMINATED Y-T-D</t>
  </si>
  <si>
    <t>TERMDU</t>
  </si>
  <si>
    <t>05-00-TERM-PERSONNL-CURR</t>
  </si>
  <si>
    <t>01-00-439P5G-UNIT-CURR</t>
  </si>
  <si>
    <t>B/S OWNERS / EXEC MGRS</t>
  </si>
  <si>
    <t>20EU</t>
  </si>
  <si>
    <t>06-00-OWNR-PERSONNL-CURR</t>
  </si>
  <si>
    <t>01-00-440P5G-UNIT-CURR</t>
  </si>
  <si>
    <t>B/S SUPERVISORS</t>
  </si>
  <si>
    <t>21EU</t>
  </si>
  <si>
    <t>06-00-SUPV-PERSONNL-CURR</t>
  </si>
  <si>
    <t>01-00-441P5G-UNIT-CURR</t>
  </si>
  <si>
    <t>B/S VEH,SRV&amp;PRTS SLSPLE</t>
  </si>
  <si>
    <t>11EU</t>
  </si>
  <si>
    <t>06-00-SALES-PERSONNL-CURR</t>
  </si>
  <si>
    <t>01-00-TOTTRK5G-UNIT-CURR</t>
  </si>
  <si>
    <t>B/S BDC / E - COMMERCE</t>
  </si>
  <si>
    <t>06-00-BDCE-PERSONNL-CURR</t>
  </si>
  <si>
    <t>01-00-457P5G-UNIT-CURR</t>
  </si>
  <si>
    <t>B/S TECHNICIANS</t>
  </si>
  <si>
    <t>TECHE</t>
  </si>
  <si>
    <t>06-00-TECH-PERSONNL-CURR</t>
  </si>
  <si>
    <t>01-00-TOTVEH5G-UNIT-CURR</t>
  </si>
  <si>
    <t>B/S CLERICAL</t>
  </si>
  <si>
    <t>22EU</t>
  </si>
  <si>
    <t>06-00-CLERC-PERSONNL-CURR</t>
  </si>
  <si>
    <t>01-00-RTLCAR5H-UNIT-CURR</t>
  </si>
  <si>
    <t>B/S OTHERS</t>
  </si>
  <si>
    <t>23EU</t>
  </si>
  <si>
    <t>06-00-OTHR-PERSONNL-CURR</t>
  </si>
  <si>
    <t>01-00-419P5H-UNIT-CURR</t>
  </si>
  <si>
    <t>B/S HIRED Y-T-D</t>
  </si>
  <si>
    <t>HIREDEU</t>
  </si>
  <si>
    <t>06-00-HIRED-PERSONNL-CURR</t>
  </si>
  <si>
    <t>01-00-420P5H-UNIT-CURR</t>
  </si>
  <si>
    <t>B/S TERMINATED Y-T-D</t>
  </si>
  <si>
    <t>TERMEU</t>
  </si>
  <si>
    <t>06-00-TERM-PERSONNL-CURR</t>
  </si>
  <si>
    <t>01-00-421P5H-UNIT-CURR</t>
  </si>
  <si>
    <t>P&amp;A OWNERS / EXEC MGRS</t>
  </si>
  <si>
    <t>20FU</t>
  </si>
  <si>
    <t>07-00-OWNR-PERSONNL-CURR</t>
  </si>
  <si>
    <t>01-00-TOTCAR5H-UNIT-CURR</t>
  </si>
  <si>
    <t>P&amp;A SUPERVISORS</t>
  </si>
  <si>
    <t>21FU</t>
  </si>
  <si>
    <t>07-00-SUPV-PERSONNL-CURR</t>
  </si>
  <si>
    <t>01-00-RTLTRK5H-UNIT-CURR</t>
  </si>
  <si>
    <t>P&amp;A VEH,SRV&amp;PRTS SLSPLE</t>
  </si>
  <si>
    <t>11FU</t>
  </si>
  <si>
    <t>07-00-SALES-PERSONNL-CURR</t>
  </si>
  <si>
    <t>01-00-439P5H-UNIT-CURR</t>
  </si>
  <si>
    <t>P&amp;A BDC / E - COMMERCE</t>
  </si>
  <si>
    <t>07-00-BDCE-PERSONNL-CURR</t>
  </si>
  <si>
    <t>01-00-440P5H-UNIT-CURR</t>
  </si>
  <si>
    <t>P&amp;A CLERICAL</t>
  </si>
  <si>
    <t>22FU</t>
  </si>
  <si>
    <t>07-00-CLERC-PERSONNL-CURR</t>
  </si>
  <si>
    <t>01-00-441P5H-UNIT-CURR</t>
  </si>
  <si>
    <t>P&amp;A OTHERS</t>
  </si>
  <si>
    <t>23FU</t>
  </si>
  <si>
    <t>07-00-OTHR-PERSONNL-CURR</t>
  </si>
  <si>
    <t>01-00-TOTTRK5H-UNIT-CURR</t>
  </si>
  <si>
    <t>P&amp;A HIRED Y-T-D</t>
  </si>
  <si>
    <t>HIREDFU</t>
  </si>
  <si>
    <t>07-00-HIRED-PERSONNL-CURR</t>
  </si>
  <si>
    <t>01-00-457P5H-UNIT-CURR</t>
  </si>
  <si>
    <t>P&amp;A TERMINATED Y-T-D</t>
  </si>
  <si>
    <t>TERMFU</t>
  </si>
  <si>
    <t>07-00-TERM-PERSONNL-CURR</t>
  </si>
  <si>
    <t>01-00-TOTVEH5H-UNIT-CURR</t>
  </si>
  <si>
    <t>G&amp;A OWNERS / EXEC MGRS</t>
  </si>
  <si>
    <t>20ZU</t>
  </si>
  <si>
    <t>09-00-OWNR-PERSONNL-CURR</t>
  </si>
  <si>
    <t>01-00-RTLCAR5F-UNIT-CURR</t>
  </si>
  <si>
    <t>G&amp;A SUPERVISORS</t>
  </si>
  <si>
    <t>21ZU</t>
  </si>
  <si>
    <t>09-00-SUPV-PERSONNL-CURR</t>
  </si>
  <si>
    <t>01-00-419P5F-UNIT-CURR</t>
  </si>
  <si>
    <t>G&amp;A VEH,SRV&amp;PRTS SLSPLE</t>
  </si>
  <si>
    <t>11ZU</t>
  </si>
  <si>
    <t>09-00-SALES-PERSONNL-CURR</t>
  </si>
  <si>
    <t>01-00-420P5F-UNIT-CURR</t>
  </si>
  <si>
    <t>G&amp;A BDC / E - COMMERCE</t>
  </si>
  <si>
    <t>09-00-BDCE-PERSONNL-CURR</t>
  </si>
  <si>
    <t>01-00-421P5F-UNIT-CURR</t>
  </si>
  <si>
    <t>G&amp;A TECHNICIANS</t>
  </si>
  <si>
    <t>TECHZ</t>
  </si>
  <si>
    <t>09-00-TECH-PERSONNL-CURR</t>
  </si>
  <si>
    <t>01-00-TOTCAR5F-UNIT-CURR</t>
  </si>
  <si>
    <t>G&amp;A CLERICAL</t>
  </si>
  <si>
    <t>22ZU</t>
  </si>
  <si>
    <t>09-00-CLERC-PERSONNL-CURR</t>
  </si>
  <si>
    <t>01-00-RTLTRK5F-UNIT-CURR</t>
  </si>
  <si>
    <t>G&amp;A OTHERS</t>
  </si>
  <si>
    <t>23ZU</t>
  </si>
  <si>
    <t>09-00-OTHR-PERSONNL-CURR</t>
  </si>
  <si>
    <t>01-00-439P5F-UNIT-CURR</t>
  </si>
  <si>
    <t>G&amp;A HIRED Y-T-D</t>
  </si>
  <si>
    <t>HIREDZU</t>
  </si>
  <si>
    <t>09-00-HIRED-PERSONNL-CURR</t>
  </si>
  <si>
    <t>01-00-440P5F-UNIT-CURR</t>
  </si>
  <si>
    <t>G&amp;A TERMINATED Y-T-D</t>
  </si>
  <si>
    <t>TERMZU</t>
  </si>
  <si>
    <t>09-00-TERM-PERSONNL-CURR</t>
  </si>
  <si>
    <t>01-00-441P5F-UNIT-CURR</t>
  </si>
  <si>
    <t>TOTAL PERSONNEL COUNT</t>
  </si>
  <si>
    <t>TOTPERU</t>
  </si>
  <si>
    <t>00-00-TOTAL-PERSONNL-CURR</t>
  </si>
  <si>
    <t>01-00-TOTTRK5F-UNIT-CURR</t>
  </si>
  <si>
    <t>TOTAL HIRED Y-T-D</t>
  </si>
  <si>
    <t>TOTHIREDU</t>
  </si>
  <si>
    <t>00-00-HIRED-PERSONNL-CURR</t>
  </si>
  <si>
    <t>01-00-457P5F-UNIT-CURR</t>
  </si>
  <si>
    <t>TOTAL TERMINATED Y-T-D</t>
  </si>
  <si>
    <t>TOTTERMU</t>
  </si>
  <si>
    <t>00-00-TERM-PERSONNL-CURR</t>
  </si>
  <si>
    <t>01-00-TOTVEH5F-UNIT-CURR</t>
  </si>
  <si>
    <t>DRIVER TRAINING VEHICLES UNITS</t>
  </si>
  <si>
    <t>275U</t>
  </si>
  <si>
    <t>01-00-RTLCAR5I-UNIT-CURR</t>
  </si>
  <si>
    <t>LEASE &amp; RENTAL UNITS</t>
  </si>
  <si>
    <t>277U</t>
  </si>
  <si>
    <t>01-00-419P5I-UNIT-CURR</t>
  </si>
  <si>
    <t>CO. VEHICLES - CARS UNITS</t>
  </si>
  <si>
    <t>285CU</t>
  </si>
  <si>
    <t>01-00-420P5I-UNIT-CURR</t>
  </si>
  <si>
    <t>CO. VEHICLES - TRUCKS UNITS</t>
  </si>
  <si>
    <t>285TU</t>
  </si>
  <si>
    <t>01-00-421P5I-UNIT-CURR</t>
  </si>
  <si>
    <t>*MEMO: DELAYED PAYMENT-ACCT. 310</t>
  </si>
  <si>
    <t>310M</t>
  </si>
  <si>
    <t>01-00-TOTCAR5I-UNIT-CURR</t>
  </si>
  <si>
    <t xml:space="preserve">QUALIFIED L.T.D. </t>
  </si>
  <si>
    <t>QLFLTD</t>
  </si>
  <si>
    <t>01-00-RTLTRK5I-UNIT-CURR</t>
  </si>
  <si>
    <t>NET WORKING CAPITAL STANDARD</t>
  </si>
  <si>
    <t>NWCS</t>
  </si>
  <si>
    <t>01-00-439P5I-UNIT-CURR</t>
  </si>
  <si>
    <t>CUSTOMER LABOR - CAR &amp; LD</t>
  </si>
  <si>
    <t>460A RATE</t>
  </si>
  <si>
    <t>01-00-440P5I-UNIT-CURR</t>
  </si>
  <si>
    <t>EXT. SERVICE CONTRACT LABOR - CAR &amp; LD</t>
  </si>
  <si>
    <t>460B RATE</t>
  </si>
  <si>
    <t>01-00-441P5I-UNIT-CURR</t>
  </si>
  <si>
    <t>QUICK-SERVICE / GOODWRENCH LAB - CAR &amp; LD</t>
  </si>
  <si>
    <t>460C RATE</t>
  </si>
  <si>
    <t>01-00-TOTTRK5I-UNIT-CURR</t>
  </si>
  <si>
    <t>CUSTOMER LABOR - MD</t>
  </si>
  <si>
    <t>461A RATE</t>
  </si>
  <si>
    <t>01-00-457P5I-UNIT-CURR</t>
  </si>
  <si>
    <t>EXT. SERVICE CONTRACT LABOR - MD</t>
  </si>
  <si>
    <t>461B RATE</t>
  </si>
  <si>
    <t>01-00-TOTVEH5I-UNIT-CURR</t>
  </si>
  <si>
    <t>QUICK-SERVICE / GOODWRENCH LAB - MD</t>
  </si>
  <si>
    <t>461C RATE</t>
  </si>
  <si>
    <t>01-00-RTLCAR5J-UNIT-CURR</t>
  </si>
  <si>
    <t xml:space="preserve">MECHCANICAL WARRANTY </t>
  </si>
  <si>
    <t>462 RATE</t>
  </si>
  <si>
    <t>01-00-419P5J-UNIT-CURR</t>
  </si>
  <si>
    <t>MECHCANICAL INTERNAL</t>
  </si>
  <si>
    <t>463 RATE</t>
  </si>
  <si>
    <t>01-00-420P5J-UNIT-CURR</t>
  </si>
  <si>
    <t>B/S WARRANTY</t>
  </si>
  <si>
    <t>472 RATE</t>
  </si>
  <si>
    <t>01-00-421P5J-UNIT-CURR</t>
  </si>
  <si>
    <t>B/S INTERNAL</t>
  </si>
  <si>
    <t>473 RATE</t>
  </si>
  <si>
    <t>01-00-TOTCAR5J-UNIT-CURR</t>
  </si>
  <si>
    <t>BODY SHOP - PAINT LABOR</t>
  </si>
  <si>
    <t>470 RATE</t>
  </si>
  <si>
    <t>01-00-RTLTRK5J-UNIT-CURR</t>
  </si>
  <si>
    <t>BODY SHOP - BODY LABOR</t>
  </si>
  <si>
    <t>471 RATE</t>
  </si>
  <si>
    <t>01-00-439P5J-UNIT-CURR</t>
  </si>
  <si>
    <t>INTERNET</t>
  </si>
  <si>
    <t>MEMO INTERNET CAR SLS NEW VEH PG A</t>
  </si>
  <si>
    <t>01-00-419A-SALES-CURR</t>
  </si>
  <si>
    <t>01-00-440P5J-UNIT-CURR</t>
  </si>
  <si>
    <t>MEMO INTERNET CAR SLS NEW VEH PG B</t>
  </si>
  <si>
    <t>01-00-419B-SALES-CURR</t>
  </si>
  <si>
    <t>01-00-441P5J-UNIT-CURR</t>
  </si>
  <si>
    <t>MEMO INTERNET CAR SLS NEW VEH PG C</t>
  </si>
  <si>
    <t>01-00-419C-SALES-CURR</t>
  </si>
  <si>
    <t>01-00-TOTTRK5J-UNIT-CURR</t>
  </si>
  <si>
    <t>MEMO INTERNET CAR SLS NEW VEH PG D</t>
  </si>
  <si>
    <t>01-00-419D-SALES-CURR</t>
  </si>
  <si>
    <t>01-00-457P5J-UNIT-CURR</t>
  </si>
  <si>
    <t>MEMO INTERNET CAR SLS NEW VEH PG E</t>
  </si>
  <si>
    <t>01-00-419E-SALES-CURR</t>
  </si>
  <si>
    <t>01-00-TOTVEH5J-UNIT-CURR</t>
  </si>
  <si>
    <t>MEMO INTERNET CAR SLS NEW VEH PG F</t>
  </si>
  <si>
    <t>01-00-419F-SALES-CURR</t>
  </si>
  <si>
    <t>01-00-400F&amp;C-SALES-CURR</t>
  </si>
  <si>
    <t>MEMO INTERNET CAR SLS NEW VEH PG G</t>
  </si>
  <si>
    <t>01-00-419G-SALES-CURR</t>
  </si>
  <si>
    <t>01-00-401F&amp;C-SALES-CURR</t>
  </si>
  <si>
    <t>MEMO INTERNET CAR SLS NEW VEH PG H</t>
  </si>
  <si>
    <t>01-00-419H-SALES-CURR</t>
  </si>
  <si>
    <t>01-00-402F&amp;C-SALES-CURR</t>
  </si>
  <si>
    <t>MEMO INTERNET CAR SLS NEW VEH PG I</t>
  </si>
  <si>
    <t>01-00-419I-SALES-CURR</t>
  </si>
  <si>
    <t>01-00-403F&amp;C-SALES-CURR</t>
  </si>
  <si>
    <t>MEMO INTERNET CAR SLS NEW VEH PG J</t>
  </si>
  <si>
    <t>01-00-419J-SALES-CURR</t>
  </si>
  <si>
    <t>01-00-404F&amp;C-SALES-CURR</t>
  </si>
  <si>
    <t>MEMO INTERNET TRUCK SLS NEW VEH PG A</t>
  </si>
  <si>
    <t>01-00-439A-SALES-CURR</t>
  </si>
  <si>
    <t>01-00-405F&amp;C-SALES-CURR</t>
  </si>
  <si>
    <t>MEMO INTERNET TRUCK SLS NEW VEH PG B</t>
  </si>
  <si>
    <t>01-00-439B-SALES-CURR</t>
  </si>
  <si>
    <t>01-00-406F&amp;C-SALES-CURR</t>
  </si>
  <si>
    <t>MEMO INTERNET TRUCK SLS NEW VEH PG C</t>
  </si>
  <si>
    <t>01-00-439C-SALES-CURR</t>
  </si>
  <si>
    <t>01-00-407F&amp;C-SALES-CURR</t>
  </si>
  <si>
    <t>MEMO INTERNET TRUCK SLS NEW VEH PG D</t>
  </si>
  <si>
    <t>01-00-439D-SALES-CURR</t>
  </si>
  <si>
    <t>01-00-408F&amp;C-SALES-CURR</t>
  </si>
  <si>
    <t>MEMO INTERNET TRUCK SLS NEW VEH PG E</t>
  </si>
  <si>
    <t>01-00-439E-SALES-CURR</t>
  </si>
  <si>
    <t>01-00-409F&amp;C-SALES-CURR</t>
  </si>
  <si>
    <t>MEMO INTERNET TRUCK SLS NEW VEH PG F</t>
  </si>
  <si>
    <t>01-00-439F-SALES-CURR</t>
  </si>
  <si>
    <t>01-00-410F&amp;C-SALES-CURR</t>
  </si>
  <si>
    <t>MEMO INTERNET TRUCK SLS NEW VEH PG G</t>
  </si>
  <si>
    <t>01-00-439G-SALES-CURR</t>
  </si>
  <si>
    <t>01-00-411F&amp;C-SALES-CURR</t>
  </si>
  <si>
    <t>MEMO INTERNET TRUCK SLS NEW VEH PG H</t>
  </si>
  <si>
    <t>01-00-439H-SALES-CURR</t>
  </si>
  <si>
    <t>01-00-412F&amp;C-SALES-CURR</t>
  </si>
  <si>
    <t>MEMO INTERNET TRUCK SLS NEW VEH PG I</t>
  </si>
  <si>
    <t>01-00-439I-SALES-CURR</t>
  </si>
  <si>
    <t>01-00-413F&amp;C-SALES-CURR</t>
  </si>
  <si>
    <t>MEMO INTERNET TRUCK SLS NEW VEH PG J</t>
  </si>
  <si>
    <t>01-00-439J-SALES-CURR</t>
  </si>
  <si>
    <t>01-00-414F&amp;C-SALES-CURR</t>
  </si>
  <si>
    <t>MEMO INTERNET CAR COS NEW VEH PG A</t>
  </si>
  <si>
    <t>619A</t>
  </si>
  <si>
    <t>01-00-619A-COS-CURR</t>
  </si>
  <si>
    <t>Cal</t>
  </si>
  <si>
    <t>01-00-415F&amp;C-SALES-CURR</t>
  </si>
  <si>
    <t>MEMO INTERNET CAR COS NEW VEH PG B</t>
  </si>
  <si>
    <t>619B</t>
  </si>
  <si>
    <t>01-00-619B-COS-CURR</t>
  </si>
  <si>
    <t>01-00-416F&amp;C-SALES-CURR</t>
  </si>
  <si>
    <t>MEMO INTERNET CAR COS NEW VEH PG C</t>
  </si>
  <si>
    <t>619C</t>
  </si>
  <si>
    <t>01-00-619C-COS-CURR</t>
  </si>
  <si>
    <t>01-00-417F&amp;C-SALES-CURR</t>
  </si>
  <si>
    <t>MEMO INTERNET CAR COS NEW VEH PG D</t>
  </si>
  <si>
    <t>619D</t>
  </si>
  <si>
    <t>01-00-619D-COS-CURR</t>
  </si>
  <si>
    <t>01-00-418F&amp;C-SALES-CURR</t>
  </si>
  <si>
    <t>MEMO INTERNET CAR COS NEW VEH PG E</t>
  </si>
  <si>
    <t>619E</t>
  </si>
  <si>
    <t>01-00-619E-COS-CURR</t>
  </si>
  <si>
    <t>01-00-419F&amp;C-SALES-CURR</t>
  </si>
  <si>
    <t>MEMO INTERNET CAR COS NEW VEH PG F</t>
  </si>
  <si>
    <t>619F</t>
  </si>
  <si>
    <t>01-00-619F-COS-CURR</t>
  </si>
  <si>
    <t>01-00-CAR F&amp;C-SALES-CURR</t>
  </si>
  <si>
    <t>MEMO INTERNET CAR COS NEW VEH PG G</t>
  </si>
  <si>
    <t>619G</t>
  </si>
  <si>
    <t>01-00-619G-COS-CURR</t>
  </si>
  <si>
    <t>01-00-420F&amp;C-SALES-CURR</t>
  </si>
  <si>
    <t>MEMO INTERNET CAR COS NEW VEH PG H</t>
  </si>
  <si>
    <t>619H</t>
  </si>
  <si>
    <t>01-00-619H-COS-CURR</t>
  </si>
  <si>
    <t>01-00-421F&amp;C-SALES-CURR</t>
  </si>
  <si>
    <t>MEMO INTERNET CAR COS NEW VEH PG I</t>
  </si>
  <si>
    <t>619I</t>
  </si>
  <si>
    <t>01-00-619I-COS-CURR</t>
  </si>
  <si>
    <t>01-00-422F&amp;C-SALES-CURR</t>
  </si>
  <si>
    <t>MEMO INTERNET CAR COS NEW VEH PG J</t>
  </si>
  <si>
    <t>619J</t>
  </si>
  <si>
    <t>01-00-619J-COS-CURR</t>
  </si>
  <si>
    <t>01-00-423F&amp;C-SALES-CURR</t>
  </si>
  <si>
    <t>MEMO INTERNET TRUCK COS NEW VEH PG A</t>
  </si>
  <si>
    <t>639A</t>
  </si>
  <si>
    <t>01-00-639A-COS-CURR</t>
  </si>
  <si>
    <t>01-00-424F&amp;C-SALES-CURR</t>
  </si>
  <si>
    <t>MEMO INTERNET TRUCK COS NEW VEH PG B</t>
  </si>
  <si>
    <t>639B</t>
  </si>
  <si>
    <t>01-00-639B-COS-CURR</t>
  </si>
  <si>
    <t>01-00-425F&amp;C-SALES-CURR</t>
  </si>
  <si>
    <t>MEMO INTERNET TRUCK COS NEW VEH PG C</t>
  </si>
  <si>
    <t>639C</t>
  </si>
  <si>
    <t>01-00-639C-COS-CURR</t>
  </si>
  <si>
    <t>01-00-426F&amp;C-SALES-CURR</t>
  </si>
  <si>
    <t>MEMO INTERNET TRUCK COS NEW VEH PG D</t>
  </si>
  <si>
    <t>639D</t>
  </si>
  <si>
    <t>01-00-639D-COS-CURR</t>
  </si>
  <si>
    <t>01-00-427F&amp;C-SALES-CURR</t>
  </si>
  <si>
    <t>MEMO INTERNET TRUCK COS NEW VEH PG E</t>
  </si>
  <si>
    <t>639E</t>
  </si>
  <si>
    <t>01-00-639E-COS-CURR</t>
  </si>
  <si>
    <t>01-00-428F&amp;C-SALES-CURR</t>
  </si>
  <si>
    <t>MEMO INTERNET TRUCK COS NEW VEH PG F</t>
  </si>
  <si>
    <t>639F</t>
  </si>
  <si>
    <t>01-00-639F-COS-CURR</t>
  </si>
  <si>
    <t>01-00-429F&amp;C-SALES-CURR</t>
  </si>
  <si>
    <t>MEMO INTERNET TRUCK COS NEW VEH PG G</t>
  </si>
  <si>
    <t>639G</t>
  </si>
  <si>
    <t>01-00-639G-COS-CURR</t>
  </si>
  <si>
    <t>01-00-430F&amp;C-SALES-CURR</t>
  </si>
  <si>
    <t>MEMO INTERNET TRUCK COS NEW VEH PG H</t>
  </si>
  <si>
    <t>639H</t>
  </si>
  <si>
    <t>01-00-639H-COS-CURR</t>
  </si>
  <si>
    <t>01-00-431F&amp;C-SALES-CURR</t>
  </si>
  <si>
    <t>MEMO INTERNET TRUCK COS NEW VEH PG I</t>
  </si>
  <si>
    <t>639I</t>
  </si>
  <si>
    <t>01-00-639I-COS-CURR</t>
  </si>
  <si>
    <t>01-00-432F&amp;C-SALES-CURR</t>
  </si>
  <si>
    <t>MEMO INTERNET TRUCK COS NEW VEH PG J</t>
  </si>
  <si>
    <t>639J</t>
  </si>
  <si>
    <t>01-00-639J-COS-CURR</t>
  </si>
  <si>
    <t>01-00-433F&amp;C-SALES-CURR</t>
  </si>
  <si>
    <t>PAGE A</t>
  </si>
  <si>
    <t>NEW VEHICLE SALES - PG A UNITS - ACCT 0</t>
  </si>
  <si>
    <t>400AU</t>
  </si>
  <si>
    <t>01-00-400A-UNIT-CURR</t>
  </si>
  <si>
    <t>01-00-434F&amp;C-SALES-CURR</t>
  </si>
  <si>
    <t>NEW VEHICLE SALES - PG A UNITS - ACCT 1</t>
  </si>
  <si>
    <t>401AU</t>
  </si>
  <si>
    <t>01-00-401A-UNIT-CURR</t>
  </si>
  <si>
    <t>01-00-435F&amp;C-SALES-CURR</t>
  </si>
  <si>
    <t>NEW VEHICLE SALES - PG A UNITS - ACCT 2</t>
  </si>
  <si>
    <t>402AU</t>
  </si>
  <si>
    <t>01-00-402A-UNIT-CURR</t>
  </si>
  <si>
    <t>01-00-TRK F&amp;C-SALES-CURR</t>
  </si>
  <si>
    <t>NEW VEHICLE SALES - PG A UNITS - ACCT 3</t>
  </si>
  <si>
    <t>403AU</t>
  </si>
  <si>
    <t>01-00-403A-UNIT-CURR</t>
  </si>
  <si>
    <t>01-00-457F&amp;C-SALES-CURR</t>
  </si>
  <si>
    <t>NEW VEHICLE SALES - PG A UNITS - ACCT 4</t>
  </si>
  <si>
    <t>404AU</t>
  </si>
  <si>
    <t>01-00-404A-UNIT-CURR</t>
  </si>
  <si>
    <t>01-00-VEH F&amp;C-SALES-CURR</t>
  </si>
  <si>
    <t>NEW VEHICLE SALES - PG A UNITS - ACCT 5</t>
  </si>
  <si>
    <t>405AU</t>
  </si>
  <si>
    <t>01-00-405A-UNIT-CURR</t>
  </si>
  <si>
    <t>01-00-400F&amp;C-GRSPFT-CURR</t>
  </si>
  <si>
    <t>NEW VEHICLE SALES - PG A UNITS - ACCT 6</t>
  </si>
  <si>
    <t>406AU</t>
  </si>
  <si>
    <t>01-00-406A-UNIT-CURR</t>
  </si>
  <si>
    <t>01-00-401F&amp;C-GRSPFT-CURR</t>
  </si>
  <si>
    <t>NEW VEHICLE SALES - PG A UNITS - ACCT 7</t>
  </si>
  <si>
    <t>407AU</t>
  </si>
  <si>
    <t>01-00-407A-UNIT-CURR</t>
  </si>
  <si>
    <t>01-00-402F&amp;C-GRSPFT-CURR</t>
  </si>
  <si>
    <t>NEW VEHICLE SALES - PG A UNITS - ACCT 8</t>
  </si>
  <si>
    <t>408AU</t>
  </si>
  <si>
    <t>01-00-408A-UNIT-CURR</t>
  </si>
  <si>
    <t>01-00-403F&amp;C-GRSPFT-CURR</t>
  </si>
  <si>
    <t>NEW VEHICLE SALES - PG A UNITS - ACCT 9</t>
  </si>
  <si>
    <t>409AU</t>
  </si>
  <si>
    <t>01-00-409A-UNIT-CURR</t>
  </si>
  <si>
    <t>01-00-404F&amp;C-GRSPFT-CURR</t>
  </si>
  <si>
    <t>NEW VEHICLE SALES - PG A UNITS - ACCT 10</t>
  </si>
  <si>
    <t>410AU</t>
  </si>
  <si>
    <t>01-00-410A-UNIT-CURR</t>
  </si>
  <si>
    <t>01-00-405F&amp;C-GRSPFT-CURR</t>
  </si>
  <si>
    <t>NEW VEHICLE SALES - PG A UNITS - ACCT 11</t>
  </si>
  <si>
    <t>411AU</t>
  </si>
  <si>
    <t>01-00-411A-UNIT-CURR</t>
  </si>
  <si>
    <t>01-00-406F&amp;C-GRSPFT-CURR</t>
  </si>
  <si>
    <t>NEW VEHICLE SALES - PG A UNITS - ACCT 12</t>
  </si>
  <si>
    <t>412AU</t>
  </si>
  <si>
    <t>01-00-412A-UNIT-CURR</t>
  </si>
  <si>
    <t>01-00-407F&amp;C-GRSPFT-CURR</t>
  </si>
  <si>
    <t>NEW VEHICLE SALES - PG A UNITS - ACCT 13</t>
  </si>
  <si>
    <t>413AU</t>
  </si>
  <si>
    <t>01-00-413A-UNIT-CURR</t>
  </si>
  <si>
    <t>01-00-408F&amp;C-GRSPFT-CURR</t>
  </si>
  <si>
    <t>NEW VEHICLE SALES - PG A UNITS - ACCT 14</t>
  </si>
  <si>
    <t>414AU</t>
  </si>
  <si>
    <t>01-00-414A-UNIT-CURR</t>
  </si>
  <si>
    <t>01-00-409F&amp;C-GRSPFT-CURR</t>
  </si>
  <si>
    <t>NEW VEHICLE SALES - PG A UNITS - ACCT 15</t>
  </si>
  <si>
    <t>415AU</t>
  </si>
  <si>
    <t>01-00-415A-UNIT-CURR</t>
  </si>
  <si>
    <t>01-00-410F&amp;C-GRSPFT-CURR</t>
  </si>
  <si>
    <t>NEW VEHICLE SALES - PG A UNITS - ACCT 16</t>
  </si>
  <si>
    <t>416AU</t>
  </si>
  <si>
    <t>01-00-416A-UNIT-CURR</t>
  </si>
  <si>
    <t>01-00-411F&amp;C-GRSPFT-CURR</t>
  </si>
  <si>
    <t>NEW VEHICLE SALES - PG A UNITS - ACCT 17</t>
  </si>
  <si>
    <t>417AU</t>
  </si>
  <si>
    <t>01-00-417A-UNIT-CURR</t>
  </si>
  <si>
    <t>01-00-412F&amp;C-GRSPFT-CURR</t>
  </si>
  <si>
    <t>NEW VEHICLE SALES - PG A UNITS - ACCT 18</t>
  </si>
  <si>
    <t>418AU</t>
  </si>
  <si>
    <t>01-00-418A-UNIT-CURR</t>
  </si>
  <si>
    <t>01-00-413F&amp;C-GRSPFT-CURR</t>
  </si>
  <si>
    <t>MEMO INTERNET CAR SLS NEW VEH PG A UNITS</t>
  </si>
  <si>
    <t>419AU</t>
  </si>
  <si>
    <t>01-00-419A-UNIT-CURR</t>
  </si>
  <si>
    <t>01-00-414F&amp;C-GRSPFT-CURR</t>
  </si>
  <si>
    <t>CAR - PG A UNITS - FLEET</t>
  </si>
  <si>
    <t>420AU</t>
  </si>
  <si>
    <t>01-00-420A-UNIT-CURR</t>
  </si>
  <si>
    <t>01-00-415F&amp;C-GRSPFT-CURR</t>
  </si>
  <si>
    <t>CAR - PG A UNITS - INTERNAL</t>
  </si>
  <si>
    <t>421AU</t>
  </si>
  <si>
    <t>01-00-421A-UNIT-CURR</t>
  </si>
  <si>
    <t>01-00-416F&amp;C-GRSPFT-CURR</t>
  </si>
  <si>
    <t>NEW VEHICLE SALES - PG A UNITS - ACCT 23</t>
  </si>
  <si>
    <t>423AU</t>
  </si>
  <si>
    <t>01-00-423A-UNIT-CURR</t>
  </si>
  <si>
    <t>01-00-417F&amp;C-GRSPFT-CURR</t>
  </si>
  <si>
    <t>NEW VEHICLE SALES - PG A UNITS - ACCT 24</t>
  </si>
  <si>
    <t>424AU</t>
  </si>
  <si>
    <t>01-00-424A-UNIT-CURR</t>
  </si>
  <si>
    <t>01-00-418F&amp;C-GRSPFT-CURR</t>
  </si>
  <si>
    <t>NEW VEHICLE SALES - PG A UNITS - ACCT 25</t>
  </si>
  <si>
    <t>425AU</t>
  </si>
  <si>
    <t>01-00-425A-UNIT-CURR</t>
  </si>
  <si>
    <t>01-00-419F&amp;C-GRSPFT-CURR</t>
  </si>
  <si>
    <t>NEW VEHICLE SALES - PG A UNITS - ACCT 26</t>
  </si>
  <si>
    <t>426AU</t>
  </si>
  <si>
    <t>01-00-426A-UNIT-CURR</t>
  </si>
  <si>
    <t>01-00-CAR F&amp;C-GRSPFT-CURR</t>
  </si>
  <si>
    <t>NEW VEHICLE SALES - PG A UNITS - ACCT 27</t>
  </si>
  <si>
    <t>427AU</t>
  </si>
  <si>
    <t>01-00-427A-UNIT-CURR</t>
  </si>
  <si>
    <t>01-00-420F&amp;C-GRSPFT-CURR</t>
  </si>
  <si>
    <t>NEW VEHICLE SALES - PG A UNITS - ACCT 28</t>
  </si>
  <si>
    <t>428AU</t>
  </si>
  <si>
    <t>01-00-428A-UNIT-CURR</t>
  </si>
  <si>
    <t>01-00-421F&amp;C-GRSPFT-CURR</t>
  </si>
  <si>
    <t>NEW VEHICLE SALES - PG A UNITS - ACCT 29</t>
  </si>
  <si>
    <t>429AU</t>
  </si>
  <si>
    <t>01-00-429A-UNIT-CURR</t>
  </si>
  <si>
    <t>01-00-422F&amp;C-GRSPFT-CURR</t>
  </si>
  <si>
    <t>NEW VEHICLE SALES - PG A UNITS - ACCT 30</t>
  </si>
  <si>
    <t>430AU</t>
  </si>
  <si>
    <t>01-00-430A-UNIT-CURR</t>
  </si>
  <si>
    <t>01-00-423F&amp;C-GRSPFT-CURR</t>
  </si>
  <si>
    <t>NEW VEHICLE SALES - PG A UNITS - ACCT 31</t>
  </si>
  <si>
    <t>431AU</t>
  </si>
  <si>
    <t>01-00-431A-UNIT-CURR</t>
  </si>
  <si>
    <t>01-00-424F&amp;C-GRSPFT-CURR</t>
  </si>
  <si>
    <t>NEW VEHICLE SALES - PG A UNITS - ACCT 32</t>
  </si>
  <si>
    <t>432AU</t>
  </si>
  <si>
    <t>01-00-432A-UNIT-CURR</t>
  </si>
  <si>
    <t>01-00-425F&amp;C-GRSPFT-CURR</t>
  </si>
  <si>
    <t>NEW VEHICLE SALES - PG A UNITS - ACCT 33</t>
  </si>
  <si>
    <t>433AU</t>
  </si>
  <si>
    <t>01-00-433A-UNIT-CURR</t>
  </si>
  <si>
    <t>01-00-426F&amp;C-GRSPFT-CURR</t>
  </si>
  <si>
    <t>NEW VEHICLE SALES - PG A UNITS - ACCT 34</t>
  </si>
  <si>
    <t>434AU</t>
  </si>
  <si>
    <t>01-00-434A-UNIT-CURR</t>
  </si>
  <si>
    <t>01-00-427F&amp;C-GRSPFT-CURR</t>
  </si>
  <si>
    <t>NEW VEHICLE SALES - PG A UNITS - ACCT 35</t>
  </si>
  <si>
    <t>435AU</t>
  </si>
  <si>
    <t>01-00-435A-UNIT-CURR</t>
  </si>
  <si>
    <t>01-00-428F&amp;C-GRSPFT-CURR</t>
  </si>
  <si>
    <t>NEW VEHICLE SALES - PG A UNITS - ACCT 36</t>
  </si>
  <si>
    <t>436AU</t>
  </si>
  <si>
    <t>01-00-436A-UNIT-CURR</t>
  </si>
  <si>
    <t>01-00-429F&amp;C-GRSPFT-CURR</t>
  </si>
  <si>
    <t>NEW VEHICLE SALES - PG A UNITS - ACCT 37</t>
  </si>
  <si>
    <t>437AU</t>
  </si>
  <si>
    <t>01-00-437A-UNIT-CURR</t>
  </si>
  <si>
    <t>01-00-430F&amp;C-GRSPFT-CURR</t>
  </si>
  <si>
    <t>NEW VEHICLE SALES - PG A UNITS - ACCT 38</t>
  </si>
  <si>
    <t>438AU</t>
  </si>
  <si>
    <t>01-00-438A-UNIT-CURR</t>
  </si>
  <si>
    <t>01-00-431F&amp;C-GRSPFT-CURR</t>
  </si>
  <si>
    <t>MEMO INTERNET TRUCK SLS NEW VEH PG A UNITS</t>
  </si>
  <si>
    <t>439AU</t>
  </si>
  <si>
    <t>01-00-439A-UNIT-CURR</t>
  </si>
  <si>
    <t>01-00-432F&amp;C-GRSPFT-CURR</t>
  </si>
  <si>
    <t>TRUCK - PG A UNITS - FLEET</t>
  </si>
  <si>
    <t>440AU</t>
  </si>
  <si>
    <t>01-00-440A-UNIT-CURR</t>
  </si>
  <si>
    <t>01-00-433F&amp;C-GRSPFT-CURR</t>
  </si>
  <si>
    <t>TRUCK - PG A UNITS - INTERNAL</t>
  </si>
  <si>
    <t>441AU</t>
  </si>
  <si>
    <t>01-00-441A-UNIT-CURR</t>
  </si>
  <si>
    <t>01-00-434F&amp;C-GRSPFT-CURR</t>
  </si>
  <si>
    <t>NEW VEH ACCESSORIES - PG A UNITS</t>
  </si>
  <si>
    <t>457AU</t>
  </si>
  <si>
    <t>01-00-457A-UNIT-CURR</t>
  </si>
  <si>
    <t>01-00-435F&amp;C-GRSPFT-CURR</t>
  </si>
  <si>
    <t>NEW VEH - PG A TOTAL UNITS</t>
  </si>
  <si>
    <t>TOTAU</t>
  </si>
  <si>
    <t>01-00-TOTVEHA-UNIT-CURR</t>
  </si>
  <si>
    <t>01-00-TRK F&amp;C-GRSPFT-CURR</t>
  </si>
  <si>
    <t>PAGE B</t>
  </si>
  <si>
    <t>NEW VEHICLE SALES - PG B UNITS - ACCT 0</t>
  </si>
  <si>
    <t>400BU</t>
  </si>
  <si>
    <t>01-00-400B-UNIT-CURR</t>
  </si>
  <si>
    <t>01-00-445F&amp;C-GRSPFT-CURR</t>
  </si>
  <si>
    <t>NEW VEHICLE SALES - PG B UNITS - ACCT 1</t>
  </si>
  <si>
    <t>401BU</t>
  </si>
  <si>
    <t>01-00-401B-UNIT-CURR</t>
  </si>
  <si>
    <t>01-00-457F&amp;C-GRSPFT-CURR</t>
  </si>
  <si>
    <t>NEW VEHICLE SALES - PG B UNITS - ACCT 2</t>
  </si>
  <si>
    <t>402BU</t>
  </si>
  <si>
    <t>01-00-402B-UNIT-CURR</t>
  </si>
  <si>
    <t>01-00-VEH F&amp;C-GRSPFT-CURR</t>
  </si>
  <si>
    <t>NEW VEHICLE SALES - PG B UNITS - ACCT 3</t>
  </si>
  <si>
    <t>403BU</t>
  </si>
  <si>
    <t>01-00-403B-UNIT-CURR</t>
  </si>
  <si>
    <t>01-00-637F&amp;C-EXPNS-CURR</t>
  </si>
  <si>
    <t>NEW VEHICLE SALES - PG B UNITS - ACCT 4</t>
  </si>
  <si>
    <t>404BU</t>
  </si>
  <si>
    <t>01-00-404B-UNIT-CURR</t>
  </si>
  <si>
    <t>01-00-638F&amp;C-EXPNS-CURR</t>
  </si>
  <si>
    <t>NEW VEHICLE SALES - PG B UNITS - ACCT 5</t>
  </si>
  <si>
    <t>405BU</t>
  </si>
  <si>
    <t>01-00-405B-UNIT-CURR</t>
  </si>
  <si>
    <t>01-00-639F&amp;C-EXPNS-CURR</t>
  </si>
  <si>
    <t>NEW VEHICLE SALES - PG B UNITS - ACCT 6</t>
  </si>
  <si>
    <t>406BU</t>
  </si>
  <si>
    <t>01-00-406B-UNIT-CURR</t>
  </si>
  <si>
    <t>01-00-640F&amp;C-EXPNS-CURR</t>
  </si>
  <si>
    <t>NEW VEHICLE SALES - PG B UNITS - ACCT 7</t>
  </si>
  <si>
    <t>407BU</t>
  </si>
  <si>
    <t>01-00-407B-UNIT-CURR</t>
  </si>
  <si>
    <t>01-00-641F&amp;C-EXPNS-CURR</t>
  </si>
  <si>
    <t>NEW VEHICLE SALES - PG B UNITS - ACCT 8</t>
  </si>
  <si>
    <t>408BU</t>
  </si>
  <si>
    <t>01-00-408B-UNIT-CURR</t>
  </si>
  <si>
    <t>01-00-642F&amp;C-EXPNS-CURR</t>
  </si>
  <si>
    <t>NEW VEHICLE SALES - PG B UNITS - ACCT 9</t>
  </si>
  <si>
    <t>409BU</t>
  </si>
  <si>
    <t>01-00-409B-UNIT-CURR</t>
  </si>
  <si>
    <t>01-00-TOTALF&amp;C-EXPNS-CURR</t>
  </si>
  <si>
    <t>NEW VEHICLE SALES - PG B UNITS - ACCT 10</t>
  </si>
  <si>
    <t>410BU</t>
  </si>
  <si>
    <t>01-00-410B-UNIT-CURR</t>
  </si>
  <si>
    <t>01-00-TOTALF&amp;C-OPERPL-CURR</t>
  </si>
  <si>
    <t>NEW VEHICLE SALES - PG B UNITS - ACCT 11</t>
  </si>
  <si>
    <t>411BU</t>
  </si>
  <si>
    <t>01-00-411B-UNIT-CURR</t>
  </si>
  <si>
    <t>01-00-400F&amp;C-UNIT-CURR</t>
  </si>
  <si>
    <t>NEW VEHICLE SALES - PG B UNITS - ACCT 12</t>
  </si>
  <si>
    <t>412BU</t>
  </si>
  <si>
    <t>01-00-412B-UNIT-CURR</t>
  </si>
  <si>
    <t>01-00-401F&amp;C-UNIT-CURR</t>
  </si>
  <si>
    <t>NEW VEHICLE SALES - PG B UNITS - ACCT 13</t>
  </si>
  <si>
    <t>413BU</t>
  </si>
  <si>
    <t>01-00-413B-UNIT-CURR</t>
  </si>
  <si>
    <t>01-00-402F&amp;C-UNIT-CURR</t>
  </si>
  <si>
    <t>NEW VEHICLE SALES - PG B UNITS - ACCT 14</t>
  </si>
  <si>
    <t>414BU</t>
  </si>
  <si>
    <t>01-00-414B-UNIT-CURR</t>
  </si>
  <si>
    <t>01-00-403F&amp;C-UNIT-CURR</t>
  </si>
  <si>
    <t>NEW VEHICLE SALES - PG B UNITS - ACCT 15</t>
  </si>
  <si>
    <t>415BU</t>
  </si>
  <si>
    <t>01-00-415B-UNIT-CURR</t>
  </si>
  <si>
    <t>01-00-404F&amp;C-UNIT-CURR</t>
  </si>
  <si>
    <t>NEW VEHICLE SALES - PG B UNITS - ACCT 16</t>
  </si>
  <si>
    <t>416BU</t>
  </si>
  <si>
    <t>01-00-416B-UNIT-CURR</t>
  </si>
  <si>
    <t>01-00-405F&amp;C-UNIT-CURR</t>
  </si>
  <si>
    <t>NEW VEHICLE SALES - PG B UNITS - ACCT 17</t>
  </si>
  <si>
    <t>417BU</t>
  </si>
  <si>
    <t>01-00-417B-UNIT-CURR</t>
  </si>
  <si>
    <t>01-00-406F&amp;C-UNIT-CURR</t>
  </si>
  <si>
    <t>NEW VEHICLE SALES - PG B UNITS - ACCT 18</t>
  </si>
  <si>
    <t>418BU</t>
  </si>
  <si>
    <t>01-00-418B-UNIT-CURR</t>
  </si>
  <si>
    <t>01-00-407F&amp;C-UNIT-CURR</t>
  </si>
  <si>
    <t>MEMO INTERNET CAR SLS NEW VEH PG B UNITS</t>
  </si>
  <si>
    <t>419BU</t>
  </si>
  <si>
    <t>01-00-419B-UNIT-CURR</t>
  </si>
  <si>
    <t>01-00-408F&amp;C-UNIT-CURR</t>
  </si>
  <si>
    <t>CAR - PG B UNITS - FLEET</t>
  </si>
  <si>
    <t>420BU</t>
  </si>
  <si>
    <t>01-00-420B-UNIT-CURR</t>
  </si>
  <si>
    <t>01-00-409F&amp;C-UNIT-CURR</t>
  </si>
  <si>
    <t>CAR - PG B UNITS - INTERNAL</t>
  </si>
  <si>
    <t>421BU</t>
  </si>
  <si>
    <t>01-00-421B-UNIT-CURR</t>
  </si>
  <si>
    <t>01-00-410F&amp;C-UNIT-CURR</t>
  </si>
  <si>
    <t>NEW VEHICLE SALES - PG B UNITS - ACCT 23</t>
  </si>
  <si>
    <t>423BU</t>
  </si>
  <si>
    <t>01-00-423B-UNIT-CURR</t>
  </si>
  <si>
    <t>01-00-411F&amp;C-UNIT-CURR</t>
  </si>
  <si>
    <t>NEW VEHICLE SALES - PG B UNITS - ACCT 24</t>
  </si>
  <si>
    <t>424BU</t>
  </si>
  <si>
    <t>01-00-424B-UNIT-CURR</t>
  </si>
  <si>
    <t>01-00-412F&amp;C-UNIT-CURR</t>
  </si>
  <si>
    <t>NEW VEHICLE SALES - PG B UNITS - ACCT 25</t>
  </si>
  <si>
    <t>425BU</t>
  </si>
  <si>
    <t>01-00-425B-UNIT-CURR</t>
  </si>
  <si>
    <t>01-00-413F&amp;C-UNIT-CURR</t>
  </si>
  <si>
    <t>NEW VEHICLE SALES - PG B UNITS - ACCT 26</t>
  </si>
  <si>
    <t>426BU</t>
  </si>
  <si>
    <t>01-00-426B-UNIT-CURR</t>
  </si>
  <si>
    <t>01-00-414F&amp;C-UNIT-CURR</t>
  </si>
  <si>
    <t>NEW VEHICLE SALES - PG B UNITS - ACCT 27</t>
  </si>
  <si>
    <t>427BU</t>
  </si>
  <si>
    <t>01-00-427B-UNIT-CURR</t>
  </si>
  <si>
    <t>01-00-415F&amp;C-UNIT-CURR</t>
  </si>
  <si>
    <t>NEW VEHICLE SALES - PG B UNITS - ACCT 28</t>
  </si>
  <si>
    <t>428BU</t>
  </si>
  <si>
    <t>01-00-428B-UNIT-CURR</t>
  </si>
  <si>
    <t>01-00-416F&amp;C-UNIT-CURR</t>
  </si>
  <si>
    <t>NEW VEHICLE SALES - PG B UNITS - ACCT 29</t>
  </si>
  <si>
    <t>429BU</t>
  </si>
  <si>
    <t>01-00-429B-UNIT-CURR</t>
  </si>
  <si>
    <t>01-00-417F&amp;C-UNIT-CURR</t>
  </si>
  <si>
    <t>NEW VEHICLE SALES - PG B UNITS - ACCT 30</t>
  </si>
  <si>
    <t>430BU</t>
  </si>
  <si>
    <t>01-00-430B-UNIT-CURR</t>
  </si>
  <si>
    <t>01-00-418F&amp;C-UNIT-CURR</t>
  </si>
  <si>
    <t>NEW VEHICLE SALES - PG B UNITS - ACCT 31</t>
  </si>
  <si>
    <t>431BU</t>
  </si>
  <si>
    <t>01-00-431B-UNIT-CURR</t>
  </si>
  <si>
    <t>01-00-419F&amp;C-UNIT-CURR</t>
  </si>
  <si>
    <t>NEW VEHICLE SALES - PG B UNITS - ACCT 32</t>
  </si>
  <si>
    <t>432BU</t>
  </si>
  <si>
    <t>01-00-432B-UNIT-CURR</t>
  </si>
  <si>
    <t>01-00-CAR F&amp;C-UNIT-CURR</t>
  </si>
  <si>
    <t>NEW VEHICLE SALES - PG B UNITS - ACCT 33</t>
  </si>
  <si>
    <t>433BU</t>
  </si>
  <si>
    <t>01-00-433B-UNIT-CURR</t>
  </si>
  <si>
    <t>01-00-420F&amp;C-UNIT-CURR</t>
  </si>
  <si>
    <t>NEW VEHICLE SALES - PG B UNITS - ACCT 34</t>
  </si>
  <si>
    <t>434BU</t>
  </si>
  <si>
    <t>01-00-434B-UNIT-CURR</t>
  </si>
  <si>
    <t>01-00-421F&amp;C-UNIT-CURR</t>
  </si>
  <si>
    <t>NEW VEHICLE SALES - PG B UNITS - ACCT 35</t>
  </si>
  <si>
    <t>435BU</t>
  </si>
  <si>
    <t>01-00-435B-UNIT-CURR</t>
  </si>
  <si>
    <t>01-00-422F&amp;C-UNIT-CURR</t>
  </si>
  <si>
    <t>NEW VEHICLE SALES - PG B UNITS - ACCT 36</t>
  </si>
  <si>
    <t>436BU</t>
  </si>
  <si>
    <t>01-00-436B-UNIT-CURR</t>
  </si>
  <si>
    <t>01-00-423F&amp;C-UNIT-CURR</t>
  </si>
  <si>
    <t>NEW VEHICLE SALES - PG B UNITS - ACCT 37</t>
  </si>
  <si>
    <t>437BU</t>
  </si>
  <si>
    <t>01-00-437B-UNIT-CURR</t>
  </si>
  <si>
    <t>01-00-424F&amp;C-UNIT-CURR</t>
  </si>
  <si>
    <t>NEW VEHICLE SALES - PG B UNITS - ACCT 38</t>
  </si>
  <si>
    <t>438BU</t>
  </si>
  <si>
    <t>01-00-438B-UNIT-CURR</t>
  </si>
  <si>
    <t>01-00-425F&amp;C-UNIT-CURR</t>
  </si>
  <si>
    <t>MEMO INTERNET TRUCK SLS NEW VEH PG B UNITS</t>
  </si>
  <si>
    <t>439BU</t>
  </si>
  <si>
    <t>01-00-439B-UNIT-CURR</t>
  </si>
  <si>
    <t>01-00-426F&amp;C-UNIT-CURR</t>
  </si>
  <si>
    <t>TRUCK - PG B UNITS - FLEET</t>
  </si>
  <si>
    <t>440BU</t>
  </si>
  <si>
    <t>01-00-440B-UNIT-CURR</t>
  </si>
  <si>
    <t>01-00-427F&amp;C-UNIT-CURR</t>
  </si>
  <si>
    <t>TRUCK - PG B UNITS - INTERNAL</t>
  </si>
  <si>
    <t>441BU</t>
  </si>
  <si>
    <t>01-00-441B-UNIT-CURR</t>
  </si>
  <si>
    <t>01-00-428F&amp;C-UNIT-CURR</t>
  </si>
  <si>
    <t>NEW VEH ACCESSORIES - PG B UNITS</t>
  </si>
  <si>
    <t>457BU</t>
  </si>
  <si>
    <t>01-00-457B-UNIT-CURR</t>
  </si>
  <si>
    <t>01-00-429F&amp;C-UNIT-CURR</t>
  </si>
  <si>
    <t>NEW VEH PG B TOTAL UNITS</t>
  </si>
  <si>
    <t>TOTBU</t>
  </si>
  <si>
    <t>01-00-TOTVEHB-UNIT-CURR</t>
  </si>
  <si>
    <t>01-00-430F&amp;C-UNIT-CURR</t>
  </si>
  <si>
    <t>PAGE C</t>
  </si>
  <si>
    <t>NEW VEHICLE SALES - PG C UNITS - ACCT 0</t>
  </si>
  <si>
    <t>400CU</t>
  </si>
  <si>
    <t>01-00-400C-UNIT-CURR</t>
  </si>
  <si>
    <t>01-00-431F&amp;C-UNIT-CURR</t>
  </si>
  <si>
    <t>NEW VEHICLE SALES - PG C UNITS - ACCT 1</t>
  </si>
  <si>
    <t>401CU</t>
  </si>
  <si>
    <t>01-00-401C-UNIT-CURR</t>
  </si>
  <si>
    <t>01-00-432F&amp;C-UNIT-CURR</t>
  </si>
  <si>
    <t>NEW VEHICLE SALES - PG C UNITS - ACCT 2</t>
  </si>
  <si>
    <t>402CU</t>
  </si>
  <si>
    <t>01-00-402C-UNIT-CURR</t>
  </si>
  <si>
    <t>01-00-433F&amp;C-UNIT-CURR</t>
  </si>
  <si>
    <t>NEW VEHICLE SALES - PG C UNITS - ACCT 3</t>
  </si>
  <si>
    <t>403CU</t>
  </si>
  <si>
    <t>01-00-403C-UNIT-CURR</t>
  </si>
  <si>
    <t>01-00-434F&amp;C-UNIT-CURR</t>
  </si>
  <si>
    <t>NEW VEHICLE SALES - PG C UNITS - ACCT 4</t>
  </si>
  <si>
    <t>404CU</t>
  </si>
  <si>
    <t>01-00-404C-UNIT-CURR</t>
  </si>
  <si>
    <t>01-00-435F&amp;C-UNIT-CURR</t>
  </si>
  <si>
    <t>NEW VEHICLE SALES - PG C UNITS - ACCT 5</t>
  </si>
  <si>
    <t>405CU</t>
  </si>
  <si>
    <t>01-00-405C-UNIT-CURR</t>
  </si>
  <si>
    <t>01-00-TRK F&amp;C-UNIT-CURR</t>
  </si>
  <si>
    <t>NEW VEHICLE SALES - PG C UNITS - ACCT 6</t>
  </si>
  <si>
    <t>406CU</t>
  </si>
  <si>
    <t>01-00-406C-UNIT-CURR</t>
  </si>
  <si>
    <t>01-00-457F&amp;C-UNIT-CURR</t>
  </si>
  <si>
    <t>NEW VEHICLE SALES - PG C UNITS - ACCT 7</t>
  </si>
  <si>
    <t>407CU</t>
  </si>
  <si>
    <t>01-00-407C-UNIT-CURR</t>
  </si>
  <si>
    <t>01-00-VEH F&amp;C-UNIT-CURR</t>
  </si>
  <si>
    <t>NEW VEHICLE SALES - PG C UNITS - ACCT 8</t>
  </si>
  <si>
    <t>408CU</t>
  </si>
  <si>
    <t>01-00-408C-UNIT-CURR</t>
  </si>
  <si>
    <t>02-00-446A-UNIT-CURR</t>
  </si>
  <si>
    <t>NEW VEHICLE SALES - PG C UNITS - ACCT 9</t>
  </si>
  <si>
    <t>409CU</t>
  </si>
  <si>
    <t>01-00-409C-UNIT-CURR</t>
  </si>
  <si>
    <t>02-00-446B-UNIT-CURR</t>
  </si>
  <si>
    <t>NEW VEHICLE SALES - PG C UNITS - ACCT 10</t>
  </si>
  <si>
    <t>410CU</t>
  </si>
  <si>
    <t>01-00-410C-UNIT-CURR</t>
  </si>
  <si>
    <t>02-00-447A-RECON-CURR</t>
  </si>
  <si>
    <t>NEW VEHICLE SALES - PG C UNITS - ACCT 11</t>
  </si>
  <si>
    <t>411CU</t>
  </si>
  <si>
    <t>01-00-411C-UNIT-CURR</t>
  </si>
  <si>
    <t>02-00-447B-RECON-CURR</t>
  </si>
  <si>
    <t>NEW VEHICLE SALES - PG C UNITS - ACCT 12</t>
  </si>
  <si>
    <t>412CU</t>
  </si>
  <si>
    <t>01-00-412C-UNIT-CURR</t>
  </si>
  <si>
    <t>02-00-450A-UNIT-CURR</t>
  </si>
  <si>
    <t>NEW VEHICLE SALES - PG C UNITS - ACCT 13</t>
  </si>
  <si>
    <t>413CU</t>
  </si>
  <si>
    <t>01-00-413C-UNIT-CURR</t>
  </si>
  <si>
    <t>02-00-450B-UNIT-CURR</t>
  </si>
  <si>
    <t>NEW VEHICLE SALES - PG C UNITS - ACCT 14</t>
  </si>
  <si>
    <t>414CU</t>
  </si>
  <si>
    <t>01-00-414C-UNIT-CURR</t>
  </si>
  <si>
    <t>02-00-451A-RECON-CURR</t>
  </si>
  <si>
    <t>NEW VEHICLE SALES - PG C UNITS - ACCT 15</t>
  </si>
  <si>
    <t>415CU</t>
  </si>
  <si>
    <t>01-00-415C-UNIT-CURR</t>
  </si>
  <si>
    <t>02-00-451B-RECON-CURR</t>
  </si>
  <si>
    <t>NEW VEHICLE SALES - PG C UNITS - ACCT 16</t>
  </si>
  <si>
    <t>416CU</t>
  </si>
  <si>
    <t>01-00-416C-UNIT-CURR</t>
  </si>
  <si>
    <t>02-00-RTLVEH-UNIT-CURR</t>
  </si>
  <si>
    <t>NEW VEHICLE SALES - PG C UNITS - ACCT 17</t>
  </si>
  <si>
    <t>417CU</t>
  </si>
  <si>
    <t>01-00-417C-UNIT-CURR</t>
  </si>
  <si>
    <t>02-00-448-UNIT-CURR</t>
  </si>
  <si>
    <t>NEW VEHICLE SALES - PG C UNITS - ACCT 18</t>
  </si>
  <si>
    <t>418CU</t>
  </si>
  <si>
    <t>01-00-418C-UNIT-CURR</t>
  </si>
  <si>
    <t>02-00-RTLCAR-RATIO-CURR</t>
  </si>
  <si>
    <t>MEMO INTERNET CAR SLS NEW VEH PG C UNITS</t>
  </si>
  <si>
    <t>419CU</t>
  </si>
  <si>
    <t>01-00-419C-UNIT-CURR</t>
  </si>
  <si>
    <t>02-00-452-UNIT-CURR</t>
  </si>
  <si>
    <t>CAR - PG C UNITS - FLEET</t>
  </si>
  <si>
    <t>420CU</t>
  </si>
  <si>
    <t>01-00-420C-UNIT-CURR</t>
  </si>
  <si>
    <t>02-00-RTLTRK-RATIO-CURR</t>
  </si>
  <si>
    <t>CAR - PG C UNITS - INTERNAL</t>
  </si>
  <si>
    <t>421CU</t>
  </si>
  <si>
    <t>01-00-421C-UNIT-CURR</t>
  </si>
  <si>
    <t>02-00-WHLSVEH-UNIT-CURR</t>
  </si>
  <si>
    <t>NEW VEHICLE SALES - PG C UNITS - ACCT 23</t>
  </si>
  <si>
    <t>423CU</t>
  </si>
  <si>
    <t>01-00-423C-UNIT-CURR</t>
  </si>
  <si>
    <t>02-00-USEDVEH-UNIT-CURR</t>
  </si>
  <si>
    <t>NEW VEHICLE SALES - PG C UNITS - ACCT 24</t>
  </si>
  <si>
    <t>424CU</t>
  </si>
  <si>
    <t>01-00-424C-UNIT-CURR</t>
  </si>
  <si>
    <t>00-00-NEWUSED-UNIT-CURR</t>
  </si>
  <si>
    <t>NEW VEHICLE SALES - PG C UNITS - ACCT 25</t>
  </si>
  <si>
    <t>425CU</t>
  </si>
  <si>
    <t>01-00-425C-UNIT-CURR</t>
  </si>
  <si>
    <t>05-00-460A-RO-CURR</t>
  </si>
  <si>
    <t>NEW VEHICLE SALES - PG C UNITS - ACCT 26</t>
  </si>
  <si>
    <t>426CU</t>
  </si>
  <si>
    <t>01-00-426C-UNIT-CURR</t>
  </si>
  <si>
    <t>05-00-460B-RO-CURR</t>
  </si>
  <si>
    <t>NEW VEHICLE SALES - PG C UNITS - ACCT 27</t>
  </si>
  <si>
    <t>427CU</t>
  </si>
  <si>
    <t>01-00-427C-UNIT-CURR</t>
  </si>
  <si>
    <t>05-00-460C-RO-CURR</t>
  </si>
  <si>
    <t>NEW VEHICLE SALES - PG C UNITS - ACCT 28</t>
  </si>
  <si>
    <t>428CU</t>
  </si>
  <si>
    <t>01-00-428C-UNIT-CURR</t>
  </si>
  <si>
    <t>05-00-461A-RO-CURR</t>
  </si>
  <si>
    <t>NEW VEHICLE SALES - PG C UNITS - ACCT 29</t>
  </si>
  <si>
    <t>429CU</t>
  </si>
  <si>
    <t>01-00-429C-UNIT-CURR</t>
  </si>
  <si>
    <t>05-00-461B-RO-CURR</t>
  </si>
  <si>
    <t>NEW VEHICLE SALES - PG C UNITS - ACCT 30</t>
  </si>
  <si>
    <t>430CU</t>
  </si>
  <si>
    <t>01-00-430C-UNIT-CURR</t>
  </si>
  <si>
    <t>05-00-461C-RO-CURR</t>
  </si>
  <si>
    <t>NEW VEHICLE SALES - PG C UNITS - ACCT 31</t>
  </si>
  <si>
    <t>431CU</t>
  </si>
  <si>
    <t>01-00-431C-UNIT-CURR</t>
  </si>
  <si>
    <t>05-00-464-RO-CURR</t>
  </si>
  <si>
    <t>NEW VEHICLE SALES - PG C UNITS - ACCT 32</t>
  </si>
  <si>
    <t>432CU</t>
  </si>
  <si>
    <t>01-00-432C-UNIT-CURR</t>
  </si>
  <si>
    <t>06-00-471-RO-CURR</t>
  </si>
  <si>
    <t>NEW VEHICLE SALES - PG C UNITS - ACCT 33</t>
  </si>
  <si>
    <t>433CU</t>
  </si>
  <si>
    <t>01-00-433C-UNIT-CURR</t>
  </si>
  <si>
    <t>06-00-472-RO-CURR</t>
  </si>
  <si>
    <t>NEW VEHICLE SALES - PG C UNITS - ACCT 34</t>
  </si>
  <si>
    <t>434CU</t>
  </si>
  <si>
    <t>01-00-434C-UNIT-CURR</t>
  </si>
  <si>
    <t>06-00-473-RO-CURR</t>
  </si>
  <si>
    <t>NEW VEHICLE SALES - PG C UNITS - ACCT 35</t>
  </si>
  <si>
    <t>435CU</t>
  </si>
  <si>
    <t>01-00-435C-UNIT-CURR</t>
  </si>
  <si>
    <t>00-00-FIXCOVER-PCT-CURR</t>
  </si>
  <si>
    <t>NEW VEHICLE SALES - PG C UNITS - ACCT 36</t>
  </si>
  <si>
    <t>436CU</t>
  </si>
  <si>
    <t>01-00-436C-UNIT-CURR</t>
  </si>
  <si>
    <t>04-00-806-CNTRS-CURR</t>
  </si>
  <si>
    <t>NEW VEHICLE SALES - PG C UNITS - ACCT 37</t>
  </si>
  <si>
    <t>437CU</t>
  </si>
  <si>
    <t>01-00-437C-UNIT-CURR</t>
  </si>
  <si>
    <t>04-00-807-CNTRS-CURR</t>
  </si>
  <si>
    <t>NEW VEHICLE SALES - PG C UNITS - ACCT 38</t>
  </si>
  <si>
    <t>438CU</t>
  </si>
  <si>
    <t>01-00-438C-UNIT-CURR</t>
  </si>
  <si>
    <t>04-00-810-CNTRS-CURR</t>
  </si>
  <si>
    <t>MEMO INTERNET TRUCK SLS NEW VEH PG C UNITS</t>
  </si>
  <si>
    <t>439CU</t>
  </si>
  <si>
    <t>01-00-439C-UNIT-CURR</t>
  </si>
  <si>
    <t>04-00-443-CNTRS-CURR</t>
  </si>
  <si>
    <t>TRUCK - PG C UNITS - FLEET</t>
  </si>
  <si>
    <t>440CU</t>
  </si>
  <si>
    <t>01-00-440C-UNIT-CURR</t>
  </si>
  <si>
    <t>04-00-444-CNTRS-CURR</t>
  </si>
  <si>
    <t>TRUCK - PG C UNITS - INTERNAL</t>
  </si>
  <si>
    <t>441CU</t>
  </si>
  <si>
    <t>01-00-441C-UNIT-CURR</t>
  </si>
  <si>
    <t>04-00-808-CNTRS-CURR</t>
  </si>
  <si>
    <t>NEW VEH ACCESSORIES - PG C UNITS</t>
  </si>
  <si>
    <t>457CU</t>
  </si>
  <si>
    <t>01-00-457C-UNIT-CURR</t>
  </si>
  <si>
    <t>04-00-809-CNTRS-CURR</t>
  </si>
  <si>
    <t>NEW VEH - PG C TOTAL UNITS</t>
  </si>
  <si>
    <t>TOTCU</t>
  </si>
  <si>
    <t>01-00-TOTVEHC-UNIT-CURR</t>
  </si>
  <si>
    <t>04-00-811-CNTRS-CURR</t>
  </si>
  <si>
    <t>PAGE D</t>
  </si>
  <si>
    <t>NEW VEHICLE SALES - PG D UNITS - ACCT 0</t>
  </si>
  <si>
    <t>400DU</t>
  </si>
  <si>
    <t>01-00-400D-UNIT-CURR</t>
  </si>
  <si>
    <t>04-00-454-CNTRS-CURR</t>
  </si>
  <si>
    <t>NEW VEHICLE SALES - PG D UNITS - ACCT 1</t>
  </si>
  <si>
    <t>401DU</t>
  </si>
  <si>
    <t>01-00-401D-UNIT-CURR</t>
  </si>
  <si>
    <t>04-00-455-CNTRS-CURR</t>
  </si>
  <si>
    <t>NEW VEHICLE SALES - PG D UNITS - ACCT 2</t>
  </si>
  <si>
    <t>402DU</t>
  </si>
  <si>
    <t>01-00-402D-UNIT-CURR</t>
  </si>
  <si>
    <t>00-00-230-UNIT-CURR</t>
  </si>
  <si>
    <t>NEW VEHICLE SALES - PG D UNITS - ACCT 3</t>
  </si>
  <si>
    <t>403DU</t>
  </si>
  <si>
    <t>01-00-403D-UNIT-CURR</t>
  </si>
  <si>
    <t>NEW VEHICLE SALES - PG D UNITS - ACCT 4</t>
  </si>
  <si>
    <t>404DU</t>
  </si>
  <si>
    <t>01-00-404D-UNIT-CURR</t>
  </si>
  <si>
    <t>00-00-231-UNIT-CURR</t>
  </si>
  <si>
    <t>NEW VEHICLE SALES - PG D UNITS - ACCT 5</t>
  </si>
  <si>
    <t>405DU</t>
  </si>
  <si>
    <t>01-00-405D-UNIT-CURR</t>
  </si>
  <si>
    <t>NEW VEHICLE SALES - PG D UNITS - ACCT 6</t>
  </si>
  <si>
    <t>406DU</t>
  </si>
  <si>
    <t>01-00-406D-UNIT-CURR</t>
  </si>
  <si>
    <t>00-00-237-UNIT-CURR</t>
  </si>
  <si>
    <t>NEW VEHICLE SALES - PG D UNITS - ACCT 7</t>
  </si>
  <si>
    <t>407DU</t>
  </si>
  <si>
    <t>01-00-407D-UNIT-CURR</t>
  </si>
  <si>
    <t>NEW VEHICLE SALES - PG D UNITS - ACCT 8</t>
  </si>
  <si>
    <t>408DU</t>
  </si>
  <si>
    <t>01-00-408D-UNIT-CURR</t>
  </si>
  <si>
    <t>00-00-235-UNIT-CURR</t>
  </si>
  <si>
    <t>NEW VEHICLE SALES - PG D UNITS - ACCT 9</t>
  </si>
  <si>
    <t>409DU</t>
  </si>
  <si>
    <t>01-00-409D-UNIT-CURR</t>
  </si>
  <si>
    <t>NEW VEHICLE SALES - PG D UNITS - ACCT 10</t>
  </si>
  <si>
    <t>410DU</t>
  </si>
  <si>
    <t>01-00-410D-UNIT-CURR</t>
  </si>
  <si>
    <t>NEW VEHICLE SALES - PG D UNITS - ACCT 11</t>
  </si>
  <si>
    <t>411DU</t>
  </si>
  <si>
    <t>01-00-411D-UNIT-CURR</t>
  </si>
  <si>
    <t>NEW VEHICLE SALES - PG D UNITS - ACCT 12</t>
  </si>
  <si>
    <t>412DU</t>
  </si>
  <si>
    <t>01-00-412D-UNIT-CURR</t>
  </si>
  <si>
    <t>NEW VEHICLE SALES - PG D UNITS - ACCT 13</t>
  </si>
  <si>
    <t>413DU</t>
  </si>
  <si>
    <t>01-00-413D-UNIT-CURR</t>
  </si>
  <si>
    <t>NEW VEHICLE SALES - PG D UNITS - ACCT 14</t>
  </si>
  <si>
    <t>414DU</t>
  </si>
  <si>
    <t>01-00-414D-UNIT-CURR</t>
  </si>
  <si>
    <t>00-00-230GM-LIFOWD-CURR</t>
  </si>
  <si>
    <t>NEW VEHICLE SALES - PG D UNITS - ACCT 15</t>
  </si>
  <si>
    <t>415DU</t>
  </si>
  <si>
    <t>01-00-415D-UNIT-CURR</t>
  </si>
  <si>
    <t>00-00-231GM-LIFOWD-CURR</t>
  </si>
  <si>
    <t>NEW VEHICLE SALES - PG D UNITS - ACCT 16</t>
  </si>
  <si>
    <t>416DU</t>
  </si>
  <si>
    <t>01-00-416D-UNIT-CURR</t>
  </si>
  <si>
    <t>00-00-237GM-LIFOWD-CURR</t>
  </si>
  <si>
    <t>NEW VEHICLE SALES - PG D UNITS - ACCT 17</t>
  </si>
  <si>
    <t>417DU</t>
  </si>
  <si>
    <t>01-00-417D-UNIT-CURR</t>
  </si>
  <si>
    <t>00-00-235GM-LIFOWD-CURR</t>
  </si>
  <si>
    <t>NEW VEHICLE SALES - PG D UNITS - ACCT 18</t>
  </si>
  <si>
    <t>418DU</t>
  </si>
  <si>
    <t>01-00-418D-UNIT-CURR</t>
  </si>
  <si>
    <t>00-00-230GM-LIFO-CURR</t>
  </si>
  <si>
    <t>MEMO INTERNET CAR SLS NEW VEH PG D UNITS</t>
  </si>
  <si>
    <t>419DU</t>
  </si>
  <si>
    <t>01-00-419D-UNIT-CURR</t>
  </si>
  <si>
    <t>00-00-231GM-LIFO-CURR</t>
  </si>
  <si>
    <t>CAR - PG D UNITS - FLEET</t>
  </si>
  <si>
    <t>420DU</t>
  </si>
  <si>
    <t>01-00-420D-UNIT-CURR</t>
  </si>
  <si>
    <t>00-00-237GM-LIFO-CURR</t>
  </si>
  <si>
    <t>CAR - PG D UNITS - INTERNAL</t>
  </si>
  <si>
    <t>421DU</t>
  </si>
  <si>
    <t>01-00-421D-UNIT-CURR</t>
  </si>
  <si>
    <t>00-00-235GM-LIFO-CURR</t>
  </si>
  <si>
    <t>NEW VEHICLE SALES - PG D UNITS - ACCT 23</t>
  </si>
  <si>
    <t>423DU</t>
  </si>
  <si>
    <t>01-00-423D-UNIT-CURR</t>
  </si>
  <si>
    <t>00-00-230OTH-UNIT-CURR</t>
  </si>
  <si>
    <t>NEW VEHICLE SALES - PG D UNITS - ACCT 24</t>
  </si>
  <si>
    <t>424DU</t>
  </si>
  <si>
    <t>01-00-424D-UNIT-CURR</t>
  </si>
  <si>
    <t>00-00-231OTH-UNIT-CURR</t>
  </si>
  <si>
    <t>NEW VEHICLE SALES - PG D UNITS - ACCT 25</t>
  </si>
  <si>
    <t>425DU</t>
  </si>
  <si>
    <t>01-00-425D-UNIT-CURR</t>
  </si>
  <si>
    <t>00-00-237OTH-UNIT-CURR</t>
  </si>
  <si>
    <t>NEW VEHICLE SALES - PG D UNITS - ACCT 26</t>
  </si>
  <si>
    <t>426DU</t>
  </si>
  <si>
    <t>01-00-426D-UNIT-CURR</t>
  </si>
  <si>
    <t>00-00-235OTH-UNIT-CURR</t>
  </si>
  <si>
    <t>NEW VEHICLE SALES - PG D UNITS - ACCT 27</t>
  </si>
  <si>
    <t>427DU</t>
  </si>
  <si>
    <t>01-00-427D-UNIT-CURR</t>
  </si>
  <si>
    <t>00-00-230OTH-FIFO-CURR</t>
  </si>
  <si>
    <t>NEW VEHICLE SALES - PG D UNITS - ACCT 28</t>
  </si>
  <si>
    <t>428DU</t>
  </si>
  <si>
    <t>01-00-428D-UNIT-CURR</t>
  </si>
  <si>
    <t>00-00-231OTH-FIFO-CURR</t>
  </si>
  <si>
    <t>NEW VEHICLE SALES - PG D UNITS - ACCT 29</t>
  </si>
  <si>
    <t>429DU</t>
  </si>
  <si>
    <t>01-00-429D-UNIT-CURR</t>
  </si>
  <si>
    <t>00-00-237OTH-FIFO-CURR</t>
  </si>
  <si>
    <t>NEW VEHICLE SALES - PG D UNITS - ACCT 30</t>
  </si>
  <si>
    <t>430DU</t>
  </si>
  <si>
    <t>01-00-430D-UNIT-CURR</t>
  </si>
  <si>
    <t>00-00-235OTH-FIFO-CURR</t>
  </si>
  <si>
    <t>NEW VEHICLE SALES - PG D UNITS - ACCT 31</t>
  </si>
  <si>
    <t>431DU</t>
  </si>
  <si>
    <t>01-00-431D-UNIT-CURR</t>
  </si>
  <si>
    <t>NEW VEHICLE SALES - PG D UNITS - ACCT 32</t>
  </si>
  <si>
    <t>432DU</t>
  </si>
  <si>
    <t>01-00-432D-UNIT-CURR</t>
  </si>
  <si>
    <t>00-00-230OTH-LIFOWD-CURR</t>
  </si>
  <si>
    <t>NEW VEHICLE SALES - PG D UNITS - ACCT 33</t>
  </si>
  <si>
    <t>433DU</t>
  </si>
  <si>
    <t>01-00-433D-UNIT-CURR</t>
  </si>
  <si>
    <t>00-00-231OTH-LIFOWD-CURR</t>
  </si>
  <si>
    <t>NEW VEHICLE SALES - PG D UNITS - ACCT 34</t>
  </si>
  <si>
    <t>434DU</t>
  </si>
  <si>
    <t>01-00-434D-UNIT-CURR</t>
  </si>
  <si>
    <t>00-00-237OTH-LIFOWD-CURR</t>
  </si>
  <si>
    <t>NEW VEHICLE SALES - PG D UNITS - ACCT 35</t>
  </si>
  <si>
    <t>435DU</t>
  </si>
  <si>
    <t>01-00-435D-UNIT-CURR</t>
  </si>
  <si>
    <t>00-00-235OTH-LIFOWD-CURR</t>
  </si>
  <si>
    <t>NEW VEHICLE SALES - PG D UNITS - ACCT 36</t>
  </si>
  <si>
    <t>436DU</t>
  </si>
  <si>
    <t>01-00-436D-UNIT-CURR</t>
  </si>
  <si>
    <t>00-00-238OTH-LIFOWD-CURR</t>
  </si>
  <si>
    <t>NEW VEHICLE SALES - PG D UNITS - ACCT 37</t>
  </si>
  <si>
    <t>437DU</t>
  </si>
  <si>
    <t>01-00-437D-UNIT-CURR</t>
  </si>
  <si>
    <t>00-00-230OTH-LIFO-CURR</t>
  </si>
  <si>
    <t>NEW VEHICLE SALES - PG D UNITS - ACCT 38</t>
  </si>
  <si>
    <t>438DU</t>
  </si>
  <si>
    <t>01-00-438D-UNIT-CURR</t>
  </si>
  <si>
    <t>00-00-231OTH-LIFO-CURR</t>
  </si>
  <si>
    <t>MEMO INTERNET TRUCK SLS NEW VEH PG D UNITS</t>
  </si>
  <si>
    <t>439DU</t>
  </si>
  <si>
    <t>01-00-439D-UNIT-CURR</t>
  </si>
  <si>
    <t>00-00-237OTH-LIFO-CURR</t>
  </si>
  <si>
    <t>TRUCK - PG D UNITS - FLEET</t>
  </si>
  <si>
    <t>440DU</t>
  </si>
  <si>
    <t>01-00-440D-UNIT-CURR</t>
  </si>
  <si>
    <t>00-00-235OTH-LIFO-CURR</t>
  </si>
  <si>
    <t>TRUCK - PG D UNITS - INTERNAL</t>
  </si>
  <si>
    <t>441DU</t>
  </si>
  <si>
    <t>01-00-441D-UNIT-CURR</t>
  </si>
  <si>
    <t>00-00-238OTH-LIFO-CURR</t>
  </si>
  <si>
    <t>NEW VEH ACCESSORIES - PG D UNITS</t>
  </si>
  <si>
    <t>457DU</t>
  </si>
  <si>
    <t>01-00-457D-UNIT-CURR</t>
  </si>
  <si>
    <t>NEW VEH - PG D TOTAL UNITS</t>
  </si>
  <si>
    <t>TOTDU</t>
  </si>
  <si>
    <t>01-00-TOTVEHD-UNIT-CURR</t>
  </si>
  <si>
    <t>PAGE E</t>
  </si>
  <si>
    <t>NEW VEHICLE SALES - PG E UNITS - ACCT 0</t>
  </si>
  <si>
    <t>400EU</t>
  </si>
  <si>
    <t>01-00-400E-UNIT-CURR</t>
  </si>
  <si>
    <t>NEW VEHICLE SALES - PG E UNITS - ACCT 1</t>
  </si>
  <si>
    <t>401EU</t>
  </si>
  <si>
    <t>01-00-401E-UNIT-CURR</t>
  </si>
  <si>
    <t>NEW VEHICLE SALES - PG E UNITS - ACCT 2</t>
  </si>
  <si>
    <t>402EU</t>
  </si>
  <si>
    <t>01-00-402E-UNIT-CURR</t>
  </si>
  <si>
    <t>NEW VEHICLE SALES - PG E UNITS - ACCT 3</t>
  </si>
  <si>
    <t>403EU</t>
  </si>
  <si>
    <t>01-00-403E-UNIT-CURR</t>
  </si>
  <si>
    <t>NEW VEHICLE SALES - PG E UNITS - ACCT 4</t>
  </si>
  <si>
    <t>404EU</t>
  </si>
  <si>
    <t>01-00-404E-UNIT-CURR</t>
  </si>
  <si>
    <t>NEW VEHICLE SALES - PG E UNITS - ACCT 5</t>
  </si>
  <si>
    <t>405EU</t>
  </si>
  <si>
    <t>01-00-405E-UNIT-CURR</t>
  </si>
  <si>
    <t>NEW VEHICLE SALES - PG E UNITS - ACCT 6</t>
  </si>
  <si>
    <t>406EU</t>
  </si>
  <si>
    <t>01-00-406E-UNIT-CURR</t>
  </si>
  <si>
    <t>00-00-240TOTL-UNIT-CURR</t>
  </si>
  <si>
    <t>NEW VEHICLE SALES - PG E UNITS - ACCT 7</t>
  </si>
  <si>
    <t>407EU</t>
  </si>
  <si>
    <t>01-00-407E-UNIT-CURR</t>
  </si>
  <si>
    <t>00-00-241TOTL-UNIT-CURR</t>
  </si>
  <si>
    <t>NEW VEHICLE SALES - PG E UNITS - ACCT 8</t>
  </si>
  <si>
    <t>408EU</t>
  </si>
  <si>
    <t>01-00-408E-UNIT-CURR</t>
  </si>
  <si>
    <t>00-00-240TOTL-FIFO-CURR</t>
  </si>
  <si>
    <t>NEW VEHICLE SALES - PG E UNITS - ACCT 9</t>
  </si>
  <si>
    <t>409EU</t>
  </si>
  <si>
    <t>01-00-409E-UNIT-CURR</t>
  </si>
  <si>
    <t>00-00-241TOTL-FIFO-CURR</t>
  </si>
  <si>
    <t>NEW VEHICLE SALES - PG E UNITS - ACCT 10</t>
  </si>
  <si>
    <t>410EU</t>
  </si>
  <si>
    <t>01-00-410E-UNIT-CURR</t>
  </si>
  <si>
    <t>00-00-240TOTL-LIFOWD-CURR</t>
  </si>
  <si>
    <t>NEW VEHICLE SALES - PG E UNITS - ACCT 11</t>
  </si>
  <si>
    <t>411EU</t>
  </si>
  <si>
    <t>01-00-411E-UNIT-CURR</t>
  </si>
  <si>
    <t>00-00-241TOTL-LIFOWD-CURR</t>
  </si>
  <si>
    <t>NEW VEHICLE SALES - PG E UNITS - ACCT 12</t>
  </si>
  <si>
    <t>412EU</t>
  </si>
  <si>
    <t>01-00-412E-UNIT-CURR</t>
  </si>
  <si>
    <t>00-00-240TOTL-LIFO-CURR</t>
  </si>
  <si>
    <t>NEW VEHICLE SALES - PG E UNITS - ACCT 13</t>
  </si>
  <si>
    <t>413EU</t>
  </si>
  <si>
    <t>01-00-413E-UNIT-CURR</t>
  </si>
  <si>
    <t>00-00-241TOTL-LIFO-CURR</t>
  </si>
  <si>
    <t>NEW VEHICLE SALES - PG E UNITS - ACCT 14</t>
  </si>
  <si>
    <t>414EU</t>
  </si>
  <si>
    <t>01-00-414E-UNIT-CURR</t>
  </si>
  <si>
    <t>NEW VEHICLE SALES - PG E UNITS - ACCT 15</t>
  </si>
  <si>
    <t>415EU</t>
  </si>
  <si>
    <t>01-00-415E-UNIT-CURR</t>
  </si>
  <si>
    <t>NEW VEHICLE SALES - PG E UNITS - ACCT 16</t>
  </si>
  <si>
    <t>416EU</t>
  </si>
  <si>
    <t>01-00-416E-UNIT-CURR</t>
  </si>
  <si>
    <t>00-00-243-258G-FIFO-CURR</t>
  </si>
  <si>
    <t>NEW VEHICLE SALES - PG E UNITS - ACCT 17</t>
  </si>
  <si>
    <t>417EU</t>
  </si>
  <si>
    <t>01-00-417E-UNIT-CURR</t>
  </si>
  <si>
    <t>00-00-242GM-LIFOWD-CURR</t>
  </si>
  <si>
    <t>NEW VEHICLE SALES - PG E UNITS - ACCT 18</t>
  </si>
  <si>
    <t>418EU</t>
  </si>
  <si>
    <t>01-00-418E-UNIT-CURR</t>
  </si>
  <si>
    <t>00-00-243-258G-LIFOWD-CURR</t>
  </si>
  <si>
    <t>MEMO INTERNET CAR SLS NEW VEH PG E UNITS</t>
  </si>
  <si>
    <t>419EU</t>
  </si>
  <si>
    <t>01-00-419E-UNIT-CURR</t>
  </si>
  <si>
    <t>00-00-242GM-LIFO-CURR</t>
  </si>
  <si>
    <t>CAR - PG E UNITS - FLEET</t>
  </si>
  <si>
    <t>420EU</t>
  </si>
  <si>
    <t>01-00-420E-UNIT-CURR</t>
  </si>
  <si>
    <t>00-00-243-258G-LIFO-CURR</t>
  </si>
  <si>
    <t>CAR - PG E UNITS - INTERNAL</t>
  </si>
  <si>
    <t>421EU</t>
  </si>
  <si>
    <t>01-00-421E-UNIT-CURR</t>
  </si>
  <si>
    <t>NEW VEHICLE SALES - PG E UNITS - ACCT 23</t>
  </si>
  <si>
    <t>423EU</t>
  </si>
  <si>
    <t>01-00-423E-UNIT-CURR</t>
  </si>
  <si>
    <t>NEW VEHICLE SALES - PG E UNITS - ACCT 24</t>
  </si>
  <si>
    <t>424EU</t>
  </si>
  <si>
    <t>01-00-424E-UNIT-CURR</t>
  </si>
  <si>
    <t>00-00-242OTH-LIFOWD-CURR</t>
  </si>
  <si>
    <t>NEW VEHICLE SALES - PG E UNITS - ACCT 25</t>
  </si>
  <si>
    <t>425EU</t>
  </si>
  <si>
    <t>01-00-425E-UNIT-CURR</t>
  </si>
  <si>
    <t>00-00-242OTH-LIFO-CURR</t>
  </si>
  <si>
    <t>NEW VEHICLE SALES - PG E UNITS - ACCT 26</t>
  </si>
  <si>
    <t>426EU</t>
  </si>
  <si>
    <t>01-00-426E-UNIT-CURR</t>
  </si>
  <si>
    <t>NEW VEHICLE SALES - PG E UNITS - ACCT 27</t>
  </si>
  <si>
    <t>427EU</t>
  </si>
  <si>
    <t>01-00-427E-UNIT-CURR</t>
  </si>
  <si>
    <t>NEW VEHICLE SALES - PG E UNITS - ACCT 28</t>
  </si>
  <si>
    <t>428EU</t>
  </si>
  <si>
    <t>01-00-428E-UNIT-CURR</t>
  </si>
  <si>
    <t>NEW VEHICLE SALES - PG E UNITS - ACCT 29</t>
  </si>
  <si>
    <t>429EU</t>
  </si>
  <si>
    <t>01-00-429E-UNIT-CURR</t>
  </si>
  <si>
    <t>NEW VEHICLE SALES - PG E UNITS - ACCT 30</t>
  </si>
  <si>
    <t>430EU</t>
  </si>
  <si>
    <t>01-00-430E-UNIT-CURR</t>
  </si>
  <si>
    <t>NEW VEHICLE SALES - PG E UNITS - ACCT 31</t>
  </si>
  <si>
    <t>431EU</t>
  </si>
  <si>
    <t>01-00-431E-UNIT-CURR</t>
  </si>
  <si>
    <t>NEW VEHICLE SALES - PG E UNITS - ACCT 32</t>
  </si>
  <si>
    <t>432EU</t>
  </si>
  <si>
    <t>01-00-432E-UNIT-CURR</t>
  </si>
  <si>
    <t>NEW VEHICLE SALES - PG E UNITS - ACCT 33</t>
  </si>
  <si>
    <t>433EU</t>
  </si>
  <si>
    <t>01-00-433E-UNIT-CURR</t>
  </si>
  <si>
    <t>01-00-TOTAL-PERSONNL-CURR</t>
  </si>
  <si>
    <t>NEW VEHICLE SALES - PG E UNITS - ACCT 34</t>
  </si>
  <si>
    <t>434EU</t>
  </si>
  <si>
    <t>01-00-434E-UNIT-CURR</t>
  </si>
  <si>
    <t>NEW VEHICLE SALES - PG E UNITS - ACCT 35</t>
  </si>
  <si>
    <t>435EU</t>
  </si>
  <si>
    <t>01-00-435E-UNIT-CURR</t>
  </si>
  <si>
    <t>NEW VEHICLE SALES - PG E UNITS - ACCT 36</t>
  </si>
  <si>
    <t>436EU</t>
  </si>
  <si>
    <t>01-00-436E-UNIT-CURR</t>
  </si>
  <si>
    <t>NEW VEHICLE SALES - PG E UNITS - ACCT 37</t>
  </si>
  <si>
    <t>437EU</t>
  </si>
  <si>
    <t>01-00-437E-UNIT-CURR</t>
  </si>
  <si>
    <t>NEW VEHICLE SALES - PG E UNITS - ACCT 38</t>
  </si>
  <si>
    <t>438EU</t>
  </si>
  <si>
    <t>01-00-438E-UNIT-CURR</t>
  </si>
  <si>
    <t>MEMO INTERNET TRUCK SLS NEW VEH PG E UNITS</t>
  </si>
  <si>
    <t>439EU</t>
  </si>
  <si>
    <t>01-00-439E-UNIT-CURR</t>
  </si>
  <si>
    <t>TRUCK - PG E UNITS - FLEET</t>
  </si>
  <si>
    <t>440EU</t>
  </si>
  <si>
    <t>01-00-440E-UNIT-CURR</t>
  </si>
  <si>
    <t>TRUCK - PG E UNITS - INTERNAL</t>
  </si>
  <si>
    <t>441EU</t>
  </si>
  <si>
    <t>01-00-441E-UNIT-CURR</t>
  </si>
  <si>
    <t>02-00-TOTAL-PERSONNL-CURR</t>
  </si>
  <si>
    <t>NEW VEH ACCESSORIES - PG E UNITS</t>
  </si>
  <si>
    <t>457EU</t>
  </si>
  <si>
    <t>01-00-457E-UNIT-CURR</t>
  </si>
  <si>
    <t>NEW VEH - PG E  TOTAL UNITS</t>
  </si>
  <si>
    <t>TOTEU</t>
  </si>
  <si>
    <t>01-00-TOTVEHE-UNIT-CURR</t>
  </si>
  <si>
    <t>PAGE F</t>
  </si>
  <si>
    <t>NEW VEHICLE SALES - PG F UNITS - ACCT 0</t>
  </si>
  <si>
    <t>400FU</t>
  </si>
  <si>
    <t>01-00-400F-UNIT-CURR</t>
  </si>
  <si>
    <t>NEW VEHICLE SALES - PG F UNITS - ACCT 1</t>
  </si>
  <si>
    <t>401FU</t>
  </si>
  <si>
    <t>01-00-401F-UNIT-CURR</t>
  </si>
  <si>
    <t>NEW VEHICLE SALES - PG F UNITS - ACCT 2</t>
  </si>
  <si>
    <t>402FU</t>
  </si>
  <si>
    <t>01-00-402F-UNIT-CURR</t>
  </si>
  <si>
    <t>NEW VEHICLE SALES - PG F UNITS - ACCT 3</t>
  </si>
  <si>
    <t>403FU</t>
  </si>
  <si>
    <t>01-00-403F-UNIT-CURR</t>
  </si>
  <si>
    <t>NEW VEHICLE SALES - PG F UNITS - ACCT 4</t>
  </si>
  <si>
    <t>404FU</t>
  </si>
  <si>
    <t>01-00-404F-UNIT-CURR</t>
  </si>
  <si>
    <t>NEW VEHICLE SALES - PG F UNITS - ACCT 5</t>
  </si>
  <si>
    <t>405FU</t>
  </si>
  <si>
    <t>01-00-405F-UNIT-CURR</t>
  </si>
  <si>
    <t>03-00-TOTAL-PERSONNL-CURR</t>
  </si>
  <si>
    <t>NEW VEHICLE SALES - PG F UNITS - ACCT 6</t>
  </si>
  <si>
    <t>406FU</t>
  </si>
  <si>
    <t>01-00-406F-UNIT-CURR</t>
  </si>
  <si>
    <t>NEW VEHICLE SALES - PG F UNITS - ACCT 7</t>
  </si>
  <si>
    <t>407FU</t>
  </si>
  <si>
    <t>01-00-407F-UNIT-CURR</t>
  </si>
  <si>
    <t>NEW VEHICLE SALES - PG F UNITS - ACCT 8</t>
  </si>
  <si>
    <t>408FU</t>
  </si>
  <si>
    <t>01-00-408F-UNIT-CURR</t>
  </si>
  <si>
    <t>NEW VEHICLE SALES - PG F UNITS - ACCT 9</t>
  </si>
  <si>
    <t>409FU</t>
  </si>
  <si>
    <t>01-00-409F-UNIT-CURR</t>
  </si>
  <si>
    <t>NEW VEHICLE SALES - PG F UNITS - ACCT 10</t>
  </si>
  <si>
    <t>410FU</t>
  </si>
  <si>
    <t>01-00-410F-UNIT-CURR</t>
  </si>
  <si>
    <t>NEW VEHICLE SALES - PG F UNITS - ACCT 11</t>
  </si>
  <si>
    <t>411FU</t>
  </si>
  <si>
    <t>01-00-411F-UNIT-CURR</t>
  </si>
  <si>
    <t>04-00-TOTAL-PERSONNL-CURR</t>
  </si>
  <si>
    <t>NEW VEHICLE SALES - PG F UNITS - ACCT 12</t>
  </si>
  <si>
    <t>412FU</t>
  </si>
  <si>
    <t>01-00-412F-UNIT-CURR</t>
  </si>
  <si>
    <t>NEW VEHICLE SALES - PG F UNITS - ACCT 13</t>
  </si>
  <si>
    <t>413FU</t>
  </si>
  <si>
    <t>01-00-413F-UNIT-CURR</t>
  </si>
  <si>
    <t>NEW VEHICLE SALES - PG F UNITS - ACCT 14</t>
  </si>
  <si>
    <t>414FU</t>
  </si>
  <si>
    <t>01-00-414F-UNIT-CURR</t>
  </si>
  <si>
    <t>NEW VEHICLE SALES - PG F UNITS - ACCT 15</t>
  </si>
  <si>
    <t>415FU</t>
  </si>
  <si>
    <t>01-00-415F-UNIT-CURR</t>
  </si>
  <si>
    <t>NEW VEHICLE SALES - PG F UNITS - ACCT 16</t>
  </si>
  <si>
    <t>416FU</t>
  </si>
  <si>
    <t>01-00-416F-UNIT-CURR</t>
  </si>
  <si>
    <t>NEW VEHICLE SALES - PG F UNITS - ACCT 17</t>
  </si>
  <si>
    <t>417FU</t>
  </si>
  <si>
    <t>01-00-417F-UNIT-CURR</t>
  </si>
  <si>
    <t>NEW VEHICLE SALES - PG F UNITS - ACCT 18</t>
  </si>
  <si>
    <t>418FU</t>
  </si>
  <si>
    <t>01-00-418F-UNIT-CURR</t>
  </si>
  <si>
    <t>MEMO INTERNET CAR SLS NEW VEH PG F UNITS</t>
  </si>
  <si>
    <t>419FU</t>
  </si>
  <si>
    <t>01-00-419F-UNIT-CURR</t>
  </si>
  <si>
    <t>CAR - PG F UNITS - FLEET</t>
  </si>
  <si>
    <t>420FU</t>
  </si>
  <si>
    <t>01-00-420F-UNIT-CURR</t>
  </si>
  <si>
    <t>05-00-TOTAL-PERSONNL-CURR</t>
  </si>
  <si>
    <t>CAR - PG F UNITS - INTERNAL</t>
  </si>
  <si>
    <t>421FU</t>
  </si>
  <si>
    <t>01-00-421F-UNIT-CURR</t>
  </si>
  <si>
    <t>NEW VEHICLE SALES - PG F UNITS - ACCT 23</t>
  </si>
  <si>
    <t>423FU</t>
  </si>
  <si>
    <t>01-00-423F-UNIT-CURR</t>
  </si>
  <si>
    <t>NEW VEHICLE SALES - PG F UNITS - ACCT 24</t>
  </si>
  <si>
    <t>424FU</t>
  </si>
  <si>
    <t>01-00-424F-UNIT-CURR</t>
  </si>
  <si>
    <t>NEW VEHICLE SALES - PG F UNITS - ACCT 25</t>
  </si>
  <si>
    <t>425FU</t>
  </si>
  <si>
    <t>01-00-425F-UNIT-CURR</t>
  </si>
  <si>
    <t>NEW VEHICLE SALES - PG F UNITS - ACCT 26</t>
  </si>
  <si>
    <t>426FU</t>
  </si>
  <si>
    <t>01-00-426F-UNIT-CURR</t>
  </si>
  <si>
    <t>NEW VEHICLE SALES - PG F UNITS - ACCT 27</t>
  </si>
  <si>
    <t>427FU</t>
  </si>
  <si>
    <t>01-00-427F-UNIT-CURR</t>
  </si>
  <si>
    <t>NEW VEHICLE SALES - PG F UNITS - ACCT 28</t>
  </si>
  <si>
    <t>428FU</t>
  </si>
  <si>
    <t>01-00-428F-UNIT-CURR</t>
  </si>
  <si>
    <t>NEW VEHICLE SALES - PG F UNITS - ACCT 29</t>
  </si>
  <si>
    <t>429FU</t>
  </si>
  <si>
    <t>01-00-429F-UNIT-CURR</t>
  </si>
  <si>
    <t>NEW VEHICLE SALES - PG F UNITS - ACCT 30</t>
  </si>
  <si>
    <t>430FU</t>
  </si>
  <si>
    <t>01-00-430F-UNIT-CURR</t>
  </si>
  <si>
    <t>06-00-TOTAL-PERSONNL-CURR</t>
  </si>
  <si>
    <t>NEW VEHICLE SALES - PG F UNITS - ACCT 31</t>
  </si>
  <si>
    <t>431FU</t>
  </si>
  <si>
    <t>01-00-431F-UNIT-CURR</t>
  </si>
  <si>
    <t>NEW VEHICLE SALES - PG F UNITS - ACCT 32</t>
  </si>
  <si>
    <t>432FU</t>
  </si>
  <si>
    <t>01-00-432F-UNIT-CURR</t>
  </si>
  <si>
    <t>NEW VEHICLE SALES - PG F UNITS - ACCT 33</t>
  </si>
  <si>
    <t>433FU</t>
  </si>
  <si>
    <t>01-00-433F-UNIT-CURR</t>
  </si>
  <si>
    <t>NEW VEHICLE SALES - PG F UNITS - ACCT 34</t>
  </si>
  <si>
    <t>434FU</t>
  </si>
  <si>
    <t>01-00-434F-UNIT-CURR</t>
  </si>
  <si>
    <t>NEW VEHICLE SALES - PG F UNITS - ACCT 35</t>
  </si>
  <si>
    <t>435FU</t>
  </si>
  <si>
    <t>01-00-435F-UNIT-CURR</t>
  </si>
  <si>
    <t>NEW VEHICLE SALES - PG F UNITS - ACCT 36</t>
  </si>
  <si>
    <t>436FU</t>
  </si>
  <si>
    <t>01-00-436F-UNIT-CURR</t>
  </si>
  <si>
    <t>NEW VEHICLE SALES - PG F UNITS - ACCT 37</t>
  </si>
  <si>
    <t>437FU</t>
  </si>
  <si>
    <t>01-00-437F-UNIT-CURR</t>
  </si>
  <si>
    <t>NEW VEHICLE SALES - PG F UNITS - ACCT 38</t>
  </si>
  <si>
    <t>438FU</t>
  </si>
  <si>
    <t>01-00-438F-UNIT-CURR</t>
  </si>
  <si>
    <t>07-00-TOTAL-PERSONNL-CURR</t>
  </si>
  <si>
    <t>MEMO INTERNET TRUCK SLS NEW VEH PG F UNITS</t>
  </si>
  <si>
    <t>439FU</t>
  </si>
  <si>
    <t>01-00-439F-UNIT-CURR</t>
  </si>
  <si>
    <t>TRUCK - PG F UNITS - FLEET</t>
  </si>
  <si>
    <t>440FU</t>
  </si>
  <si>
    <t>01-00-440F-UNIT-CURR</t>
  </si>
  <si>
    <t>TRUCK - PG F UNITS - INTERNAL</t>
  </si>
  <si>
    <t>441FU</t>
  </si>
  <si>
    <t>01-00-441F-UNIT-CURR</t>
  </si>
  <si>
    <t>NEW VEH ACCESSORIES - PG F UNITS</t>
  </si>
  <si>
    <t>457FU</t>
  </si>
  <si>
    <t>01-00-457F-UNIT-CURR</t>
  </si>
  <si>
    <t>NEW VEH  PG F TOTAL UNITS</t>
  </si>
  <si>
    <t>TOTFU</t>
  </si>
  <si>
    <t>01-00-TOTVEHF-UNIT-CURR</t>
  </si>
  <si>
    <t>PAGE G</t>
  </si>
  <si>
    <t>NEW VEHICLE SALES - PG G UNITS - ACCT 0</t>
  </si>
  <si>
    <t>400GU</t>
  </si>
  <si>
    <t>01-00-400G-UNIT-CURR</t>
  </si>
  <si>
    <t>NEW VEHICLE SALES - PG G UNITS - ACCT 1</t>
  </si>
  <si>
    <t>401GU</t>
  </si>
  <si>
    <t>01-00-401G-UNIT-CURR</t>
  </si>
  <si>
    <t>NEW VEHICLE SALES - PG G UNITS - ACCT 2</t>
  </si>
  <si>
    <t>402GU</t>
  </si>
  <si>
    <t>01-00-402G-UNIT-CURR</t>
  </si>
  <si>
    <t>NEW VEHICLE SALES - PG G UNITS - ACCT 3</t>
  </si>
  <si>
    <t>403GU</t>
  </si>
  <si>
    <t>01-00-403G-UNIT-CURR</t>
  </si>
  <si>
    <t>09-00-TOTAL-PERSONNL-CURR</t>
  </si>
  <si>
    <t>NEW VEHICLE SALES - PG G UNITS - ACCT 4</t>
  </si>
  <si>
    <t>404GU</t>
  </si>
  <si>
    <t>01-00-404G-UNIT-CURR</t>
  </si>
  <si>
    <t>NEW VEHICLE SALES - PG G UNITS - ACCT 5</t>
  </si>
  <si>
    <t>405GU</t>
  </si>
  <si>
    <t>01-00-405G-UNIT-CURR</t>
  </si>
  <si>
    <t>NEW VEHICLE SALES - PG G UNITS - ACCT 6</t>
  </si>
  <si>
    <t>406GU</t>
  </si>
  <si>
    <t>01-00-406G-UNIT-CURR</t>
  </si>
  <si>
    <t>00-00-OWNR-PERSONNL-CURR</t>
  </si>
  <si>
    <t>NEW VEHICLE SALES - PG G UNITS - ACCT 7</t>
  </si>
  <si>
    <t>407GU</t>
  </si>
  <si>
    <t>01-00-407G-UNIT-CURR</t>
  </si>
  <si>
    <t>00-00-SUPV-PERSONNL-CURR</t>
  </si>
  <si>
    <t>NEW VEHICLE SALES - PG G UNITS - ACCT 8</t>
  </si>
  <si>
    <t>408GU</t>
  </si>
  <si>
    <t>01-00-408G-UNIT-CURR</t>
  </si>
  <si>
    <t>00-00-SALES-PERSONNL-CURR</t>
  </si>
  <si>
    <t>NEW VEHICLE SALES - PG G UNITS - ACCT 9</t>
  </si>
  <si>
    <t>409GU</t>
  </si>
  <si>
    <t>01-00-409G-UNIT-CURR</t>
  </si>
  <si>
    <t>00-00-TECH-PERSONNL-CURR</t>
  </si>
  <si>
    <t>NEW VEHICLE SALES - PG G UNITS - ACCT 10</t>
  </si>
  <si>
    <t>410GU</t>
  </si>
  <si>
    <t>01-00-410G-UNIT-CURR</t>
  </si>
  <si>
    <t>00-00-CLERC-PERSONNL-CURR</t>
  </si>
  <si>
    <t>NEW VEHICLE SALES - PG G UNITS - ACCT 11</t>
  </si>
  <si>
    <t>411GU</t>
  </si>
  <si>
    <t>01-00-411G-UNIT-CURR</t>
  </si>
  <si>
    <t>00-00-OTHR-PERSONNL-CURR</t>
  </si>
  <si>
    <t>NEW VEHICLE SALES - PG G UNITS - ACCT 12</t>
  </si>
  <si>
    <t>412GU</t>
  </si>
  <si>
    <t>01-00-412G-UNIT-CURR</t>
  </si>
  <si>
    <t>NEW VEHICLE SALES - PG G UNITS - ACCT 13</t>
  </si>
  <si>
    <t>413GU</t>
  </si>
  <si>
    <t>01-00-413G-UNIT-CURR</t>
  </si>
  <si>
    <t>NEW VEHICLE SALES - PG G UNITS - ACCT 14</t>
  </si>
  <si>
    <t>414GU</t>
  </si>
  <si>
    <t>01-00-414G-UNIT-CURR</t>
  </si>
  <si>
    <t>NEW VEHICLE SALES - PG G UNITS - ACCT 15</t>
  </si>
  <si>
    <t>415GU</t>
  </si>
  <si>
    <t>01-00-415G-UNIT-CURR</t>
  </si>
  <si>
    <t>00-00-210VEH-TOTLRECV-CURR</t>
  </si>
  <si>
    <t>NEW VEHICLE SALES - PG G UNITS - ACCT 16</t>
  </si>
  <si>
    <t>416GU</t>
  </si>
  <si>
    <t>01-00-416G-UNIT-CURR</t>
  </si>
  <si>
    <t>00-00-210VEH-NOTDUE-CURR</t>
  </si>
  <si>
    <t>NEW VEHICLE SALES - PG G UNITS - ACCT 17</t>
  </si>
  <si>
    <t>417GU</t>
  </si>
  <si>
    <t>01-00-417G-UNIT-CURR</t>
  </si>
  <si>
    <t>NEW VEHICLE SALES - PG G UNITS - ACCT 18</t>
  </si>
  <si>
    <t>418GU</t>
  </si>
  <si>
    <t>01-00-418G-UNIT-CURR</t>
  </si>
  <si>
    <t>MEMO INTERNET CAR SLS NEW VEH PG G UNITS</t>
  </si>
  <si>
    <t>419GU</t>
  </si>
  <si>
    <t>01-00-419G-UNIT-CURR</t>
  </si>
  <si>
    <t>CAR - PG G UNITS - FLEET</t>
  </si>
  <si>
    <t>420GU</t>
  </si>
  <si>
    <t>01-00-420G-UNIT-CURR</t>
  </si>
  <si>
    <t>00-00-210OTH-TOTLRECV-CURR</t>
  </si>
  <si>
    <t>CAR - PG G UNITS - INTERNAL</t>
  </si>
  <si>
    <t>421GU</t>
  </si>
  <si>
    <t>01-00-421G-UNIT-CURR</t>
  </si>
  <si>
    <t>00-00-210OTH-NOTDUE-CURR</t>
  </si>
  <si>
    <t>NEW VEHICLE SALES - PG G UNITS - ACCT 23</t>
  </si>
  <si>
    <t>423GU</t>
  </si>
  <si>
    <t>01-00-423G-UNIT-CURR</t>
  </si>
  <si>
    <t>NEW VEHICLE SALES - PG G UNITS - ACCT 24</t>
  </si>
  <si>
    <t>424GU</t>
  </si>
  <si>
    <t>01-00-424G-UNIT-CURR</t>
  </si>
  <si>
    <t>NEW VEHICLE SALES - PG G UNITS - ACCT 25</t>
  </si>
  <si>
    <t>425GU</t>
  </si>
  <si>
    <t>01-00-425G-UNIT-CURR</t>
  </si>
  <si>
    <t>NEW VEHICLE SALES - PG G UNITS - ACCT 26</t>
  </si>
  <si>
    <t>426GU</t>
  </si>
  <si>
    <t>01-00-426G-UNIT-CURR</t>
  </si>
  <si>
    <t>00-00-220VEH-TOTLRECV-CURR</t>
  </si>
  <si>
    <t>NEW VEHICLE SALES - PG G UNITS - ACCT 27</t>
  </si>
  <si>
    <t>427GU</t>
  </si>
  <si>
    <t>01-00-427G-UNIT-CURR</t>
  </si>
  <si>
    <t>00-00-220VEH-NOTDUE-CURR</t>
  </si>
  <si>
    <t>NEW VEHICLE SALES - PG G UNITS - ACCT 28</t>
  </si>
  <si>
    <t>428GU</t>
  </si>
  <si>
    <t>01-00-428G-UNIT-CURR</t>
  </si>
  <si>
    <t>NEW VEHICLE SALES - PG G UNITS - ACCT 29</t>
  </si>
  <si>
    <t>429GU</t>
  </si>
  <si>
    <t>01-00-429G-UNIT-CURR</t>
  </si>
  <si>
    <t>NEW VEHICLE SALES - PG G UNITS - ACCT 30</t>
  </si>
  <si>
    <t>430GU</t>
  </si>
  <si>
    <t>01-00-430G-UNIT-CURR</t>
  </si>
  <si>
    <t>NEW VEHICLE SALES - PG G UNITS - ACCT 31</t>
  </si>
  <si>
    <t>431GU</t>
  </si>
  <si>
    <t>01-00-431G-UNIT-CURR</t>
  </si>
  <si>
    <t>00-00-220L&amp;R-TOTLRECV-CURR</t>
  </si>
  <si>
    <t>NEW VEHICLE SALES - PG G UNITS - ACCT 32</t>
  </si>
  <si>
    <t>432GU</t>
  </si>
  <si>
    <t>01-00-432G-UNIT-CURR</t>
  </si>
  <si>
    <t>00-00-220L&amp;R-NOTDUE-CURR</t>
  </si>
  <si>
    <t>NEW VEHICLE SALES - PG G UNITS - ACCT 33</t>
  </si>
  <si>
    <t>433GU</t>
  </si>
  <si>
    <t>01-00-433G-UNIT-CURR</t>
  </si>
  <si>
    <t>00-00-220L&amp;R-31-60D-CURR</t>
  </si>
  <si>
    <t>NEW VEHICLE SALES - PG G UNITS - ACCT 34</t>
  </si>
  <si>
    <t>434GU</t>
  </si>
  <si>
    <t>01-00-434G-UNIT-CURR</t>
  </si>
  <si>
    <t>00-00-220L&amp;R-61-90D-CURR</t>
  </si>
  <si>
    <t>NEW VEHICLE SALES - PG G UNITS - ACCT 35</t>
  </si>
  <si>
    <t>435GU</t>
  </si>
  <si>
    <t>01-00-435G-UNIT-CURR</t>
  </si>
  <si>
    <t>00-00-220L&amp;R-OVER90D-CURR</t>
  </si>
  <si>
    <t>NEW VEHICLE SALES - PG G UNITS - ACCT 36</t>
  </si>
  <si>
    <t>436GU</t>
  </si>
  <si>
    <t>01-00-436G-UNIT-CURR</t>
  </si>
  <si>
    <t>00-00-220SVCPT-TOTLRECV-CURR</t>
  </si>
  <si>
    <t>NEW VEHICLE SALES - PG G UNITS - ACCT 37</t>
  </si>
  <si>
    <t>437GU</t>
  </si>
  <si>
    <t>01-00-437G-UNIT-CURR</t>
  </si>
  <si>
    <t>00-00-220SVCPT-NOTDUE-CURR</t>
  </si>
  <si>
    <t>NEW VEHICLE SALES - PG G UNITS - ACCT 38</t>
  </si>
  <si>
    <t>438GU</t>
  </si>
  <si>
    <t>01-00-438G-UNIT-CURR</t>
  </si>
  <si>
    <t>MEMO INTERNET TRUCK SLS NEW VEH PG G UNITS</t>
  </si>
  <si>
    <t>439GU</t>
  </si>
  <si>
    <t>01-00-439G-UNIT-CURR</t>
  </si>
  <si>
    <t>TRUCK - PG G UNITS - FLEET</t>
  </si>
  <si>
    <t>440GU</t>
  </si>
  <si>
    <t>01-00-440G-UNIT-CURR</t>
  </si>
  <si>
    <t>TRUCK - PG G UNITS - INTERNAL</t>
  </si>
  <si>
    <t>441GU</t>
  </si>
  <si>
    <t>01-00-441G-UNIT-CURR</t>
  </si>
  <si>
    <t>00-00-220OTH-TOTLRECV-CURR</t>
  </si>
  <si>
    <t>NEW VEH ACCESSORIES - PG G UNITS</t>
  </si>
  <si>
    <t>457GU</t>
  </si>
  <si>
    <t>01-00-457G-UNIT-CURR</t>
  </si>
  <si>
    <t>00-00-220OTH-NOTDUE-CURR</t>
  </si>
  <si>
    <t>NEW VEH  PG G TOTAL UNITS</t>
  </si>
  <si>
    <t>TOTGU</t>
  </si>
  <si>
    <t>01-00-TOTVEHG-UNIT-CURR</t>
  </si>
  <si>
    <t>PAGE H</t>
  </si>
  <si>
    <t>NEW VEHICLE SALES - PG H UNITS - ACCT 0</t>
  </si>
  <si>
    <t>400HU</t>
  </si>
  <si>
    <t>01-00-400H-UNIT-CURR</t>
  </si>
  <si>
    <t>NEW VEHICLE SALES - PG H UNITS - ACCT 1</t>
  </si>
  <si>
    <t>401HU</t>
  </si>
  <si>
    <t>01-00-401H-UNIT-CURR</t>
  </si>
  <si>
    <t>NEW VEHICLE SALES - PG H UNITS - ACCT 2</t>
  </si>
  <si>
    <t>402HU</t>
  </si>
  <si>
    <t>01-00-402H-UNIT-CURR</t>
  </si>
  <si>
    <t>00-00-CUSTRECV-AMT-CURR</t>
  </si>
  <si>
    <t>NEW VEHICLE SALES - PG H UNITS - ACCT 3</t>
  </si>
  <si>
    <t>403HU</t>
  </si>
  <si>
    <t>01-00-403H-UNIT-CURR</t>
  </si>
  <si>
    <t>00-00-CUSTRECV-NOTDUE-CURR</t>
  </si>
  <si>
    <t>NEW VEHICLE SALES - PG H UNITS - ACCT 4</t>
  </si>
  <si>
    <t>404HU</t>
  </si>
  <si>
    <t>01-00-404H-UNIT-CURR</t>
  </si>
  <si>
    <t>00-00-CUSTRECV-31-60D-CURR</t>
  </si>
  <si>
    <t>NEW VEHICLE SALES - PG H UNITS - ACCT 5</t>
  </si>
  <si>
    <t>405HU</t>
  </si>
  <si>
    <t>01-00-405H-UNIT-CURR</t>
  </si>
  <si>
    <t>00-00-CUSTRECV-61-90D-CURR</t>
  </si>
  <si>
    <t>NEW VEHICLE SALES - PG H UNITS - ACCT 6</t>
  </si>
  <si>
    <t>406HU</t>
  </si>
  <si>
    <t>01-00-406H-UNIT-CURR</t>
  </si>
  <si>
    <t>00-00-CUSTRECV-OVER90D-CURR</t>
  </si>
  <si>
    <t>NEW VEHICLE SALES - PG H UNITS - ACCT 7</t>
  </si>
  <si>
    <t>407HU</t>
  </si>
  <si>
    <t>01-00-407H-UNIT-CURR</t>
  </si>
  <si>
    <t>00-00-300-DEBTBAL-CURR</t>
  </si>
  <si>
    <t>NEW VEHICLE SALES - PG H UNITS - ACCT 8</t>
  </si>
  <si>
    <t>408HU</t>
  </si>
  <si>
    <t>01-00-408H-UNIT-CURR</t>
  </si>
  <si>
    <t>00-00-340-ALLOW-CURR</t>
  </si>
  <si>
    <t>NEW VEHICLE SALES - PG H UNITS - ACCT 9</t>
  </si>
  <si>
    <t>409HU</t>
  </si>
  <si>
    <t>01-00-409H-UNIT-CURR</t>
  </si>
  <si>
    <t>00-00-CUSTRECV-NET-CURR</t>
  </si>
  <si>
    <t>NEW VEHICLE SALES - PG H UNITS - ACCT 10</t>
  </si>
  <si>
    <t>410HU</t>
  </si>
  <si>
    <t>01-00-410H-UNIT-CURR</t>
  </si>
  <si>
    <t>NEW VEHICLE SALES - PG H UNITS - ACCT 11</t>
  </si>
  <si>
    <t>411HU</t>
  </si>
  <si>
    <t>01-00-411H-UNIT-CURR</t>
  </si>
  <si>
    <t>00-00-ROA-AMT-CURR</t>
  </si>
  <si>
    <t>NEW VEHICLE SALES - PG H UNITS - ACCT 12</t>
  </si>
  <si>
    <t>412HU</t>
  </si>
  <si>
    <t>01-00-412H-UNIT-CURR</t>
  </si>
  <si>
    <t>00-00-ROI-AMT-CURR</t>
  </si>
  <si>
    <t>NEW VEHICLE SALES - PG H UNITS - ACCT 13</t>
  </si>
  <si>
    <t>413HU</t>
  </si>
  <si>
    <t>01-00-413H-UNIT-CURR</t>
  </si>
  <si>
    <t>01-00-RTLCAR-UNIT-CURR</t>
  </si>
  <si>
    <t>NEW VEHICLE SALES - PG H UNITS - ACCT 14</t>
  </si>
  <si>
    <t>414HU</t>
  </si>
  <si>
    <t>01-00-414H-UNIT-CURR</t>
  </si>
  <si>
    <t>01-00-FLTINCAR-UNIT-CURR</t>
  </si>
  <si>
    <t>NEW VEHICLE SALES - PG H UNITS - ACCT 15</t>
  </si>
  <si>
    <t>415HU</t>
  </si>
  <si>
    <t>01-00-415H-UNIT-CURR</t>
  </si>
  <si>
    <t>01-00-TOTALCAR-UNIT-CURR</t>
  </si>
  <si>
    <t>NEW VEHICLE SALES - PG H UNITS - ACCT 16</t>
  </si>
  <si>
    <t>416HU</t>
  </si>
  <si>
    <t>01-00-416H-UNIT-CURR</t>
  </si>
  <si>
    <t>01-00-RTLTRK-UNIT-CURR</t>
  </si>
  <si>
    <t>NEW VEHICLE SALES - PG H UNITS - ACCT 17</t>
  </si>
  <si>
    <t>417HU</t>
  </si>
  <si>
    <t>01-00-417H-UNIT-CURR</t>
  </si>
  <si>
    <t>01-00-FLTINTRK-UNIT-CURR</t>
  </si>
  <si>
    <t>NEW VEHICLE SALES - PG H UNITS - ACCT 18</t>
  </si>
  <si>
    <t>418HU</t>
  </si>
  <si>
    <t>01-00-418H-UNIT-CURR</t>
  </si>
  <si>
    <t>01-00-TOTALTRK-UNIT-CURR</t>
  </si>
  <si>
    <t>MEMO INTERNET CAR SLS NEW VEH PG H UNITS</t>
  </si>
  <si>
    <t>419HU</t>
  </si>
  <si>
    <t>01-00-419H-UNIT-CURR</t>
  </si>
  <si>
    <t>01-00-ACCESSOR-UNIT-CURR</t>
  </si>
  <si>
    <t>CAR - PG H UNITS - FLEET</t>
  </si>
  <si>
    <t>420HU</t>
  </si>
  <si>
    <t>01-00-420H-UNIT-CURR</t>
  </si>
  <si>
    <t>01-00-TOTALVEH-UNIT-CURR</t>
  </si>
  <si>
    <t>CAR - PG H UNITS - INTERNAL</t>
  </si>
  <si>
    <t>421HU</t>
  </si>
  <si>
    <t>01-00-421H-UNIT-CURR</t>
  </si>
  <si>
    <t>01-00-RTLVEH-UNIT-CURR</t>
  </si>
  <si>
    <t>NEW VEHICLE SALES - PG H UNITS - ACCT 23</t>
  </si>
  <si>
    <t>423HU</t>
  </si>
  <si>
    <t>01-00-423H-UNIT-CURR</t>
  </si>
  <si>
    <t>01-00-RTLCAR-SALES-CURR</t>
  </si>
  <si>
    <t>NEW VEHICLE SALES - PG H UNITS - ACCT 24</t>
  </si>
  <si>
    <t>424HU</t>
  </si>
  <si>
    <t>01-00-424H-UNIT-CURR</t>
  </si>
  <si>
    <t>01-00-FLTINCAR-SALES-CURR</t>
  </si>
  <si>
    <t>NEW VEHICLE SALES - PG H UNITS - ACCT 25</t>
  </si>
  <si>
    <t>425HU</t>
  </si>
  <si>
    <t>01-00-425H-UNIT-CURR</t>
  </si>
  <si>
    <t>01-00-TOTALCAR-SALES-CURR</t>
  </si>
  <si>
    <t>NEW VEHICLE SALES - PG H UNITS - ACCT 26</t>
  </si>
  <si>
    <t>426HU</t>
  </si>
  <si>
    <t>01-00-426H-UNIT-CURR</t>
  </si>
  <si>
    <t>01-00-RTLTRK-SALES-CURR</t>
  </si>
  <si>
    <t>NEW VEHICLE SALES - PG H UNITS - ACCT 27</t>
  </si>
  <si>
    <t>427HU</t>
  </si>
  <si>
    <t>01-00-427H-UNIT-CURR</t>
  </si>
  <si>
    <t>01-00-FLTINTRK-SALES-CURR</t>
  </si>
  <si>
    <t>NEW VEHICLE SALES - PG H UNITS - ACCT 28</t>
  </si>
  <si>
    <t>428HU</t>
  </si>
  <si>
    <t>01-00-428H-UNIT-CURR</t>
  </si>
  <si>
    <t>01-00-TOTALTRK-SALES-CURR</t>
  </si>
  <si>
    <t>NEW VEHICLE SALES - PG H UNITS - ACCT 29</t>
  </si>
  <si>
    <t>429HU</t>
  </si>
  <si>
    <t>01-00-429H-UNIT-CURR</t>
  </si>
  <si>
    <t>01-00-OTHER-SALES-CURR</t>
  </si>
  <si>
    <t>NEW VEHICLE SALES - PG H UNITS - ACCT 30</t>
  </si>
  <si>
    <t>430HU</t>
  </si>
  <si>
    <t>01-00-430H-UNIT-CURR</t>
  </si>
  <si>
    <t>01-00-ACCESSOR-SALES-CURR</t>
  </si>
  <si>
    <t>NEW VEHICLE SALES - PG H UNITS - ACCT 31</t>
  </si>
  <si>
    <t>431HU</t>
  </si>
  <si>
    <t>01-00-431H-UNIT-CURR</t>
  </si>
  <si>
    <t>01-00-TOTALVEH-SALES-CURR</t>
  </si>
  <si>
    <t>NEW VEHICLE SALES - PG H UNITS - ACCT 32</t>
  </si>
  <si>
    <t>432HU</t>
  </si>
  <si>
    <t>01-00-432H-UNIT-CURR</t>
  </si>
  <si>
    <t>01-00-RTLVEH-SALES-CURR</t>
  </si>
  <si>
    <t>NEW VEHICLE SALES - PG H UNITS - ACCT 33</t>
  </si>
  <si>
    <t>433HU</t>
  </si>
  <si>
    <t>01-00-433H-UNIT-CURR</t>
  </si>
  <si>
    <t>01-00-RTLCAR-GRSPFT-CURR</t>
  </si>
  <si>
    <t>NEW VEHICLE SALES - PG H UNITS - ACCT 34</t>
  </si>
  <si>
    <t>434HU</t>
  </si>
  <si>
    <t>01-00-434H-UNIT-CURR</t>
  </si>
  <si>
    <t>01-00-FLTINCAR-GRSPFT-CURR</t>
  </si>
  <si>
    <t>NEW VEHICLE SALES - PG H UNITS - ACCT 35</t>
  </si>
  <si>
    <t>435HU</t>
  </si>
  <si>
    <t>01-00-435H-UNIT-CURR</t>
  </si>
  <si>
    <t>01-00-TOTALCAR-GRSPFT-CURR</t>
  </si>
  <si>
    <t>NEW VEHICLE SALES - PG H UNITS - ACCT 36</t>
  </si>
  <si>
    <t>436HU</t>
  </si>
  <si>
    <t>01-00-436H-UNIT-CURR</t>
  </si>
  <si>
    <t>01-00-RTLTRK-GRSPFT-CURR</t>
  </si>
  <si>
    <t>NEW VEHICLE SALES - PG H UNITS - ACCT 37</t>
  </si>
  <si>
    <t>437HU</t>
  </si>
  <si>
    <t>01-00-437H-UNIT-CURR</t>
  </si>
  <si>
    <t>01-00-FLTINTRK-GRSPFT-CURR</t>
  </si>
  <si>
    <t>NEW VEHICLE SALES - PG H UNITS - ACCT 38</t>
  </si>
  <si>
    <t>438HU</t>
  </si>
  <si>
    <t>01-00-438H-UNIT-CURR</t>
  </si>
  <si>
    <t>01-00-TOTALTRK-GRSPFT-CURR</t>
  </si>
  <si>
    <t>MEMO INTERNET TRUCK SLS NEW VEH PG H UNITS</t>
  </si>
  <si>
    <t>439HU</t>
  </si>
  <si>
    <t>01-00-439H-UNIT-CURR</t>
  </si>
  <si>
    <t>01-00-OTHER-GRSPFT-CURR</t>
  </si>
  <si>
    <t>TRUCK - PG H UNITS - FLEET</t>
  </si>
  <si>
    <t>440HU</t>
  </si>
  <si>
    <t>01-00-440H-UNIT-CURR</t>
  </si>
  <si>
    <t>01-00-ACCESSOR-GRSPFT-CURR</t>
  </si>
  <si>
    <t>TRUCK - PG H UNITS - INTERNAL</t>
  </si>
  <si>
    <t>441HU</t>
  </si>
  <si>
    <t>01-00-441H-UNIT-CURR</t>
  </si>
  <si>
    <t>01-00-TOTALVEH-GRSPFT-CURR</t>
  </si>
  <si>
    <t>NEW VEH ACCESSORIES - PG H UNITS</t>
  </si>
  <si>
    <t>457HU</t>
  </si>
  <si>
    <t>01-00-457H-UNIT-CURR</t>
  </si>
  <si>
    <t>01-00-RTLVEH-GRSPFT-CURR</t>
  </si>
  <si>
    <t>NEW VEH TOTAL PG H UNITS</t>
  </si>
  <si>
    <t>TOTHU</t>
  </si>
  <si>
    <t>01-00-TOTVEHH-UNIT-CURR</t>
  </si>
  <si>
    <t>03-00-500DS-SALES-CURR</t>
  </si>
  <si>
    <t>PAGE I</t>
  </si>
  <si>
    <t>NEW VEHICLE SALES - PG I UNITS - ACCT 0</t>
  </si>
  <si>
    <t>400IU</t>
  </si>
  <si>
    <t>01-00-400I-UNIT-CURR</t>
  </si>
  <si>
    <t>03-00-700DE-EXPNS-CURR</t>
  </si>
  <si>
    <t>NEW VEHICLE SALES - PG I UNITS - ACCT 1</t>
  </si>
  <si>
    <t>401IU</t>
  </si>
  <si>
    <t>01-00-401I-UNIT-CURR</t>
  </si>
  <si>
    <t>03-00-510DS-SALES-CURR</t>
  </si>
  <si>
    <t>NEW VEHICLE SALES - PG I UNITS - ACCT 2</t>
  </si>
  <si>
    <t>402IU</t>
  </si>
  <si>
    <t>01-00-402I-UNIT-CURR</t>
  </si>
  <si>
    <t>03-00-710DE-EXPNS-CURR</t>
  </si>
  <si>
    <t>NEW VEHICLE SALES - PG I UNITS - ACCT 3</t>
  </si>
  <si>
    <t>403IU</t>
  </si>
  <si>
    <t>01-00-403I-UNIT-CURR</t>
  </si>
  <si>
    <t>03-00-520DS-SALES-CURR</t>
  </si>
  <si>
    <t>NEW VEHICLE SALES - PG I UNITS - ACCT 4</t>
  </si>
  <si>
    <t>404IU</t>
  </si>
  <si>
    <t>01-00-404I-UNIT-CURR</t>
  </si>
  <si>
    <t>03-00-720DE-EXPNS-CURR</t>
  </si>
  <si>
    <t>NEW VEHICLE SALES - PG I UNITS - ACCT 5</t>
  </si>
  <si>
    <t>405IU</t>
  </si>
  <si>
    <t>01-00-405I-UNIT-CURR</t>
  </si>
  <si>
    <t>03-00-530DS-SALES-CURR</t>
  </si>
  <si>
    <t>NEW VEHICLE SALES - PG I UNITS - ACCT 6</t>
  </si>
  <si>
    <t>406IU</t>
  </si>
  <si>
    <t>01-00-406I-UNIT-CURR</t>
  </si>
  <si>
    <t>03-00-730DE-EXPNS-CURR</t>
  </si>
  <si>
    <t>NEW VEHICLE SALES - PG I UNITS - ACCT 7</t>
  </si>
  <si>
    <t>407IU</t>
  </si>
  <si>
    <t>01-00-407I-UNIT-CURR</t>
  </si>
  <si>
    <t>03-00-TOTAL-UNITBEGN-CURR</t>
  </si>
  <si>
    <t>NEW VEHICLE SALES - PG I UNITS - ACCT 8</t>
  </si>
  <si>
    <t>408IU</t>
  </si>
  <si>
    <t>01-00-408I-UNIT-CURR</t>
  </si>
  <si>
    <t>03-00-TOTAL-UNITADD-CURR</t>
  </si>
  <si>
    <t>NEW VEHICLE SALES - PG I UNITS - ACCT 9</t>
  </si>
  <si>
    <t>409IU</t>
  </si>
  <si>
    <t>01-00-409I-UNIT-CURR</t>
  </si>
  <si>
    <t>03-00-TOTAL-UNITRMVD-CURR</t>
  </si>
  <si>
    <t>NEW VEHICLE SALES - PG I UNITS - ACCT 10</t>
  </si>
  <si>
    <t>410IU</t>
  </si>
  <si>
    <t>01-00-410I-UNIT-CURR</t>
  </si>
  <si>
    <t>03-00-TOTAL-END&amp;EFFU-CURR</t>
  </si>
  <si>
    <t>NEW VEHICLE SALES - PG I UNITS - ACCT 11</t>
  </si>
  <si>
    <t>411IU</t>
  </si>
  <si>
    <t>01-00-411I-UNIT-CURR</t>
  </si>
  <si>
    <t>03-00-TOTAL-UNITDISP-CURR</t>
  </si>
  <si>
    <t>NEW VEHICLE SALES - PG I UNITS - ACCT 12</t>
  </si>
  <si>
    <t>412IU</t>
  </si>
  <si>
    <t>01-00-412I-UNIT-CURR</t>
  </si>
  <si>
    <t>03-00-TOTAL-UNITRTND-CURR</t>
  </si>
  <si>
    <t>NEW VEHICLE SALES - PG I UNITS - ACCT 13</t>
  </si>
  <si>
    <t>413IU</t>
  </si>
  <si>
    <t>01-00-413I-UNIT-CURR</t>
  </si>
  <si>
    <t>03-00-CLSDEND-UNITBEGN-CURR</t>
  </si>
  <si>
    <t>NEW VEHICLE SALES - PG I UNITS - ACCT 14</t>
  </si>
  <si>
    <t>414IU</t>
  </si>
  <si>
    <t>01-00-414I-UNIT-CURR</t>
  </si>
  <si>
    <t>03-00-CLSDEND-UNITADD-CURR</t>
  </si>
  <si>
    <t>NEW VEHICLE SALES - PG I UNITS - ACCT 15</t>
  </si>
  <si>
    <t>415IU</t>
  </si>
  <si>
    <t>01-00-415I-UNIT-CURR</t>
  </si>
  <si>
    <t>03-00-CLSDEND-UNITRMVD-CURR</t>
  </si>
  <si>
    <t>NEW VEHICLE SALES - PG I UNITS - ACCT 16</t>
  </si>
  <si>
    <t>416IU</t>
  </si>
  <si>
    <t>01-00-416I-UNIT-CURR</t>
  </si>
  <si>
    <t>03-00-CLSDEND-END&amp;EFFU-CURR</t>
  </si>
  <si>
    <t>NEW VEHICLE SALES - PG I UNITS - ACCT 17</t>
  </si>
  <si>
    <t>417IU</t>
  </si>
  <si>
    <t>01-00-417I-UNIT-CURR</t>
  </si>
  <si>
    <t>03-00-CLSDEND-UNITDISP-CURR</t>
  </si>
  <si>
    <t>NEW VEHICLE SALES - PG I UNITS - ACCT 18</t>
  </si>
  <si>
    <t>418IU</t>
  </si>
  <si>
    <t>01-00-418I-UNIT-CURR</t>
  </si>
  <si>
    <t>03-00-CLSDEND-UNITRTND-CURR</t>
  </si>
  <si>
    <t>MEMO INTERNET CAR SLS NEW VEH PHI UNITS</t>
  </si>
  <si>
    <t>419IU</t>
  </si>
  <si>
    <t>01-00-419I-UNIT-CURR</t>
  </si>
  <si>
    <t>03-00-OPENEND-UNITBEGN-CURR</t>
  </si>
  <si>
    <t>CAR - PHI UNITS - FLEET</t>
  </si>
  <si>
    <t>420IU</t>
  </si>
  <si>
    <t>01-00-420I-UNIT-CURR</t>
  </si>
  <si>
    <t>03-00-OPENEND-UNITADD-CURR</t>
  </si>
  <si>
    <t>CAR - PHI UNITS - INTERNAL</t>
  </si>
  <si>
    <t>421IU</t>
  </si>
  <si>
    <t>01-00-421I-UNIT-CURR</t>
  </si>
  <si>
    <t>03-00-OPENEND-UNITRMVD-CURR</t>
  </si>
  <si>
    <t>NEW VEHICLE SALES - PG I UNITS - ACCT 23</t>
  </si>
  <si>
    <t>423IU</t>
  </si>
  <si>
    <t>01-00-423I-UNIT-CURR</t>
  </si>
  <si>
    <t>03-00-OPENEND-END&amp;EFFU-CURR</t>
  </si>
  <si>
    <t>NEW VEHICLE SALES - PG I UNITS - ACCT 24</t>
  </si>
  <si>
    <t>424IU</t>
  </si>
  <si>
    <t>01-00-424I-UNIT-CURR</t>
  </si>
  <si>
    <t>03-00-OPENEND-UNITDISP-CURR</t>
  </si>
  <si>
    <t>NEW VEHICLE SALES - PG I UNITS - ACCT 25</t>
  </si>
  <si>
    <t>425IU</t>
  </si>
  <si>
    <t>01-00-425I-UNIT-CURR</t>
  </si>
  <si>
    <t>03-00-OPENEND-UNITRTND-CURR</t>
  </si>
  <si>
    <t>NEW VEHICLE SALES - PG I UNITS - ACCT 26</t>
  </si>
  <si>
    <t>426IU</t>
  </si>
  <si>
    <t>01-00-426I-UNIT-CURR</t>
  </si>
  <si>
    <t>03-00-RENTAL-UNITBEGN-CURR</t>
  </si>
  <si>
    <t>NEW VEHICLE SALES - PG I UNITS - ACCT 27</t>
  </si>
  <si>
    <t>427IU</t>
  </si>
  <si>
    <t>01-00-427I-UNIT-CURR</t>
  </si>
  <si>
    <t>03-00-RENTAL-UNITADD-CURR</t>
  </si>
  <si>
    <t>NEW VEHICLE SALES - PG I UNITS - ACCT 28</t>
  </si>
  <si>
    <t>428IU</t>
  </si>
  <si>
    <t>01-00-428I-UNIT-CURR</t>
  </si>
  <si>
    <t>03-00-RENTAL-UNITRMVD-CURR</t>
  </si>
  <si>
    <t>NEW VEHICLE SALES - PG I UNITS - ACCT 29</t>
  </si>
  <si>
    <t>429IU</t>
  </si>
  <si>
    <t>01-00-429I-UNIT-CURR</t>
  </si>
  <si>
    <t>03-00-RENTAL-END&amp;EFFU-CURR</t>
  </si>
  <si>
    <t>NEW VEHICLE SALES - PG I UNITS - ACCT 30</t>
  </si>
  <si>
    <t>430IU</t>
  </si>
  <si>
    <t>01-00-430I-UNIT-CURR</t>
  </si>
  <si>
    <t>03-00-RENTAL-UNITDISP-CURR</t>
  </si>
  <si>
    <t>NEW VEHICLE SALES - PG I UNITS - ACCT 31</t>
  </si>
  <si>
    <t>431IU</t>
  </si>
  <si>
    <t>01-00-431I-UNIT-CURR</t>
  </si>
  <si>
    <t>00-00-220LR B-TOTLRECV-CURR</t>
  </si>
  <si>
    <t>NEW VEHICLE SALES - PG I UNITS - ACCT 32</t>
  </si>
  <si>
    <t>432IU</t>
  </si>
  <si>
    <t>01-00-432I-UNIT-CURR</t>
  </si>
  <si>
    <t>00-00-220LR O-TOTLRECV-CURR</t>
  </si>
  <si>
    <t>NEW VEHICLE SALES - PG I UNITS - ACCT 33</t>
  </si>
  <si>
    <t>433IU</t>
  </si>
  <si>
    <t>01-00-433I-UNIT-CURR</t>
  </si>
  <si>
    <t>00-00-220LRSUB-TOTLRECV-CURR</t>
  </si>
  <si>
    <t>NEW VEHICLE SALES - PG I UNITS - ACCT 34</t>
  </si>
  <si>
    <t>434IU</t>
  </si>
  <si>
    <t>01-00-434I-UNIT-CURR</t>
  </si>
  <si>
    <t>00-00-220LRNET-TOTLRECV-CURR</t>
  </si>
  <si>
    <t>NEW VEHICLE SALES - PG I UNITS - ACCT 35</t>
  </si>
  <si>
    <t>435IU</t>
  </si>
  <si>
    <t>01-00-435I-UNIT-CURR</t>
  </si>
  <si>
    <t>00-00-220LR B-PREPAID-CURR</t>
  </si>
  <si>
    <t>NEW VEHICLE SALES - PG I UNITS - ACCT 36</t>
  </si>
  <si>
    <t>436IU</t>
  </si>
  <si>
    <t>01-00-436I-UNIT-CURR</t>
  </si>
  <si>
    <t>00-00-220LR O-PREPAID-CURR</t>
  </si>
  <si>
    <t>NEW VEHICLE SALES - PG I UNITS - ACCT 37</t>
  </si>
  <si>
    <t>437IU</t>
  </si>
  <si>
    <t>01-00-437I-UNIT-CURR</t>
  </si>
  <si>
    <t>00-00-220LRSUB-PREPAID-CURR</t>
  </si>
  <si>
    <t>NEW VEHICLE SALES - PG I UNITS - ACCT 38</t>
  </si>
  <si>
    <t>438IU</t>
  </si>
  <si>
    <t>01-00-438I-UNIT-CURR</t>
  </si>
  <si>
    <t>00-00-220LR B-01-30D-CURR</t>
  </si>
  <si>
    <t>MEMO INTERNET TRUCK SLS NEW VEH PHI UNITS</t>
  </si>
  <si>
    <t>439IU</t>
  </si>
  <si>
    <t>01-00-439I-UNIT-CURR</t>
  </si>
  <si>
    <t>00-00-220LR O-01-30D-CURR</t>
  </si>
  <si>
    <t>TRUCK - PHI UNITS - FLEET</t>
  </si>
  <si>
    <t>440IU</t>
  </si>
  <si>
    <t>01-00-440I-UNIT-CURR</t>
  </si>
  <si>
    <t>00-00-220LRSUB-01-30D-CURR</t>
  </si>
  <si>
    <t>TRUCK - PHI UNITS - INTERNAL</t>
  </si>
  <si>
    <t>441IU</t>
  </si>
  <si>
    <t>01-00-441I-UNIT-CURR</t>
  </si>
  <si>
    <t>00-00-220LR B-31-60D-CURR</t>
  </si>
  <si>
    <t>NEW VEH ACCESSORIES - PHI UNITS</t>
  </si>
  <si>
    <t>457IU</t>
  </si>
  <si>
    <t>01-00-457I-UNIT-CURR</t>
  </si>
  <si>
    <t>00-00-220LR O-31-60D-CURR</t>
  </si>
  <si>
    <t>NEW VEH TOTAL PHI UNITS</t>
  </si>
  <si>
    <t>TOTIU</t>
  </si>
  <si>
    <t>01-00-TOTVEHI-UNIT-CURR</t>
  </si>
  <si>
    <t>00-00-220LRSUB-31-60D-CURR</t>
  </si>
  <si>
    <t>NEW VEHICLE SALES - PG J UNITS - ACCT 0</t>
  </si>
  <si>
    <t>400JU</t>
  </si>
  <si>
    <t>01-00-400J-UNIT-CURR</t>
  </si>
  <si>
    <t>00-00-220LR B-61-90D-CURR</t>
  </si>
  <si>
    <t>NEW VEHICLE SALES - PG J UNITS - ACCT 1</t>
  </si>
  <si>
    <t>401JU</t>
  </si>
  <si>
    <t>01-00-401J-UNIT-CURR</t>
  </si>
  <si>
    <t>00-00-220LR O-61-90D-CURR</t>
  </si>
  <si>
    <t>NEW VEHICLE SALES - PG J UNITS - ACCT 2</t>
  </si>
  <si>
    <t>402JU</t>
  </si>
  <si>
    <t>01-00-402J-UNIT-CURR</t>
  </si>
  <si>
    <t>00-00-220LRSUB-61-90D-CURR</t>
  </si>
  <si>
    <t>NEW VEHICLE SALES - PG J UNITS - ACCT 3</t>
  </si>
  <si>
    <t>403JU</t>
  </si>
  <si>
    <t>01-00-403J-UNIT-CURR</t>
  </si>
  <si>
    <t>00-00-220LR B-OVER90D-CURR</t>
  </si>
  <si>
    <t>NEW VEHICLE SALES - PG J UNITS - ACCT 4</t>
  </si>
  <si>
    <t>404JU</t>
  </si>
  <si>
    <t>01-00-404J-UNIT-CURR</t>
  </si>
  <si>
    <t>00-00-220LR O-OVER90D-CURR</t>
  </si>
  <si>
    <t>NEW VEHICLE SALES - PG J UNITS - ACCT 5</t>
  </si>
  <si>
    <t>405JU</t>
  </si>
  <si>
    <t>01-00-405J-UNIT-CURR</t>
  </si>
  <si>
    <t>00-00-220LRSUB-OVER90D-CURR</t>
  </si>
  <si>
    <t>NEW VEHICLE SALES - PG J UNITS - ACCT 6</t>
  </si>
  <si>
    <t>406JU</t>
  </si>
  <si>
    <t>01-00-406J-UNIT-CURR</t>
  </si>
  <si>
    <t>00-00-277A-UNIT-CURR</t>
  </si>
  <si>
    <t>NEW VEHICLE SALES - PG J UNITS - ACCT 7</t>
  </si>
  <si>
    <t>407JU</t>
  </si>
  <si>
    <t>01-00-407J-UNIT-CURR</t>
  </si>
  <si>
    <t>00-00-277B-UNIT-CURR</t>
  </si>
  <si>
    <t>NEW VEHICLE SALES - PG J UNITS - ACCT 8</t>
  </si>
  <si>
    <t>408JU</t>
  </si>
  <si>
    <t>01-00-408J-UNIT-CURR</t>
  </si>
  <si>
    <t>00-00-277C-UNIT-CURR</t>
  </si>
  <si>
    <t>NEW VEHICLE SALES - PG J UNITS - ACCT 9</t>
  </si>
  <si>
    <t>409JU</t>
  </si>
  <si>
    <t>01-00-409J-UNIT-CURR</t>
  </si>
  <si>
    <t>00-00-277OV30D-UNIT-CURR</t>
  </si>
  <si>
    <t>NEW VEHICLE SALES - PG J UNITS - ACCT 10</t>
  </si>
  <si>
    <t>410JU</t>
  </si>
  <si>
    <t>01-00-410J-UNIT-CURR</t>
  </si>
  <si>
    <t>00-00-277A-AMT-CURR</t>
  </si>
  <si>
    <t>NEW VEHICLE SALES - PG J UNITS - ACCT 11</t>
  </si>
  <si>
    <t>411JU</t>
  </si>
  <si>
    <t>01-00-411J-UNIT-CURR</t>
  </si>
  <si>
    <t>00-00-277B-AMT-CURR</t>
  </si>
  <si>
    <t>NEW VEHICLE SALES - PG J UNITS - ACCT 12</t>
  </si>
  <si>
    <t>412JU</t>
  </si>
  <si>
    <t>01-00-412J-UNIT-CURR</t>
  </si>
  <si>
    <t>00-00-277C-AMT-CURR</t>
  </si>
  <si>
    <t>NEW VEHICLE SALES - PG J UNITS - ACCT 13</t>
  </si>
  <si>
    <t>413JU</t>
  </si>
  <si>
    <t>01-00-413J-UNIT-CURR</t>
  </si>
  <si>
    <t>00-00-277OV30D-AMT-CURR</t>
  </si>
  <si>
    <t>NEW VEHICLE SALES - PG J UNITS - ACCT 14</t>
  </si>
  <si>
    <t>414JU</t>
  </si>
  <si>
    <t>01-00-414J-UNIT-CURR</t>
  </si>
  <si>
    <t>00-00-277D-UNIT-CURR</t>
  </si>
  <si>
    <t>NEW VEHICLE SALES - PG J UNITS - ACCT 15</t>
  </si>
  <si>
    <t>415JU</t>
  </si>
  <si>
    <t>01-00-415J-UNIT-CURR</t>
  </si>
  <si>
    <t>00-00-277E-UNIT-CURR</t>
  </si>
  <si>
    <t>NEW VEHICLE SALES - PG J UNITS - ACCT 16</t>
  </si>
  <si>
    <t>416JU</t>
  </si>
  <si>
    <t>01-00-416J-UNIT-CURR</t>
  </si>
  <si>
    <t>00-00-277F-UNIT-CURR</t>
  </si>
  <si>
    <t>NEW VEHICLE SALES - PG J UNITS - ACCT 17</t>
  </si>
  <si>
    <t>417JU</t>
  </si>
  <si>
    <t>01-00-417J-UNIT-CURR</t>
  </si>
  <si>
    <t>00-00-277D-ACCDEPR-CURR</t>
  </si>
  <si>
    <t>NEW VEHICLE SALES - PG J UNITS - ACCT 18</t>
  </si>
  <si>
    <t>418JU</t>
  </si>
  <si>
    <t>01-00-418J-UNIT-CURR</t>
  </si>
  <si>
    <t>00-00-277E-ACCDEPR-CURR</t>
  </si>
  <si>
    <t>MEMO INTERNET CAR SLS NEW VEH PG J UNITS</t>
  </si>
  <si>
    <t>419JU</t>
  </si>
  <si>
    <t>01-00-419J-UNIT-CURR</t>
  </si>
  <si>
    <t>00-00-277F-ACCDEPR-CURR</t>
  </si>
  <si>
    <t>CAR - PG J UNITS - FLEET</t>
  </si>
  <si>
    <t>420JU</t>
  </si>
  <si>
    <t>01-00-420J-UNIT-CURR</t>
  </si>
  <si>
    <t>00-00-277-ACCDEPR-CURR</t>
  </si>
  <si>
    <t>CAR - PG J UNITS - INTERNAL</t>
  </si>
  <si>
    <t>421JU</t>
  </si>
  <si>
    <t>01-00-421J-UNIT-CURR</t>
  </si>
  <si>
    <t>00-00-277D-NET-CURR</t>
  </si>
  <si>
    <t>NEW VEHICLE SALES - PG J UNITS - ACCT 23</t>
  </si>
  <si>
    <t>423JU</t>
  </si>
  <si>
    <t>01-00-423J-UNIT-CURR</t>
  </si>
  <si>
    <t>00-00-277E-NET-CURR</t>
  </si>
  <si>
    <t>NEW VEHICLE SALES - PG J UNITS - ACCT 24</t>
  </si>
  <si>
    <t>424JU</t>
  </si>
  <si>
    <t>01-00-424J-UNIT-CURR</t>
  </si>
  <si>
    <t>00-00-277F-NET-CURR</t>
  </si>
  <si>
    <t>NEW VEHICLE SALES - PG J UNITS - ACCT 25</t>
  </si>
  <si>
    <t>425JU</t>
  </si>
  <si>
    <t>01-00-425J-UNIT-CURR</t>
  </si>
  <si>
    <t>00-00-277-NET-CURR</t>
  </si>
  <si>
    <t>NEW VEHICLE SALES - PG J UNITS - ACCT 26</t>
  </si>
  <si>
    <t>426JU</t>
  </si>
  <si>
    <t>01-00-426J-UNIT-CURR</t>
  </si>
  <si>
    <t>03-00-541-CNTRS-CURR</t>
  </si>
  <si>
    <t>NEW VEHICLE SALES - PG J UNITS - ACCT 27</t>
  </si>
  <si>
    <t>427JU</t>
  </si>
  <si>
    <t>01-00-427J-UNIT-CURR</t>
  </si>
  <si>
    <t>03-00-542-CNTRS-CURR</t>
  </si>
  <si>
    <t>NEW VEHICLE SALES - PG J UNITS - ACCT 28</t>
  </si>
  <si>
    <t>428JU</t>
  </si>
  <si>
    <t>01-00-428J-UNIT-CURR</t>
  </si>
  <si>
    <t>03-00-543-CNTRS-CURR</t>
  </si>
  <si>
    <t>NEW VEHICLE SALES - PG J UNITS - ACCT 29</t>
  </si>
  <si>
    <t>429JU</t>
  </si>
  <si>
    <t>01-00-429J-UNIT-CURR</t>
  </si>
  <si>
    <t>03-00-544-CNTRS-CURR</t>
  </si>
  <si>
    <t>NEW VEHICLE SALES - PG J UNITS - ACCT 30</t>
  </si>
  <si>
    <t>430JU</t>
  </si>
  <si>
    <t>01-00-430J-UNIT-CURR</t>
  </si>
  <si>
    <t>03-00-542-SALES-CURR</t>
  </si>
  <si>
    <t>NEW VEHICLE SALES - PG J UNITS - ACCT 31</t>
  </si>
  <si>
    <t>431JU</t>
  </si>
  <si>
    <t>01-00-431J-UNIT-CURR</t>
  </si>
  <si>
    <t>03-00-543-SALES-CURR</t>
  </si>
  <si>
    <t>NEW VEHICLE SALES - PG J UNITS - ACCT 32</t>
  </si>
  <si>
    <t>432JU</t>
  </si>
  <si>
    <t>01-00-432J-UNIT-CURR</t>
  </si>
  <si>
    <t>03-00-544-SALES-CURR</t>
  </si>
  <si>
    <t>NEW VEHICLE SALES - PG J UNITS - ACCT 33</t>
  </si>
  <si>
    <t>433JU</t>
  </si>
  <si>
    <t>01-00-433J-UNIT-CURR</t>
  </si>
  <si>
    <t>03-00-FIPPTOTL-SALES-CURR</t>
  </si>
  <si>
    <t>NEW VEHICLE SALES - PG J UNITS - ACCT 34</t>
  </si>
  <si>
    <t>434JU</t>
  </si>
  <si>
    <t>01-00-434J-UNIT-CURR</t>
  </si>
  <si>
    <t>03-00-541-GRSINC-CURR</t>
  </si>
  <si>
    <t>NEW VEHICLE SALES - PG J UNITS - ACCT 35</t>
  </si>
  <si>
    <t>435JU</t>
  </si>
  <si>
    <t>01-00-435J-UNIT-CURR</t>
  </si>
  <si>
    <t>03-00-741-GRSINC-CURR</t>
  </si>
  <si>
    <t>NEW VEHICLE SALES - PG J UNITS - ACCT 36</t>
  </si>
  <si>
    <t>436JU</t>
  </si>
  <si>
    <t>01-00-436J-UNIT-CURR</t>
  </si>
  <si>
    <t>03-00-542-GRSINC-CURR</t>
  </si>
  <si>
    <t>NEW VEHICLE SALES - PG J UNITS - ACCT 37</t>
  </si>
  <si>
    <t>437JU</t>
  </si>
  <si>
    <t>01-00-437J-UNIT-CURR</t>
  </si>
  <si>
    <t>03-00-543-GRSINC-CURR</t>
  </si>
  <si>
    <t>NEW VEHICLE SALES - PG J UNITS - ACCT 38</t>
  </si>
  <si>
    <t>438JU</t>
  </si>
  <si>
    <t>01-00-438J-UNIT-CURR</t>
  </si>
  <si>
    <t>03-00-544-GRSINC-CURR</t>
  </si>
  <si>
    <t>MEMO INTERNET TRUCK SLS NEW VEH PG J UNITS</t>
  </si>
  <si>
    <t>439JU</t>
  </si>
  <si>
    <t>01-00-439J-UNIT-CURR</t>
  </si>
  <si>
    <t>03-00-740-GRSINC-CURR</t>
  </si>
  <si>
    <t>TRUCK - PG J UNITS - FLEET</t>
  </si>
  <si>
    <t>440JU</t>
  </si>
  <si>
    <t>01-00-440J-UNIT-CURR</t>
  </si>
  <si>
    <t>03-00-FIPPTOTL-GRSINC-CURR</t>
  </si>
  <si>
    <t>TRUCK - PG J UNITS - INTERNAL</t>
  </si>
  <si>
    <t>441JU</t>
  </si>
  <si>
    <t>01-00-441J-UNIT-CURR</t>
  </si>
  <si>
    <t>00-00-200-AMT-CURR</t>
  </si>
  <si>
    <t>NEW VEH ACCESSORIES - PG J UNITS</t>
  </si>
  <si>
    <t>457JU</t>
  </si>
  <si>
    <t>01-00-457J-UNIT-CURR</t>
  </si>
  <si>
    <t>00-00-202-AMT-CURR</t>
  </si>
  <si>
    <t>NEW VEH TOTAL PG J UNITS</t>
  </si>
  <si>
    <t>TOTJU</t>
  </si>
  <si>
    <t>01-00-TOTVEHJ-UNIT-CURR</t>
  </si>
  <si>
    <t>00-00-205-AMT-CURR</t>
  </si>
  <si>
    <t>SALES CARS - FLEET &amp; COMMER. - ACCT 0</t>
  </si>
  <si>
    <t>00-00-260-AMT-CURR</t>
  </si>
  <si>
    <t>SALES CARS - FLEET &amp; COMMER. - ACCT 1</t>
  </si>
  <si>
    <t>00-00-CASHCNTR-AMT-CURR</t>
  </si>
  <si>
    <t>SALES CARS - FLEET &amp; COMMER. - ACCT 2</t>
  </si>
  <si>
    <t>00-00-261-AMT-CURR</t>
  </si>
  <si>
    <t>SALES CARS - FLEET &amp; COMMER. - ACCT 3</t>
  </si>
  <si>
    <t>00-00-262-AMT-CURR</t>
  </si>
  <si>
    <t>SALES CARS - FLEET &amp; COMMER. - ACCT 4</t>
  </si>
  <si>
    <t>00-00-263-AMT-CURR</t>
  </si>
  <si>
    <t>SALES CARS - FLEET &amp; COMMER. - ACCT 5</t>
  </si>
  <si>
    <t>00-00-264-AMT-CURR</t>
  </si>
  <si>
    <t>SALES CARS - FLEET &amp; COMMER. - ACCT 6</t>
  </si>
  <si>
    <t>00-00-TOTRECVS-AMT-CURR</t>
  </si>
  <si>
    <t>SALES CARS - FLEET &amp; COMMER. - ACCT 7</t>
  </si>
  <si>
    <t>00-00-230-AMT-CURR</t>
  </si>
  <si>
    <t>SALES CARS - FLEET &amp; COMMER. - TOTAL CAR</t>
  </si>
  <si>
    <t>TOTKS</t>
  </si>
  <si>
    <t>01-00-CCAR F&amp;C-SALES-CURR</t>
  </si>
  <si>
    <t>00-00-231-AMT-CURR</t>
  </si>
  <si>
    <t>SALES CARS - FLEET &amp; COMMER. - ACCT 12</t>
  </si>
  <si>
    <t>00-00-237-AMT-CURR</t>
  </si>
  <si>
    <t>SALES CARS - FLEET &amp; COMMER. - ACCT 13</t>
  </si>
  <si>
    <t>00-00-235-AMT-CURR</t>
  </si>
  <si>
    <t>SALES CARS - FLEET &amp; COMMER. - ACCT 14</t>
  </si>
  <si>
    <t>00-00-238-AMT-CURR</t>
  </si>
  <si>
    <t>SALES CARS - FLEET &amp; COMMER. - ACCT 15</t>
  </si>
  <si>
    <t>00-00-240-AMT-CURR</t>
  </si>
  <si>
    <t>SALES CARS - FLEET &amp; COMMER. - ACCT 16</t>
  </si>
  <si>
    <t>00-00-241-AMT-CURR</t>
  </si>
  <si>
    <t>SALES CARS - FLEET &amp; COMMER. - ACCT 17</t>
  </si>
  <si>
    <t>00-00-242-AMT-CURR</t>
  </si>
  <si>
    <t>SALES CARS - FLEET &amp; COMMER. - ACCT 18</t>
  </si>
  <si>
    <t>00-00-243-AMT-CURR</t>
  </si>
  <si>
    <t>SALES CARS - FLEET &amp; COMMER. - ACCT 19</t>
  </si>
  <si>
    <t>00-00-244-AMT-CURR</t>
  </si>
  <si>
    <t>SALES TRKS- FLEET &amp; COMMER. - ACCT 20</t>
  </si>
  <si>
    <t>00-00-245-AMT-CURR</t>
  </si>
  <si>
    <t>SALES TRKS- FLEET &amp; COMMER. - ACCT 21</t>
  </si>
  <si>
    <t>00-00-246-AMT-CURR</t>
  </si>
  <si>
    <t>SALES TRKS- FLEET &amp; COMMER. - ACCT 22</t>
  </si>
  <si>
    <t>00-00-247-AMT-CURR</t>
  </si>
  <si>
    <t>SALES TRKS- FLEET &amp; COMMER. - ACCT 23</t>
  </si>
  <si>
    <t>00-00-252-AMT-CURR</t>
  </si>
  <si>
    <t>SALES TRKS- FLEET &amp; COMMER. - ACCT 24</t>
  </si>
  <si>
    <t>00-00-258-AMT-CURR</t>
  </si>
  <si>
    <t>SALES TRKS- FLEET &amp; COMMER. - ACCT 25</t>
  </si>
  <si>
    <t>00-00-TOTINVEN-AMT-CURR</t>
  </si>
  <si>
    <t>SALES TRKS- FLEET &amp; COMMER. - ACCT 26</t>
  </si>
  <si>
    <t>00-00-270-AMT-CURR</t>
  </si>
  <si>
    <t>SALES TRKS- FLEET &amp; COMMER. - ACCT 27</t>
  </si>
  <si>
    <t>00-00-271-AMT-CURR</t>
  </si>
  <si>
    <t>SALES TRKS- FLEET &amp; COMMER. - ACCT 28</t>
  </si>
  <si>
    <t>00-00-274-AMT-CURR</t>
  </si>
  <si>
    <t>SALES TRKS- FLEET &amp; COMMER. - ACCT 29</t>
  </si>
  <si>
    <t>00-00-CURRASST-AMT-CURR</t>
  </si>
  <si>
    <t>SALES TRKS- FLEET &amp; COMMER. - ACCT 30</t>
  </si>
  <si>
    <t>00-00-275-AMT-CURR</t>
  </si>
  <si>
    <t>SALES TRKS- FLEET &amp; COMMER. - ACCT 31</t>
  </si>
  <si>
    <t>00-00-277-AMT-CURR</t>
  </si>
  <si>
    <t>SALES TRKS- FLEET &amp; COMMER. - ACCT 32</t>
  </si>
  <si>
    <t>00-00-347-ACCDEPR-CURR</t>
  </si>
  <si>
    <t>SALES TRKS- FLEET &amp; COMMER. - ACCT 33</t>
  </si>
  <si>
    <t>00-00-WORKASST-AMT-CURR</t>
  </si>
  <si>
    <t>SALES TRKS- FLEET &amp; COMMER. - ACCT 34</t>
  </si>
  <si>
    <t>00-00-280-COST-CURR</t>
  </si>
  <si>
    <t>SALES CARS - COMMER. - TOTAL</t>
  </si>
  <si>
    <t>TOTKTS</t>
  </si>
  <si>
    <t>01-00-CTRK F&amp;C-SALES-CURR</t>
  </si>
  <si>
    <t>00-00-281-COST-CURR</t>
  </si>
  <si>
    <t>01-00-TOTVEH5K-SALES-CURR</t>
  </si>
  <si>
    <t>00-00-286-COST-CURR</t>
  </si>
  <si>
    <t>COS - FLEET &amp; COMMER - ACCT 0</t>
  </si>
  <si>
    <t>600K</t>
  </si>
  <si>
    <t>01-00-600F&amp;C-COS-CURR</t>
  </si>
  <si>
    <t>00-00-287-COST-CURR</t>
  </si>
  <si>
    <t>COS - FLEET &amp; COMMER - ACCT 1</t>
  </si>
  <si>
    <t>601K</t>
  </si>
  <si>
    <t>01-00-601F&amp;C-COS-CURR</t>
  </si>
  <si>
    <t>00-00-288-COST-CURR</t>
  </si>
  <si>
    <t>COS - FLEET &amp; COMMER - ACCT 2</t>
  </si>
  <si>
    <t>602K</t>
  </si>
  <si>
    <t>01-00-602F&amp;C-COS-CURR</t>
  </si>
  <si>
    <t>00-00-282-COST-CURR</t>
  </si>
  <si>
    <t>COS - FLEET &amp; COMMER - ACCT 3</t>
  </si>
  <si>
    <t>603K</t>
  </si>
  <si>
    <t>01-00-603F&amp;C-COS-CURR</t>
  </si>
  <si>
    <t>00-00-283-COST-CURR</t>
  </si>
  <si>
    <t>COS - FLEET &amp; COMMER - ACCT 4</t>
  </si>
  <si>
    <t>606K</t>
  </si>
  <si>
    <t>01-00-604F&amp;C-COS-CURR</t>
  </si>
  <si>
    <t>00-00-284-COST-CURR</t>
  </si>
  <si>
    <t>COS - FLEET &amp; COMMER - ACCT 5</t>
  </si>
  <si>
    <t>605K</t>
  </si>
  <si>
    <t>01-00-605F&amp;C-COS-CURR</t>
  </si>
  <si>
    <t>00-00-285-COST-CURR</t>
  </si>
  <si>
    <t>COS - FLEET &amp; COMMER - ACCT 6</t>
  </si>
  <si>
    <t>01-00-606F&amp;C-COS-CURR</t>
  </si>
  <si>
    <t>00-00-289-COST-CURR</t>
  </si>
  <si>
    <t>COS - FLEET &amp; COMMER - ACCT 7</t>
  </si>
  <si>
    <t>607K</t>
  </si>
  <si>
    <t>01-00-607F&amp;C-COS-CURR</t>
  </si>
  <si>
    <t>00-00-FIXASSET-COST-CURR</t>
  </si>
  <si>
    <t>COS - FLEET &amp; COMMER - TOTAL CAR</t>
  </si>
  <si>
    <t>00-00-351-ACCDEPR-CURR</t>
  </si>
  <si>
    <t>COS - FLEET &amp; COMMER - ACCT 12</t>
  </si>
  <si>
    <t>612K</t>
  </si>
  <si>
    <t>01-00-612F&amp;C-COS-CURR</t>
  </si>
  <si>
    <t>00-00-356-ACCDEPR-CURR</t>
  </si>
  <si>
    <t>COS - FLEET &amp; COMMER - ACCT 13</t>
  </si>
  <si>
    <t>613K</t>
  </si>
  <si>
    <t>01-00-613F&amp;C-COS-CURR</t>
  </si>
  <si>
    <t>00-00-357-ACCDEPR-CURR</t>
  </si>
  <si>
    <t>COS - FLEET &amp; COMMER - ACCT 14</t>
  </si>
  <si>
    <t>616K</t>
  </si>
  <si>
    <t>01-00-614F&amp;C-COS-CURR</t>
  </si>
  <si>
    <t>00-00-358-ACCDEPR-CURR</t>
  </si>
  <si>
    <t>COS - FLEET &amp; COMMER - ACCT 15</t>
  </si>
  <si>
    <t>615K</t>
  </si>
  <si>
    <t>01-00-615F&amp;C-COS-CURR</t>
  </si>
  <si>
    <t>00-00-352-ACCDEPR-CURR</t>
  </si>
  <si>
    <t>COS - FLEET &amp; COMMER - ACCT 16</t>
  </si>
  <si>
    <t>01-00-616F&amp;C-COS-CURR</t>
  </si>
  <si>
    <t>00-00-353-ACCDEPR-CURR</t>
  </si>
  <si>
    <t>COS - FLEET &amp; COMMER - ACCT 17</t>
  </si>
  <si>
    <t>617K</t>
  </si>
  <si>
    <t>01-00-617F&amp;C-COS-CURR</t>
  </si>
  <si>
    <t>00-00-354-ACCDEPR-CURR</t>
  </si>
  <si>
    <t>COS - FLEET &amp; COMMER - ACCT 18</t>
  </si>
  <si>
    <t>618K</t>
  </si>
  <si>
    <t>01-00-618F&amp;C-COS-CURR</t>
  </si>
  <si>
    <t>00-00-355-ACCDEPR-CURR</t>
  </si>
  <si>
    <t>COS - FLEET &amp; COMMER - ACCT 19</t>
  </si>
  <si>
    <t>619K</t>
  </si>
  <si>
    <t>01-00-619F&amp;C-COS-CURR</t>
  </si>
  <si>
    <t>00-00-359-ACCDEPR-CURR</t>
  </si>
  <si>
    <t>COS - FLEET &amp; COMMER - ACCT 20</t>
  </si>
  <si>
    <t>620K</t>
  </si>
  <si>
    <t>01-00-620F&amp;C-COS-CURR</t>
  </si>
  <si>
    <t>00-00-FIXASSET-ACCDEPR-CURR</t>
  </si>
  <si>
    <t>COS - FLEET &amp; COMMER - ACCT 21</t>
  </si>
  <si>
    <t>621K</t>
  </si>
  <si>
    <t>01-00-621F&amp;C-COS-CURR</t>
  </si>
  <si>
    <t>00-00-280-NET-CURR</t>
  </si>
  <si>
    <t>COS - FLEET &amp; COMMER - ACCT 22</t>
  </si>
  <si>
    <t>622K</t>
  </si>
  <si>
    <t>01-00-622F&amp;C-COS-CURR</t>
  </si>
  <si>
    <t>00-00-281-NET-CURR</t>
  </si>
  <si>
    <t>COS - FLEET &amp; COMMER - ACCT 23</t>
  </si>
  <si>
    <t>623K</t>
  </si>
  <si>
    <t>01-00-623F&amp;C-COS-CURR</t>
  </si>
  <si>
    <t>00-00-286-NET-CURR</t>
  </si>
  <si>
    <t>COS - FLEET &amp; COMMER - ACCT 24</t>
  </si>
  <si>
    <t>624K</t>
  </si>
  <si>
    <t>01-00-624F&amp;C-COS-CURR</t>
  </si>
  <si>
    <t>00-00-287-NET-CURR</t>
  </si>
  <si>
    <t>COS - FLEET &amp; COMMER - ACCT 25</t>
  </si>
  <si>
    <t>625K</t>
  </si>
  <si>
    <t>01-00-625F&amp;C-COS-CURR</t>
  </si>
  <si>
    <t>00-00-288-NET-CURR</t>
  </si>
  <si>
    <t>COS - FLEET &amp; COMMER - ACCT 26</t>
  </si>
  <si>
    <t>626K</t>
  </si>
  <si>
    <t>01-00-626F&amp;C-COS-CURR</t>
  </si>
  <si>
    <t>00-00-282-NET-CURR</t>
  </si>
  <si>
    <t>COS - FLEET &amp; COMMER - ACCT 27</t>
  </si>
  <si>
    <t>627K</t>
  </si>
  <si>
    <t>01-00-627F&amp;C-COS-CURR</t>
  </si>
  <si>
    <t>00-00-283-NET-CURR</t>
  </si>
  <si>
    <t>COS - FLEET &amp; COMMER - ACCT 28</t>
  </si>
  <si>
    <t>628K</t>
  </si>
  <si>
    <t>01-00-628F&amp;C-COS-CURR</t>
  </si>
  <si>
    <t>00-00-284-NET-CURR</t>
  </si>
  <si>
    <t>COS - FLEET &amp; COMMER - ACCT 29</t>
  </si>
  <si>
    <t>629K</t>
  </si>
  <si>
    <t>01-00-629F&amp;C-COS-CURR</t>
  </si>
  <si>
    <t>00-00-285-NET-CURR</t>
  </si>
  <si>
    <t>COS - FLEET &amp; COMMER - ACCT 30</t>
  </si>
  <si>
    <t>630K</t>
  </si>
  <si>
    <t>01-00-630F&amp;C-COS-CURR</t>
  </si>
  <si>
    <t>00-00-289-NET-CURR</t>
  </si>
  <si>
    <t>COS - FLEET &amp; COMMER - ACCT 31</t>
  </si>
  <si>
    <t>631K</t>
  </si>
  <si>
    <t>01-00-631F&amp;C-COS-CURR</t>
  </si>
  <si>
    <t>00-00-FIXASSET-NET-CURR</t>
  </si>
  <si>
    <t>COS - FLEET &amp; COMMER - ACCT 32</t>
  </si>
  <si>
    <t>632K</t>
  </si>
  <si>
    <t>01-00-632F&amp;C-COS-CURR</t>
  </si>
  <si>
    <t>00-00-291-AMT-CURR</t>
  </si>
  <si>
    <t>COS - FLEET &amp; COMMER - ACCT 33</t>
  </si>
  <si>
    <t>633K</t>
  </si>
  <si>
    <t>01-00-633F&amp;C-COS-CURR</t>
  </si>
  <si>
    <t>00-00-293-AMT-CURR</t>
  </si>
  <si>
    <t>COS - FLEET &amp; COMMER - ACCT 34</t>
  </si>
  <si>
    <t>634K</t>
  </si>
  <si>
    <t>01-00-634F&amp;C-COS-CURR</t>
  </si>
  <si>
    <t>00-00-294-AMT-CURR</t>
  </si>
  <si>
    <t>FLEET &amp; COMMER. - TOTAL GROSS PROFIT</t>
  </si>
  <si>
    <t>TOTK GP</t>
  </si>
  <si>
    <t>01-00-NET F&amp;C-GRSPFT-CURR</t>
  </si>
  <si>
    <t>00-00-296-AMT-CURR</t>
  </si>
  <si>
    <t>SALES COMP</t>
  </si>
  <si>
    <t>01-00-637F&amp;C-DIR COST-CURR</t>
  </si>
  <si>
    <t>00-00-OTHRASST-AMT-CURR</t>
  </si>
  <si>
    <t>MANAGER COMP</t>
  </si>
  <si>
    <t>01-00-638F&amp;C-DIR COST-CURR</t>
  </si>
  <si>
    <t>00-00-TOTASSET-AMT-CURR</t>
  </si>
  <si>
    <t>ADVERTISING</t>
  </si>
  <si>
    <t>01-00-639F&amp;C-DIR COST-CURR</t>
  </si>
  <si>
    <t>00-00-202-CB-CURR</t>
  </si>
  <si>
    <t>FLOOR PLAN</t>
  </si>
  <si>
    <t>01-00-640F&amp;C-DIR COST-CURR</t>
  </si>
  <si>
    <t>00-00-300TC-AMT-CURR</t>
  </si>
  <si>
    <t>TRAVEL &amp; ENTR</t>
  </si>
  <si>
    <t>01-00-641F&amp;C-DIR COST-CURR</t>
  </si>
  <si>
    <t>00-00-220-CB-CURR</t>
  </si>
  <si>
    <t>TRADE SHOWS</t>
  </si>
  <si>
    <t>01-00-642F&amp;C-DIR COST-CURR</t>
  </si>
  <si>
    <t>00-00-220-CD-CURR</t>
  </si>
  <si>
    <t>OTHER</t>
  </si>
  <si>
    <t>01-00-643F&amp;C-DIR COST-CURR</t>
  </si>
  <si>
    <t>00-00-305-AMT-CURR</t>
  </si>
  <si>
    <t>UNITS CARS - FLEET &amp; COMMER. - ACCT 0</t>
  </si>
  <si>
    <t>400KU</t>
  </si>
  <si>
    <t>00-00-310-AMT-CURR</t>
  </si>
  <si>
    <t>UNITS CARS - FLEET &amp; COMMER. - ACCT 1</t>
  </si>
  <si>
    <t>401KU</t>
  </si>
  <si>
    <t>00-00-311-AMT-CURR</t>
  </si>
  <si>
    <t>UNITS CARS - FLEET &amp; COMMER. - ACCT 2</t>
  </si>
  <si>
    <t>402KU</t>
  </si>
  <si>
    <t>00-00-312-AMT-CURR</t>
  </si>
  <si>
    <t>UNITS CARS - FLEET &amp; COMMER. - ACCT 3</t>
  </si>
  <si>
    <t>403KU</t>
  </si>
  <si>
    <t>00-00-314-AMT-CURR</t>
  </si>
  <si>
    <t>UNITS CARS - FLEET &amp; COMMER. - ACCT 4</t>
  </si>
  <si>
    <t>404KU</t>
  </si>
  <si>
    <t>00-00-320-AMT-CURR</t>
  </si>
  <si>
    <t>UNITS CARS - FLEET &amp; COMMER. - ACCT 5</t>
  </si>
  <si>
    <t>405KU</t>
  </si>
  <si>
    <t>00-00-321-AMT-CURR</t>
  </si>
  <si>
    <t>UNITS CARS - FLEET &amp; COMMER. - ACCT 6</t>
  </si>
  <si>
    <t>406KU</t>
  </si>
  <si>
    <t>00-00-322-AMT-CURR</t>
  </si>
  <si>
    <t>UNITS CARS - FLEET &amp; COMMER. - ACCT 7</t>
  </si>
  <si>
    <t>407KU</t>
  </si>
  <si>
    <t>00-00-323-AMT-CURR</t>
  </si>
  <si>
    <t>UNITS CARS - FLEET &amp; COMMER. - ACCT 8</t>
  </si>
  <si>
    <t>01-00-CCAR F&amp;C-UNIT-CURR</t>
  </si>
  <si>
    <t>00-00-324-AMT-CURR</t>
  </si>
  <si>
    <t>UNITS CARS - FLEET &amp; COMMER. - ACCT 12</t>
  </si>
  <si>
    <t>412KU</t>
  </si>
  <si>
    <t>00-00-325-AMT-CURR</t>
  </si>
  <si>
    <t>UNITS CARS - FLEET &amp; COMMER. - ACCT 13</t>
  </si>
  <si>
    <t>413KU</t>
  </si>
  <si>
    <t>00-00-327-AMT-CURR</t>
  </si>
  <si>
    <t>UNITS CARS - FLEET &amp; COMMER. - ACCT 14</t>
  </si>
  <si>
    <t>414KU</t>
  </si>
  <si>
    <t>00-00-328-AMT-CURR</t>
  </si>
  <si>
    <t>UNITS CARS - FLEET &amp; COMMER. - ACCT 15</t>
  </si>
  <si>
    <t>415KU</t>
  </si>
  <si>
    <t>00-00-329-AMT-CURR</t>
  </si>
  <si>
    <t>UNITS CARS - FLEET &amp; COMMER. - ACCT 16</t>
  </si>
  <si>
    <t>416KU</t>
  </si>
  <si>
    <t>00-00-330-AMT-CURR</t>
  </si>
  <si>
    <t>UNITS CARS - FLEET &amp; COMMER. - ACCT 17</t>
  </si>
  <si>
    <t>417KU</t>
  </si>
  <si>
    <t>00-00-331-AMT-CURR</t>
  </si>
  <si>
    <t>UNITS CARS - FLEET &amp; COMMER. - ACCT 18</t>
  </si>
  <si>
    <t>418KU</t>
  </si>
  <si>
    <t>00-00-CURRLIAB-AMT-CURR</t>
  </si>
  <si>
    <t>UNITS - NAT'L FLEET - CAR</t>
  </si>
  <si>
    <t>419KU</t>
  </si>
  <si>
    <t>00-00-334-AMT-CURR</t>
  </si>
  <si>
    <t>UNITS TRKS- FLEET &amp; COMMER. - ACCT 20</t>
  </si>
  <si>
    <t>420KU</t>
  </si>
  <si>
    <t>00-00-333-AMT-CURR</t>
  </si>
  <si>
    <t>UNITS TRKS- FLEET &amp; COMMER. - ACCT 21</t>
  </si>
  <si>
    <t>421KU</t>
  </si>
  <si>
    <t>00-00-LTLIAB-AMT-CURR</t>
  </si>
  <si>
    <t>UNITS TRKS- FLEET &amp; COMMER. - ACCT 22</t>
  </si>
  <si>
    <t>422KU</t>
  </si>
  <si>
    <t>00-00-335-AMT-CURR</t>
  </si>
  <si>
    <t>UNITS TRKS- FLEET &amp; COMMER. - ACCT 23</t>
  </si>
  <si>
    <t>423KU</t>
  </si>
  <si>
    <t>00-00-TOTLIAB-AMT-CURR</t>
  </si>
  <si>
    <t>UNITS TRKS- FLEET &amp; COMMER. - ACCT 24</t>
  </si>
  <si>
    <t>424KU</t>
  </si>
  <si>
    <t>00-00-360-AMT-CURR</t>
  </si>
  <si>
    <t>UNITS TRKS- FLEET &amp; COMMER. - ACCT 25</t>
  </si>
  <si>
    <t>425KU</t>
  </si>
  <si>
    <t>00-00-370-AMT-CURR</t>
  </si>
  <si>
    <t>UNITS TRKS- FLEET &amp; COMMER. - ACCT 26</t>
  </si>
  <si>
    <t>426KU</t>
  </si>
  <si>
    <t>00-00-375-AMT-CURR</t>
  </si>
  <si>
    <t>UNITS TRKS- FLEET &amp; COMMER. - ACCT 27</t>
  </si>
  <si>
    <t>427KU</t>
  </si>
  <si>
    <t>00-00-380-AMT-CURR</t>
  </si>
  <si>
    <t>UNITS TRKS- FLEET &amp; COMMER. - ACCT 28</t>
  </si>
  <si>
    <t>428KU</t>
  </si>
  <si>
    <t>00-00-390-AMT-CURR</t>
  </si>
  <si>
    <t>UNITS TRKS- FLEET &amp; COMMER. - ACCT 29</t>
  </si>
  <si>
    <t>429KU</t>
  </si>
  <si>
    <t>00-00-TOBALNCE-AMT-CURR</t>
  </si>
  <si>
    <t>UNITS TRKS- FLEET &amp; COMMER. - ACCT 30</t>
  </si>
  <si>
    <t>430KU</t>
  </si>
  <si>
    <t>00-00-399-AMT-CURR</t>
  </si>
  <si>
    <t>UNITS TRKS- FLEET &amp; COMMER. - ACCT 31</t>
  </si>
  <si>
    <t>431KU</t>
  </si>
  <si>
    <t>00-00-NETWORTH-AMT-CURR</t>
  </si>
  <si>
    <t>UNITS TRKS- FLEET &amp; COMMER. - ACCT 32</t>
  </si>
  <si>
    <t>432KU</t>
  </si>
  <si>
    <t>00-00-LIABNETW-AMT-CURR</t>
  </si>
  <si>
    <t>UNITS TRKS- FLEET &amp; COMMER. - ACCT 33</t>
  </si>
  <si>
    <t>433KU</t>
  </si>
  <si>
    <t>00-00-TOTAL-SALES-CURR</t>
  </si>
  <si>
    <t>UNITS TRKS- FLEET &amp; COMMER. - ACCT 34</t>
  </si>
  <si>
    <t>434KU</t>
  </si>
  <si>
    <t>00-00-TOTAL-GRSPFT-CURR</t>
  </si>
  <si>
    <t>UNITS TRKS- COMMER. - TOTAL</t>
  </si>
  <si>
    <t>TOTTRKKU</t>
  </si>
  <si>
    <t>01-00-CTRK F&amp;C-UNIT-CURR</t>
  </si>
  <si>
    <t>00-00-11-EXPNS-CURR</t>
  </si>
  <si>
    <t>UNITS VEH- COMMER. - TOTAL</t>
  </si>
  <si>
    <t>TOTVEHKU</t>
  </si>
  <si>
    <t>01-00-TOTVEH5K-UNIT-CURR</t>
  </si>
  <si>
    <t>00-00-13-EXPNS-CURR</t>
  </si>
  <si>
    <t>UNITS FLEET &amp; COMMER. - TOTAL</t>
  </si>
  <si>
    <t>TOTKU</t>
  </si>
  <si>
    <t>00-00-15-EXPNS-CURR</t>
  </si>
  <si>
    <t>SALES CARS - FLEET - ACCT 0</t>
  </si>
  <si>
    <t>01-00-400L-SALES-CURR</t>
  </si>
  <si>
    <t>00-00-VAREXPNS-EXPNS-CURR</t>
  </si>
  <si>
    <t>SALES CARS - FLEET - ACCT 1</t>
  </si>
  <si>
    <t>01-00-401L-SALES-CURR</t>
  </si>
  <si>
    <t>00-00-20-EXPNS-CURR</t>
  </si>
  <si>
    <t>SALES CARS - FLEET - ACCT 2</t>
  </si>
  <si>
    <t>01-00-402L-SALES-CURR</t>
  </si>
  <si>
    <t>00-00-21-EXPNS-CURR</t>
  </si>
  <si>
    <t>SALES CARS - FLEET - ACCT 3</t>
  </si>
  <si>
    <t>01-00-403L-SALES-CURR</t>
  </si>
  <si>
    <t>00-00-22-EXPNS-CURR</t>
  </si>
  <si>
    <t>SALES CARS - FLEET - ACCT 4</t>
  </si>
  <si>
    <t>01-00-404L-SALES-CURR</t>
  </si>
  <si>
    <t>00-00-23-EXPNS-CURR</t>
  </si>
  <si>
    <t>SALES CARS - FLEET - ACCT 5</t>
  </si>
  <si>
    <t>01-00-405L-SALES-CURR</t>
  </si>
  <si>
    <t>00-00-24-EXPNS-CURR</t>
  </si>
  <si>
    <t>SALES CARS - FLEET - ACCT 6</t>
  </si>
  <si>
    <t>01-00-406L-SALES-CURR</t>
  </si>
  <si>
    <t>00-00-26-EXPNS-CURR</t>
  </si>
  <si>
    <t>SALES CARS - FLEET - ACCT 7</t>
  </si>
  <si>
    <t>01-00-407L-SALES-CURR</t>
  </si>
  <si>
    <t>00-00-25-EXPNS-CURR</t>
  </si>
  <si>
    <t>SALES CARS - FLEET - TOTAL</t>
  </si>
  <si>
    <t>SLTOTCAR5L</t>
  </si>
  <si>
    <t>01-00-TOTCAR5L-SALES-CURR</t>
  </si>
  <si>
    <t>00-00-27-EXPNS-CURR</t>
  </si>
  <si>
    <t>SALES TRKS - FLEET - ACCT 12</t>
  </si>
  <si>
    <t>01-00-412L-SALES-CURR</t>
  </si>
  <si>
    <t>00-00-29-EXPNS-CURR</t>
  </si>
  <si>
    <t>SALES TRKS - FLEET - ACCT 13</t>
  </si>
  <si>
    <t>01-00-413L-SALES-CURR</t>
  </si>
  <si>
    <t>00-00-PERSONNL-EXPNS-CURR</t>
  </si>
  <si>
    <t>SALES TRKS - FLEET - ACCT 14</t>
  </si>
  <si>
    <t>01-00-414L-SALES-CURR</t>
  </si>
  <si>
    <t>00-00-51-EXPNS-CURR</t>
  </si>
  <si>
    <t>SALES TRKS - FLEET - ACCT 15</t>
  </si>
  <si>
    <t>01-00-415L-SALES-CURR</t>
  </si>
  <si>
    <t>00-00-60-EXPNS-CURR</t>
  </si>
  <si>
    <t>SALES TRKS - FLEET - ACCT 16</t>
  </si>
  <si>
    <t>01-00-416L-SALES-CURR</t>
  </si>
  <si>
    <t>00-00-61-EXPNS-CURR</t>
  </si>
  <si>
    <t>SALES TRKS - FLEET - ACCT 17</t>
  </si>
  <si>
    <t>01-00-417L-SALES-CURR</t>
  </si>
  <si>
    <t>00-00-63-EXPNS-CURR</t>
  </si>
  <si>
    <t>SALES TRKS - FLEET - ACCT 18</t>
  </si>
  <si>
    <t>01-00-418L-SALES-CURR</t>
  </si>
  <si>
    <t>00-00-65-EXPNS-CURR</t>
  </si>
  <si>
    <t>SALES TRKS - FLEET - ACCT 19</t>
  </si>
  <si>
    <t>01-00-419L-SALES-CURR</t>
  </si>
  <si>
    <t>00-00-64-EXPNS-CURR</t>
  </si>
  <si>
    <t>SALES TRKS - FLEET - ACCT 20</t>
  </si>
  <si>
    <t>01-00-420L-SALES-CURR</t>
  </si>
  <si>
    <t>00-00-66-EXPNS-CURR</t>
  </si>
  <si>
    <t>SALES TRKS - FLEET - ACCT 21</t>
  </si>
  <si>
    <t>01-00-421L-SALES-CURR</t>
  </si>
  <si>
    <t>00-00-67-EXPNS-CURR</t>
  </si>
  <si>
    <t>SALES TRKS - FLEET - ACCT 22</t>
  </si>
  <si>
    <t>01-00-422L-SALES-CURR</t>
  </si>
  <si>
    <t>00-00-68-EXPNS-CURR</t>
  </si>
  <si>
    <t>SALES TRKS - FLEET - ACCT 23</t>
  </si>
  <si>
    <t>01-00-423L-SALES-CURR</t>
  </si>
  <si>
    <t>00-00-69-EXPNS-CURR</t>
  </si>
  <si>
    <t>SALES TRKS - FLEET - ACCT 24</t>
  </si>
  <si>
    <t>01-00-424L-SALES-CURR</t>
  </si>
  <si>
    <t>00-00-70-EXPNS-CURR</t>
  </si>
  <si>
    <t>SALES TRKS - FLEET - ACCT 25</t>
  </si>
  <si>
    <t>01-00-425L-SALES-CURR</t>
  </si>
  <si>
    <t>00-00-71-EXPNS-CURR</t>
  </si>
  <si>
    <t>SALES TRKS - FLEET - ACCT 26</t>
  </si>
  <si>
    <t>01-00-426L-SALES-CURR</t>
  </si>
  <si>
    <t>00-00-72-EXPNS-CURR</t>
  </si>
  <si>
    <t>SALES TRKS - FLEET - ACCT 27</t>
  </si>
  <si>
    <t>01-00-427L-SALES-CURR</t>
  </si>
  <si>
    <t>00-00-74-EXPNS-CURR</t>
  </si>
  <si>
    <t>SALES TRKS - FLEET - ACCT 28</t>
  </si>
  <si>
    <t>01-00-428L-SALES-CURR</t>
  </si>
  <si>
    <t>00-00-75-EXPNS-CURR</t>
  </si>
  <si>
    <t>SALES TRKS - FLEET - ACCT 29</t>
  </si>
  <si>
    <t>01-00-429L-SALES-CURR</t>
  </si>
  <si>
    <t>00-00-76-EXPNS-CURR</t>
  </si>
  <si>
    <t>SALES TRKS - FLEET - ACCT 30</t>
  </si>
  <si>
    <t>01-00-430L-SALES-CURR</t>
  </si>
  <si>
    <t>00-00-78-EXPNS-CURR</t>
  </si>
  <si>
    <t>SALES TRKS - FLEET - ACCT 31</t>
  </si>
  <si>
    <t>01-00-431L-SALES-CURR</t>
  </si>
  <si>
    <t>00-00-79-EXPNS-CURR</t>
  </si>
  <si>
    <t>SALES TRKS - FLEET - ACCT 32</t>
  </si>
  <si>
    <t>01-00-432L-SALES-CURR</t>
  </si>
  <si>
    <t>00-00-56-EXPNS-CURR</t>
  </si>
  <si>
    <t>SALES TRKS - FLEET - ACCT 33</t>
  </si>
  <si>
    <t>01-00-433L-SALES-CURR</t>
  </si>
  <si>
    <t>00-00-57-EXPNS-CURR</t>
  </si>
  <si>
    <t>SALES TRKS - FLEET - ACCT 34</t>
  </si>
  <si>
    <t>01-00-434L-SALES-CURR</t>
  </si>
  <si>
    <t>00-00-33-EXPNS-CURR</t>
  </si>
  <si>
    <t>SALES TRKS - FLEET - TOTAL</t>
  </si>
  <si>
    <t>SLTOTTRK5L</t>
  </si>
  <si>
    <t>01-00-TOTTRK5L-SALES-CURR</t>
  </si>
  <si>
    <t>00-00-77-EXPNS-CURR</t>
  </si>
  <si>
    <t>SALES VEH - FLEET - TOTAL</t>
  </si>
  <si>
    <t>SLTOTVEH5L</t>
  </si>
  <si>
    <t>01-00-TOTVEH5L-SALES-CURR</t>
  </si>
  <si>
    <t>00-00-SEMIFIXD-EXPNS-CURR</t>
  </si>
  <si>
    <t>COS CARS - FLEET - ACCT 0</t>
  </si>
  <si>
    <t>600L</t>
  </si>
  <si>
    <t>01-00-600L-COS-CURR</t>
  </si>
  <si>
    <t>00-00-80-EXPNS-CURR</t>
  </si>
  <si>
    <t>COS CARS - FLEET - ACCT 1</t>
  </si>
  <si>
    <t>601L</t>
  </si>
  <si>
    <t>01-00-601L-COS-CURR</t>
  </si>
  <si>
    <t>00-00-81-EXPNS-CURR</t>
  </si>
  <si>
    <t>COS CARS - FLEET - ACCT 2</t>
  </si>
  <si>
    <t>602L</t>
  </si>
  <si>
    <t>01-00-602L-COS-CURR</t>
  </si>
  <si>
    <t>00-00-82-EXPNS-CURR</t>
  </si>
  <si>
    <t>COS CARS - FLEET - ACCT 3</t>
  </si>
  <si>
    <t>603L</t>
  </si>
  <si>
    <t>01-00-603L-COS-CURR</t>
  </si>
  <si>
    <t>00-00-83-EXPNS-CURR</t>
  </si>
  <si>
    <t>COS CARS - FLEET - ACCT 4</t>
  </si>
  <si>
    <t>604L</t>
  </si>
  <si>
    <t>01-00-604L-COS-CURR</t>
  </si>
  <si>
    <t>00-00-84-EXPNS-CURR</t>
  </si>
  <si>
    <t>COS CARS - FLEET - ACCT 5</t>
  </si>
  <si>
    <t>605L</t>
  </si>
  <si>
    <t>01-00-605L-COS-CURR</t>
  </si>
  <si>
    <t>00-00-85-EXPNS-CURR</t>
  </si>
  <si>
    <t>COS CARS - FLEET - ACCT 6</t>
  </si>
  <si>
    <t>606L</t>
  </si>
  <si>
    <t>01-00-606L-COS-CURR</t>
  </si>
  <si>
    <t>00-00-86-EXPNS-CURR</t>
  </si>
  <si>
    <t>COS CARS - FLEET - ACCT 7</t>
  </si>
  <si>
    <t>607L</t>
  </si>
  <si>
    <t>01-00-607L-COS-CURR</t>
  </si>
  <si>
    <t>00-00-RENTEQUV-EXPNS-CURR</t>
  </si>
  <si>
    <t>COS CARS - FLEET - TOTAL</t>
  </si>
  <si>
    <t>COTCAR5L</t>
  </si>
  <si>
    <t>01-00-COTCAR5L-COS-CURR</t>
  </si>
  <si>
    <t>00-00-87-EXPNS-CURR</t>
  </si>
  <si>
    <t>COS TRKS - FLEET - ACCT 12</t>
  </si>
  <si>
    <t>612L</t>
  </si>
  <si>
    <t>01-00-612L-COS-CURR</t>
  </si>
  <si>
    <t>00-00-88-EXPNS-CURR</t>
  </si>
  <si>
    <t>COS TRKS - FLEET - ACCT 13</t>
  </si>
  <si>
    <t>613L</t>
  </si>
  <si>
    <t>01-00-613L-COS-CURR</t>
  </si>
  <si>
    <t>00-00-89-EXPNS-CURR</t>
  </si>
  <si>
    <t>COS TRKS - FLEET - ACCT 14</t>
  </si>
  <si>
    <t>614L</t>
  </si>
  <si>
    <t>01-00-614L-COS-CURR</t>
  </si>
  <si>
    <t>00-00-90-EXPNS-CURR</t>
  </si>
  <si>
    <t>COS TRKS - FLEET - ACCT 15</t>
  </si>
  <si>
    <t>615L</t>
  </si>
  <si>
    <t>01-00-615L-COS-CURR</t>
  </si>
  <si>
    <t>00-00-91-EXPNS-CURR</t>
  </si>
  <si>
    <t>COS TRKS - FLEET - ACCT 16</t>
  </si>
  <si>
    <t>616L</t>
  </si>
  <si>
    <t>01-00-616L-COS-CURR</t>
  </si>
  <si>
    <t>00-00-92-EXPNS-CURR</t>
  </si>
  <si>
    <t>COS TRKS - FLEET - ACCT 17</t>
  </si>
  <si>
    <t>617L</t>
  </si>
  <si>
    <t>01-00-617L-COS-CURR</t>
  </si>
  <si>
    <t>00-00-FIXEDEXP-EXPNS-CURR</t>
  </si>
  <si>
    <t>COS TRKS - FLEET - ACCT 18</t>
  </si>
  <si>
    <t>618L</t>
  </si>
  <si>
    <t>01-00-618L-COS-CURR</t>
  </si>
  <si>
    <t>00-00-FIXOVERH-EXPNS-CURR</t>
  </si>
  <si>
    <t>COS TRKS - FLEET - ACCT 19</t>
  </si>
  <si>
    <t>619L</t>
  </si>
  <si>
    <t>01-00-619L-COS-CURR</t>
  </si>
  <si>
    <t>00-00-TOTALEXP-EXPNS-CURR</t>
  </si>
  <si>
    <t>COS TRKS - FLEET - ACCT 20</t>
  </si>
  <si>
    <t>620L</t>
  </si>
  <si>
    <t>01-00-620L-COS-CURR</t>
  </si>
  <si>
    <t>00-00-OPERPL-AMT-CURR</t>
  </si>
  <si>
    <t>COS TRKS - FLEET - ACCT 21</t>
  </si>
  <si>
    <t>621L</t>
  </si>
  <si>
    <t>01-00-621L-COS-CURR</t>
  </si>
  <si>
    <t>00-00-ADDDED-AMT-CURR</t>
  </si>
  <si>
    <t>COS TRKS - FLEET - ACCT 22</t>
  </si>
  <si>
    <t>622L</t>
  </si>
  <si>
    <t>01-00-622L-COS-CURR</t>
  </si>
  <si>
    <t>00-00-NPBBT-AMT-CURR</t>
  </si>
  <si>
    <t>COS TRKS - FLEET - ACCT 23</t>
  </si>
  <si>
    <t>623L</t>
  </si>
  <si>
    <t>01-00-623L-COS-CURR</t>
  </si>
  <si>
    <t>00-00-97-EXPNS-CURR</t>
  </si>
  <si>
    <t>COS TRKS - FLEET - ACCT 24</t>
  </si>
  <si>
    <t>624L</t>
  </si>
  <si>
    <t>01-00-624L-COS-CURR</t>
  </si>
  <si>
    <t>00-00-98-EXPNS-CURR</t>
  </si>
  <si>
    <t>COS TRKS - FLEET - ACCT 25</t>
  </si>
  <si>
    <t>625L</t>
  </si>
  <si>
    <t>01-00-625L-COS-CURR</t>
  </si>
  <si>
    <t>00-00-NPBT-AMT-CURR</t>
  </si>
  <si>
    <t>COS TRKS - FLEET - ACCT 26</t>
  </si>
  <si>
    <t>626L</t>
  </si>
  <si>
    <t>01-00-626L-COS-CURR</t>
  </si>
  <si>
    <t>00-00-99-EXPNS-CURR</t>
  </si>
  <si>
    <t>COS TRKS - FLEET - ACCT 27</t>
  </si>
  <si>
    <t>627L</t>
  </si>
  <si>
    <t>01-00-627L-COS-CURR</t>
  </si>
  <si>
    <t>00-00-NPAT-AMT-CURR</t>
  </si>
  <si>
    <t>COS TRKS - FLEET - ACCT 28</t>
  </si>
  <si>
    <t>628L</t>
  </si>
  <si>
    <t>01-00-628L-COS-CURR</t>
  </si>
  <si>
    <t>00-00-TOTALVAR-SALES-CURR</t>
  </si>
  <si>
    <t>COS TRKS - FLEET - ACCT 29</t>
  </si>
  <si>
    <t>629L</t>
  </si>
  <si>
    <t>01-00-629L-COS-CURR</t>
  </si>
  <si>
    <t>00-00-TOTALVAR-GRSPFT-CURR</t>
  </si>
  <si>
    <t>COS TRKS - FLEET - ACCT 30</t>
  </si>
  <si>
    <t>630L</t>
  </si>
  <si>
    <t>01-00-630L-COS-CURR</t>
  </si>
  <si>
    <t>00-00-11VAR-EXPNS-CURR</t>
  </si>
  <si>
    <t>COS TRKS - FLEET - ACCT 31</t>
  </si>
  <si>
    <t>631L</t>
  </si>
  <si>
    <t>01-00-631L-COS-CURR</t>
  </si>
  <si>
    <t>00-00-13VAR-EXPNS-CURR</t>
  </si>
  <si>
    <t>COS TRKS - FLEET - ACCT 32</t>
  </si>
  <si>
    <t>632L</t>
  </si>
  <si>
    <t>01-00-632L-COS-CURR</t>
  </si>
  <si>
    <t>00-00-15VAR-EXPNS-CURR</t>
  </si>
  <si>
    <t>COS TRKS - FLEET - ACCT 33</t>
  </si>
  <si>
    <t>633L</t>
  </si>
  <si>
    <t>01-00-633L-COS-CURR</t>
  </si>
  <si>
    <t>00-00-VAREXVAR-EXPNS-CURR</t>
  </si>
  <si>
    <t>COS TRKS - FLEET - ACCT 34</t>
  </si>
  <si>
    <t>634L</t>
  </si>
  <si>
    <t>01-00-634L-COS-CURR</t>
  </si>
  <si>
    <t>00-00-20VAR-EXPNS-CURR</t>
  </si>
  <si>
    <t>COS TRKS - FLEET - TOTAL</t>
  </si>
  <si>
    <t>COTTRK5L</t>
  </si>
  <si>
    <t>01-00-COTTRK5L-COS-CURR</t>
  </si>
  <si>
    <t>00-00-21VAR-EXPNS-CURR</t>
  </si>
  <si>
    <t>COS VEH - FLEET - TOTAL</t>
  </si>
  <si>
    <t>COTVEH5L</t>
  </si>
  <si>
    <t>01-00-COTVEH5L-COS-CURR</t>
  </si>
  <si>
    <t>00-00-22VAR-EXPNS-CURR</t>
  </si>
  <si>
    <t>UNITS CAR - FLEET - ACCT 0</t>
  </si>
  <si>
    <t>400LU</t>
  </si>
  <si>
    <t>01-00-400L-UNIT-CURR</t>
  </si>
  <si>
    <t>00-00-23VAR-EXPNS-CURR</t>
  </si>
  <si>
    <t>UNITS CAR - FLEET - ACCT 1</t>
  </si>
  <si>
    <t>401LU</t>
  </si>
  <si>
    <t>01-00-401L-UNIT-CURR</t>
  </si>
  <si>
    <t>00-00-24VAR-EXPNS-CURR</t>
  </si>
  <si>
    <t>UNITS CAR - FLEET - ACCT 2</t>
  </si>
  <si>
    <t>402LU</t>
  </si>
  <si>
    <t>01-00-402L-UNIT-CURR</t>
  </si>
  <si>
    <t>00-00-26VAR-EXPNS-CURR</t>
  </si>
  <si>
    <t>UNITS CAR - FLEET - ACCT 3</t>
  </si>
  <si>
    <t>403LU</t>
  </si>
  <si>
    <t>01-00-403L-UNIT-CURR</t>
  </si>
  <si>
    <t>00-00-25VAR-EXPNS-CURR</t>
  </si>
  <si>
    <t>UNITS CAR - FLEET - ACCT 4</t>
  </si>
  <si>
    <t>404LU</t>
  </si>
  <si>
    <t>01-00-404L-UNIT-CURR</t>
  </si>
  <si>
    <t>00-00-27VAR-EXPNS-CURR</t>
  </si>
  <si>
    <t>UNITS CAR - FLEET - ACCT 5</t>
  </si>
  <si>
    <t>405LU</t>
  </si>
  <si>
    <t>01-00-405L-UNIT-CURR</t>
  </si>
  <si>
    <t>00-00-29VAR-EXPNS-CURR</t>
  </si>
  <si>
    <t>UNITS CAR - FLEET - ACCT 6</t>
  </si>
  <si>
    <t>406LU</t>
  </si>
  <si>
    <t>01-00-406L-UNIT-CURR</t>
  </si>
  <si>
    <t>00-00-PERSVAR-EXPNS-CURR</t>
  </si>
  <si>
    <t>UNITS CAR - FLEET - ACCT 7</t>
  </si>
  <si>
    <t>407LU</t>
  </si>
  <si>
    <t>01-00-407L-UNIT-CURR</t>
  </si>
  <si>
    <t>00-00-51VAR-EXPNS-CURR</t>
  </si>
  <si>
    <t>UNITS CAR - FLEET - TOTAL</t>
  </si>
  <si>
    <t>UTOTCAR5L</t>
  </si>
  <si>
    <t>01-00-TOTCAR5L-UNIT-CURR</t>
  </si>
  <si>
    <t>00-00-60VAR-EXPNS-CURR</t>
  </si>
  <si>
    <t>UNITS TRK - FLEET - ACCT 12</t>
  </si>
  <si>
    <t>412LU</t>
  </si>
  <si>
    <t>01-00-412L-UNIT-CURR</t>
  </si>
  <si>
    <t>00-00-61VAR-EXPNS-CURR</t>
  </si>
  <si>
    <t>UNITS TRK - FLEET - ACCT 13</t>
  </si>
  <si>
    <t>413LU</t>
  </si>
  <si>
    <t>01-00-413L-UNIT-CURR</t>
  </si>
  <si>
    <t>00-00-63VAR-EXPNS-CURR</t>
  </si>
  <si>
    <t>UNITS TRK - FLEET - ACCT 14</t>
  </si>
  <si>
    <t>414LU</t>
  </si>
  <si>
    <t>01-00-414L-UNIT-CURR</t>
  </si>
  <si>
    <t>00-00-65VAR-EXPNS-CURR</t>
  </si>
  <si>
    <t>UNITS TRK - FLEET - ACCT 15</t>
  </si>
  <si>
    <t>415LU</t>
  </si>
  <si>
    <t>01-00-415L-UNIT-CURR</t>
  </si>
  <si>
    <t>00-00-64VAR-EXPNS-CURR</t>
  </si>
  <si>
    <t>UNITS TRK - FLEET - ACCT 16</t>
  </si>
  <si>
    <t>416LU</t>
  </si>
  <si>
    <t>01-00-416L-UNIT-CURR</t>
  </si>
  <si>
    <t>00-00-66VAR-EXPNS-CURR</t>
  </si>
  <si>
    <t>UNITS TRK - FLEET - ACCT 17</t>
  </si>
  <si>
    <t>417LU</t>
  </si>
  <si>
    <t>01-00-417L-UNIT-CURR</t>
  </si>
  <si>
    <t>00-00-68VAR-EXPNS-CURR</t>
  </si>
  <si>
    <t>UNITS TRK - FLEET - ACCT 18</t>
  </si>
  <si>
    <t>418LU</t>
  </si>
  <si>
    <t>01-00-418L-UNIT-CURR</t>
  </si>
  <si>
    <t>00-00-69VAR-EXPNS-CURR</t>
  </si>
  <si>
    <t>UNITS TRK - FLEET - ACCT 19</t>
  </si>
  <si>
    <t>419LU</t>
  </si>
  <si>
    <t>01-00-419L-UNIT-CURR</t>
  </si>
  <si>
    <t>00-00-70VAR-EXPNS-CURR</t>
  </si>
  <si>
    <t>UNITS TRK - FLEET - ACCT 20</t>
  </si>
  <si>
    <t>420LU</t>
  </si>
  <si>
    <t>01-00-420L-UNIT-CURR</t>
  </si>
  <si>
    <t>00-00-71VAR-EXPNS-CURR</t>
  </si>
  <si>
    <t>UNITS TRK - FLEET - ACCT 21</t>
  </si>
  <si>
    <t>421LU</t>
  </si>
  <si>
    <t>01-00-421L-UNIT-CURR</t>
  </si>
  <si>
    <t>00-00-72VAR-EXPNS-CURR</t>
  </si>
  <si>
    <t>UNITS TRK - FLEET - ACCT 22</t>
  </si>
  <si>
    <t>422LU</t>
  </si>
  <si>
    <t>01-00-422L-UNIT-CURR</t>
  </si>
  <si>
    <t>00-00-74VAR-EXPNS-CURR</t>
  </si>
  <si>
    <t>UNITS TRK - FLEET - ACCT 23</t>
  </si>
  <si>
    <t>423LU</t>
  </si>
  <si>
    <t>01-00-423L-UNIT-CURR</t>
  </si>
  <si>
    <t>00-00-75VAR-EXPNS-CURR</t>
  </si>
  <si>
    <t>UNITS TRK - FLEET - ACCT 24</t>
  </si>
  <si>
    <t>424LU</t>
  </si>
  <si>
    <t>01-00-424L-UNIT-CURR</t>
  </si>
  <si>
    <t>00-00-76VAR-EXPNS-CURR</t>
  </si>
  <si>
    <t>UNITS TRK - FLEET - ACCT 25</t>
  </si>
  <si>
    <t>425LU</t>
  </si>
  <si>
    <t>01-00-425L-UNIT-CURR</t>
  </si>
  <si>
    <t>00-00-78VAR-EXPNS-CURR</t>
  </si>
  <si>
    <t>UNITS TRK - FLEET - ACCT 26</t>
  </si>
  <si>
    <t>426LU</t>
  </si>
  <si>
    <t>01-00-426L-UNIT-CURR</t>
  </si>
  <si>
    <t>00-00-79VAR-EXPNS-CURR</t>
  </si>
  <si>
    <t>UNITS TRK - FLEET - ACCT 27</t>
  </si>
  <si>
    <t>427LU</t>
  </si>
  <si>
    <t>01-00-427L-UNIT-CURR</t>
  </si>
  <si>
    <t>00-00-56VAR-EXPNS-CURR</t>
  </si>
  <si>
    <t>UNITS TRK - FLEET - ACCT 28</t>
  </si>
  <si>
    <t>428LU</t>
  </si>
  <si>
    <t>01-00-428L-UNIT-CURR</t>
  </si>
  <si>
    <t>00-00-57VAR-EXPNS-CURR</t>
  </si>
  <si>
    <t>UNITS TRK - FLEET - ACCT 29</t>
  </si>
  <si>
    <t>429LU</t>
  </si>
  <si>
    <t>01-00-429L-UNIT-CURR</t>
  </si>
  <si>
    <t>00-00-33VAR-EXPNS-CURR</t>
  </si>
  <si>
    <t>UNITS TRK - FLEET - ACCT 30</t>
  </si>
  <si>
    <t>430LU</t>
  </si>
  <si>
    <t>01-00-430L-UNIT-CURR</t>
  </si>
  <si>
    <t>00-00-77VAR-EXPNS-CURR</t>
  </si>
  <si>
    <t>UNITS TRK - FLEET - ACCT 31</t>
  </si>
  <si>
    <t>431LU</t>
  </si>
  <si>
    <t>01-00-431L-UNIT-CURR</t>
  </si>
  <si>
    <t>00-00-SEMIFVAR-EXPNS-CURR</t>
  </si>
  <si>
    <t>UNITS TRK - FLEET - ACCT 32</t>
  </si>
  <si>
    <t>432LU</t>
  </si>
  <si>
    <t>01-00-432L-UNIT-CURR</t>
  </si>
  <si>
    <t>00-00-80VAR-EXPNS-CURR</t>
  </si>
  <si>
    <t>UNITS TRK - FLEET - ACCT 33</t>
  </si>
  <si>
    <t>433LU</t>
  </si>
  <si>
    <t>01-00-433L-UNIT-CURR</t>
  </si>
  <si>
    <t>00-00-81VAR-EXPNS-CURR</t>
  </si>
  <si>
    <t>UNITS TRK - FLEET - ACCT 34</t>
  </si>
  <si>
    <t>434LU</t>
  </si>
  <si>
    <t>01-00-434L-UNIT-CURR</t>
  </si>
  <si>
    <t>00-00-82VAR-EXPNS-CURR</t>
  </si>
  <si>
    <t>UNITS TRK - FLEET - TOTAL</t>
  </si>
  <si>
    <t>UTOTTRK5L</t>
  </si>
  <si>
    <t>01-00-TOTTRK5L-UNIT-CURR</t>
  </si>
  <si>
    <t>00-00-83VAR-EXPNS-CURR</t>
  </si>
  <si>
    <t>UNITS VEH - FLEET - TOTAL</t>
  </si>
  <si>
    <t>UTOTVEH5L</t>
  </si>
  <si>
    <t>01-00-TOTVEH5L-UNIT-CURR</t>
  </si>
  <si>
    <t>00-00-84VAR-EXPNS-CURR</t>
  </si>
  <si>
    <t>SALES CAR - GOVT - ACCT 0</t>
  </si>
  <si>
    <t>01-00-400M-SALES-CURR</t>
  </si>
  <si>
    <t>00-00-85VAR-EXPNS-CURR</t>
  </si>
  <si>
    <t>SALES CAR - GOVT - ACCT 1</t>
  </si>
  <si>
    <t>01-00-401M-SALES-CURR</t>
  </si>
  <si>
    <t>00-00-86VAR-EXPNS-CURR</t>
  </si>
  <si>
    <t>SALES CAR - GOVT - ACCT 2</t>
  </si>
  <si>
    <t>01-00-402M-SALES-CURR</t>
  </si>
  <si>
    <t>00-00-RENTVAR-EXPNS-CURR</t>
  </si>
  <si>
    <t>SALES CAR - GOVT - ACCT 3</t>
  </si>
  <si>
    <t>01-00-403M-SALES-CURR</t>
  </si>
  <si>
    <t>00-00-87VAR-EXPNS-CURR</t>
  </si>
  <si>
    <t>SALES CAR - GOVT - ACCT 4</t>
  </si>
  <si>
    <t>01-00-404M-SALES-CURR</t>
  </si>
  <si>
    <t>00-00-88VAR-EXPNS-CURR</t>
  </si>
  <si>
    <t>SALES CAR - GOVT - ACCT 5</t>
  </si>
  <si>
    <t>01-00-405M-SALES-CURR</t>
  </si>
  <si>
    <t>00-00-89VAR-EXPNS-CURR</t>
  </si>
  <si>
    <t>SALES CAR - GOVT - ACCT 6</t>
  </si>
  <si>
    <t>01-00-406M-SALES-CURR</t>
  </si>
  <si>
    <t>00-00-90VAR-EXPNS-CURR</t>
  </si>
  <si>
    <t>SALES CAR - GOVT - ACCT 7</t>
  </si>
  <si>
    <t>01-00-407M-SALES-CURR</t>
  </si>
  <si>
    <t>00-00-91VAR-EXPNS-CURR</t>
  </si>
  <si>
    <t>SALES CAR - GOVT - TOTAL</t>
  </si>
  <si>
    <t>SLTOTCAR5M</t>
  </si>
  <si>
    <t>01-00-TOTCAR5M-SALES-CURR</t>
  </si>
  <si>
    <t>00-00-92VAR-EXPNS-CURR</t>
  </si>
  <si>
    <t>SALES TRK - GOVT - ACCT 12</t>
  </si>
  <si>
    <t>01-00-412M-SALES-CURR</t>
  </si>
  <si>
    <t>00-00-FIXEDVAR-EXPNS-CURR</t>
  </si>
  <si>
    <t>SALES TRK - GOVT - ACCT 13</t>
  </si>
  <si>
    <t>01-00-413M-SALES-CURR</t>
  </si>
  <si>
    <t>00-00-FIXOVVAR-EXPNS-CURR</t>
  </si>
  <si>
    <t>SALES TRK - GOVT - ACCT 14</t>
  </si>
  <si>
    <t>01-00-414M-SALES-CURR</t>
  </si>
  <si>
    <t>00-00-TOTEXVAR-EXPNS-CURR</t>
  </si>
  <si>
    <t>SALES TRK - GOVT - ACCT 15</t>
  </si>
  <si>
    <t>01-00-415M-SALES-CURR</t>
  </si>
  <si>
    <t>00-00-OPRPLVAR-AMT-CURR</t>
  </si>
  <si>
    <t>SALES TRK - GOVT - ACCT 16</t>
  </si>
  <si>
    <t>01-00-416M-SALES-CURR</t>
  </si>
  <si>
    <t>00-00-TOTALFIX-SALES-CURR</t>
  </si>
  <si>
    <t>SALES TRK - GOVT - ACCT 17</t>
  </si>
  <si>
    <t>01-00-417M-SALES-CURR</t>
  </si>
  <si>
    <t>00-00-TOTALFIX-GRSPFT-CURR</t>
  </si>
  <si>
    <t>SALES TRK - GOVT - ACCT 18</t>
  </si>
  <si>
    <t>01-00-418M-SALES-CURR</t>
  </si>
  <si>
    <t>00-00-20FIX-EXPNS-CURR</t>
  </si>
  <si>
    <t>SALES TRK - GOVT - ACCT 19</t>
  </si>
  <si>
    <t>01-00-419M-SALES-CURR</t>
  </si>
  <si>
    <t>00-00-21FIX-EXPNS-CURR</t>
  </si>
  <si>
    <t>SALES TRK - GOVT - ACCT 20</t>
  </si>
  <si>
    <t>01-00-420M-SALES-CURR</t>
  </si>
  <si>
    <t>00-00-22FIX-EXPNS-CURR</t>
  </si>
  <si>
    <t>SALES TRK - GOVT - ACCT 21</t>
  </si>
  <si>
    <t>01-00-421M-SALES-CURR</t>
  </si>
  <si>
    <t>00-00-23FIX-EXPNS-CURR</t>
  </si>
  <si>
    <t>SALES TRK - GOVT - ACCT 22</t>
  </si>
  <si>
    <t>01-00-422M-SALES-CURR</t>
  </si>
  <si>
    <t>00-00-24FIX-EXPNS-CURR</t>
  </si>
  <si>
    <t>SALES TRK - GOVT - ACCT 23</t>
  </si>
  <si>
    <t>01-00-423M-SALES-CURR</t>
  </si>
  <si>
    <t>00-00-26FIX-EXPNS-CURR</t>
  </si>
  <si>
    <t>SALES TRK - GOVT - ACCT 24</t>
  </si>
  <si>
    <t>01-00-424M-SALES-CURR</t>
  </si>
  <si>
    <t>00-00-25FIX-EXPNS-CURR</t>
  </si>
  <si>
    <t>SALES TRK - GOVT - ACCT 25</t>
  </si>
  <si>
    <t>01-00-425M-SALES-CURR</t>
  </si>
  <si>
    <t>00-00-27FIX-EXPNS-CURR</t>
  </si>
  <si>
    <t>SALES TRK - GOVT - ACCT 26</t>
  </si>
  <si>
    <t>01-00-426M-SALES-CURR</t>
  </si>
  <si>
    <t>00-00-29FIX-EXPNS-CURR</t>
  </si>
  <si>
    <t>SALES TRK - GOVT - ACCT 27</t>
  </si>
  <si>
    <t>01-00-427M-SALES-CURR</t>
  </si>
  <si>
    <t>00-00-PERSFIX-EXPNS-CURR</t>
  </si>
  <si>
    <t>SALES TRK - GOVT - ACCT 28</t>
  </si>
  <si>
    <t>01-00-428M-SALES-CURR</t>
  </si>
  <si>
    <t>00-00-51FIX-EXPNS-CURR</t>
  </si>
  <si>
    <t>SALES TRK - GOVT - ACCT 29</t>
  </si>
  <si>
    <t>01-00-429M-SALES-CURR</t>
  </si>
  <si>
    <t>00-00-60FIX-EXPNS-CURR</t>
  </si>
  <si>
    <t>SALES TRK - GOVT - ACCT 30</t>
  </si>
  <si>
    <t>01-00-430M-SALES-CURR</t>
  </si>
  <si>
    <t>00-00-61FIX-EXPNS-CURR</t>
  </si>
  <si>
    <t>SALES TRK - GOVT - ACCT 31</t>
  </si>
  <si>
    <t>01-00-431M-SALES-CURR</t>
  </si>
  <si>
    <t>00-00-63FIX-EXPNS-CURR</t>
  </si>
  <si>
    <t>SALES TRK - GOVT - ACCT 32</t>
  </si>
  <si>
    <t>01-00-432M-SALES-CURR</t>
  </si>
  <si>
    <t>00-00-65FIX-EXPNS-CURR</t>
  </si>
  <si>
    <t>SALES TRK - GOVT - ACCT 33</t>
  </si>
  <si>
    <t>01-00-433M-SALES-CURR</t>
  </si>
  <si>
    <t>00-00-64FIX-EXPNS-CURR</t>
  </si>
  <si>
    <t>SALES TRK - GOVT - ACCT 34</t>
  </si>
  <si>
    <t>01-00-434M-SALES-CURR</t>
  </si>
  <si>
    <t>00-00-66FIX-EXPNS-CURR</t>
  </si>
  <si>
    <t>SALES TRK - GOVT - TOTAL</t>
  </si>
  <si>
    <t>SLTOTTRK5M</t>
  </si>
  <si>
    <t>01-00-TOTTRK5M-SALES-CURR</t>
  </si>
  <si>
    <t>00-00-67FIX-EXPNS-CURR</t>
  </si>
  <si>
    <t>SALES VEH - GOVT - TOTAL</t>
  </si>
  <si>
    <t>SLTOTVEH5M</t>
  </si>
  <si>
    <t>01-00-TOTVEH5M-SALES-CURR</t>
  </si>
  <si>
    <t>00-00-68FIX-EXPNS-CURR</t>
  </si>
  <si>
    <t>COS CAR - GOVT - ACCT 0</t>
  </si>
  <si>
    <t>600M</t>
  </si>
  <si>
    <t>01-00-600M-COS-CURR</t>
  </si>
  <si>
    <t>00-00-69FIX-EXPNS-CURR</t>
  </si>
  <si>
    <t>COS CAR - GOVT - ACCT 1</t>
  </si>
  <si>
    <t>601M</t>
  </si>
  <si>
    <t>01-00-601M-COS-CURR</t>
  </si>
  <si>
    <t>00-00-70FIX-EXPNS-CURR</t>
  </si>
  <si>
    <t>COS CAR - GOVT - ACCT 2</t>
  </si>
  <si>
    <t>602M</t>
  </si>
  <si>
    <t>01-00-602M-COS-CURR</t>
  </si>
  <si>
    <t>00-00-71FIX-EXPNS-CURR</t>
  </si>
  <si>
    <t>COS CAR - GOVT - ACCT 3</t>
  </si>
  <si>
    <t>603M</t>
  </si>
  <si>
    <t>01-00-603M-COS-CURR</t>
  </si>
  <si>
    <t>00-00-72FIX-EXPNS-CURR</t>
  </si>
  <si>
    <t>COS CAR - GOVT - ACCT 4</t>
  </si>
  <si>
    <t>604M</t>
  </si>
  <si>
    <t>01-00-604M-COS-CURR</t>
  </si>
  <si>
    <t>00-00-74FIX-EXPNS-CURR</t>
  </si>
  <si>
    <t>COS CAR - GOVT - ACCT 5</t>
  </si>
  <si>
    <t>605M</t>
  </si>
  <si>
    <t>01-00-605M-COS-CURR</t>
  </si>
  <si>
    <t>00-00-75FIX-EXPNS-CURR</t>
  </si>
  <si>
    <t>COS CAR - GOVT - ACCT 6</t>
  </si>
  <si>
    <t>606M</t>
  </si>
  <si>
    <t>01-00-606M-COS-CURR</t>
  </si>
  <si>
    <t>00-00-79FIX-EXPNS-CURR</t>
  </si>
  <si>
    <t>COS CAR - GOVT - ACCT 7</t>
  </si>
  <si>
    <t>607M</t>
  </si>
  <si>
    <t>01-00-607M-COS-CURR</t>
  </si>
  <si>
    <t>00-00-57FIX-EXPNS-CURR</t>
  </si>
  <si>
    <t>COS CAR - GOVT - TOTAL</t>
  </si>
  <si>
    <t>COTCAR5M</t>
  </si>
  <si>
    <t>01-00-COTCAR5M-COS-CURR</t>
  </si>
  <si>
    <t>00-00-33FIX-EXPNS-CURR</t>
  </si>
  <si>
    <t>COS TRK - GOVT - ACCT 12</t>
  </si>
  <si>
    <t>612M</t>
  </si>
  <si>
    <t>01-00-612M-COS-CURR</t>
  </si>
  <si>
    <t>00-00-77FIX-EXPNS-CURR</t>
  </si>
  <si>
    <t>COS TRK - GOVT - ACCT 13</t>
  </si>
  <si>
    <t>613M</t>
  </si>
  <si>
    <t>01-00-613M-COS-CURR</t>
  </si>
  <si>
    <t>00-00-SEMIFFIX-EXPNS-CURR</t>
  </si>
  <si>
    <t>COS TRK - GOVT - ACCT 14</t>
  </si>
  <si>
    <t>614M</t>
  </si>
  <si>
    <t>01-00-614M-COS-CURR</t>
  </si>
  <si>
    <t>00-00-80FIX-EXPNS-CURR</t>
  </si>
  <si>
    <t>COS TRK - GOVT - ACCT 15</t>
  </si>
  <si>
    <t>615M</t>
  </si>
  <si>
    <t>01-00-615M-COS-CURR</t>
  </si>
  <si>
    <t>00-00-81FIX-EXPNS-CURR</t>
  </si>
  <si>
    <t>COS TRK - GOVT - ACCT 16</t>
  </si>
  <si>
    <t>616M</t>
  </si>
  <si>
    <t>01-00-616M-COS-CURR</t>
  </si>
  <si>
    <t>00-00-82FIX-EXPNS-CURR</t>
  </si>
  <si>
    <t>COS TRK - GOVT - ACCT 17</t>
  </si>
  <si>
    <t>617M</t>
  </si>
  <si>
    <t>01-00-617M-COS-CURR</t>
  </si>
  <si>
    <t>00-00-83FIX-EXPNS-CURR</t>
  </si>
  <si>
    <t>COS TRK - GOVT - ACCT 18</t>
  </si>
  <si>
    <t>618M</t>
  </si>
  <si>
    <t>01-00-618M-COS-CURR</t>
  </si>
  <si>
    <t>00-00-84FIX-EXPNS-CURR</t>
  </si>
  <si>
    <t>COS TRK - GOVT - ACCT 19</t>
  </si>
  <si>
    <t>619M</t>
  </si>
  <si>
    <t>01-00-619M-COS-CURR</t>
  </si>
  <si>
    <t>00-00-85FIX-EXPNS-CURR</t>
  </si>
  <si>
    <t>COS TRK - GOVT - ACCT 20</t>
  </si>
  <si>
    <t>620M</t>
  </si>
  <si>
    <t>01-00-620M-COS-CURR</t>
  </si>
  <si>
    <t>00-00-86FIX-EXPNS-CURR</t>
  </si>
  <si>
    <t>COS TRK - GOVT - ACCT 21</t>
  </si>
  <si>
    <t>621M</t>
  </si>
  <si>
    <t>01-00-621M-COS-CURR</t>
  </si>
  <si>
    <t>00-00-RENTFIX-EXPNS-CURR</t>
  </si>
  <si>
    <t>COS TRK - GOVT - ACCT 22</t>
  </si>
  <si>
    <t>622M</t>
  </si>
  <si>
    <t>01-00-622M-COS-CURR</t>
  </si>
  <si>
    <t>00-00-87FIX-EXPNS-CURR</t>
  </si>
  <si>
    <t>COS TRK - GOVT - ACCT 23</t>
  </si>
  <si>
    <t>623M</t>
  </si>
  <si>
    <t>01-00-623M-COS-CURR</t>
  </si>
  <si>
    <t>00-00-88FIX-EXPNS-CURR</t>
  </si>
  <si>
    <t>COS TRK - GOVT - ACCT 24</t>
  </si>
  <si>
    <t>624M</t>
  </si>
  <si>
    <t>01-00-624M-COS-CURR</t>
  </si>
  <si>
    <t>00-00-89FIX-EXPNS-CURR</t>
  </si>
  <si>
    <t>COS TRK - GOVT - ACCT 25</t>
  </si>
  <si>
    <t>625M</t>
  </si>
  <si>
    <t>01-00-625M-COS-CURR</t>
  </si>
  <si>
    <t>00-00-90FIX-EXPNS-CURR</t>
  </si>
  <si>
    <t>COS TRK - GOVT - ACCT 26</t>
  </si>
  <si>
    <t>626M</t>
  </si>
  <si>
    <t>01-00-626M-COS-CURR</t>
  </si>
  <si>
    <t>00-00-91FIX-EXPNS-CURR</t>
  </si>
  <si>
    <t>COS TRK - GOVT - ACCT 27</t>
  </si>
  <si>
    <t>627M</t>
  </si>
  <si>
    <t>01-00-627M-COS-CURR</t>
  </si>
  <si>
    <t>00-00-92FIX-EXPNS-CURR</t>
  </si>
  <si>
    <t>COS TRK - GOVT - ACCT 28</t>
  </si>
  <si>
    <t>628M</t>
  </si>
  <si>
    <t>01-00-628M-COS-CURR</t>
  </si>
  <si>
    <t>00-00-FIXEDFIX-EXPNS-CURR</t>
  </si>
  <si>
    <t>COS TRK - GOVT - ACCT 29</t>
  </si>
  <si>
    <t>629M</t>
  </si>
  <si>
    <t>01-00-629M-COS-CURR</t>
  </si>
  <si>
    <t>00-00-FIXOVFIX-EXPNS-CURR</t>
  </si>
  <si>
    <t>COS TRK - GOVT - ACCT 30</t>
  </si>
  <si>
    <t>630M</t>
  </si>
  <si>
    <t>01-00-630M-COS-CURR</t>
  </si>
  <si>
    <t>00-00-TOTEXFIX-EXPNS-CURR</t>
  </si>
  <si>
    <t>COS TRK - GOVT - ACCT 31</t>
  </si>
  <si>
    <t>631M</t>
  </si>
  <si>
    <t>01-00-631M-COS-CURR</t>
  </si>
  <si>
    <t>00-00-OPRPLFIX-AMT-CURR</t>
  </si>
  <si>
    <t>COS TRK - GOVT - ACCT 32</t>
  </si>
  <si>
    <t>632M</t>
  </si>
  <si>
    <t>01-00-632M-COS-CURR</t>
  </si>
  <si>
    <t>01-00-11-EXPNS-CURR</t>
  </si>
  <si>
    <t>COS TRK - GOVT - ACCT 33</t>
  </si>
  <si>
    <t>633M</t>
  </si>
  <si>
    <t>01-00-633M-COS-CURR</t>
  </si>
  <si>
    <t>01-00-13-EXPNS-CURR</t>
  </si>
  <si>
    <t>COS TRK - GOVT - ACCT 34</t>
  </si>
  <si>
    <t>634M</t>
  </si>
  <si>
    <t>01-00-634M-COS-CURR</t>
  </si>
  <si>
    <t>01-00-15-EXPNS-CURR</t>
  </si>
  <si>
    <t>COS TRK - GOVT - TOTAL</t>
  </si>
  <si>
    <t>COTTRK5M</t>
  </si>
  <si>
    <t>01-00-COTTRK5M-COS-CURR</t>
  </si>
  <si>
    <t>01-00-VAREXPNS-EXPNS-CURR</t>
  </si>
  <si>
    <t>COS VEH - GOVT - TOTAL</t>
  </si>
  <si>
    <t>COTVEH5M</t>
  </si>
  <si>
    <t>01-00-COTVEH5M-COS-CURR</t>
  </si>
  <si>
    <t>01-00-20-EXPNS-CURR</t>
  </si>
  <si>
    <t>UNIT CAR - GOVT - ACCT 0</t>
  </si>
  <si>
    <t>400MU</t>
  </si>
  <si>
    <t>01-00-400M-UNIT-CURR</t>
  </si>
  <si>
    <t>01-00-21-EXPNS-CURR</t>
  </si>
  <si>
    <t>UNIT CAR - GOVT - ACCT 1</t>
  </si>
  <si>
    <t>401MU</t>
  </si>
  <si>
    <t>01-00-401M-UNIT-CURR</t>
  </si>
  <si>
    <t>01-00-22-EXPNS-CURR</t>
  </si>
  <si>
    <t>UNIT CAR - GOVT - ACCT 2</t>
  </si>
  <si>
    <t>402MU</t>
  </si>
  <si>
    <t>01-00-402M-UNIT-CURR</t>
  </si>
  <si>
    <t>01-00-23-EXPNS-CURR</t>
  </si>
  <si>
    <t>UNIT CAR - GOVT - ACCT 3</t>
  </si>
  <si>
    <t>403MU</t>
  </si>
  <si>
    <t>01-00-403M-UNIT-CURR</t>
  </si>
  <si>
    <t>01-00-24-EXPNS-CURR</t>
  </si>
  <si>
    <t>UNIT CAR - GOVT - ACCT 4</t>
  </si>
  <si>
    <t>404MU</t>
  </si>
  <si>
    <t>01-00-404M-UNIT-CURR</t>
  </si>
  <si>
    <t>01-00-26-EXPNS-CURR</t>
  </si>
  <si>
    <t>UNIT CAR - GOVT - ACCT 5</t>
  </si>
  <si>
    <t>405MU</t>
  </si>
  <si>
    <t>01-00-405M-UNIT-CURR</t>
  </si>
  <si>
    <t>01-00-25-EXPNS-CURR</t>
  </si>
  <si>
    <t>UNIT CAR - GOVT - ACCT 6</t>
  </si>
  <si>
    <t>406MU</t>
  </si>
  <si>
    <t>01-00-406M-UNIT-CURR</t>
  </si>
  <si>
    <t>01-00-27-EXPNS-CURR</t>
  </si>
  <si>
    <t>UNIT CAR - GOVT - ACCT 7</t>
  </si>
  <si>
    <t>407MU</t>
  </si>
  <si>
    <t>01-00-407M-UNIT-CURR</t>
  </si>
  <si>
    <t>01-00-29-EXPNS-CURR</t>
  </si>
  <si>
    <t>UNIT CAR - GOVT - TOTAL</t>
  </si>
  <si>
    <t>UTOTCAR5M</t>
  </si>
  <si>
    <t>01-00-TOTCAR5M-UNIT-CURR</t>
  </si>
  <si>
    <t>01-00-PERSONNL-EXPNS-CURR</t>
  </si>
  <si>
    <t>UNIT TRK - GOVT - ACCT 12</t>
  </si>
  <si>
    <t>412MU</t>
  </si>
  <si>
    <t>01-00-412M-UNIT-CURR</t>
  </si>
  <si>
    <t>01-00-51-EXPNS-CURR</t>
  </si>
  <si>
    <t>UNIT TRK - GOVT - ACCT 13</t>
  </si>
  <si>
    <t>413MU</t>
  </si>
  <si>
    <t>01-00-413M-UNIT-CURR</t>
  </si>
  <si>
    <t>01-00-60-EXPNS-CURR</t>
  </si>
  <si>
    <t>UNIT TRK - GOVT - ACCT 14</t>
  </si>
  <si>
    <t>414MU</t>
  </si>
  <si>
    <t>01-00-414M-UNIT-CURR</t>
  </si>
  <si>
    <t>01-00-61-EXPNS-CURR</t>
  </si>
  <si>
    <t>UNIT TRK - GOVT - ACCT 15</t>
  </si>
  <si>
    <t>415MU</t>
  </si>
  <si>
    <t>01-00-415M-UNIT-CURR</t>
  </si>
  <si>
    <t>01-00-63-EXPNS-CURR</t>
  </si>
  <si>
    <t>UNIT TRK - GOVT - ACCT 16</t>
  </si>
  <si>
    <t>416MU</t>
  </si>
  <si>
    <t>01-00-416M-UNIT-CURR</t>
  </si>
  <si>
    <t>01-00-65-EXPNS-CURR</t>
  </si>
  <si>
    <t>UNIT TRK - GOVT - ACCT 17</t>
  </si>
  <si>
    <t>417MU</t>
  </si>
  <si>
    <t>01-00-417M-UNIT-CURR</t>
  </si>
  <si>
    <t>01-00-64-EXPNS-CURR</t>
  </si>
  <si>
    <t>UNIT TRK - GOVT - ACCT 18</t>
  </si>
  <si>
    <t>418MU</t>
  </si>
  <si>
    <t>01-00-418M-UNIT-CURR</t>
  </si>
  <si>
    <t>01-00-66-EXPNS-CURR</t>
  </si>
  <si>
    <t>UNIT TRK - GOVT - ACCT 19</t>
  </si>
  <si>
    <t>419MU</t>
  </si>
  <si>
    <t>01-00-419M-UNIT-CURR</t>
  </si>
  <si>
    <t>01-00-68-EXPNS-CURR</t>
  </si>
  <si>
    <t>UNIT TRK - GOVT - ACCT 20</t>
  </si>
  <si>
    <t>420MU</t>
  </si>
  <si>
    <t>01-00-420M-UNIT-CURR</t>
  </si>
  <si>
    <t>01-00-69-EXPNS-CURR</t>
  </si>
  <si>
    <t>UNIT TRK - GOVT - ACCT 21</t>
  </si>
  <si>
    <t>421MU</t>
  </si>
  <si>
    <t>01-00-421M-UNIT-CURR</t>
  </si>
  <si>
    <t>01-00-70-EXPNS-CURR</t>
  </si>
  <si>
    <t>UNIT TRK - GOVT - ACCT 22</t>
  </si>
  <si>
    <t>422MU</t>
  </si>
  <si>
    <t>01-00-422M-UNIT-CURR</t>
  </si>
  <si>
    <t>01-00-71-EXPNS-CURR</t>
  </si>
  <si>
    <t>UNIT TRK - GOVT - ACCT 23</t>
  </si>
  <si>
    <t>423MU</t>
  </si>
  <si>
    <t>01-00-423M-UNIT-CURR</t>
  </si>
  <si>
    <t>01-00-72-EXPNS-CURR</t>
  </si>
  <si>
    <t>UNIT TRK - GOVT - ACCT 24</t>
  </si>
  <si>
    <t>424MU</t>
  </si>
  <si>
    <t>01-00-424M-UNIT-CURR</t>
  </si>
  <si>
    <t>01-00-74-EXPNS-CURR</t>
  </si>
  <si>
    <t>UNIT TRK - GOVT - ACCT 25</t>
  </si>
  <si>
    <t>425MU</t>
  </si>
  <si>
    <t>01-00-425M-UNIT-CURR</t>
  </si>
  <si>
    <t>01-00-75-EXPNS-CURR</t>
  </si>
  <si>
    <t>UNIT TRK - GOVT - ACCT 26</t>
  </si>
  <si>
    <t>426MU</t>
  </si>
  <si>
    <t>01-00-426M-UNIT-CURR</t>
  </si>
  <si>
    <t>01-00-76-EXPNS-CURR</t>
  </si>
  <si>
    <t>UNIT TRK - GOVT - ACCT 27</t>
  </si>
  <si>
    <t>427MU</t>
  </si>
  <si>
    <t>01-00-427M-UNIT-CURR</t>
  </si>
  <si>
    <t>01-00-78-EXPNS-CURR</t>
  </si>
  <si>
    <t>UNIT TRK - GOVT - ACCT 28</t>
  </si>
  <si>
    <t>428MU</t>
  </si>
  <si>
    <t>01-00-428M-UNIT-CURR</t>
  </si>
  <si>
    <t>01-00-79-EXPNS-CURR</t>
  </si>
  <si>
    <t>UNIT TRK - GOVT - ACCT 29</t>
  </si>
  <si>
    <t>429MU</t>
  </si>
  <si>
    <t>01-00-429M-UNIT-CURR</t>
  </si>
  <si>
    <t>01-00-56-EXPNS-CURR</t>
  </si>
  <si>
    <t>UNIT TRK - GOVT - ACCT 30</t>
  </si>
  <si>
    <t>430MU</t>
  </si>
  <si>
    <t>01-00-430M-UNIT-CURR</t>
  </si>
  <si>
    <t>01-00-57-EXPNS-CURR</t>
  </si>
  <si>
    <t>UNIT TRK - GOVT - ACCT 31</t>
  </si>
  <si>
    <t>431MU</t>
  </si>
  <si>
    <t>01-00-431M-UNIT-CURR</t>
  </si>
  <si>
    <t>01-00-33-EXPNS-CURR</t>
  </si>
  <si>
    <t>UNIT TRK - GOVT - ACCT 32</t>
  </si>
  <si>
    <t>432MU</t>
  </si>
  <si>
    <t>01-00-432M-UNIT-CURR</t>
  </si>
  <si>
    <t>01-00-77-EXPNS-CURR</t>
  </si>
  <si>
    <t>UNIT TRK - GOVT - ACCT 33</t>
  </si>
  <si>
    <t>433MU</t>
  </si>
  <si>
    <t>01-00-433M-UNIT-CURR</t>
  </si>
  <si>
    <t>01-00-SEMIFIXD-EXPNS-CURR</t>
  </si>
  <si>
    <t>UNIT TRK - GOVT - ACCT 34</t>
  </si>
  <si>
    <t>434MU</t>
  </si>
  <si>
    <t>01-00-434M-UNIT-CURR</t>
  </si>
  <si>
    <t>01-00-80-EXPNS-CURR</t>
  </si>
  <si>
    <t>UNIT TRK - GOVT - TOTAL</t>
  </si>
  <si>
    <t>UTOTTRK5M</t>
  </si>
  <si>
    <t>01-00-TOTTRK5M-UNIT-CURR</t>
  </si>
  <si>
    <t>01-00-81-EXPNS-CURR</t>
  </si>
  <si>
    <t>UNIT VEH - GOVT - TOTAL</t>
  </si>
  <si>
    <t>01-00-TOTVEH5M-UNIT-CURR</t>
  </si>
  <si>
    <t>01-00-82-EXPNS-CURR</t>
  </si>
  <si>
    <t>USED CARS RTL - OPTIMUM/UCFS</t>
  </si>
  <si>
    <t>446AU</t>
  </si>
  <si>
    <t>01-00-83-EXPNS-CURR</t>
  </si>
  <si>
    <t xml:space="preserve">USED CARS RTL - OTHER UNITS </t>
  </si>
  <si>
    <t>446BU</t>
  </si>
  <si>
    <t>01-00-84-EXPNS-CURR</t>
  </si>
  <si>
    <t>USED CARS WHOLESALE UNITS</t>
  </si>
  <si>
    <t>448U</t>
  </si>
  <si>
    <t>01-00-85-EXPNS-CURR</t>
  </si>
  <si>
    <t>USED TRUCKS RTL - OPTIMUM/UCFS</t>
  </si>
  <si>
    <t>450AU</t>
  </si>
  <si>
    <t>01-00-86-EXPNS-CURR</t>
  </si>
  <si>
    <t xml:space="preserve">USED TRUCKS RTL - OTHER UNITS </t>
  </si>
  <si>
    <t>450BU</t>
  </si>
  <si>
    <t>01-00-RENTEQUV-EXPNS-CURR</t>
  </si>
  <si>
    <t xml:space="preserve">USED TRUCKS WHOLESALE UNITS </t>
  </si>
  <si>
    <t>452U</t>
  </si>
  <si>
    <t>01-00-87-EXPNS-CURR</t>
  </si>
  <si>
    <t>USED VEHICLES - TOTAL UNITS</t>
  </si>
  <si>
    <t>UTOTU</t>
  </si>
  <si>
    <t>01-00-88-EXPNS-CURR</t>
  </si>
  <si>
    <t>CUST. LAB CARS &amp; LD TRKS</t>
  </si>
  <si>
    <t>01-00-89-EXPNS-CURR</t>
  </si>
  <si>
    <t>CUST. LAB EV CARS &amp; LD TRKS</t>
  </si>
  <si>
    <t>05-00-460E-RO-CURR</t>
  </si>
  <si>
    <t>01-00-90-EXPNS-CURR</t>
  </si>
  <si>
    <t>S/CNTR LAB -CARS&amp;LD TRKS</t>
  </si>
  <si>
    <t>01-00-91-EXPNS-CURR</t>
  </si>
  <si>
    <t>S/CNTR LAB -EV CARS &amp; LD TRKS</t>
  </si>
  <si>
    <t>05-00-460F-RO-CURR</t>
  </si>
  <si>
    <t>01-00-92-EXPNS-CURR</t>
  </si>
  <si>
    <t>Q/SRV LAB -CARS&amp;LD TRKS</t>
  </si>
  <si>
    <t>01-00-FIXEDEXP-EXPNS-CURR</t>
  </si>
  <si>
    <t>MOBILE SRV LAB CARS &amp; LD TRKS</t>
  </si>
  <si>
    <t>05-00-460D-RO-CURR</t>
  </si>
  <si>
    <t>01-00-FIXOVERH-EXPNS-CURR</t>
  </si>
  <si>
    <t>NON GM EV CUST LAB</t>
  </si>
  <si>
    <t>05-00-460N-RO-CURR</t>
  </si>
  <si>
    <t>01-00-TOTALEXP-EXPNS-CURR</t>
  </si>
  <si>
    <t>CUST. LAB COM,FLT &amp; MD TRKS</t>
  </si>
  <si>
    <t>01-00-P&amp;LDEPT-AMT-CURR</t>
  </si>
  <si>
    <t>CUST. LAB EV COM,FLT &amp; MD TRKS</t>
  </si>
  <si>
    <t>05-00-461E-RO-CURR</t>
  </si>
  <si>
    <t>01-00-FIPPINCM-TRANSFER-CURR</t>
  </si>
  <si>
    <t>S/CNTR LAB MD TRKS/SAAB</t>
  </si>
  <si>
    <t>01-00-G&amp;APRO-AMT-CURR</t>
  </si>
  <si>
    <t>S/CNTR EV LAB COM,FLT&amp;MD TRKS</t>
  </si>
  <si>
    <t>05-00-461F-RO-CURR</t>
  </si>
  <si>
    <t>01-00-P&amp;LDEPT-AFTERPRO-CURR</t>
  </si>
  <si>
    <t>Q/SRV LAB  MD TRKS/SAAB</t>
  </si>
  <si>
    <t>02-00-USEDVEH-SALES-CURR</t>
  </si>
  <si>
    <t>WARRANTY CLAIM LABOR</t>
  </si>
  <si>
    <t>462RO</t>
  </si>
  <si>
    <t>05-00-462-RO-CURR</t>
  </si>
  <si>
    <t>02-00-USEDVEH-GRSPFT-CURR</t>
  </si>
  <si>
    <t>INTERNAL LABOR</t>
  </si>
  <si>
    <t>463RO</t>
  </si>
  <si>
    <t>05-00-463-RO-CURR</t>
  </si>
  <si>
    <t>02-00-11-EXPNS-CURR</t>
  </si>
  <si>
    <t>NEW VEH INSP LBR</t>
  </si>
  <si>
    <t>464RO</t>
  </si>
  <si>
    <t>02-00-13-EXPNS-CURR</t>
  </si>
  <si>
    <t>TOTAL MECHANICAL R.O.'S</t>
  </si>
  <si>
    <t>TOTMRO</t>
  </si>
  <si>
    <t>05-00-TOTAL-RO-CURR</t>
  </si>
  <si>
    <t>02-00-15-EXPNS-CURR</t>
  </si>
  <si>
    <t>CUST. BODY LABOR</t>
  </si>
  <si>
    <t>471RO</t>
  </si>
  <si>
    <t>02-00-VAREXPNS-EXPNS-CURR</t>
  </si>
  <si>
    <t>472RO</t>
  </si>
  <si>
    <t>02-00-20-EXPNS-CURR</t>
  </si>
  <si>
    <t>473RO</t>
  </si>
  <si>
    <t>02-00-21-EXPNS-CURR</t>
  </si>
  <si>
    <t>TOTAL BODY SHOP R.O.'S</t>
  </si>
  <si>
    <t>TOTBSRO</t>
  </si>
  <si>
    <t>06-00-TOTAL-RO-CURR</t>
  </si>
  <si>
    <t>02-00-22-EXPNS-CURR</t>
  </si>
  <si>
    <t>FINANCE INCOME-NEW</t>
  </si>
  <si>
    <t>806U</t>
  </si>
  <si>
    <t>02-00-23-EXPNS-CURR</t>
  </si>
  <si>
    <t>INS. COMM. EARNED-NEW</t>
  </si>
  <si>
    <t>807U</t>
  </si>
  <si>
    <t>02-00-24-EXPNS-CURR</t>
  </si>
  <si>
    <t>ACCESSORIES</t>
  </si>
  <si>
    <t>810U</t>
  </si>
  <si>
    <t>02-00-26-EXPNS-CURR</t>
  </si>
  <si>
    <t>GM PROT. PLANS</t>
  </si>
  <si>
    <t>443U</t>
  </si>
  <si>
    <t>02-00-25-EXPNS-CURR</t>
  </si>
  <si>
    <t>OTHER PROT. PLANS</t>
  </si>
  <si>
    <t>444U</t>
  </si>
  <si>
    <t>02-00-27-EXPNS-CURR</t>
  </si>
  <si>
    <t>FINANCE INCOME-USED</t>
  </si>
  <si>
    <t>808U</t>
  </si>
  <si>
    <t>02-00-29-EXPNS-CURR</t>
  </si>
  <si>
    <t>INS. COMM. EARNED-USED</t>
  </si>
  <si>
    <t>809U</t>
  </si>
  <si>
    <t>02-00-PERSONNL-EXPNS-CURR</t>
  </si>
  <si>
    <t>811U</t>
  </si>
  <si>
    <t>02-00-51-EXPNS-CURR</t>
  </si>
  <si>
    <t>454U</t>
  </si>
  <si>
    <t>02-00-60-EXPNS-CURR</t>
  </si>
  <si>
    <t>455U</t>
  </si>
  <si>
    <t>02-00-61-EXPNS-CURR</t>
  </si>
  <si>
    <t>TOTAL NEW =+ USED F&amp;I PROT PLNS CONTRACTS</t>
  </si>
  <si>
    <t>TOTF&amp;IU</t>
  </si>
  <si>
    <t>04-00-TOTALF&amp;I-CNTRS-CURR</t>
  </si>
  <si>
    <t>02-00-63-EXPNS-CURR</t>
  </si>
  <si>
    <t>PRORATION OF G&amp;A - NEW</t>
  </si>
  <si>
    <t>PROG&amp;AN</t>
  </si>
  <si>
    <t>02-00-65-EXPNS-CURR</t>
  </si>
  <si>
    <t>PRORATION OF G&amp;A - USED</t>
  </si>
  <si>
    <t>PROG&amp;AU</t>
  </si>
  <si>
    <t>02-00-G&amp;APRO-AMT-CURR</t>
  </si>
  <si>
    <t>02-00-64-EXPNS-CURR</t>
  </si>
  <si>
    <t>PRORATION OF G&amp;A - L&amp;R</t>
  </si>
  <si>
    <t>PROG&amp;ANL&amp;R</t>
  </si>
  <si>
    <t>03-00-G&amp;APRO-AMT-CURR</t>
  </si>
  <si>
    <t>02-00-66-EXPNS-CURR</t>
  </si>
  <si>
    <t>PRORATION OF G&amp;A - SER</t>
  </si>
  <si>
    <t>PROG&amp;AM</t>
  </si>
  <si>
    <t>05-00-G&amp;APRO-AMT-CURR</t>
  </si>
  <si>
    <t>02-00-68-EXPNS-CURR</t>
  </si>
  <si>
    <t>PRORATION OF G&amp;A - BODY</t>
  </si>
  <si>
    <t>PROG&amp;AB</t>
  </si>
  <si>
    <t>06-00-G&amp;APRO-AMT-CURR</t>
  </si>
  <si>
    <t>02-00-69-EXPNS-CURR</t>
  </si>
  <si>
    <t>PRORATION OF G&amp;A - PARTS</t>
  </si>
  <si>
    <t>PROG&amp;AP</t>
  </si>
  <si>
    <t>07-00-G&amp;APRO-AMT-CURR</t>
  </si>
  <si>
    <t>02-00-70-EXPNS-CURR</t>
  </si>
  <si>
    <t>CUST PARTS GRS TRSF - SERV</t>
  </si>
  <si>
    <t>GRSTRSGS</t>
  </si>
  <si>
    <t>05-00-P&amp;A INCM-TRANSFER-CURR</t>
  </si>
  <si>
    <t>02-00-71-EXPNS-CURR</t>
  </si>
  <si>
    <t>CUST PARTS GRS TRSF - BODY</t>
  </si>
  <si>
    <t>GRSTRSGB</t>
  </si>
  <si>
    <t>06-00-P&amp;A INCM-TRANSFER-CURR</t>
  </si>
  <si>
    <t>02-00-72-EXPNS-CURR</t>
  </si>
  <si>
    <t>CUST PARTS GRS TRSF - PARTS</t>
  </si>
  <si>
    <t>GRSTRSGP</t>
  </si>
  <si>
    <t>07-00-P&amp;A INCM-TRANSFER-CURR</t>
  </si>
  <si>
    <t>02-00-74-EXPNS-CURR</t>
  </si>
  <si>
    <t>* MEMO * - SELLING PRICE OF DISPOSED VEHICLES</t>
  </si>
  <si>
    <t>510DI</t>
  </si>
  <si>
    <t>02-00-75-EXPNS-CURR</t>
  </si>
  <si>
    <t>* MEMO * - DISPOSITION EXPENSE</t>
  </si>
  <si>
    <t>710DE</t>
  </si>
  <si>
    <t>02-00-76-EXPNS-CURR</t>
  </si>
  <si>
    <t>BEGINNING UNITS IN SERVICE</t>
  </si>
  <si>
    <t>510BU</t>
  </si>
  <si>
    <t>02-00-78-EXPNS-CURR</t>
  </si>
  <si>
    <t>UNITS ADDED INTO SERVICE IN PERIOD</t>
  </si>
  <si>
    <t>510AU</t>
  </si>
  <si>
    <t>02-00-79-EXPNS-CURR</t>
  </si>
  <si>
    <t>UNITS REMOVED FROM SERVICE IN PERIOD</t>
  </si>
  <si>
    <t>510RU</t>
  </si>
  <si>
    <t>02-00-56-EXPNS-CURR</t>
  </si>
  <si>
    <t>EFFECTIVE UNITS IN SERVICE</t>
  </si>
  <si>
    <t>510EFFU</t>
  </si>
  <si>
    <t>03-00-CLSDEND-UNITEFF-CURR</t>
  </si>
  <si>
    <t>02-00-57-EXPNS-CURR</t>
  </si>
  <si>
    <t>UNITS DISPOSED IN PERIOD</t>
  </si>
  <si>
    <t>510DU</t>
  </si>
  <si>
    <t>02-00-33-EXPNS-CURR</t>
  </si>
  <si>
    <t>*MEMO* CUSTOMERS RETAINED (2)</t>
  </si>
  <si>
    <t>510CUSTR</t>
  </si>
  <si>
    <t>02-00-77-EXPNS-CURR</t>
  </si>
  <si>
    <t>520DI</t>
  </si>
  <si>
    <t>02-00-SEMIFIXD-EXPNS-CURR</t>
  </si>
  <si>
    <t>720DE</t>
  </si>
  <si>
    <t>02-00-80-EXPNS-CURR</t>
  </si>
  <si>
    <t>520BU</t>
  </si>
  <si>
    <t>02-00-81-EXPNS-CURR</t>
  </si>
  <si>
    <t>520AU</t>
  </si>
  <si>
    <t>02-00-82-EXPNS-CURR</t>
  </si>
  <si>
    <t>520RU</t>
  </si>
  <si>
    <t>02-00-83-EXPNS-CURR</t>
  </si>
  <si>
    <t>520EFFU</t>
  </si>
  <si>
    <t>03-00-OPENEND-UNITEFF-CURR</t>
  </si>
  <si>
    <t>02-00-84-EXPNS-CURR</t>
  </si>
  <si>
    <t>520DU</t>
  </si>
  <si>
    <t>02-00-85-EXPNS-CURR</t>
  </si>
  <si>
    <t>520CUSTR</t>
  </si>
  <si>
    <t>02-00-86-EXPNS-CURR</t>
  </si>
  <si>
    <t>530DI</t>
  </si>
  <si>
    <t>02-00-RENTEQUV-EXPNS-CURR</t>
  </si>
  <si>
    <t>730DE</t>
  </si>
  <si>
    <t>02-00-87-EXPNS-CURR</t>
  </si>
  <si>
    <t>530BU</t>
  </si>
  <si>
    <t>02-00-88-EXPNS-CURR</t>
  </si>
  <si>
    <t>530AU</t>
  </si>
  <si>
    <t>02-00-89-EXPNS-CURR</t>
  </si>
  <si>
    <t>530RU</t>
  </si>
  <si>
    <t>02-00-90-EXPNS-CURR</t>
  </si>
  <si>
    <t>530EFFU</t>
  </si>
  <si>
    <t>03-00-RENTAL-UNITEFF-CURR</t>
  </si>
  <si>
    <t>02-00-91-EXPNS-CURR</t>
  </si>
  <si>
    <t>530DU</t>
  </si>
  <si>
    <t>02-00-92-EXPNS-CURR</t>
  </si>
  <si>
    <t>L&amp;R TOTAL BEGINNING UNITS IN SERVICE</t>
  </si>
  <si>
    <t>L&amp;RTOTBEGU</t>
  </si>
  <si>
    <t>02-00-FIXEDEXP-EXPNS-CURR</t>
  </si>
  <si>
    <t>L&amp;R TOTAL UNITS ADDED</t>
  </si>
  <si>
    <t>L&amp;RTOTADDU</t>
  </si>
  <si>
    <t>02-00-FIXOVERH-EXPNS-CURR</t>
  </si>
  <si>
    <t>L&amp;R TOTAL UNITS REMOVED</t>
  </si>
  <si>
    <t>L&amp;RTOTREMU</t>
  </si>
  <si>
    <t>02-00-TOTALEXP-EXPNS-CURR</t>
  </si>
  <si>
    <t>L&amp;R TOTAL ENDING/EFFECTIVE UNITS</t>
  </si>
  <si>
    <t>L&amp;RTOTEFFU</t>
  </si>
  <si>
    <t>02-00-P&amp;LDEPT-AMT-CURR</t>
  </si>
  <si>
    <t>L&amp;R TOTAL DISPOPSED UNITS</t>
  </si>
  <si>
    <t>L&amp;RTOTDISPU</t>
  </si>
  <si>
    <t>02-00-FIPPINCM-TRANSFER-CURR</t>
  </si>
  <si>
    <t xml:space="preserve">L&amp;R TOTAL CUSTOMERS RETAINED </t>
  </si>
  <si>
    <t>L&amp;RTOTRETAINU</t>
  </si>
  <si>
    <t xml:space="preserve">NEW UNITS FOR LEASE </t>
  </si>
  <si>
    <t>L&amp;R N</t>
  </si>
  <si>
    <t>02-00-P&amp;LDEPT-AFTERPRO-CURR</t>
  </si>
  <si>
    <t xml:space="preserve">DEMONSTRATORS </t>
  </si>
  <si>
    <t>L&amp;R D</t>
  </si>
  <si>
    <t>03-00-TOTAL-SALES-CURR</t>
  </si>
  <si>
    <t xml:space="preserve">TERMINATED NOT DISPOSED </t>
  </si>
  <si>
    <t>L&amp;R T</t>
  </si>
  <si>
    <t>03-00-GPINTOTL-GRSPFT-CURR</t>
  </si>
  <si>
    <t xml:space="preserve">*MEMO OVER 30 DAYS </t>
  </si>
  <si>
    <t>L&amp;R 30+</t>
  </si>
  <si>
    <t>03-00-11-EXPNS-CURR</t>
  </si>
  <si>
    <t>L&amp;R NU</t>
  </si>
  <si>
    <t>03-00-13-EXPNS-CURR</t>
  </si>
  <si>
    <t>L&amp;R DU</t>
  </si>
  <si>
    <t>03-00-15-EXPNS-CURR</t>
  </si>
  <si>
    <t>L&amp;R TU</t>
  </si>
  <si>
    <t>03-00-VAREXPNS-EXPNS-CURR</t>
  </si>
  <si>
    <t>L&amp;R 30+U</t>
  </si>
  <si>
    <t>03-00-20-EXPNS-CURR</t>
  </si>
  <si>
    <t>LEASED VEHICLES</t>
  </si>
  <si>
    <t>L&amp;R L</t>
  </si>
  <si>
    <t>00-00-277D-COST-CURR</t>
  </si>
  <si>
    <t>613+609</t>
  </si>
  <si>
    <t>03-00-21-EXPNS-CURR</t>
  </si>
  <si>
    <t>RENTAL VEHICLES</t>
  </si>
  <si>
    <t>L&amp;R R</t>
  </si>
  <si>
    <t>00-00-277E-COST-CURR</t>
  </si>
  <si>
    <t>614+610</t>
  </si>
  <si>
    <t>03-00-22-EXPNS-CURR</t>
  </si>
  <si>
    <t>LEASED EQUIPMENT</t>
  </si>
  <si>
    <t>L&amp;R E</t>
  </si>
  <si>
    <t>00-00-277F-COST-CURR</t>
  </si>
  <si>
    <t>615+611</t>
  </si>
  <si>
    <t>03-00-23-EXPNS-CURR</t>
  </si>
  <si>
    <t>L&amp;R LACMDPR</t>
  </si>
  <si>
    <t>03-00-24-EXPNS-CURR</t>
  </si>
  <si>
    <t>L&amp;R RACMDPR</t>
  </si>
  <si>
    <t>03-00-26-EXPNS-CURR</t>
  </si>
  <si>
    <t>L&amp;R EACMDPR</t>
  </si>
  <si>
    <t>03-00-25-EXPNS-CURR</t>
  </si>
  <si>
    <t>L&amp;R LU</t>
  </si>
  <si>
    <t>03-00-27-EXPNS-CURR</t>
  </si>
  <si>
    <t>L&amp;R RU</t>
  </si>
  <si>
    <t>03-00-29-EXPNS-CURR</t>
  </si>
  <si>
    <t>L&amp;R EU</t>
  </si>
  <si>
    <t>03-00-PERSONNL-EXPNS-CURR</t>
  </si>
  <si>
    <t>LEASE BILLINGS</t>
  </si>
  <si>
    <t>220 L&amp;R BPP</t>
  </si>
  <si>
    <t>03-00-51-EXPNS-CURR</t>
  </si>
  <si>
    <t>OTHER RECEIVABLES</t>
  </si>
  <si>
    <t>220 L&amp;R OPP</t>
  </si>
  <si>
    <t>03-00-60-EXPNS-CURR</t>
  </si>
  <si>
    <t>LESS ALLOW. DOUBT ACCTS</t>
  </si>
  <si>
    <t>220 L&amp;R ABA</t>
  </si>
  <si>
    <t>00-00-340LRADA-TOTLRECV-CURR</t>
  </si>
  <si>
    <t>03-00-61-EXPNS-CURR</t>
  </si>
  <si>
    <t>L&amp;R TOTAL NET CUSTOMER RECEIVABLES</t>
  </si>
  <si>
    <t>L&amp;RNETCUSTREC</t>
  </si>
  <si>
    <t>03-00-63-EXPNS-CURR</t>
  </si>
  <si>
    <t>220 L&amp;R B1-30</t>
  </si>
  <si>
    <t>03-00-65-EXPNS-CURR</t>
  </si>
  <si>
    <t>220 L&amp;R O1-30</t>
  </si>
  <si>
    <t>03-00-64-EXPNS-CURR</t>
  </si>
  <si>
    <t>220 L&amp;R B31-60</t>
  </si>
  <si>
    <t>03-00-66-EXPNS-CURR</t>
  </si>
  <si>
    <t>220 L&amp;R O31-60</t>
  </si>
  <si>
    <t>03-00-68-EXPNS-CURR</t>
  </si>
  <si>
    <t>220 L&amp;R B61-90</t>
  </si>
  <si>
    <t>03-00-69-EXPNS-CURR</t>
  </si>
  <si>
    <t>220 L&amp;R O61-90</t>
  </si>
  <si>
    <t>03-00-70-EXPNS-CURR</t>
  </si>
  <si>
    <t>220 L&amp;R B90+</t>
  </si>
  <si>
    <t>03-00-71-EXPNS-CURR</t>
  </si>
  <si>
    <t>220 L&amp;R O90+</t>
  </si>
  <si>
    <t>03-00-72-EXPNS-CURR</t>
  </si>
  <si>
    <t>03-00-74-EXPNS-CURR</t>
  </si>
  <si>
    <t>03-00-75-EXPNS-CURR</t>
  </si>
  <si>
    <t>03-00-76-EXPNS-CURR</t>
  </si>
  <si>
    <t>03-00-78-EXPNS-CURR</t>
  </si>
  <si>
    <t>L&amp;R TOTAL F&amp;I CONTRACTS</t>
  </si>
  <si>
    <t>L&amp;RTOTF&amp;IU</t>
  </si>
  <si>
    <t>03-00-TOTFIPP-CNTRS-CURR</t>
  </si>
  <si>
    <t>03-00-79-EXPNS-CURR</t>
  </si>
  <si>
    <t>TRIAL BALANCE</t>
  </si>
  <si>
    <t>03-00-56-EXPNS-CURR</t>
  </si>
  <si>
    <t>ASSETS</t>
  </si>
  <si>
    <t>CASH ON HAND</t>
  </si>
  <si>
    <t>03-00-57-EXPNS-CURR</t>
  </si>
  <si>
    <t>CASH IN BANK</t>
  </si>
  <si>
    <t>03-00-33-EXPNS-CURR</t>
  </si>
  <si>
    <t>CONTRACTS IN TRANSIT</t>
  </si>
  <si>
    <t>03-00-77-EXPNS-CURR</t>
  </si>
  <si>
    <t>SECURITIES</t>
  </si>
  <si>
    <t>03-00-SEMIFIXD-EXPNS-CURR</t>
  </si>
  <si>
    <t>210 VEHICLES</t>
  </si>
  <si>
    <t>210V</t>
  </si>
  <si>
    <t>00-00-210VEH-TOTRECV-CURR</t>
  </si>
  <si>
    <t>03-00-80-EXPNS-CURR</t>
  </si>
  <si>
    <t>210 OTHER</t>
  </si>
  <si>
    <t>210O</t>
  </si>
  <si>
    <t>00-00-210OTH-TOTRECV-CURR</t>
  </si>
  <si>
    <t>03-00-81-EXPNS-CURR</t>
  </si>
  <si>
    <t>220 VEHICLES</t>
  </si>
  <si>
    <t>220V</t>
  </si>
  <si>
    <t>00-00-220VEH-TOTRECV-CURR</t>
  </si>
  <si>
    <t>03-00-82-EXPNS-CURR</t>
  </si>
  <si>
    <t>220 L &amp; R</t>
  </si>
  <si>
    <t>220L&amp;R</t>
  </si>
  <si>
    <t>00-00-220L&amp;R-TOTRECV-CURR</t>
  </si>
  <si>
    <t>03-00-83-EXPNS-CURR</t>
  </si>
  <si>
    <t>220 SERVICE &amp; PARTS</t>
  </si>
  <si>
    <t>220S&amp;P</t>
  </si>
  <si>
    <t>00-00-220SVCPT-TOTRECV-CURR</t>
  </si>
  <si>
    <t>03-00-84-EXPNS-CURR</t>
  </si>
  <si>
    <t>220O</t>
  </si>
  <si>
    <t>00-00-220OTH-TOTRECV-CURR</t>
  </si>
  <si>
    <t>03-00-85-EXPNS-CURR</t>
  </si>
  <si>
    <t>300 A/P DEBIT BAL</t>
  </si>
  <si>
    <t>300DB</t>
  </si>
  <si>
    <t>03-00-86-EXPNS-CURR</t>
  </si>
  <si>
    <t>340 LESS ALLOW.DBTFL.ACCTS.</t>
  </si>
  <si>
    <t>03-00-RENTEQUV-EXPNS-CURR</t>
  </si>
  <si>
    <t>NET CUSTOMER RECEIVABLES</t>
  </si>
  <si>
    <t>NETCUSTREC</t>
  </si>
  <si>
    <t>03-00-87-EXPNS-CURR</t>
  </si>
  <si>
    <t>FACTORY RECEIVABLES</t>
  </si>
  <si>
    <t>03-00-88-EXPNS-CURR</t>
  </si>
  <si>
    <t>DUE FROM FINANCE COMPANIES</t>
  </si>
  <si>
    <t>03-00-89-EXPNS-CURR</t>
  </si>
  <si>
    <t>WARRANTY CLAIMS</t>
  </si>
  <si>
    <t>03-00-90-EXPNS-CURR</t>
  </si>
  <si>
    <t>INS. COMMISSIONS RECEIVABLE</t>
  </si>
  <si>
    <t>03-00-91-EXPNS-CURR</t>
  </si>
  <si>
    <t>G.S.T. RECEIVABLE</t>
  </si>
  <si>
    <t>00-00-265-AMT-CURR</t>
  </si>
  <si>
    <t>03-00-92-EXPNS-CURR</t>
  </si>
  <si>
    <t>DEMONSTRATORS</t>
  </si>
  <si>
    <t>03-00-FIXEDEXP-EXPNS-CURR</t>
  </si>
  <si>
    <t>NEW CARS</t>
  </si>
  <si>
    <t>03-00-FIXOVERH-EXPNS-CURR</t>
  </si>
  <si>
    <t>NEW TRUCKS</t>
  </si>
  <si>
    <t>03-00-TOTALEXP-EXPNS-CURR</t>
  </si>
  <si>
    <t>NEW MD TRUCKS</t>
  </si>
  <si>
    <t>03-00-P&amp;LDEPT-AMT-CURR</t>
  </si>
  <si>
    <t>OTHER AUTOMOTIVE</t>
  </si>
  <si>
    <t>03-00-FIPPINCM-TRANSFER-CURR</t>
  </si>
  <si>
    <t>USED CARS</t>
  </si>
  <si>
    <t>USED TRUCKS</t>
  </si>
  <si>
    <t>03-00-P&amp;LDEPT-AFTERPRO-CURR</t>
  </si>
  <si>
    <t>04-00-FIPPNET-SALES-CURR</t>
  </si>
  <si>
    <t>04-00-FIPPGRS-GRSINC-CURR</t>
  </si>
  <si>
    <t>04-00-FIPPINCM-TRANSFER-CURR</t>
  </si>
  <si>
    <t>05-00-MECHTOTL-SALES-CURR</t>
  </si>
  <si>
    <t>SUBLET REPAIRS</t>
  </si>
  <si>
    <t>05-00-MECHTOTL-GRSPFT-CURR</t>
  </si>
  <si>
    <t>WORK IN PROCESS-LABOR</t>
  </si>
  <si>
    <t>05-00-20-EXPNS-CURR</t>
  </si>
  <si>
    <t>05-00-21-EXPNS-CURR</t>
  </si>
  <si>
    <t>05-00-22-EXPNS-CURR</t>
  </si>
  <si>
    <t>PREPAID TAXES</t>
  </si>
  <si>
    <t>05-00-23-EXPNS-CURR</t>
  </si>
  <si>
    <t>PREPAID INSURANCE</t>
  </si>
  <si>
    <t>05-00-24-EXPNS-CURR</t>
  </si>
  <si>
    <t>PREPAID OTHERS</t>
  </si>
  <si>
    <t>05-00-26-EXPNS-CURR</t>
  </si>
  <si>
    <t>DRIVER TRAINING VEHICLES</t>
  </si>
  <si>
    <t>05-00-25-EXPNS-CURR</t>
  </si>
  <si>
    <t>LEASE &amp; RENTAL</t>
  </si>
  <si>
    <t>05-00-27-EXPNS-CURR</t>
  </si>
  <si>
    <t>ACCUM. DEPR. LEASE &amp; RENTAL</t>
  </si>
  <si>
    <t>05-00-29-EXPNS-CURR</t>
  </si>
  <si>
    <t>LAND</t>
  </si>
  <si>
    <t>05-00-PERSONNL-EXPNS-CURR</t>
  </si>
  <si>
    <t>BLDGS &amp; IMP.</t>
  </si>
  <si>
    <t>05-00-51-EXPNS-CURR</t>
  </si>
  <si>
    <t>LEASE HOLDS</t>
  </si>
  <si>
    <t>05-00-60-EXPNS-CURR</t>
  </si>
  <si>
    <t>IT- HARDWARE</t>
  </si>
  <si>
    <t>05-00-61-EXPNS-CURR</t>
  </si>
  <si>
    <t>IT - SOFTWARE</t>
  </si>
  <si>
    <t>05-00-63-EXPNS-CURR</t>
  </si>
  <si>
    <t>M&amp;S EQUIP</t>
  </si>
  <si>
    <t>05-00-65-EXPNS-CURR</t>
  </si>
  <si>
    <t>P&amp;A EQUIP</t>
  </si>
  <si>
    <t>05-00-64-EXPNS-CURR</t>
  </si>
  <si>
    <t>FURN &amp; FIXTRS</t>
  </si>
  <si>
    <t>05-00-66-EXPNS-CURR</t>
  </si>
  <si>
    <t>CO. VEHICLES</t>
  </si>
  <si>
    <t>05-00-67-EXPNS-CURR</t>
  </si>
  <si>
    <t>OTHER FIXED ASSETS</t>
  </si>
  <si>
    <t>05-00-68-EXPNS-CURR</t>
  </si>
  <si>
    <t>ACCUM. DEPR. 'BLDGS &amp; IMP.</t>
  </si>
  <si>
    <t>05-00-69-EXPNS-CURR</t>
  </si>
  <si>
    <t>AMORT. LEASE HOLDS</t>
  </si>
  <si>
    <t>05-00-70-EXPNS-CURR</t>
  </si>
  <si>
    <t>ACCUM. DEPR. IT- HARDWARE</t>
  </si>
  <si>
    <t>05-00-71-EXPNS-CURR</t>
  </si>
  <si>
    <t>AMORT. IT - SOFTWARE</t>
  </si>
  <si>
    <t>05-00-72-EXPNS-CURR</t>
  </si>
  <si>
    <t>ACCUM. DEPR. M&amp;S EQUIP</t>
  </si>
  <si>
    <t>05-00-74-EXPNS-CURR</t>
  </si>
  <si>
    <t>ACCUM. DEPR. P&amp;A EQUIP</t>
  </si>
  <si>
    <t>05-00-75-EXPNS-CURR</t>
  </si>
  <si>
    <t>ACCUM. DEPR. FURN &amp; FIXTRS</t>
  </si>
  <si>
    <t>05-00-79-EXPNS-CURR</t>
  </si>
  <si>
    <t>ACCUM. DEPR. CO. VEHICLES</t>
  </si>
  <si>
    <t>05-00-57-EXPNS-CURR</t>
  </si>
  <si>
    <t>ACCUM. DEPR. OTHER FIXED ASSETS</t>
  </si>
  <si>
    <t>05-00-33-EXPNS-CURR</t>
  </si>
  <si>
    <t>TOTAL NET FIXED ASSETS</t>
  </si>
  <si>
    <t>TOTNETFXD</t>
  </si>
  <si>
    <t>05-00-77-EXPNS-CURR</t>
  </si>
  <si>
    <t>LIFE INSURANCE-CASH VALUE</t>
  </si>
  <si>
    <t>05-00-SEMIFIXD-EXPNS-CURR</t>
  </si>
  <si>
    <t>NOTES &amp; ACCNT RECEIVABLE-OFFICERS</t>
  </si>
  <si>
    <t>05-00-80-EXPNS-CURR</t>
  </si>
  <si>
    <t>NOTES &amp; ACCOUNTS RECEIVABLE-OTHER</t>
  </si>
  <si>
    <t>05-00-81-EXPNS-CURR</t>
  </si>
  <si>
    <t>OTHER INVESTMENTS &amp; MISC. ASSETS</t>
  </si>
  <si>
    <t>05-00-82-EXPNS-CURR</t>
  </si>
  <si>
    <t>TOTAL ASSETS</t>
  </si>
  <si>
    <t>TOTASSETS</t>
  </si>
  <si>
    <t>05-00-83-EXPNS-CURR</t>
  </si>
  <si>
    <t>LIABILITIES</t>
  </si>
  <si>
    <t>CASH IN BANK (CREDIT BALANCE)</t>
  </si>
  <si>
    <t>05-00-84-EXPNS-CURR</t>
  </si>
  <si>
    <t>ACCTS PAYABLE-TRADE CREDITORS</t>
  </si>
  <si>
    <t>05-00-85-EXPNS-CURR</t>
  </si>
  <si>
    <t>ACC. RECEIVABLE CREDIT BAL.</t>
  </si>
  <si>
    <t>05-00-86-EXPNS-CURR</t>
  </si>
  <si>
    <t>CUSTOMER DEPOSITS</t>
  </si>
  <si>
    <t>05-00-RENTEQUV-EXPNS-CURR</t>
  </si>
  <si>
    <t>WARRANTY CLAIMS ADVANCE</t>
  </si>
  <si>
    <t>05-00-87-EXPNS-CURR</t>
  </si>
  <si>
    <t>NOTES PAYABLE-NEW VEH.&amp;DEMOS</t>
  </si>
  <si>
    <t>05-00-88-EXPNS-CURR</t>
  </si>
  <si>
    <t>NOTES PAYABLE-USED VEHICLES</t>
  </si>
  <si>
    <t>05-00-89-EXPNS-CURR</t>
  </si>
  <si>
    <t>NOTES PAYABLE-LEASE &amp; RENTAL UNITS</t>
  </si>
  <si>
    <t>05-00-90-EXPNS-CURR</t>
  </si>
  <si>
    <t>NOTES PAYABLE-OTHER</t>
  </si>
  <si>
    <t>05-00-91-EXPNS-CURR</t>
  </si>
  <si>
    <t>G.S.T. PAYABLE</t>
  </si>
  <si>
    <t>00-00-315-AMT-CURR</t>
  </si>
  <si>
    <t>05-00-92-EXPNS-CURR</t>
  </si>
  <si>
    <t>INTEREST PAYABLE</t>
  </si>
  <si>
    <t>05-00-FIXEDEXP-EXPNS-CURR</t>
  </si>
  <si>
    <t>SALARIES, WAGES &amp; COMM. PAYABLE</t>
  </si>
  <si>
    <t>05-00-FIXOVERH-EXPNS-CURR</t>
  </si>
  <si>
    <t>INSURANCE PAYABLE</t>
  </si>
  <si>
    <t>05-00-TOTALEXP-EXPNS-CURR</t>
  </si>
  <si>
    <t>PAYROLL TAXES PAYABLE</t>
  </si>
  <si>
    <t>05-00-P&amp;LDEPT-AMT-CURR</t>
  </si>
  <si>
    <t>SALES TAXES PAYABLE</t>
  </si>
  <si>
    <t>OTHER TAXES PAYABLE</t>
  </si>
  <si>
    <t>INCOME TAXES PAYABLE</t>
  </si>
  <si>
    <t>05-00-P&amp;LDEPT-AFTERPRO-CURR</t>
  </si>
  <si>
    <t>EMPLOYEE'S INCENTIVES/BONUSES PAYABLE</t>
  </si>
  <si>
    <t>06-00-BODYTOTL-SALES-CURR</t>
  </si>
  <si>
    <t>OWNER'S BONUSES PAYABLE</t>
  </si>
  <si>
    <t>06-00-BODYTOTL-GRSPFT-CURR</t>
  </si>
  <si>
    <t>RETIREMENT BENEFITS PAYABLE</t>
  </si>
  <si>
    <t>06-00-20-EXPNS-CURR</t>
  </si>
  <si>
    <t>OTHER PAYABLES</t>
  </si>
  <si>
    <t>06-00-21-EXPNS-CURR</t>
  </si>
  <si>
    <t>OTHER RESERVES</t>
  </si>
  <si>
    <t>00-00-332-AMT-CURR</t>
  </si>
  <si>
    <t>06-00-22-EXPNS-CURR</t>
  </si>
  <si>
    <t>LONG TERM DEBT</t>
  </si>
  <si>
    <t>06-00-23-EXPNS-CURR</t>
  </si>
  <si>
    <t>DEFFERED TAXES</t>
  </si>
  <si>
    <t>06-00-24-EXPNS-CURR</t>
  </si>
  <si>
    <t>MORTGAGES PAYABLE-REAL ESTATE</t>
  </si>
  <si>
    <t>06-00-26-EXPNS-CURR</t>
  </si>
  <si>
    <t>EQUITY</t>
  </si>
  <si>
    <t>CAP'L STOCK &amp; AD'L PD IN CAP</t>
  </si>
  <si>
    <t>06-00-25-EXPNS-CURR</t>
  </si>
  <si>
    <t>RET. EARNINGS</t>
  </si>
  <si>
    <t>06-00-27-EXPNS-CURR</t>
  </si>
  <si>
    <t>DIVIDENDS</t>
  </si>
  <si>
    <t>06-00-29-EXPNS-CURR</t>
  </si>
  <si>
    <t>INVESTMENTS</t>
  </si>
  <si>
    <t>06-00-PERSONNL-EXPNS-CURR</t>
  </si>
  <si>
    <t>DRAWINGS</t>
  </si>
  <si>
    <t>06-00-51-EXPNS-CURR</t>
  </si>
  <si>
    <t>TO BALANCE AMOUNT - BALANCE SHEET</t>
  </si>
  <si>
    <t>BSTOBAL</t>
  </si>
  <si>
    <t>00-00-BSTOBAL-AMT-CURR</t>
  </si>
  <si>
    <t>06-00-60-EXPNS-CURR</t>
  </si>
  <si>
    <t>TOTAL LIABILITIES &amp; NET WORTH</t>
  </si>
  <si>
    <t>TOTLIAB&amp;NW</t>
  </si>
  <si>
    <t>06-00-61-EXPNS-CURR</t>
  </si>
  <si>
    <t>EXPENSES</t>
  </si>
  <si>
    <t>VEH.  SLSPLE COMPENSATION &amp; OTHER</t>
  </si>
  <si>
    <t>11N</t>
  </si>
  <si>
    <t>06-00-63-EXPNS-CURR</t>
  </si>
  <si>
    <t>DELIVERY EXPENSE</t>
  </si>
  <si>
    <t>13N</t>
  </si>
  <si>
    <t>06-00-65-EXPNS-CURR</t>
  </si>
  <si>
    <t>POLICY WORK-VEHICLES</t>
  </si>
  <si>
    <t>15N</t>
  </si>
  <si>
    <t>06-00-64-EXPNS-CURR</t>
  </si>
  <si>
    <t>SALARIES-OWNERS / EXECUTIVE MANAGERS</t>
  </si>
  <si>
    <t>20N</t>
  </si>
  <si>
    <t>06-00-66-EXPNS-CURR</t>
  </si>
  <si>
    <t>SALARIES-SUPERVISION</t>
  </si>
  <si>
    <t>21N</t>
  </si>
  <si>
    <t>06-00-67-EXPNS-CURR</t>
  </si>
  <si>
    <t>SALARIES-CLERICAL</t>
  </si>
  <si>
    <t>22N</t>
  </si>
  <si>
    <t>06-00-68-EXPNS-CURR</t>
  </si>
  <si>
    <t>OTHER SALARIES AND WAGES</t>
  </si>
  <si>
    <t>23N</t>
  </si>
  <si>
    <t>06-00-69-EXPNS-CURR</t>
  </si>
  <si>
    <t>ABSENTEE COMPENSATION</t>
  </si>
  <si>
    <t>24N</t>
  </si>
  <si>
    <t>06-00-70-EXPNS-CURR</t>
  </si>
  <si>
    <t>INCENTIVES-SUPERVISION</t>
  </si>
  <si>
    <t>26N</t>
  </si>
  <si>
    <t>06-00-71-EXPNS-CURR</t>
  </si>
  <si>
    <t>TAXES-PAYROLL</t>
  </si>
  <si>
    <t>25N</t>
  </si>
  <si>
    <t>06-00-72-EXPNS-CURR</t>
  </si>
  <si>
    <t>EMPLOYEE BENEFITS</t>
  </si>
  <si>
    <t>27N</t>
  </si>
  <si>
    <t>06-00-74-EXPNS-CURR</t>
  </si>
  <si>
    <t>RETIREMENT BENEFITS</t>
  </si>
  <si>
    <t>29N</t>
  </si>
  <si>
    <t>06-00-75-EXPNS-CURR</t>
  </si>
  <si>
    <t>COMPANY VEHICLE EXPENSE</t>
  </si>
  <si>
    <t>51N</t>
  </si>
  <si>
    <t>06-00-79-EXPNS-CURR</t>
  </si>
  <si>
    <t>OFFICE SUPPLIES AND EXPENSES</t>
  </si>
  <si>
    <t>60N</t>
  </si>
  <si>
    <t>06-00-57-EXPNS-CURR</t>
  </si>
  <si>
    <t>OTHER SUPPLIES</t>
  </si>
  <si>
    <t>61N</t>
  </si>
  <si>
    <t>06-00-33-EXPNS-CURR</t>
  </si>
  <si>
    <t>E-COMMERCE ADVERTISING/FEES</t>
  </si>
  <si>
    <t>63N</t>
  </si>
  <si>
    <t>06-00-77-EXPNS-CURR</t>
  </si>
  <si>
    <t>65N</t>
  </si>
  <si>
    <t>06-00-SEMIFIXD-EXPNS-CURR</t>
  </si>
  <si>
    <t>ADVERTISING REBATES</t>
  </si>
  <si>
    <t>64N</t>
  </si>
  <si>
    <t>06-00-80-EXPNS-CURR</t>
  </si>
  <si>
    <t>66N</t>
  </si>
  <si>
    <t>06-00-81-EXPNS-CURR</t>
  </si>
  <si>
    <t>INFORMATION TECHNOLOGY SERVICES</t>
  </si>
  <si>
    <t>68N</t>
  </si>
  <si>
    <t>06-00-82-EXPNS-CURR</t>
  </si>
  <si>
    <t>OUTSIDE SERVICES (OTHER)</t>
  </si>
  <si>
    <t>69N</t>
  </si>
  <si>
    <t>06-00-83-EXPNS-CURR</t>
  </si>
  <si>
    <t>TRAVEL AND ENTERTAINMENT</t>
  </si>
  <si>
    <t>70N</t>
  </si>
  <si>
    <t>06-00-84-EXPNS-CURR</t>
  </si>
  <si>
    <t>MEMBERSHIP DUES AND PUBLICATIONS</t>
  </si>
  <si>
    <t>71N</t>
  </si>
  <si>
    <t>06-00-85-EXPNS-CURR</t>
  </si>
  <si>
    <t>LEGAL AND AUDITING EXPENSE</t>
  </si>
  <si>
    <t>72N</t>
  </si>
  <si>
    <t>06-00-86-EXPNS-CURR</t>
  </si>
  <si>
    <t>TELEPHONE</t>
  </si>
  <si>
    <t>74N</t>
  </si>
  <si>
    <t>06-00-RENTEQUV-EXPNS-CURR</t>
  </si>
  <si>
    <t>TRAINING EXPENSE</t>
  </si>
  <si>
    <t>75N</t>
  </si>
  <si>
    <t>06-00-87-EXPNS-CURR</t>
  </si>
  <si>
    <t>INTEREST-FLOORPLAN</t>
  </si>
  <si>
    <t>76N</t>
  </si>
  <si>
    <t>06-00-88-EXPNS-CURR</t>
  </si>
  <si>
    <t>INTEREST-FLOORPLAN CREDIT</t>
  </si>
  <si>
    <t>78N</t>
  </si>
  <si>
    <t>06-00-89-EXPNS-CURR</t>
  </si>
  <si>
    <t>INTEREST-NOTES PAYABLE (OTHER)</t>
  </si>
  <si>
    <t>79N</t>
  </si>
  <si>
    <t>06-00-90-EXPNS-CURR</t>
  </si>
  <si>
    <t>INSURANCE - INVENTORY</t>
  </si>
  <si>
    <t>56N</t>
  </si>
  <si>
    <t>06-00-91-EXPNS-CURR</t>
  </si>
  <si>
    <t>BAD DEBT EXPENSE</t>
  </si>
  <si>
    <t>57N</t>
  </si>
  <si>
    <t>06-00-92-EXPNS-CURR</t>
  </si>
  <si>
    <t>FREIGHT</t>
  </si>
  <si>
    <t>33N</t>
  </si>
  <si>
    <t>06-00-FIXEDEXP-EXPNS-CURR</t>
  </si>
  <si>
    <t>MISCELLANEOUS EXPENSE</t>
  </si>
  <si>
    <t>77N</t>
  </si>
  <si>
    <t>06-00-FIXOVERH-EXPNS-CURR</t>
  </si>
  <si>
    <t>RENT</t>
  </si>
  <si>
    <t>80N</t>
  </si>
  <si>
    <t>06-00-TOTALEXP-EXPNS-CURR</t>
  </si>
  <si>
    <t>AMORTIZATION-LEASEHOLDS</t>
  </si>
  <si>
    <t>81N</t>
  </si>
  <si>
    <t>06-00-P&amp;LDEPT-AMT-CURR</t>
  </si>
  <si>
    <t>REPAIRS-REAL ESTATE</t>
  </si>
  <si>
    <t>82N</t>
  </si>
  <si>
    <t>DEPRECIATION BLDGS. &amp; IMPROVEMENTS</t>
  </si>
  <si>
    <t>83N</t>
  </si>
  <si>
    <t>TAXES-REAL ESTATE</t>
  </si>
  <si>
    <t>84N</t>
  </si>
  <si>
    <t>06-00-P&amp;LDEPT-AFTERPRO-CURR</t>
  </si>
  <si>
    <t>INSURANCE BLDGS. &amp; IMPROVEMENTS</t>
  </si>
  <si>
    <t>85N</t>
  </si>
  <si>
    <t>07-00-P&amp;ADEPT-SALES-CURR</t>
  </si>
  <si>
    <t>INTEREST - MORTGAGES</t>
  </si>
  <si>
    <t>86N</t>
  </si>
  <si>
    <t>07-00-P&amp;ADEPT-GRSPFT-CURR</t>
  </si>
  <si>
    <t>UTILITIES</t>
  </si>
  <si>
    <t>87N</t>
  </si>
  <si>
    <t>07-00-20-EXPNS-CURR</t>
  </si>
  <si>
    <t>INSURANCE OTHER</t>
  </si>
  <si>
    <t>88N</t>
  </si>
  <si>
    <t>07-00-21-EXPNS-CURR</t>
  </si>
  <si>
    <t>TAXES-OTHER</t>
  </si>
  <si>
    <t>89N</t>
  </si>
  <si>
    <t>07-00-22-EXPNS-CURR</t>
  </si>
  <si>
    <t>REPAIRS-EQUIPMENT</t>
  </si>
  <si>
    <t>90N</t>
  </si>
  <si>
    <t>07-00-23-EXPNS-CURR</t>
  </si>
  <si>
    <t>DEPRECIATION-EQUIPMENT</t>
  </si>
  <si>
    <t>91N</t>
  </si>
  <si>
    <t>07-00-24-EXPNS-CURR</t>
  </si>
  <si>
    <t>EQUIPMENT RENTAL</t>
  </si>
  <si>
    <t>92N</t>
  </si>
  <si>
    <t>07-00-26-EXPNS-CURR</t>
  </si>
  <si>
    <t>DEPT PROFIT OR LOSS AFTER TRSF &amp; PRORAT</t>
  </si>
  <si>
    <t>DEPTP/L N</t>
  </si>
  <si>
    <t>07-00-25-EXPNS-CURR</t>
  </si>
  <si>
    <t>BONUSES-EMPLOYEES</t>
  </si>
  <si>
    <t>97T</t>
  </si>
  <si>
    <t>07-00-27-EXPNS-CURR</t>
  </si>
  <si>
    <t>BONUSES-OWNERS</t>
  </si>
  <si>
    <t>98T</t>
  </si>
  <si>
    <t>07-00-29-EXPNS-CURR</t>
  </si>
  <si>
    <t>INCOME TAXES</t>
  </si>
  <si>
    <t>99T</t>
  </si>
  <si>
    <t>07-00-PERSONNL-EXPNS-CURR</t>
  </si>
  <si>
    <t>11U</t>
  </si>
  <si>
    <t>07-00-51-EXPNS-CURR</t>
  </si>
  <si>
    <t>13U</t>
  </si>
  <si>
    <t>07-00-60-EXPNS-CURR</t>
  </si>
  <si>
    <t>15U</t>
  </si>
  <si>
    <t>07-00-61-EXPNS-CURR</t>
  </si>
  <si>
    <t>20U</t>
  </si>
  <si>
    <t>07-00-63-EXPNS-CURR</t>
  </si>
  <si>
    <t>21U</t>
  </si>
  <si>
    <t>07-00-65-EXPNS-CURR</t>
  </si>
  <si>
    <t>22U</t>
  </si>
  <si>
    <t>07-00-64-EXPNS-CURR</t>
  </si>
  <si>
    <t>23U</t>
  </si>
  <si>
    <t>07-00-66-EXPNS-CURR</t>
  </si>
  <si>
    <t>24U</t>
  </si>
  <si>
    <t>07-00-67-EXPNS-CURR</t>
  </si>
  <si>
    <t>26U</t>
  </si>
  <si>
    <t>07-00-68-EXPNS-CURR</t>
  </si>
  <si>
    <t>25U</t>
  </si>
  <si>
    <t>07-00-69-EXPNS-CURR</t>
  </si>
  <si>
    <t>27U</t>
  </si>
  <si>
    <t>07-00-70-EXPNS-CURR</t>
  </si>
  <si>
    <t>29U</t>
  </si>
  <si>
    <t>07-00-71-EXPNS-CURR</t>
  </si>
  <si>
    <t>51U</t>
  </si>
  <si>
    <t>07-00-72-EXPNS-CURR</t>
  </si>
  <si>
    <t>60U</t>
  </si>
  <si>
    <t>07-00-74-EXPNS-CURR</t>
  </si>
  <si>
    <t>61U</t>
  </si>
  <si>
    <t>07-00-75-EXPNS-CURR</t>
  </si>
  <si>
    <t>63U</t>
  </si>
  <si>
    <t>07-00-79-EXPNS-CURR</t>
  </si>
  <si>
    <t>65U</t>
  </si>
  <si>
    <t>07-00-57-EXPNS-CURR</t>
  </si>
  <si>
    <t>64U</t>
  </si>
  <si>
    <t>07-00-33-EXPNS-CURR</t>
  </si>
  <si>
    <t>66U</t>
  </si>
  <si>
    <t>07-00-77-EXPNS-CURR</t>
  </si>
  <si>
    <t>68U</t>
  </si>
  <si>
    <t>07-00-SEMIFIXD-EXPNS-CURR</t>
  </si>
  <si>
    <t>69U</t>
  </si>
  <si>
    <t>07-00-80-EXPNS-CURR</t>
  </si>
  <si>
    <t>70U</t>
  </si>
  <si>
    <t>07-00-81-EXPNS-CURR</t>
  </si>
  <si>
    <t>71U</t>
  </si>
  <si>
    <t>07-00-82-EXPNS-CURR</t>
  </si>
  <si>
    <t>72U</t>
  </si>
  <si>
    <t>07-00-83-EXPNS-CURR</t>
  </si>
  <si>
    <t>74U</t>
  </si>
  <si>
    <t>07-00-84-EXPNS-CURR</t>
  </si>
  <si>
    <t>75U</t>
  </si>
  <si>
    <t>07-00-85-EXPNS-CURR</t>
  </si>
  <si>
    <t>76U</t>
  </si>
  <si>
    <t>07-00-86-EXPNS-CURR</t>
  </si>
  <si>
    <t>78U</t>
  </si>
  <si>
    <t>07-00-RENTEQUV-EXPNS-CURR</t>
  </si>
  <si>
    <t>79U</t>
  </si>
  <si>
    <t>07-00-87-EXPNS-CURR</t>
  </si>
  <si>
    <t>56U</t>
  </si>
  <si>
    <t>07-00-88-EXPNS-CURR</t>
  </si>
  <si>
    <t>57U</t>
  </si>
  <si>
    <t>07-00-89-EXPNS-CURR</t>
  </si>
  <si>
    <t>33U</t>
  </si>
  <si>
    <t>07-00-90-EXPNS-CURR</t>
  </si>
  <si>
    <t>77U</t>
  </si>
  <si>
    <t>07-00-91-EXPNS-CURR</t>
  </si>
  <si>
    <t>80U</t>
  </si>
  <si>
    <t>07-00-92-EXPNS-CURR</t>
  </si>
  <si>
    <t>81U</t>
  </si>
  <si>
    <t>07-00-FIXEDEXP-EXPNS-CURR</t>
  </si>
  <si>
    <t>82U</t>
  </si>
  <si>
    <t>07-00-FIXOVERH-EXPNS-CURR</t>
  </si>
  <si>
    <t>83U</t>
  </si>
  <si>
    <t>07-00-TOTALEXP-EXPNS-CURR</t>
  </si>
  <si>
    <t>84U</t>
  </si>
  <si>
    <t>07-00-P&amp;LDEPT-AMT-CURR</t>
  </si>
  <si>
    <t>85U</t>
  </si>
  <si>
    <t>86U</t>
  </si>
  <si>
    <t>87U</t>
  </si>
  <si>
    <t>07-00-P&amp;LDEPT-AFTERPRO-CURR</t>
  </si>
  <si>
    <t>88U</t>
  </si>
  <si>
    <t>09-00-20-EXPNS-CURR</t>
  </si>
  <si>
    <t>89U</t>
  </si>
  <si>
    <t>09-00-21-EXPNS-CURR</t>
  </si>
  <si>
    <t>90U</t>
  </si>
  <si>
    <t>09-00-22-EXPNS-CURR</t>
  </si>
  <si>
    <t>91U</t>
  </si>
  <si>
    <t>09-00-23-EXPNS-CURR</t>
  </si>
  <si>
    <t>92U</t>
  </si>
  <si>
    <t>09-00-24-EXPNS-CURR</t>
  </si>
  <si>
    <t>DEPTP/L U</t>
  </si>
  <si>
    <t>09-00-26-EXPNS-CURR</t>
  </si>
  <si>
    <t>11L&amp;R</t>
  </si>
  <si>
    <t>09-00-25-EXPNS-CURR</t>
  </si>
  <si>
    <t>13L&amp;R</t>
  </si>
  <si>
    <t>09-00-27-EXPNS-CURR</t>
  </si>
  <si>
    <t>15L&amp;R</t>
  </si>
  <si>
    <t>09-00-29-EXPNS-CURR</t>
  </si>
  <si>
    <t>20L&amp;R</t>
  </si>
  <si>
    <t>09-00-PERSONNL-EXPNS-CURR</t>
  </si>
  <si>
    <t>21L&amp;R</t>
  </si>
  <si>
    <t>09-00-51-EXPNS-CURR</t>
  </si>
  <si>
    <t>22L&amp;R</t>
  </si>
  <si>
    <t>09-00-60-EXPNS-CURR</t>
  </si>
  <si>
    <t>23L&amp;R</t>
  </si>
  <si>
    <t>09-00-61-EXPNS-CURR</t>
  </si>
  <si>
    <t>24L&amp;R</t>
  </si>
  <si>
    <t>09-00-63-EXPNS-CURR</t>
  </si>
  <si>
    <t>26L&amp;R</t>
  </si>
  <si>
    <t>09-00-65-EXPNS-CURR</t>
  </si>
  <si>
    <t>25L&amp;R</t>
  </si>
  <si>
    <t>09-00-64-EXPNS-CURR</t>
  </si>
  <si>
    <t>27L&amp;R</t>
  </si>
  <si>
    <t>09-00-66-EXPNS-CURR</t>
  </si>
  <si>
    <t>29L&amp;R</t>
  </si>
  <si>
    <t>09-00-68-EXPNS-CURR</t>
  </si>
  <si>
    <t>51L&amp;R</t>
  </si>
  <si>
    <t>09-00-69-EXPNS-CURR</t>
  </si>
  <si>
    <t>60L&amp;R</t>
  </si>
  <si>
    <t>09-00-70-EXPNS-CURR</t>
  </si>
  <si>
    <t>61L&amp;R</t>
  </si>
  <si>
    <t>09-00-71-EXPNS-CURR</t>
  </si>
  <si>
    <t>63L&amp;R</t>
  </si>
  <si>
    <t>09-00-72-EXPNS-CURR</t>
  </si>
  <si>
    <t>65L&amp;R</t>
  </si>
  <si>
    <t>09-00-74-EXPNS-CURR</t>
  </si>
  <si>
    <t>64L&amp;R</t>
  </si>
  <si>
    <t>09-00-75-EXPNS-CURR</t>
  </si>
  <si>
    <t>66L&amp;R</t>
  </si>
  <si>
    <t>09-00-79-EXPNS-CURR</t>
  </si>
  <si>
    <t>68L&amp;R</t>
  </si>
  <si>
    <t>09-00-57-EXPNS-CURR</t>
  </si>
  <si>
    <t>69L&amp;R</t>
  </si>
  <si>
    <t>09-00-33-EXPNS-CURR</t>
  </si>
  <si>
    <t>70L&amp;R</t>
  </si>
  <si>
    <t>09-00-77-EXPNS-CURR</t>
  </si>
  <si>
    <t>71L&amp;R</t>
  </si>
  <si>
    <t>09-00-SEMIFIXD-EXPNS-CURR</t>
  </si>
  <si>
    <t>72L&amp;R</t>
  </si>
  <si>
    <t>09-00-80-EXPNS-CURR</t>
  </si>
  <si>
    <t>74L&amp;R</t>
  </si>
  <si>
    <t>09-00-81-EXPNS-CURR</t>
  </si>
  <si>
    <t>75L&amp;R</t>
  </si>
  <si>
    <t>09-00-82-EXPNS-CURR</t>
  </si>
  <si>
    <t>76L&amp;R</t>
  </si>
  <si>
    <t>09-00-83-EXPNS-CURR</t>
  </si>
  <si>
    <t>78L&amp;R</t>
  </si>
  <si>
    <t>09-00-84-EXPNS-CURR</t>
  </si>
  <si>
    <t>79L&amp;R</t>
  </si>
  <si>
    <t>09-00-85-EXPNS-CURR</t>
  </si>
  <si>
    <t>56L&amp;R</t>
  </si>
  <si>
    <t>09-00-86-EXPNS-CURR</t>
  </si>
  <si>
    <t>57L&amp;R</t>
  </si>
  <si>
    <t>09-00-RENTEQUV-EXPNS-CURR</t>
  </si>
  <si>
    <t>33L&amp;R</t>
  </si>
  <si>
    <t>09-00-87-EXPNS-CURR</t>
  </si>
  <si>
    <t>77L&amp;R</t>
  </si>
  <si>
    <t>09-00-88-EXPNS-CURR</t>
  </si>
  <si>
    <t>80L&amp;R</t>
  </si>
  <si>
    <t>09-00-89-EXPNS-CURR</t>
  </si>
  <si>
    <t>81L&amp;R</t>
  </si>
  <si>
    <t>09-00-90-EXPNS-CURR</t>
  </si>
  <si>
    <t>82L&amp;R</t>
  </si>
  <si>
    <t>09-00-91-EXPNS-CURR</t>
  </si>
  <si>
    <t>83L&amp;R</t>
  </si>
  <si>
    <t>09-00-92-EXPNS-CURR</t>
  </si>
  <si>
    <t>84L&amp;R</t>
  </si>
  <si>
    <t>09-00-FIXEDEXP-EXPNS-CURR</t>
  </si>
  <si>
    <t>85L&amp;R</t>
  </si>
  <si>
    <t>09-00-FIXOVERH-EXPNS-CURR</t>
  </si>
  <si>
    <t>86L&amp;R</t>
  </si>
  <si>
    <t>09-00-TOTALEXP-EXPNS-CURR</t>
  </si>
  <si>
    <t>87L&amp;R</t>
  </si>
  <si>
    <t>09-00-G&amp;APRO-AMT-CURR</t>
  </si>
  <si>
    <t>88L&amp;R</t>
  </si>
  <si>
    <t>00-00-902-AMT-CURR</t>
  </si>
  <si>
    <t>89L&amp;R</t>
  </si>
  <si>
    <t>00-00-903-AMT-CURR</t>
  </si>
  <si>
    <t>90L&amp;R</t>
  </si>
  <si>
    <t>00-00-905-AMT-CURR</t>
  </si>
  <si>
    <t>91L&amp;R</t>
  </si>
  <si>
    <t>00-00-AMTTOBAL-AMT-CURR</t>
  </si>
  <si>
    <t>92L&amp;R</t>
  </si>
  <si>
    <t>00-00-LIFO-ADJ-CURR</t>
  </si>
  <si>
    <t>DEPTP/L L&amp;R</t>
  </si>
  <si>
    <t>00-00-953-AMT-CURR</t>
  </si>
  <si>
    <t>20M</t>
  </si>
  <si>
    <t>00-00-955-AMT-CURR</t>
  </si>
  <si>
    <t>21M</t>
  </si>
  <si>
    <t>01-00-RTLCAR5A-SALES-CURR</t>
  </si>
  <si>
    <t>22M</t>
  </si>
  <si>
    <t>01-00-419P5A-SALES-CURR</t>
  </si>
  <si>
    <t>23M</t>
  </si>
  <si>
    <t>01-00-420P5A-SALES-CURR</t>
  </si>
  <si>
    <t>24M</t>
  </si>
  <si>
    <t>01-00-421P5A-SALES-CURR</t>
  </si>
  <si>
    <t>26M</t>
  </si>
  <si>
    <t>01-00-TOTCAR5A-SALES-CURR</t>
  </si>
  <si>
    <t>25M</t>
  </si>
  <si>
    <t>01-00-RTLTRK5A-SALES-CURR</t>
  </si>
  <si>
    <t>27M</t>
  </si>
  <si>
    <t>01-00-439P5A-SALES-CURR</t>
  </si>
  <si>
    <t>29M</t>
  </si>
  <si>
    <t>01-00-440P5A-SALES-CURR</t>
  </si>
  <si>
    <t>51M</t>
  </si>
  <si>
    <t>01-00-441P5A-SALES-CURR</t>
  </si>
  <si>
    <t>60M</t>
  </si>
  <si>
    <t>01-00-TOTTRK5A-SALES-CURR</t>
  </si>
  <si>
    <t>61M</t>
  </si>
  <si>
    <t>01-00-457P5A-SALES-CURR</t>
  </si>
  <si>
    <t>63M</t>
  </si>
  <si>
    <t>01-00-TOTVEH5A-SALES-CURR</t>
  </si>
  <si>
    <t>65M</t>
  </si>
  <si>
    <t>01-00-RTLCAR5A-GRSPFT-CURR</t>
  </si>
  <si>
    <t>64M</t>
  </si>
  <si>
    <t>01-00-419P5A-GRSPFT-CURR</t>
  </si>
  <si>
    <t>66M</t>
  </si>
  <si>
    <t>01-00-420P5A-GRSPFT-CURR</t>
  </si>
  <si>
    <t>POLICY WORK-PARTS AND SERVICE</t>
  </si>
  <si>
    <t>67M</t>
  </si>
  <si>
    <t>01-00-421P5A-GRSPFT-CURR</t>
  </si>
  <si>
    <t>68M</t>
  </si>
  <si>
    <t>01-00-TOTCAR5A-GRSPFT-CURR</t>
  </si>
  <si>
    <t>69M</t>
  </si>
  <si>
    <t>01-00-RTLTRK5A-GRSPFT-CURR</t>
  </si>
  <si>
    <t>70M</t>
  </si>
  <si>
    <t>01-00-439P5A-GRSPFT-CURR</t>
  </si>
  <si>
    <t>71M</t>
  </si>
  <si>
    <t>01-00-440P5A-GRSPFT-CURR</t>
  </si>
  <si>
    <t>72M</t>
  </si>
  <si>
    <t>01-00-441P5A-GRSPFT-CURR</t>
  </si>
  <si>
    <t>74M</t>
  </si>
  <si>
    <t>01-00-TOTTRK5A-GRSPFT-CURR</t>
  </si>
  <si>
    <t>75M</t>
  </si>
  <si>
    <t>01-00-457P5A-GRSPFT-CURR</t>
  </si>
  <si>
    <t>79M</t>
  </si>
  <si>
    <t>01-00-TOTVEH5A-GRSPFT-CURR</t>
  </si>
  <si>
    <t>57M</t>
  </si>
  <si>
    <t>01-00-RTLCAR5B-SALES-CURR</t>
  </si>
  <si>
    <t>33M</t>
  </si>
  <si>
    <t>01-00-419P5B-SALES-CURR</t>
  </si>
  <si>
    <t>77M</t>
  </si>
  <si>
    <t>01-00-420P5B-SALES-CURR</t>
  </si>
  <si>
    <t>80M</t>
  </si>
  <si>
    <t>01-00-421P5B-SALES-CURR</t>
  </si>
  <si>
    <t>81M</t>
  </si>
  <si>
    <t>01-00-TOTCAR5B-SALES-CURR</t>
  </si>
  <si>
    <t>82M</t>
  </si>
  <si>
    <t>01-00-RTLTRK5B-SALES-CURR</t>
  </si>
  <si>
    <t>83M</t>
  </si>
  <si>
    <t>01-00-439P5B-SALES-CURR</t>
  </si>
  <si>
    <t>84M</t>
  </si>
  <si>
    <t>01-00-440P5B-SALES-CURR</t>
  </si>
  <si>
    <t>85M</t>
  </si>
  <si>
    <t>01-00-441P5B-SALES-CURR</t>
  </si>
  <si>
    <t>86M</t>
  </si>
  <si>
    <t>01-00-TOTTRK5B-SALES-CURR</t>
  </si>
  <si>
    <t>87M</t>
  </si>
  <si>
    <t>01-00-457P5B-SALES-CURR</t>
  </si>
  <si>
    <t>88M</t>
  </si>
  <si>
    <t>01-00-TOTVEH5B-SALES-CURR</t>
  </si>
  <si>
    <t>89M</t>
  </si>
  <si>
    <t>01-00-RTLCAR5B-GRSPFT-CURR</t>
  </si>
  <si>
    <t>90M</t>
  </si>
  <si>
    <t>01-00-419P5B-GRSPFT-CURR</t>
  </si>
  <si>
    <t>91M</t>
  </si>
  <si>
    <t>01-00-420P5B-GRSPFT-CURR</t>
  </si>
  <si>
    <t>92M</t>
  </si>
  <si>
    <t>01-00-421P5B-GRSPFT-CURR</t>
  </si>
  <si>
    <t>DEPTP/L M</t>
  </si>
  <si>
    <t>01-00-TOTCAR5B-GRSPFT-CURR</t>
  </si>
  <si>
    <t>20B</t>
  </si>
  <si>
    <t>01-00-RTLTRK5B-GRSPFT-CURR</t>
  </si>
  <si>
    <t>21B</t>
  </si>
  <si>
    <t>01-00-439P5B-GRSPFT-CURR</t>
  </si>
  <si>
    <t>22B</t>
  </si>
  <si>
    <t>01-00-440P5B-GRSPFT-CURR</t>
  </si>
  <si>
    <t>23B</t>
  </si>
  <si>
    <t>01-00-441P5B-GRSPFT-CURR</t>
  </si>
  <si>
    <t>24B</t>
  </si>
  <si>
    <t>01-00-TOTTRK5B-GRSPFT-CURR</t>
  </si>
  <si>
    <t>26B</t>
  </si>
  <si>
    <t>01-00-457P5B-GRSPFT-CURR</t>
  </si>
  <si>
    <t>25B</t>
  </si>
  <si>
    <t>01-00-TOTVEH5B-GRSPFT-CURR</t>
  </si>
  <si>
    <t>27B</t>
  </si>
  <si>
    <t>01-00-RTLCAR5C-SALES-CURR</t>
  </si>
  <si>
    <t>29B</t>
  </si>
  <si>
    <t>01-00-419P5C-SALES-CURR</t>
  </si>
  <si>
    <t>51B</t>
  </si>
  <si>
    <t>01-00-420P5C-SALES-CURR</t>
  </si>
  <si>
    <t>60B</t>
  </si>
  <si>
    <t>01-00-421P5C-SALES-CURR</t>
  </si>
  <si>
    <t>61B</t>
  </si>
  <si>
    <t>01-00-TOTCAR5C-SALES-CURR</t>
  </si>
  <si>
    <t>63B</t>
  </si>
  <si>
    <t>01-00-RTLTRK5C-SALES-CURR</t>
  </si>
  <si>
    <t>65B</t>
  </si>
  <si>
    <t>01-00-439P5C-SALES-CURR</t>
  </si>
  <si>
    <t>64B</t>
  </si>
  <si>
    <t>01-00-440P5C-SALES-CURR</t>
  </si>
  <si>
    <t>66B</t>
  </si>
  <si>
    <t>01-00-441P5C-SALES-CURR</t>
  </si>
  <si>
    <t>67B</t>
  </si>
  <si>
    <t>01-00-TOTTRK5C-SALES-CURR</t>
  </si>
  <si>
    <t>68B</t>
  </si>
  <si>
    <t>01-00-457P5C-SALES-CURR</t>
  </si>
  <si>
    <t>69B</t>
  </si>
  <si>
    <t>01-00-TOTVEH5C-SALES-CURR</t>
  </si>
  <si>
    <t>70B</t>
  </si>
  <si>
    <t>01-00-RTLCAR5C-GRSPFT-CURR</t>
  </si>
  <si>
    <t>71B</t>
  </si>
  <si>
    <t>01-00-419P5C-GRSPFT-CURR</t>
  </si>
  <si>
    <t>72B</t>
  </si>
  <si>
    <t>01-00-420P5C-GRSPFT-CURR</t>
  </si>
  <si>
    <t>74B</t>
  </si>
  <si>
    <t>01-00-421P5C-GRSPFT-CURR</t>
  </si>
  <si>
    <t>75B</t>
  </si>
  <si>
    <t>01-00-TOTCAR5C-GRSPFT-CURR</t>
  </si>
  <si>
    <t>79B</t>
  </si>
  <si>
    <t>01-00-RTLTRK5C-GRSPFT-CURR</t>
  </si>
  <si>
    <t>57B</t>
  </si>
  <si>
    <t>01-00-439P5C-GRSPFT-CURR</t>
  </si>
  <si>
    <t>33B</t>
  </si>
  <si>
    <t>01-00-440P5C-GRSPFT-CURR</t>
  </si>
  <si>
    <t>77B</t>
  </si>
  <si>
    <t>01-00-441P5C-GRSPFT-CURR</t>
  </si>
  <si>
    <t>80B</t>
  </si>
  <si>
    <t>01-00-TOTTRK5C-GRSPFT-CURR</t>
  </si>
  <si>
    <t>81B</t>
  </si>
  <si>
    <t>01-00-457P5C-GRSPFT-CURR</t>
  </si>
  <si>
    <t>82B</t>
  </si>
  <si>
    <t>01-00-TOTVEH5C-GRSPFT-CURR</t>
  </si>
  <si>
    <t>83B</t>
  </si>
  <si>
    <t>01-00-RTLCAR5D-SALES-CURR</t>
  </si>
  <si>
    <t>84B</t>
  </si>
  <si>
    <t>01-00-419P5D-SALES-CURR</t>
  </si>
  <si>
    <t>85B</t>
  </si>
  <si>
    <t>01-00-420P5D-SALES-CURR</t>
  </si>
  <si>
    <t>86B</t>
  </si>
  <si>
    <t>01-00-421P5D-SALES-CURR</t>
  </si>
  <si>
    <t>87B</t>
  </si>
  <si>
    <t>01-00-TOTCAR5D-SALES-CURR</t>
  </si>
  <si>
    <t>88B</t>
  </si>
  <si>
    <t>01-00-RTLTRK5D-SALES-CURR</t>
  </si>
  <si>
    <t>89B</t>
  </si>
  <si>
    <t>01-00-439P5D-SALES-CURR</t>
  </si>
  <si>
    <t>90B</t>
  </si>
  <si>
    <t>01-00-440P5D-SALES-CURR</t>
  </si>
  <si>
    <t>91B</t>
  </si>
  <si>
    <t>01-00-441P5D-SALES-CURR</t>
  </si>
  <si>
    <t>92B</t>
  </si>
  <si>
    <t>01-00-TOTTRK5D-SALES-CURR</t>
  </si>
  <si>
    <t>DEPTP/L B</t>
  </si>
  <si>
    <t>01-00-457P5D-SALES-CURR</t>
  </si>
  <si>
    <t>20P</t>
  </si>
  <si>
    <t>01-00-TOTVEH5D-SALES-CURR</t>
  </si>
  <si>
    <t>21P</t>
  </si>
  <si>
    <t>01-00-RTLCAR5D-GRSPFT-CURR</t>
  </si>
  <si>
    <t>22P</t>
  </si>
  <si>
    <t>01-00-419P5D-GRSPFT-CURR</t>
  </si>
  <si>
    <t>23P</t>
  </si>
  <si>
    <t>01-00-420P5D-GRSPFT-CURR</t>
  </si>
  <si>
    <t>24P</t>
  </si>
  <si>
    <t>01-00-421P5D-GRSPFT-CURR</t>
  </si>
  <si>
    <t>26P</t>
  </si>
  <si>
    <t>01-00-TOTCAR5D-GRSPFT-CURR</t>
  </si>
  <si>
    <t>25P</t>
  </si>
  <si>
    <t>01-00-RTLTRK5D-GRSPFT-CURR</t>
  </si>
  <si>
    <t>27P</t>
  </si>
  <si>
    <t>01-00-439P5D-GRSPFT-CURR</t>
  </si>
  <si>
    <t>29P</t>
  </si>
  <si>
    <t>01-00-440P5D-GRSPFT-CURR</t>
  </si>
  <si>
    <t>51P</t>
  </si>
  <si>
    <t>01-00-441P5D-GRSPFT-CURR</t>
  </si>
  <si>
    <t>60P</t>
  </si>
  <si>
    <t>01-00-TOTTRK5D-GRSPFT-CURR</t>
  </si>
  <si>
    <t>61P</t>
  </si>
  <si>
    <t>01-00-457P5D-GRSPFT-CURR</t>
  </si>
  <si>
    <t>63P</t>
  </si>
  <si>
    <t>01-00-TOTVEH5D-GRSPFT-CURR</t>
  </si>
  <si>
    <t>65P</t>
  </si>
  <si>
    <t>01-00-RTLCAR5E-SALES-CURR</t>
  </si>
  <si>
    <t>64P</t>
  </si>
  <si>
    <t>01-00-419P5E-SALES-CURR</t>
  </si>
  <si>
    <t>66P</t>
  </si>
  <si>
    <t>01-00-420P5E-SALES-CURR</t>
  </si>
  <si>
    <t>67P</t>
  </si>
  <si>
    <t>01-00-421P5E-SALES-CURR</t>
  </si>
  <si>
    <t>68P</t>
  </si>
  <si>
    <t>01-00-TOTCAR5E-SALES-CURR</t>
  </si>
  <si>
    <t>69P</t>
  </si>
  <si>
    <t>01-00-RTLTRK5E-SALES-CURR</t>
  </si>
  <si>
    <t>70P</t>
  </si>
  <si>
    <t>01-00-439P5E-SALES-CURR</t>
  </si>
  <si>
    <t>71P</t>
  </si>
  <si>
    <t>01-00-440P5E-SALES-CURR</t>
  </si>
  <si>
    <t>72P</t>
  </si>
  <si>
    <t>01-00-441P5E-SALES-CURR</t>
  </si>
  <si>
    <t>74P</t>
  </si>
  <si>
    <t>01-00-TOTTRK5E-SALES-CURR</t>
  </si>
  <si>
    <t>75P</t>
  </si>
  <si>
    <t>01-00-457P5E-SALES-CURR</t>
  </si>
  <si>
    <t>79P</t>
  </si>
  <si>
    <t>01-00-TOTVEH5E-SALES-CURR</t>
  </si>
  <si>
    <t>57P</t>
  </si>
  <si>
    <t>01-00-RTLCAR5E-GRSPFT-CURR</t>
  </si>
  <si>
    <t>33P</t>
  </si>
  <si>
    <t>01-00-419P5E-GRSPFT-CURR</t>
  </si>
  <si>
    <t>77P</t>
  </si>
  <si>
    <t>01-00-420P5E-GRSPFT-CURR</t>
  </si>
  <si>
    <t>80P</t>
  </si>
  <si>
    <t>01-00-421P5E-GRSPFT-CURR</t>
  </si>
  <si>
    <t>81P</t>
  </si>
  <si>
    <t>01-00-TOTCAR5E-GRSPFT-CURR</t>
  </si>
  <si>
    <t>82P</t>
  </si>
  <si>
    <t>01-00-RTLTRK5E-GRSPFT-CURR</t>
  </si>
  <si>
    <t>83P</t>
  </si>
  <si>
    <t>01-00-439P5E-GRSPFT-CURR</t>
  </si>
  <si>
    <t>84P</t>
  </si>
  <si>
    <t>01-00-440P5E-GRSPFT-CURR</t>
  </si>
  <si>
    <t>85P</t>
  </si>
  <si>
    <t>01-00-441P5E-GRSPFT-CURR</t>
  </si>
  <si>
    <t>86P</t>
  </si>
  <si>
    <t>01-00-TOTTRK5E-GRSPFT-CURR</t>
  </si>
  <si>
    <t>87P</t>
  </si>
  <si>
    <t>01-00-457P5E-GRSPFT-CURR</t>
  </si>
  <si>
    <t>88P</t>
  </si>
  <si>
    <t>01-00-TOTVEH5E-GRSPFT-CURR</t>
  </si>
  <si>
    <t>89P</t>
  </si>
  <si>
    <t>01-00-RTLCAR5G-SALES-CURR</t>
  </si>
  <si>
    <t>90P</t>
  </si>
  <si>
    <t>01-00-419P5G-SALES-CURR</t>
  </si>
  <si>
    <t>91P</t>
  </si>
  <si>
    <t>01-00-420P5G-SALES-CURR</t>
  </si>
  <si>
    <t>92P</t>
  </si>
  <si>
    <t>01-00-421P5G-SALES-CURR</t>
  </si>
  <si>
    <t>DEPTP/L P</t>
  </si>
  <si>
    <t>01-00-TOTCAR5G-SALES-CURR</t>
  </si>
  <si>
    <t>20G&amp;A</t>
  </si>
  <si>
    <t>01-00-RTLTRK5G-SALES-CURR</t>
  </si>
  <si>
    <t>21G&amp;A</t>
  </si>
  <si>
    <t>01-00-439P5G-SALES-CURR</t>
  </si>
  <si>
    <t>22G&amp;A</t>
  </si>
  <si>
    <t>01-00-440P5G-SALES-CURR</t>
  </si>
  <si>
    <t>23G&amp;A</t>
  </si>
  <si>
    <t>01-00-441P5G-SALES-CURR</t>
  </si>
  <si>
    <t>24G&amp;A</t>
  </si>
  <si>
    <t>01-00-TOTTRK5G-SALES-CURR</t>
  </si>
  <si>
    <t>26G&amp;A</t>
  </si>
  <si>
    <t>01-00-457P5G-SALES-CURR</t>
  </si>
  <si>
    <t>25G&amp;A</t>
  </si>
  <si>
    <t>01-00-TOTVEH5G-SALES-CURR</t>
  </si>
  <si>
    <t>27G&amp;A</t>
  </si>
  <si>
    <t>01-00-RTLCAR5G-GRSPFT-CURR</t>
  </si>
  <si>
    <t>29G&amp;A</t>
  </si>
  <si>
    <t>01-00-419P5G-GRSPFT-CURR</t>
  </si>
  <si>
    <t>51G&amp;A</t>
  </si>
  <si>
    <t>01-00-420P5G-GRSPFT-CURR</t>
  </si>
  <si>
    <t>60G&amp;A</t>
  </si>
  <si>
    <t>01-00-421P5G-GRSPFT-CURR</t>
  </si>
  <si>
    <t>61G&amp;A</t>
  </si>
  <si>
    <t>01-00-TOTCAR5G-GRSPFT-CURR</t>
  </si>
  <si>
    <t>63G&amp;A</t>
  </si>
  <si>
    <t>01-00-RTLTRK5G-GRSPFT-CURR</t>
  </si>
  <si>
    <t>65G&amp;A</t>
  </si>
  <si>
    <t>01-00-439P5G-GRSPFT-CURR</t>
  </si>
  <si>
    <t>64G&amp;A</t>
  </si>
  <si>
    <t>01-00-440P5G-GRSPFT-CURR</t>
  </si>
  <si>
    <t>66G&amp;A</t>
  </si>
  <si>
    <t>01-00-441P5G-GRSPFT-CURR</t>
  </si>
  <si>
    <t>68G&amp;A</t>
  </si>
  <si>
    <t>01-00-TOTTRK5G-GRSPFT-CURR</t>
  </si>
  <si>
    <t>69G&amp;A</t>
  </si>
  <si>
    <t>01-00-457P5G-GRSPFT-CURR</t>
  </si>
  <si>
    <t>70G&amp;A</t>
  </si>
  <si>
    <t>01-00-TOTVEH5G-GRSPFT-CURR</t>
  </si>
  <si>
    <t>71G&amp;A</t>
  </si>
  <si>
    <t>01-00-RTLCAR5H-SALES-CURR</t>
  </si>
  <si>
    <t>72G&amp;A</t>
  </si>
  <si>
    <t>01-00-419P5H-SALES-CURR</t>
  </si>
  <si>
    <t>74G&amp;A</t>
  </si>
  <si>
    <t>01-00-420P5H-SALES-CURR</t>
  </si>
  <si>
    <t>75G&amp;A</t>
  </si>
  <si>
    <t>01-00-421P5H-SALES-CURR</t>
  </si>
  <si>
    <t>79G&amp;A</t>
  </si>
  <si>
    <t>01-00-TOTCAR5H-SALES-CURR</t>
  </si>
  <si>
    <t>57G&amp;A</t>
  </si>
  <si>
    <t>01-00-RTLTRK5H-SALES-CURR</t>
  </si>
  <si>
    <t>33G&amp;A</t>
  </si>
  <si>
    <t>01-00-439P5H-SALES-CURR</t>
  </si>
  <si>
    <t>77G&amp;A</t>
  </si>
  <si>
    <t>01-00-440P5H-SALES-CURR</t>
  </si>
  <si>
    <t>80G&amp;A</t>
  </si>
  <si>
    <t>01-00-441P5H-SALES-CURR</t>
  </si>
  <si>
    <t>81G&amp;A</t>
  </si>
  <si>
    <t>01-00-TOTTRK5H-SALES-CURR</t>
  </si>
  <si>
    <t>82G&amp;A</t>
  </si>
  <si>
    <t>01-00-457P5H-SALES-CURR</t>
  </si>
  <si>
    <t>83G&amp;A</t>
  </si>
  <si>
    <t>01-00-TOTVEH5H-SALES-CURR</t>
  </si>
  <si>
    <t>84G&amp;A</t>
  </si>
  <si>
    <t>01-00-RTLCAR5H-GRSPFT-CURR</t>
  </si>
  <si>
    <t>85G&amp;A</t>
  </si>
  <si>
    <t>01-00-419P5H-GRSPFT-CURR</t>
  </si>
  <si>
    <t>86G&amp;A</t>
  </si>
  <si>
    <t>01-00-420P5H-GRSPFT-CURR</t>
  </si>
  <si>
    <t>87G&amp;A</t>
  </si>
  <si>
    <t>01-00-421P5H-GRSPFT-CURR</t>
  </si>
  <si>
    <t>88G&amp;A</t>
  </si>
  <si>
    <t>01-00-TOTCAR5H-GRSPFT-CURR</t>
  </si>
  <si>
    <t>89G&amp;A</t>
  </si>
  <si>
    <t>01-00-RTLTRK5H-GRSPFT-CURR</t>
  </si>
  <si>
    <t>90G&amp;A</t>
  </si>
  <si>
    <t>01-00-439P5H-GRSPFT-CURR</t>
  </si>
  <si>
    <t>91G&amp;A</t>
  </si>
  <si>
    <t>01-00-440P5H-GRSPFT-CURR</t>
  </si>
  <si>
    <t>92G&amp;A</t>
  </si>
  <si>
    <t>01-00-441P5H-GRSPFT-CURR</t>
  </si>
  <si>
    <t>TOTAL G&amp;A EXPENSE PRORAT</t>
  </si>
  <si>
    <t>TOTG&amp;A EXP</t>
  </si>
  <si>
    <t>01-00-TOTTRK5H-GRSPFT-CURR</t>
  </si>
  <si>
    <t>ADD &amp; DEDUCTS</t>
  </si>
  <si>
    <t>BAD DEBTS RECOVERED</t>
  </si>
  <si>
    <t>01-00-457P5H-GRSPFT-CURR</t>
  </si>
  <si>
    <t>CASH DISCOUNTS EARNED</t>
  </si>
  <si>
    <t>01-00-TOTVEH5H-GRSPFT-CURR</t>
  </si>
  <si>
    <t>OTHER INCOME</t>
  </si>
  <si>
    <t>01-00-RTLCAR5F-SALES-CURR</t>
  </si>
  <si>
    <t>GMCL REIMBURSEMENTS</t>
  </si>
  <si>
    <t>00-00-909-AMT-CURR</t>
  </si>
  <si>
    <t>01-00-419P5F-SALES-CURR</t>
  </si>
  <si>
    <t>AMOUNT TO BALANCE</t>
  </si>
  <si>
    <t>AMTTOBAL</t>
  </si>
  <si>
    <t>01-00-420P5F-SALES-CURR</t>
  </si>
  <si>
    <t>CASH DISCOUNTS ALLOWED</t>
  </si>
  <si>
    <t>01-00-421P5F-SALES-CURR</t>
  </si>
  <si>
    <t>OTHER DEDUCTIONS</t>
  </si>
  <si>
    <t>01-00-TOTCAR5F-SALES-CURR</t>
  </si>
  <si>
    <t>NET ADDITIONS AND DEDUCTIONS</t>
  </si>
  <si>
    <t>NETA&amp;D</t>
  </si>
  <si>
    <t>01-00-RTLTRK5F-SALES-CURR</t>
  </si>
  <si>
    <t>NEW VEHICLE SALES - PG A - ACCT 0</t>
  </si>
  <si>
    <t>01-00-400A-SALES-CURR</t>
  </si>
  <si>
    <t>01-00-439P5F-SALES-CURR</t>
  </si>
  <si>
    <t>NEW VEHICLE SALES - PG A - ACCT 1</t>
  </si>
  <si>
    <t>01-00-401A-SALES-CURR</t>
  </si>
  <si>
    <t>01-00-440P5F-SALES-CURR</t>
  </si>
  <si>
    <t>NEW VEHICLE SALES - PG A - ACCT 2</t>
  </si>
  <si>
    <t>01-00-402A-SALES-CURR</t>
  </si>
  <si>
    <t>01-00-441P5F-SALES-CURR</t>
  </si>
  <si>
    <t>NEW VEHICLE SALES - PG A - ACCT 3</t>
  </si>
  <si>
    <t>01-00-403A-SALES-CURR</t>
  </si>
  <si>
    <t>01-00-TOTTRK5F-SALES-CURR</t>
  </si>
  <si>
    <t>NEW VEHICLE SALES - PG A - ACCT 4</t>
  </si>
  <si>
    <t>01-00-404A-SALES-CURR</t>
  </si>
  <si>
    <t>01-00-457P5F-SALES-CURR</t>
  </si>
  <si>
    <t>NEW VEHICLE SALES - PG A - ACCT 5</t>
  </si>
  <si>
    <t>01-00-405A-SALES-CURR</t>
  </si>
  <si>
    <t>01-00-TOTVEH5F-SALES-CURR</t>
  </si>
  <si>
    <t>NEW VEHICLE SALES - PG A - ACCT 6</t>
  </si>
  <si>
    <t>01-00-406A-SALES-CURR</t>
  </si>
  <si>
    <t>01-00-RTLCAR5F-GRSPFT-CURR</t>
  </si>
  <si>
    <t>NEW VEHICLE SALES - PG A - ACCT 7</t>
  </si>
  <si>
    <t>01-00-407A-SALES-CURR</t>
  </si>
  <si>
    <t>01-00-419P5F-GRSPFT-CURR</t>
  </si>
  <si>
    <t>NEW VEHICLE SALES - PG A - ACCT 8</t>
  </si>
  <si>
    <t>01-00-408A-SALES-CURR</t>
  </si>
  <si>
    <t>01-00-420P5F-GRSPFT-CURR</t>
  </si>
  <si>
    <t>NEW VEHICLE SALES - PG A - ACCT 9</t>
  </si>
  <si>
    <t>01-00-409A-SALES-CURR</t>
  </si>
  <si>
    <t>01-00-421P5F-GRSPFT-CURR</t>
  </si>
  <si>
    <t>NEW VEHICLE SALES - PG A - ACCT 10</t>
  </si>
  <si>
    <t>01-00-410A-SALES-CURR</t>
  </si>
  <si>
    <t>01-00-TOTCAR5F-GRSPFT-CURR</t>
  </si>
  <si>
    <t>NEW VEHICLE SALES - PG A - ACCT 11</t>
  </si>
  <si>
    <t>01-00-411A-SALES-CURR</t>
  </si>
  <si>
    <t>01-00-RTLTRK5F-GRSPFT-CURR</t>
  </si>
  <si>
    <t>NEW VEHICLE SALES - PG A - ACCT 12</t>
  </si>
  <si>
    <t>01-00-412A-SALES-CURR</t>
  </si>
  <si>
    <t>01-00-439P5F-GRSPFT-CURR</t>
  </si>
  <si>
    <t>NEW VEHICLE SALES - PG A - ACCT 13</t>
  </si>
  <si>
    <t>01-00-413A-SALES-CURR</t>
  </si>
  <si>
    <t>01-00-440P5F-GRSPFT-CURR</t>
  </si>
  <si>
    <t>NEW VEHICLE SALES - PG A - ACCT 14</t>
  </si>
  <si>
    <t>01-00-414A-SALES-CURR</t>
  </si>
  <si>
    <t>01-00-441P5F-GRSPFT-CURR</t>
  </si>
  <si>
    <t>NEW VEHICLE SALES - PG A - ACCT 15</t>
  </si>
  <si>
    <t>01-00-415A-SALES-CURR</t>
  </si>
  <si>
    <t>01-00-TOTTRK5F-GRSPFT-CURR</t>
  </si>
  <si>
    <t>NEW VEHICLE SALES - PG A - ACCT 16</t>
  </si>
  <si>
    <t>01-00-416A-SALES-CURR</t>
  </si>
  <si>
    <t>01-00-457P5F-GRSPFT-CURR</t>
  </si>
  <si>
    <t>NEW VEHICLE SALES - PG A - ACCT 17</t>
  </si>
  <si>
    <t>01-00-417A-SALES-CURR</t>
  </si>
  <si>
    <t>01-00-TOTVEH5F-GRSPFT-CURR</t>
  </si>
  <si>
    <t>NEW VEHICLE SALES - PG A - ACCT 18</t>
  </si>
  <si>
    <t>01-00-418A-SALES-CURR</t>
  </si>
  <si>
    <t>01-00-RTLCAR5I-SALES-CURR</t>
  </si>
  <si>
    <t>CAR - PG A - FLEET SALES</t>
  </si>
  <si>
    <t>420A</t>
  </si>
  <si>
    <t>01-00-420A-SALES-CURR</t>
  </si>
  <si>
    <t>01-00-419P5I-SALES-CURR</t>
  </si>
  <si>
    <t>CAR - PG A - INTERNAL SALES</t>
  </si>
  <si>
    <t>01-00-421A-SALES-CURR</t>
  </si>
  <si>
    <t>01-00-420P5I-SALES-CURR</t>
  </si>
  <si>
    <t>NEW VEHICLE SALES - PG A - ACCT 23</t>
  </si>
  <si>
    <t>01-00-423A-SALES-CURR</t>
  </si>
  <si>
    <t>01-00-421P5I-SALES-CURR</t>
  </si>
  <si>
    <t>NEW VEHICLE SALES - PG A - ACCT 24</t>
  </si>
  <si>
    <t>01-00-424A-SALES-CURR</t>
  </si>
  <si>
    <t>01-00-TOTCAR5I-SALES-CURR</t>
  </si>
  <si>
    <t>NEW VEHICLE SALES - PG A - ACCT 25</t>
  </si>
  <si>
    <t>01-00-425A-SALES-CURR</t>
  </si>
  <si>
    <t>01-00-RTLTRK5I-SALES-CURR</t>
  </si>
  <si>
    <t>NEW VEHICLE SALES - PG A - ACCT 26</t>
  </si>
  <si>
    <t>01-00-426A-SALES-CURR</t>
  </si>
  <si>
    <t>01-00-439P5I-SALES-CURR</t>
  </si>
  <si>
    <t>NEW VEHICLE SALES - PG A - ACCT 27</t>
  </si>
  <si>
    <t>01-00-427A-SALES-CURR</t>
  </si>
  <si>
    <t>01-00-440P5I-SALES-CURR</t>
  </si>
  <si>
    <t>NEW VEHICLE SALES - PG A - ACCT 28</t>
  </si>
  <si>
    <t>01-00-428A-SALES-CURR</t>
  </si>
  <si>
    <t>01-00-441P5I-SALES-CURR</t>
  </si>
  <si>
    <t>NEW VEHICLE SALES - PG A - ACCT 29</t>
  </si>
  <si>
    <t>01-00-429A-SALES-CURR</t>
  </si>
  <si>
    <t>01-00-TOTTRK5I-SALES-CURR</t>
  </si>
  <si>
    <t>NEW VEHICLE SALES - PG A - ACCT 30</t>
  </si>
  <si>
    <t>01-00-430A-SALES-CURR</t>
  </si>
  <si>
    <t>01-00-457P5I-SALES-CURR</t>
  </si>
  <si>
    <t>NEW VEHICLE SALES - PG A - ACCT 31</t>
  </si>
  <si>
    <t>01-00-431A-SALES-CURR</t>
  </si>
  <si>
    <t>01-00-TOTVEH5I-SALES-CURR</t>
  </si>
  <si>
    <t>NEW VEHICLE SALES - PG A - ACCT 32</t>
  </si>
  <si>
    <t>01-00-432A-SALES-CURR</t>
  </si>
  <si>
    <t>01-00-RTLCAR5I-GRSPFT-CURR</t>
  </si>
  <si>
    <t>NEW VEHICLE SALES - PG A - ACCT 33</t>
  </si>
  <si>
    <t>01-00-433A-SALES-CURR</t>
  </si>
  <si>
    <t>01-00-419P5I-GRSPFT-CURR</t>
  </si>
  <si>
    <t>NEW VEHICLE SALES - PG A - ACCT 34</t>
  </si>
  <si>
    <t>01-00-434A-SALES-CURR</t>
  </si>
  <si>
    <t>01-00-420P5I-GRSPFT-CURR</t>
  </si>
  <si>
    <t>NEW VEHICLE SALES - PG A - ACCT 35</t>
  </si>
  <si>
    <t>01-00-435A-SALES-CURR</t>
  </si>
  <si>
    <t>01-00-421P5I-GRSPFT-CURR</t>
  </si>
  <si>
    <t>NEW VEHICLE SALES - PG A - ACCT 36</t>
  </si>
  <si>
    <t>01-00-436A-SALES-CURR</t>
  </si>
  <si>
    <t>01-00-TOTCAR5I-GRSPFT-CURR</t>
  </si>
  <si>
    <t>NEW VEHICLE SALES - PG A - ACCT 37</t>
  </si>
  <si>
    <t>01-00-437A-SALES-CURR</t>
  </si>
  <si>
    <t>01-00-RTLTRK5I-GRSPFT-CURR</t>
  </si>
  <si>
    <t>NEW VEHICLE SALES - PG A - ACCT 38</t>
  </si>
  <si>
    <t>01-00-438A-SALES-CURR</t>
  </si>
  <si>
    <t>01-00-439P5I-GRSPFT-CURR</t>
  </si>
  <si>
    <t>TRUCK - PG A - FLEET SALES</t>
  </si>
  <si>
    <t>440A</t>
  </si>
  <si>
    <t>01-00-440A-SALES-CURR</t>
  </si>
  <si>
    <t>01-00-440P5I-GRSPFT-CURR</t>
  </si>
  <si>
    <t>TRUCK - PG A - INTERNAL SALES</t>
  </si>
  <si>
    <t>01-00-441A-SALES-CURR</t>
  </si>
  <si>
    <t>01-00-441P5I-GRSPFT-CURR</t>
  </si>
  <si>
    <t>NEW VEH ACCESSORIES - PG A SALES</t>
  </si>
  <si>
    <t>01-00-457A-SALES-CURR</t>
  </si>
  <si>
    <t>01-00-TOTTRK5I-GRSPFT-CURR</t>
  </si>
  <si>
    <t>NEW VEHICLE COS - PG A - ACCT 0</t>
  </si>
  <si>
    <t>600A</t>
  </si>
  <si>
    <t>01-00-600A-COS-CURR</t>
  </si>
  <si>
    <t>01-00-457P5I-GRSPFT-CURR</t>
  </si>
  <si>
    <t>NEW VEHICLE COS - PG A - ACCT 1</t>
  </si>
  <si>
    <t>601A</t>
  </si>
  <si>
    <t>01-00-601A-COS-CURR</t>
  </si>
  <si>
    <t>01-00-TOTVEH5I-GRSPFT-CURR</t>
  </si>
  <si>
    <t>NEW VEHICLE COS - PG A - ACCT 2</t>
  </si>
  <si>
    <t>602A</t>
  </si>
  <si>
    <t>01-00-602A-COS-CURR</t>
  </si>
  <si>
    <t>01-00-RTLCAR5J-SALES-CURR</t>
  </si>
  <si>
    <t>NEW VEHICLE COS - PG A - ACCT 3</t>
  </si>
  <si>
    <t>603A</t>
  </si>
  <si>
    <t>01-00-603A-COS-CURR</t>
  </si>
  <si>
    <t>01-00-419P5J-SALES-CURR</t>
  </si>
  <si>
    <t>NEW VEHICLE COS - PG A - ACCT 4</t>
  </si>
  <si>
    <t>604A</t>
  </si>
  <si>
    <t>01-00-604A-COS-CURR</t>
  </si>
  <si>
    <t>01-00-420P5J-SALES-CURR</t>
  </si>
  <si>
    <t>NEW VEHICLE COS - PG A - ACCT 5</t>
  </si>
  <si>
    <t>605A</t>
  </si>
  <si>
    <t>01-00-605A-COS-CURR</t>
  </si>
  <si>
    <t>01-00-421P5J-SALES-CURR</t>
  </si>
  <si>
    <t>NEW VEHICLE COS - PG A - ACCT 6</t>
  </si>
  <si>
    <t>606A</t>
  </si>
  <si>
    <t>01-00-606A-COS-CURR</t>
  </si>
  <si>
    <t>01-00-TOTCAR5J-SALES-CURR</t>
  </si>
  <si>
    <t>NEW VEHICLE COS - PG A - ACCT 7</t>
  </si>
  <si>
    <t>607A</t>
  </si>
  <si>
    <t>01-00-607A-COS-CURR</t>
  </si>
  <si>
    <t>01-00-RTLTRK5J-SALES-CURR</t>
  </si>
  <si>
    <t>NEW VEHICLE COS - PG A - ACCT 8</t>
  </si>
  <si>
    <t>608A</t>
  </si>
  <si>
    <t>01-00-608A-COS-CURR</t>
  </si>
  <si>
    <t>01-00-439P5J-SALES-CURR</t>
  </si>
  <si>
    <t>NEW VEHICLE COS - PG A - ACCT 9</t>
  </si>
  <si>
    <t>609A</t>
  </si>
  <si>
    <t>01-00-609A-COS-CURR</t>
  </si>
  <si>
    <t>01-00-440P5J-SALES-CURR</t>
  </si>
  <si>
    <t>NEW VEHICLE COS - PG A - ACCT 10</t>
  </si>
  <si>
    <t>610A</t>
  </si>
  <si>
    <t>01-00-610A-COS-CURR</t>
  </si>
  <si>
    <t>01-00-441P5J-SALES-CURR</t>
  </si>
  <si>
    <t>NEW VEHICLE COS - PG A - ACCT 11</t>
  </si>
  <si>
    <t>611A</t>
  </si>
  <si>
    <t>01-00-611A-COS-CURR</t>
  </si>
  <si>
    <t>01-00-TOTTRK5J-SALES-CURR</t>
  </si>
  <si>
    <t>NEW VEHICLE COS - PG A - ACCT 12</t>
  </si>
  <si>
    <t>612A</t>
  </si>
  <si>
    <t>01-00-612A-COS-CURR</t>
  </si>
  <si>
    <t>01-00-457P5J-SALES-CURR</t>
  </si>
  <si>
    <t>NEW VEHICLE COS - PG A - ACCT 13</t>
  </si>
  <si>
    <t>613A</t>
  </si>
  <si>
    <t>01-00-613A-COS-CURR</t>
  </si>
  <si>
    <t>01-00-TOTVEH5J-SALES-CURR</t>
  </si>
  <si>
    <t>NEW VEHICLE COS - PG A - ACCT 14</t>
  </si>
  <si>
    <t>614A</t>
  </si>
  <si>
    <t>01-00-614A-COS-CURR</t>
  </si>
  <si>
    <t>01-00-RTLCAR5J-GRSPFT-CURR</t>
  </si>
  <si>
    <t>NEW VEHICLE COS - PG A - ACCT 15</t>
  </si>
  <si>
    <t>615A</t>
  </si>
  <si>
    <t>01-00-615A-COS-CURR</t>
  </si>
  <si>
    <t>01-00-419P5J-GRSPFT-CURR</t>
  </si>
  <si>
    <t>NEW VEHICLE COS - PG A - ACCT 16</t>
  </si>
  <si>
    <t>616A</t>
  </si>
  <si>
    <t>01-00-616A-COS-CURR</t>
  </si>
  <si>
    <t>01-00-420P5J-GRSPFT-CURR</t>
  </si>
  <si>
    <t>NEW VEHICLE COS - PG A - ACCT 17</t>
  </si>
  <si>
    <t>617A</t>
  </si>
  <si>
    <t>01-00-617A-COS-CURR</t>
  </si>
  <si>
    <t>01-00-421P5J-GRSPFT-CURR</t>
  </si>
  <si>
    <t>NEW VEHICLE COS - PG A - ACCT 18</t>
  </si>
  <si>
    <t>618A</t>
  </si>
  <si>
    <t>01-00-618A-COS-CURR</t>
  </si>
  <si>
    <t>01-00-TOTCAR5J-GRSPFT-CURR</t>
  </si>
  <si>
    <t>CAR - PG A - FLEET COS</t>
  </si>
  <si>
    <t>620A</t>
  </si>
  <si>
    <t>01-00-620A-COS-CURR</t>
  </si>
  <si>
    <t>01-00-RTLTRK5J-GRSPFT-CURR</t>
  </si>
  <si>
    <t>CAR - PG A - INTERNAL COS</t>
  </si>
  <si>
    <t>621A</t>
  </si>
  <si>
    <t>01-00-621A-COS-CURR</t>
  </si>
  <si>
    <t>01-00-439P5J-GRSPFT-CURR</t>
  </si>
  <si>
    <t>NEW VEHICLE COS - PG A - ACCT 23</t>
  </si>
  <si>
    <t>623A</t>
  </si>
  <si>
    <t>01-00-623A-COS-CURR</t>
  </si>
  <si>
    <t>01-00-440P5J-GRSPFT-CURR</t>
  </si>
  <si>
    <t>NEW VEHICLE COS - PG A - ACCT 24</t>
  </si>
  <si>
    <t>624A</t>
  </si>
  <si>
    <t>01-00-624A-COS-CURR</t>
  </si>
  <si>
    <t>01-00-441P5J-GRSPFT-CURR</t>
  </si>
  <si>
    <t>NEW VEHICLE COS - PG A - ACCT 25</t>
  </si>
  <si>
    <t>625A</t>
  </si>
  <si>
    <t>01-00-625A-COS-CURR</t>
  </si>
  <si>
    <t>01-00-TOTTRK5J-GRSPFT-CURR</t>
  </si>
  <si>
    <t>NEW VEHICLE COS - PG A - ACCT 26</t>
  </si>
  <si>
    <t>626A</t>
  </si>
  <si>
    <t>01-00-626A-COS-CURR</t>
  </si>
  <si>
    <t>01-00-457P5J-GRSPFT-CURR</t>
  </si>
  <si>
    <t>NEW VEHICLE COS - PG A - ACCT 27</t>
  </si>
  <si>
    <t>627A</t>
  </si>
  <si>
    <t>01-00-627A-COS-CURR</t>
  </si>
  <si>
    <t>01-00-TOTVEH5J-GRSPFT-CURR</t>
  </si>
  <si>
    <t>NEW VEHICLE COS - PG A - ACCT 28</t>
  </si>
  <si>
    <t>628A</t>
  </si>
  <si>
    <t>01-00-628A-COS-CURR</t>
  </si>
  <si>
    <t>02-00-446A-SALES-CURR</t>
  </si>
  <si>
    <t>NEW VEHICLE COS - PG A - ACCT 29</t>
  </si>
  <si>
    <t>629A</t>
  </si>
  <si>
    <t>01-00-629A-COS-CURR</t>
  </si>
  <si>
    <t>02-00-446B-SALES-CURR</t>
  </si>
  <si>
    <t>NEW VEHICLE COS - PG A - ACCT 30</t>
  </si>
  <si>
    <t>630A</t>
  </si>
  <si>
    <t>01-00-630A-COS-CURR</t>
  </si>
  <si>
    <t>02-00-450A-SALES-CURR</t>
  </si>
  <si>
    <t>NEW VEHICLE COS - PG A - ACCT 31</t>
  </si>
  <si>
    <t>631A</t>
  </si>
  <si>
    <t>01-00-631A-COS-CURR</t>
  </si>
  <si>
    <t>02-00-450B-SALES-CURR</t>
  </si>
  <si>
    <t>NEW VEHICLE COS - PG A - ACCT 32</t>
  </si>
  <si>
    <t>632A</t>
  </si>
  <si>
    <t>01-00-632A-COS-CURR</t>
  </si>
  <si>
    <t>02-00-RTLVEH-SALES-CURR</t>
  </si>
  <si>
    <t>NEW VEHICLE COS - PG A - ACCT 33</t>
  </si>
  <si>
    <t>633A</t>
  </si>
  <si>
    <t>01-00-633A-COS-CURR</t>
  </si>
  <si>
    <t>02-00-448-SALES-CURR</t>
  </si>
  <si>
    <t>NEW VEHICLE COS - PG A - ACCT 34</t>
  </si>
  <si>
    <t>634A</t>
  </si>
  <si>
    <t>01-00-634A-COS-CURR</t>
  </si>
  <si>
    <t>02-00-649-SALES-CURR</t>
  </si>
  <si>
    <t>NEW VEHICLE COS - PG A - ACCT 35</t>
  </si>
  <si>
    <t>635A</t>
  </si>
  <si>
    <t>01-00-635A-COS-CURR</t>
  </si>
  <si>
    <t>02-00-452-SALES-CURR</t>
  </si>
  <si>
    <t>NEW VEHICLE COS - PG A - ACCT 36</t>
  </si>
  <si>
    <t>636A</t>
  </si>
  <si>
    <t>01-00-636A-COS-CURR</t>
  </si>
  <si>
    <t>02-00-653-SALES-CURR</t>
  </si>
  <si>
    <t>NEW VEHICLE COS - PG A - ACCT 37</t>
  </si>
  <si>
    <t>637A</t>
  </si>
  <si>
    <t>01-00-637A-COS-CURR</t>
  </si>
  <si>
    <t>02-00-WHLSVEH-SALES-CURR</t>
  </si>
  <si>
    <t>NEW VEHICLE COS - PG A - ACCT 38</t>
  </si>
  <si>
    <t>638A</t>
  </si>
  <si>
    <t>01-00-638A-COS-CURR</t>
  </si>
  <si>
    <t>02-00-456-SALES-CURR</t>
  </si>
  <si>
    <t>TRUCK - PG A - FLEET COS</t>
  </si>
  <si>
    <t>640A</t>
  </si>
  <si>
    <t>01-00-640A-COS-CURR</t>
  </si>
  <si>
    <t>00-00-NEWUSED-SALES-CURR</t>
  </si>
  <si>
    <t>TRUCK - PG A - INTERNAL COS</t>
  </si>
  <si>
    <t>641A</t>
  </si>
  <si>
    <t>01-00-641A-COS-CURR</t>
  </si>
  <si>
    <t>04-00-TOTFIPP-SALES-CURR</t>
  </si>
  <si>
    <t>NEW VEH ACCESSORIES - PG A COS</t>
  </si>
  <si>
    <t>657A</t>
  </si>
  <si>
    <t>01-00-657A-COS-CURR</t>
  </si>
  <si>
    <t>00-00-VAROPERS-SALES-CURR</t>
  </si>
  <si>
    <t>NEW VEH GROSS PROFIT - PG A GROSS PROFIT</t>
  </si>
  <si>
    <t>TOTGPA</t>
  </si>
  <si>
    <t>01-00-TOTVEHA-GRSPFT-CURR</t>
  </si>
  <si>
    <t>02-00-446A-GRSPFT-CURR</t>
  </si>
  <si>
    <t>NEW VEHICLE SALES - PG B - ACCT 0</t>
  </si>
  <si>
    <t>01-00-400B-SALES-CURR</t>
  </si>
  <si>
    <t>02-00-446B-GRSPFT-CURR</t>
  </si>
  <si>
    <t>NEW VEHICLE SALES - PG B - ACCT 1</t>
  </si>
  <si>
    <t>01-00-401B-SALES-CURR</t>
  </si>
  <si>
    <t>02-00-450A-GRSPFT-CURR</t>
  </si>
  <si>
    <t>NEW VEHICLE SALES - PG B - ACCT 2</t>
  </si>
  <si>
    <t>01-00-402B-SALES-CURR</t>
  </si>
  <si>
    <t>02-00-450B-GRSPFT-CURR</t>
  </si>
  <si>
    <t>NEW VEHICLE SALES - PG B - ACCT 3</t>
  </si>
  <si>
    <t>01-00-403B-SALES-CURR</t>
  </si>
  <si>
    <t>02-00-RTLVEH-GRSPFT-CURR</t>
  </si>
  <si>
    <t>NEW VEHICLE SALES - PG B - ACCT 4</t>
  </si>
  <si>
    <t>01-00-404B-SALES-CURR</t>
  </si>
  <si>
    <t>02-00-448-GRSPFT-CURR</t>
  </si>
  <si>
    <t>NEW VEHICLE SALES - PG B - ACCT 5</t>
  </si>
  <si>
    <t>01-00-405B-SALES-CURR</t>
  </si>
  <si>
    <t>02-00-649-GRSPFT-CURR</t>
  </si>
  <si>
    <t>NEW VEHICLE SALES - PG B - ACCT 6</t>
  </si>
  <si>
    <t>01-00-406B-SALES-CURR</t>
  </si>
  <si>
    <t>02-00-452-GRSPFT-CURR</t>
  </si>
  <si>
    <t>NEW VEHICLE SALES - PG B - ACCT 7</t>
  </si>
  <si>
    <t>01-00-407B-SALES-CURR</t>
  </si>
  <si>
    <t>02-00-653-GRSPFT-CURR</t>
  </si>
  <si>
    <t>NEW VEHICLE SALES - PG B - ACCT 8</t>
  </si>
  <si>
    <t>01-00-408B-SALES-CURR</t>
  </si>
  <si>
    <t>02-00-WHLSVEH-GRSPFT-CURR</t>
  </si>
  <si>
    <t>NEW VEHICLE SALES - PG B - ACCT 9</t>
  </si>
  <si>
    <t>01-00-409B-SALES-CURR</t>
  </si>
  <si>
    <t>02-00-456-GRSPFT-CURR</t>
  </si>
  <si>
    <t>NEW VEHICLE SALES - PG B - ACCT 10</t>
  </si>
  <si>
    <t>01-00-410B-SALES-CURR</t>
  </si>
  <si>
    <t>00-00-NEWUSED-GRSPFT-CURR</t>
  </si>
  <si>
    <t>NEW VEHICLE SALES - PG B - ACCT 11</t>
  </si>
  <si>
    <t>01-00-411B-SALES-CURR</t>
  </si>
  <si>
    <t>04-00-TOTFIPP-GRSINC-CURR</t>
  </si>
  <si>
    <t>NEW VEHICLE SALES - PG B - ACCT 12</t>
  </si>
  <si>
    <t>01-00-412B-SALES-CURR</t>
  </si>
  <si>
    <t>00-00-VAROPERS-GRSPFT-CURR</t>
  </si>
  <si>
    <t>NEW VEHICLE SALES - PG B - ACCT 13</t>
  </si>
  <si>
    <t>01-00-413B-SALES-CURR</t>
  </si>
  <si>
    <t>05-00-460A-SALES-CURR</t>
  </si>
  <si>
    <t>NEW VEHICLE SALES - PG B - ACCT 14</t>
  </si>
  <si>
    <t>01-00-414B-SALES-CURR</t>
  </si>
  <si>
    <t>05-00-460B-SALES-CURR</t>
  </si>
  <si>
    <t>NEW VEHICLE SALES - PG B - ACCT 15</t>
  </si>
  <si>
    <t>01-00-415B-SALES-CURR</t>
  </si>
  <si>
    <t>05-00-460C-SALES-CURR</t>
  </si>
  <si>
    <t>NEW VEHICLE SALES - PG B - ACCT 16</t>
  </si>
  <si>
    <t>01-00-416B-SALES-CURR</t>
  </si>
  <si>
    <t>05-00-461A-SALES-CURR</t>
  </si>
  <si>
    <t>NEW VEHICLE SALES - PG B - ACCT 17</t>
  </si>
  <si>
    <t>01-00-417B-SALES-CURR</t>
  </si>
  <si>
    <t>05-00-461B-SALES-CURR</t>
  </si>
  <si>
    <t>NEW VEHICLE SALES - PG B - ACCT 18</t>
  </si>
  <si>
    <t>01-00-418B-SALES-CURR</t>
  </si>
  <si>
    <t>05-00-461C-SALES-CURR</t>
  </si>
  <si>
    <t>CAR - PG B - FLEET SALES</t>
  </si>
  <si>
    <t>420B</t>
  </si>
  <si>
    <t>01-00-420B-SALES-CURR</t>
  </si>
  <si>
    <t>05-00-462-SALES-CURR</t>
  </si>
  <si>
    <t>CAR - PG B - INTERNAL SALES</t>
  </si>
  <si>
    <t>01-00-421B-SALES-CURR</t>
  </si>
  <si>
    <t>05-00-463-SALES-CURR</t>
  </si>
  <si>
    <t>NEW VEHICLE SALES - PG B - ACCT 23</t>
  </si>
  <si>
    <t>01-00-423B-SALES-CURR</t>
  </si>
  <si>
    <t>05-00-464-SALES-CURR</t>
  </si>
  <si>
    <t>NEW VEHICLE SALES - PG B - ACCT 24</t>
  </si>
  <si>
    <t>01-00-424B-SALES-CURR</t>
  </si>
  <si>
    <t>05-00-MECHSUBT-SALES-CURR</t>
  </si>
  <si>
    <t>NEW VEHICLE SALES - PG B - ACCT 25</t>
  </si>
  <si>
    <t>01-00-425B-SALES-CURR</t>
  </si>
  <si>
    <t>05-00-469-SALES-CURR</t>
  </si>
  <si>
    <t>NEW VEHICLE SALES - PG B - ACCT 26</t>
  </si>
  <si>
    <t>01-00-426B-SALES-CURR</t>
  </si>
  <si>
    <t>05-00-466-SALES-CURR</t>
  </si>
  <si>
    <t>NEW VEHICLE SALES - PG B - ACCT 27</t>
  </si>
  <si>
    <t>01-00-427B-SALES-CURR</t>
  </si>
  <si>
    <t>06-00-470-SALES-CURR</t>
  </si>
  <si>
    <t>NEW VEHICLE SALES - PG B - ACCT 28</t>
  </si>
  <si>
    <t>01-00-428B-SALES-CURR</t>
  </si>
  <si>
    <t>06-00-471-SALES-CURR</t>
  </si>
  <si>
    <t>NEW VEHICLE SALES - PG B - ACCT 29</t>
  </si>
  <si>
    <t>01-00-429B-SALES-CURR</t>
  </si>
  <si>
    <t>06-00-472-SALES-CURR</t>
  </si>
  <si>
    <t>NEW VEHICLE SALES - PG B - ACCT 30</t>
  </si>
  <si>
    <t>01-00-430B-SALES-CURR</t>
  </si>
  <si>
    <t>06-00-473-SALES-CURR</t>
  </si>
  <si>
    <t>NEW VEHICLE SALES - PG B - ACCT 31</t>
  </si>
  <si>
    <t>01-00-431B-SALES-CURR</t>
  </si>
  <si>
    <t>06-00-BODYSUBT-SALES-CURR</t>
  </si>
  <si>
    <t>NEW VEHICLE SALES - PG B - ACCT 32</t>
  </si>
  <si>
    <t>01-00-432B-SALES-CURR</t>
  </si>
  <si>
    <t>06-00-476-SALES-CURR</t>
  </si>
  <si>
    <t>NEW VEHICLE SALES - PG B - ACCT 33</t>
  </si>
  <si>
    <t>01-00-433B-SALES-CURR</t>
  </si>
  <si>
    <t>06-00-479-SALES-CURR</t>
  </si>
  <si>
    <t>NEW VEHICLE SALES - PG B - ACCT 34</t>
  </si>
  <si>
    <t>01-00-434B-SALES-CURR</t>
  </si>
  <si>
    <t>00-00-SVCDEPT-SALES-CURR</t>
  </si>
  <si>
    <t>NEW VEHICLE SALES - PG B - ACCT 35</t>
  </si>
  <si>
    <t>01-00-435B-SALES-CURR</t>
  </si>
  <si>
    <t>07-00-480-SALES-CURR</t>
  </si>
  <si>
    <t>NEW VEHICLE SALES - PG B - ACCT 36</t>
  </si>
  <si>
    <t>01-00-436B-SALES-CURR</t>
  </si>
  <si>
    <t>07-00-467-SALES-CURR</t>
  </si>
  <si>
    <t>NEW VEHICLE SALES - PG B - ACCT 37</t>
  </si>
  <si>
    <t>01-00-437B-SALES-CURR</t>
  </si>
  <si>
    <t>07-00-468-SALES-CURR</t>
  </si>
  <si>
    <t>NEW VEHICLE SALES - PG B - ACCT 38</t>
  </si>
  <si>
    <t>01-00-438B-SALES-CURR</t>
  </si>
  <si>
    <t>07-00-478-SALES-CURR</t>
  </si>
  <si>
    <t>TRUCK - PG B - FLEET SALES</t>
  </si>
  <si>
    <t>440B</t>
  </si>
  <si>
    <t>01-00-440B-SALES-CURR</t>
  </si>
  <si>
    <t>07-00-477-SALES-CURR</t>
  </si>
  <si>
    <t>TRUCK - PG B - INTERNAL SALES</t>
  </si>
  <si>
    <t>01-00-441B-SALES-CURR</t>
  </si>
  <si>
    <t>07-00-481-SALES-CURR</t>
  </si>
  <si>
    <t>NEW VEH ACCESSORIES - PG B SALES</t>
  </si>
  <si>
    <t>01-00-457B-SALES-CURR</t>
  </si>
  <si>
    <t>07-00-482-SALES-CURR</t>
  </si>
  <si>
    <t>NEW VEHICLE COS - PG B - ACCT 0</t>
  </si>
  <si>
    <t>600B</t>
  </si>
  <si>
    <t>01-00-600B-COS-CURR</t>
  </si>
  <si>
    <t>07-00-483-SALES-CURR</t>
  </si>
  <si>
    <t>NEW VEHICLE COS - PG B - ACCT 1</t>
  </si>
  <si>
    <t>601B</t>
  </si>
  <si>
    <t>01-00-601B-COS-CURR</t>
  </si>
  <si>
    <t>07-00-484-SALES-CURR</t>
  </si>
  <si>
    <t>NEW VEHICLE COS - PG B - ACCT 2</t>
  </si>
  <si>
    <t>602B</t>
  </si>
  <si>
    <t>01-00-602B-COS-CURR</t>
  </si>
  <si>
    <t>07-00-P&amp;ASUBT-SALES-CURR</t>
  </si>
  <si>
    <t>NEW VEHICLE COS - PG B - ACCT 3</t>
  </si>
  <si>
    <t>603B</t>
  </si>
  <si>
    <t>01-00-603B-COS-CURR</t>
  </si>
  <si>
    <t>07-00-490-SALES-CURR</t>
  </si>
  <si>
    <t>NEW VEHICLE COS - PG B - ACCT 4</t>
  </si>
  <si>
    <t>604B</t>
  </si>
  <si>
    <t>01-00-604B-COS-CURR</t>
  </si>
  <si>
    <t>07-00-491-SALES-CURR</t>
  </si>
  <si>
    <t>NEW VEHICLE COS - PG B - ACCT 5</t>
  </si>
  <si>
    <t>605B</t>
  </si>
  <si>
    <t>01-00-605B-COS-CURR</t>
  </si>
  <si>
    <t>07-00-492-SALES-CURR</t>
  </si>
  <si>
    <t>NEW VEHICLE COS - PG B - ACCT 6</t>
  </si>
  <si>
    <t>606B</t>
  </si>
  <si>
    <t>01-00-606B-COS-CURR</t>
  </si>
  <si>
    <t>07-00-OTHERP&amp;A-SALES-CURR</t>
  </si>
  <si>
    <t>NEW VEHICLE COS - PG B - ACCT 7</t>
  </si>
  <si>
    <t>607B</t>
  </si>
  <si>
    <t>01-00-607B-COS-CURR</t>
  </si>
  <si>
    <t>00-00-FIXOPER-SALES-CURR</t>
  </si>
  <si>
    <t>NEW VEHICLE COS - PG B - ACCT 8</t>
  </si>
  <si>
    <t>608B</t>
  </si>
  <si>
    <t>01-00-608B-COS-CURR</t>
  </si>
  <si>
    <t>00-00-ALLDEPTS-SALES-CURR</t>
  </si>
  <si>
    <t>NEW VEHICLE COS - PG B - ACCT 9</t>
  </si>
  <si>
    <t>609B</t>
  </si>
  <si>
    <t>01-00-609B-COS-CURR</t>
  </si>
  <si>
    <t>05-00-460A-GRSPFT-CURR</t>
  </si>
  <si>
    <t>NEW VEHICLE COS - PG B - ACCT 10</t>
  </si>
  <si>
    <t>610B</t>
  </si>
  <si>
    <t>01-00-610B-COS-CURR</t>
  </si>
  <si>
    <t>05-00-460B-GRSPFT-CURR</t>
  </si>
  <si>
    <t>NEW VEHICLE COS - PG B - ACCT 11</t>
  </si>
  <si>
    <t>611B</t>
  </si>
  <si>
    <t>01-00-611B-COS-CURR</t>
  </si>
  <si>
    <t>05-00-460C-GRSPFT-CURR</t>
  </si>
  <si>
    <t>NEW VEHICLE COS - PG B - ACCT 12</t>
  </si>
  <si>
    <t>612B</t>
  </si>
  <si>
    <t>01-00-612B-COS-CURR</t>
  </si>
  <si>
    <t>05-00-461A-GRSPFT-CURR</t>
  </si>
  <si>
    <t>NEW VEHICLE COS - PG B - ACCT 13</t>
  </si>
  <si>
    <t>613B</t>
  </si>
  <si>
    <t>01-00-613B-COS-CURR</t>
  </si>
  <si>
    <t>05-00-461B-GRSPFT-CURR</t>
  </si>
  <si>
    <t>NEW VEHICLE COS - PG B - ACCT 14</t>
  </si>
  <si>
    <t>614B</t>
  </si>
  <si>
    <t>01-00-614B-COS-CURR</t>
  </si>
  <si>
    <t>05-00-461C-GRSPFT-CURR</t>
  </si>
  <si>
    <t>NEW VEHICLE COS - PG B - ACCT 15</t>
  </si>
  <si>
    <t>615B</t>
  </si>
  <si>
    <t>01-00-615B-COS-CURR</t>
  </si>
  <si>
    <t>05-00-462-GRSPFT-CURR</t>
  </si>
  <si>
    <t>NEW VEHICLE COS - PG B - ACCT 16</t>
  </si>
  <si>
    <t>616B</t>
  </si>
  <si>
    <t>01-00-616B-COS-CURR</t>
  </si>
  <si>
    <t>05-00-463-GRSPFT-CURR</t>
  </si>
  <si>
    <t>NEW VEHICLE COS - PG B - ACCT 17</t>
  </si>
  <si>
    <t>617B</t>
  </si>
  <si>
    <t>01-00-617B-COS-CURR</t>
  </si>
  <si>
    <t>05-00-464-GRSPFT-CURR</t>
  </si>
  <si>
    <t>NEW VEHICLE COS - PG B - ACCT 18</t>
  </si>
  <si>
    <t>618B</t>
  </si>
  <si>
    <t>01-00-618B-COS-CURR</t>
  </si>
  <si>
    <t>05-00-665-GRSPFT-CURR</t>
  </si>
  <si>
    <t>CAR - PG B - FLEET COS</t>
  </si>
  <si>
    <t>620B</t>
  </si>
  <si>
    <t>01-00-620B-COS-CURR</t>
  </si>
  <si>
    <t>05-00-MECHSUBT-GRSPFT-CURR</t>
  </si>
  <si>
    <t>CAR - PG B - INTERNAL COS</t>
  </si>
  <si>
    <t>621B</t>
  </si>
  <si>
    <t>01-00-621B-COS-CURR</t>
  </si>
  <si>
    <t>05-00-469-GRSPFT-CURR</t>
  </si>
  <si>
    <t>NEW VEHICLE COS - PG B - ACCT 23</t>
  </si>
  <si>
    <t>623B</t>
  </si>
  <si>
    <t>01-00-623B-COS-CURR</t>
  </si>
  <si>
    <t>05-00-466-GRSPFT-CURR</t>
  </si>
  <si>
    <t>NEW VEHICLE COS - PG B - ACCT 24</t>
  </si>
  <si>
    <t>624B</t>
  </si>
  <si>
    <t>01-00-624B-COS-CURR</t>
  </si>
  <si>
    <t>06-00-470-GRSPFT-CURR</t>
  </si>
  <si>
    <t>NEW VEHICLE COS - PG B - ACCT 25</t>
  </si>
  <si>
    <t>625B</t>
  </si>
  <si>
    <t>01-00-625B-COS-CURR</t>
  </si>
  <si>
    <t>06-00-471-GRSPFT-CURR</t>
  </si>
  <si>
    <t>NEW VEHICLE COS - PG B - ACCT 26</t>
  </si>
  <si>
    <t>626B</t>
  </si>
  <si>
    <t>01-00-626B-COS-CURR</t>
  </si>
  <si>
    <t>06-00-472-GRSPFT-CURR</t>
  </si>
  <si>
    <t>NEW VEHICLE COS - PG B - ACCT 27</t>
  </si>
  <si>
    <t>627B</t>
  </si>
  <si>
    <t>01-00-627B-COS-CURR</t>
  </si>
  <si>
    <t>06-00-473-GRSPFT-CURR</t>
  </si>
  <si>
    <t>NEW VEHICLE COS - PG B - ACCT 28</t>
  </si>
  <si>
    <t>628B</t>
  </si>
  <si>
    <t>01-00-628B-COS-CURR</t>
  </si>
  <si>
    <t>06-00-675-GRSPFT-CURR</t>
  </si>
  <si>
    <t>NEW VEHICLE COS - PG B - ACCT 29</t>
  </si>
  <si>
    <t>629B</t>
  </si>
  <si>
    <t>01-00-629B-COS-CURR</t>
  </si>
  <si>
    <t>06-00-BODYSUBT-GRSPFT-CURR</t>
  </si>
  <si>
    <t>NEW VEHICLE COS - PG B - ACCT 30</t>
  </si>
  <si>
    <t>630B</t>
  </si>
  <si>
    <t>01-00-630B-COS-CURR</t>
  </si>
  <si>
    <t>06-00-476-GRSPFT-CURR</t>
  </si>
  <si>
    <t>NEW VEHICLE COS - PG B - ACCT 31</t>
  </si>
  <si>
    <t>631B</t>
  </si>
  <si>
    <t>01-00-631B-COS-CURR</t>
  </si>
  <si>
    <t>06-00-479-GRSPFT-CURR</t>
  </si>
  <si>
    <t>NEW VEHICLE COS - PG B - ACCT 32</t>
  </si>
  <si>
    <t>632B</t>
  </si>
  <si>
    <t>01-00-632B-COS-CURR</t>
  </si>
  <si>
    <t>00-00-SVCDEPT-GRSPFT-CURR</t>
  </si>
  <si>
    <t>NEW VEHICLE COS - PG B - ACCT 33</t>
  </si>
  <si>
    <t>633B</t>
  </si>
  <si>
    <t>01-00-633B-COS-CURR</t>
  </si>
  <si>
    <t>07-00-480-GRSPFT-CURR</t>
  </si>
  <si>
    <t>NEW VEHICLE COS - PG B - ACCT 34</t>
  </si>
  <si>
    <t>634B</t>
  </si>
  <si>
    <t>01-00-634B-COS-CURR</t>
  </si>
  <si>
    <t>07-00-467-GRSPFT-CURR</t>
  </si>
  <si>
    <t>NEW VEHICLE COS - PG B - ACCT 35</t>
  </si>
  <si>
    <t>635B</t>
  </si>
  <si>
    <t>01-00-635B-COS-CURR</t>
  </si>
  <si>
    <t>07-00-468-GRSPFT-CURR</t>
  </si>
  <si>
    <t>NEW VEHICLE COS - PG B - ACCT 36</t>
  </si>
  <si>
    <t>636B</t>
  </si>
  <si>
    <t>01-00-636B-COS-CURR</t>
  </si>
  <si>
    <t>07-00-478-GRSPFT-CURR</t>
  </si>
  <si>
    <t>NEW VEHICLE COS - PG B - ACCT 37</t>
  </si>
  <si>
    <t>637B</t>
  </si>
  <si>
    <t>01-00-637B-COS-CURR</t>
  </si>
  <si>
    <t>07-00-477-GRSPFT-CURR</t>
  </si>
  <si>
    <t>NEW VEHICLE COS - PG B - ACCT 38</t>
  </si>
  <si>
    <t>638B</t>
  </si>
  <si>
    <t>01-00-638B-COS-CURR</t>
  </si>
  <si>
    <t>07-00-481-GRSPFT-CURR</t>
  </si>
  <si>
    <t>TRUCK - PG B - FLEET COS</t>
  </si>
  <si>
    <t>640B</t>
  </si>
  <si>
    <t>01-00-640B-COS-CURR</t>
  </si>
  <si>
    <t>07-00-482-GRSPFT-CURR</t>
  </si>
  <si>
    <t>TRUCK - PG B - INTERNAL COS</t>
  </si>
  <si>
    <t>641B</t>
  </si>
  <si>
    <t>01-00-641B-COS-CURR</t>
  </si>
  <si>
    <t>07-00-483-GRSPFT-CURR</t>
  </si>
  <si>
    <t>NEW VEH ACCESSORIES - PG B COS</t>
  </si>
  <si>
    <t>657B</t>
  </si>
  <si>
    <t>01-00-657B-COS-CURR</t>
  </si>
  <si>
    <t>07-00-484-GRSPFT-CURR</t>
  </si>
  <si>
    <t>NEW VEH TOTAL- PG B GROSS PROFIT</t>
  </si>
  <si>
    <t>TOTGPB</t>
  </si>
  <si>
    <t>01-00-TOTVEHB-GRSPFT-CURR</t>
  </si>
  <si>
    <t>07-00-687-GRSPFT-CURR</t>
  </si>
  <si>
    <t>NEW VEHICLE SALES - PG C - ACCT 0</t>
  </si>
  <si>
    <t>01-00-400C-SALES-CURR</t>
  </si>
  <si>
    <t>07-00-688-GRSPFT-CURR</t>
  </si>
  <si>
    <t>NEW VEHICLE SALES - PG C - ACCT 1</t>
  </si>
  <si>
    <t>01-00-401C-SALES-CURR</t>
  </si>
  <si>
    <t>07-00-P&amp;ASUBT-GRSPFT-CURR</t>
  </si>
  <si>
    <t>NEW VEHICLE SALES - PG C - ACCT 2</t>
  </si>
  <si>
    <t>01-00-402C-SALES-CURR</t>
  </si>
  <si>
    <t>07-00-490-GRSPFT-CURR</t>
  </si>
  <si>
    <t>NEW VEHICLE SALES - PG C - ACCT 3</t>
  </si>
  <si>
    <t>01-00-403C-SALES-CURR</t>
  </si>
  <si>
    <t>07-00-491-GRSPFT-CURR</t>
  </si>
  <si>
    <t>NEW VEHICLE SALES - PG C - ACCT 4</t>
  </si>
  <si>
    <t>01-00-404C-SALES-CURR</t>
  </si>
  <si>
    <t>07-00-492-GRSPFT-CURR</t>
  </si>
  <si>
    <t>NEW VEHICLE SALES - PG C - ACCT 5</t>
  </si>
  <si>
    <t>01-00-405C-SALES-CURR</t>
  </si>
  <si>
    <t>07-00-OTHERP&amp;A-GRSPFT-CURR</t>
  </si>
  <si>
    <t>NEW VEHICLE SALES - PG C - ACCT 6</t>
  </si>
  <si>
    <t>01-00-406C-SALES-CURR</t>
  </si>
  <si>
    <t>00-00-FIXOPER-GRSPFT-CURR</t>
  </si>
  <si>
    <t>NEW VEHICLE SALES - PG C - ACCT 7</t>
  </si>
  <si>
    <t>01-00-407C-SALES-CURR</t>
  </si>
  <si>
    <t>00-00-ALLDEPTS-GRSPFT-CURR</t>
  </si>
  <si>
    <t>NEW VEHICLE SALES - PG C - ACCT 8</t>
  </si>
  <si>
    <t>01-00-408C-SALES-CURR</t>
  </si>
  <si>
    <t>04-00-810-SALES-CURR</t>
  </si>
  <si>
    <t>NEW VEHICLE SALES - PG C - ACCT 9</t>
  </si>
  <si>
    <t>01-00-409C-SALES-CURR</t>
  </si>
  <si>
    <t>04-00-822-SALES-CURR</t>
  </si>
  <si>
    <t>NEW VEHICLE SALES - PG C - ACCT 10</t>
  </si>
  <si>
    <t>01-00-410C-SALES-CURR</t>
  </si>
  <si>
    <t>04-00-443-SALES-CURR</t>
  </si>
  <si>
    <t>NEW VEHICLE SALES - PG C - ACCT 11</t>
  </si>
  <si>
    <t>01-00-411C-SALES-CURR</t>
  </si>
  <si>
    <t>04-00-444-SALES-CURR</t>
  </si>
  <si>
    <t>NEW VEHICLE SALES - PG C - ACCT 12</t>
  </si>
  <si>
    <t>01-00-412C-SALES-CURR</t>
  </si>
  <si>
    <t>04-00-NEWFIPP-SALES-CURR</t>
  </si>
  <si>
    <t>NEW VEHICLE SALES - PG C - ACCT 13</t>
  </si>
  <si>
    <t>01-00-413C-SALES-CURR</t>
  </si>
  <si>
    <t>04-00-811-SALES-CURR</t>
  </si>
  <si>
    <t>NEW VEHICLE SALES - PG C - ACCT 14</t>
  </si>
  <si>
    <t>01-00-414C-SALES-CURR</t>
  </si>
  <si>
    <t>04-00-823-SALES-CURR</t>
  </si>
  <si>
    <t>NEW VEHICLE SALES - PG C - ACCT 15</t>
  </si>
  <si>
    <t>01-00-415C-SALES-CURR</t>
  </si>
  <si>
    <t>04-00-454-SALES-CURR</t>
  </si>
  <si>
    <t>NEW VEHICLE SALES - PG C - ACCT 16</t>
  </si>
  <si>
    <t>01-00-416C-SALES-CURR</t>
  </si>
  <si>
    <t>04-00-455-SALES-CURR</t>
  </si>
  <si>
    <t>NEW VEHICLE SALES - PG C - ACCT 17</t>
  </si>
  <si>
    <t>01-00-417C-SALES-CURR</t>
  </si>
  <si>
    <t>04-00-USEDFIPP-SALES-CURR</t>
  </si>
  <si>
    <t>NEW VEHICLE SALES - PG C - ACCT 18</t>
  </si>
  <si>
    <t>01-00-418C-SALES-CURR</t>
  </si>
  <si>
    <t>04-00-TOTALF&amp;I-SALES-CURR</t>
  </si>
  <si>
    <t>CAR - PG C - FLEET SALES</t>
  </si>
  <si>
    <t>420C</t>
  </si>
  <si>
    <t>01-00-420C-SALES-CURR</t>
  </si>
  <si>
    <t>04-00-806-GRSINC-CURR</t>
  </si>
  <si>
    <t>CAR - PG C - INTERNAL SALES</t>
  </si>
  <si>
    <t>01-00-421C-SALES-CURR</t>
  </si>
  <si>
    <t>04-00-807-GRSINC-CURR</t>
  </si>
  <si>
    <t>NEW VEHICLE SALES - PG C - ACCT 23</t>
  </si>
  <si>
    <t>01-00-423C-SALES-CURR</t>
  </si>
  <si>
    <t>04-00-850-GRSINC-CURR</t>
  </si>
  <si>
    <t>NEW VEHICLE SALES - PG C - ACCT 24</t>
  </si>
  <si>
    <t>01-00-424C-SALES-CURR</t>
  </si>
  <si>
    <t>04-00-810-GRSINC-CURR</t>
  </si>
  <si>
    <t>NEW VEHICLE SALES - PG C - ACCT 25</t>
  </si>
  <si>
    <t>01-00-425C-SALES-CURR</t>
  </si>
  <si>
    <t>04-00-822-GRSINC-CURR</t>
  </si>
  <si>
    <t>NEW VEHICLE SALES - PG C - ACCT 26</t>
  </si>
  <si>
    <t>01-00-426C-SALES-CURR</t>
  </si>
  <si>
    <t>04-00-443-GRSINC-CURR</t>
  </si>
  <si>
    <t>NEW VEHICLE SALES - PG C - ACCT 27</t>
  </si>
  <si>
    <t>01-00-427C-SALES-CURR</t>
  </si>
  <si>
    <t>04-00-444-GRSINC-CURR</t>
  </si>
  <si>
    <t>NEW VEHICLE SALES - PG C - ACCT 28</t>
  </si>
  <si>
    <t>01-00-428C-SALES-CURR</t>
  </si>
  <si>
    <t>04-00-853-GRSINC-CURR</t>
  </si>
  <si>
    <t>NEW VEHICLE SALES - PG C - ACCT 29</t>
  </si>
  <si>
    <t>01-00-429C-SALES-CURR</t>
  </si>
  <si>
    <t>04-00-855-GRSINC-CURR</t>
  </si>
  <si>
    <t>NEW VEHICLE SALES - PG C - ACCT 30</t>
  </si>
  <si>
    <t>01-00-430C-SALES-CURR</t>
  </si>
  <si>
    <t>04-00-NEWFIPP-GRSINC-CURR</t>
  </si>
  <si>
    <t>NEW VEHICLE SALES - PG C - ACCT 31</t>
  </si>
  <si>
    <t>01-00-431C-SALES-CURR</t>
  </si>
  <si>
    <t>04-00-808-GRSINC-CURR</t>
  </si>
  <si>
    <t>NEW VEHICLE SALES - PG C - ACCT 32</t>
  </si>
  <si>
    <t>01-00-432C-SALES-CURR</t>
  </si>
  <si>
    <t>04-00-809-GRSINC-CURR</t>
  </si>
  <si>
    <t>NEW VEHICLE SALES - PG C - ACCT 33</t>
  </si>
  <si>
    <t>01-00-433C-SALES-CURR</t>
  </si>
  <si>
    <t>04-00-851-GRSINC-CURR</t>
  </si>
  <si>
    <t>NEW VEHICLE SALES - PG C - ACCT 34</t>
  </si>
  <si>
    <t>01-00-434C-SALES-CURR</t>
  </si>
  <si>
    <t>04-00-811-GRSINC-CURR</t>
  </si>
  <si>
    <t>NEW VEHICLE SALES - PG C - ACCT 35</t>
  </si>
  <si>
    <t>01-00-435C-SALES-CURR</t>
  </si>
  <si>
    <t>04-00-823-GRSINC-CURR</t>
  </si>
  <si>
    <t>NEW VEHICLE SALES - PG C - ACCT 36</t>
  </si>
  <si>
    <t>01-00-436C-SALES-CURR</t>
  </si>
  <si>
    <t>04-00-454-GRSINC-CURR</t>
  </si>
  <si>
    <t>NEW VEHICLE SALES - PG C - ACCT 37</t>
  </si>
  <si>
    <t>01-00-437C-SALES-CURR</t>
  </si>
  <si>
    <t>04-00-455-GRSINC-CURR</t>
  </si>
  <si>
    <t>NEW VEHICLE SALES - PG C - ACCT 38</t>
  </si>
  <si>
    <t>01-00-438C-SALES-CURR</t>
  </si>
  <si>
    <t>04-00-854-GRSINC-CURR</t>
  </si>
  <si>
    <t>TRUCK - PG C - FLEET SALES</t>
  </si>
  <si>
    <t>440C</t>
  </si>
  <si>
    <t>01-00-440C-SALES-CURR</t>
  </si>
  <si>
    <t>04-00-856-GRSINC-CURR</t>
  </si>
  <si>
    <t>TRUCK - PG C - INTERNAL SALES</t>
  </si>
  <si>
    <t>01-00-441C-SALES-CURR</t>
  </si>
  <si>
    <t>04-00-USEDFIPP-GRSINC-CURR</t>
  </si>
  <si>
    <t>NEW VEH ACCESSORIES - PG C SALES</t>
  </si>
  <si>
    <t>01-00-457C-SALES-CURR</t>
  </si>
  <si>
    <t>04-00-TOTALF&amp;I-GRSINC-CURR</t>
  </si>
  <si>
    <t>NEW VEHICLE COS - PG C - ACCT 0</t>
  </si>
  <si>
    <t>600C</t>
  </si>
  <si>
    <t>01-00-600C-COS-CURR</t>
  </si>
  <si>
    <t>03-00-501-GRSINC-CURR</t>
  </si>
  <si>
    <t>NEW VEHICLE COS - PG C - ACCT 1</t>
  </si>
  <si>
    <t>601C</t>
  </si>
  <si>
    <t>01-00-601C-COS-CURR</t>
  </si>
  <si>
    <t>03-00-502-GRSINC-CURR</t>
  </si>
  <si>
    <t>NEW VEHICLE COS - PG C - ACCT 2</t>
  </si>
  <si>
    <t>602C</t>
  </si>
  <si>
    <t>01-00-602C-COS-CURR</t>
  </si>
  <si>
    <t>03-00-503-GRSINC-CURR</t>
  </si>
  <si>
    <t>NEW VEHICLE COS - PG C - ACCT 3</t>
  </si>
  <si>
    <t>603C</t>
  </si>
  <si>
    <t>01-00-603C-COS-CURR</t>
  </si>
  <si>
    <t>03-00-504-GRSINC-CURR</t>
  </si>
  <si>
    <t>NEW VEHICLE COS - PG C - ACCT 4</t>
  </si>
  <si>
    <t>604C</t>
  </si>
  <si>
    <t>01-00-604C-COS-CURR</t>
  </si>
  <si>
    <t>03-00-505-GRSINC-CURR</t>
  </si>
  <si>
    <t>NEW VEHICLE COS - PG C - ACCT 5</t>
  </si>
  <si>
    <t>605C</t>
  </si>
  <si>
    <t>01-00-605C-COS-CURR</t>
  </si>
  <si>
    <t>03-00-506-GRSINC-CURR</t>
  </si>
  <si>
    <t>NEW VEHICLE COS - PG C - ACCT 6</t>
  </si>
  <si>
    <t>606C</t>
  </si>
  <si>
    <t>01-00-606C-COS-CURR</t>
  </si>
  <si>
    <t>03-00-507-GRSINC-CURR</t>
  </si>
  <si>
    <t>NEW VEHICLE COS - PG C - ACCT 7</t>
  </si>
  <si>
    <t>607C</t>
  </si>
  <si>
    <t>01-00-607C-COS-CURR</t>
  </si>
  <si>
    <t>03-00-INCMTOTL-GRSINC-CURR</t>
  </si>
  <si>
    <t>NEW VEHICLE COS - PG C - ACCT 8</t>
  </si>
  <si>
    <t>608C</t>
  </si>
  <si>
    <t>01-00-608C-COS-CURR</t>
  </si>
  <si>
    <t>03-00-701-COS-CURR</t>
  </si>
  <si>
    <t>NEW VEHICLE COS - PG C - ACCT 9</t>
  </si>
  <si>
    <t>609C</t>
  </si>
  <si>
    <t>01-00-609C-COS-CURR</t>
  </si>
  <si>
    <t>03-00-702-COS-CURR</t>
  </si>
  <si>
    <t>NEW VEHICLE COS - PG C - ACCT 10</t>
  </si>
  <si>
    <t>610C</t>
  </si>
  <si>
    <t>01-00-610C-COS-CURR</t>
  </si>
  <si>
    <t>03-00-703-COS-CURR</t>
  </si>
  <si>
    <t>NEW VEHICLE COS - PG C - ACCT 11</t>
  </si>
  <si>
    <t>611C</t>
  </si>
  <si>
    <t>01-00-611C-COS-CURR</t>
  </si>
  <si>
    <t>03-00-704-COS-CURR</t>
  </si>
  <si>
    <t>NEW VEHICLE COS - PG C - ACCT 12</t>
  </si>
  <si>
    <t>612C</t>
  </si>
  <si>
    <t>01-00-612C-COS-CURR</t>
  </si>
  <si>
    <t>03-00-705-COS-CURR</t>
  </si>
  <si>
    <t>NEW VEHICLE COS - PG C - ACCT 13</t>
  </si>
  <si>
    <t>613C</t>
  </si>
  <si>
    <t>01-00-613C-COS-CURR</t>
  </si>
  <si>
    <t>03-00-706-COS-CURR</t>
  </si>
  <si>
    <t>NEW VEHICLE COS - PG C - ACCT 14</t>
  </si>
  <si>
    <t>614C</t>
  </si>
  <si>
    <t>01-00-614C-COS-CURR</t>
  </si>
  <si>
    <t>03-00-707-COS-CURR</t>
  </si>
  <si>
    <t>NEW VEHICLE COS - PG C - ACCT 15</t>
  </si>
  <si>
    <t>615C</t>
  </si>
  <si>
    <t>01-00-615C-COS-CURR</t>
  </si>
  <si>
    <t>03-00-708-COS-CURR</t>
  </si>
  <si>
    <t>NEW VEHICLE COS - PG C - ACCT 16</t>
  </si>
  <si>
    <t>616C</t>
  </si>
  <si>
    <t>01-00-616C-COS-CURR</t>
  </si>
  <si>
    <t>03-00-TOTAL-COS-CURR</t>
  </si>
  <si>
    <t>NEW VEHICLE COS - PG C - ACCT 17</t>
  </si>
  <si>
    <t>617C</t>
  </si>
  <si>
    <t>01-00-617C-COS-CURR</t>
  </si>
  <si>
    <t>03-00-GPACTOTL-GRSPFT-CURR</t>
  </si>
  <si>
    <t>NEW VEHICLE COS - PG C - ACCT 18</t>
  </si>
  <si>
    <t>618C</t>
  </si>
  <si>
    <t>01-00-618C-COS-CURR</t>
  </si>
  <si>
    <t>03-00-500GL-AMT-CURR</t>
  </si>
  <si>
    <t>CAR - PG C - FLEET COS</t>
  </si>
  <si>
    <t>620C</t>
  </si>
  <si>
    <t>01-00-620C-COS-CURR</t>
  </si>
  <si>
    <t>03-00-511CLSD-GRSINC-CURR</t>
  </si>
  <si>
    <t>CAR - PG C - INTERNAL COS</t>
  </si>
  <si>
    <t>621C</t>
  </si>
  <si>
    <t>01-00-621C-COS-CURR</t>
  </si>
  <si>
    <t>03-00-512CLSD-GRSINC-CURR</t>
  </si>
  <si>
    <t>NEW VEHICLE COS - PG C - ACCT 23</t>
  </si>
  <si>
    <t>623C</t>
  </si>
  <si>
    <t>01-00-623C-COS-CURR</t>
  </si>
  <si>
    <t>03-00-513CLSD-GRSINC-CURR</t>
  </si>
  <si>
    <t>NEW VEHICLE COS - PG C - ACCT 24</t>
  </si>
  <si>
    <t>624C</t>
  </si>
  <si>
    <t>01-00-624C-COS-CURR</t>
  </si>
  <si>
    <t>03-00-514CLSD-GRSINC-CURR</t>
  </si>
  <si>
    <t>NEW VEHICLE COS - PG C - ACCT 25</t>
  </si>
  <si>
    <t>625C</t>
  </si>
  <si>
    <t>01-00-625C-COS-CURR</t>
  </si>
  <si>
    <t>03-00-516CLSD-GRSINC-CURR</t>
  </si>
  <si>
    <t>NEW VEHICLE COS - PG C - ACCT 26</t>
  </si>
  <si>
    <t>626C</t>
  </si>
  <si>
    <t>01-00-626C-COS-CURR</t>
  </si>
  <si>
    <t>03-00-517CLSD-GRSINC-CURR</t>
  </si>
  <si>
    <t>NEW VEHICLE COS - PG C - ACCT 27</t>
  </si>
  <si>
    <t>627C</t>
  </si>
  <si>
    <t>01-00-627C-COS-CURR</t>
  </si>
  <si>
    <t>03-00-INCMCLSD-GRSINC-CURR</t>
  </si>
  <si>
    <t>NEW VEHICLE COS - PG C - ACCT 28</t>
  </si>
  <si>
    <t>628C</t>
  </si>
  <si>
    <t>01-00-628C-COS-CURR</t>
  </si>
  <si>
    <t>03-00-711CLSD-COS-CURR</t>
  </si>
  <si>
    <t>NEW VEHICLE COS - PG C - ACCT 29</t>
  </si>
  <si>
    <t>629C</t>
  </si>
  <si>
    <t>01-00-629C-COS-CURR</t>
  </si>
  <si>
    <t>03-00-712CLSD-COS-CURR</t>
  </si>
  <si>
    <t>NEW VEHICLE COS - PG C - ACCT 30</t>
  </si>
  <si>
    <t>630C</t>
  </si>
  <si>
    <t>01-00-630C-COS-CURR</t>
  </si>
  <si>
    <t>03-00-713CLSD-COS-CURR</t>
  </si>
  <si>
    <t>NEW VEHICLE COS - PG C - ACCT 31</t>
  </si>
  <si>
    <t>631C</t>
  </si>
  <si>
    <t>01-00-631C-COS-CURR</t>
  </si>
  <si>
    <t>03-00-714CLSD-COS-CURR</t>
  </si>
  <si>
    <t>NEW VEHICLE COS - PG C - ACCT 32</t>
  </si>
  <si>
    <t>632C</t>
  </si>
  <si>
    <t>01-00-632C-COS-CURR</t>
  </si>
  <si>
    <t>03-00-715CLSD-COS-CURR</t>
  </si>
  <si>
    <t>NEW VEHICLE COS - PG C - ACCT 33</t>
  </si>
  <si>
    <t>633C</t>
  </si>
  <si>
    <t>01-00-633C-COS-CURR</t>
  </si>
  <si>
    <t>03-00-716CLSD-COS-CURR</t>
  </si>
  <si>
    <t>NEW VEHICLE COS - PG C - ACCT 34</t>
  </si>
  <si>
    <t>634C</t>
  </si>
  <si>
    <t>01-00-634C-COS-CURR</t>
  </si>
  <si>
    <t>03-00-717CLSD-COS-CURR</t>
  </si>
  <si>
    <t>NEW VEHICLE COS - PG C - ACCT 35</t>
  </si>
  <si>
    <t>635C</t>
  </si>
  <si>
    <t>01-00-635C-COS-CURR</t>
  </si>
  <si>
    <t>03-00-718CLSD-COS-CURR</t>
  </si>
  <si>
    <t>NEW VEHICLE COS - PG C - ACCT 36</t>
  </si>
  <si>
    <t>636C</t>
  </si>
  <si>
    <t>01-00-636C-COS-CURR</t>
  </si>
  <si>
    <t>03-00-TOTCLSD-COS-CURR</t>
  </si>
  <si>
    <t>NEW VEHICLE COS - PG C - ACCT 37</t>
  </si>
  <si>
    <t>637C</t>
  </si>
  <si>
    <t>01-00-637C-COS-CURR</t>
  </si>
  <si>
    <t>03-00-GPACCLSD-GRSPFT-CURR</t>
  </si>
  <si>
    <t>NEW VEHICLE COS - PG C - ACCT 38</t>
  </si>
  <si>
    <t>638C</t>
  </si>
  <si>
    <t>01-00-638C-COS-CURR</t>
  </si>
  <si>
    <t>03-00-510GL-AMT-CURR</t>
  </si>
  <si>
    <t>TRUCK - PG C - FLEET COS</t>
  </si>
  <si>
    <t>640C</t>
  </si>
  <si>
    <t>01-00-640C-COS-CURR</t>
  </si>
  <si>
    <t>03-00-GPINCLSD-GRSPFT-CURR</t>
  </si>
  <si>
    <t>TRUCK - PG C - INTERNAL COS</t>
  </si>
  <si>
    <t>641C</t>
  </si>
  <si>
    <t>01-00-641C-COS-CURR</t>
  </si>
  <si>
    <t>03-00-521OPEN-GRSINC-CURR</t>
  </si>
  <si>
    <t>NEW VEH ACCESSORIES - PG C COS</t>
  </si>
  <si>
    <t>657C</t>
  </si>
  <si>
    <t>01-00-657C-COS-CURR</t>
  </si>
  <si>
    <t>03-00-522OPEN-GRSINC-CURR</t>
  </si>
  <si>
    <t>NEW VEH TOTAL - PG C GROSS PROFIT</t>
  </si>
  <si>
    <t>TOTGPC</t>
  </si>
  <si>
    <t>01-00-TOTVEHC-GRSPFT-CURR</t>
  </si>
  <si>
    <t>03-00-523OPEN-GRSINC-CURR</t>
  </si>
  <si>
    <t>NEW VEHICLE SALES - PG D - ACCT 0</t>
  </si>
  <si>
    <t>01-00-400D-SALES-CURR</t>
  </si>
  <si>
    <t>03-00-524OPEN-GRSINC-CURR</t>
  </si>
  <si>
    <t>NEW VEHICLE SALES - PG D - ACCT 1</t>
  </si>
  <si>
    <t>01-00-401D-SALES-CURR</t>
  </si>
  <si>
    <t>03-00-526OPEN-GRSINC-CURR</t>
  </si>
  <si>
    <t>NEW VEHICLE SALES - PG D - ACCT 2</t>
  </si>
  <si>
    <t>01-00-402D-SALES-CURR</t>
  </si>
  <si>
    <t>03-00-527OPEN-GRSINC-CURR</t>
  </si>
  <si>
    <t>NEW VEHICLE SALES - PG D - ACCT 3</t>
  </si>
  <si>
    <t>01-00-403D-SALES-CURR</t>
  </si>
  <si>
    <t>03-00-INCMOPEN-GRSINC-CURR</t>
  </si>
  <si>
    <t>NEW VEHICLE SALES - PG D - ACCT 4</t>
  </si>
  <si>
    <t>01-00-404D-SALES-CURR</t>
  </si>
  <si>
    <t>03-00-721OPEN-COS-CURR</t>
  </si>
  <si>
    <t>NEW VEHICLE SALES - PG D - ACCT 5</t>
  </si>
  <si>
    <t>01-00-405D-SALES-CURR</t>
  </si>
  <si>
    <t>03-00-722OPEN-COS-CURR</t>
  </si>
  <si>
    <t>NEW VEHICLE SALES - PG D - ACCT 6</t>
  </si>
  <si>
    <t>01-00-406D-SALES-CURR</t>
  </si>
  <si>
    <t>03-00-723OPEN-COS-CURR</t>
  </si>
  <si>
    <t>NEW VEHICLE SALES - PG D - ACCT 7</t>
  </si>
  <si>
    <t>01-00-407D-SALES-CURR</t>
  </si>
  <si>
    <t>03-00-724OPEN-COS-CURR</t>
  </si>
  <si>
    <t>NEW VEHICLE SALES - PG D - ACCT 8</t>
  </si>
  <si>
    <t>01-00-408D-SALES-CURR</t>
  </si>
  <si>
    <t>03-00-725OPEN-COS-CURR</t>
  </si>
  <si>
    <t>NEW VEHICLE SALES - PG D - ACCT 9</t>
  </si>
  <si>
    <t>01-00-409D-SALES-CURR</t>
  </si>
  <si>
    <t>03-00-726OPEN-COS-CURR</t>
  </si>
  <si>
    <t>NEW VEHICLE SALES - PG D - ACCT 10</t>
  </si>
  <si>
    <t>01-00-410D-SALES-CURR</t>
  </si>
  <si>
    <t>03-00-727OPEN-COS-CURR</t>
  </si>
  <si>
    <t>NEW VEHICLE SALES - PG D - ACCT 11</t>
  </si>
  <si>
    <t>01-00-411D-SALES-CURR</t>
  </si>
  <si>
    <t>03-00-728OPEN-COS-CURR</t>
  </si>
  <si>
    <t>NEW VEHICLE SALES - PG D - ACCT 12</t>
  </si>
  <si>
    <t>01-00-412D-SALES-CURR</t>
  </si>
  <si>
    <t>03-00-TOTOPEN-COS-CURR</t>
  </si>
  <si>
    <t>NEW VEHICLE SALES - PG D - ACCT 13</t>
  </si>
  <si>
    <t>01-00-413D-SALES-CURR</t>
  </si>
  <si>
    <t>03-00-GPACOPEN-GRSPFT-CURR</t>
  </si>
  <si>
    <t>NEW VEHICLE SALES - PG D - ACCT 14</t>
  </si>
  <si>
    <t>01-00-414D-SALES-CURR</t>
  </si>
  <si>
    <t>03-00-520GL-AMT-CURR</t>
  </si>
  <si>
    <t>NEW VEHICLE SALES - PG D - ACCT 15</t>
  </si>
  <si>
    <t>01-00-415D-SALES-CURR</t>
  </si>
  <si>
    <t>03-00-GPINOPEN-GRSPFT-CURR</t>
  </si>
  <si>
    <t>NEW VEHICLE SALES - PG D - ACCT 16</t>
  </si>
  <si>
    <t>01-00-416D-SALES-CURR</t>
  </si>
  <si>
    <t>03-00-534RENT-GRSINC-CURR</t>
  </si>
  <si>
    <t>NEW VEHICLE SALES - PG D - ACCT 17</t>
  </si>
  <si>
    <t>01-00-417D-SALES-CURR</t>
  </si>
  <si>
    <t>03-00-535RENT-GRSINC-CURR</t>
  </si>
  <si>
    <t>NEW VEHICLE SALES - PG D - ACCT 18</t>
  </si>
  <si>
    <t>01-00-418D-SALES-CURR</t>
  </si>
  <si>
    <t>03-00-536RENT-GRSINC-CURR</t>
  </si>
  <si>
    <t>CAR - PG D - FLEET SALES</t>
  </si>
  <si>
    <t>420D</t>
  </si>
  <si>
    <t>01-00-420D-SALES-CURR</t>
  </si>
  <si>
    <t>03-00-INCMRENT-GRSINC-CURR</t>
  </si>
  <si>
    <t>CAR - PG D - INTERNAL SALES</t>
  </si>
  <si>
    <t>01-00-421D-SALES-CURR</t>
  </si>
  <si>
    <t>03-00-731RENT-COS-CURR</t>
  </si>
  <si>
    <t>NEW VEHICLE SALES - PG D - ACCT 23</t>
  </si>
  <si>
    <t>01-00-423D-SALES-CURR</t>
  </si>
  <si>
    <t>03-00-732RENT-COS-CURR</t>
  </si>
  <si>
    <t>NEW VEHICLE SALES - PG D - ACCT 24</t>
  </si>
  <si>
    <t>01-00-424D-SALES-CURR</t>
  </si>
  <si>
    <t>03-00-733RENT-COS-CURR</t>
  </si>
  <si>
    <t>NEW VEHICLE SALES - PG D - ACCT 25</t>
  </si>
  <si>
    <t>01-00-425D-SALES-CURR</t>
  </si>
  <si>
    <t>03-00-734RENT-COS-CURR</t>
  </si>
  <si>
    <t>NEW VEHICLE SALES - PG D - ACCT 26</t>
  </si>
  <si>
    <t>01-00-426D-SALES-CURR</t>
  </si>
  <si>
    <t>03-00-735RENT-COS-CURR</t>
  </si>
  <si>
    <t>NEW VEHICLE SALES - PG D - ACCT 27</t>
  </si>
  <si>
    <t>01-00-427D-SALES-CURR</t>
  </si>
  <si>
    <t>03-00-736RENT-COS-CURR</t>
  </si>
  <si>
    <t>NEW VEHICLE SALES - PG D - ACCT 28</t>
  </si>
  <si>
    <t>01-00-428D-SALES-CURR</t>
  </si>
  <si>
    <t>03-00-737RENT-COS-CURR</t>
  </si>
  <si>
    <t>NEW VEHICLE SALES - PG D - ACCT 29</t>
  </si>
  <si>
    <t>01-00-429D-SALES-CURR</t>
  </si>
  <si>
    <t>03-00-738RENT-COS-CURR</t>
  </si>
  <si>
    <t>NEW VEHICLE SALES - PG D - ACCT 30</t>
  </si>
  <si>
    <t>01-00-430D-SALES-CURR</t>
  </si>
  <si>
    <t>03-00-TOTRENT-COS-CURR</t>
  </si>
  <si>
    <t>NEW VEHICLE SALES - PG D - ACCT 31</t>
  </si>
  <si>
    <t>01-00-431D-SALES-CURR</t>
  </si>
  <si>
    <t>03-00-GPACRENT-GRSPFT-CURR</t>
  </si>
  <si>
    <t>NEW VEHICLE SALES - PG D - ACCT 32</t>
  </si>
  <si>
    <t>01-00-432D-SALES-CURR</t>
  </si>
  <si>
    <t>03-00-530GL-AMT-CURR</t>
  </si>
  <si>
    <t>NEW VEHICLE SALES - PG D - ACCT 33</t>
  </si>
  <si>
    <t>01-00-433D-SALES-CURR</t>
  </si>
  <si>
    <t>03-00-GPINRENT-GRSPFT-CURR</t>
  </si>
  <si>
    <t>NEW VEHICLE SALES - PG D - ACCT 34</t>
  </si>
  <si>
    <t>01-00-434D-SALES-CURR</t>
  </si>
  <si>
    <t>NEW VEHICLE SALES - PG D - ACCT 35</t>
  </si>
  <si>
    <t>01-00-435D-SALES-CURR</t>
  </si>
  <si>
    <t>01-00-400-001-UNIT-CURR</t>
  </si>
  <si>
    <t>NEW VEHICLE SALES - PG D - ACCT 36</t>
  </si>
  <si>
    <t>01-00-436D-SALES-CURR</t>
  </si>
  <si>
    <t>01-00-401-001-UNIT-CURR</t>
  </si>
  <si>
    <t>NEW VEHICLE SALES - PG D - ACCT 37</t>
  </si>
  <si>
    <t>01-00-437D-SALES-CURR</t>
  </si>
  <si>
    <t>01-00-402-001-UNIT-CURR</t>
  </si>
  <si>
    <t>NEW VEHICLE SALES - PG D - ACCT 38</t>
  </si>
  <si>
    <t>01-00-438D-SALES-CURR</t>
  </si>
  <si>
    <t>01-00-403-001-UNIT-CURR</t>
  </si>
  <si>
    <t>TRUCK - PG D - FLEET SALES</t>
  </si>
  <si>
    <t>440D</t>
  </si>
  <si>
    <t>01-00-440D-SALES-CURR</t>
  </si>
  <si>
    <t>01-00-404-001-UNIT-CURR</t>
  </si>
  <si>
    <t>TRUCK - PG D - INTERNAL SALES</t>
  </si>
  <si>
    <t>01-00-441D-SALES-CURR</t>
  </si>
  <si>
    <t>01-00-405-001-UNIT-CURR</t>
  </si>
  <si>
    <t>NEW VEH ACCESSORIES - PG D SALES</t>
  </si>
  <si>
    <t>01-00-457D-SALES-CURR</t>
  </si>
  <si>
    <t>01-00-406-001-UNIT-CURR</t>
  </si>
  <si>
    <t>NEW VEHICLE COS - PG D - ACCT 0</t>
  </si>
  <si>
    <t>600D</t>
  </si>
  <si>
    <t>01-00-600D-COS-CURR</t>
  </si>
  <si>
    <t>01-00-407-001-UNIT-CURR</t>
  </si>
  <si>
    <t>NEW VEHICLE COS - PG D - ACCT 1</t>
  </si>
  <si>
    <t>601D</t>
  </si>
  <si>
    <t>01-00-601D-COS-CURR</t>
  </si>
  <si>
    <t>01-00-408-001-UNIT-CURR</t>
  </si>
  <si>
    <t>NEW VEHICLE COS - PG D - ACCT 2</t>
  </si>
  <si>
    <t>602D</t>
  </si>
  <si>
    <t>01-00-602D-COS-CURR</t>
  </si>
  <si>
    <t>01-00-409-001-UNIT-CURR</t>
  </si>
  <si>
    <t>NEW VEHICLE COS - PG D - ACCT 3</t>
  </si>
  <si>
    <t>603D</t>
  </si>
  <si>
    <t>01-00-603D-COS-CURR</t>
  </si>
  <si>
    <t>01-00-410-001-UNIT-CURR</t>
  </si>
  <si>
    <t>NEW VEHICLE COS - PG D - ACCT 4</t>
  </si>
  <si>
    <t>604D</t>
  </si>
  <si>
    <t>01-00-604D-COS-CURR</t>
  </si>
  <si>
    <t>01-00-411-001-UNIT-CURR</t>
  </si>
  <si>
    <t>NEW VEHICLE COS - PG D - ACCT 5</t>
  </si>
  <si>
    <t>605D</t>
  </si>
  <si>
    <t>01-00-605D-COS-CURR</t>
  </si>
  <si>
    <t>01-00-412-001-UNIT-CURR</t>
  </si>
  <si>
    <t>NEW VEHICLE COS - PG D - ACCT 6</t>
  </si>
  <si>
    <t>606D</t>
  </si>
  <si>
    <t>01-00-606D-COS-CURR</t>
  </si>
  <si>
    <t>01-00-413-001-UNIT-CURR</t>
  </si>
  <si>
    <t>NEW VEHICLE COS - PG D - ACCT 7</t>
  </si>
  <si>
    <t>607D</t>
  </si>
  <si>
    <t>01-00-607D-COS-CURR</t>
  </si>
  <si>
    <t>01-00-414-001-UNIT-CURR</t>
  </si>
  <si>
    <t>NEW VEHICLE COS - PG D - ACCT 8</t>
  </si>
  <si>
    <t>608D</t>
  </si>
  <si>
    <t>01-00-608D-COS-CURR</t>
  </si>
  <si>
    <t>01-00-415-001-UNIT-CURR</t>
  </si>
  <si>
    <t>NEW VEHICLE COS - PG D - ACCT 9</t>
  </si>
  <si>
    <t>609D</t>
  </si>
  <si>
    <t>01-00-609D-COS-CURR</t>
  </si>
  <si>
    <t>01-00-416-001-UNIT-CURR</t>
  </si>
  <si>
    <t>NEW VEHICLE COS - PG D - ACCT 10</t>
  </si>
  <si>
    <t>610D</t>
  </si>
  <si>
    <t>01-00-610D-COS-CURR</t>
  </si>
  <si>
    <t>01-00-417-001-UNIT-CURR</t>
  </si>
  <si>
    <t>NEW VEHICLE COS - PG D - ACCT 11</t>
  </si>
  <si>
    <t>611D</t>
  </si>
  <si>
    <t>01-00-611D-COS-CURR</t>
  </si>
  <si>
    <t>01-00-418-001-UNIT-CURR</t>
  </si>
  <si>
    <t>NEW VEHICLE COS - PG D - ACCT 12</t>
  </si>
  <si>
    <t>612D</t>
  </si>
  <si>
    <t>01-00-612D-COS-CURR</t>
  </si>
  <si>
    <t>01-00-423-001-UNIT-CURR</t>
  </si>
  <si>
    <t>NEW VEHICLE COS - PG D - ACCT 13</t>
  </si>
  <si>
    <t>613D</t>
  </si>
  <si>
    <t>01-00-613D-COS-CURR</t>
  </si>
  <si>
    <t>01-00-424-001-UNIT-CURR</t>
  </si>
  <si>
    <t>NEW VEHICLE COS - PG D - ACCT 14</t>
  </si>
  <si>
    <t>614D</t>
  </si>
  <si>
    <t>01-00-614D-COS-CURR</t>
  </si>
  <si>
    <t>01-00-425-001-UNIT-CURR</t>
  </si>
  <si>
    <t>NEW VEHICLE COS - PG D - ACCT 15</t>
  </si>
  <si>
    <t>615D</t>
  </si>
  <si>
    <t>01-00-615D-COS-CURR</t>
  </si>
  <si>
    <t>01-00-426-001-UNIT-CURR</t>
  </si>
  <si>
    <t>NEW VEHICLE COS - PG D - ACCT 16</t>
  </si>
  <si>
    <t>616D</t>
  </si>
  <si>
    <t>01-00-616D-COS-CURR</t>
  </si>
  <si>
    <t>01-00-427-001-UNIT-CURR</t>
  </si>
  <si>
    <t>NEW VEHICLE COS - PG D - ACCT 17</t>
  </si>
  <si>
    <t>617D</t>
  </si>
  <si>
    <t>01-00-617D-COS-CURR</t>
  </si>
  <si>
    <t>01-00-428-001-UNIT-CURR</t>
  </si>
  <si>
    <t>NEW VEHICLE COS - PG D - ACCT 18</t>
  </si>
  <si>
    <t>618D</t>
  </si>
  <si>
    <t>01-00-618D-COS-CURR</t>
  </si>
  <si>
    <t>01-00-429-001-UNIT-CURR</t>
  </si>
  <si>
    <t>CAR - PG D - FLEET COS</t>
  </si>
  <si>
    <t>620D</t>
  </si>
  <si>
    <t>01-00-620D-COS-CURR</t>
  </si>
  <si>
    <t>01-00-430-001-UNIT-CURR</t>
  </si>
  <si>
    <t>CAR - PG D - INTERNAL COS</t>
  </si>
  <si>
    <t>621D</t>
  </si>
  <si>
    <t>01-00-621D-COS-CURR</t>
  </si>
  <si>
    <t>01-00-431-001-UNIT-CURR</t>
  </si>
  <si>
    <t>NEW VEHICLE COS - PG D - ACCT 23</t>
  </si>
  <si>
    <t>623D</t>
  </si>
  <si>
    <t>01-00-623D-COS-CURR</t>
  </si>
  <si>
    <t>01-00-432-001-UNIT-CURR</t>
  </si>
  <si>
    <t>NEW VEHICLE COS - PG D - ACCT 24</t>
  </si>
  <si>
    <t>624D</t>
  </si>
  <si>
    <t>01-00-624D-COS-CURR</t>
  </si>
  <si>
    <t>01-00-433-001-UNIT-CURR</t>
  </si>
  <si>
    <t>NEW VEHICLE COS - PG D - ACCT 25</t>
  </si>
  <si>
    <t>625D</t>
  </si>
  <si>
    <t>01-00-625D-COS-CURR</t>
  </si>
  <si>
    <t>01-00-434-001-UNIT-CURR</t>
  </si>
  <si>
    <t>NEW VEHICLE COS - PG D - ACCT 26</t>
  </si>
  <si>
    <t>626D</t>
  </si>
  <si>
    <t>01-00-626D-COS-CURR</t>
  </si>
  <si>
    <t>01-00-435-001-UNIT-CURR</t>
  </si>
  <si>
    <t>NEW VEHICLE COS - PG D - ACCT 27</t>
  </si>
  <si>
    <t>627D</t>
  </si>
  <si>
    <t>01-00-627D-COS-CURR</t>
  </si>
  <si>
    <t>01-00-436-001-UNIT-CURR</t>
  </si>
  <si>
    <t>NEW VEHICLE COS - PG D - ACCT 28</t>
  </si>
  <si>
    <t>628D</t>
  </si>
  <si>
    <t>01-00-628D-COS-CURR</t>
  </si>
  <si>
    <t>01-00-437-001-UNIT-CURR</t>
  </si>
  <si>
    <t>NEW VEHICLE COS - PG D - ACCT 29</t>
  </si>
  <si>
    <t>629D</t>
  </si>
  <si>
    <t>01-00-629D-COS-CURR</t>
  </si>
  <si>
    <t>01-00-438-001-UNIT-CURR</t>
  </si>
  <si>
    <t>NEW VEHICLE COS - PG D - ACCT 30</t>
  </si>
  <si>
    <t>630D</t>
  </si>
  <si>
    <t>01-00-630D-COS-CURR</t>
  </si>
  <si>
    <t>01-00-400-002-UNIT-CURR</t>
  </si>
  <si>
    <t>NEW VEHICLE COS - PG D - ACCT 31</t>
  </si>
  <si>
    <t>631D</t>
  </si>
  <si>
    <t>01-00-631D-COS-CURR</t>
  </si>
  <si>
    <t>01-00-401-002-UNIT-CURR</t>
  </si>
  <si>
    <t>NEW VEHICLE COS - PG D - ACCT 32</t>
  </si>
  <si>
    <t>632D</t>
  </si>
  <si>
    <t>01-00-632D-COS-CURR</t>
  </si>
  <si>
    <t>01-00-402-002-UNIT-CURR</t>
  </si>
  <si>
    <t>NEW VEHICLE COS - PG D - ACCT 33</t>
  </si>
  <si>
    <t>633D</t>
  </si>
  <si>
    <t>01-00-633D-COS-CURR</t>
  </si>
  <si>
    <t>01-00-403-002-UNIT-CURR</t>
  </si>
  <si>
    <t>NEW VEHICLE COS - PG D - ACCT 34</t>
  </si>
  <si>
    <t>634D</t>
  </si>
  <si>
    <t>01-00-634D-COS-CURR</t>
  </si>
  <si>
    <t>01-00-404-002-UNIT-CURR</t>
  </si>
  <si>
    <t>NEW VEHICLE COS - PG D - ACCT 35</t>
  </si>
  <si>
    <t>635D</t>
  </si>
  <si>
    <t>01-00-635D-COS-CURR</t>
  </si>
  <si>
    <t>01-00-405-002-UNIT-CURR</t>
  </si>
  <si>
    <t>NEW VEHICLE COS - PG D - ACCT 36</t>
  </si>
  <si>
    <t>636D</t>
  </si>
  <si>
    <t>01-00-636D-COS-CURR</t>
  </si>
  <si>
    <t>01-00-406-002-UNIT-CURR</t>
  </si>
  <si>
    <t>NEW VEHICLE COS - PG D - ACCT 37</t>
  </si>
  <si>
    <t>637D</t>
  </si>
  <si>
    <t>01-00-637D-COS-CURR</t>
  </si>
  <si>
    <t>01-00-407-002-UNIT-CURR</t>
  </si>
  <si>
    <t>NEW VEHICLE COS - PG D - ACCT 38</t>
  </si>
  <si>
    <t>638D</t>
  </si>
  <si>
    <t>01-00-638D-COS-CURR</t>
  </si>
  <si>
    <t>01-00-408-002-UNIT-CURR</t>
  </si>
  <si>
    <t>TRUCK - PG D - FLEET COS</t>
  </si>
  <si>
    <t>640D</t>
  </si>
  <si>
    <t>01-00-640D-COS-CURR</t>
  </si>
  <si>
    <t>01-00-409-002-UNIT-CURR</t>
  </si>
  <si>
    <t>TRUCK - PG D - INTERNAL COS</t>
  </si>
  <si>
    <t>641D</t>
  </si>
  <si>
    <t>01-00-641D-COS-CURR</t>
  </si>
  <si>
    <t>01-00-410-002-UNIT-CURR</t>
  </si>
  <si>
    <t>NEW VEH ACCESSORIES - PG D COS</t>
  </si>
  <si>
    <t>657D</t>
  </si>
  <si>
    <t>01-00-657D-COS-CURR</t>
  </si>
  <si>
    <t>01-00-411-002-UNIT-CURR</t>
  </si>
  <si>
    <t>NEW VEH TOTAL - PG D GROSS PROFIT</t>
  </si>
  <si>
    <t>TOTGPD</t>
  </si>
  <si>
    <t>01-00-TOTVEHD-GRSPFT-CURR</t>
  </si>
  <si>
    <t>01-00-412-002-UNIT-CURR</t>
  </si>
  <si>
    <t>NEW VEHICLE SALES - PG E - ACCT 0</t>
  </si>
  <si>
    <t>01-00-400E-SALES-CURR</t>
  </si>
  <si>
    <t>01-00-413-002-UNIT-CURR</t>
  </si>
  <si>
    <t>NEW VEHICLE SALES - PG E - ACCT 1</t>
  </si>
  <si>
    <t>01-00-401E-SALES-CURR</t>
  </si>
  <si>
    <t>01-00-414-002-UNIT-CURR</t>
  </si>
  <si>
    <t>NEW VEHICLE SALES - PG E - ACCT 2</t>
  </si>
  <si>
    <t>01-00-402E-SALES-CURR</t>
  </si>
  <si>
    <t>01-00-415-002-UNIT-CURR</t>
  </si>
  <si>
    <t>NEW VEHICLE SALES - PG E - ACCT 3</t>
  </si>
  <si>
    <t>01-00-403E-SALES-CURR</t>
  </si>
  <si>
    <t>01-00-416-002-UNIT-CURR</t>
  </si>
  <si>
    <t>NEW VEHICLE SALES - PG E - ACCT 4</t>
  </si>
  <si>
    <t>01-00-404E-SALES-CURR</t>
  </si>
  <si>
    <t>01-00-417-002-UNIT-CURR</t>
  </si>
  <si>
    <t>NEW VEHICLE SALES - PG E - ACCT 5</t>
  </si>
  <si>
    <t>01-00-405E-SALES-CURR</t>
  </si>
  <si>
    <t>01-00-418-002-UNIT-CURR</t>
  </si>
  <si>
    <t>NEW VEHICLE SALES - PG E - ACCT 6</t>
  </si>
  <si>
    <t>01-00-406E-SALES-CURR</t>
  </si>
  <si>
    <t>01-00-423-002-UNIT-CURR</t>
  </si>
  <si>
    <t>NEW VEHICLE SALES - PG E - ACCT 7</t>
  </si>
  <si>
    <t>01-00-407E-SALES-CURR</t>
  </si>
  <si>
    <t>01-00-424-002-UNIT-CURR</t>
  </si>
  <si>
    <t>NEW VEHICLE SALES - PG E - ACCT 8</t>
  </si>
  <si>
    <t>01-00-408E-SALES-CURR</t>
  </si>
  <si>
    <t>01-00-425-002-UNIT-CURR</t>
  </si>
  <si>
    <t>NEW VEHICLE SALES - PG E - ACCT 9</t>
  </si>
  <si>
    <t>01-00-409E-SALES-CURR</t>
  </si>
  <si>
    <t>01-00-426-002-UNIT-CURR</t>
  </si>
  <si>
    <t>NEW VEHICLE SALES - PG E - ACCT 10</t>
  </si>
  <si>
    <t>01-00-410E-SALES-CURR</t>
  </si>
  <si>
    <t>01-00-427-002-UNIT-CURR</t>
  </si>
  <si>
    <t>NEW VEHICLE SALES - PG E - ACCT 11</t>
  </si>
  <si>
    <t>01-00-411E-SALES-CURR</t>
  </si>
  <si>
    <t>01-00-428-002-UNIT-CURR</t>
  </si>
  <si>
    <t>NEW VEHICLE SALES - PG E - ACCT 12</t>
  </si>
  <si>
    <t>01-00-412E-SALES-CURR</t>
  </si>
  <si>
    <t>01-00-429-002-UNIT-CURR</t>
  </si>
  <si>
    <t>NEW VEHICLE SALES - PG E - ACCT 13</t>
  </si>
  <si>
    <t>01-00-413E-SALES-CURR</t>
  </si>
  <si>
    <t>01-00-430-002-UNIT-CURR</t>
  </si>
  <si>
    <t>NEW VEHICLE SALES - PG E - ACCT 14</t>
  </si>
  <si>
    <t>01-00-414E-SALES-CURR</t>
  </si>
  <si>
    <t>01-00-431-002-UNIT-CURR</t>
  </si>
  <si>
    <t>NEW VEHICLE SALES - PG E - ACCT 15</t>
  </si>
  <si>
    <t>01-00-415E-SALES-CURR</t>
  </si>
  <si>
    <t>01-00-432-002-UNIT-CURR</t>
  </si>
  <si>
    <t>NEW VEHICLE SALES - PG E - ACCT 16</t>
  </si>
  <si>
    <t>01-00-416E-SALES-CURR</t>
  </si>
  <si>
    <t>01-00-433-002-UNIT-CURR</t>
  </si>
  <si>
    <t>NEW VEHICLE SALES - PG E - ACCT 17</t>
  </si>
  <si>
    <t>01-00-417E-SALES-CURR</t>
  </si>
  <si>
    <t>01-00-434-002-UNIT-CURR</t>
  </si>
  <si>
    <t>NEW VEHICLE SALES - PG E - ACCT 18</t>
  </si>
  <si>
    <t>01-00-418E-SALES-CURR</t>
  </si>
  <si>
    <t>01-00-435-002-UNIT-CURR</t>
  </si>
  <si>
    <t>CAR - NP-PG E - FLEET SALES</t>
  </si>
  <si>
    <t>420E</t>
  </si>
  <si>
    <t>01-00-420E-SALES-CURR</t>
  </si>
  <si>
    <t>01-00-436-002-UNIT-CURR</t>
  </si>
  <si>
    <t>CAR - NP-PG E - INTERNAL SALES</t>
  </si>
  <si>
    <t>01-00-421E-SALES-CURR</t>
  </si>
  <si>
    <t>01-00-437-002-UNIT-CURR</t>
  </si>
  <si>
    <t>NEW VEHICLE SALES - PG E - ACCT 23</t>
  </si>
  <si>
    <t>01-00-423E-SALES-CURR</t>
  </si>
  <si>
    <t>01-00-438-002-UNIT-CURR</t>
  </si>
  <si>
    <t>NEW VEHICLE SALES - PG E - ACCT 24</t>
  </si>
  <si>
    <t>01-00-424E-SALES-CURR</t>
  </si>
  <si>
    <t>01-00-400-003-UNIT-CURR</t>
  </si>
  <si>
    <t>NEW VEHICLE SALES - PG E - ACCT 25</t>
  </si>
  <si>
    <t>01-00-425E-SALES-CURR</t>
  </si>
  <si>
    <t>01-00-401-003-UNIT-CURR</t>
  </si>
  <si>
    <t>NEW VEHICLE SALES - PG E - ACCT 26</t>
  </si>
  <si>
    <t>01-00-426E-SALES-CURR</t>
  </si>
  <si>
    <t>01-00-402-003-UNIT-CURR</t>
  </si>
  <si>
    <t>NEW VEHICLE SALES - PG E - ACCT 27</t>
  </si>
  <si>
    <t>01-00-427E-SALES-CURR</t>
  </si>
  <si>
    <t>01-00-403-003-UNIT-CURR</t>
  </si>
  <si>
    <t>NEW VEHICLE SALES - PG E - ACCT 28</t>
  </si>
  <si>
    <t>01-00-428E-SALES-CURR</t>
  </si>
  <si>
    <t>01-00-404-003-UNIT-CURR</t>
  </si>
  <si>
    <t>NEW VEHICLE SALES - PG E - ACCT 29</t>
  </si>
  <si>
    <t>01-00-429E-SALES-CURR</t>
  </si>
  <si>
    <t>01-00-405-003-UNIT-CURR</t>
  </si>
  <si>
    <t>NEW VEHICLE SALES - PG E - ACCT 30</t>
  </si>
  <si>
    <t>01-00-430E-SALES-CURR</t>
  </si>
  <si>
    <t>01-00-406-003-UNIT-CURR</t>
  </si>
  <si>
    <t>NEW VEHICLE SALES - PG E - ACCT 31</t>
  </si>
  <si>
    <t>01-00-431E-SALES-CURR</t>
  </si>
  <si>
    <t>01-00-407-003-UNIT-CURR</t>
  </si>
  <si>
    <t>NEW VEHICLE SALES - PG E - ACCT 32</t>
  </si>
  <si>
    <t>01-00-432E-SALES-CURR</t>
  </si>
  <si>
    <t>01-00-408-003-UNIT-CURR</t>
  </si>
  <si>
    <t>NEW VEHICLE SALES - PG E - ACCT 33</t>
  </si>
  <si>
    <t>01-00-433E-SALES-CURR</t>
  </si>
  <si>
    <t>01-00-409-003-UNIT-CURR</t>
  </si>
  <si>
    <t>NEW VEHICLE SALES - PG E - ACCT 34</t>
  </si>
  <si>
    <t>01-00-434E-SALES-CURR</t>
  </si>
  <si>
    <t>01-00-410-003-UNIT-CURR</t>
  </si>
  <si>
    <t>NEW VEHICLE SALES - PG E - ACCT 35</t>
  </si>
  <si>
    <t>01-00-435E-SALES-CURR</t>
  </si>
  <si>
    <t>01-00-411-003-UNIT-CURR</t>
  </si>
  <si>
    <t>NEW VEHICLE SALES - PG E - ACCT 36</t>
  </si>
  <si>
    <t>01-00-436E-SALES-CURR</t>
  </si>
  <si>
    <t>01-00-412-003-UNIT-CURR</t>
  </si>
  <si>
    <t>NEW VEHICLE SALES - PG E - ACCT 37</t>
  </si>
  <si>
    <t>01-00-437E-SALES-CURR</t>
  </si>
  <si>
    <t>01-00-413-003-UNIT-CURR</t>
  </si>
  <si>
    <t>NEW VEHICLE SALES - PG E - ACCT 38</t>
  </si>
  <si>
    <t>01-00-438E-SALES-CURR</t>
  </si>
  <si>
    <t>01-00-414-003-UNIT-CURR</t>
  </si>
  <si>
    <t>TRUCK - NP-PG E - FLEET SALES</t>
  </si>
  <si>
    <t>440E</t>
  </si>
  <si>
    <t>01-00-440E-SALES-CURR</t>
  </si>
  <si>
    <t>01-00-415-003-UNIT-CURR</t>
  </si>
  <si>
    <t>TRUCK - NP-PG E - INTERNAL SALES</t>
  </si>
  <si>
    <t>01-00-441E-SALES-CURR</t>
  </si>
  <si>
    <t>01-00-416-003-UNIT-CURR</t>
  </si>
  <si>
    <t>NEW VEH ACCESSORIES - PG E SALES</t>
  </si>
  <si>
    <t>01-00-457E-SALES-CURR</t>
  </si>
  <si>
    <t>01-00-417-003-UNIT-CURR</t>
  </si>
  <si>
    <t>NEW VEHICLE COS - PG E - ACCT 0</t>
  </si>
  <si>
    <t>600E</t>
  </si>
  <si>
    <t>01-00-600E-COS-CURR</t>
  </si>
  <si>
    <t>01-00-418-003-UNIT-CURR</t>
  </si>
  <si>
    <t>NEW VEHICLE COS - PG E - ACCT 1</t>
  </si>
  <si>
    <t>601E</t>
  </si>
  <si>
    <t>01-00-601E-COS-CURR</t>
  </si>
  <si>
    <t>01-00-423-003-UNIT-CURR</t>
  </si>
  <si>
    <t>NEW VEHICLE COS - PG E - ACCT 2</t>
  </si>
  <si>
    <t>602E</t>
  </si>
  <si>
    <t>01-00-602E-COS-CURR</t>
  </si>
  <si>
    <t>01-00-424-003-UNIT-CURR</t>
  </si>
  <si>
    <t>NEW VEHICLE COS - PG E - ACCT 3</t>
  </si>
  <si>
    <t>603E</t>
  </si>
  <si>
    <t>01-00-603E-COS-CURR</t>
  </si>
  <si>
    <t>01-00-425-003-UNIT-CURR</t>
  </si>
  <si>
    <t>NEW VEHICLE COS - PG E - ACCT 4</t>
  </si>
  <si>
    <t>604E</t>
  </si>
  <si>
    <t>01-00-604E-COS-CURR</t>
  </si>
  <si>
    <t>01-00-426-003-UNIT-CURR</t>
  </si>
  <si>
    <t>NEW VEHICLE COS - PG E - ACCT 5</t>
  </si>
  <si>
    <t>605E</t>
  </si>
  <si>
    <t>01-00-605E-COS-CURR</t>
  </si>
  <si>
    <t>01-00-427-003-UNIT-CURR</t>
  </si>
  <si>
    <t>NEW VEHICLE COS - PG E - ACCT 6</t>
  </si>
  <si>
    <t>606E</t>
  </si>
  <si>
    <t>01-00-606E-COS-CURR</t>
  </si>
  <si>
    <t>01-00-428-003-UNIT-CURR</t>
  </si>
  <si>
    <t>NEW VEHICLE COS - PG E - ACCT 7</t>
  </si>
  <si>
    <t>607E</t>
  </si>
  <si>
    <t>01-00-607E-COS-CURR</t>
  </si>
  <si>
    <t>01-00-429-003-UNIT-CURR</t>
  </si>
  <si>
    <t>NEW VEHICLE COS - PG E - ACCT 8</t>
  </si>
  <si>
    <t>608E</t>
  </si>
  <si>
    <t>01-00-608E-COS-CURR</t>
  </si>
  <si>
    <t>01-00-430-003-UNIT-CURR</t>
  </si>
  <si>
    <t>NEW VEHICLE COS - PG E - ACCT 9</t>
  </si>
  <si>
    <t>609E</t>
  </si>
  <si>
    <t>01-00-609E-COS-CURR</t>
  </si>
  <si>
    <t>01-00-431-003-UNIT-CURR</t>
  </si>
  <si>
    <t>NEW VEHICLE COS - PG E - ACCT 10</t>
  </si>
  <si>
    <t>610E</t>
  </si>
  <si>
    <t>01-00-610E-COS-CURR</t>
  </si>
  <si>
    <t>01-00-432-003-UNIT-CURR</t>
  </si>
  <si>
    <t>NEW VEHICLE COS - PG E - ACCT 11</t>
  </si>
  <si>
    <t>611E</t>
  </si>
  <si>
    <t>01-00-611E-COS-CURR</t>
  </si>
  <si>
    <t>01-00-433-003-UNIT-CURR</t>
  </si>
  <si>
    <t>NEW VEHICLE COS - PG E - ACCT 12</t>
  </si>
  <si>
    <t>612E</t>
  </si>
  <si>
    <t>01-00-612E-COS-CURR</t>
  </si>
  <si>
    <t>01-00-434-003-UNIT-CURR</t>
  </si>
  <si>
    <t>NEW VEHICLE COS - PG E - ACCT 13</t>
  </si>
  <si>
    <t>613E</t>
  </si>
  <si>
    <t>01-00-613E-COS-CURR</t>
  </si>
  <si>
    <t>01-00-435-003-UNIT-CURR</t>
  </si>
  <si>
    <t>NEW VEHICLE COS - PG E - ACCT 14</t>
  </si>
  <si>
    <t>614E</t>
  </si>
  <si>
    <t>01-00-614E-COS-CURR</t>
  </si>
  <si>
    <t>01-00-436-003-UNIT-CURR</t>
  </si>
  <si>
    <t>NEW VEHICLE COS - PG E - ACCT 15</t>
  </si>
  <si>
    <t>615E</t>
  </si>
  <si>
    <t>01-00-615E-COS-CURR</t>
  </si>
  <si>
    <t>01-00-437-003-UNIT-CURR</t>
  </si>
  <si>
    <t>NEW VEHICLE COS - PG E - ACCT 16</t>
  </si>
  <si>
    <t>616E</t>
  </si>
  <si>
    <t>01-00-616E-COS-CURR</t>
  </si>
  <si>
    <t>01-00-438-003-UNIT-CURR</t>
  </si>
  <si>
    <t>NEW VEHICLE COS - PG E - ACCT 17</t>
  </si>
  <si>
    <t>617E</t>
  </si>
  <si>
    <t>01-00-617E-COS-CURR</t>
  </si>
  <si>
    <t>01-00-400-004-UNIT-CURR</t>
  </si>
  <si>
    <t>NEW VEHICLE COS - PG E - ACCT 18</t>
  </si>
  <si>
    <t>618E</t>
  </si>
  <si>
    <t>01-00-618E-COS-CURR</t>
  </si>
  <si>
    <t>01-00-401-004-UNIT-CURR</t>
  </si>
  <si>
    <t>CAR - PG E - FLEET COS</t>
  </si>
  <si>
    <t>620E</t>
  </si>
  <si>
    <t>01-00-620E-COS-CURR</t>
  </si>
  <si>
    <t>01-00-402-004-UNIT-CURR</t>
  </si>
  <si>
    <t>CAR - PG E - INTERNAL COS</t>
  </si>
  <si>
    <t>621E</t>
  </si>
  <si>
    <t>01-00-621E-COS-CURR</t>
  </si>
  <si>
    <t>01-00-403-004-UNIT-CURR</t>
  </si>
  <si>
    <t>NEW VEHICLE COS - PG E - ACCT 23</t>
  </si>
  <si>
    <t>623E</t>
  </si>
  <si>
    <t>01-00-623E-COS-CURR</t>
  </si>
  <si>
    <t>01-00-404-004-UNIT-CURR</t>
  </si>
  <si>
    <t>NEW VEHICLE COS - PG E - ACCT 24</t>
  </si>
  <si>
    <t>624E</t>
  </si>
  <si>
    <t>01-00-624E-COS-CURR</t>
  </si>
  <si>
    <t>01-00-405-004-UNIT-CURR</t>
  </si>
  <si>
    <t>NEW VEHICLE COS - PG E - ACCT 25</t>
  </si>
  <si>
    <t>625E</t>
  </si>
  <si>
    <t>01-00-625E-COS-CURR</t>
  </si>
  <si>
    <t>01-00-406-004-UNIT-CURR</t>
  </si>
  <si>
    <t>NEW VEHICLE COS - PG E - ACCT 26</t>
  </si>
  <si>
    <t>626E</t>
  </si>
  <si>
    <t>01-00-626E-COS-CURR</t>
  </si>
  <si>
    <t>01-00-407-004-UNIT-CURR</t>
  </si>
  <si>
    <t>NEW VEHICLE COS - PG E - ACCT 27</t>
  </si>
  <si>
    <t>627E</t>
  </si>
  <si>
    <t>01-00-627E-COS-CURR</t>
  </si>
  <si>
    <t>01-00-408-004-UNIT-CURR</t>
  </si>
  <si>
    <t>NEW VEHICLE COS - PG E - ACCT 28</t>
  </si>
  <si>
    <t>628E</t>
  </si>
  <si>
    <t>01-00-628E-COS-CURR</t>
  </si>
  <si>
    <t>01-00-409-004-UNIT-CURR</t>
  </si>
  <si>
    <t>NEW VEHICLE COS - PG E - ACCT 29</t>
  </si>
  <si>
    <t>629E</t>
  </si>
  <si>
    <t>01-00-629E-COS-CURR</t>
  </si>
  <si>
    <t>01-00-410-004-UNIT-CURR</t>
  </si>
  <si>
    <t>NEW VEHICLE COS - PG E - ACCT 30</t>
  </si>
  <si>
    <t>630E</t>
  </si>
  <si>
    <t>01-00-630E-COS-CURR</t>
  </si>
  <si>
    <t>01-00-411-004-UNIT-CURR</t>
  </si>
  <si>
    <t>NEW VEHICLE COS - PG E - ACCT 31</t>
  </si>
  <si>
    <t>631E</t>
  </si>
  <si>
    <t>01-00-631E-COS-CURR</t>
  </si>
  <si>
    <t>01-00-412-004-UNIT-CURR</t>
  </si>
  <si>
    <t>NEW VEHICLE COS - PG E - ACCT 32</t>
  </si>
  <si>
    <t>632E</t>
  </si>
  <si>
    <t>01-00-632E-COS-CURR</t>
  </si>
  <si>
    <t>01-00-413-004-UNIT-CURR</t>
  </si>
  <si>
    <t>NEW VEHICLE COS - PG E - ACCT 33</t>
  </si>
  <si>
    <t>633E</t>
  </si>
  <si>
    <t>01-00-633E-COS-CURR</t>
  </si>
  <si>
    <t>01-00-414-004-UNIT-CURR</t>
  </si>
  <si>
    <t>NEW VEHICLE COS - PG E - ACCT 34</t>
  </si>
  <si>
    <t>634E</t>
  </si>
  <si>
    <t>01-00-634E-COS-CURR</t>
  </si>
  <si>
    <t>01-00-415-004-UNIT-CURR</t>
  </si>
  <si>
    <t>NEW VEHICLE COS - PG E - ACCT 35</t>
  </si>
  <si>
    <t>635E</t>
  </si>
  <si>
    <t>01-00-635E-COS-CURR</t>
  </si>
  <si>
    <t>01-00-416-004-UNIT-CURR</t>
  </si>
  <si>
    <t>NEW VEHICLE COS - PG E - ACCT 36</t>
  </si>
  <si>
    <t>636E</t>
  </si>
  <si>
    <t>01-00-636E-COS-CURR</t>
  </si>
  <si>
    <t>01-00-417-004-UNIT-CURR</t>
  </si>
  <si>
    <t>NEW VEHICLE COS - PG E - ACCT 37</t>
  </si>
  <si>
    <t>637E</t>
  </si>
  <si>
    <t>01-00-637E-COS-CURR</t>
  </si>
  <si>
    <t>01-00-418-004-UNIT-CURR</t>
  </si>
  <si>
    <t>NEW VEHICLE COS - PG E - ACCT 38</t>
  </si>
  <si>
    <t>638E</t>
  </si>
  <si>
    <t>01-00-638E-COS-CURR</t>
  </si>
  <si>
    <t>01-00-423-004-UNIT-CURR</t>
  </si>
  <si>
    <t>TRUCK - PG E - FLEET COS</t>
  </si>
  <si>
    <t>640E</t>
  </si>
  <si>
    <t>01-00-640E-COS-CURR</t>
  </si>
  <si>
    <t>01-00-424-004-UNIT-CURR</t>
  </si>
  <si>
    <t>TRUCK - PG E - INTERNAL COS</t>
  </si>
  <si>
    <t>641E</t>
  </si>
  <si>
    <t>01-00-641E-COS-CURR</t>
  </si>
  <si>
    <t>01-00-425-004-UNIT-CURR</t>
  </si>
  <si>
    <t>NEW VEH ACCESSORIES - PG E COS</t>
  </si>
  <si>
    <t>657E</t>
  </si>
  <si>
    <t>01-00-657E-COS-CURR</t>
  </si>
  <si>
    <t>01-00-426-004-UNIT-CURR</t>
  </si>
  <si>
    <t>NEW VEH - TOTAL PG E GROSS PROFIT</t>
  </si>
  <si>
    <t>TOTGPE</t>
  </si>
  <si>
    <t>01-00-TOTVEHE-GRSPFT-CURR</t>
  </si>
  <si>
    <t>01-00-427-004-UNIT-CURR</t>
  </si>
  <si>
    <t>NEW VEHICLE SALES -  PG F - ACCT 0</t>
  </si>
  <si>
    <t>01-00-400F-SALES-CURR</t>
  </si>
  <si>
    <t>01-00-428-004-UNIT-CURR</t>
  </si>
  <si>
    <t>NEW VEHICLE SALES -  PG F - ACCT 1</t>
  </si>
  <si>
    <t>01-00-401F-SALES-CURR</t>
  </si>
  <si>
    <t>01-00-429-004-UNIT-CURR</t>
  </si>
  <si>
    <t>NEW VEHICLE SALES -  PG F - ACCT 2</t>
  </si>
  <si>
    <t>01-00-402F-SALES-CURR</t>
  </si>
  <si>
    <t>01-00-430-004-UNIT-CURR</t>
  </si>
  <si>
    <t>NEW VEHICLE SALES -  PG F - ACCT 3</t>
  </si>
  <si>
    <t>01-00-403F-SALES-CURR</t>
  </si>
  <si>
    <t>01-00-431-004-UNIT-CURR</t>
  </si>
  <si>
    <t>NEW VEHICLE SALES -  PG F - ACCT 4</t>
  </si>
  <si>
    <t>01-00-404F-SALES-CURR</t>
  </si>
  <si>
    <t>01-00-432-004-UNIT-CURR</t>
  </si>
  <si>
    <t>NEW VEHICLE SALES -  PG F - ACCT 5</t>
  </si>
  <si>
    <t>01-00-405F-SALES-CURR</t>
  </si>
  <si>
    <t>01-00-433-004-UNIT-CURR</t>
  </si>
  <si>
    <t>NEW VEHICLE SALES -  PG F - ACCT 6</t>
  </si>
  <si>
    <t>01-00-406F-SALES-CURR</t>
  </si>
  <si>
    <t>01-00-434-004-UNIT-CURR</t>
  </si>
  <si>
    <t>NEW VEHICLE SALES -  PG F - ACCT 7</t>
  </si>
  <si>
    <t>01-00-407F-SALES-CURR</t>
  </si>
  <si>
    <t>01-00-435-004-UNIT-CURR</t>
  </si>
  <si>
    <t>NEW VEHICLE SALES -  PG F - ACCT 8</t>
  </si>
  <si>
    <t>01-00-408F-SALES-CURR</t>
  </si>
  <si>
    <t>01-00-436-004-UNIT-CURR</t>
  </si>
  <si>
    <t>NEW VEHICLE SALES -  PG F - ACCT 9</t>
  </si>
  <si>
    <t>01-00-409F-SALES-CURR</t>
  </si>
  <si>
    <t>01-00-437-004-UNIT-CURR</t>
  </si>
  <si>
    <t>NEW VEHICLE SALES -  PG F - ACCT 10</t>
  </si>
  <si>
    <t>01-00-410F-SALES-CURR</t>
  </si>
  <si>
    <t>01-00-438-004-UNIT-CURR</t>
  </si>
  <si>
    <t>NEW VEHICLE SALES -  PG F - ACCT 11</t>
  </si>
  <si>
    <t>01-00-411F-SALES-CURR</t>
  </si>
  <si>
    <t>01-00-400-006-UNIT-CURR</t>
  </si>
  <si>
    <t>NEW VEHICLE SALES -  PG F - ACCT 12</t>
  </si>
  <si>
    <t>01-00-412F-SALES-CURR</t>
  </si>
  <si>
    <t>01-00-401-006-UNIT-CURR</t>
  </si>
  <si>
    <t>NEW VEHICLE SALES -  PG F - ACCT 13</t>
  </si>
  <si>
    <t>01-00-413F-SALES-CURR</t>
  </si>
  <si>
    <t>01-00-402-006-UNIT-CURR</t>
  </si>
  <si>
    <t>NEW VEHICLE SALES -  PG F - ACCT 14</t>
  </si>
  <si>
    <t>01-00-414F-SALES-CURR</t>
  </si>
  <si>
    <t>01-00-403-006-UNIT-CURR</t>
  </si>
  <si>
    <t>NEW VEHICLE SALES -  PG F - ACCT 15</t>
  </si>
  <si>
    <t>01-00-415F-SALES-CURR</t>
  </si>
  <si>
    <t>01-00-404-006-UNIT-CURR</t>
  </si>
  <si>
    <t>NEW VEHICLE SALES -  PG F - ACCT 16</t>
  </si>
  <si>
    <t>01-00-416F-SALES-CURR</t>
  </si>
  <si>
    <t>01-00-405-006-UNIT-CURR</t>
  </si>
  <si>
    <t>NEW VEHICLE SALES -  PG F - ACCT 17</t>
  </si>
  <si>
    <t>01-00-417F-SALES-CURR</t>
  </si>
  <si>
    <t>01-00-406-006-UNIT-CURR</t>
  </si>
  <si>
    <t>NEW VEHICLE SALES -  PG F - ACCT 18</t>
  </si>
  <si>
    <t>01-00-418F-SALES-CURR</t>
  </si>
  <si>
    <t>01-00-407-006-UNIT-CURR</t>
  </si>
  <si>
    <t>CAR -  PG F - FLEET SALES</t>
  </si>
  <si>
    <t>420F</t>
  </si>
  <si>
    <t>01-00-420F-SALES-CURR</t>
  </si>
  <si>
    <t>01-00-408-006-UNIT-CURR</t>
  </si>
  <si>
    <t>CAR -  PG F - INTERNAL SALES</t>
  </si>
  <si>
    <t>01-00-421F-SALES-CURR</t>
  </si>
  <si>
    <t>01-00-409-006-UNIT-CURR</t>
  </si>
  <si>
    <t>NEW VEHICLE SALES -  PG F - ACCT 23</t>
  </si>
  <si>
    <t>01-00-423F-SALES-CURR</t>
  </si>
  <si>
    <t>01-00-410-006-UNIT-CURR</t>
  </si>
  <si>
    <t>NEW VEHICLE SALES -  PG F - ACCT 24</t>
  </si>
  <si>
    <t>01-00-424F-SALES-CURR</t>
  </si>
  <si>
    <t>01-00-411-006-UNIT-CURR</t>
  </si>
  <si>
    <t>NEW VEHICLE SALES -  PG F - ACCT 25</t>
  </si>
  <si>
    <t>01-00-425F-SALES-CURR</t>
  </si>
  <si>
    <t>01-00-412-006-UNIT-CURR</t>
  </si>
  <si>
    <t>NEW VEHICLE SALES -  PG F - ACCT 26</t>
  </si>
  <si>
    <t>01-00-426F-SALES-CURR</t>
  </si>
  <si>
    <t>01-00-413-006-UNIT-CURR</t>
  </si>
  <si>
    <t>NEW VEHICLE SALES -  PG F - ACCT 27</t>
  </si>
  <si>
    <t>01-00-427F-SALES-CURR</t>
  </si>
  <si>
    <t>01-00-414-006-UNIT-CURR</t>
  </si>
  <si>
    <t>NEW VEHICLE SALES -  PG F - ACCT 28</t>
  </si>
  <si>
    <t>01-00-428F-SALES-CURR</t>
  </si>
  <si>
    <t>01-00-415-006-UNIT-CURR</t>
  </si>
  <si>
    <t>NEW VEHICLE SALES -  PG F - ACCT 29</t>
  </si>
  <si>
    <t>01-00-429F-SALES-CURR</t>
  </si>
  <si>
    <t>01-00-416-006-UNIT-CURR</t>
  </si>
  <si>
    <t>NEW VEHICLE SALES -  PG F - ACCT 30</t>
  </si>
  <si>
    <t>01-00-430F-SALES-CURR</t>
  </si>
  <si>
    <t>01-00-417-006-UNIT-CURR</t>
  </si>
  <si>
    <t>NEW VEHICLE SALES -  PG F - ACCT 31</t>
  </si>
  <si>
    <t>01-00-431F-SALES-CURR</t>
  </si>
  <si>
    <t>01-00-418-006-UNIT-CURR</t>
  </si>
  <si>
    <t>NEW VEHICLE SALES -  PG F - ACCT 32</t>
  </si>
  <si>
    <t>01-00-432F-SALES-CURR</t>
  </si>
  <si>
    <t>01-00-423-006-UNIT-CURR</t>
  </si>
  <si>
    <t>NEW VEHICLE SALES -  PG F - ACCT 33</t>
  </si>
  <si>
    <t>01-00-433F-SALES-CURR</t>
  </si>
  <si>
    <t>01-00-424-006-UNIT-CURR</t>
  </si>
  <si>
    <t>NEW VEHICLE SALES -  PG F - ACCT 34</t>
  </si>
  <si>
    <t>01-00-434F-SALES-CURR</t>
  </si>
  <si>
    <t>01-00-425-006-UNIT-CURR</t>
  </si>
  <si>
    <t>NEW VEHICLE SALES -  PG F - ACCT 35</t>
  </si>
  <si>
    <t>01-00-435F-SALES-CURR</t>
  </si>
  <si>
    <t>01-00-426-006-UNIT-CURR</t>
  </si>
  <si>
    <t>NEW VEHICLE SALES -  PG F - ACCT 36</t>
  </si>
  <si>
    <t>01-00-436F-SALES-CURR</t>
  </si>
  <si>
    <t>01-00-427-006-UNIT-CURR</t>
  </si>
  <si>
    <t>NEW VEHICLE SALES -  PG F - ACCT 37</t>
  </si>
  <si>
    <t>01-00-437F-SALES-CURR</t>
  </si>
  <si>
    <t>01-00-428-006-UNIT-CURR</t>
  </si>
  <si>
    <t>NEW VEHICLE SALES -  PG F - ACCT 38</t>
  </si>
  <si>
    <t>01-00-438F-SALES-CURR</t>
  </si>
  <si>
    <t>01-00-429-006-UNIT-CURR</t>
  </si>
  <si>
    <t>TRUCK -  PG F - FLEET SALES</t>
  </si>
  <si>
    <t>440F</t>
  </si>
  <si>
    <t>01-00-440F-SALES-CURR</t>
  </si>
  <si>
    <t>01-00-430-006-UNIT-CURR</t>
  </si>
  <si>
    <t>TRUCK -  PG F - INTERNAL SALES</t>
  </si>
  <si>
    <t>01-00-441F-SALES-CURR</t>
  </si>
  <si>
    <t>01-00-431-006-UNIT-CURR</t>
  </si>
  <si>
    <t>NEW VEH ACCESSORIES -  PG F SALES</t>
  </si>
  <si>
    <t>01-00-457F-SALES-CURR</t>
  </si>
  <si>
    <t>01-00-432-006-UNIT-CURR</t>
  </si>
  <si>
    <t>NEW VEHICLE COS -  PG F - ACCT 0</t>
  </si>
  <si>
    <t>600F</t>
  </si>
  <si>
    <t>01-00-600F-COS-CURR</t>
  </si>
  <si>
    <t>01-00-433-006-UNIT-CURR</t>
  </si>
  <si>
    <t>NEW VEHICLE COS -  PG F - ACCT 1</t>
  </si>
  <si>
    <t>601F</t>
  </si>
  <si>
    <t>01-00-601F-COS-CURR</t>
  </si>
  <si>
    <t>01-00-434-006-UNIT-CURR</t>
  </si>
  <si>
    <t>NEW VEHICLE COS -  PG F - ACCT 2</t>
  </si>
  <si>
    <t>602F</t>
  </si>
  <si>
    <t>01-00-602F-COS-CURR</t>
  </si>
  <si>
    <t>01-00-435-006-UNIT-CURR</t>
  </si>
  <si>
    <t>NEW VEHICLE COS -  PG F - ACCT 3</t>
  </si>
  <si>
    <t>603F</t>
  </si>
  <si>
    <t>01-00-603F-COS-CURR</t>
  </si>
  <si>
    <t>01-00-436-006-UNIT-CURR</t>
  </si>
  <si>
    <t>NEW VEHICLE COS -  PG F - ACCT 4</t>
  </si>
  <si>
    <t>604F</t>
  </si>
  <si>
    <t>01-00-604F-COS-CURR</t>
  </si>
  <si>
    <t>01-00-437-006-UNIT-CURR</t>
  </si>
  <si>
    <t>NEW VEHICLE COS -  PG F - ACCT 5</t>
  </si>
  <si>
    <t>605F</t>
  </si>
  <si>
    <t>01-00-605F-COS-CURR</t>
  </si>
  <si>
    <t>01-00-438-006-UNIT-CURR</t>
  </si>
  <si>
    <t>NEW VEHICLE COS -  PG F - ACCT 6</t>
  </si>
  <si>
    <t>606F</t>
  </si>
  <si>
    <t>01-00-606F-COS-CURR</t>
  </si>
  <si>
    <t>01-00-400-007-UNIT-CURR</t>
  </si>
  <si>
    <t>NEW VEHICLE COS -  PG F - ACCT 7</t>
  </si>
  <si>
    <t>607F</t>
  </si>
  <si>
    <t>01-00-607F-COS-CURR</t>
  </si>
  <si>
    <t>01-00-401-007-UNIT-CURR</t>
  </si>
  <si>
    <t>NEW VEHICLE COS -  PG F - ACCT 8</t>
  </si>
  <si>
    <t>608F</t>
  </si>
  <si>
    <t>01-00-608F-COS-CURR</t>
  </si>
  <si>
    <t>01-00-402-007-UNIT-CURR</t>
  </si>
  <si>
    <t>NEW VEHICLE COS -  PG F - ACCT 9</t>
  </si>
  <si>
    <t>609F</t>
  </si>
  <si>
    <t>01-00-609F-COS-CURR</t>
  </si>
  <si>
    <t>01-00-403-007-UNIT-CURR</t>
  </si>
  <si>
    <t>NEW VEHICLE COS -  PG F - ACCT 10</t>
  </si>
  <si>
    <t>610F</t>
  </si>
  <si>
    <t>01-00-610F-COS-CURR</t>
  </si>
  <si>
    <t>01-00-404-007-UNIT-CURR</t>
  </si>
  <si>
    <t>NEW VEHICLE COS -  PG F - ACCT 11</t>
  </si>
  <si>
    <t>611F</t>
  </si>
  <si>
    <t>01-00-611F-COS-CURR</t>
  </si>
  <si>
    <t>01-00-405-007-UNIT-CURR</t>
  </si>
  <si>
    <t>NEW VEHICLE COS -  PG F - ACCT 12</t>
  </si>
  <si>
    <t>612F</t>
  </si>
  <si>
    <t>01-00-612F-COS-CURR</t>
  </si>
  <si>
    <t>01-00-406-007-UNIT-CURR</t>
  </si>
  <si>
    <t>NEW VEHICLE COS -  PG F - ACCT 13</t>
  </si>
  <si>
    <t>613F</t>
  </si>
  <si>
    <t>01-00-613F-COS-CURR</t>
  </si>
  <si>
    <t>01-00-407-007-UNIT-CURR</t>
  </si>
  <si>
    <t>NEW VEHICLE COS -  PG F - ACCT 14</t>
  </si>
  <si>
    <t>614F</t>
  </si>
  <si>
    <t>01-00-614F-COS-CURR</t>
  </si>
  <si>
    <t>01-00-408-007-UNIT-CURR</t>
  </si>
  <si>
    <t>NEW VEHICLE COS -  PG F - ACCT 15</t>
  </si>
  <si>
    <t>615F</t>
  </si>
  <si>
    <t>01-00-615F-COS-CURR</t>
  </si>
  <si>
    <t>01-00-409-007-UNIT-CURR</t>
  </si>
  <si>
    <t>NEW VEHICLE COS -  PG F - ACCT 16</t>
  </si>
  <si>
    <t>616F</t>
  </si>
  <si>
    <t>01-00-616F-COS-CURR</t>
  </si>
  <si>
    <t>01-00-410-007-UNIT-CURR</t>
  </si>
  <si>
    <t>NEW VEHICLE COS -  PG F - ACCT 17</t>
  </si>
  <si>
    <t>617F</t>
  </si>
  <si>
    <t>01-00-617F-COS-CURR</t>
  </si>
  <si>
    <t>01-00-411-007-UNIT-CURR</t>
  </si>
  <si>
    <t>NEW VEHICLE COS -  PG F - ACCT 18</t>
  </si>
  <si>
    <t>618F</t>
  </si>
  <si>
    <t>01-00-618F-COS-CURR</t>
  </si>
  <si>
    <t>01-00-412-007-UNIT-CURR</t>
  </si>
  <si>
    <t>CAR -  PG F - FLEET COS</t>
  </si>
  <si>
    <t>620F</t>
  </si>
  <si>
    <t>01-00-620F-COS-CURR</t>
  </si>
  <si>
    <t>01-00-413-007-UNIT-CURR</t>
  </si>
  <si>
    <t>CAR -  PG F - INTERNAL COS</t>
  </si>
  <si>
    <t>621F</t>
  </si>
  <si>
    <t>01-00-621F-COS-CURR</t>
  </si>
  <si>
    <t>01-00-414-007-UNIT-CURR</t>
  </si>
  <si>
    <t>NEW VEHICLE COS -  PG F - ACCT 23</t>
  </si>
  <si>
    <t>623F</t>
  </si>
  <si>
    <t>01-00-623F-COS-CURR</t>
  </si>
  <si>
    <t>01-00-415-007-UNIT-CURR</t>
  </si>
  <si>
    <t>NEW VEHICLE COS -  PG F - ACCT 24</t>
  </si>
  <si>
    <t>624F</t>
  </si>
  <si>
    <t>01-00-624F-COS-CURR</t>
  </si>
  <si>
    <t>01-00-416-007-UNIT-CURR</t>
  </si>
  <si>
    <t>NEW VEHICLE COS -  PG F - ACCT 25</t>
  </si>
  <si>
    <t>625F</t>
  </si>
  <si>
    <t>01-00-625F-COS-CURR</t>
  </si>
  <si>
    <t>01-00-417-007-UNIT-CURR</t>
  </si>
  <si>
    <t>NEW VEHICLE COS -  PG F - ACCT 26</t>
  </si>
  <si>
    <t>626F</t>
  </si>
  <si>
    <t>01-00-626F-COS-CURR</t>
  </si>
  <si>
    <t>01-00-418-007-UNIT-CURR</t>
  </si>
  <si>
    <t>NEW VEHICLE COS -  PG F - ACCT 27</t>
  </si>
  <si>
    <t>627F</t>
  </si>
  <si>
    <t>01-00-627F-COS-CURR</t>
  </si>
  <si>
    <t>01-00-423-007-UNIT-CURR</t>
  </si>
  <si>
    <t>NEW VEHICLE COS -  PG F - ACCT 28</t>
  </si>
  <si>
    <t>628F</t>
  </si>
  <si>
    <t>01-00-628F-COS-CURR</t>
  </si>
  <si>
    <t>01-00-424-007-UNIT-CURR</t>
  </si>
  <si>
    <t>NEW VEHICLE COS -  PG F - ACCT 29</t>
  </si>
  <si>
    <t>629F</t>
  </si>
  <si>
    <t>01-00-629F-COS-CURR</t>
  </si>
  <si>
    <t>01-00-425-007-UNIT-CURR</t>
  </si>
  <si>
    <t>NEW VEHICLE COS -  PG F - ACCT 30</t>
  </si>
  <si>
    <t>630F</t>
  </si>
  <si>
    <t>01-00-630F-COS-CURR</t>
  </si>
  <si>
    <t>01-00-426-007-UNIT-CURR</t>
  </si>
  <si>
    <t>NEW VEHICLE COS -  PG F - ACCT 31</t>
  </si>
  <si>
    <t>631F</t>
  </si>
  <si>
    <t>01-00-631F-COS-CURR</t>
  </si>
  <si>
    <t>01-00-427-007-UNIT-CURR</t>
  </si>
  <si>
    <t>NEW VEHICLE COS -  PG F - ACCT 32</t>
  </si>
  <si>
    <t>632F</t>
  </si>
  <si>
    <t>01-00-632F-COS-CURR</t>
  </si>
  <si>
    <t>01-00-428-007-UNIT-CURR</t>
  </si>
  <si>
    <t>NEW VEHICLE COS -  PG F - ACCT 33</t>
  </si>
  <si>
    <t>633F</t>
  </si>
  <si>
    <t>01-00-633F-COS-CURR</t>
  </si>
  <si>
    <t>01-00-429-007-UNIT-CURR</t>
  </si>
  <si>
    <t>NEW VEHICLE COS -  PG F - ACCT 34</t>
  </si>
  <si>
    <t>634F</t>
  </si>
  <si>
    <t>01-00-634F-COS-CURR</t>
  </si>
  <si>
    <t>01-00-430-007-UNIT-CURR</t>
  </si>
  <si>
    <t>NEW VEHICLE COS -  PG F - ACCT 35</t>
  </si>
  <si>
    <t>635F</t>
  </si>
  <si>
    <t>01-00-635F-COS-CURR</t>
  </si>
  <si>
    <t>01-00-431-007-UNIT-CURR</t>
  </si>
  <si>
    <t>NEW VEHICLE COS -  PG F - ACCT 36</t>
  </si>
  <si>
    <t>636F</t>
  </si>
  <si>
    <t>01-00-636F-COS-CURR</t>
  </si>
  <si>
    <t>01-00-432-007-UNIT-CURR</t>
  </si>
  <si>
    <t>NEW VEHICLE COS -  PG F - ACCT 37</t>
  </si>
  <si>
    <t>637F</t>
  </si>
  <si>
    <t>01-00-637F-COS-CURR</t>
  </si>
  <si>
    <t>01-00-433-007-UNIT-CURR</t>
  </si>
  <si>
    <t>NEW VEHICLE COS -  PG F - ACCT 38</t>
  </si>
  <si>
    <t>638F</t>
  </si>
  <si>
    <t>01-00-638F-COS-CURR</t>
  </si>
  <si>
    <t>01-00-434-007-UNIT-CURR</t>
  </si>
  <si>
    <t>TRUCK -  PG F - FLEET COS</t>
  </si>
  <si>
    <t>640F</t>
  </si>
  <si>
    <t>01-00-640F-COS-CURR</t>
  </si>
  <si>
    <t>01-00-435-007-UNIT-CURR</t>
  </si>
  <si>
    <t>TRUCK -  PG F - INTERNAL COS</t>
  </si>
  <si>
    <t>641F</t>
  </si>
  <si>
    <t>01-00-641F-COS-CURR</t>
  </si>
  <si>
    <t>01-00-436-007-UNIT-CURR</t>
  </si>
  <si>
    <t>NEW VEH ACCESSORIES -  PG F COS</t>
  </si>
  <si>
    <t>657F</t>
  </si>
  <si>
    <t>01-00-657F-COS-CURR</t>
  </si>
  <si>
    <t>01-00-437-007-UNIT-CURR</t>
  </si>
  <si>
    <t>NEW VEH TOTAL -  PG F GROSS PROFIT</t>
  </si>
  <si>
    <t>TOTGPF</t>
  </si>
  <si>
    <t>01-00-TOTVEHF-GRSPFT-CURR</t>
  </si>
  <si>
    <t>01-00-438-007-UNIT-CURR</t>
  </si>
  <si>
    <t>NEW VEHICLE SALES -  PG G - ACCT 0</t>
  </si>
  <si>
    <t>01-00-400G-SALES-CURR</t>
  </si>
  <si>
    <t>01-00-400-008-UNIT-CURR</t>
  </si>
  <si>
    <t>NEW VEHICLE SALES -  PG G - ACCT 1</t>
  </si>
  <si>
    <t>01-00-401G-SALES-CURR</t>
  </si>
  <si>
    <t>01-00-401-008-UNIT-CURR</t>
  </si>
  <si>
    <t>NEW VEHICLE SALES -  PG G - ACCT 2</t>
  </si>
  <si>
    <t>01-00-402G-SALES-CURR</t>
  </si>
  <si>
    <t>01-00-402-008-UNIT-CURR</t>
  </si>
  <si>
    <t>NEW VEHICLE SALES -  PG G - ACCT 3</t>
  </si>
  <si>
    <t>01-00-403G-SALES-CURR</t>
  </si>
  <si>
    <t>01-00-403-008-UNIT-CURR</t>
  </si>
  <si>
    <t>NEW VEHICLE SALES -  PG G - ACCT 4</t>
  </si>
  <si>
    <t>01-00-404G-SALES-CURR</t>
  </si>
  <si>
    <t>01-00-404-008-UNIT-CURR</t>
  </si>
  <si>
    <t>NEW VEHICLE SALES -  PG G - ACCT 5</t>
  </si>
  <si>
    <t>01-00-405G-SALES-CURR</t>
  </si>
  <si>
    <t>01-00-405-008-UNIT-CURR</t>
  </si>
  <si>
    <t>NEW VEHICLE SALES -  PG G - ACCT 6</t>
  </si>
  <si>
    <t>01-00-406G-SALES-CURR</t>
  </si>
  <si>
    <t>01-00-406-008-UNIT-CURR</t>
  </si>
  <si>
    <t>NEW VEHICLE SALES -  PG G - ACCT 7</t>
  </si>
  <si>
    <t>01-00-407G-SALES-CURR</t>
  </si>
  <si>
    <t>01-00-407-008-UNIT-CURR</t>
  </si>
  <si>
    <t>NEW VEHICLE SALES -  PG G - ACCT 8</t>
  </si>
  <si>
    <t>01-00-408G-SALES-CURR</t>
  </si>
  <si>
    <t>01-00-408-008-UNIT-CURR</t>
  </si>
  <si>
    <t>NEW VEHICLE SALES -  PG G - ACCT 9</t>
  </si>
  <si>
    <t>01-00-409G-SALES-CURR</t>
  </si>
  <si>
    <t>01-00-409-008-UNIT-CURR</t>
  </si>
  <si>
    <t>NEW VEHICLE SALES -  PG G - ACCT 10</t>
  </si>
  <si>
    <t>01-00-410G-SALES-CURR</t>
  </si>
  <si>
    <t>01-00-410-008-UNIT-CURR</t>
  </si>
  <si>
    <t>NEW VEHICLE SALES -  PG G - ACCT 11</t>
  </si>
  <si>
    <t>01-00-411G-SALES-CURR</t>
  </si>
  <si>
    <t>01-00-411-008-UNIT-CURR</t>
  </si>
  <si>
    <t>NEW VEHICLE SALES -  PG G - ACCT 12</t>
  </si>
  <si>
    <t>01-00-412G-SALES-CURR</t>
  </si>
  <si>
    <t>01-00-412-008-UNIT-CURR</t>
  </si>
  <si>
    <t>NEW VEHICLE SALES -  PG G - ACCT 13</t>
  </si>
  <si>
    <t>01-00-413G-SALES-CURR</t>
  </si>
  <si>
    <t>01-00-413-008-UNIT-CURR</t>
  </si>
  <si>
    <t>NEW VEHICLE SALES -  PG G - ACCT 14</t>
  </si>
  <si>
    <t>01-00-414G-SALES-CURR</t>
  </si>
  <si>
    <t>01-00-414-008-UNIT-CURR</t>
  </si>
  <si>
    <t>NEW VEHICLE SALES -  PG G - ACCT 15</t>
  </si>
  <si>
    <t>01-00-415G-SALES-CURR</t>
  </si>
  <si>
    <t>01-00-415-008-UNIT-CURR</t>
  </si>
  <si>
    <t>NEW VEHICLE SALES -  PG G - ACCT 16</t>
  </si>
  <si>
    <t>01-00-416G-SALES-CURR</t>
  </si>
  <si>
    <t>01-00-416-008-UNIT-CURR</t>
  </si>
  <si>
    <t>NEW VEHICLE SALES -  PG G - ACCT 17</t>
  </si>
  <si>
    <t>01-00-417G-SALES-CURR</t>
  </si>
  <si>
    <t>01-00-417-008-UNIT-CURR</t>
  </si>
  <si>
    <t>NEW VEHICLE SALES -  PG G - ACCT 18</t>
  </si>
  <si>
    <t>01-00-418G-SALES-CURR</t>
  </si>
  <si>
    <t>01-00-418-008-UNIT-CURR</t>
  </si>
  <si>
    <t>CAR -  PG G - FLEET SALES</t>
  </si>
  <si>
    <t>420G</t>
  </si>
  <si>
    <t>01-00-420G-SALES-CURR</t>
  </si>
  <si>
    <t>01-00-423-008-UNIT-CURR</t>
  </si>
  <si>
    <t>CAR -  PG G - INTERNAL SALES</t>
  </si>
  <si>
    <t>01-00-421G-SALES-CURR</t>
  </si>
  <si>
    <t>01-00-424-008-UNIT-CURR</t>
  </si>
  <si>
    <t>NEW VEHICLE SALES -  PG G - ACCT 23</t>
  </si>
  <si>
    <t>01-00-423G-SALES-CURR</t>
  </si>
  <si>
    <t>01-00-425-008-UNIT-CURR</t>
  </si>
  <si>
    <t>NEW VEHICLE SALES -  PG G - ACCT 24</t>
  </si>
  <si>
    <t>01-00-424G-SALES-CURR</t>
  </si>
  <si>
    <t>01-00-426-008-UNIT-CURR</t>
  </si>
  <si>
    <t>NEW VEHICLE SALES -  PG G - ACCT 25</t>
  </si>
  <si>
    <t>01-00-425G-SALES-CURR</t>
  </si>
  <si>
    <t>01-00-427-008-UNIT-CURR</t>
  </si>
  <si>
    <t>NEW VEHICLE SALES -  PG G - ACCT 26</t>
  </si>
  <si>
    <t>01-00-426G-SALES-CURR</t>
  </si>
  <si>
    <t>01-00-428-008-UNIT-CURR</t>
  </si>
  <si>
    <t>NEW VEHICLE SALES -  PG G - ACCT 27</t>
  </si>
  <si>
    <t>01-00-427G-SALES-CURR</t>
  </si>
  <si>
    <t>01-00-429-008-UNIT-CURR</t>
  </si>
  <si>
    <t>NEW VEHICLE SALES -  PG G - ACCT 28</t>
  </si>
  <si>
    <t>01-00-428G-SALES-CURR</t>
  </si>
  <si>
    <t>01-00-430-008-UNIT-CURR</t>
  </si>
  <si>
    <t>NEW VEHICLE SALES -  PG G - ACCT 29</t>
  </si>
  <si>
    <t>01-00-429G-SALES-CURR</t>
  </si>
  <si>
    <t>01-00-431-008-UNIT-CURR</t>
  </si>
  <si>
    <t>NEW VEHICLE SALES -  PG G - ACCT 30</t>
  </si>
  <si>
    <t>01-00-430G-SALES-CURR</t>
  </si>
  <si>
    <t>01-00-432-008-UNIT-CURR</t>
  </si>
  <si>
    <t>NEW VEHICLE SALES -  PG G - ACCT 31</t>
  </si>
  <si>
    <t>01-00-431G-SALES-CURR</t>
  </si>
  <si>
    <t>01-00-433-008-UNIT-CURR</t>
  </si>
  <si>
    <t>NEW VEHICLE SALES -  PG G - ACCT 32</t>
  </si>
  <si>
    <t>01-00-432G-SALES-CURR</t>
  </si>
  <si>
    <t>01-00-434-008-UNIT-CURR</t>
  </si>
  <si>
    <t>NEW VEHICLE SALES -  PG G - ACCT 33</t>
  </si>
  <si>
    <t>01-00-433G-SALES-CURR</t>
  </si>
  <si>
    <t>01-00-435-008-UNIT-CURR</t>
  </si>
  <si>
    <t>NEW VEHICLE SALES -  PG G - ACCT 34</t>
  </si>
  <si>
    <t>01-00-434G-SALES-CURR</t>
  </si>
  <si>
    <t>01-00-436-008-UNIT-CURR</t>
  </si>
  <si>
    <t>NEW VEHICLE SALES -  PG G - ACCT 35</t>
  </si>
  <si>
    <t>01-00-435G-SALES-CURR</t>
  </si>
  <si>
    <t>01-00-437-008-UNIT-CURR</t>
  </si>
  <si>
    <t>NEW VEHICLE SALES -  PG G - ACCT 36</t>
  </si>
  <si>
    <t>01-00-436G-SALES-CURR</t>
  </si>
  <si>
    <t>01-00-438-008-UNIT-CURR</t>
  </si>
  <si>
    <t>NEW VEHICLE SALES -  PG G - ACCT 37</t>
  </si>
  <si>
    <t>01-00-437G-SALES-CURR</t>
  </si>
  <si>
    <t>01-00-400-012-UNIT-CURR</t>
  </si>
  <si>
    <t>NEW VEHICLE SALES -  PG G - ACCT 38</t>
  </si>
  <si>
    <t>01-00-438G-SALES-CURR</t>
  </si>
  <si>
    <t>01-00-401-012-UNIT-CURR</t>
  </si>
  <si>
    <t>TRUCK -  PG G - FLEET SALES</t>
  </si>
  <si>
    <t>440G</t>
  </si>
  <si>
    <t>01-00-440G-SALES-CURR</t>
  </si>
  <si>
    <t>01-00-402-012-UNIT-CURR</t>
  </si>
  <si>
    <t>TRUCK -  PG G - INTERNAL SALES</t>
  </si>
  <si>
    <t>01-00-441G-SALES-CURR</t>
  </si>
  <si>
    <t>01-00-403-012-UNIT-CURR</t>
  </si>
  <si>
    <t>NEW VEH ACCESSORIES -  PG G SALES</t>
  </si>
  <si>
    <t>01-00-457G-SALES-CURR</t>
  </si>
  <si>
    <t>01-00-404-012-UNIT-CURR</t>
  </si>
  <si>
    <t>NEW VEHICLE COS -  PG G - ACCT 0</t>
  </si>
  <si>
    <t>600G</t>
  </si>
  <si>
    <t>01-00-600G-COS-CURR</t>
  </si>
  <si>
    <t>01-00-405-012-UNIT-CURR</t>
  </si>
  <si>
    <t>NEW VEHICLE COS -  PG G - ACCT 1</t>
  </si>
  <si>
    <t>601G</t>
  </si>
  <si>
    <t>01-00-601G-COS-CURR</t>
  </si>
  <si>
    <t>01-00-406-012-UNIT-CURR</t>
  </si>
  <si>
    <t>NEW VEHICLE COS -  PG G - ACCT 2</t>
  </si>
  <si>
    <t>602G</t>
  </si>
  <si>
    <t>01-00-602G-COS-CURR</t>
  </si>
  <si>
    <t>01-00-407-012-UNIT-CURR</t>
  </si>
  <si>
    <t>NEW VEHICLE COS -  PG G - ACCT 3</t>
  </si>
  <si>
    <t>603G</t>
  </si>
  <si>
    <t>01-00-603G-COS-CURR</t>
  </si>
  <si>
    <t>01-00-408-012-UNIT-CURR</t>
  </si>
  <si>
    <t>NEW VEHICLE COS -  PG G - ACCT 4</t>
  </si>
  <si>
    <t>604G</t>
  </si>
  <si>
    <t>01-00-604G-COS-CURR</t>
  </si>
  <si>
    <t>01-00-409-012-UNIT-CURR</t>
  </si>
  <si>
    <t>NEW VEHICLE COS -  PG G - ACCT 5</t>
  </si>
  <si>
    <t>605G</t>
  </si>
  <si>
    <t>01-00-605G-COS-CURR</t>
  </si>
  <si>
    <t>01-00-410-012-UNIT-CURR</t>
  </si>
  <si>
    <t>NEW VEHICLE COS -  PG G - ACCT 6</t>
  </si>
  <si>
    <t>606G</t>
  </si>
  <si>
    <t>01-00-606G-COS-CURR</t>
  </si>
  <si>
    <t>01-00-411-012-UNIT-CURR</t>
  </si>
  <si>
    <t>NEW VEHICLE COS -  PG G - ACCT 7</t>
  </si>
  <si>
    <t>607G</t>
  </si>
  <si>
    <t>01-00-607G-COS-CURR</t>
  </si>
  <si>
    <t>01-00-412-012-UNIT-CURR</t>
  </si>
  <si>
    <t>NEW VEHICLE COS -  PG G - ACCT 8</t>
  </si>
  <si>
    <t>608G</t>
  </si>
  <si>
    <t>01-00-608G-COS-CURR</t>
  </si>
  <si>
    <t>01-00-413-012-UNIT-CURR</t>
  </si>
  <si>
    <t>NEW VEHICLE COS -  PG G - ACCT 9</t>
  </si>
  <si>
    <t>609G</t>
  </si>
  <si>
    <t>01-00-609G-COS-CURR</t>
  </si>
  <si>
    <t>01-00-414-012-UNIT-CURR</t>
  </si>
  <si>
    <t>NEW VEHICLE COS -  PG G - ACCT 10</t>
  </si>
  <si>
    <t>610G</t>
  </si>
  <si>
    <t>01-00-610G-COS-CURR</t>
  </si>
  <si>
    <t>01-00-415-012-UNIT-CURR</t>
  </si>
  <si>
    <t>NEW VEHICLE COS -  PG G - ACCT 11</t>
  </si>
  <si>
    <t>611G</t>
  </si>
  <si>
    <t>01-00-611G-COS-CURR</t>
  </si>
  <si>
    <t>01-00-416-012-UNIT-CURR</t>
  </si>
  <si>
    <t>NEW VEHICLE COS -  PG G - ACCT 12</t>
  </si>
  <si>
    <t>612G</t>
  </si>
  <si>
    <t>01-00-612G-COS-CURR</t>
  </si>
  <si>
    <t>01-00-417-012-UNIT-CURR</t>
  </si>
  <si>
    <t>NEW VEHICLE COS -  PG G - ACCT 13</t>
  </si>
  <si>
    <t>613G</t>
  </si>
  <si>
    <t>01-00-613G-COS-CURR</t>
  </si>
  <si>
    <t>01-00-418-012-UNIT-CURR</t>
  </si>
  <si>
    <t>NEW VEHICLE COS -  PG G - ACCT 14</t>
  </si>
  <si>
    <t>614G</t>
  </si>
  <si>
    <t>01-00-614G-COS-CURR</t>
  </si>
  <si>
    <t>01-00-423-012-UNIT-CURR</t>
  </si>
  <si>
    <t>NEW VEHICLE COS -  PG G - ACCT 15</t>
  </si>
  <si>
    <t>615G</t>
  </si>
  <si>
    <t>01-00-615G-COS-CURR</t>
  </si>
  <si>
    <t>01-00-424-012-UNIT-CURR</t>
  </si>
  <si>
    <t>NEW VEHICLE COS -  PG G - ACCT 16</t>
  </si>
  <si>
    <t>616G</t>
  </si>
  <si>
    <t>01-00-616G-COS-CURR</t>
  </si>
  <si>
    <t>01-00-425-012-UNIT-CURR</t>
  </si>
  <si>
    <t>NEW VEHICLE COS -  PG G - ACCT 17</t>
  </si>
  <si>
    <t>617G</t>
  </si>
  <si>
    <t>01-00-617G-COS-CURR</t>
  </si>
  <si>
    <t>01-00-426-012-UNIT-CURR</t>
  </si>
  <si>
    <t>NEW VEHICLE COS -  PG G - ACCT 18</t>
  </si>
  <si>
    <t>618G</t>
  </si>
  <si>
    <t>01-00-618G-COS-CURR</t>
  </si>
  <si>
    <t>01-00-427-012-UNIT-CURR</t>
  </si>
  <si>
    <t>CAR -  PG G - FLEET COS</t>
  </si>
  <si>
    <t>620G</t>
  </si>
  <si>
    <t>01-00-620G-COS-CURR</t>
  </si>
  <si>
    <t>01-00-428-012-UNIT-CURR</t>
  </si>
  <si>
    <t>CAR -  PG G - INTERNAL COS</t>
  </si>
  <si>
    <t>621G</t>
  </si>
  <si>
    <t>01-00-621G-COS-CURR</t>
  </si>
  <si>
    <t>01-00-429-012-UNIT-CURR</t>
  </si>
  <si>
    <t>NEW VEHICLE COS -  PG G - ACCT 23</t>
  </si>
  <si>
    <t>623G</t>
  </si>
  <si>
    <t>01-00-623G-COS-CURR</t>
  </si>
  <si>
    <t>01-00-430-012-UNIT-CURR</t>
  </si>
  <si>
    <t>NEW VEHICLE COS -  PG G - ACCT 24</t>
  </si>
  <si>
    <t>624G</t>
  </si>
  <si>
    <t>01-00-624G-COS-CURR</t>
  </si>
  <si>
    <t>01-00-431-012-UNIT-CURR</t>
  </si>
  <si>
    <t>NEW VEHICLE COS -  PG G - ACCT 25</t>
  </si>
  <si>
    <t>625G</t>
  </si>
  <si>
    <t>01-00-625G-COS-CURR</t>
  </si>
  <si>
    <t>01-00-432-012-UNIT-CURR</t>
  </si>
  <si>
    <t>NEW VEHICLE COS -  PG G - ACCT 26</t>
  </si>
  <si>
    <t>626G</t>
  </si>
  <si>
    <t>01-00-626G-COS-CURR</t>
  </si>
  <si>
    <t>01-00-433-012-UNIT-CURR</t>
  </si>
  <si>
    <t>NEW VEHICLE COS -  PG G - ACCT 27</t>
  </si>
  <si>
    <t>627G</t>
  </si>
  <si>
    <t>01-00-627G-COS-CURR</t>
  </si>
  <si>
    <t>01-00-434-012-UNIT-CURR</t>
  </si>
  <si>
    <t>NEW VEHICLE COS -  PG G - ACCT 28</t>
  </si>
  <si>
    <t>628G</t>
  </si>
  <si>
    <t>01-00-628G-COS-CURR</t>
  </si>
  <si>
    <t>01-00-435-012-UNIT-CURR</t>
  </si>
  <si>
    <t>NEW VEHICLE COS -  PG G - ACCT 29</t>
  </si>
  <si>
    <t>629G</t>
  </si>
  <si>
    <t>01-00-629G-COS-CURR</t>
  </si>
  <si>
    <t>01-00-436-012-UNIT-CURR</t>
  </si>
  <si>
    <t>NEW VEHICLE COS -  PG G - ACCT 30</t>
  </si>
  <si>
    <t>630G</t>
  </si>
  <si>
    <t>01-00-630G-COS-CURR</t>
  </si>
  <si>
    <t>01-00-437-012-UNIT-CURR</t>
  </si>
  <si>
    <t>NEW VEHICLE COS -  PG G - ACCT 31</t>
  </si>
  <si>
    <t>631G</t>
  </si>
  <si>
    <t>01-00-631G-COS-CURR</t>
  </si>
  <si>
    <t>01-00-438-012-UNIT-CURR</t>
  </si>
  <si>
    <t>NEW VEHICLE COS -  PG G - ACCT 32</t>
  </si>
  <si>
    <t>632G</t>
  </si>
  <si>
    <t>01-00-632G-COS-CURR</t>
  </si>
  <si>
    <t>01-00-400-099-UNIT-CURR</t>
  </si>
  <si>
    <t>NEW VEHICLE COS -  PG G - ACCT 33</t>
  </si>
  <si>
    <t>633G</t>
  </si>
  <si>
    <t>01-00-633G-COS-CURR</t>
  </si>
  <si>
    <t>01-00-401-099-UNIT-CURR</t>
  </si>
  <si>
    <t>NEW VEHICLE COS -  PG G - ACCT 34</t>
  </si>
  <si>
    <t>634G</t>
  </si>
  <si>
    <t>01-00-634G-COS-CURR</t>
  </si>
  <si>
    <t>01-00-402-099-UNIT-CURR</t>
  </si>
  <si>
    <t>NEW VEHICLE COS -  PG G - ACCT 35</t>
  </si>
  <si>
    <t>635G</t>
  </si>
  <si>
    <t>01-00-635G-COS-CURR</t>
  </si>
  <si>
    <t>01-00-403-099-UNIT-CURR</t>
  </si>
  <si>
    <t>NEW VEHICLE COS -  PG G - ACCT 36</t>
  </si>
  <si>
    <t>636G</t>
  </si>
  <si>
    <t>01-00-636G-COS-CURR</t>
  </si>
  <si>
    <t>01-00-404-099-UNIT-CURR</t>
  </si>
  <si>
    <t>NEW VEHICLE COS -  PG G - ACCT 37</t>
  </si>
  <si>
    <t>637G</t>
  </si>
  <si>
    <t>01-00-637G-COS-CURR</t>
  </si>
  <si>
    <t>01-00-405-099-UNIT-CURR</t>
  </si>
  <si>
    <t>NEW VEHICLE COS -  PG G - ACCT 38</t>
  </si>
  <si>
    <t>638G</t>
  </si>
  <si>
    <t>01-00-638G-COS-CURR</t>
  </si>
  <si>
    <t>01-00-406-099-UNIT-CURR</t>
  </si>
  <si>
    <t>TRUCK -  PG G - FLEET COS</t>
  </si>
  <si>
    <t>640G</t>
  </si>
  <si>
    <t>01-00-640G-COS-CURR</t>
  </si>
  <si>
    <t>01-00-407-099-UNIT-CURR</t>
  </si>
  <si>
    <t>TRUCK -  PG G - INTERNAL COS</t>
  </si>
  <si>
    <t>641G</t>
  </si>
  <si>
    <t>01-00-641G-COS-CURR</t>
  </si>
  <si>
    <t>01-00-408-099-UNIT-CURR</t>
  </si>
  <si>
    <t>NEW VEH ACCESSORIES -  PG G COS</t>
  </si>
  <si>
    <t>657G</t>
  </si>
  <si>
    <t>01-00-657G-COS-CURR</t>
  </si>
  <si>
    <t>01-00-409-099-UNIT-CURR</t>
  </si>
  <si>
    <t>NEW VEH TOTAL -  PG G GROSS PROFIT</t>
  </si>
  <si>
    <t>TOTGPG</t>
  </si>
  <si>
    <t>01-00-TOTVEHG-GRSPFT-CURR</t>
  </si>
  <si>
    <t>01-00-410-099-UNIT-CURR</t>
  </si>
  <si>
    <t>NEW VEHICLE SALES -  PG H - ACCT 0</t>
  </si>
  <si>
    <t>01-00-400H-SALES-CURR</t>
  </si>
  <si>
    <t>01-00-411-099-UNIT-CURR</t>
  </si>
  <si>
    <t>NEW VEHICLE SALES -  PG H - ACCT 1</t>
  </si>
  <si>
    <t>01-00-401H-SALES-CURR</t>
  </si>
  <si>
    <t>01-00-412-099-UNIT-CURR</t>
  </si>
  <si>
    <t>NEW VEHICLE SALES -  PG H - ACCT 2</t>
  </si>
  <si>
    <t>01-00-402H-SALES-CURR</t>
  </si>
  <si>
    <t>01-00-413-099-UNIT-CURR</t>
  </si>
  <si>
    <t>NEW VEHICLE SALES -  PG H - ACCT 3</t>
  </si>
  <si>
    <t>01-00-403H-SALES-CURR</t>
  </si>
  <si>
    <t>01-00-414-099-UNIT-CURR</t>
  </si>
  <si>
    <t>NEW VEHICLE SALES -  PG H - ACCT 4</t>
  </si>
  <si>
    <t>01-00-404H-SALES-CURR</t>
  </si>
  <si>
    <t>01-00-415-099-UNIT-CURR</t>
  </si>
  <si>
    <t>NEW VEHICLE SALES -  PG H - ACCT 5</t>
  </si>
  <si>
    <t>01-00-405H-SALES-CURR</t>
  </si>
  <si>
    <t>01-00-416-099-UNIT-CURR</t>
  </si>
  <si>
    <t>NEW VEHICLE SALES -  PG H - ACCT 6</t>
  </si>
  <si>
    <t>01-00-406H-SALES-CURR</t>
  </si>
  <si>
    <t>01-00-417-099-UNIT-CURR</t>
  </si>
  <si>
    <t>NEW VEHICLE SALES -  PG H - ACCT 7</t>
  </si>
  <si>
    <t>01-00-407H-SALES-CURR</t>
  </si>
  <si>
    <t>01-00-418-099-UNIT-CURR</t>
  </si>
  <si>
    <t>NEW VEHICLE SALES -  PG H - ACCT 8</t>
  </si>
  <si>
    <t>01-00-408H-SALES-CURR</t>
  </si>
  <si>
    <t>01-00-423-099-UNIT-CURR</t>
  </si>
  <si>
    <t>NEW VEHICLE SALES -  PG H - ACCT 9</t>
  </si>
  <si>
    <t>01-00-409H-SALES-CURR</t>
  </si>
  <si>
    <t>01-00-424-099-UNIT-CURR</t>
  </si>
  <si>
    <t>NEW VEHICLE SALES -  PG H - ACCT 10</t>
  </si>
  <si>
    <t>01-00-410H-SALES-CURR</t>
  </si>
  <si>
    <t>01-00-425-099-UNIT-CURR</t>
  </si>
  <si>
    <t>NEW VEHICLE SALES -  PG H - ACCT 11</t>
  </si>
  <si>
    <t>01-00-411H-SALES-CURR</t>
  </si>
  <si>
    <t>01-00-426-099-UNIT-CURR</t>
  </si>
  <si>
    <t>NEW VEHICLE SALES -  PG H - ACCT 12</t>
  </si>
  <si>
    <t>01-00-412H-SALES-CURR</t>
  </si>
  <si>
    <t>01-00-427-099-UNIT-CURR</t>
  </si>
  <si>
    <t>NEW VEHICLE SALES -  PG H - ACCT 13</t>
  </si>
  <si>
    <t>01-00-413H-SALES-CURR</t>
  </si>
  <si>
    <t>01-00-428-099-UNIT-CURR</t>
  </si>
  <si>
    <t>NEW VEHICLE SALES -  PG H - ACCT 14</t>
  </si>
  <si>
    <t>01-00-414H-SALES-CURR</t>
  </si>
  <si>
    <t>01-00-429-099-UNIT-CURR</t>
  </si>
  <si>
    <t>NEW VEHICLE SALES -  PG H - ACCT 15</t>
  </si>
  <si>
    <t>01-00-415H-SALES-CURR</t>
  </si>
  <si>
    <t>01-00-430-099-UNIT-CURR</t>
  </si>
  <si>
    <t>NEW VEHICLE SALES -  PG H - ACCT 16</t>
  </si>
  <si>
    <t>01-00-416H-SALES-CURR</t>
  </si>
  <si>
    <t>01-00-431-099-UNIT-CURR</t>
  </si>
  <si>
    <t>NEW VEHICLE SALES -  PG H - ACCT 17</t>
  </si>
  <si>
    <t>01-00-417H-SALES-CURR</t>
  </si>
  <si>
    <t>01-00-432-099-UNIT-CURR</t>
  </si>
  <si>
    <t>NEW VEHICLE SALES -  PG H - ACCT 18</t>
  </si>
  <si>
    <t>01-00-418H-SALES-CURR</t>
  </si>
  <si>
    <t>01-00-433-099-UNIT-CURR</t>
  </si>
  <si>
    <t>CAR -  PG H - FLEET SALES</t>
  </si>
  <si>
    <t>420H</t>
  </si>
  <si>
    <t>01-00-420H-SALES-CURR</t>
  </si>
  <si>
    <t>01-00-434-099-UNIT-CURR</t>
  </si>
  <si>
    <t>CAR -  PG H - INTERNAL SALES</t>
  </si>
  <si>
    <t>01-00-421H-SALES-CURR</t>
  </si>
  <si>
    <t>01-00-435-099-UNIT-CURR</t>
  </si>
  <si>
    <t>NEW VEHICLE SALES -  PG H - ACCT 23</t>
  </si>
  <si>
    <t>01-00-423H-SALES-CURR</t>
  </si>
  <si>
    <t>01-00-436-099-UNIT-CURR</t>
  </si>
  <si>
    <t>NEW VEHICLE SALES -  PG H - ACCT 24</t>
  </si>
  <si>
    <t>01-00-424H-SALES-CURR</t>
  </si>
  <si>
    <t>01-00-437-099-UNIT-CURR</t>
  </si>
  <si>
    <t>NEW VEHICLE SALES -  PG H - ACCT 25</t>
  </si>
  <si>
    <t>01-00-425H-SALES-CURR</t>
  </si>
  <si>
    <t>01-00-438-099-UNIT-CURR</t>
  </si>
  <si>
    <t>NEW VEHICLE SALES -  PG H - ACCT 26</t>
  </si>
  <si>
    <t>01-00-426H-SALES-CURR</t>
  </si>
  <si>
    <t>01-00-400-001-SALES-CURR</t>
  </si>
  <si>
    <t>NEW VEHICLE SALES -  PG H - ACCT 27</t>
  </si>
  <si>
    <t>01-00-427H-SALES-CURR</t>
  </si>
  <si>
    <t>01-00-401-001-SALES-CURR</t>
  </si>
  <si>
    <t>NEW VEHICLE SALES -  PG H - ACCT 28</t>
  </si>
  <si>
    <t>01-00-428H-SALES-CURR</t>
  </si>
  <si>
    <t>01-00-402-001-SALES-CURR</t>
  </si>
  <si>
    <t>NEW VEHICLE SALES -  PG H - ACCT 29</t>
  </si>
  <si>
    <t>01-00-429H-SALES-CURR</t>
  </si>
  <si>
    <t>01-00-403-001-SALES-CURR</t>
  </si>
  <si>
    <t>NEW VEHICLE SALES -  PG H - ACCT 30</t>
  </si>
  <si>
    <t>01-00-430H-SALES-CURR</t>
  </si>
  <si>
    <t>01-00-404-001-SALES-CURR</t>
  </si>
  <si>
    <t>NEW VEHICLE SALES -  PG H - ACCT 31</t>
  </si>
  <si>
    <t>01-00-431H-SALES-CURR</t>
  </si>
  <si>
    <t>01-00-405-001-SALES-CURR</t>
  </si>
  <si>
    <t>NEW VEHICLE SALES -  PG H - ACCT 32</t>
  </si>
  <si>
    <t>01-00-432H-SALES-CURR</t>
  </si>
  <si>
    <t>01-00-406-001-SALES-CURR</t>
  </si>
  <si>
    <t>NEW VEHICLE SALES -  PG H - ACCT 33</t>
  </si>
  <si>
    <t>01-00-433H-SALES-CURR</t>
  </si>
  <si>
    <t>01-00-407-001-SALES-CURR</t>
  </si>
  <si>
    <t>NEW VEHICLE SALES -  PG H - ACCT 34</t>
  </si>
  <si>
    <t>01-00-434H-SALES-CURR</t>
  </si>
  <si>
    <t>01-00-408-001-SALES-CURR</t>
  </si>
  <si>
    <t>NEW VEHICLE SALES -  PG H - ACCT 35</t>
  </si>
  <si>
    <t>01-00-435H-SALES-CURR</t>
  </si>
  <si>
    <t>01-00-409-001-SALES-CURR</t>
  </si>
  <si>
    <t>NEW VEHICLE SALES -  PG H - ACCT 36</t>
  </si>
  <si>
    <t>01-00-436H-SALES-CURR</t>
  </si>
  <si>
    <t>01-00-410-001-SALES-CURR</t>
  </si>
  <si>
    <t>NEW VEHICLE SALES -  PG H - ACCT 37</t>
  </si>
  <si>
    <t>01-00-437H-SALES-CURR</t>
  </si>
  <si>
    <t>01-00-411-001-SALES-CURR</t>
  </si>
  <si>
    <t>NEW VEHICLE SALES -  PG H - ACCT 38</t>
  </si>
  <si>
    <t>01-00-438H-SALES-CURR</t>
  </si>
  <si>
    <t>01-00-412-001-SALES-CURR</t>
  </si>
  <si>
    <t>TRUCK -  PG H - FLEET SALES</t>
  </si>
  <si>
    <t>440H</t>
  </si>
  <si>
    <t>01-00-440H-SALES-CURR</t>
  </si>
  <si>
    <t>01-00-413-001-SALES-CURR</t>
  </si>
  <si>
    <t>TRUCK -  PG H - INTERNAL SALES</t>
  </si>
  <si>
    <t>01-00-441H-SALES-CURR</t>
  </si>
  <si>
    <t>01-00-414-001-SALES-CURR</t>
  </si>
  <si>
    <t>NEW VEH ACCESSORIES -  PG H SALES</t>
  </si>
  <si>
    <t>01-00-457H-SALES-CURR</t>
  </si>
  <si>
    <t>01-00-415-001-SALES-CURR</t>
  </si>
  <si>
    <t>NEW VEHICLE COS -  PG H - ACCT 0</t>
  </si>
  <si>
    <t>600H</t>
  </si>
  <si>
    <t>01-00-600H-COS-CURR</t>
  </si>
  <si>
    <t>01-00-416-001-SALES-CURR</t>
  </si>
  <si>
    <t>NEW VEHICLE COS -  PG H - ACCT 1</t>
  </si>
  <si>
    <t>601H</t>
  </si>
  <si>
    <t>01-00-601H-COS-CURR</t>
  </si>
  <si>
    <t>01-00-417-001-SALES-CURR</t>
  </si>
  <si>
    <t>NEW VEHICLE COS -  PG H - ACCT 2</t>
  </si>
  <si>
    <t>602H</t>
  </si>
  <si>
    <t>01-00-602H-COS-CURR</t>
  </si>
  <si>
    <t>01-00-418-001-SALES-CURR</t>
  </si>
  <si>
    <t>NEW VEHICLE COS -  PG H - ACCT 3</t>
  </si>
  <si>
    <t>603H</t>
  </si>
  <si>
    <t>01-00-603H-COS-CURR</t>
  </si>
  <si>
    <t>01-00-423-001-SALES-CURR</t>
  </si>
  <si>
    <t>NEW VEHICLE COS -  PG H - ACCT 4</t>
  </si>
  <si>
    <t>604H</t>
  </si>
  <si>
    <t>01-00-604H-COS-CURR</t>
  </si>
  <si>
    <t>01-00-424-001-SALES-CURR</t>
  </si>
  <si>
    <t>NEW VEHICLE COS -  PG H - ACCT 5</t>
  </si>
  <si>
    <t>605H</t>
  </si>
  <si>
    <t>01-00-605H-COS-CURR</t>
  </si>
  <si>
    <t>01-00-425-001-SALES-CURR</t>
  </si>
  <si>
    <t>NEW VEHICLE COS -  PG H - ACCT 6</t>
  </si>
  <si>
    <t>606H</t>
  </si>
  <si>
    <t>01-00-606H-COS-CURR</t>
  </si>
  <si>
    <t>01-00-426-001-SALES-CURR</t>
  </si>
  <si>
    <t>NEW VEHICLE COS -  PG H - ACCT 7</t>
  </si>
  <si>
    <t>607H</t>
  </si>
  <si>
    <t>01-00-607H-COS-CURR</t>
  </si>
  <si>
    <t>01-00-427-001-SALES-CURR</t>
  </si>
  <si>
    <t>NEW VEHICLE COS -  PG H - ACCT 8</t>
  </si>
  <si>
    <t>608H</t>
  </si>
  <si>
    <t>01-00-608H-COS-CURR</t>
  </si>
  <si>
    <t>01-00-428-001-SALES-CURR</t>
  </si>
  <si>
    <t>NEW VEHICLE COS -  PG H - ACCT 9</t>
  </si>
  <si>
    <t>609H</t>
  </si>
  <si>
    <t>01-00-609H-COS-CURR</t>
  </si>
  <si>
    <t>01-00-429-001-SALES-CURR</t>
  </si>
  <si>
    <t>NEW VEHICLE COS -  PG H - ACCT 10</t>
  </si>
  <si>
    <t>610H</t>
  </si>
  <si>
    <t>01-00-610H-COS-CURR</t>
  </si>
  <si>
    <t>01-00-430-001-SALES-CURR</t>
  </si>
  <si>
    <t>NEW VEHICLE COS -  PG H - ACCT 11</t>
  </si>
  <si>
    <t>611H</t>
  </si>
  <si>
    <t>01-00-611H-COS-CURR</t>
  </si>
  <si>
    <t>01-00-431-001-SALES-CURR</t>
  </si>
  <si>
    <t>NEW VEHICLE COS -  PG H - ACCT 12</t>
  </si>
  <si>
    <t>612H</t>
  </si>
  <si>
    <t>01-00-612H-COS-CURR</t>
  </si>
  <si>
    <t>01-00-432-001-SALES-CURR</t>
  </si>
  <si>
    <t>NEW VEHICLE COS -  PG H - ACCT 13</t>
  </si>
  <si>
    <t>613H</t>
  </si>
  <si>
    <t>01-00-613H-COS-CURR</t>
  </si>
  <si>
    <t>01-00-433-001-SALES-CURR</t>
  </si>
  <si>
    <t>NEW VEHICLE COS -  PG H - ACCT 14</t>
  </si>
  <si>
    <t>614H</t>
  </si>
  <si>
    <t>01-00-614H-COS-CURR</t>
  </si>
  <si>
    <t>01-00-434-001-SALES-CURR</t>
  </si>
  <si>
    <t>NEW VEHICLE COS -  PG H - ACCT 15</t>
  </si>
  <si>
    <t>615H</t>
  </si>
  <si>
    <t>01-00-615H-COS-CURR</t>
  </si>
  <si>
    <t>01-00-435-001-SALES-CURR</t>
  </si>
  <si>
    <t>NEW VEHICLE COS -  PG H - ACCT 16</t>
  </si>
  <si>
    <t>616H</t>
  </si>
  <si>
    <t>01-00-616H-COS-CURR</t>
  </si>
  <si>
    <t>01-00-436-001-SALES-CURR</t>
  </si>
  <si>
    <t>NEW VEHICLE COS -  PG H - ACCT 17</t>
  </si>
  <si>
    <t>617H</t>
  </si>
  <si>
    <t>01-00-617H-COS-CURR</t>
  </si>
  <si>
    <t>01-00-437-001-SALES-CURR</t>
  </si>
  <si>
    <t>NEW VEHICLE COS -  PG H - ACCT 18</t>
  </si>
  <si>
    <t>618H</t>
  </si>
  <si>
    <t>01-00-618H-COS-CURR</t>
  </si>
  <si>
    <t>01-00-438-001-SALES-CURR</t>
  </si>
  <si>
    <t>CAR -  PG H - FLEET COS</t>
  </si>
  <si>
    <t>620H</t>
  </si>
  <si>
    <t>01-00-620H-COS-CURR</t>
  </si>
  <si>
    <t>01-00-400-001-GRSPFT-CURR</t>
  </si>
  <si>
    <t>CAR -  PG H - INTERNAL COS</t>
  </si>
  <si>
    <t>621H</t>
  </si>
  <si>
    <t>01-00-621H-COS-CURR</t>
  </si>
  <si>
    <t>01-00-401-001-GRSPFT-CURR</t>
  </si>
  <si>
    <t>NEW VEHICLE COS -  PG H - ACCT 23</t>
  </si>
  <si>
    <t>623H</t>
  </si>
  <si>
    <t>01-00-623H-COS-CURR</t>
  </si>
  <si>
    <t>01-00-402-001-GRSPFT-CURR</t>
  </si>
  <si>
    <t>NEW VEHICLE COS -  PG H - ACCT 24</t>
  </si>
  <si>
    <t>624H</t>
  </si>
  <si>
    <t>01-00-624H-COS-CURR</t>
  </si>
  <si>
    <t>01-00-403-001-GRSPFT-CURR</t>
  </si>
  <si>
    <t>NEW VEHICLE COS -  PG H - ACCT 25</t>
  </si>
  <si>
    <t>625H</t>
  </si>
  <si>
    <t>01-00-625H-COS-CURR</t>
  </si>
  <si>
    <t>01-00-404-001-GRSPFT-CURR</t>
  </si>
  <si>
    <t>NEW VEHICLE COS -  PG H - ACCT 26</t>
  </si>
  <si>
    <t>626H</t>
  </si>
  <si>
    <t>01-00-626H-COS-CURR</t>
  </si>
  <si>
    <t>01-00-405-001-GRSPFT-CURR</t>
  </si>
  <si>
    <t>NEW VEHICLE COS -  PG H - ACCT 27</t>
  </si>
  <si>
    <t>627H</t>
  </si>
  <si>
    <t>01-00-627H-COS-CURR</t>
  </si>
  <si>
    <t>01-00-406-001-GRSPFT-CURR</t>
  </si>
  <si>
    <t>NEW VEHICLE COS -  PG H - ACCT 28</t>
  </si>
  <si>
    <t>628H</t>
  </si>
  <si>
    <t>01-00-628H-COS-CURR</t>
  </si>
  <si>
    <t>01-00-407-001-GRSPFT-CURR</t>
  </si>
  <si>
    <t>NEW VEHICLE COS -  PG H - ACCT 29</t>
  </si>
  <si>
    <t>629H</t>
  </si>
  <si>
    <t>01-00-629H-COS-CURR</t>
  </si>
  <si>
    <t>01-00-408-001-GRSPFT-CURR</t>
  </si>
  <si>
    <t>NEW VEHICLE COS -  PG H - ACCT 30</t>
  </si>
  <si>
    <t>630H</t>
  </si>
  <si>
    <t>01-00-630H-COS-CURR</t>
  </si>
  <si>
    <t>01-00-409-001-GRSPFT-CURR</t>
  </si>
  <si>
    <t>NEW VEHICLE COS -  PG H - ACCT 31</t>
  </si>
  <si>
    <t>631H</t>
  </si>
  <si>
    <t>01-00-631H-COS-CURR</t>
  </si>
  <si>
    <t>01-00-410-001-GRSPFT-CURR</t>
  </si>
  <si>
    <t>NEW VEHICLE COS -  PG H - ACCT 32</t>
  </si>
  <si>
    <t>632H</t>
  </si>
  <si>
    <t>01-00-632H-COS-CURR</t>
  </si>
  <si>
    <t>01-00-411-001-GRSPFT-CURR</t>
  </si>
  <si>
    <t>NEW VEHICLE COS -  PG H - ACCT 33</t>
  </si>
  <si>
    <t>633H</t>
  </si>
  <si>
    <t>01-00-633H-COS-CURR</t>
  </si>
  <si>
    <t>01-00-412-001-GRSPFT-CURR</t>
  </si>
  <si>
    <t>NEW VEHICLE COS -  PG H - ACCT 34</t>
  </si>
  <si>
    <t>634H</t>
  </si>
  <si>
    <t>01-00-634H-COS-CURR</t>
  </si>
  <si>
    <t>01-00-413-001-GRSPFT-CURR</t>
  </si>
  <si>
    <t>NEW VEHICLE COS -  PG H - ACCT 35</t>
  </si>
  <si>
    <t>635H</t>
  </si>
  <si>
    <t>01-00-635H-COS-CURR</t>
  </si>
  <si>
    <t>01-00-414-001-GRSPFT-CURR</t>
  </si>
  <si>
    <t>NEW VEHICLE COS -  PG H - ACCT 36</t>
  </si>
  <si>
    <t>636H</t>
  </si>
  <si>
    <t>01-00-636H-COS-CURR</t>
  </si>
  <si>
    <t>01-00-415-001-GRSPFT-CURR</t>
  </si>
  <si>
    <t>NEW VEHICLE COS -  PG H - ACCT 37</t>
  </si>
  <si>
    <t>637H</t>
  </si>
  <si>
    <t>01-00-637H-COS-CURR</t>
  </si>
  <si>
    <t>01-00-416-001-GRSPFT-CURR</t>
  </si>
  <si>
    <t>NEW VEHICLE COS -  PG H - ACCT 38</t>
  </si>
  <si>
    <t>638H</t>
  </si>
  <si>
    <t>01-00-638H-COS-CURR</t>
  </si>
  <si>
    <t>01-00-417-001-GRSPFT-CURR</t>
  </si>
  <si>
    <t>TRUCK -  PG H - FLEET COS</t>
  </si>
  <si>
    <t>640H</t>
  </si>
  <si>
    <t>01-00-640H-COS-CURR</t>
  </si>
  <si>
    <t>01-00-418-001-GRSPFT-CURR</t>
  </si>
  <si>
    <t>TRUCK -  PG H - INTERNAL COS</t>
  </si>
  <si>
    <t>641H</t>
  </si>
  <si>
    <t>01-00-641H-COS-CURR</t>
  </si>
  <si>
    <t>01-00-423-001-GRSPFT-CURR</t>
  </si>
  <si>
    <t>NEW VEH ACCESSORIES -  PG H COS</t>
  </si>
  <si>
    <t>657H</t>
  </si>
  <si>
    <t>01-00-657H-COS-CURR</t>
  </si>
  <si>
    <t>01-00-424-001-GRSPFT-CURR</t>
  </si>
  <si>
    <t>NEW VEH TOTAL -  PG H GROSS PROFIT</t>
  </si>
  <si>
    <t>TOTGPH</t>
  </si>
  <si>
    <t>01-00-TOTVEHH-GRSPFT-CURR</t>
  </si>
  <si>
    <t>01-00-425-001-GRSPFT-CURR</t>
  </si>
  <si>
    <t>NEW VEHICLE SALES -  PG I - ACCT 0</t>
  </si>
  <si>
    <t>01-00-400I-SALES-CURR</t>
  </si>
  <si>
    <t>01-00-426-001-GRSPFT-CURR</t>
  </si>
  <si>
    <t>NEW VEHICLE SALES -  PG I - ACCT 1</t>
  </si>
  <si>
    <t>01-00-401I-SALES-CURR</t>
  </si>
  <si>
    <t>01-00-427-001-GRSPFT-CURR</t>
  </si>
  <si>
    <t>NEW VEHICLE SALES -  PG I - ACCT 2</t>
  </si>
  <si>
    <t>01-00-402I-SALES-CURR</t>
  </si>
  <si>
    <t>01-00-428-001-GRSPFT-CURR</t>
  </si>
  <si>
    <t>NEW VEHICLE SALES -  PG I - ACCT 3</t>
  </si>
  <si>
    <t>01-00-403I-SALES-CURR</t>
  </si>
  <si>
    <t>01-00-429-001-GRSPFT-CURR</t>
  </si>
  <si>
    <t>NEW VEHICLE SALES -  PG I - ACCT 4</t>
  </si>
  <si>
    <t>01-00-404I-SALES-CURR</t>
  </si>
  <si>
    <t>01-00-430-001-GRSPFT-CURR</t>
  </si>
  <si>
    <t>NEW VEHICLE SALES -  PG I - ACCT 5</t>
  </si>
  <si>
    <t>01-00-405I-SALES-CURR</t>
  </si>
  <si>
    <t>01-00-431-001-GRSPFT-CURR</t>
  </si>
  <si>
    <t>NEW VEHICLE SALES -  PG I - ACCT 6</t>
  </si>
  <si>
    <t>01-00-406I-SALES-CURR</t>
  </si>
  <si>
    <t>01-00-432-001-GRSPFT-CURR</t>
  </si>
  <si>
    <t>NEW VEHICLE SALES -  PG I - ACCT 7</t>
  </si>
  <si>
    <t>01-00-407I-SALES-CURR</t>
  </si>
  <si>
    <t>01-00-433-001-GRSPFT-CURR</t>
  </si>
  <si>
    <t>NEW VEHICLE SALES -  PG I - ACCT 8</t>
  </si>
  <si>
    <t>01-00-408I-SALES-CURR</t>
  </si>
  <si>
    <t>01-00-434-001-GRSPFT-CURR</t>
  </si>
  <si>
    <t>NEW VEHICLE SALES -  PG I - ACCT 9</t>
  </si>
  <si>
    <t>01-00-409I-SALES-CURR</t>
  </si>
  <si>
    <t>01-00-435-001-GRSPFT-CURR</t>
  </si>
  <si>
    <t>NEW VEHICLE SALES -  PG I - ACCT 10</t>
  </si>
  <si>
    <t>01-00-410I-SALES-CURR</t>
  </si>
  <si>
    <t>01-00-436-001-GRSPFT-CURR</t>
  </si>
  <si>
    <t>NEW VEHICLE SALES -  PG I - ACCT 11</t>
  </si>
  <si>
    <t>01-00-411I-SALES-CURR</t>
  </si>
  <si>
    <t>01-00-437-001-GRSPFT-CURR</t>
  </si>
  <si>
    <t>NEW VEHICLE SALES -  PG I - ACCT 12</t>
  </si>
  <si>
    <t>01-00-412I-SALES-CURR</t>
  </si>
  <si>
    <t>01-00-438-001-GRSPFT-CURR</t>
  </si>
  <si>
    <t>NEW VEHICLE SALES -  PG I - ACCT 13</t>
  </si>
  <si>
    <t>01-00-413I-SALES-CURR</t>
  </si>
  <si>
    <t>01-00-400-002-SALES-CURR</t>
  </si>
  <si>
    <t>NEW VEHICLE SALES -  PG I - ACCT 14</t>
  </si>
  <si>
    <t>01-00-414I-SALES-CURR</t>
  </si>
  <si>
    <t>01-00-401-002-SALES-CURR</t>
  </si>
  <si>
    <t>NEW VEHICLE SALES -  PG I - ACCT 15</t>
  </si>
  <si>
    <t>01-00-415I-SALES-CURR</t>
  </si>
  <si>
    <t>01-00-402-002-SALES-CURR</t>
  </si>
  <si>
    <t>NEW VEHICLE SALES -  PG I - ACCT 16</t>
  </si>
  <si>
    <t>01-00-416I-SALES-CURR</t>
  </si>
  <si>
    <t>01-00-403-002-SALES-CURR</t>
  </si>
  <si>
    <t>NEW VEHICLE SALES -  PG I - ACCT 17</t>
  </si>
  <si>
    <t>01-00-417I-SALES-CURR</t>
  </si>
  <si>
    <t>01-00-404-002-SALES-CURR</t>
  </si>
  <si>
    <t>NEW VEHICLE SALES -  PG I - ACCT 18</t>
  </si>
  <si>
    <t>01-00-418I-SALES-CURR</t>
  </si>
  <si>
    <t>01-00-405-002-SALES-CURR</t>
  </si>
  <si>
    <t>CAR -  PG I - FLEET SALES</t>
  </si>
  <si>
    <t>01-00-420I-SALES-CURR</t>
  </si>
  <si>
    <t>01-00-406-002-SALES-CURR</t>
  </si>
  <si>
    <t>CAR -  PG I - INTERNAL SALES</t>
  </si>
  <si>
    <t>01-00-421I-SALES-CURR</t>
  </si>
  <si>
    <t>01-00-407-002-SALES-CURR</t>
  </si>
  <si>
    <t>NEW VEHICLE SALES -  PG I - ACCT 23</t>
  </si>
  <si>
    <t>01-00-423I-SALES-CURR</t>
  </si>
  <si>
    <t>01-00-408-002-SALES-CURR</t>
  </si>
  <si>
    <t>NEW VEHICLE SALES -  PG I - ACCT 24</t>
  </si>
  <si>
    <t>01-00-424I-SALES-CURR</t>
  </si>
  <si>
    <t>01-00-409-002-SALES-CURR</t>
  </si>
  <si>
    <t>NEW VEHICLE SALES -  PG I - ACCT 25</t>
  </si>
  <si>
    <t>01-00-425I-SALES-CURR</t>
  </si>
  <si>
    <t>01-00-410-002-SALES-CURR</t>
  </si>
  <si>
    <t>NEW VEHICLE SALES -  PG I - ACCT 26</t>
  </si>
  <si>
    <t>01-00-426I-SALES-CURR</t>
  </si>
  <si>
    <t>01-00-411-002-SALES-CURR</t>
  </si>
  <si>
    <t>NEW VEHICLE SALES -  PG I - ACCT 27</t>
  </si>
  <si>
    <t>01-00-427I-SALES-CURR</t>
  </si>
  <si>
    <t>01-00-412-002-SALES-CURR</t>
  </si>
  <si>
    <t>NEW VEHICLE SALES -  PG I - ACCT 28</t>
  </si>
  <si>
    <t>01-00-428I-SALES-CURR</t>
  </si>
  <si>
    <t>01-00-413-002-SALES-CURR</t>
  </si>
  <si>
    <t>NEW VEHICLE SALES -  PG I - ACCT 29</t>
  </si>
  <si>
    <t>01-00-429I-SALES-CURR</t>
  </si>
  <si>
    <t>01-00-414-002-SALES-CURR</t>
  </si>
  <si>
    <t>NEW VEHICLE SALES -  PG I - ACCT 30</t>
  </si>
  <si>
    <t>01-00-430I-SALES-CURR</t>
  </si>
  <si>
    <t>01-00-415-002-SALES-CURR</t>
  </si>
  <si>
    <t>NEW VEHICLE SALES -  PG I - ACCT 31</t>
  </si>
  <si>
    <t>01-00-431I-SALES-CURR</t>
  </si>
  <si>
    <t>01-00-416-002-SALES-CURR</t>
  </si>
  <si>
    <t>NEW VEHICLE SALES -  PG I - ACCT 32</t>
  </si>
  <si>
    <t>01-00-432I-SALES-CURR</t>
  </si>
  <si>
    <t>01-00-417-002-SALES-CURR</t>
  </si>
  <si>
    <t>NEW VEHICLE SALES -  PG I - ACCT 33</t>
  </si>
  <si>
    <t>01-00-433I-SALES-CURR</t>
  </si>
  <si>
    <t>01-00-418-002-SALES-CURR</t>
  </si>
  <si>
    <t>NEW VEHICLE SALES -  PG I - ACCT 34</t>
  </si>
  <si>
    <t>01-00-434I-SALES-CURR</t>
  </si>
  <si>
    <t>01-00-423-002-SALES-CURR</t>
  </si>
  <si>
    <t>NEW VEHICLE SALES -  PG I - ACCT 35</t>
  </si>
  <si>
    <t>01-00-435I-SALES-CURR</t>
  </si>
  <si>
    <t>01-00-424-002-SALES-CURR</t>
  </si>
  <si>
    <t>NEW VEHICLE SALES -  PG I - ACCT 36</t>
  </si>
  <si>
    <t>01-00-436I-SALES-CURR</t>
  </si>
  <si>
    <t>01-00-425-002-SALES-CURR</t>
  </si>
  <si>
    <t>NEW VEHICLE SALES -  PG I - ACCT 37</t>
  </si>
  <si>
    <t>01-00-437I-SALES-CURR</t>
  </si>
  <si>
    <t>01-00-426-002-SALES-CURR</t>
  </si>
  <si>
    <t>NEW VEHICLE SALES -  PG I - ACCT 38</t>
  </si>
  <si>
    <t>01-00-438I-SALES-CURR</t>
  </si>
  <si>
    <t>01-00-427-002-SALES-CURR</t>
  </si>
  <si>
    <t>TRUCK -  PG I - FLEET SALES</t>
  </si>
  <si>
    <t>01-00-440I-SALES-CURR</t>
  </si>
  <si>
    <t>01-00-428-002-SALES-CURR</t>
  </si>
  <si>
    <t>TRUCK -  PG I - INTERNAL SALES</t>
  </si>
  <si>
    <t>01-00-441I-SALES-CURR</t>
  </si>
  <si>
    <t>01-00-429-002-SALES-CURR</t>
  </si>
  <si>
    <t>NEW VEH ACCESSORIES -  PG I SALES</t>
  </si>
  <si>
    <t>01-00-457I-SALES-CURR</t>
  </si>
  <si>
    <t>01-00-430-002-SALES-CURR</t>
  </si>
  <si>
    <t>NEW VEHICLE COS -  PG I - ACCT 0</t>
  </si>
  <si>
    <t>600I</t>
  </si>
  <si>
    <t>01-00-600I-COS-CURR</t>
  </si>
  <si>
    <t>01-00-431-002-SALES-CURR</t>
  </si>
  <si>
    <t>NEW VEHICLE COS -  PG I - ACCT 1</t>
  </si>
  <si>
    <t>601I</t>
  </si>
  <si>
    <t>01-00-601I-COS-CURR</t>
  </si>
  <si>
    <t>01-00-432-002-SALES-CURR</t>
  </si>
  <si>
    <t>NEW VEHICLE COS -  PG I - ACCT 2</t>
  </si>
  <si>
    <t>602I</t>
  </si>
  <si>
    <t>01-00-602I-COS-CURR</t>
  </si>
  <si>
    <t>01-00-433-002-SALES-CURR</t>
  </si>
  <si>
    <t>NEW VEHICLE COS -  PG I - ACCT 3</t>
  </si>
  <si>
    <t>603I</t>
  </si>
  <si>
    <t>01-00-603I-COS-CURR</t>
  </si>
  <si>
    <t>01-00-434-002-SALES-CURR</t>
  </si>
  <si>
    <t>NEW VEHICLE COS -  PG I - ACCT 4</t>
  </si>
  <si>
    <t>604I</t>
  </si>
  <si>
    <t>01-00-604I-COS-CURR</t>
  </si>
  <si>
    <t>01-00-435-002-SALES-CURR</t>
  </si>
  <si>
    <t>NEW VEHICLE COS -  PG I - ACCT 5</t>
  </si>
  <si>
    <t>605I</t>
  </si>
  <si>
    <t>01-00-605I-COS-CURR</t>
  </si>
  <si>
    <t>01-00-436-002-SALES-CURR</t>
  </si>
  <si>
    <t>NEW VEHICLE COS -  PG I - ACCT 6</t>
  </si>
  <si>
    <t>606I</t>
  </si>
  <si>
    <t>01-00-606I-COS-CURR</t>
  </si>
  <si>
    <t>01-00-437-002-SALES-CURR</t>
  </si>
  <si>
    <t>NEW VEHICLE COS -  PG I - ACCT 7</t>
  </si>
  <si>
    <t>607I</t>
  </si>
  <si>
    <t>01-00-607I-COS-CURR</t>
  </si>
  <si>
    <t>01-00-438-002-SALES-CURR</t>
  </si>
  <si>
    <t>NEW VEHICLE COS -  PG I - ACCT 8</t>
  </si>
  <si>
    <t>608I</t>
  </si>
  <si>
    <t>01-00-608I-COS-CURR</t>
  </si>
  <si>
    <t>01-00-400-002-GRSPFT-CURR</t>
  </si>
  <si>
    <t>NEW VEHICLE COS -  PG I - ACCT 9</t>
  </si>
  <si>
    <t>609I</t>
  </si>
  <si>
    <t>01-00-609I-COS-CURR</t>
  </si>
  <si>
    <t>01-00-401-002-GRSPFT-CURR</t>
  </si>
  <si>
    <t>NEW VEHICLE COS -  PG I - ACCT 10</t>
  </si>
  <si>
    <t>610I</t>
  </si>
  <si>
    <t>01-00-610I-COS-CURR</t>
  </si>
  <si>
    <t>01-00-402-002-GRSPFT-CURR</t>
  </si>
  <si>
    <t>NEW VEHICLE COS -  PG I - ACCT 11</t>
  </si>
  <si>
    <t>611I</t>
  </si>
  <si>
    <t>01-00-611I-COS-CURR</t>
  </si>
  <si>
    <t>01-00-403-002-GRSPFT-CURR</t>
  </si>
  <si>
    <t>NEW VEHICLE COS -  PG I - ACCT 12</t>
  </si>
  <si>
    <t>612I</t>
  </si>
  <si>
    <t>01-00-612I-COS-CURR</t>
  </si>
  <si>
    <t>01-00-404-002-GRSPFT-CURR</t>
  </si>
  <si>
    <t>NEW VEHICLE COS -  PG I - ACCT 13</t>
  </si>
  <si>
    <t>613I</t>
  </si>
  <si>
    <t>01-00-613I-COS-CURR</t>
  </si>
  <si>
    <t>01-00-405-002-GRSPFT-CURR</t>
  </si>
  <si>
    <t>NEW VEHICLE COS -  PG I - ACCT 14</t>
  </si>
  <si>
    <t>614I</t>
  </si>
  <si>
    <t>01-00-614I-COS-CURR</t>
  </si>
  <si>
    <t>01-00-406-002-GRSPFT-CURR</t>
  </si>
  <si>
    <t>NEW VEHICLE COS -  PG I - ACCT 15</t>
  </si>
  <si>
    <t>615I</t>
  </si>
  <si>
    <t>01-00-615I-COS-CURR</t>
  </si>
  <si>
    <t>01-00-407-002-GRSPFT-CURR</t>
  </si>
  <si>
    <t>NEW VEHICLE COS -  PG I - ACCT 16</t>
  </si>
  <si>
    <t>616I</t>
  </si>
  <si>
    <t>01-00-616I-COS-CURR</t>
  </si>
  <si>
    <t>01-00-408-002-GRSPFT-CURR</t>
  </si>
  <si>
    <t>NEW VEHICLE COS -  PG I - ACCT 17</t>
  </si>
  <si>
    <t>617I</t>
  </si>
  <si>
    <t>01-00-617I-COS-CURR</t>
  </si>
  <si>
    <t>01-00-409-002-GRSPFT-CURR</t>
  </si>
  <si>
    <t>NEW VEHICLE COS -  PG I - ACCT 18</t>
  </si>
  <si>
    <t>618I</t>
  </si>
  <si>
    <t>01-00-618I-COS-CURR</t>
  </si>
  <si>
    <t>01-00-410-002-GRSPFT-CURR</t>
  </si>
  <si>
    <t>CAR -  PG I - FLEET COS</t>
  </si>
  <si>
    <t>620I</t>
  </si>
  <si>
    <t>01-00-620I-COS-CURR</t>
  </si>
  <si>
    <t>01-00-411-002-GRSPFT-CURR</t>
  </si>
  <si>
    <t>CAR -  PG I - INTERNAL COS</t>
  </si>
  <si>
    <t>621I</t>
  </si>
  <si>
    <t>01-00-621I-COS-CURR</t>
  </si>
  <si>
    <t>01-00-412-002-GRSPFT-CURR</t>
  </si>
  <si>
    <t>NEW VEHICLE COS -  PG I - ACCT 23</t>
  </si>
  <si>
    <t>623I</t>
  </si>
  <si>
    <t>01-00-623I-COS-CURR</t>
  </si>
  <si>
    <t>01-00-413-002-GRSPFT-CURR</t>
  </si>
  <si>
    <t>NEW VEHICLE COS -  PG I - ACCT 24</t>
  </si>
  <si>
    <t>624I</t>
  </si>
  <si>
    <t>01-00-624I-COS-CURR</t>
  </si>
  <si>
    <t>01-00-414-002-GRSPFT-CURR</t>
  </si>
  <si>
    <t>NEW VEHICLE COS -  PG I - ACCT 25</t>
  </si>
  <si>
    <t>625I</t>
  </si>
  <si>
    <t>01-00-625I-COS-CURR</t>
  </si>
  <si>
    <t>01-00-415-002-GRSPFT-CURR</t>
  </si>
  <si>
    <t>NEW VEHICLE COS -  PG I - ACCT 26</t>
  </si>
  <si>
    <t>626I</t>
  </si>
  <si>
    <t>01-00-626I-COS-CURR</t>
  </si>
  <si>
    <t>01-00-416-002-GRSPFT-CURR</t>
  </si>
  <si>
    <t>NEW VEHICLE COS -  PG I - ACCT 27</t>
  </si>
  <si>
    <t>627I</t>
  </si>
  <si>
    <t>01-00-627I-COS-CURR</t>
  </si>
  <si>
    <t>01-00-417-002-GRSPFT-CURR</t>
  </si>
  <si>
    <t>NEW VEHICLE COS -  PG I - ACCT 28</t>
  </si>
  <si>
    <t>628I</t>
  </si>
  <si>
    <t>01-00-628I-COS-CURR</t>
  </si>
  <si>
    <t>01-00-418-002-GRSPFT-CURR</t>
  </si>
  <si>
    <t>NEW VEHICLE COS -  PG I - ACCT 29</t>
  </si>
  <si>
    <t>629I</t>
  </si>
  <si>
    <t>01-00-629I-COS-CURR</t>
  </si>
  <si>
    <t>01-00-423-002-GRSPFT-CURR</t>
  </si>
  <si>
    <t>NEW VEHICLE COS -  PG I - ACCT 30</t>
  </si>
  <si>
    <t>630I</t>
  </si>
  <si>
    <t>01-00-630I-COS-CURR</t>
  </si>
  <si>
    <t>01-00-424-002-GRSPFT-CURR</t>
  </si>
  <si>
    <t>NEW VEHICLE COS -  PG I - ACCT 31</t>
  </si>
  <si>
    <t>631I</t>
  </si>
  <si>
    <t>01-00-631I-COS-CURR</t>
  </si>
  <si>
    <t>01-00-425-002-GRSPFT-CURR</t>
  </si>
  <si>
    <t>NEW VEHICLE COS -  PG I - ACCT 32</t>
  </si>
  <si>
    <t>632I</t>
  </si>
  <si>
    <t>01-00-632I-COS-CURR</t>
  </si>
  <si>
    <t>01-00-426-002-GRSPFT-CURR</t>
  </si>
  <si>
    <t>NEW VEHICLE COS -  PG I - ACCT 33</t>
  </si>
  <si>
    <t>633I</t>
  </si>
  <si>
    <t>01-00-633I-COS-CURR</t>
  </si>
  <si>
    <t>01-00-427-002-GRSPFT-CURR</t>
  </si>
  <si>
    <t>NEW VEHICLE COS -  PG I - ACCT 34</t>
  </si>
  <si>
    <t>634I</t>
  </si>
  <si>
    <t>01-00-634I-COS-CURR</t>
  </si>
  <si>
    <t>01-00-428-002-GRSPFT-CURR</t>
  </si>
  <si>
    <t>NEW VEHICLE COS -  PG I - ACCT 35</t>
  </si>
  <si>
    <t>635I</t>
  </si>
  <si>
    <t>01-00-635I-COS-CURR</t>
  </si>
  <si>
    <t>01-00-429-002-GRSPFT-CURR</t>
  </si>
  <si>
    <t>NEW VEHICLE COS -  PG I - ACCT 36</t>
  </si>
  <si>
    <t>636I</t>
  </si>
  <si>
    <t>01-00-636I-COS-CURR</t>
  </si>
  <si>
    <t>01-00-430-002-GRSPFT-CURR</t>
  </si>
  <si>
    <t>NEW VEHICLE COS -  PG I - ACCT 37</t>
  </si>
  <si>
    <t>637I</t>
  </si>
  <si>
    <t>01-00-637I-COS-CURR</t>
  </si>
  <si>
    <t>01-00-431-002-GRSPFT-CURR</t>
  </si>
  <si>
    <t>NEW VEHICLE COS -  PG I - ACCT 38</t>
  </si>
  <si>
    <t>638I</t>
  </si>
  <si>
    <t>01-00-638I-COS-CURR</t>
  </si>
  <si>
    <t>01-00-432-002-GRSPFT-CURR</t>
  </si>
  <si>
    <t>TRUCK -  PG I - FLEET COS</t>
  </si>
  <si>
    <t>640I</t>
  </si>
  <si>
    <t>01-00-640I-COS-CURR</t>
  </si>
  <si>
    <t>01-00-433-002-GRSPFT-CURR</t>
  </si>
  <si>
    <t>TRUCK -  PG I - INTERNAL COS</t>
  </si>
  <si>
    <t>641I</t>
  </si>
  <si>
    <t>01-00-641I-COS-CURR</t>
  </si>
  <si>
    <t>01-00-434-002-GRSPFT-CURR</t>
  </si>
  <si>
    <t>NEW VEH ACCESSORIES -  PG I COS</t>
  </si>
  <si>
    <t>657I</t>
  </si>
  <si>
    <t>01-00-657I-COS-CURR</t>
  </si>
  <si>
    <t>01-00-435-002-GRSPFT-CURR</t>
  </si>
  <si>
    <t>NEW VEH TOTAL -  PG I GROSS PROFIT</t>
  </si>
  <si>
    <t>TOTGPI</t>
  </si>
  <si>
    <t>01-00-TOTVEHI-GRSPFT-CURR</t>
  </si>
  <si>
    <t>01-00-436-002-GRSPFT-CURR</t>
  </si>
  <si>
    <t>PAGE J</t>
  </si>
  <si>
    <t>NEW VEHICLE SALES -  PG J - ACCT 0</t>
  </si>
  <si>
    <t>01-00-400J-SALES-CURR</t>
  </si>
  <si>
    <t>01-00-437-002-GRSPFT-CURR</t>
  </si>
  <si>
    <t>NEW VEHICLE SALES -  PG J - ACCT 1</t>
  </si>
  <si>
    <t>01-00-401J-SALES-CURR</t>
  </si>
  <si>
    <t>01-00-438-002-GRSPFT-CURR</t>
  </si>
  <si>
    <t>NEW VEHICLE SALES -  PG J - ACCT 2</t>
  </si>
  <si>
    <t>01-00-402J-SALES-CURR</t>
  </si>
  <si>
    <t>01-00-400-003-SALES-CURR</t>
  </si>
  <si>
    <t>NEW VEHICLE SALES -  PG J - ACCT 3</t>
  </si>
  <si>
    <t>01-00-403J-SALES-CURR</t>
  </si>
  <si>
    <t>01-00-401-003-SALES-CURR</t>
  </si>
  <si>
    <t>NEW VEHICLE SALES -  PG J - ACCT 4</t>
  </si>
  <si>
    <t>01-00-404J-SALES-CURR</t>
  </si>
  <si>
    <t>01-00-402-003-SALES-CURR</t>
  </si>
  <si>
    <t>NEW VEHICLE SALES -  PG J - ACCT 5</t>
  </si>
  <si>
    <t>01-00-405J-SALES-CURR</t>
  </si>
  <si>
    <t>01-00-403-003-SALES-CURR</t>
  </si>
  <si>
    <t>NEW VEHICLE SALES -  PG J - ACCT 6</t>
  </si>
  <si>
    <t>01-00-406J-SALES-CURR</t>
  </si>
  <si>
    <t>01-00-404-003-SALES-CURR</t>
  </si>
  <si>
    <t>NEW VEHICLE SALES -  PG J - ACCT 7</t>
  </si>
  <si>
    <t>01-00-407J-SALES-CURR</t>
  </si>
  <si>
    <t>01-00-405-003-SALES-CURR</t>
  </si>
  <si>
    <t>NEW VEHICLE SALES -  PG J - ACCT 8</t>
  </si>
  <si>
    <t>01-00-408J-SALES-CURR</t>
  </si>
  <si>
    <t>01-00-406-003-SALES-CURR</t>
  </si>
  <si>
    <t>NEW VEHICLE SALES -  PG J - ACCT 9</t>
  </si>
  <si>
    <t>01-00-409J-SALES-CURR</t>
  </si>
  <si>
    <t>01-00-407-003-SALES-CURR</t>
  </si>
  <si>
    <t>NEW VEHICLE SALES -  PG J - ACCT 10</t>
  </si>
  <si>
    <t>01-00-410J-SALES-CURR</t>
  </si>
  <si>
    <t>01-00-408-003-SALES-CURR</t>
  </si>
  <si>
    <t>NEW VEHICLE SALES -  PG J - ACCT 11</t>
  </si>
  <si>
    <t>01-00-411J-SALES-CURR</t>
  </si>
  <si>
    <t>01-00-409-003-SALES-CURR</t>
  </si>
  <si>
    <t>NEW VEHICLE SALES -  PG J - ACCT 12</t>
  </si>
  <si>
    <t>01-00-412J-SALES-CURR</t>
  </si>
  <si>
    <t>01-00-410-003-SALES-CURR</t>
  </si>
  <si>
    <t>NEW VEHICLE SALES -  PG J - ACCT 13</t>
  </si>
  <si>
    <t>01-00-413J-SALES-CURR</t>
  </si>
  <si>
    <t>01-00-411-003-SALES-CURR</t>
  </si>
  <si>
    <t>NEW VEHICLE SALES -  PG J - ACCT 14</t>
  </si>
  <si>
    <t>01-00-414J-SALES-CURR</t>
  </si>
  <si>
    <t>01-00-412-003-SALES-CURR</t>
  </si>
  <si>
    <t>NEW VEHICLE SALES -  PG J - ACCT 15</t>
  </si>
  <si>
    <t>01-00-415J-SALES-CURR</t>
  </si>
  <si>
    <t>01-00-413-003-SALES-CURR</t>
  </si>
  <si>
    <t>NEW VEHICLE SALES -  PG J - ACCT 16</t>
  </si>
  <si>
    <t>01-00-416J-SALES-CURR</t>
  </si>
  <si>
    <t>01-00-414-003-SALES-CURR</t>
  </si>
  <si>
    <t>NEW VEHICLE SALES -  PG J - ACCT 17</t>
  </si>
  <si>
    <t>01-00-417J-SALES-CURR</t>
  </si>
  <si>
    <t>01-00-415-003-SALES-CURR</t>
  </si>
  <si>
    <t>NEW VEHICLE SALES -  PG J - ACCT 18</t>
  </si>
  <si>
    <t>01-00-418J-SALES-CURR</t>
  </si>
  <si>
    <t>01-00-416-003-SALES-CURR</t>
  </si>
  <si>
    <t>CAR -  PG J - FLEET SALES</t>
  </si>
  <si>
    <t>01-00-420J-SALES-CURR</t>
  </si>
  <si>
    <t>01-00-417-003-SALES-CURR</t>
  </si>
  <si>
    <t>CAR -  PG J - INTERNAL SALES</t>
  </si>
  <si>
    <t>01-00-421J-SALES-CURR</t>
  </si>
  <si>
    <t>01-00-418-003-SALES-CURR</t>
  </si>
  <si>
    <t>NEW VEHICLE SALES -  PG J - ACCT 23</t>
  </si>
  <si>
    <t>01-00-423J-SALES-CURR</t>
  </si>
  <si>
    <t>01-00-423-003-SALES-CURR</t>
  </si>
  <si>
    <t>NEW VEHICLE SALES -  PG J - ACCT 24</t>
  </si>
  <si>
    <t>01-00-424J-SALES-CURR</t>
  </si>
  <si>
    <t>01-00-424-003-SALES-CURR</t>
  </si>
  <si>
    <t>NEW VEHICLE SALES -  PG J - ACCT 25</t>
  </si>
  <si>
    <t>01-00-425J-SALES-CURR</t>
  </si>
  <si>
    <t>01-00-425-003-SALES-CURR</t>
  </si>
  <si>
    <t>NEW VEHICLE SALES -  PG J - ACCT 26</t>
  </si>
  <si>
    <t>01-00-426J-SALES-CURR</t>
  </si>
  <si>
    <t>01-00-426-003-SALES-CURR</t>
  </si>
  <si>
    <t>NEW VEHICLE SALES -  PG J - ACCT 27</t>
  </si>
  <si>
    <t>01-00-427J-SALES-CURR</t>
  </si>
  <si>
    <t>01-00-427-003-SALES-CURR</t>
  </si>
  <si>
    <t>NEW VEHICLE SALES -  PG J - ACCT 28</t>
  </si>
  <si>
    <t>01-00-428J-SALES-CURR</t>
  </si>
  <si>
    <t>01-00-428-003-SALES-CURR</t>
  </si>
  <si>
    <t>NEW VEHICLE SALES -  PG J - ACCT 29</t>
  </si>
  <si>
    <t>01-00-429J-SALES-CURR</t>
  </si>
  <si>
    <t>01-00-429-003-SALES-CURR</t>
  </si>
  <si>
    <t>NEW VEHICLE SALES -  PG J - ACCT 30</t>
  </si>
  <si>
    <t>01-00-430J-SALES-CURR</t>
  </si>
  <si>
    <t>01-00-430-003-SALES-CURR</t>
  </si>
  <si>
    <t>NEW VEHICLE SALES -  PG J - ACCT 31</t>
  </si>
  <si>
    <t>01-00-431J-SALES-CURR</t>
  </si>
  <si>
    <t>01-00-431-003-SALES-CURR</t>
  </si>
  <si>
    <t>NEW VEHICLE SALES -  PG J - ACCT 32</t>
  </si>
  <si>
    <t>01-00-432J-SALES-CURR</t>
  </si>
  <si>
    <t>01-00-432-003-SALES-CURR</t>
  </si>
  <si>
    <t>NEW VEHICLE SALES -  PG J - ACCT 33</t>
  </si>
  <si>
    <t>01-00-433J-SALES-CURR</t>
  </si>
  <si>
    <t>01-00-433-003-SALES-CURR</t>
  </si>
  <si>
    <t>NEW VEHICLE SALES -  PG J - ACCT 34</t>
  </si>
  <si>
    <t>01-00-434J-SALES-CURR</t>
  </si>
  <si>
    <t>01-00-434-003-SALES-CURR</t>
  </si>
  <si>
    <t>NEW VEHICLE SALES -  PG J - ACCT 35</t>
  </si>
  <si>
    <t>01-00-435J-SALES-CURR</t>
  </si>
  <si>
    <t>01-00-435-003-SALES-CURR</t>
  </si>
  <si>
    <t>NEW VEHICLE SALES -  PG J - ACCT 36</t>
  </si>
  <si>
    <t>01-00-436J-SALES-CURR</t>
  </si>
  <si>
    <t>01-00-436-003-SALES-CURR</t>
  </si>
  <si>
    <t>NEW VEHICLE SALES -  PG J - ACCT 37</t>
  </si>
  <si>
    <t>01-00-437J-SALES-CURR</t>
  </si>
  <si>
    <t>01-00-437-003-SALES-CURR</t>
  </si>
  <si>
    <t>NEW VEHICLE SALES -  PG J - ACCT 38</t>
  </si>
  <si>
    <t>01-00-438J-SALES-CURR</t>
  </si>
  <si>
    <t>01-00-438-003-SALES-CURR</t>
  </si>
  <si>
    <t>TRUCK -  PG J - FLEET SALES</t>
  </si>
  <si>
    <t>01-00-440J-SALES-CURR</t>
  </si>
  <si>
    <t>01-00-400-003-GRSPFT-CURR</t>
  </si>
  <si>
    <t>TRUCK -  PG J - INTERNAL SALES</t>
  </si>
  <si>
    <t>01-00-441J-SALES-CURR</t>
  </si>
  <si>
    <t>01-00-401-003-GRSPFT-CURR</t>
  </si>
  <si>
    <t>NEW VEH ACCESSORIES -  PG J SALES</t>
  </si>
  <si>
    <t>01-00-457J-SALES-CURR</t>
  </si>
  <si>
    <t>01-00-402-003-GRSPFT-CURR</t>
  </si>
  <si>
    <t>NEW VEHICLE COS -  PG J - ACCT 0</t>
  </si>
  <si>
    <t>600J</t>
  </si>
  <si>
    <t>01-00-600J-COS-CURR</t>
  </si>
  <si>
    <t>01-00-403-003-GRSPFT-CURR</t>
  </si>
  <si>
    <t>NEW VEHICLE COS -  PG J - ACCT 1</t>
  </si>
  <si>
    <t>601J</t>
  </si>
  <si>
    <t>01-00-601J-COS-CURR</t>
  </si>
  <si>
    <t>01-00-404-003-GRSPFT-CURR</t>
  </si>
  <si>
    <t>NEW VEHICLE COS -  PG J - ACCT 2</t>
  </si>
  <si>
    <t>602J</t>
  </si>
  <si>
    <t>01-00-602J-COS-CURR</t>
  </si>
  <si>
    <t>01-00-405-003-GRSPFT-CURR</t>
  </si>
  <si>
    <t>NEW VEHICLE COS -  PG J - ACCT 3</t>
  </si>
  <si>
    <t>603J</t>
  </si>
  <si>
    <t>01-00-603J-COS-CURR</t>
  </si>
  <si>
    <t>01-00-406-003-GRSPFT-CURR</t>
  </si>
  <si>
    <t>NEW VEHICLE COS -  PG J - ACCT 4</t>
  </si>
  <si>
    <t>604J</t>
  </si>
  <si>
    <t>01-00-604J-COS-CURR</t>
  </si>
  <si>
    <t>01-00-407-003-GRSPFT-CURR</t>
  </si>
  <si>
    <t>NEW VEHICLE COS -  PG J - ACCT 5</t>
  </si>
  <si>
    <t>605J</t>
  </si>
  <si>
    <t>01-00-605J-COS-CURR</t>
  </si>
  <si>
    <t>01-00-408-003-GRSPFT-CURR</t>
  </si>
  <si>
    <t>NEW VEHICLE COS -  PG J - ACCT 6</t>
  </si>
  <si>
    <t>606J</t>
  </si>
  <si>
    <t>01-00-606J-COS-CURR</t>
  </si>
  <si>
    <t>01-00-409-003-GRSPFT-CURR</t>
  </si>
  <si>
    <t>NEW VEHICLE COS -  PG J - ACCT 7</t>
  </si>
  <si>
    <t>607J</t>
  </si>
  <si>
    <t>01-00-607J-COS-CURR</t>
  </si>
  <si>
    <t>01-00-410-003-GRSPFT-CURR</t>
  </si>
  <si>
    <t>NEW VEHICLE COS -  PG J - ACCT 8</t>
  </si>
  <si>
    <t>608J</t>
  </si>
  <si>
    <t>01-00-608J-COS-CURR</t>
  </si>
  <si>
    <t>01-00-411-003-GRSPFT-CURR</t>
  </si>
  <si>
    <t>NEW VEHICLE COS -  PG J - ACCT 9</t>
  </si>
  <si>
    <t>609J</t>
  </si>
  <si>
    <t>01-00-609J-COS-CURR</t>
  </si>
  <si>
    <t>01-00-412-003-GRSPFT-CURR</t>
  </si>
  <si>
    <t>NEW VEHICLE COS -  PG J - ACCT 10</t>
  </si>
  <si>
    <t>610J</t>
  </si>
  <si>
    <t>01-00-610J-COS-CURR</t>
  </si>
  <si>
    <t>01-00-413-003-GRSPFT-CURR</t>
  </si>
  <si>
    <t>NEW VEHICLE COS -  PG J - ACCT 11</t>
  </si>
  <si>
    <t>611J</t>
  </si>
  <si>
    <t>01-00-611J-COS-CURR</t>
  </si>
  <si>
    <t>01-00-414-003-GRSPFT-CURR</t>
  </si>
  <si>
    <t>NEW VEHICLE COS -  PG J - ACCT 12</t>
  </si>
  <si>
    <t>612J</t>
  </si>
  <si>
    <t>01-00-612J-COS-CURR</t>
  </si>
  <si>
    <t>01-00-415-003-GRSPFT-CURR</t>
  </si>
  <si>
    <t>NEW VEHICLE COS -  PG J - ACCT 13</t>
  </si>
  <si>
    <t>613J</t>
  </si>
  <si>
    <t>01-00-613J-COS-CURR</t>
  </si>
  <si>
    <t>01-00-416-003-GRSPFT-CURR</t>
  </si>
  <si>
    <t>NEW VEHICLE COS -  PG J - ACCT 14</t>
  </si>
  <si>
    <t>614J</t>
  </si>
  <si>
    <t>01-00-614J-COS-CURR</t>
  </si>
  <si>
    <t>01-00-417-003-GRSPFT-CURR</t>
  </si>
  <si>
    <t>NEW VEHICLE COS -  PG J - ACCT 15</t>
  </si>
  <si>
    <t>615J</t>
  </si>
  <si>
    <t>01-00-615J-COS-CURR</t>
  </si>
  <si>
    <t>01-00-418-003-GRSPFT-CURR</t>
  </si>
  <si>
    <t>NEW VEHICLE COS -  PG J - ACCT 16</t>
  </si>
  <si>
    <t>616J</t>
  </si>
  <si>
    <t>01-00-616J-COS-CURR</t>
  </si>
  <si>
    <t>01-00-423-003-GRSPFT-CURR</t>
  </si>
  <si>
    <t>NEW VEHICLE COS -  PG J - ACCT 17</t>
  </si>
  <si>
    <t>617J</t>
  </si>
  <si>
    <t>01-00-617J-COS-CURR</t>
  </si>
  <si>
    <t>01-00-424-003-GRSPFT-CURR</t>
  </si>
  <si>
    <t>NEW VEHICLE COS -  PG J - ACCT 18</t>
  </si>
  <si>
    <t>618J</t>
  </si>
  <si>
    <t>01-00-618J-COS-CURR</t>
  </si>
  <si>
    <t>01-00-425-003-GRSPFT-CURR</t>
  </si>
  <si>
    <t>CAR -  PG J - FLEET COS</t>
  </si>
  <si>
    <t>620J</t>
  </si>
  <si>
    <t>01-00-620J-COS-CURR</t>
  </si>
  <si>
    <t>01-00-426-003-GRSPFT-CURR</t>
  </si>
  <si>
    <t>CAR -  PG J - INTERNAL COS</t>
  </si>
  <si>
    <t>621J</t>
  </si>
  <si>
    <t>01-00-621J-COS-CURR</t>
  </si>
  <si>
    <t>01-00-427-003-GRSPFT-CURR</t>
  </si>
  <si>
    <t>NEW VEHICLE COS -  PG J - ACCT 23</t>
  </si>
  <si>
    <t>623J</t>
  </si>
  <si>
    <t>01-00-623J-COS-CURR</t>
  </si>
  <si>
    <t>01-00-428-003-GRSPFT-CURR</t>
  </si>
  <si>
    <t>NEW VEHICLE COS -  PG J - ACCT 24</t>
  </si>
  <si>
    <t>624J</t>
  </si>
  <si>
    <t>01-00-624J-COS-CURR</t>
  </si>
  <si>
    <t>01-00-429-003-GRSPFT-CURR</t>
  </si>
  <si>
    <t>NEW VEHICLE COS -  PG J - ACCT 25</t>
  </si>
  <si>
    <t>625J</t>
  </si>
  <si>
    <t>01-00-625J-COS-CURR</t>
  </si>
  <si>
    <t>01-00-430-003-GRSPFT-CURR</t>
  </si>
  <si>
    <t>NEW VEHICLE COS -  PG J - ACCT 26</t>
  </si>
  <si>
    <t>626J</t>
  </si>
  <si>
    <t>01-00-626J-COS-CURR</t>
  </si>
  <si>
    <t>01-00-431-003-GRSPFT-CURR</t>
  </si>
  <si>
    <t>NEW VEHICLE COS -  PG J - ACCT 27</t>
  </si>
  <si>
    <t>627J</t>
  </si>
  <si>
    <t>01-00-627J-COS-CURR</t>
  </si>
  <si>
    <t>01-00-432-003-GRSPFT-CURR</t>
  </si>
  <si>
    <t>NEW VEHICLE COS -  PG J - ACCT 28</t>
  </si>
  <si>
    <t>628J</t>
  </si>
  <si>
    <t>01-00-628J-COS-CURR</t>
  </si>
  <si>
    <t>01-00-433-003-GRSPFT-CURR</t>
  </si>
  <si>
    <t>NEW VEHICLE COS -  PG J - ACCT 29</t>
  </si>
  <si>
    <t>629J</t>
  </si>
  <si>
    <t>01-00-629J-COS-CURR</t>
  </si>
  <si>
    <t>01-00-434-003-GRSPFT-CURR</t>
  </si>
  <si>
    <t>NEW VEHICLE COS -  PG J - ACCT 30</t>
  </si>
  <si>
    <t>630J</t>
  </si>
  <si>
    <t>01-00-630J-COS-CURR</t>
  </si>
  <si>
    <t>01-00-435-003-GRSPFT-CURR</t>
  </si>
  <si>
    <t>NEW VEHICLE COS -  PG J - ACCT 31</t>
  </si>
  <si>
    <t>631J</t>
  </si>
  <si>
    <t>01-00-631J-COS-CURR</t>
  </si>
  <si>
    <t>01-00-436-003-GRSPFT-CURR</t>
  </si>
  <si>
    <t>NEW VEHICLE COS -  PG J - ACCT 32</t>
  </si>
  <si>
    <t>632J</t>
  </si>
  <si>
    <t>01-00-632J-COS-CURR</t>
  </si>
  <si>
    <t>01-00-437-003-GRSPFT-CURR</t>
  </si>
  <si>
    <t>NEW VEHICLE COS -  PG J - ACCT 33</t>
  </si>
  <si>
    <t>633J</t>
  </si>
  <si>
    <t>01-00-633J-COS-CURR</t>
  </si>
  <si>
    <t>01-00-438-003-GRSPFT-CURR</t>
  </si>
  <si>
    <t>NEW VEHICLE COS -  PG J - ACCT 34</t>
  </si>
  <si>
    <t>634J</t>
  </si>
  <si>
    <t>01-00-634J-COS-CURR</t>
  </si>
  <si>
    <t>01-00-400-004-SALES-CURR</t>
  </si>
  <si>
    <t>NEW VEHICLE COS -  PG J - ACCT 35</t>
  </si>
  <si>
    <t>635J</t>
  </si>
  <si>
    <t>01-00-635J-COS-CURR</t>
  </si>
  <si>
    <t>01-00-401-004-SALES-CURR</t>
  </si>
  <si>
    <t>NEW VEHICLE COS -  PG J - ACCT 36</t>
  </si>
  <si>
    <t>636J</t>
  </si>
  <si>
    <t>01-00-636J-COS-CURR</t>
  </si>
  <si>
    <t>01-00-402-004-SALES-CURR</t>
  </si>
  <si>
    <t>NEW VEHICLE COS -  PG J - ACCT 37</t>
  </si>
  <si>
    <t>637J</t>
  </si>
  <si>
    <t>01-00-637J-COS-CURR</t>
  </si>
  <si>
    <t>01-00-403-004-SALES-CURR</t>
  </si>
  <si>
    <t>NEW VEHICLE COS -  PG J - ACCT 38</t>
  </si>
  <si>
    <t>638J</t>
  </si>
  <si>
    <t>01-00-638J-COS-CURR</t>
  </si>
  <si>
    <t>01-00-404-004-SALES-CURR</t>
  </si>
  <si>
    <t>TRUCK -  PG J - FLEET COS</t>
  </si>
  <si>
    <t>640J</t>
  </si>
  <si>
    <t>01-00-640J-COS-CURR</t>
  </si>
  <si>
    <t>01-00-405-004-SALES-CURR</t>
  </si>
  <si>
    <t>TRUCK -  PG J - INTERNAL COS</t>
  </si>
  <si>
    <t>641J</t>
  </si>
  <si>
    <t>01-00-641J-COS-CURR</t>
  </si>
  <si>
    <t>01-00-406-004-SALES-CURR</t>
  </si>
  <si>
    <t>NEW VEH ACCESSORIES -  PG J COS</t>
  </si>
  <si>
    <t>657J</t>
  </si>
  <si>
    <t>01-00-657J-COS-CURR</t>
  </si>
  <si>
    <t>01-00-407-004-SALES-CURR</t>
  </si>
  <si>
    <t>NEW VEH TOTAL -  PG J GROSS PROFIT</t>
  </si>
  <si>
    <t>TOTGPJ</t>
  </si>
  <si>
    <t>01-00-TOTVEHJ-GRSPFT-CURR</t>
  </si>
  <si>
    <t>01-00-408-004-SALES-CURR</t>
  </si>
  <si>
    <t>NEW OTHER AUTO - SALES</t>
  </si>
  <si>
    <t>01-00-445-SALES-CURR</t>
  </si>
  <si>
    <t>01-00-409-004-SALES-CURR</t>
  </si>
  <si>
    <t>NEW OTHER AUTO - COS</t>
  </si>
  <si>
    <t>01-00-645-COS-CURR</t>
  </si>
  <si>
    <t>01-00-410-004-SALES-CURR</t>
  </si>
  <si>
    <t>USED SLS</t>
  </si>
  <si>
    <t>01-00-411-004-SALES-CURR</t>
  </si>
  <si>
    <t xml:space="preserve">USED CARS RTL - OTHER SALES </t>
  </si>
  <si>
    <t>01-00-412-004-SALES-CURR</t>
  </si>
  <si>
    <t>USED CARS WHOLESALE SALES</t>
  </si>
  <si>
    <t>01-00-413-004-SALES-CURR</t>
  </si>
  <si>
    <t>01-00-414-004-SALES-CURR</t>
  </si>
  <si>
    <t xml:space="preserve">USED TRUCKS RTL - OTHER SALES </t>
  </si>
  <si>
    <t>01-00-415-004-SALES-CURR</t>
  </si>
  <si>
    <t xml:space="preserve">USED TRUCKS WHOLESALE SALES </t>
  </si>
  <si>
    <t>01-00-416-004-SALES-CURR</t>
  </si>
  <si>
    <t xml:space="preserve">USED OTHER AUTOMOTIVE SALES </t>
  </si>
  <si>
    <t>01-00-417-004-SALES-CURR</t>
  </si>
  <si>
    <t>USED COS</t>
  </si>
  <si>
    <t>646A</t>
  </si>
  <si>
    <t>02-00-646A-COS-CURR</t>
  </si>
  <si>
    <t>01-00-418-004-SALES-CURR</t>
  </si>
  <si>
    <t>USED CARS RTL - OTHER COS</t>
  </si>
  <si>
    <t>646B</t>
  </si>
  <si>
    <t>02-00-646B-COS-CURR</t>
  </si>
  <si>
    <t>01-00-423-004-SALES-CURR</t>
  </si>
  <si>
    <t>USED CARS RTL - OPTIMUM/UCFS RECOND</t>
  </si>
  <si>
    <t>647A</t>
  </si>
  <si>
    <t>02-00-647A-COS-CURR</t>
  </si>
  <si>
    <t>01-00-424-004-SALES-CURR</t>
  </si>
  <si>
    <t>USED CARS RTL - OTHER RECOND.</t>
  </si>
  <si>
    <t>647B</t>
  </si>
  <si>
    <t>02-00-647B-COS-CURR</t>
  </si>
  <si>
    <t>01-00-425-004-SALES-CURR</t>
  </si>
  <si>
    <t>USED CARS WHOLESALE COS</t>
  </si>
  <si>
    <t>02-00-648-COS-CURR</t>
  </si>
  <si>
    <t>01-00-426-004-SALES-CURR</t>
  </si>
  <si>
    <t>USED CAR INV ADJUSTMENT</t>
  </si>
  <si>
    <t>02-00-649-COS-CURR</t>
  </si>
  <si>
    <t>01-00-427-004-SALES-CURR</t>
  </si>
  <si>
    <t>650A</t>
  </si>
  <si>
    <t>02-00-650A-COS-CURR</t>
  </si>
  <si>
    <t>01-00-428-004-SALES-CURR</t>
  </si>
  <si>
    <t>USED TRUCKS RTL - OTHER COS</t>
  </si>
  <si>
    <t>650B</t>
  </si>
  <si>
    <t>02-00-650B-COS-CURR</t>
  </si>
  <si>
    <t>01-00-429-004-SALES-CURR</t>
  </si>
  <si>
    <t>USED TRUCKS RTL - OPTIMUM/UCFS RECOND</t>
  </si>
  <si>
    <t>651A</t>
  </si>
  <si>
    <t>02-00-651A-COS-CURR</t>
  </si>
  <si>
    <t>01-00-430-004-SALES-CURR</t>
  </si>
  <si>
    <t>USED TRUCKS RTL - OTHER RECOND.</t>
  </si>
  <si>
    <t>651B</t>
  </si>
  <si>
    <t>02-00-651B-COS-CURR</t>
  </si>
  <si>
    <t>01-00-431-004-SALES-CURR</t>
  </si>
  <si>
    <t>USED TRUCKS WHOLESALE COS</t>
  </si>
  <si>
    <t>02-00-652-COS-CURR</t>
  </si>
  <si>
    <t>01-00-432-004-SALES-CURR</t>
  </si>
  <si>
    <t>USED TRUCK INV ADJUSTMENT</t>
  </si>
  <si>
    <t>02-00-653-COS-CURR</t>
  </si>
  <si>
    <t>01-00-433-004-SALES-CURR</t>
  </si>
  <si>
    <t>USED OTHER AUTOMOTIVE COS</t>
  </si>
  <si>
    <t>02-00-656-COS-CURR</t>
  </si>
  <si>
    <t>01-00-434-004-SALES-CURR</t>
  </si>
  <si>
    <t>USED VEHICLES - TOTAL GROSS PROFIT</t>
  </si>
  <si>
    <t>UTOT GP</t>
  </si>
  <si>
    <t>01-00-435-004-SALES-CURR</t>
  </si>
  <si>
    <t>SRV SLS</t>
  </si>
  <si>
    <t>CUST. LAB CARS &amp; LD TRKS SALES</t>
  </si>
  <si>
    <t>01-00-436-004-SALES-CURR</t>
  </si>
  <si>
    <t>CUST. LAB EV CARS &amp; LD TRKS SALES</t>
  </si>
  <si>
    <t>05-00-460E-SALES-CURR</t>
  </si>
  <si>
    <t>01-00-437-004-SALES-CURR</t>
  </si>
  <si>
    <t>S/CNTR LAB -CARS&amp;LD TRKS SALES</t>
  </si>
  <si>
    <t>01-00-438-004-SALES-CURR</t>
  </si>
  <si>
    <t>S/CNTR LAB -EV CARS &amp; LD TRKS SALES</t>
  </si>
  <si>
    <t>05-00-460F-SALES-CURR</t>
  </si>
  <si>
    <t>01-00-400-004-GRSPFT-CURR</t>
  </si>
  <si>
    <t>Q/SRV LAB -CARS&amp;LD TRKS SALES</t>
  </si>
  <si>
    <t>01-00-401-004-GRSPFT-CURR</t>
  </si>
  <si>
    <t>MOBILE SRV LAB CARS &amp; LD TRKS SALES</t>
  </si>
  <si>
    <t>05-00-460D-SALES-CURR</t>
  </si>
  <si>
    <t>01-00-402-004-GRSPFT-CURR</t>
  </si>
  <si>
    <t>NON GM EV CUST LAB SALES</t>
  </si>
  <si>
    <t>05-00-460N-SALES-CURR</t>
  </si>
  <si>
    <t>01-00-403-004-GRSPFT-CURR</t>
  </si>
  <si>
    <t>CUST. LAB COM, FLT &amp; MD TRKS SALES</t>
  </si>
  <si>
    <t>01-00-404-004-GRSPFT-CURR</t>
  </si>
  <si>
    <t>CUST. LAB EV COM,FLT &amp; MD TRKS SALES</t>
  </si>
  <si>
    <t>05-00-461E-SALES-CURR</t>
  </si>
  <si>
    <t>01-00-405-004-GRSPFT-CURR</t>
  </si>
  <si>
    <t>S/CNTR LAB COM, FLT &amp; MD TRKS SALES</t>
  </si>
  <si>
    <t>01-00-406-004-GRSPFT-CURR</t>
  </si>
  <si>
    <t>S/CNTR EV LAB COM.FLT&amp;MD TRKS SALES</t>
  </si>
  <si>
    <t>05-00-461F-SALES-CURR</t>
  </si>
  <si>
    <t>01-00-407-004-GRSPFT-CURR</t>
  </si>
  <si>
    <t>Q/SRV LAB COM, FLT &amp; MD TRKS SALES</t>
  </si>
  <si>
    <t>01-00-408-004-GRSPFT-CURR</t>
  </si>
  <si>
    <t>WARRANTY CLAIM LABOR SALES</t>
  </si>
  <si>
    <t>01-00-409-004-GRSPFT-CURR</t>
  </si>
  <si>
    <t>INTERNAL LABOR SALES</t>
  </si>
  <si>
    <t>01-00-410-004-GRSPFT-CURR</t>
  </si>
  <si>
    <t>NEW VEH INSP LBR SALES</t>
  </si>
  <si>
    <t>01-00-411-004-GRSPFT-CURR</t>
  </si>
  <si>
    <t>SHOP SUPPLIES SALES</t>
  </si>
  <si>
    <t>01-00-412-004-GRSPFT-CURR</t>
  </si>
  <si>
    <t>SUBLET REPAIRS SALES</t>
  </si>
  <si>
    <t>01-00-413-004-GRSPFT-CURR</t>
  </si>
  <si>
    <t>BODY SLS</t>
  </si>
  <si>
    <t>CUST. PAINT LABOR SALES</t>
  </si>
  <si>
    <t>01-00-414-004-GRSPFT-CURR</t>
  </si>
  <si>
    <t>CUST. BODY LABOR SALES</t>
  </si>
  <si>
    <t>01-00-415-004-GRSPFT-CURR</t>
  </si>
  <si>
    <t>01-00-416-004-GRSPFT-CURR</t>
  </si>
  <si>
    <t>01-00-417-004-GRSPFT-CURR</t>
  </si>
  <si>
    <t>01-00-418-004-GRSPFT-CURR</t>
  </si>
  <si>
    <t>PNT &amp; SHOP MATRLS. SALES</t>
  </si>
  <si>
    <t>01-00-423-004-GRSPFT-CURR</t>
  </si>
  <si>
    <t>TOTAL BODY SHOP GROSS PROFIT</t>
  </si>
  <si>
    <t>TOTBS GP</t>
  </si>
  <si>
    <t>01-00-424-004-GRSPFT-CURR</t>
  </si>
  <si>
    <t>PARTS SLS</t>
  </si>
  <si>
    <t>WARRANTY CLAIMS SALES</t>
  </si>
  <si>
    <t>01-00-425-004-GRSPFT-CURR</t>
  </si>
  <si>
    <t>SERV CARS&amp;LD TRK R.O. SALES</t>
  </si>
  <si>
    <t>01-00-426-004-GRSPFT-CURR</t>
  </si>
  <si>
    <t>SERV CARS&amp;LD TRK R.O. - EV SALES</t>
  </si>
  <si>
    <t>07-00-467E-SALES-CURR</t>
  </si>
  <si>
    <t>01-00-427-004-GRSPFT-CURR</t>
  </si>
  <si>
    <t>SERV COM,FLT &amp; MD TRKS R.O. SALES</t>
  </si>
  <si>
    <t>01-00-428-004-GRSPFT-CURR</t>
  </si>
  <si>
    <t>SERV COM,FLT&amp;MD TRK R.O.-EV SALES</t>
  </si>
  <si>
    <t>07-00-468E-SALES-CURR</t>
  </si>
  <si>
    <t>01-00-429-004-GRSPFT-CURR</t>
  </si>
  <si>
    <t>SERV QUICK SERV R.O. SALES</t>
  </si>
  <si>
    <t>01-00-430-004-GRSPFT-CURR</t>
  </si>
  <si>
    <t>BODY CUST.  R.O. SALES</t>
  </si>
  <si>
    <t>01-00-431-004-GRSPFT-CURR</t>
  </si>
  <si>
    <t>MOBILE SRV CUST R.O.</t>
  </si>
  <si>
    <t>07-00-467D-SALES-CURR</t>
  </si>
  <si>
    <t>01-00-432-004-GRSPFT-CURR</t>
  </si>
  <si>
    <t>NON GM EV CUST R.O.</t>
  </si>
  <si>
    <t>07-00-467N-SALES-CURR</t>
  </si>
  <si>
    <t>01-00-433-004-GRSPFT-CURR</t>
  </si>
  <si>
    <t>INTERNAL SALES</t>
  </si>
  <si>
    <t>01-00-434-004-GRSPFT-CURR</t>
  </si>
  <si>
    <t>COUNTER-RETAIL SALES</t>
  </si>
  <si>
    <t>01-00-435-004-GRSPFT-CURR</t>
  </si>
  <si>
    <t>PARTS E-COMMERCE</t>
  </si>
  <si>
    <t>07-00-482C-SALES-CURR</t>
  </si>
  <si>
    <t>01-00-436-004-GRSPFT-CURR</t>
  </si>
  <si>
    <t>WHOLESALE SALES</t>
  </si>
  <si>
    <t>01-00-437-004-GRSPFT-CURR</t>
  </si>
  <si>
    <t>ACCESSORIES SALES</t>
  </si>
  <si>
    <t>01-00-438-004-GRSPFT-CURR</t>
  </si>
  <si>
    <t>ACCESSORIES E-COMMERCE SALES</t>
  </si>
  <si>
    <t>07-00-484C-SALES-CURR</t>
  </si>
  <si>
    <t>01-00-400-006-SALES-CURR</t>
  </si>
  <si>
    <t>TIRES SALES</t>
  </si>
  <si>
    <t>01-00-401-006-SALES-CURR</t>
  </si>
  <si>
    <t>GAS, OIL &amp; GREASE SALES</t>
  </si>
  <si>
    <t>01-00-402-006-SALES-CURR</t>
  </si>
  <si>
    <t>MISCELLANEOUS SALES</t>
  </si>
  <si>
    <t>01-00-403-006-SALES-CURR</t>
  </si>
  <si>
    <t>SRV COS</t>
  </si>
  <si>
    <t>CUST. LAB CARS &amp; LD TRKS COS</t>
  </si>
  <si>
    <t>660A</t>
  </si>
  <si>
    <t>05-00-660A-COS-CURR</t>
  </si>
  <si>
    <t>01-00-404-006-SALES-CURR</t>
  </si>
  <si>
    <t>CUST. LAB EV CARS &amp; LD TRKS COS</t>
  </si>
  <si>
    <t>660E</t>
  </si>
  <si>
    <t>05-00-660E-COS-CURR</t>
  </si>
  <si>
    <t>01-00-405-006-SALES-CURR</t>
  </si>
  <si>
    <t>S/CNTR LAB -CARS&amp;LD TRKS COS</t>
  </si>
  <si>
    <t>660B</t>
  </si>
  <si>
    <t>05-00-660B-COS-CURR</t>
  </si>
  <si>
    <t>01-00-406-006-SALES-CURR</t>
  </si>
  <si>
    <t>S/CNTR LAB -EV CARS &amp; LD TRKS COS</t>
  </si>
  <si>
    <t>660F</t>
  </si>
  <si>
    <t>05-00-660F-COS-CURR</t>
  </si>
  <si>
    <t>01-00-407-006-SALES-CURR</t>
  </si>
  <si>
    <t>Q/SRV LAB -CARS&amp;LD TRKS COS</t>
  </si>
  <si>
    <t>660C</t>
  </si>
  <si>
    <t>05-00-660C-COS-CURR</t>
  </si>
  <si>
    <t>01-00-408-006-SALES-CURR</t>
  </si>
  <si>
    <t>MOBILE SRV LAB CARS &amp; LD TRKS COS</t>
  </si>
  <si>
    <t>660D</t>
  </si>
  <si>
    <t>05-00-660D-COS-CURR</t>
  </si>
  <si>
    <t>01-00-409-006-SALES-CURR</t>
  </si>
  <si>
    <t>NON GM EV CUST LAB COS</t>
  </si>
  <si>
    <t>660N</t>
  </si>
  <si>
    <t>05-00-660N-COS-CURR</t>
  </si>
  <si>
    <t>01-00-410-006-SALES-CURR</t>
  </si>
  <si>
    <t>CUST. LAB COM, FLT &amp; MD TRKS COS</t>
  </si>
  <si>
    <t>661A</t>
  </si>
  <si>
    <t>05-00-661A-COS-CURR</t>
  </si>
  <si>
    <t>01-00-411-006-SALES-CURR</t>
  </si>
  <si>
    <t>CUST. LAB EV COM,FLT &amp; MD TRKS COS</t>
  </si>
  <si>
    <t>661E</t>
  </si>
  <si>
    <t>05-00-661E-COS-CURR</t>
  </si>
  <si>
    <t>01-00-412-006-SALES-CURR</t>
  </si>
  <si>
    <t>S/CNTR LAB COM, FLT &amp; MD TRKS COS</t>
  </si>
  <si>
    <t>661B</t>
  </si>
  <si>
    <t>05-00-661B-COS-CURR</t>
  </si>
  <si>
    <t>01-00-413-006-SALES-CURR</t>
  </si>
  <si>
    <t>S/CNTR EV LAB COM.FLT&amp;MD TRKS COS</t>
  </si>
  <si>
    <t>661F</t>
  </si>
  <si>
    <t>05-00-661F-COS-CURR</t>
  </si>
  <si>
    <t>01-00-414-006-SALES-CURR</t>
  </si>
  <si>
    <t>Q/SRV LAB COM, FLT &amp; MD TRKS COS</t>
  </si>
  <si>
    <t>661C</t>
  </si>
  <si>
    <t>05-00-661C-COS-CURR</t>
  </si>
  <si>
    <t>01-00-415-006-SALES-CURR</t>
  </si>
  <si>
    <t>WARRANTY CLAIM LABOR COS</t>
  </si>
  <si>
    <t>05-00-662-COS-CURR</t>
  </si>
  <si>
    <t>01-00-416-006-SALES-CURR</t>
  </si>
  <si>
    <t>INTERNAL LABOR COS</t>
  </si>
  <si>
    <t>05-00-663-COS-CURR</t>
  </si>
  <si>
    <t>01-00-417-006-SALES-CURR</t>
  </si>
  <si>
    <t>NEW VEH INSP LBR COS</t>
  </si>
  <si>
    <t>05-00-664-COS-CURR</t>
  </si>
  <si>
    <t>01-00-418-006-SALES-CURR</t>
  </si>
  <si>
    <t>ADJ COST OF LBR SLS</t>
  </si>
  <si>
    <t>05-00-665-COS-CURR</t>
  </si>
  <si>
    <t>01-00-423-006-SALES-CURR</t>
  </si>
  <si>
    <t>SHOP SUPPLIES COS</t>
  </si>
  <si>
    <t>05-00-669-COS-CURR</t>
  </si>
  <si>
    <t>01-00-424-006-SALES-CURR</t>
  </si>
  <si>
    <t>SUBLET REPAIRS COS</t>
  </si>
  <si>
    <t>05-00-666-COS-CURR</t>
  </si>
  <si>
    <t>01-00-425-006-SALES-CURR</t>
  </si>
  <si>
    <t>TOTAL MECHCANICAL GROSS PROFIT</t>
  </si>
  <si>
    <t>TOTM GP</t>
  </si>
  <si>
    <t>01-00-426-006-SALES-CURR</t>
  </si>
  <si>
    <t>BODY COS</t>
  </si>
  <si>
    <t>CUST. PAINT LABOR COS</t>
  </si>
  <si>
    <t>06-00-670-COS-CURR</t>
  </si>
  <si>
    <t>01-00-427-006-SALES-CURR</t>
  </si>
  <si>
    <t>CUST. BODY LABOR COS</t>
  </si>
  <si>
    <t>06-00-671-COS-CURR</t>
  </si>
  <si>
    <t>01-00-428-006-SALES-CURR</t>
  </si>
  <si>
    <t>06-00-672-COS-CURR</t>
  </si>
  <si>
    <t>01-00-429-006-SALES-CURR</t>
  </si>
  <si>
    <t>06-00-673-COS-CURR</t>
  </si>
  <si>
    <t>01-00-430-006-SALES-CURR</t>
  </si>
  <si>
    <t>06-00-675-COS-CURR</t>
  </si>
  <si>
    <t>01-00-431-006-SALES-CURR</t>
  </si>
  <si>
    <t>06-00-676-COS-CURR</t>
  </si>
  <si>
    <t>01-00-432-006-SALES-CURR</t>
  </si>
  <si>
    <t>PNT &amp; SHOP MATRLS. COS</t>
  </si>
  <si>
    <t>06-00-679-COS-CURR</t>
  </si>
  <si>
    <t>01-00-433-006-SALES-CURR</t>
  </si>
  <si>
    <t>PARTS COS</t>
  </si>
  <si>
    <t>WARRANTY CLAIMS COS</t>
  </si>
  <si>
    <t>07-00-680-COS-CURR</t>
  </si>
  <si>
    <t>01-00-434-006-SALES-CURR</t>
  </si>
  <si>
    <t>SERV CARS&amp;LD TRK R.O. COS</t>
  </si>
  <si>
    <t>07-00-667-COS-CURR</t>
  </si>
  <si>
    <t>01-00-435-006-SALES-CURR</t>
  </si>
  <si>
    <t>SERV CARS&amp;LD TRK R.O.-EV COS</t>
  </si>
  <si>
    <t>667E</t>
  </si>
  <si>
    <t>07-00-667E-COS-CURR</t>
  </si>
  <si>
    <t>01-00-436-006-SALES-CURR</t>
  </si>
  <si>
    <t>SERV COM,FLT &amp; MD TRKS R.O. COS</t>
  </si>
  <si>
    <t>07-00-668-COS-CURR</t>
  </si>
  <si>
    <t>01-00-437-006-SALES-CURR</t>
  </si>
  <si>
    <t>SERV COM,FLT&amp;MD TRK R.O.-EV COS</t>
  </si>
  <si>
    <t>668E</t>
  </si>
  <si>
    <t>07-00-668E-COS-CURR</t>
  </si>
  <si>
    <t>01-00-438-006-SALES-CURR</t>
  </si>
  <si>
    <t>SERV QUICK SERV R.O. COS</t>
  </si>
  <si>
    <t>07-00-678-COS-CURR</t>
  </si>
  <si>
    <t>01-00-400-006-GRSPFT-CURR</t>
  </si>
  <si>
    <t>BODY CUST.  R.O. COS</t>
  </si>
  <si>
    <t>07-00-677-COS-CURR</t>
  </si>
  <si>
    <t>01-00-401-006-GRSPFT-CURR</t>
  </si>
  <si>
    <t>667D</t>
  </si>
  <si>
    <t>07-00-667D-COS-CURR</t>
  </si>
  <si>
    <t>01-00-402-006-GRSPFT-CURR</t>
  </si>
  <si>
    <t>667N</t>
  </si>
  <si>
    <t>07-00-667N-COS-CURR</t>
  </si>
  <si>
    <t>01-00-403-006-GRSPFT-CURR</t>
  </si>
  <si>
    <t>INTERNAL COS</t>
  </si>
  <si>
    <t>07-00-681-COS-CURR</t>
  </si>
  <si>
    <t>01-00-404-006-GRSPFT-CURR</t>
  </si>
  <si>
    <t>COUNTER-RETAIL COS</t>
  </si>
  <si>
    <t>07-00-682-COS-CURR</t>
  </si>
  <si>
    <t>01-00-405-006-GRSPFT-CURR</t>
  </si>
  <si>
    <t>682C</t>
  </si>
  <si>
    <t>07-00-682C-COS-CURR</t>
  </si>
  <si>
    <t>01-00-406-006-GRSPFT-CURR</t>
  </si>
  <si>
    <t>WHOLESALE COS</t>
  </si>
  <si>
    <t>07-00-683-COS-CURR</t>
  </si>
  <si>
    <t>01-00-407-006-GRSPFT-CURR</t>
  </si>
  <si>
    <t>ACCESSORIES COS</t>
  </si>
  <si>
    <t>07-00-684-COS-CURR</t>
  </si>
  <si>
    <t>01-00-408-006-GRSPFT-CURR</t>
  </si>
  <si>
    <t>ACCESSORIES E-COMMERCE</t>
  </si>
  <si>
    <t>684C</t>
  </si>
  <si>
    <t>07-00-684C-COS-CURR</t>
  </si>
  <si>
    <t>01-00-409-006-GRSPFT-CURR</t>
  </si>
  <si>
    <t>PURCHASE ALLOWANCES</t>
  </si>
  <si>
    <t>07-00-687-COS-CURR</t>
  </si>
  <si>
    <t>01-00-410-006-GRSPFT-CURR</t>
  </si>
  <si>
    <t>ADJ.  P&amp;A INVENTORY</t>
  </si>
  <si>
    <t>07-00-688-COS-CURR</t>
  </si>
  <si>
    <t>01-00-411-006-GRSPFT-CURR</t>
  </si>
  <si>
    <t>TIRES COS</t>
  </si>
  <si>
    <t>07-00-690-COS-CURR</t>
  </si>
  <si>
    <t>01-00-412-006-GRSPFT-CURR</t>
  </si>
  <si>
    <t>GAS, OIL &amp; GREASE COS</t>
  </si>
  <si>
    <t>07-00-691-COS-CURR</t>
  </si>
  <si>
    <t>01-00-413-006-GRSPFT-CURR</t>
  </si>
  <si>
    <t>MISCELLANEOUS COS</t>
  </si>
  <si>
    <t>07-00-692-COS-CURR</t>
  </si>
  <si>
    <t>01-00-414-006-GRSPFT-CURR</t>
  </si>
  <si>
    <t>TOTAL P7A DEPT. GROSS PROFIT</t>
  </si>
  <si>
    <t>TOTP GP</t>
  </si>
  <si>
    <t>01-00-415-006-GRSPFT-CURR</t>
  </si>
  <si>
    <t>F&amp;I SLS</t>
  </si>
  <si>
    <t>01-00-416-006-GRSPFT-CURR</t>
  </si>
  <si>
    <t>OTHER F&amp;I INCOME</t>
  </si>
  <si>
    <t>01-00-417-006-GRSPFT-CURR</t>
  </si>
  <si>
    <t>01-00-418-006-GRSPFT-CURR</t>
  </si>
  <si>
    <t>01-00-423-006-GRSPFT-CURR</t>
  </si>
  <si>
    <t>01-00-424-006-GRSPFT-CURR</t>
  </si>
  <si>
    <t>01-00-425-006-GRSPFT-CURR</t>
  </si>
  <si>
    <t>01-00-426-006-GRSPFT-CURR</t>
  </si>
  <si>
    <t>01-00-427-006-GRSPFT-CURR</t>
  </si>
  <si>
    <t>F&amp;I COS</t>
  </si>
  <si>
    <t>04-00-806-SALES-CURR</t>
  </si>
  <si>
    <t>01-00-428-006-GRSPFT-CURR</t>
  </si>
  <si>
    <t>04-00-807-SALES-CURR</t>
  </si>
  <si>
    <t>01-00-429-006-GRSPFT-CURR</t>
  </si>
  <si>
    <t>FIN &amp; INS CHARGEBACKS</t>
  </si>
  <si>
    <t>04-00-850-COS-CURR</t>
  </si>
  <si>
    <t>01-00-430-006-GRSPFT-CURR</t>
  </si>
  <si>
    <t>04-00-860-COS-CURR</t>
  </si>
  <si>
    <t>01-00-431-006-GRSPFT-CURR</t>
  </si>
  <si>
    <t>04-00-872-COS-CURR</t>
  </si>
  <si>
    <t>01-00-432-006-GRSPFT-CURR</t>
  </si>
  <si>
    <t>04-00-643-COS-CURR</t>
  </si>
  <si>
    <t>01-00-433-006-GRSPFT-CURR</t>
  </si>
  <si>
    <t>04-00-644-COS-CURR</t>
  </si>
  <si>
    <t>01-00-434-006-GRSPFT-CURR</t>
  </si>
  <si>
    <t>REPO. LOSSES-NEW</t>
  </si>
  <si>
    <t>04-00-853-COS-CURR</t>
  </si>
  <si>
    <t>01-00-435-006-GRSPFT-CURR</t>
  </si>
  <si>
    <t>F&amp;I MANAGER COMMISSIONS</t>
  </si>
  <si>
    <t>04-00-855-COS-CURR</t>
  </si>
  <si>
    <t>01-00-436-006-GRSPFT-CURR</t>
  </si>
  <si>
    <t>04-00-808-SALES-CURR</t>
  </si>
  <si>
    <t>01-00-437-006-GRSPFT-CURR</t>
  </si>
  <si>
    <t>04-00-809-SALES-CURR</t>
  </si>
  <si>
    <t>01-00-438-006-GRSPFT-CURR</t>
  </si>
  <si>
    <t>04-00-851-COS-CURR</t>
  </si>
  <si>
    <t>01-00-400-007-SALES-CURR</t>
  </si>
  <si>
    <t>04-00-861-COS-CURR</t>
  </si>
  <si>
    <t>01-00-401-007-SALES-CURR</t>
  </si>
  <si>
    <t>04-00-873-COS-CURR</t>
  </si>
  <si>
    <t>01-00-402-007-SALES-CURR</t>
  </si>
  <si>
    <t>04-00-654-COS-CURR</t>
  </si>
  <si>
    <t>01-00-403-007-SALES-CURR</t>
  </si>
  <si>
    <t>04-00-655-COS-CURR</t>
  </si>
  <si>
    <t>01-00-404-007-SALES-CURR</t>
  </si>
  <si>
    <t>REPO. LOSSES-USED</t>
  </si>
  <si>
    <t>04-00-854-COS-CURR</t>
  </si>
  <si>
    <t>01-00-405-007-SALES-CURR</t>
  </si>
  <si>
    <t>04-00-856-COS-CURR</t>
  </si>
  <si>
    <t>01-00-406-007-SALES-CURR</t>
  </si>
  <si>
    <t>TOTAL NET N+U F&amp;I GROSS PROFIT</t>
  </si>
  <si>
    <t>TOTF&amp;I GP</t>
  </si>
  <si>
    <t>01-00-407-007-SALES-CURR</t>
  </si>
  <si>
    <t>CLOSED-END LEASE</t>
  </si>
  <si>
    <t xml:space="preserve">RECURRING LEASE PAYMENTS </t>
  </si>
  <si>
    <t>01-00-408-007-SALES-CURR</t>
  </si>
  <si>
    <t>MAINTENANCE INCOME</t>
  </si>
  <si>
    <t>01-00-409-007-SALES-CURR</t>
  </si>
  <si>
    <t>PARTIAL MONTH (PRORATA) INCOME</t>
  </si>
  <si>
    <t>01-00-410-007-SALES-CURR</t>
  </si>
  <si>
    <t>LATE PAYMENT CHARGE</t>
  </si>
  <si>
    <t>01-00-411-007-SALES-CURR</t>
  </si>
  <si>
    <t>ADMINISTRATIVE FEE</t>
  </si>
  <si>
    <t>01-00-412-007-SALES-CURR</t>
  </si>
  <si>
    <t>OTHER LEASE REVENUE ______________</t>
  </si>
  <si>
    <t>01-00-413-007-SALES-CURR</t>
  </si>
  <si>
    <t>INTEREST</t>
  </si>
  <si>
    <t>01-00-414-007-SALES-CURR</t>
  </si>
  <si>
    <t>AMORTIZATION</t>
  </si>
  <si>
    <t>01-00-415-007-SALES-CURR</t>
  </si>
  <si>
    <t>INSURANCE (IN SERVICE VEHICLES)</t>
  </si>
  <si>
    <t>01-00-416-007-SALES-CURR</t>
  </si>
  <si>
    <t>LICENSE, TITLE &amp; TAX</t>
  </si>
  <si>
    <t>01-00-417-007-SALES-CURR</t>
  </si>
  <si>
    <t>POLICY - LEASE &amp; RENTAL VEHICLES</t>
  </si>
  <si>
    <t>01-00-418-007-SALES-CURR</t>
  </si>
  <si>
    <t>MAINTENANCE &amp; REPAIRS</t>
  </si>
  <si>
    <t>01-00-423-007-SALES-CURR</t>
  </si>
  <si>
    <t>RENT-SUBLET UNITS</t>
  </si>
  <si>
    <t>01-00-424-007-SALES-CURR</t>
  </si>
  <si>
    <t>01-00-425-007-SALES-CURR</t>
  </si>
  <si>
    <t>GAIN(LOSS) ON DISPOSITION</t>
  </si>
  <si>
    <t>510GL</t>
  </si>
  <si>
    <t>01-00-426-007-SALES-CURR</t>
  </si>
  <si>
    <t>OPENED-END LEASE</t>
  </si>
  <si>
    <t>01-00-427-007-SALES-CURR</t>
  </si>
  <si>
    <t>01-00-428-007-SALES-CURR</t>
  </si>
  <si>
    <t>01-00-429-007-SALES-CURR</t>
  </si>
  <si>
    <t>01-00-430-007-SALES-CURR</t>
  </si>
  <si>
    <t>01-00-431-007-SALES-CURR</t>
  </si>
  <si>
    <t>01-00-432-007-SALES-CURR</t>
  </si>
  <si>
    <t>01-00-433-007-SALES-CURR</t>
  </si>
  <si>
    <t>01-00-434-007-SALES-CURR</t>
  </si>
  <si>
    <t>01-00-435-007-SALES-CURR</t>
  </si>
  <si>
    <t>01-00-436-007-SALES-CURR</t>
  </si>
  <si>
    <t>01-00-437-007-SALES-CURR</t>
  </si>
  <si>
    <t>01-00-438-007-SALES-CURR</t>
  </si>
  <si>
    <t>01-00-400-007-GRSPFT-CURR</t>
  </si>
  <si>
    <t>01-00-401-007-GRSPFT-CURR</t>
  </si>
  <si>
    <t>520GL</t>
  </si>
  <si>
    <t>01-00-402-007-GRSPFT-CURR</t>
  </si>
  <si>
    <t>RENTAL OPERATION</t>
  </si>
  <si>
    <t>01-00-403-007-GRSPFT-CURR</t>
  </si>
  <si>
    <t>RENTAL INCOME</t>
  </si>
  <si>
    <t>01-00-404-007-GRSPFT-CURR</t>
  </si>
  <si>
    <t>01-00-405-007-GRSPFT-CURR</t>
  </si>
  <si>
    <t>01-00-406-007-GRSPFT-CURR</t>
  </si>
  <si>
    <t>01-00-407-007-GRSPFT-CURR</t>
  </si>
  <si>
    <t>01-00-408-007-GRSPFT-CURR</t>
  </si>
  <si>
    <t>01-00-409-007-GRSPFT-CURR</t>
  </si>
  <si>
    <t>01-00-410-007-GRSPFT-CURR</t>
  </si>
  <si>
    <t>01-00-411-007-GRSPFT-CURR</t>
  </si>
  <si>
    <t>01-00-412-007-GRSPFT-CURR</t>
  </si>
  <si>
    <t>01-00-413-007-GRSPFT-CURR</t>
  </si>
  <si>
    <t>530GL</t>
  </si>
  <si>
    <t>01-00-414-007-GRSPFT-CURR</t>
  </si>
  <si>
    <t>TOTAL GROSS PROFIT / INCOME</t>
  </si>
  <si>
    <t>L&amp;RTOT GP</t>
  </si>
  <si>
    <t>01-00-415-007-GRSPFT-CURR</t>
  </si>
  <si>
    <t>ACCESSORIES L&amp;R</t>
  </si>
  <si>
    <t>01-00-416-007-GRSPFT-CURR</t>
  </si>
  <si>
    <t>GM PROT. PLANS L&amp;R</t>
  </si>
  <si>
    <t>01-00-417-007-GRSPFT-CURR</t>
  </si>
  <si>
    <t>OTHER PROT. PLANS L&amp;R</t>
  </si>
  <si>
    <t>01-00-418-007-GRSPFT-CURR</t>
  </si>
  <si>
    <t>ACCESSORIES C.O.S. L&amp;R</t>
  </si>
  <si>
    <t>03-00-742-COS-CURR</t>
  </si>
  <si>
    <t>01-00-423-007-GRSPFT-CURR</t>
  </si>
  <si>
    <t>GM PROT. PLANS C.O.S. L&amp;R</t>
  </si>
  <si>
    <t>03-00-743-COS-CURR</t>
  </si>
  <si>
    <t>01-00-424-007-GRSPFT-CURR</t>
  </si>
  <si>
    <t>OTHER PROT. PLANS C.O.S. L&amp;R</t>
  </si>
  <si>
    <t>03-00-744-COS-CURR</t>
  </si>
  <si>
    <t>01-00-425-007-GRSPFT-CURR</t>
  </si>
  <si>
    <t>INS. COMM. EARNED L&amp;R</t>
  </si>
  <si>
    <t>03-00-541-SALES-CURR</t>
  </si>
  <si>
    <t>01-00-426-007-GRSPFT-CURR</t>
  </si>
  <si>
    <t>INS CHARGEBACKS L&amp;R</t>
  </si>
  <si>
    <t>03-00-741-COS-CURR</t>
  </si>
  <si>
    <t>01-00-427-007-GRSPFT-CURR</t>
  </si>
  <si>
    <t>03-00-740-COS-CURR</t>
  </si>
  <si>
    <t>01-00-428-007-GRSPFT-CURR</t>
  </si>
  <si>
    <t>L&amp;R TOTAL F&amp;I GROSS PROFIT</t>
  </si>
  <si>
    <t>L&amp;RTOTF&amp;I GP</t>
  </si>
  <si>
    <t>01-00-429-007-GRSPFT-CURR</t>
  </si>
  <si>
    <t>Database Fields</t>
  </si>
  <si>
    <t>01-00-430-007-GRSPFT-CURR</t>
  </si>
  <si>
    <t>BUSUNESS UNIT</t>
  </si>
  <si>
    <t>BU</t>
  </si>
  <si>
    <t>01-00-431-007-GRSPFT-CURR</t>
  </si>
  <si>
    <t>Business Associate Code</t>
  </si>
  <si>
    <t>BAC</t>
  </si>
  <si>
    <t>01-00-432-007-GRSPFT-CURR</t>
  </si>
  <si>
    <t>THRU DATE (DAY)</t>
  </si>
  <si>
    <t>THRU DY</t>
  </si>
  <si>
    <t>01-00-433-007-GRSPFT-CURR</t>
  </si>
  <si>
    <t>THRU DATE (MTH)</t>
  </si>
  <si>
    <t>THRU MTH</t>
  </si>
  <si>
    <t>01-00-434-007-GRSPFT-CURR</t>
  </si>
  <si>
    <t>THRU DATE (YR)</t>
  </si>
  <si>
    <t>THRU YR</t>
  </si>
  <si>
    <t>01-00-435-007-GRSPFT-CURR</t>
  </si>
  <si>
    <t>DEALER NAME</t>
  </si>
  <si>
    <t>DLRSHP NAME</t>
  </si>
  <si>
    <t>01-00-436-007-GRSPFT-CURR</t>
  </si>
  <si>
    <t xml:space="preserve">CIVIC NUMBER </t>
  </si>
  <si>
    <t>CIVIC NO</t>
  </si>
  <si>
    <t>01-00-437-007-GRSPFT-CURR</t>
  </si>
  <si>
    <t>STREET NAME</t>
  </si>
  <si>
    <t>STREET</t>
  </si>
  <si>
    <t>01-00-438-007-GRSPFT-CURR</t>
  </si>
  <si>
    <t>CITY</t>
  </si>
  <si>
    <t>01-00-400-008-SALES-CURR</t>
  </si>
  <si>
    <t>STATE/PROVINCE</t>
  </si>
  <si>
    <t>STATE</t>
  </si>
  <si>
    <t>01-00-401-008-SALES-CURR</t>
  </si>
  <si>
    <t>ZIP/POSTAL CODE 1</t>
  </si>
  <si>
    <t>ZIP1</t>
  </si>
  <si>
    <t>01-00-402-008-SALES-CURR</t>
  </si>
  <si>
    <t>ZIP/POSTAL CODE 2</t>
  </si>
  <si>
    <t>ZIP2</t>
  </si>
  <si>
    <t>01-00-403-008-SALES-CURR</t>
  </si>
  <si>
    <t>PREVIOUS MONTH TOTAL SALES</t>
  </si>
  <si>
    <t>PVMTHTTLSALES</t>
  </si>
  <si>
    <t>01-00-404-008-SALES-CURR</t>
  </si>
  <si>
    <t>DEALERSHIP SYSTEM PROVIDER</t>
  </si>
  <si>
    <t>DSP</t>
  </si>
  <si>
    <t>01-00-405-008-SALES-CURR</t>
  </si>
  <si>
    <t>Current Month:</t>
  </si>
  <si>
    <t>01-00-406-008-SALES-CURR</t>
  </si>
  <si>
    <t>Report Month:</t>
  </si>
  <si>
    <t>01-00-407-008-SALES-CURR</t>
  </si>
  <si>
    <t>01-00-408-008-SALES-CURR</t>
  </si>
  <si>
    <t>01-00-409-008-SALES-CURR</t>
  </si>
  <si>
    <t>01-00-410-008-SALES-CURR</t>
  </si>
  <si>
    <t>Days 360</t>
  </si>
  <si>
    <t>01-00-411-008-SALES-CURR</t>
  </si>
  <si>
    <t>01-00-412-008-SALES-CURR</t>
  </si>
  <si>
    <t>01-00-413-008-SALES-CURR</t>
  </si>
  <si>
    <t>01-00-414-008-SALES-CURR</t>
  </si>
  <si>
    <t>01-00-415-008-SALES-CURR</t>
  </si>
  <si>
    <t>OR MTH</t>
  </si>
  <si>
    <t>01-00-416-008-SALES-CURR</t>
  </si>
  <si>
    <t>01-00-417-008-SALES-CURR</t>
  </si>
  <si>
    <t>TOTALS</t>
  </si>
  <si>
    <t>01-00-418-008-SALES-CURR</t>
  </si>
  <si>
    <t>OWNER EQUITY</t>
  </si>
  <si>
    <t>01-00-423-008-SALES-CURR</t>
  </si>
  <si>
    <t>01-00-424-008-SALES-CURR</t>
  </si>
  <si>
    <t>ADDITIONS TO INCOME</t>
  </si>
  <si>
    <t>01-00-425-008-SALES-CURR</t>
  </si>
  <si>
    <t>DEDUCTIONS TO INCOME</t>
  </si>
  <si>
    <t>01-00-426-008-SALES-CURR</t>
  </si>
  <si>
    <t>01-00-427-008-SALES-CURR</t>
  </si>
  <si>
    <t>SALES</t>
  </si>
  <si>
    <t>NEW A</t>
  </si>
  <si>
    <t>01-00-428-008-SALES-CURR</t>
  </si>
  <si>
    <t>NEW B</t>
  </si>
  <si>
    <t>01-00-429-008-SALES-CURR</t>
  </si>
  <si>
    <t>NEW C</t>
  </si>
  <si>
    <t>01-00-430-008-SALES-CURR</t>
  </si>
  <si>
    <t>NEW D</t>
  </si>
  <si>
    <t>01-00-431-008-SALES-CURR</t>
  </si>
  <si>
    <t>NEW E</t>
  </si>
  <si>
    <t>01-00-432-008-SALES-CURR</t>
  </si>
  <si>
    <t>NEW F</t>
  </si>
  <si>
    <t>01-00-433-008-SALES-CURR</t>
  </si>
  <si>
    <t>NEW G</t>
  </si>
  <si>
    <t>01-00-434-008-SALES-CURR</t>
  </si>
  <si>
    <t>NEW H</t>
  </si>
  <si>
    <t>01-00-435-008-SALES-CURR</t>
  </si>
  <si>
    <t>USED</t>
  </si>
  <si>
    <t>01-00-436-008-SALES-CURR</t>
  </si>
  <si>
    <t>SERV</t>
  </si>
  <si>
    <t>01-00-437-008-SALES-CURR</t>
  </si>
  <si>
    <t>BODY</t>
  </si>
  <si>
    <t>01-00-438-008-SALES-CURR</t>
  </si>
  <si>
    <t>PARTS</t>
  </si>
  <si>
    <t>01-00-400-008-GRSPFT-CURR</t>
  </si>
  <si>
    <t>L&amp;R</t>
  </si>
  <si>
    <t>01-00-401-008-GRSPFT-CURR</t>
  </si>
  <si>
    <t>L&amp;R - F&amp;I</t>
  </si>
  <si>
    <t>01-00-402-008-GRSPFT-CURR</t>
  </si>
  <si>
    <t>F&amp;I</t>
  </si>
  <si>
    <t>01-00-403-008-GRSPFT-CURR</t>
  </si>
  <si>
    <t>01-00-404-008-GRSPFT-CURR</t>
  </si>
  <si>
    <t>COS</t>
  </si>
  <si>
    <t>01-00-405-008-GRSPFT-CURR</t>
  </si>
  <si>
    <t>01-00-406-008-GRSPFT-CURR</t>
  </si>
  <si>
    <t>01-00-407-008-GRSPFT-CURR</t>
  </si>
  <si>
    <t>01-00-408-008-GRSPFT-CURR</t>
  </si>
  <si>
    <t>01-00-409-008-GRSPFT-CURR</t>
  </si>
  <si>
    <t>01-00-410-008-GRSPFT-CURR</t>
  </si>
  <si>
    <t>01-00-411-008-GRSPFT-CURR</t>
  </si>
  <si>
    <t>01-00-412-008-GRSPFT-CURR</t>
  </si>
  <si>
    <t>01-00-413-008-GRSPFT-CURR</t>
  </si>
  <si>
    <t>01-00-414-008-GRSPFT-CURR</t>
  </si>
  <si>
    <t>01-00-415-008-GRSPFT-CURR</t>
  </si>
  <si>
    <t>01-00-416-008-GRSPFT-CURR</t>
  </si>
  <si>
    <t>01-00-417-008-GRSPFT-CURR</t>
  </si>
  <si>
    <t>01-00-418-008-GRSPFT-CURR</t>
  </si>
  <si>
    <t>01-00-423-008-GRSPFT-CURR</t>
  </si>
  <si>
    <t>01-00-424-008-GRSPFT-CURR</t>
  </si>
  <si>
    <t>TOTAL (s/b 0 else out-of-balance)</t>
  </si>
  <si>
    <t>01-00-425-008-GRSPFT-CURR</t>
  </si>
  <si>
    <t>PROFIT/LOSS</t>
  </si>
  <si>
    <t>01-00-426-008-GRSPFT-CURR</t>
  </si>
  <si>
    <t>01-00-427-008-GRSPFT-CURR</t>
  </si>
  <si>
    <t>GP</t>
  </si>
  <si>
    <t>01-00-428-008-GRSPFT-CURR</t>
  </si>
  <si>
    <t>01-00-429-008-GRSPFT-CURR</t>
  </si>
  <si>
    <t>OPERATING PROFIT/LOSS</t>
  </si>
  <si>
    <t>01-00-430-008-GRSPFT-CURR</t>
  </si>
  <si>
    <t>NET A&amp;D</t>
  </si>
  <si>
    <t>01-00-431-008-GRSPFT-CURR</t>
  </si>
  <si>
    <t>NET INCOME</t>
  </si>
  <si>
    <t>01-00-432-008-GRSPFT-CURR</t>
  </si>
  <si>
    <t>01-00-433-008-GRSPFT-CURR</t>
  </si>
  <si>
    <t>01-00-434-008-GRSPFT-CURR</t>
  </si>
  <si>
    <t>01-00-435-008-GRSPFT-CURR</t>
  </si>
  <si>
    <t>01-00-436-008-GRSPFT-CURR</t>
  </si>
  <si>
    <t>01-00-437-008-GRSPFT-CURR</t>
  </si>
  <si>
    <t>T.B. Fields</t>
  </si>
  <si>
    <t>01-00-438-008-GRSPFT-CURR</t>
  </si>
  <si>
    <t>Memo Fields</t>
  </si>
  <si>
    <t>01-00-400-012-SALES-CURR</t>
  </si>
  <si>
    <t>Total Fields</t>
  </si>
  <si>
    <t>01-00-401-012-SALES-CURR</t>
  </si>
  <si>
    <t>01-00-402-012-SALES-CURR</t>
  </si>
  <si>
    <t>01-00-403-012-SALES-CURR</t>
  </si>
  <si>
    <t>01-00-404-012-SALES-CURR</t>
  </si>
  <si>
    <t>01-00-405-012-SALES-CURR</t>
  </si>
  <si>
    <t>01-00-406-012-SALES-CURR</t>
  </si>
  <si>
    <t>01-00-407-012-SALES-CURR</t>
  </si>
  <si>
    <t>01-00-408-012-SALES-CURR</t>
  </si>
  <si>
    <t>01-00-409-012-SALES-CURR</t>
  </si>
  <si>
    <t>01-00-410-012-SALES-CURR</t>
  </si>
  <si>
    <t>01-00-411-012-SALES-CURR</t>
  </si>
  <si>
    <t>01-00-412-012-SALES-CURR</t>
  </si>
  <si>
    <t>01-00-413-012-SALES-CURR</t>
  </si>
  <si>
    <t>01-00-414-012-SALES-CURR</t>
  </si>
  <si>
    <t>01-00-415-012-SALES-CURR</t>
  </si>
  <si>
    <t>01-00-416-012-SALES-CURR</t>
  </si>
  <si>
    <t>01-00-417-012-SALES-CURR</t>
  </si>
  <si>
    <t>01-00-418-012-SALES-CURR</t>
  </si>
  <si>
    <t>01-00-423-012-SALES-CURR</t>
  </si>
  <si>
    <t>01-00-424-012-SALES-CURR</t>
  </si>
  <si>
    <t>01-00-425-012-SALES-CURR</t>
  </si>
  <si>
    <t>01-00-426-012-SALES-CURR</t>
  </si>
  <si>
    <t>01-00-427-012-SALES-CURR</t>
  </si>
  <si>
    <t>01-00-428-012-SALES-CURR</t>
  </si>
  <si>
    <t>01-00-429-012-SALES-CURR</t>
  </si>
  <si>
    <t>01-00-430-012-SALES-CURR</t>
  </si>
  <si>
    <t>01-00-431-012-SALES-CURR</t>
  </si>
  <si>
    <t>01-00-432-012-SALES-CURR</t>
  </si>
  <si>
    <t>01-00-433-012-SALES-CURR</t>
  </si>
  <si>
    <t>01-00-434-012-SALES-CURR</t>
  </si>
  <si>
    <t>01-00-435-012-SALES-CURR</t>
  </si>
  <si>
    <t>01-00-436-012-SALES-CURR</t>
  </si>
  <si>
    <t>01-00-437-012-SALES-CURR</t>
  </si>
  <si>
    <t>01-00-438-012-SALES-CURR</t>
  </si>
  <si>
    <t>01-00-400-012-GRSPFT-CURR</t>
  </si>
  <si>
    <t>01-00-401-012-GRSPFT-CURR</t>
  </si>
  <si>
    <t>01-00-402-012-GRSPFT-CURR</t>
  </si>
  <si>
    <t>01-00-403-012-GRSPFT-CURR</t>
  </si>
  <si>
    <t>01-00-404-012-GRSPFT-CURR</t>
  </si>
  <si>
    <t>01-00-405-012-GRSPFT-CURR</t>
  </si>
  <si>
    <t>01-00-406-012-GRSPFT-CURR</t>
  </si>
  <si>
    <t>01-00-407-012-GRSPFT-CURR</t>
  </si>
  <si>
    <t>01-00-408-012-GRSPFT-CURR</t>
  </si>
  <si>
    <t>01-00-409-012-GRSPFT-CURR</t>
  </si>
  <si>
    <t>01-00-410-012-GRSPFT-CURR</t>
  </si>
  <si>
    <t>01-00-411-012-GRSPFT-CURR</t>
  </si>
  <si>
    <t>01-00-412-012-GRSPFT-CURR</t>
  </si>
  <si>
    <t>01-00-413-012-GRSPFT-CURR</t>
  </si>
  <si>
    <t>01-00-414-012-GRSPFT-CURR</t>
  </si>
  <si>
    <t>01-00-415-012-GRSPFT-CURR</t>
  </si>
  <si>
    <t>01-00-416-012-GRSPFT-CURR</t>
  </si>
  <si>
    <t>01-00-417-012-GRSPFT-CURR</t>
  </si>
  <si>
    <t>01-00-418-012-GRSPFT-CURR</t>
  </si>
  <si>
    <t>01-00-423-012-GRSPFT-CURR</t>
  </si>
  <si>
    <t>01-00-424-012-GRSPFT-CURR</t>
  </si>
  <si>
    <t>01-00-425-012-GRSPFT-CURR</t>
  </si>
  <si>
    <t>01-00-426-012-GRSPFT-CURR</t>
  </si>
  <si>
    <t>01-00-427-012-GRSPFT-CURR</t>
  </si>
  <si>
    <t>01-00-428-012-GRSPFT-CURR</t>
  </si>
  <si>
    <t>01-00-429-012-GRSPFT-CURR</t>
  </si>
  <si>
    <t>01-00-430-012-GRSPFT-CURR</t>
  </si>
  <si>
    <t>01-00-431-012-GRSPFT-CURR</t>
  </si>
  <si>
    <t>01-00-432-012-GRSPFT-CURR</t>
  </si>
  <si>
    <t>01-00-433-012-GRSPFT-CURR</t>
  </si>
  <si>
    <t>01-00-434-012-GRSPFT-CURR</t>
  </si>
  <si>
    <t>01-00-435-012-GRSPFT-CURR</t>
  </si>
  <si>
    <t>01-00-436-012-GRSPFT-CURR</t>
  </si>
  <si>
    <t>01-00-437-012-GRSPFT-CURR</t>
  </si>
  <si>
    <t>01-00-438-012-GRSPFT-CURR</t>
  </si>
  <si>
    <t>01-00-400-099-SALES-CURR</t>
  </si>
  <si>
    <t>01-00-401-099-SALES-CURR</t>
  </si>
  <si>
    <t>01-00-402-099-SALES-CURR</t>
  </si>
  <si>
    <t>01-00-403-099-SALES-CURR</t>
  </si>
  <si>
    <t>01-00-404-099-SALES-CURR</t>
  </si>
  <si>
    <t>01-00-405-099-SALES-CURR</t>
  </si>
  <si>
    <t>01-00-406-099-SALES-CURR</t>
  </si>
  <si>
    <t>01-00-407-099-SALES-CURR</t>
  </si>
  <si>
    <t>01-00-408-099-SALES-CURR</t>
  </si>
  <si>
    <t>01-00-409-099-SALES-CURR</t>
  </si>
  <si>
    <t>01-00-410-099-SALES-CURR</t>
  </si>
  <si>
    <t>01-00-411-099-SALES-CURR</t>
  </si>
  <si>
    <t>01-00-412-099-SALES-CURR</t>
  </si>
  <si>
    <t>01-00-413-099-SALES-CURR</t>
  </si>
  <si>
    <t>01-00-414-099-SALES-CURR</t>
  </si>
  <si>
    <t>01-00-415-099-SALES-CURR</t>
  </si>
  <si>
    <t>01-00-416-099-SALES-CURR</t>
  </si>
  <si>
    <t>01-00-417-099-SALES-CURR</t>
  </si>
  <si>
    <t>01-00-418-099-SALES-CURR</t>
  </si>
  <si>
    <t>01-00-423-099-SALES-CURR</t>
  </si>
  <si>
    <t>01-00-424-099-SALES-CURR</t>
  </si>
  <si>
    <t>01-00-425-099-SALES-CURR</t>
  </si>
  <si>
    <t>01-00-426-099-SALES-CURR</t>
  </si>
  <si>
    <t>01-00-427-099-SALES-CURR</t>
  </si>
  <si>
    <t>01-00-428-099-SALES-CURR</t>
  </si>
  <si>
    <t>01-00-429-099-SALES-CURR</t>
  </si>
  <si>
    <t>01-00-430-099-SALES-CURR</t>
  </si>
  <si>
    <t>01-00-431-099-SALES-CURR</t>
  </si>
  <si>
    <t>01-00-432-099-SALES-CURR</t>
  </si>
  <si>
    <t>01-00-433-099-SALES-CURR</t>
  </si>
  <si>
    <t>01-00-434-099-SALES-CURR</t>
  </si>
  <si>
    <t>01-00-435-099-SALES-CURR</t>
  </si>
  <si>
    <t>01-00-436-099-SALES-CURR</t>
  </si>
  <si>
    <t>01-00-437-099-SALES-CURR</t>
  </si>
  <si>
    <t>01-00-438-099-SALES-CURR</t>
  </si>
  <si>
    <t>01-00-445-099-SALES-CURR</t>
  </si>
  <si>
    <t>01-00-400-099-GRSPFT-CURR</t>
  </si>
  <si>
    <t>01-00-401-099-GRSPFT-CURR</t>
  </si>
  <si>
    <t>01-00-402-099-GRSPFT-CURR</t>
  </si>
  <si>
    <t>01-00-403-099-GRSPFT-CURR</t>
  </si>
  <si>
    <t>01-00-404-099-GRSPFT-CURR</t>
  </si>
  <si>
    <t>01-00-405-099-GRSPFT-CURR</t>
  </si>
  <si>
    <t>01-00-406-099-GRSPFT-CURR</t>
  </si>
  <si>
    <t>01-00-407-099-GRSPFT-CURR</t>
  </si>
  <si>
    <t>01-00-408-099-GRSPFT-CURR</t>
  </si>
  <si>
    <t>01-00-409-099-GRSPFT-CURR</t>
  </si>
  <si>
    <t>01-00-410-099-GRSPFT-CURR</t>
  </si>
  <si>
    <t>01-00-411-099-GRSPFT-CURR</t>
  </si>
  <si>
    <t>01-00-412-099-GRSPFT-CURR</t>
  </si>
  <si>
    <t>01-00-413-099-GRSPFT-CURR</t>
  </si>
  <si>
    <t>01-00-414-099-GRSPFT-CURR</t>
  </si>
  <si>
    <t>01-00-415-099-GRSPFT-CURR</t>
  </si>
  <si>
    <t>01-00-416-099-GRSPFT-CURR</t>
  </si>
  <si>
    <t>01-00-417-099-GRSPFT-CURR</t>
  </si>
  <si>
    <t>01-00-418-099-GRSPFT-CURR</t>
  </si>
  <si>
    <t>01-00-423-099-GRSPFT-CURR</t>
  </si>
  <si>
    <t>01-00-424-099-GRSPFT-CURR</t>
  </si>
  <si>
    <t>01-00-425-099-GRSPFT-CURR</t>
  </si>
  <si>
    <t>01-00-426-099-GRSPFT-CURR</t>
  </si>
  <si>
    <t>01-00-427-099-GRSPFT-CURR</t>
  </si>
  <si>
    <t>01-00-428-099-GRSPFT-CURR</t>
  </si>
  <si>
    <t>01-00-429-099-GRSPFT-CURR</t>
  </si>
  <si>
    <t>01-00-430-099-GRSPFT-CURR</t>
  </si>
  <si>
    <t>01-00-431-099-GRSPFT-CURR</t>
  </si>
  <si>
    <t>01-00-432-099-GRSPFT-CURR</t>
  </si>
  <si>
    <t>01-00-433-099-GRSPFT-CURR</t>
  </si>
  <si>
    <t>01-00-434-099-GRSPFT-CURR</t>
  </si>
  <si>
    <t>01-00-435-099-GRSPFT-CURR</t>
  </si>
  <si>
    <t>01-00-436-099-GRSPFT-CURR</t>
  </si>
  <si>
    <t>01-00-437-099-GRSPFT-CURR</t>
  </si>
  <si>
    <t>01-00-438-099-GRSPFT-CURR</t>
  </si>
  <si>
    <t>01-00-445-099-GRSPFT-CURR</t>
  </si>
  <si>
    <t>00-00-TOTRES-LIFO-CURR</t>
  </si>
  <si>
    <t>00-00-296A-AMT-CURR</t>
  </si>
  <si>
    <t>00-00-296B-AMT-CURR</t>
  </si>
  <si>
    <t>00-00-296C-AMT-CURR</t>
  </si>
  <si>
    <t>00-00-296D-AMT-CURR</t>
  </si>
  <si>
    <t>00-00-906-AMT-CURR</t>
  </si>
  <si>
    <t>00-00-907-AMT-CURR</t>
  </si>
  <si>
    <t>00-00-908-AMT-CURR</t>
  </si>
  <si>
    <t>00-00-242BGM-FIFO-CURR</t>
  </si>
  <si>
    <t>00-00-242GM-ITEMS-CURR</t>
  </si>
  <si>
    <t>00-00-242AGM-ITEMS-CURR</t>
  </si>
  <si>
    <t>00-00-242BGM-ITEMS-CURR</t>
  </si>
  <si>
    <t>00-00-242GM-OVR270-CURR</t>
  </si>
  <si>
    <t>00-00-242AGM-OVR270-CURR</t>
  </si>
  <si>
    <t>00-00-242BGM-OVR270-CURR</t>
  </si>
  <si>
    <t>00-00-206-AMT-CURR</t>
  </si>
  <si>
    <t>00-00-242BOTH-FIFO-CURR</t>
  </si>
  <si>
    <t>00-00-242OTH-ITEMS-CURR</t>
  </si>
  <si>
    <t>00-00-242AOTH-ITEMS-CURR</t>
  </si>
  <si>
    <t>00-00-242BOTH-ITEMS-CURR</t>
  </si>
  <si>
    <t>00-00-242OTH-OVR270-CURR</t>
  </si>
  <si>
    <t>00-00-242AOTH-OVR270-CURR</t>
  </si>
  <si>
    <t>00-00-242BOTH-OVR270-CURR</t>
  </si>
  <si>
    <t>00-00-243-258O-LIFOWD-CURR</t>
  </si>
  <si>
    <t>00-00-243-258O-LIFO-CURR</t>
  </si>
  <si>
    <t>00-00-243-258O-FIFOWD-CURR</t>
  </si>
  <si>
    <t>00-00-231EGM-LIFOWD-CURR</t>
  </si>
  <si>
    <t>00-00-231EGM-LIFO-CURR</t>
  </si>
  <si>
    <t>00-00-231EOTH-UNIT-CURR</t>
  </si>
  <si>
    <t>00-00-231EOTH-FIFO-CURR</t>
  </si>
  <si>
    <t>00-00-231EOTH-LIFOWD-CURR</t>
  </si>
  <si>
    <t>00-00-231EOTH-LIFO-CURR</t>
  </si>
  <si>
    <t>00-00-237EGM-LIFOWD-CURR</t>
  </si>
  <si>
    <t>00-00-237EGM-LIFO-CURR</t>
  </si>
  <si>
    <t>00-00-237EOTH-UNIT-CURR</t>
  </si>
  <si>
    <t>00-00-237EOTH-FIFO-CURR</t>
  </si>
  <si>
    <t>00-00-237EOTH-LIFOWD-CURR</t>
  </si>
  <si>
    <t>00-00-237EOTH-LIFO-CURR</t>
  </si>
  <si>
    <t>01-00-RTLCARE-UNIT-CURR</t>
  </si>
  <si>
    <t>01-00-RTLCARE-SALES-CURR</t>
  </si>
  <si>
    <t>01-00-RTLCARE-GRSPFT-CURR</t>
  </si>
  <si>
    <t>01-00-RTLTRKE-UNIT-CURR</t>
  </si>
  <si>
    <t>01-00-RTLTRKE-SALES-CURR</t>
  </si>
  <si>
    <t>01-00-RTLTRKE-GRSPFT-CURR</t>
  </si>
  <si>
    <t>00-00-BDCE-PERSONNL-CURR</t>
  </si>
  <si>
    <t>05-00-460E-GRSPFT-CURR</t>
  </si>
  <si>
    <t>05-00-460F-GRSPFT-CURR</t>
  </si>
  <si>
    <t>05-00460D-SALES-CURR</t>
  </si>
  <si>
    <t>05-00460D-GRSPFT-CURR</t>
  </si>
  <si>
    <t>05-00-460N-GRSPFT-CURR</t>
  </si>
  <si>
    <t>05-00-461E-GRSPFT-CURR</t>
  </si>
  <si>
    <t>05-00-461F-GRSPFT-CURR</t>
  </si>
  <si>
    <t>07-00-467E-GRSPFT-CURR</t>
  </si>
  <si>
    <t>07-00-468E-GRSPFT-CURR</t>
  </si>
  <si>
    <t>07-00-467D-GRSPFT-CURR</t>
  </si>
  <si>
    <t>07-00-467N-GRSPFT-CURR</t>
  </si>
  <si>
    <t>07-00-482C-GRSPFT-CURR</t>
  </si>
  <si>
    <t>07-00-484C-GRSPFT-CURR</t>
  </si>
  <si>
    <t>01-00-400L-GRSPFT-CURR</t>
  </si>
  <si>
    <t>01-00-401L-GRSPFT-CURR</t>
  </si>
  <si>
    <t>01-00-402L-GRSPFT-CURR</t>
  </si>
  <si>
    <t>01-00-403L-GRSPFT-CURR</t>
  </si>
  <si>
    <t>01-00-404L-GRSPFT-CURR</t>
  </si>
  <si>
    <t>01-00-405L-GRSPFT-CURR</t>
  </si>
  <si>
    <t>01-00-406L-GRSPFT-CURR</t>
  </si>
  <si>
    <t>01-00-407L-GRSPFT-CURR</t>
  </si>
  <si>
    <t>01-00-415L-GRSPFT-CURR</t>
  </si>
  <si>
    <t>01-00-416L-GRSPFT-CURR</t>
  </si>
  <si>
    <t>01-00-417L-GRSPFT-CURR</t>
  </si>
  <si>
    <t>01-00-418L-GRSPFT-CURR</t>
  </si>
  <si>
    <t>01-00-419L-GRSPFT-CURR</t>
  </si>
  <si>
    <t>01-00-420L-GRSPFT-CURR</t>
  </si>
  <si>
    <t>01-00-421L-GRSPFT-CURR</t>
  </si>
  <si>
    <t>01-00-422L-GRSPFT-CURR</t>
  </si>
  <si>
    <t>01-00-423L-GRSPFT-CURR</t>
  </si>
  <si>
    <t>01-00-424L-GRSPFT-CURR</t>
  </si>
  <si>
    <t>01-00-425L-GRSPFT-CURR</t>
  </si>
  <si>
    <t>01-00-426L-GRSPFT-CURR</t>
  </si>
  <si>
    <t>01-00-427L-GRSPFT-CURR</t>
  </si>
  <si>
    <t>01-00-428L-GRSPFT-CURR</t>
  </si>
  <si>
    <t>01-00-429L-GRSPFT-CURR</t>
  </si>
  <si>
    <t>01-00-430L-GRSPFT-CURR</t>
  </si>
  <si>
    <t>01-00-431L-GRSPFT-CURR</t>
  </si>
  <si>
    <t>01-00-432L-GRSPFT-CURR</t>
  </si>
  <si>
    <t>01-00-433L-GRSPFT-CURR</t>
  </si>
  <si>
    <t>01-00-434L-GRSPFT-CURR</t>
  </si>
  <si>
    <t>01-00-412L-GRSPFT-CURR</t>
  </si>
  <si>
    <t>01-00-413L-GRSPFT-CURR</t>
  </si>
  <si>
    <t>01-00-414L-GRSPFT-CURR</t>
  </si>
  <si>
    <t>01-00-400M-GRSPFT-CURR</t>
  </si>
  <si>
    <t>01-00-401M-GRSPFT-CURR</t>
  </si>
  <si>
    <t>01-00-402M-GRSPFT-CURR</t>
  </si>
  <si>
    <t>01-00-403M-GRSPFT-CURR</t>
  </si>
  <si>
    <t>01-00-404M-GRSPFT-CURR</t>
  </si>
  <si>
    <t>01-00-405M-GRSPFT-CURR</t>
  </si>
  <si>
    <t>01-00-406M-GRSPFT-CURR</t>
  </si>
  <si>
    <t>01-00-407M-GRSPFT-CURR</t>
  </si>
  <si>
    <t>01-00-415M-GRSPFT-CURR</t>
  </si>
  <si>
    <t>01-00-416M-GRSPFT-CURR</t>
  </si>
  <si>
    <t>01-00-417M-GRSPFT-CURR</t>
  </si>
  <si>
    <t>01-00-418M-GRSPFT-CURR</t>
  </si>
  <si>
    <t>01-00-419M-GRSPFT-CURR</t>
  </si>
  <si>
    <t>01-00-420M-GRSPFT-CURR</t>
  </si>
  <si>
    <t>01-00-421M-GRSPFT-CURR</t>
  </si>
  <si>
    <t>01-00-422M-GRSPFT-CURR</t>
  </si>
  <si>
    <t>01-00-423M-GRSPFT-CURR</t>
  </si>
  <si>
    <t>01-00-424M-GRSPFT-CURR</t>
  </si>
  <si>
    <t>01-00-425M-GRSPFT-CURR</t>
  </si>
  <si>
    <t>01-00-426M-GRSPFT-CURR</t>
  </si>
  <si>
    <t>01-00-427M-GRSPFT-CURR</t>
  </si>
  <si>
    <t>01-00-428M-GRSPFT-CURR</t>
  </si>
  <si>
    <t>01-00-429M-GRSPFT-CURR</t>
  </si>
  <si>
    <t>01-00-430M-GRSPFT-CURR</t>
  </si>
  <si>
    <t>01-00-431M-GRSPFT-CURR</t>
  </si>
  <si>
    <t>01-00-432M-GRSPFT-CURR</t>
  </si>
  <si>
    <t>01-00-433M-GRSPFT-CURR</t>
  </si>
  <si>
    <t>01-00-434M-GRSPFT-CURR</t>
  </si>
  <si>
    <t>01-00-412M-GRSPFT-CURR</t>
  </si>
  <si>
    <t>01-00-413M-GRSPFT-CURR</t>
  </si>
  <si>
    <t>01-00-414M-GRSPFT-CURR</t>
  </si>
  <si>
    <t>01-00-TOTFCGCAR-GRSPFT-CURR</t>
  </si>
  <si>
    <t>01-00-TOTFCGCAR-UNIT-CURR</t>
  </si>
  <si>
    <t>01-00-TOTFCGTRK-GRSPFT-CURR</t>
  </si>
  <si>
    <t>01-00-TOTFCGTRK-UNIT-CURR</t>
  </si>
  <si>
    <t>MEMO ITEMS</t>
  </si>
  <si>
    <t>DBI Database Field Names</t>
  </si>
  <si>
    <t>Values NOT Linked to TB</t>
  </si>
  <si>
    <t>Mapped to PC Master Accounts</t>
  </si>
  <si>
    <t>Mapped to PC Master Vehicles</t>
  </si>
  <si>
    <t>Unique Field Name</t>
  </si>
  <si>
    <t>Format</t>
  </si>
  <si>
    <t>Mth-YTD/
Mth/
YTD</t>
  </si>
  <si>
    <t>Composite
Calculation</t>
  </si>
  <si>
    <t>Derived
Field</t>
  </si>
  <si>
    <t>DEPT</t>
  </si>
  <si>
    <t>SUB-DEPT</t>
  </si>
  <si>
    <t>ACCOUNT</t>
  </si>
  <si>
    <t>NAMEPLATE</t>
  </si>
  <si>
    <t>ACCT TYPE</t>
  </si>
  <si>
    <t>FINC ACCT STTS CD</t>
  </si>
  <si>
    <t>DERIVED</t>
  </si>
  <si>
    <t>PCT/
PER UNIT</t>
  </si>
  <si>
    <t>VERSION NO.</t>
  </si>
  <si>
    <t>n/a</t>
  </si>
  <si>
    <t>00</t>
  </si>
  <si>
    <t>VERSION</t>
  </si>
  <si>
    <t>NBR</t>
  </si>
  <si>
    <t>CURR</t>
  </si>
  <si>
    <t>Dealership System Provider</t>
  </si>
  <si>
    <t>Composite No.</t>
  </si>
  <si>
    <t>TB Submission - Accuracy Points</t>
  </si>
  <si>
    <t>Mth</t>
  </si>
  <si>
    <t>Sum</t>
  </si>
  <si>
    <t>ACCURCY</t>
  </si>
  <si>
    <t>POINTS</t>
  </si>
  <si>
    <t>DRIVER TRAINING - UNITS</t>
  </si>
  <si>
    <t>Sum/Blow-up</t>
  </si>
  <si>
    <t>275</t>
  </si>
  <si>
    <t>UNIT</t>
  </si>
  <si>
    <t>*  LEASE &amp; RENTAL UNITS</t>
  </si>
  <si>
    <t>277</t>
  </si>
  <si>
    <t>* MEMO: CO VEHICLES  -  CARS</t>
  </si>
  <si>
    <t>285CAR</t>
  </si>
  <si>
    <t>* MEMO: CO VEHICLES  -  TRKS</t>
  </si>
  <si>
    <t>285TRK</t>
  </si>
  <si>
    <t>310DP</t>
  </si>
  <si>
    <t>AMT</t>
  </si>
  <si>
    <t>NWC QUALIFIED L.T.D.   $</t>
  </si>
  <si>
    <t>NWC</t>
  </si>
  <si>
    <t>QLTD</t>
  </si>
  <si>
    <t>NWC DEALER</t>
  </si>
  <si>
    <t>Y</t>
  </si>
  <si>
    <t>DLR</t>
  </si>
  <si>
    <t>NWC STANDARD             $</t>
  </si>
  <si>
    <t>STANDARD</t>
  </si>
  <si>
    <t>CUSTOMER LABOR - CARS &amp; LD TRKS</t>
  </si>
  <si>
    <t>Sum ONLY Reporting Dlrs ÷ number of reporting Dealers</t>
  </si>
  <si>
    <t>05</t>
  </si>
  <si>
    <t>LABORATE</t>
  </si>
  <si>
    <t>EXT. SERVICE CONTRACT LABOR - CARS &amp; LD TRKS</t>
  </si>
  <si>
    <t>QUICK-SERVICE / GOODWRENCH LAB - CARS &amp; LD TRKS</t>
  </si>
  <si>
    <t>CUSTOMER LABOR - COMMER/MD TRKS</t>
  </si>
  <si>
    <t>EXT. SERVICE CONTRACT LABOR - COMMER/MD TRKS</t>
  </si>
  <si>
    <t>QUICK-SERVICE / GOODWRENCH LAB - COMMER/MD TRKS</t>
  </si>
  <si>
    <t>WARRANTY - SERVICE</t>
  </si>
  <si>
    <t>INTERNAL - SERVICE</t>
  </si>
  <si>
    <t>WARRANTY - BODY</t>
  </si>
  <si>
    <t>06</t>
  </si>
  <si>
    <t>INTERNAL - BODY</t>
  </si>
  <si>
    <t>PAGE 5A</t>
  </si>
  <si>
    <t>Mth-YTD</t>
  </si>
  <si>
    <t>01</t>
  </si>
  <si>
    <t>PAGE 5A UNITS - TOTAL NEW CARS RETAIL</t>
  </si>
  <si>
    <t>RTLCAR5A</t>
  </si>
  <si>
    <t>PAGE 5A UNITS - TOTAL NEW CARS</t>
  </si>
  <si>
    <t>TOTCAR5A</t>
  </si>
  <si>
    <t>PAGE 5A UNITS - TOTAL NEW TRKS RETAIL</t>
  </si>
  <si>
    <t>RTLTRK5A</t>
  </si>
  <si>
    <t xml:space="preserve">PAGE 5A UNITS - TOTAL NEW TRUCKS </t>
  </si>
  <si>
    <t>TOTTRK5A</t>
  </si>
  <si>
    <t>PAGE 5A UNITS - TOTAL NEW VEHICLES</t>
  </si>
  <si>
    <t>TOTVEH5A</t>
  </si>
  <si>
    <t>PAGE 5B</t>
  </si>
  <si>
    <t>PAGE 5B UNITS - TOTAL NEW CARS RETAIL</t>
  </si>
  <si>
    <t>RTLCAR5B</t>
  </si>
  <si>
    <t>PAGE 5B UNITS - TOTAL NEW CARS</t>
  </si>
  <si>
    <t>TOTCAR5B</t>
  </si>
  <si>
    <t>PAGE 5B UNITS - TOTAL NEW TRKS RETAIL</t>
  </si>
  <si>
    <t>RTLTRK5B</t>
  </si>
  <si>
    <t xml:space="preserve">PAGE 5B UNITS - TOTAL NEW TRUCKS </t>
  </si>
  <si>
    <t>TOTTRK5B</t>
  </si>
  <si>
    <t>PAGE 5B UNITS - TOTAL NEW VEHICLES</t>
  </si>
  <si>
    <t>TOTVEH5B</t>
  </si>
  <si>
    <t>PAGE 5C</t>
  </si>
  <si>
    <t>PAGE 5C UNITS - TOTAL NEW CARS RETAIL</t>
  </si>
  <si>
    <t>RTLCAR5C</t>
  </si>
  <si>
    <t>PAGE 5C UNITS - TOTAL NEW CARS</t>
  </si>
  <si>
    <t>TOTCAR5C</t>
  </si>
  <si>
    <t>PAGE 5C UNITS - TOTAL NEW TRKS RETAIL</t>
  </si>
  <si>
    <t>RTLTRK5C</t>
  </si>
  <si>
    <t xml:space="preserve">PAGE 5C UNITS - TOTAL NEW TRUCKS </t>
  </si>
  <si>
    <t>TOTTRK5C</t>
  </si>
  <si>
    <t>PAGE 5C UNITS - TOTAL NEW VEHICLES</t>
  </si>
  <si>
    <t>TOTVEH5C</t>
  </si>
  <si>
    <t>PAGE 5D</t>
  </si>
  <si>
    <t>PAGE 5D UNITS - TOTAL NEW CARS RETAIL</t>
  </si>
  <si>
    <t>RTLCAR5D</t>
  </si>
  <si>
    <t>PAGE 5D UNITS - TOTAL NEW CARS</t>
  </si>
  <si>
    <t>TOTCAR5D</t>
  </si>
  <si>
    <t>PAGE 5D UNITS - TOTAL NEW TRKS RETAIL</t>
  </si>
  <si>
    <t>RTLTRK5D</t>
  </si>
  <si>
    <t xml:space="preserve">PAGE 5D UNITS - TOTAL NEW TRUCKS </t>
  </si>
  <si>
    <t>TOTTRK5D</t>
  </si>
  <si>
    <t>PAGE 5D UNITS - TOTAL NEW VEHICLES</t>
  </si>
  <si>
    <t>TOTVEH5D</t>
  </si>
  <si>
    <t>PAGE 5E</t>
  </si>
  <si>
    <t>PAGE 5E UNITS - TOTAL NEW CARS RETAIL</t>
  </si>
  <si>
    <t>RTLCAR5E</t>
  </si>
  <si>
    <t>PAGE 5E UNITS - TOTAL NEW CARS</t>
  </si>
  <si>
    <t>TOTCAR5E</t>
  </si>
  <si>
    <t>PAGE 5E UNITS - TOTAL NEW TRKS RETAIL</t>
  </si>
  <si>
    <t>RTLTRK5E</t>
  </si>
  <si>
    <t xml:space="preserve">PAGE 5E UNITS - TOTAL NEW TRUCKS </t>
  </si>
  <si>
    <t>TOTTRK5E</t>
  </si>
  <si>
    <t>PAGE 5E UNITS - TOTAL NEW VEHICLES</t>
  </si>
  <si>
    <t>TOTVEH5E</t>
  </si>
  <si>
    <t>PAGE 5F</t>
  </si>
  <si>
    <t>PAGE 5F UNITS - TOTAL NEW CARS RETAIL</t>
  </si>
  <si>
    <t>RTLCAR5F</t>
  </si>
  <si>
    <t>PAGE 5F UNITS - TOTAL NEW CARS</t>
  </si>
  <si>
    <t>TOTCAR5F</t>
  </si>
  <si>
    <t>PAGE 5F UNITS - TOTAL NEW TRKS RETAIL</t>
  </si>
  <si>
    <t>RTLTRK5F</t>
  </si>
  <si>
    <t xml:space="preserve">PAGE 5F UNITS - TOTAL NEW TRUCKS </t>
  </si>
  <si>
    <t>TOTTRK5F</t>
  </si>
  <si>
    <t>PAGE 5F UNITS - TOTAL NEW VEHICLES</t>
  </si>
  <si>
    <t>TOTVEH5F</t>
  </si>
  <si>
    <t>PAGE 5G</t>
  </si>
  <si>
    <t>PAGE 5G UNITS - TOTAL NEW CARS RETAIL</t>
  </si>
  <si>
    <t>RTLCAR5G</t>
  </si>
  <si>
    <t>PAGE 5G UNITS - TOTAL NEW CARS</t>
  </si>
  <si>
    <t>TOTCAR5G</t>
  </si>
  <si>
    <t>PAGE 5G UNITS - TOTAL NEW TRKS RETAIL</t>
  </si>
  <si>
    <t>RTLTRK5G</t>
  </si>
  <si>
    <t xml:space="preserve">PAGE 5G UNITS - TOTAL NEW TRUCKS </t>
  </si>
  <si>
    <t>TOTTRK5G</t>
  </si>
  <si>
    <t>PAGE 5G UNITS - TOTAL NEW VEHICLES</t>
  </si>
  <si>
    <t>TOTVEH5G</t>
  </si>
  <si>
    <t>PAGE 5H</t>
  </si>
  <si>
    <t>PAGE 5H UNITS - TOTAL NEW CARS RETAIL</t>
  </si>
  <si>
    <t>RTLCAR5H</t>
  </si>
  <si>
    <t>PAGE 5H UNITS - TOTAL NEW CARS</t>
  </si>
  <si>
    <t>TOTCAR5H</t>
  </si>
  <si>
    <t>PAGE 5H UNITS - TOTAL NEW TRKS RETAIL</t>
  </si>
  <si>
    <t>RTLTRK5H</t>
  </si>
  <si>
    <t xml:space="preserve">PAGE 5H UNITS - TOTAL NEW TRUCKS </t>
  </si>
  <si>
    <t>TOTTRK5H</t>
  </si>
  <si>
    <t>PAGE 5H UNITS - TOTAL NEW VEHICLES</t>
  </si>
  <si>
    <t>TOTVEH5H</t>
  </si>
  <si>
    <t>PAGE 5I</t>
  </si>
  <si>
    <t>PAGE 5I UNITS - TOTAL NEW CARS RETAIL</t>
  </si>
  <si>
    <t>RTLCAR5I</t>
  </si>
  <si>
    <t>PAGE 5I UNITS - TOTAL NEW CARS</t>
  </si>
  <si>
    <t>TOTCAR5I</t>
  </si>
  <si>
    <t>PAGE 5I UNITS - TOTAL NEW TRKS RETAIL</t>
  </si>
  <si>
    <t>RTLTRK5I</t>
  </si>
  <si>
    <t xml:space="preserve">PAGE 5I UNITS - TOTAL NEW TRUCKS </t>
  </si>
  <si>
    <t>TOTTRK5I</t>
  </si>
  <si>
    <t>PAGE 5I UNITS - TOTAL NEW VEHICLES</t>
  </si>
  <si>
    <t>TOTVEH5I</t>
  </si>
  <si>
    <t>PAGE 5J</t>
  </si>
  <si>
    <t>PAGE 5J UNITS - TOTAL NEW CARS RETAIL</t>
  </si>
  <si>
    <t>RTLCAR5J</t>
  </si>
  <si>
    <t>PAGE 5J UNITS - TOTAL NEW CARS</t>
  </si>
  <si>
    <t>TOTCAR5J</t>
  </si>
  <si>
    <t>PAGE 5J UNITS - TOTAL NEW TRKS RETAIL</t>
  </si>
  <si>
    <t>RTLTRK5J</t>
  </si>
  <si>
    <t xml:space="preserve">PAGE 5J UNITS - TOTAL NEW TRUCKS </t>
  </si>
  <si>
    <t>TOTTRK5J</t>
  </si>
  <si>
    <t>PAGE 5J UNITS - TOTAL NEW VEHICLES</t>
  </si>
  <si>
    <t>TOTVEH5J</t>
  </si>
  <si>
    <t>COMMER. - SLS - CAR MODEL 1</t>
  </si>
  <si>
    <t>400F&amp;C</t>
  </si>
  <si>
    <t>COMMER. - SLS - CAR MODEL 2</t>
  </si>
  <si>
    <t>401F&amp;C</t>
  </si>
  <si>
    <t>COMMER. - SLS - CAR MODEL 3</t>
  </si>
  <si>
    <t>402F&amp;C</t>
  </si>
  <si>
    <t>COMMER. - SLS - CAR MODEL 4</t>
  </si>
  <si>
    <t>403F&amp;C</t>
  </si>
  <si>
    <t>COMMER. - SLS - CAR MODEL 5</t>
  </si>
  <si>
    <t>404F&amp;C</t>
  </si>
  <si>
    <t>COMMER. - SLS - CAR MODEL 6</t>
  </si>
  <si>
    <t>405F&amp;C</t>
  </si>
  <si>
    <t>COMMER. - SLS - CAR MODEL 7</t>
  </si>
  <si>
    <t>406F&amp;C</t>
  </si>
  <si>
    <t>COMMER. - SLS - CAR MODEL 8</t>
  </si>
  <si>
    <t>407F&amp;C</t>
  </si>
  <si>
    <t>COMMER. - SLS - TOTAL SMALL BUSINESS CARS</t>
  </si>
  <si>
    <t>CCAR F&amp;C</t>
  </si>
  <si>
    <t>COMMER. - SLS - TRUCK MODEL 1</t>
  </si>
  <si>
    <t>412F&amp;C</t>
  </si>
  <si>
    <t>COMMER. - SLS - TRUCK MODEL 2</t>
  </si>
  <si>
    <t>413F&amp;C</t>
  </si>
  <si>
    <t>COMMER. - SLS - TRUCK MODEL 3</t>
  </si>
  <si>
    <t>414F&amp;C</t>
  </si>
  <si>
    <t>COMMER. - SLS - TRUCK MODEL 4</t>
  </si>
  <si>
    <t>415F&amp;C</t>
  </si>
  <si>
    <t>COMMER. - SLS - TRUCK MODEL 5</t>
  </si>
  <si>
    <t>416F&amp;C</t>
  </si>
  <si>
    <t>COMMER. - SLS - TRUCK MODEL 6</t>
  </si>
  <si>
    <t>417F&amp;C</t>
  </si>
  <si>
    <t>COMMER. - SLS - TRUCK MODEL 7</t>
  </si>
  <si>
    <t>418F&amp;C</t>
  </si>
  <si>
    <t>COMMER. - SLS - TRUCK MODEL 8</t>
  </si>
  <si>
    <t>419F&amp;C</t>
  </si>
  <si>
    <t>COMMER. - SLS - TRUCK MODEL 9</t>
  </si>
  <si>
    <t>420F&amp;C</t>
  </si>
  <si>
    <t>COMMER. - SLS - TRUCK MODEL 10</t>
  </si>
  <si>
    <t>421F&amp;C</t>
  </si>
  <si>
    <t>COMMER. - SLS - TRUCK MODEL 11</t>
  </si>
  <si>
    <t>422F&amp;C</t>
  </si>
  <si>
    <t>COMMER. - SLS - TRUCK MODEL 12</t>
  </si>
  <si>
    <t>423F&amp;C</t>
  </si>
  <si>
    <t>COMMER. - SLS - TRUCK MODEL 13</t>
  </si>
  <si>
    <t>424F&amp;C</t>
  </si>
  <si>
    <t>COMMER. - SLS - TRUCK MODEL 14</t>
  </si>
  <si>
    <t>425F&amp;C</t>
  </si>
  <si>
    <t>COMMER. - SLS - TRUCK MODEL 15</t>
  </si>
  <si>
    <t>426F&amp;C</t>
  </si>
  <si>
    <t>COMMER. - SLS - TRUCK MODEL 16</t>
  </si>
  <si>
    <t>427F&amp;C</t>
  </si>
  <si>
    <t>COMMER. - SLS - TRUCK MODEL 17</t>
  </si>
  <si>
    <t>428F&amp;C</t>
  </si>
  <si>
    <t>COMMER. - SLS - TRUCK MODEL 18</t>
  </si>
  <si>
    <t>429F&amp;C</t>
  </si>
  <si>
    <t>COMMER. - SLS - TRUCK MODEL 19</t>
  </si>
  <si>
    <t>430F&amp;C</t>
  </si>
  <si>
    <t>COMMER. - SLS - TRUCK MODEL 20</t>
  </si>
  <si>
    <t>431F&amp;C</t>
  </si>
  <si>
    <t>COMMER. - SLS - TRUCK MODEL 21</t>
  </si>
  <si>
    <t>432F&amp;C</t>
  </si>
  <si>
    <t>COMMER. - SLS - TRUCK MODEL 22</t>
  </si>
  <si>
    <t>433F&amp;C</t>
  </si>
  <si>
    <t>COMMER. - SLS - TRUCK MODEL 23</t>
  </si>
  <si>
    <t>434F&amp;C</t>
  </si>
  <si>
    <t>COMMER. - SLS - TOT NEW TRKS COMMER</t>
  </si>
  <si>
    <t>CTRK F&amp;C</t>
  </si>
  <si>
    <t>TOTAL COMMERCIAL SALES</t>
  </si>
  <si>
    <t>TOTVEH5K</t>
  </si>
  <si>
    <t>COMMER. - GRS - CAR MODEL 1</t>
  </si>
  <si>
    <t>GRSPFT</t>
  </si>
  <si>
    <t>COMMER. - GRS - CAR MODEL 2</t>
  </si>
  <si>
    <t>COMMER. - GRS - CAR MODEL 3</t>
  </si>
  <si>
    <t>COMMER. - GRS - CAR MODEL 4</t>
  </si>
  <si>
    <t>COMMER. - GRS - CAR MODEL 5</t>
  </si>
  <si>
    <t>COMMER. - GRS - CAR MODEL 6</t>
  </si>
  <si>
    <t>COMMER. - GRS - CAR MODEL 7</t>
  </si>
  <si>
    <t>COMMER. - GRS - CAR MODEL 8</t>
  </si>
  <si>
    <t>COMMER. - GRS - TOTAL SMALL BUSINESS CARS</t>
  </si>
  <si>
    <t>COMMER. - GRS - TRUCK MODEL 1</t>
  </si>
  <si>
    <t>COMMER. - GRS - TRUCK MODEL 2</t>
  </si>
  <si>
    <t>COMMER. - GRS - TRUCK MODEL 3</t>
  </si>
  <si>
    <t>COMMER. - GRS - TRUCK MODEL 4</t>
  </si>
  <si>
    <t>COMMER. - GRS - TRUCK MODEL 5</t>
  </si>
  <si>
    <t>COMMER. - GRS - TRUCK MODEL 6</t>
  </si>
  <si>
    <t>COMMER. - GRS - TRUCK MODEL 7</t>
  </si>
  <si>
    <t>COMMER. - GRS - TRUCK MODEL 8</t>
  </si>
  <si>
    <t>COMMER. - GRS - TRUCK MODEL 9</t>
  </si>
  <si>
    <t>COMMER. - GRS - TRUCK MODEL 10</t>
  </si>
  <si>
    <t>COMMER. - GRS - TRUCK MODEL 11</t>
  </si>
  <si>
    <t>COMMER. - GRS - TRUCK MODEL 12</t>
  </si>
  <si>
    <t>COMMER. - GRS - TRUCK MODEL 13</t>
  </si>
  <si>
    <t>COMMER. - GRS - TRUCK MODEL 14</t>
  </si>
  <si>
    <t>COMMER. - GRS - TRUCK MODEL 15</t>
  </si>
  <si>
    <t>COMMER. - GRS - TRUCK MODEL 16</t>
  </si>
  <si>
    <t>COMMER. - GRS - TRUCK MODEL 17</t>
  </si>
  <si>
    <t>COMMER. - GRS - TRUCK MODEL 18</t>
  </si>
  <si>
    <t>COMMER. - GRS - TRUCK MODEL 19</t>
  </si>
  <si>
    <t>COMMER. - GRS - TRUCK MODEL 20</t>
  </si>
  <si>
    <t>COMMER. - GRS - TRUCK MODEL 21</t>
  </si>
  <si>
    <t>COMMER. - GRS - TRUCK MODEL 22</t>
  </si>
  <si>
    <t>COMMER. - GRS - TRUCK MODEL 23</t>
  </si>
  <si>
    <t>COMMER. - GRS - TOT NEW TRKS COMMER</t>
  </si>
  <si>
    <t>TOTAL COMMERCIAL GROSS</t>
  </si>
  <si>
    <t>Fleet &amp; Commer - SALES COMP</t>
  </si>
  <si>
    <t>637F&amp;C</t>
  </si>
  <si>
    <t>DIR COST</t>
  </si>
  <si>
    <t>Fleet &amp; Commer - MANAGER COMP</t>
  </si>
  <si>
    <t>638F&amp;C</t>
  </si>
  <si>
    <t>Fleet &amp; Commer - ADVERTISING</t>
  </si>
  <si>
    <t>639F&amp;C</t>
  </si>
  <si>
    <t>Fleet &amp; Commer - FLOOR PLAN</t>
  </si>
  <si>
    <t>640F&amp;C</t>
  </si>
  <si>
    <t>Fleet &amp; Commer - TRAVEL &amp; ENTR</t>
  </si>
  <si>
    <t>641F&amp;C</t>
  </si>
  <si>
    <t>Fleet &amp; Commer - TRADE SHOWS</t>
  </si>
  <si>
    <t>642F&amp;C</t>
  </si>
  <si>
    <t>Fleet &amp; Commer - OTHER</t>
  </si>
  <si>
    <t>643F&amp;C</t>
  </si>
  <si>
    <t>Fleet &amp; Commer - TOTAL DIRECT EXPS</t>
  </si>
  <si>
    <t>EXPN F&amp;C</t>
  </si>
  <si>
    <t>NET COMMERCIAL GRS</t>
  </si>
  <si>
    <t>NET F&amp;C</t>
  </si>
  <si>
    <t>TOTAL COMMERCIAL UNITS</t>
  </si>
  <si>
    <t>VEH F&amp;C</t>
  </si>
  <si>
    <t>COMMER. - UNITS - CAR MODEL 1</t>
  </si>
  <si>
    <t>COMMER. - UNITS - CAR MODEL 2</t>
  </si>
  <si>
    <t>COMMER. - UNITS - CAR MODEL 3</t>
  </si>
  <si>
    <t>COMMER. - UNITS - CAR MODEL 4</t>
  </si>
  <si>
    <t>COMMER. - UNITS - CAR MODEL 5</t>
  </si>
  <si>
    <t>COMMER. - UNITS - CAR MODEL 6</t>
  </si>
  <si>
    <t>COMMER. - UNITS - CAR MODEL 7</t>
  </si>
  <si>
    <t>COMMER. - UNITS - CAR MODEL 8</t>
  </si>
  <si>
    <t>COMMER. - UNITS - TOTAL SMALL BUSINESS CAR</t>
  </si>
  <si>
    <t>COMMER. - UNITS - TRUCK MODEL 1</t>
  </si>
  <si>
    <t>COMMER. - UNITS - TRUCK MODEL 2</t>
  </si>
  <si>
    <t>COMMER. - UNITS - TRUCK MODEL 3</t>
  </si>
  <si>
    <t>COMMER. - UNITS - TRUCK MODEL 4</t>
  </si>
  <si>
    <t>COMMER. - UNITS - TRUCK MODEL 5</t>
  </si>
  <si>
    <t>COMMER. - UNITS - TRUCK MODEL 6</t>
  </si>
  <si>
    <t>COMMER. - UNITS - TRUCK MODEL 7</t>
  </si>
  <si>
    <t>COMMER. - UNITS - TRUCK MODEL 8</t>
  </si>
  <si>
    <t>COMMER. - UNITS - TRUCK MODEL 9</t>
  </si>
  <si>
    <t>COMMER. - UNITS - TRUCK MODEL 10</t>
  </si>
  <si>
    <t>COMMER. - UNITS - TRUCK MODEL 11</t>
  </si>
  <si>
    <t>COMMER. - UNITS - TRUCK MODEL 12</t>
  </si>
  <si>
    <t>COMMER. - UNITS - TRUCK MODEL 13</t>
  </si>
  <si>
    <t>COMMER. - UNITS - TRUCK MODEL 14</t>
  </si>
  <si>
    <t>COMMER. - UNITS - TRUCK MODEL 15</t>
  </si>
  <si>
    <t>COMMER. - UNITS - TRUCK MODEL 16</t>
  </si>
  <si>
    <t>COMMER. - UNITS - TRUCK MODEL 17</t>
  </si>
  <si>
    <t>COMMER. - UNITS - TRUCK MODEL 18</t>
  </si>
  <si>
    <t>COMMER. - UNITS - TRUCK MODEL 19</t>
  </si>
  <si>
    <t>COMMER. - UNITS - TRUCK MODEL 20</t>
  </si>
  <si>
    <t>COMMER. - UNITS - TRUCK MODEL 21</t>
  </si>
  <si>
    <t>COMMER. - UNITS - TRUCK MODEL 22</t>
  </si>
  <si>
    <t>COMMER. - UNITS - TRUCK MODEL 23</t>
  </si>
  <si>
    <t>COMMER. - UNITS - TOT NEW TRKS COMMER</t>
  </si>
  <si>
    <t>FLEET - SALES - CAR MODEL 1</t>
  </si>
  <si>
    <t>FLEET - SALES - CAR MODEL 2</t>
  </si>
  <si>
    <t>FLEET - SALES - CAR MODEL 3</t>
  </si>
  <si>
    <t>FLEET - SALES - CAR MODEL 4</t>
  </si>
  <si>
    <t>FLEET - SALES - CAR MODEL 5</t>
  </si>
  <si>
    <t>FLEET - SALES - CAR MODEL 6</t>
  </si>
  <si>
    <t>FLEET - SALES - CAR MODEL 7</t>
  </si>
  <si>
    <t>FLEET - SALES - CAR MODEL 8</t>
  </si>
  <si>
    <t xml:space="preserve">FLEET - SALES - TOTAL CAR </t>
  </si>
  <si>
    <t>TOTCAR5L</t>
  </si>
  <si>
    <t>FLEET - SALES - TRK MODEL 1</t>
  </si>
  <si>
    <t>FLEET - SALES - TRK MODEL 2</t>
  </si>
  <si>
    <t>FLEET - SALES - TRK MODEL 3</t>
  </si>
  <si>
    <t>FLEET - SALES - TRK MODEL 4</t>
  </si>
  <si>
    <t>FLEET - SALES - TRK MODEL 5</t>
  </si>
  <si>
    <t>FLEET - SALES - TRK MODEL 6</t>
  </si>
  <si>
    <t>FLEET - SALES - TRK MODEL 7</t>
  </si>
  <si>
    <t>FLEET - SALES - TRK MODEL 8</t>
  </si>
  <si>
    <t>FLEET - SALES - TRK MODEL 9</t>
  </si>
  <si>
    <t>FLEET - SALES - TRK MODEL 10</t>
  </si>
  <si>
    <t>FLEET - SALES - TRK MODEL 11</t>
  </si>
  <si>
    <t>FLEET - SALES - TRK MODEL 12</t>
  </si>
  <si>
    <t>FLEET - SALES - TRK MODEL 13</t>
  </si>
  <si>
    <t>FLEET - SALES - TRK MODEL 14</t>
  </si>
  <si>
    <t>FLEET - SALES - TRK MODEL 15</t>
  </si>
  <si>
    <t>FLEET - SALES - TRK MODEL 16</t>
  </si>
  <si>
    <t>FLEET - SALES - TRK MODEL 17</t>
  </si>
  <si>
    <t>FLEET - SALES - TRK MODEL 18</t>
  </si>
  <si>
    <t>FLEET - SALES - TRK MODEL 19</t>
  </si>
  <si>
    <t>FLEET - SALES - TRK MODEL 20</t>
  </si>
  <si>
    <t>FLEET - SALES - TRK MODEL 21</t>
  </si>
  <si>
    <t>FLEET - SALES - TRK MODEL 22</t>
  </si>
  <si>
    <t>FLEET - SALES - TRK MODEL 23</t>
  </si>
  <si>
    <t>FLEET - SALES - TOTAL TRUCK</t>
  </si>
  <si>
    <t>TOTTRK5L</t>
  </si>
  <si>
    <t>FLEET - SALES - TOTAL VEHICLE</t>
  </si>
  <si>
    <t>TOTVEH5L</t>
  </si>
  <si>
    <t>FLEET - GRS - CAR MODEL 1</t>
  </si>
  <si>
    <t>FLEET - GRS - CAR MODEL 2</t>
  </si>
  <si>
    <t>FLEET - GRS - CAR MODEL 3</t>
  </si>
  <si>
    <t>FLEET - GRS - CAR MODEL 4</t>
  </si>
  <si>
    <t>FLEET - GRS - CAR MODEL 5</t>
  </si>
  <si>
    <t>FLEET - GRS - CAR MODEL 6</t>
  </si>
  <si>
    <t>FLEET - GRS - CAR MODEL 7</t>
  </si>
  <si>
    <t>FLEET - GRS - CAR MODEL 8</t>
  </si>
  <si>
    <t>FLEET - GRS - TOTAL CAR</t>
  </si>
  <si>
    <t>FLEET - GRS - TRK MODEL 1</t>
  </si>
  <si>
    <t>FLEET - GRS - TRK MODEL 2</t>
  </si>
  <si>
    <t>FLEET - GRS - TRK MODEL 3</t>
  </si>
  <si>
    <t>FLEET - GRS - TRK MODEL 4</t>
  </si>
  <si>
    <t>FLEET - GRS - TRK MODEL 5</t>
  </si>
  <si>
    <t>FLEET - GRS - TRK MODEL 6</t>
  </si>
  <si>
    <t>FLEET - GRS - TRK MODEL 7</t>
  </si>
  <si>
    <t>FLEET - GRS - TRK MODEL 8</t>
  </si>
  <si>
    <t>FLEET - GRS - TRK MODEL 9</t>
  </si>
  <si>
    <t>FLEET - GRS - TRK MODEL 10</t>
  </si>
  <si>
    <t>FLEET - GRS - TRK MODEL 11</t>
  </si>
  <si>
    <t>FLEET - GRS - TRK MODEL 12</t>
  </si>
  <si>
    <t>FLEET - GRS - TRK MODEL 13</t>
  </si>
  <si>
    <t>FLEET - GRS - TRK MODEL 14</t>
  </si>
  <si>
    <t>FLEET - GRS - TRK MODEL 15</t>
  </si>
  <si>
    <t>FLEET - GRS - TRK MODEL 16</t>
  </si>
  <si>
    <t>FLEET - GRS - TRK MODEL 17</t>
  </si>
  <si>
    <t>FLEET - GRS - TRK MODEL 18</t>
  </si>
  <si>
    <t>FLEET - GRS - TRK MODEL 19</t>
  </si>
  <si>
    <t>FLEET - GRS - TRK MODEL 20</t>
  </si>
  <si>
    <t>FLEET - GRS - TRK MODEL 21</t>
  </si>
  <si>
    <t>FLEET - GRS - TRK MODEL 22</t>
  </si>
  <si>
    <t>FLEET - GRS - TRK MODEL 23</t>
  </si>
  <si>
    <t>FLEET - GRS - TOTAL TRUCK</t>
  </si>
  <si>
    <t>FLEET - GRS - TOTAL VEHICLE</t>
  </si>
  <si>
    <t>FLEET - UNITS - CAR MODEL 1</t>
  </si>
  <si>
    <t>FLEET - UNITS - CAR MODEL 2</t>
  </si>
  <si>
    <t>FLEET - UNITS - CAR MODEL 3</t>
  </si>
  <si>
    <t>FLEET - UNITS - CAR MODEL 4</t>
  </si>
  <si>
    <t>FLEET - UNITS - CAR MODEL 5</t>
  </si>
  <si>
    <t>FLEET - UNITS - CAR MODEL 6</t>
  </si>
  <si>
    <t>FLEET - UNITS - CAR MODEL 7</t>
  </si>
  <si>
    <t>FLEET - UNITS - CAR MODEL 8</t>
  </si>
  <si>
    <t>FLEET - UNITS - TOTAL CAR</t>
  </si>
  <si>
    <t>FLEET - UNITS - TRK MODEL 1</t>
  </si>
  <si>
    <t>FLEET - UNITS - TRK MODEL 2</t>
  </si>
  <si>
    <t>FLEET - UNITS - TRK MODEL 3</t>
  </si>
  <si>
    <t>FLEET - UNITS - TRK MODEL 4</t>
  </si>
  <si>
    <t>FLEET - UNITS - TRK MODEL 5</t>
  </si>
  <si>
    <t>FLEET - UNITS - TRK MODEL 6</t>
  </si>
  <si>
    <t>FLEET - UNITS - TRK MODEL 7</t>
  </si>
  <si>
    <t>FLEET - UNITS - TRK MODEL 8</t>
  </si>
  <si>
    <t>FLEET - UNITS - TRK MODEL 9</t>
  </si>
  <si>
    <t>FLEET - UNITS - TRK MODEL 10</t>
  </si>
  <si>
    <t>FLEET - UNITS - TRK MODEL 11</t>
  </si>
  <si>
    <t>FLEET - UNITS - TRK MODEL 12</t>
  </si>
  <si>
    <t>FLEET - UNITS - TRK MODEL 13</t>
  </si>
  <si>
    <t>FLEET - UNITS - TRK MODEL 14</t>
  </si>
  <si>
    <t>FLEET - UNITS - TRK MODEL 15</t>
  </si>
  <si>
    <t>FLEET - UNITS - TRK MODEL 16</t>
  </si>
  <si>
    <t>FLEET - UNITS - TRK MODEL 17</t>
  </si>
  <si>
    <t>FLEET - UNITS - TRK MODEL 18</t>
  </si>
  <si>
    <t>FLEET - UNITS - TRK MODEL 19</t>
  </si>
  <si>
    <t>FLEET - UNITS - TRK MODEL 20</t>
  </si>
  <si>
    <t>FLEET - UNITS - TRK MODEL 21</t>
  </si>
  <si>
    <t>FLEET - UNITS - TRK MODEL 22</t>
  </si>
  <si>
    <t>FLEET - UNITS - TRK MODEL 23</t>
  </si>
  <si>
    <t>FLEET - UNITS - TOTAL TRUCK</t>
  </si>
  <si>
    <t>FLEET - UNITS - TOTAL VEHICLE</t>
  </si>
  <si>
    <t>GOVT - SALES - CAR MODEL 1</t>
  </si>
  <si>
    <t>GOVT - SALES - CAR MODEL 2</t>
  </si>
  <si>
    <t>GOVT - SALES - CAR MODEL 3</t>
  </si>
  <si>
    <t>GOVT - SALES - CAR MODEL 4</t>
  </si>
  <si>
    <t>GOVT - SALES - CAR MODEL 5</t>
  </si>
  <si>
    <t>GOVT - SALES - CAR MODEL 6</t>
  </si>
  <si>
    <t>GOVT - SALES - CAR MODEL 7</t>
  </si>
  <si>
    <t>GOVT - SALES - CAR MODEL 8</t>
  </si>
  <si>
    <t xml:space="preserve">GOVT - SALES - TOTAL CAR </t>
  </si>
  <si>
    <t>TOTCAR5M</t>
  </si>
  <si>
    <t>GOVT - SALES - TRK MODEL 1</t>
  </si>
  <si>
    <t>GOVT - SALES - TRK MODEL 2</t>
  </si>
  <si>
    <t>GOVT - SALES - TRK MODEL 3</t>
  </si>
  <si>
    <t>GOVT - SALES - TRK MODEL 4</t>
  </si>
  <si>
    <t>GOVT - SALES - TRK MODEL 5</t>
  </si>
  <si>
    <t>GOVT - SALES - TRK MODEL 6</t>
  </si>
  <si>
    <t>GOVT - SALES - TRK MODEL 7</t>
  </si>
  <si>
    <t>GOVT - SALES - TRK MODEL 8</t>
  </si>
  <si>
    <t>GOVT - SALES - TRK MODEL 9</t>
  </si>
  <si>
    <t>GOVT - SALES - TRK MODEL 10</t>
  </si>
  <si>
    <t>GOVT - SALES - TRK MODEL 11</t>
  </si>
  <si>
    <t>GOVT - SALES - TRK MODEL 12</t>
  </si>
  <si>
    <t>GOVT - SALES - TRK MODEL 13</t>
  </si>
  <si>
    <t>GOVT - SALES - TRK MODEL 14</t>
  </si>
  <si>
    <t>GOVT - SALES - TRK MODEL 15</t>
  </si>
  <si>
    <t>GOVT - SALES - TRK MODEL 16</t>
  </si>
  <si>
    <t>GOVT - SALES - TRK MODEL 17</t>
  </si>
  <si>
    <t>GOVT - SALES - TRK MODEL 18</t>
  </si>
  <si>
    <t>GOVT - SALES - TRK MODEL 19</t>
  </si>
  <si>
    <t>GOVT - SALES - TRK MODEL 20</t>
  </si>
  <si>
    <t>GOVT - SALES - TRK MODEL 21</t>
  </si>
  <si>
    <t>GOVT - SALES - TRK MODEL 22</t>
  </si>
  <si>
    <t>GOVT - SALES - TRK MODEL 23</t>
  </si>
  <si>
    <t>GOVT - SALES - TOTAL TRUCK</t>
  </si>
  <si>
    <t>TOTTRK5M</t>
  </si>
  <si>
    <t>GOVT - SALES - TOTAL VEHICLE</t>
  </si>
  <si>
    <t>TOTVEH5M</t>
  </si>
  <si>
    <t>GOVT - GRS - CAR MODEL 1</t>
  </si>
  <si>
    <t>GOVT - GRS - CAR MODEL 2</t>
  </si>
  <si>
    <t>GOVT - GRS - CAR MODEL 3</t>
  </si>
  <si>
    <t>GOVT - GRS - CAR MODEL 4</t>
  </si>
  <si>
    <t>GOVT - GRS - CAR MODEL 5</t>
  </si>
  <si>
    <t>GOVT - GRS - CAR MODEL 6</t>
  </si>
  <si>
    <t>GOVT - GRS - CAR MODEL 7</t>
  </si>
  <si>
    <t>GOVT - GRS - CAR MODEL 8</t>
  </si>
  <si>
    <t>GOVT - GRS - TOTAL CAR</t>
  </si>
  <si>
    <t>GOVT - GRS - TRK MODEL 1</t>
  </si>
  <si>
    <t>GOVT - GRS - TRK MODEL 2</t>
  </si>
  <si>
    <t>GOVT - GRS - TRK MODEL 3</t>
  </si>
  <si>
    <t>GOVT - GRS - TRK MODEL 4</t>
  </si>
  <si>
    <t>GOVT - GRS - TRK MODEL 5</t>
  </si>
  <si>
    <t>GOVT - GRS - TRK MODEL 6</t>
  </si>
  <si>
    <t>GOVT - GRS - TRK MODEL 7</t>
  </si>
  <si>
    <t>GOVT - GRS - TRK MODEL 8</t>
  </si>
  <si>
    <t>GOVT - GRS - TRK MODEL 9</t>
  </si>
  <si>
    <t>GOVT - GRS - TRK MODEL 10</t>
  </si>
  <si>
    <t>GOVT - GRS - TRK MODEL 11</t>
  </si>
  <si>
    <t>GOVT - GRS - TRK MODEL 12</t>
  </si>
  <si>
    <t>GOVT - GRS - TRK MODEL 13</t>
  </si>
  <si>
    <t>GOVT - GRS - TRK MODEL 14</t>
  </si>
  <si>
    <t>GOVT - GRS - TRK MODEL 15</t>
  </si>
  <si>
    <t>GOVT - GRS - TRK MODEL 16</t>
  </si>
  <si>
    <t>GOVT - GRS - TRK MODEL 17</t>
  </si>
  <si>
    <t>GOVT - GRS - TRK MODEL 18</t>
  </si>
  <si>
    <t>GOVT - GRS - TRK MODEL 19</t>
  </si>
  <si>
    <t>GOVT - GRS - TRK MODEL 20</t>
  </si>
  <si>
    <t>GOVT - GRS - TRK MODEL 21</t>
  </si>
  <si>
    <t>GOVT - GRS - TRK MODEL 22</t>
  </si>
  <si>
    <t>GOVT - GRS - TRK MODEL 23</t>
  </si>
  <si>
    <t>GOVT - GRS - TOTAL TRUCK</t>
  </si>
  <si>
    <t>GOVT - GRS - TOTAL VEHICLE</t>
  </si>
  <si>
    <t>GOVT - UNITS - CAR MODEL 1</t>
  </si>
  <si>
    <t>GOVT - UNITS - CAR MODEL 2</t>
  </si>
  <si>
    <t>GOVT - UNITS - CAR MODEL 3</t>
  </si>
  <si>
    <t>GOVT - UNITS - CAR MODEL 4</t>
  </si>
  <si>
    <t>GOVT - UNITS - CAR MODEL 5</t>
  </si>
  <si>
    <t>GOVT - UNITS - CAR MODEL 6</t>
  </si>
  <si>
    <t>GOVT - UNITS - CAR MODEL 7</t>
  </si>
  <si>
    <t>GOVT - UNITS - CAR MODEL 8</t>
  </si>
  <si>
    <t>GOVT - UNITS - TOTAL CAR</t>
  </si>
  <si>
    <t>GOVT - UNITS - TRK MODEL 1</t>
  </si>
  <si>
    <t>GOVT - UNITS - TRK MODEL 2</t>
  </si>
  <si>
    <t>GOVT - UNITS - TRK MODEL 3</t>
  </si>
  <si>
    <t>GOVT - UNITS - TRK MODEL 4</t>
  </si>
  <si>
    <t>GOVT - UNITS - TRK MODEL 5</t>
  </si>
  <si>
    <t>GOVT - UNITS - TRK MODEL 6</t>
  </si>
  <si>
    <t>GOVT - UNITS - TRK MODEL 7</t>
  </si>
  <si>
    <t>GOVT - UNITS - TRK MODEL 8</t>
  </si>
  <si>
    <t>GOVT - UNITS - TRK MODEL 9</t>
  </si>
  <si>
    <t>GOVT - UNITS - TRK MODEL 10</t>
  </si>
  <si>
    <t>GOVT - UNITS - TRK MODEL 11</t>
  </si>
  <si>
    <t>GOVT - UNITS - TRK MODEL 12</t>
  </si>
  <si>
    <t>GOVT - UNITS - TRK MODEL 13</t>
  </si>
  <si>
    <t>GOVT - UNITS - TRK MODEL 14</t>
  </si>
  <si>
    <t>GOVT - UNITS - TRK MODEL 15</t>
  </si>
  <si>
    <t>GOVT - UNITS - TRK MODEL 16</t>
  </si>
  <si>
    <t>GOVT - UNITS - TRK MODEL 17</t>
  </si>
  <si>
    <t>GOVT - UNITS - TRK MODEL 18</t>
  </si>
  <si>
    <t>GOVT - UNITS - TRK MODEL 19</t>
  </si>
  <si>
    <t>GOVT - UNITS - TRK MODEL 20</t>
  </si>
  <si>
    <t>GOVT - UNITS - TRK MODEL 21</t>
  </si>
  <si>
    <t>GOVT - UNITS - TRK MODEL 22</t>
  </si>
  <si>
    <t>GOVT - UNITS - TRK MODEL 23</t>
  </si>
  <si>
    <t>GOVT - UNITS - TOTAL TRUCK</t>
  </si>
  <si>
    <t>GOVT - UNITS - TOTAL VEHICLE</t>
  </si>
  <si>
    <t>TOTAL COMMERCIAL CAR ICE SALES</t>
  </si>
  <si>
    <t>COMCARI</t>
  </si>
  <si>
    <t>TOTAL FLT CAR ICE SALES</t>
  </si>
  <si>
    <t>FLTCARI</t>
  </si>
  <si>
    <t>TOTAL GOV CAR ICE UNIT SALES</t>
  </si>
  <si>
    <t>GOVCARI</t>
  </si>
  <si>
    <t>TOTAL COMMERCIAL CAR ICE GROSS</t>
  </si>
  <si>
    <t>TOTAL FLT CAR ICE GROSS</t>
  </si>
  <si>
    <t>TOTAL GOV CAR ICE UNIT GROSS</t>
  </si>
  <si>
    <t>TOTAL COMMERCIAL CAR ICE UNITS</t>
  </si>
  <si>
    <t>TOTAL FLT CAR ICE UNITS</t>
  </si>
  <si>
    <t>TOTAL GOV CAR ICE UNITS</t>
  </si>
  <si>
    <t>TOTAL FCG CAR ICE SALES</t>
  </si>
  <si>
    <t>TOTFCGCARI</t>
  </si>
  <si>
    <t>TOTAL FCG CAR ICE GROSS</t>
  </si>
  <si>
    <t>TOTAL FCG CAR ICE UNITS</t>
  </si>
  <si>
    <t>TOTAL COMMERCIAL CAR EV SALES</t>
  </si>
  <si>
    <t>COMCARE</t>
  </si>
  <si>
    <t>TOTAL FLT CAR EV SALES</t>
  </si>
  <si>
    <t>FLTCARE</t>
  </si>
  <si>
    <t>TOTAL GOV CAR EV SALES</t>
  </si>
  <si>
    <t>GOVCARE</t>
  </si>
  <si>
    <t>TOTAL COMMERCIAL CAR EV GROSS</t>
  </si>
  <si>
    <t>TOTAL FLT CAR EV GROSS</t>
  </si>
  <si>
    <t>TOTAL GOV CAR EV GROSS</t>
  </si>
  <si>
    <t>TOTAL COMMERCIAL CAR EV UNITS</t>
  </si>
  <si>
    <t>TOTAL FLT CAR EV UNITS</t>
  </si>
  <si>
    <t>TOTAL GOV CAR EV UNITS</t>
  </si>
  <si>
    <t>TOTAL FCG CAR EV SALES</t>
  </si>
  <si>
    <t>TOTFCGCARE</t>
  </si>
  <si>
    <t>TOTAL FCG CAR EV GROSS</t>
  </si>
  <si>
    <t>TOTAL FCG CAR EV UNITS</t>
  </si>
  <si>
    <t>TOTAL COMMERCIAL TRK ICE SALES</t>
  </si>
  <si>
    <t>COMTRKI</t>
  </si>
  <si>
    <t>TOTAL FLT TRK ICE SALES</t>
  </si>
  <si>
    <t>FLTTRKI</t>
  </si>
  <si>
    <t>TOTAL GOV TRK ICE UNIT SALES</t>
  </si>
  <si>
    <t>GOVTRKI</t>
  </si>
  <si>
    <t>TOTAL COMMERCIAL TRK ICE GROSS</t>
  </si>
  <si>
    <t>TOTAL FLT TRK ICE GROSS</t>
  </si>
  <si>
    <t>TOTAL GOV TRK ICE UNIT GROSS</t>
  </si>
  <si>
    <t>TOTAL COMMERCIAL TRK ICE UNITS</t>
  </si>
  <si>
    <t>TOTAL FLT TRK ICE UNITS</t>
  </si>
  <si>
    <t>TOTAL GOV TRK ICE UNITS</t>
  </si>
  <si>
    <t>TOTAL FCG TRK ICE SALES</t>
  </si>
  <si>
    <t>TOTFCGTRKI</t>
  </si>
  <si>
    <t>TOTAL FCG TRK ICE GROSS</t>
  </si>
  <si>
    <t>TOTAL FCG TRK ICE UNITS</t>
  </si>
  <si>
    <t>TOTAL COMMERCIAL TRK EV SALES</t>
  </si>
  <si>
    <t>COMTRKE</t>
  </si>
  <si>
    <t>TOTAL FLT TRK EV SALES</t>
  </si>
  <si>
    <t>FLTTRKE</t>
  </si>
  <si>
    <t>TOTAL GOV TRK EV SALES</t>
  </si>
  <si>
    <t>GOVTRKE</t>
  </si>
  <si>
    <t>TOTAL COMMERCIAL TRK EV GROSS</t>
  </si>
  <si>
    <t>TOTAL FLT TRK EV GROSS</t>
  </si>
  <si>
    <t>TOTAL GOV TRK EV GROSS</t>
  </si>
  <si>
    <t>TOTAL COMMERCIAL TRK EV UNITS</t>
  </si>
  <si>
    <t>TOTAL FLT TRK EV UNITS</t>
  </si>
  <si>
    <t>TOTAL GOV TRK EV UNITS</t>
  </si>
  <si>
    <t>TOTAL FCG TRK EV SALES</t>
  </si>
  <si>
    <t>TOTFCGTRKE</t>
  </si>
  <si>
    <t>TOTAL FCG TRK EV GROSS</t>
  </si>
  <si>
    <t>TOTAL FCG TRK EV UNITS</t>
  </si>
  <si>
    <t>TOTAL FCG CAR SALES</t>
  </si>
  <si>
    <t>TOTFCGCAR</t>
  </si>
  <si>
    <t>TOTAL FCG CAR GROSS</t>
  </si>
  <si>
    <t>TOTAL FCG CAR UNITS</t>
  </si>
  <si>
    <t>TOTAL FCG TRK SALES</t>
  </si>
  <si>
    <t>TOTFCGTRK</t>
  </si>
  <si>
    <t>TOTAL FCG TRK GROSS</t>
  </si>
  <si>
    <t>TOTAL FCG TRK UNITS</t>
  </si>
  <si>
    <t>02</t>
  </si>
  <si>
    <t>USED CARS RTL - OTHER - UNITS</t>
  </si>
  <si>
    <t>*MEMO* TOTAL RECON - OPTIMUM/UCFS USED CAR RTL</t>
  </si>
  <si>
    <t>447A</t>
  </si>
  <si>
    <t>RECON</t>
  </si>
  <si>
    <t xml:space="preserve">*MEMO* TOTAL RECON - OTH USED CAR RTL </t>
  </si>
  <si>
    <t>447B</t>
  </si>
  <si>
    <t>USED TRUCKS RTL - OPTIMUM/UCFS - UNITS</t>
  </si>
  <si>
    <t>USED TRUCKS RTL - OTHER - UNITS</t>
  </si>
  <si>
    <t>*MEMO* TOTAL RECON - OPTIMUM/UCFS USED TRK RTL</t>
  </si>
  <si>
    <t>451A</t>
  </si>
  <si>
    <t>*MEMO* TOTAL RECON - OTH USED TRK RTL</t>
  </si>
  <si>
    <t>451B</t>
  </si>
  <si>
    <t>TOTAL USED RETAIL - UNITS</t>
  </si>
  <si>
    <t>RTLVEH</t>
  </si>
  <si>
    <t>USED CARS WHOLESALE - UNITS</t>
  </si>
  <si>
    <t>448</t>
  </si>
  <si>
    <t>USED TO NEW - RETAIL RATIO - UNITS</t>
  </si>
  <si>
    <t>RTLCAR</t>
  </si>
  <si>
    <t>RATIO</t>
  </si>
  <si>
    <t>USED TRUCKS WHOLESALE - UNITS</t>
  </si>
  <si>
    <t>452</t>
  </si>
  <si>
    <t>RTLTRK</t>
  </si>
  <si>
    <t>TOTAL USED WHSL - UNITS</t>
  </si>
  <si>
    <t>WHLSVEH</t>
  </si>
  <si>
    <t>TOTAL USED VEHICLE - UNITS</t>
  </si>
  <si>
    <t>USEDVEH</t>
  </si>
  <si>
    <t>TOTAL NEW &amp; USED - UNITS</t>
  </si>
  <si>
    <t>NEWUSED</t>
  </si>
  <si>
    <t>CUST. LAB CARS &amp; LD TRKS - R.O. COUNTS</t>
  </si>
  <si>
    <t>RO</t>
  </si>
  <si>
    <t>CUST. LAB EV CARS &amp; LD TRKS - R.O. COUNTS</t>
  </si>
  <si>
    <t>S/CNTR LAB -CARS&amp;LD TRKS - R.O. COUNTS</t>
  </si>
  <si>
    <t>S/CNTR LAB - EV CARS &amp; LD TRKS - R.O. COUNTS</t>
  </si>
  <si>
    <t>Q/SRV LAB -CARS&amp;LD TRKS - R.O. COUNTS</t>
  </si>
  <si>
    <t>MOBILE SRV LAB CARS &amp; LD TRKS - R.O. COUNTS</t>
  </si>
  <si>
    <t>NON GM EV CUST LAB - R.O. COUNTS</t>
  </si>
  <si>
    <t>CUST. LAB MD TRKS/SAAB - R.O. COUNTS</t>
  </si>
  <si>
    <t>CUST. LAB EV COM,FLT &amp; MD TRKS - R.O. COUNTS</t>
  </si>
  <si>
    <t>S/CNTR LAB MD TRKS/SAAB - R.O. COUNTS</t>
  </si>
  <si>
    <t>S/CNTR EV LAB COM/FLT &amp; MD TRKS - R.O. COUNTS</t>
  </si>
  <si>
    <t>Q/SRV LAB -MD TRKS/SAAB - R.O. COUNTS</t>
  </si>
  <si>
    <t>WARRANTY CLAIM LABOR - R.O. COUNTS</t>
  </si>
  <si>
    <t>INTERNAL LABOR - R.O. COUNTS</t>
  </si>
  <si>
    <t>NEW VEH INSP LBR - R.O. COUNTS</t>
  </si>
  <si>
    <t>CUST. BODY LABOR - R.O. COUNTS</t>
  </si>
  <si>
    <t>471</t>
  </si>
  <si>
    <t>472</t>
  </si>
  <si>
    <t>473</t>
  </si>
  <si>
    <t>FIXED COVERAGE</t>
  </si>
  <si>
    <t>FIXCOVER</t>
  </si>
  <si>
    <t>PCT</t>
  </si>
  <si>
    <t>FINANCE INCOME-NEW - Cntrs</t>
  </si>
  <si>
    <t>04</t>
  </si>
  <si>
    <t>CNTRS</t>
  </si>
  <si>
    <t>INS. COMM. EARNED-NEW - Cntrs</t>
  </si>
  <si>
    <t>807</t>
  </si>
  <si>
    <t>ACCESSORIES - Cntrs</t>
  </si>
  <si>
    <t>GM PROT. PLANS - Cntrs</t>
  </si>
  <si>
    <t>443</t>
  </si>
  <si>
    <t>OTHER PROT. PLANS - Cntrs</t>
  </si>
  <si>
    <t>444</t>
  </si>
  <si>
    <t>FINANCE INCOME-USED - Cntrs</t>
  </si>
  <si>
    <t>808</t>
  </si>
  <si>
    <t>INS. COMM. EARNED-USED - Cntrs</t>
  </si>
  <si>
    <t>809</t>
  </si>
  <si>
    <t>454</t>
  </si>
  <si>
    <t>455</t>
  </si>
  <si>
    <t>DEMONSTRATORS - UNITS</t>
  </si>
  <si>
    <t>230</t>
  </si>
  <si>
    <t>DEMONSTRATORS - GM UNITS</t>
  </si>
  <si>
    <t>CARS - UNITS</t>
  </si>
  <si>
    <t>231</t>
  </si>
  <si>
    <t>CARS - GM UNITS</t>
  </si>
  <si>
    <t>CARS - EV - GM UNITS</t>
  </si>
  <si>
    <t>TRUCKS - UNITS</t>
  </si>
  <si>
    <t>237</t>
  </si>
  <si>
    <t>TRUCKS - GM UNITS</t>
  </si>
  <si>
    <t>TRUCKS - EV - GM UNITS</t>
  </si>
  <si>
    <t>MEDIUM DUTY TRUCKS - UNITS</t>
  </si>
  <si>
    <t>MEDIUM DUTY TRUCKS - GM UNITS</t>
  </si>
  <si>
    <t>DEMONSTRATORS - GM FIFO</t>
  </si>
  <si>
    <t>FIFO</t>
  </si>
  <si>
    <t>CARS - GM FIFO</t>
  </si>
  <si>
    <t>CARS - EV - GM FIFO</t>
  </si>
  <si>
    <t>TRUCKS - GM FIFO</t>
  </si>
  <si>
    <t>TRUCKS - EV - GM FIFO</t>
  </si>
  <si>
    <t>MEDIUM DUTY TRUCKS - GM FIFO</t>
  </si>
  <si>
    <t>CARS &lt; 45D - UNITS</t>
  </si>
  <si>
    <t>240UND45</t>
  </si>
  <si>
    <t>TRUCKS &lt; 45 D - UNITS</t>
  </si>
  <si>
    <t>241UND45</t>
  </si>
  <si>
    <t>CARS &lt; 45D - VALUE</t>
  </si>
  <si>
    <t>TRUCKS &lt; 45 D - VALUE</t>
  </si>
  <si>
    <t>CARS &gt; 45D - UNITS</t>
  </si>
  <si>
    <t>240OVR45</t>
  </si>
  <si>
    <t>TRUCKS &gt; 45 D - UNITS</t>
  </si>
  <si>
    <t>241OVR45</t>
  </si>
  <si>
    <t>CARS &gt; 45D - VALUE</t>
  </si>
  <si>
    <t>TRUCKS &gt; 45 D - VALUE</t>
  </si>
  <si>
    <t>CARS TOTAL - UNITS</t>
  </si>
  <si>
    <t>240TOTL</t>
  </si>
  <si>
    <t>TRUCKS TOTAL - UNITS</t>
  </si>
  <si>
    <t>241TOTL</t>
  </si>
  <si>
    <t>CARS TOTAL - BEFORE LIFO</t>
  </si>
  <si>
    <t>TRUCKS TOTAL - BEFORE LIFO</t>
  </si>
  <si>
    <t>PARTS AND ACCESSORIES-GM-BEF LIFO</t>
  </si>
  <si>
    <t>PARTS CORES-GM-BEF LIFO</t>
  </si>
  <si>
    <t>OTHER INVENTORIES-GM-BEF LIFO</t>
  </si>
  <si>
    <t>243, 244, 245, 252 TO 258</t>
  </si>
  <si>
    <t>243-258G</t>
  </si>
  <si>
    <t>PARTS AND ACCESSORIES-OTH-BEF LIFO</t>
  </si>
  <si>
    <t>242OTH</t>
  </si>
  <si>
    <t>PARTS CORES-OTH-BEF LIFO</t>
  </si>
  <si>
    <t>242AOTH</t>
  </si>
  <si>
    <t>OTHER INVENTORIES-OTH-BEF LIFO</t>
  </si>
  <si>
    <t>243-258O</t>
  </si>
  <si>
    <t>OWNERS / EXEC MGRS NEW -PERS</t>
  </si>
  <si>
    <t>OWNR</t>
  </si>
  <si>
    <t>PERSONNL</t>
  </si>
  <si>
    <t>SUPERVISORS NEW -PERS</t>
  </si>
  <si>
    <t>SUPV</t>
  </si>
  <si>
    <t>VEH,SRV&amp;PRTS SLSPLE NEW -PERS</t>
  </si>
  <si>
    <t>BDC / E - COMMERCE NEW -PERS</t>
  </si>
  <si>
    <t>BDCE</t>
  </si>
  <si>
    <t>CLERICAL NEW -PERS</t>
  </si>
  <si>
    <t>CLERC</t>
  </si>
  <si>
    <t>OTHERS NEW -PERS</t>
  </si>
  <si>
    <t>OTHR</t>
  </si>
  <si>
    <t>TOTAL NEW -PERS</t>
  </si>
  <si>
    <t>TOTAL HIRED Y-T-D NEW -PERS</t>
  </si>
  <si>
    <t>HIRED</t>
  </si>
  <si>
    <t>TOT TERMINATED Y-T-D NEW -PERS</t>
  </si>
  <si>
    <t>TERM</t>
  </si>
  <si>
    <t>OWNERS / EXEC MGRS USED -PERS</t>
  </si>
  <si>
    <t>SUPERVISORS USED -PERS</t>
  </si>
  <si>
    <t>VEH,SRV&amp;PRTS SLSPLE USED -PERS</t>
  </si>
  <si>
    <t>BDC / E - COMMERCE USED -PERS</t>
  </si>
  <si>
    <t>CLERICAL USED -PERS</t>
  </si>
  <si>
    <t>OTHERS USED -PERS</t>
  </si>
  <si>
    <t>TOTAL USED -PERS</t>
  </si>
  <si>
    <t>TOTAL HIRED Y-T-D USED -PERS</t>
  </si>
  <si>
    <t>TOT TERMINATED Y-T-D USED -PERS</t>
  </si>
  <si>
    <t>OWNERS / EXEC MGRS L&amp;R -PERS</t>
  </si>
  <si>
    <t>03</t>
  </si>
  <si>
    <t>SUPERVISORS L&amp;R -PERS</t>
  </si>
  <si>
    <t>VEH,SRV&amp;PRTS SLSPLE L&amp;R -PERS</t>
  </si>
  <si>
    <t>BDC / E - COMMERCE L&amp;R -PERS</t>
  </si>
  <si>
    <t>CLERICAL L&amp;R -PERS</t>
  </si>
  <si>
    <t>OTHERS L&amp;R -PERS</t>
  </si>
  <si>
    <t>TOTAL L&amp;R -PERS</t>
  </si>
  <si>
    <t>TOTAL HIRED Y-T-D L&amp;R -PERS</t>
  </si>
  <si>
    <t>TOT TERMINATED Y-T-D L&amp;R -PERS</t>
  </si>
  <si>
    <t>SUPERVISORS F&amp;I -PERS</t>
  </si>
  <si>
    <t>CLERICAL F&amp;I -PERS</t>
  </si>
  <si>
    <t>OTHERS F&amp;I -PERS</t>
  </si>
  <si>
    <t>TOTAL F&amp;I -PERS</t>
  </si>
  <si>
    <t>TOTAL HIRED Y-T-D F&amp;I -PERS</t>
  </si>
  <si>
    <t>TOT TERMINATED Y-T-D F&amp;I -PERS</t>
  </si>
  <si>
    <t>OWNERS / EXEC MGRS SERV -PERS</t>
  </si>
  <si>
    <t>SUPERVISORS SERV -PERS</t>
  </si>
  <si>
    <t>VEH,SRV&amp;PRTS SLSPLE SERV -PERS</t>
  </si>
  <si>
    <t>BDC / E - COMMERCE SERV -PERS</t>
  </si>
  <si>
    <t>TECHNICIANS SERV -PERS</t>
  </si>
  <si>
    <t>TECH</t>
  </si>
  <si>
    <t>CLERICAL SERV -PERS</t>
  </si>
  <si>
    <t>OTHERS SERV -PERS</t>
  </si>
  <si>
    <t>TOTAL SERV -PERS</t>
  </si>
  <si>
    <t>TOTAL HIRED Y-T-D SERV -PERS</t>
  </si>
  <si>
    <t>TOT TERMINATED Y-T-D SERV -PERS</t>
  </si>
  <si>
    <t>OWNERS / EXEC MGRS BODY -PERS</t>
  </si>
  <si>
    <t>SUPERVISORS BODY -PERS</t>
  </si>
  <si>
    <t>VEH,SRV&amp;PRTS SLSPLE BODY -PERS</t>
  </si>
  <si>
    <t>BDC / E - COMMERCE BODY -PERS</t>
  </si>
  <si>
    <t>TECHNICIANS BODY -PERS</t>
  </si>
  <si>
    <t>CLERICAL BODY -PERS</t>
  </si>
  <si>
    <t>OTHERS BODY -PERS</t>
  </si>
  <si>
    <t>TOTAL BODY -PERS</t>
  </si>
  <si>
    <t>TOTAL HIRED Y-T-D BODY -PERS</t>
  </si>
  <si>
    <t>TOT TERMINATED Y-T-D BODY -PERS</t>
  </si>
  <si>
    <t>OWNERS / EXEC MGRS PARTS -PERS</t>
  </si>
  <si>
    <t>07</t>
  </si>
  <si>
    <t>SUPERVISORS PARTS -PERS</t>
  </si>
  <si>
    <t>VEH,SRV&amp;PRTS SLSPLE PARTS -PERS</t>
  </si>
  <si>
    <t>BDC / E - COMMERCE PARTS -PERS</t>
  </si>
  <si>
    <t>CLERICAL PARTS -PERS</t>
  </si>
  <si>
    <t>OTHERS PARTS -PERS</t>
  </si>
  <si>
    <t>TOTAL PARTS -PERS</t>
  </si>
  <si>
    <t>TOTAL HIRED Y-T-D PARTS -PERS</t>
  </si>
  <si>
    <t>TOT TERMINATED Y-T-D PARTS -PERS</t>
  </si>
  <si>
    <t>OWNERS / EXEC MGRS G&amp;A -PERS</t>
  </si>
  <si>
    <t>09</t>
  </si>
  <si>
    <t>SUPERVISORS G&amp;A -PERS</t>
  </si>
  <si>
    <t>VEH,SRV&amp;PRTS SLSPLE G&amp;A -PERS</t>
  </si>
  <si>
    <t>BDC / E - COMMERCE G&amp;A -PERS</t>
  </si>
  <si>
    <t>TECHNICIANS G&amp;A -PERS</t>
  </si>
  <si>
    <t>CLERICAL G&amp;A -PERS</t>
  </si>
  <si>
    <t>OTHERS G&amp;A -PERS</t>
  </si>
  <si>
    <t>TOTAL G&amp;A -PERS</t>
  </si>
  <si>
    <t>TOTAL HIRED Y-T-D G&amp;A -PERS</t>
  </si>
  <si>
    <t>TOT TERMINATED Y-T-D G&amp;A -PERS</t>
  </si>
  <si>
    <t>OWNERS / EXEC MGRS TOTAL -PERS</t>
  </si>
  <si>
    <t>SUPERVISORS TOTAL -PERS</t>
  </si>
  <si>
    <t>VEH,SRV&amp;PRTS SLSPLE TOTAL -PERS</t>
  </si>
  <si>
    <t>BDC / E - COMMERCE TOTAL -PERS</t>
  </si>
  <si>
    <t>TECHNICIANS TOTAL -PERS</t>
  </si>
  <si>
    <t>CLERICAL TOTAL -PERS</t>
  </si>
  <si>
    <t>OTHERS TOTAL -PERS</t>
  </si>
  <si>
    <t>TOTAL TOTAL -PERS</t>
  </si>
  <si>
    <t>TOTAL HIRED Y-T-D TOTAL -PERS</t>
  </si>
  <si>
    <t>TOT TERMINATED Y-T-D TOTAL -PERS</t>
  </si>
  <si>
    <t>210 VEHICLES - TOTAL</t>
  </si>
  <si>
    <t>210VEH</t>
  </si>
  <si>
    <t>TOTLRECV</t>
  </si>
  <si>
    <t>210 VEHICLES - NOT DUE</t>
  </si>
  <si>
    <t>NOTDUE</t>
  </si>
  <si>
    <t>210 VEHICLES - 31-60 DAYS</t>
  </si>
  <si>
    <t>31-60D</t>
  </si>
  <si>
    <t>210 VEHICLES - 61-90 DAYS</t>
  </si>
  <si>
    <t>61-90D</t>
  </si>
  <si>
    <t>210 VEHICLES - OVR 90 DAYS</t>
  </si>
  <si>
    <t>OVER90D</t>
  </si>
  <si>
    <t>210 OTHER - TOTAL</t>
  </si>
  <si>
    <t>210OTH</t>
  </si>
  <si>
    <t>210 OTHER - NOT DUE</t>
  </si>
  <si>
    <t>210 OTHER - 31-60 DAYS</t>
  </si>
  <si>
    <t>210 OTHER - 61-90 DAYS</t>
  </si>
  <si>
    <t>210 OTHER - OVR 90 DAYS</t>
  </si>
  <si>
    <t>220 VEHICLES - TOTAL</t>
  </si>
  <si>
    <t>220VEH</t>
  </si>
  <si>
    <t>220 VEHICLES - NOT DUE</t>
  </si>
  <si>
    <t>220 VEHICLES - 31-60 DAYS</t>
  </si>
  <si>
    <t>220 VEHICLES - 61-90 DAYS</t>
  </si>
  <si>
    <t>220 VEHICLES - OVR 90 DAYS</t>
  </si>
  <si>
    <t>220 L &amp; R - TOTAL</t>
  </si>
  <si>
    <t>220 L &amp; R - NOT DUE</t>
  </si>
  <si>
    <t>220 L &amp; R - 31-60 DAYS</t>
  </si>
  <si>
    <t>220 L &amp; R - 61-90 DAYS</t>
  </si>
  <si>
    <t>220 L &amp; R - OVR 90 DAYS</t>
  </si>
  <si>
    <t>220 SERVICE &amp; PARTS - TOTAL</t>
  </si>
  <si>
    <t>220SVCPT</t>
  </si>
  <si>
    <t>220 SERVICE &amp; PARTS - NOT DUE</t>
  </si>
  <si>
    <t>220 SERVICE &amp; PARTS - 31-60 DAYS</t>
  </si>
  <si>
    <t>220 SERVICE &amp; PARTS - 61-90 DAYS</t>
  </si>
  <si>
    <t>220 SERVICE &amp; PARTS - OVR 90 DAYS</t>
  </si>
  <si>
    <t>220 OTHER - TOTAL</t>
  </si>
  <si>
    <t>220OTH</t>
  </si>
  <si>
    <t>220 OTHER - NOT DUE</t>
  </si>
  <si>
    <t>220 OTHER - 31-60 DAYS</t>
  </si>
  <si>
    <t>220 OTHER - 61-90 DAYS</t>
  </si>
  <si>
    <t>220 OTHER - OVR 90 DAYS</t>
  </si>
  <si>
    <t>TOTAL CUSTOMER REC. - TOTAL</t>
  </si>
  <si>
    <t>CUSTRECV</t>
  </si>
  <si>
    <t>TOTAL CUSTOMER REC. - NOT DUE</t>
  </si>
  <si>
    <t>TOTAL CUSTOMER REC. - 31-60 DAYS</t>
  </si>
  <si>
    <t>TOTAL CUSTOMER REC. - 61-90 DAYS</t>
  </si>
  <si>
    <t>TOTAL CUSTOMER REC. - OVR 90 DAYS</t>
  </si>
  <si>
    <t>300 A/P DEBIT BAL - TOTAL</t>
  </si>
  <si>
    <t>300</t>
  </si>
  <si>
    <t>DEBTBAL</t>
  </si>
  <si>
    <t>340 LESS ALLOW.DBTFL.ACCTS. - TOTAL</t>
  </si>
  <si>
    <t>340</t>
  </si>
  <si>
    <t>ALLOW</t>
  </si>
  <si>
    <t>NET CUSTOMER REC. - TOTAL</t>
  </si>
  <si>
    <t>PG7</t>
  </si>
  <si>
    <t>MEMO - CASH SALES</t>
  </si>
  <si>
    <t>CASH</t>
  </si>
  <si>
    <t>RETURN-ON-ASSETS - From DBI</t>
  </si>
  <si>
    <t>ROA</t>
  </si>
  <si>
    <t>RETURN-ON-INVESTMENT - From DBI</t>
  </si>
  <si>
    <t>TOTAL NEW CARS RETAIL-UNITS</t>
  </si>
  <si>
    <t>TOTAL NEW CARS RETAIL - EV-UNITS</t>
  </si>
  <si>
    <t>RTLCARE</t>
  </si>
  <si>
    <t>TOTAL NEW CARS FLEET &amp; INTERNAL-UNITS</t>
  </si>
  <si>
    <t>FLTINCAR</t>
  </si>
  <si>
    <t>TOTAL NEW CARS-UNITS</t>
  </si>
  <si>
    <t>TOTALCAR</t>
  </si>
  <si>
    <t>TOTAL NEW TRUCKS RETAIL-UNITS</t>
  </si>
  <si>
    <t>TOTAL NEW CARS RETAIL - EV-SLS</t>
  </si>
  <si>
    <t>RTLTRKE</t>
  </si>
  <si>
    <t>TOTAL TRUCKS FLEET &amp; INTERNAL-UNITS</t>
  </si>
  <si>
    <t>FLTINTRK</t>
  </si>
  <si>
    <t>TOTAL NEW TRUCKS -UNITS</t>
  </si>
  <si>
    <t>TOTALTRK</t>
  </si>
  <si>
    <t>ACCESSORIES-UNITS</t>
  </si>
  <si>
    <t>ACCESSOR</t>
  </si>
  <si>
    <t>TOTAL NEW VEHICLES-UNITS</t>
  </si>
  <si>
    <t>TOTALVEH</t>
  </si>
  <si>
    <t>*MEMO* TOTAL NEW RETAIL VEHICLES-UNITS</t>
  </si>
  <si>
    <t>TOTAL NEW CARS RETAIL-SLS</t>
  </si>
  <si>
    <t>TOTAL NEW CARS FLEET &amp; INTERNAL-SLS</t>
  </si>
  <si>
    <t>TOTAL NEW CARS-SLS</t>
  </si>
  <si>
    <t>TOTAL NEW TRUCKS RETAIL-SLS</t>
  </si>
  <si>
    <t>TOTAL NEW TRUCKS RETAIL - EV-SLS</t>
  </si>
  <si>
    <t>TOTAL TRUCKS FLEET &amp; INTERNAL-SLS</t>
  </si>
  <si>
    <t>TOTAL NEW TRUCKS -SLS</t>
  </si>
  <si>
    <t>NEW OTHER AUTOMOTIVE-SLS</t>
  </si>
  <si>
    <t>ACCESSORIES-SLS</t>
  </si>
  <si>
    <t>TOTAL NEW VEHICLES-SLS</t>
  </si>
  <si>
    <t>*MEMO* TOTAL NEW RETAIL VEHICLES-SLS</t>
  </si>
  <si>
    <t>TOTAL NEW CARS RETAIL-GRS</t>
  </si>
  <si>
    <t>TOTAL NEW CARS RETAIL - EV-GRS</t>
  </si>
  <si>
    <t>TOTAL NEW CARS FLEET &amp; INTERNAL-GRS</t>
  </si>
  <si>
    <t>TOTAL NEW CARS-GRS</t>
  </si>
  <si>
    <t>TOTAL NEW TRUCKS RETAIL-GRS</t>
  </si>
  <si>
    <t>TOTAL NEW TRUCKS RETAIL - EV-GRS</t>
  </si>
  <si>
    <t>TOTAL TRUCKS FLEET &amp; INTERNAL-GRS</t>
  </si>
  <si>
    <t>TOTAL NEW TRUCKS -GRS</t>
  </si>
  <si>
    <t>NEW OTHER AUTOMOTIVE-GRS</t>
  </si>
  <si>
    <t>ACCESSORIES-GRS</t>
  </si>
  <si>
    <t>TOTAL NEW VEHICLES-GRS</t>
  </si>
  <si>
    <t>*MEMO* TOTAL NEW RETAIL VEHICLES-GRS</t>
  </si>
  <si>
    <t>SELLING PRICE OF DISPOSED VEHICLES-TOTAL</t>
  </si>
  <si>
    <t>500DS</t>
  </si>
  <si>
    <t>DISPOSITION EXPENSE-TOTAL</t>
  </si>
  <si>
    <t>700DE</t>
  </si>
  <si>
    <t>EXPNS</t>
  </si>
  <si>
    <t>SELLING PRICE OF DISPOSED VEHICLES-CLOSED-END</t>
  </si>
  <si>
    <t>510DS</t>
  </si>
  <si>
    <t>DISPOSITION EXPENSE-CLOSED_END</t>
  </si>
  <si>
    <t>SELLING PRICE OF DISPOSED VEHICLES-OPEN_END</t>
  </si>
  <si>
    <t>520DS</t>
  </si>
  <si>
    <t>DISPOSITION EXPENSE-OPEN_END</t>
  </si>
  <si>
    <t>SELLING PRICE OF DISPOSED VEHICLES-RENTAL</t>
  </si>
  <si>
    <t>530DS</t>
  </si>
  <si>
    <t>DISPOSITION EXPENSE-RENTAL</t>
  </si>
  <si>
    <t>BEGINNING UNITS IN SERVICE-TOTAL</t>
  </si>
  <si>
    <t>UNITBEGN</t>
  </si>
  <si>
    <t>UNITS ADDED INTO SERVICE IN PERIOD-TOTAL</t>
  </si>
  <si>
    <t>UNITADD</t>
  </si>
  <si>
    <t>UNITS REMOVED FROM SERVICE IN PERIOD-TOTAL</t>
  </si>
  <si>
    <t>UNITRMVD</t>
  </si>
  <si>
    <t>ENDING UNITS IN SERVICE / EFFECTIVE UNITS-TOTAL</t>
  </si>
  <si>
    <t>END&amp;EFFU</t>
  </si>
  <si>
    <t>UNITS DISPOSED-TOTAL</t>
  </si>
  <si>
    <t>UNITDISP</t>
  </si>
  <si>
    <t>*MEMO* CUSTOMERS RETAINED (2)-TOTAL</t>
  </si>
  <si>
    <t>UNITRTND</t>
  </si>
  <si>
    <t>BEGINNING UNITS IN SERVICE-CLOSED END</t>
  </si>
  <si>
    <t>CLSDEND</t>
  </si>
  <si>
    <t>UNITS ADDED INTO SERVICE IN PERIOD-CLOSED END</t>
  </si>
  <si>
    <t>UNITS REMOVED FROM SERVICE IN PERIOD-CLOSED END</t>
  </si>
  <si>
    <t>ENDING UNITS IN SERVICE / EFFECTIVE UNITS-CLOSED END</t>
  </si>
  <si>
    <t>UNITS DISPOSED-CLOSED END</t>
  </si>
  <si>
    <t>*MEMO* CUSTOMERS RETAINED (2)-CLOSED END</t>
  </si>
  <si>
    <t>BEGINNING UNITS IN SERVICE-OPEN END</t>
  </si>
  <si>
    <t>OPENEND</t>
  </si>
  <si>
    <t>UNITS ADDED INTO SERVICE IN PERIOD-OPEN END</t>
  </si>
  <si>
    <t>UNITS REMOVED FROM SERVICE IN PERIOD-OPEN END</t>
  </si>
  <si>
    <t>ENDING UNITS IN SERVICE / EFFECTIVE UNITS-OPEN END</t>
  </si>
  <si>
    <t>UNITS DISPOSED-OPEN END</t>
  </si>
  <si>
    <t>*MEMO* CUSTOMERS RETAINED (2)-OPEN END</t>
  </si>
  <si>
    <t>BEGINNING UNITS IN SERVICE-RENTAL</t>
  </si>
  <si>
    <t>RENTAL</t>
  </si>
  <si>
    <t>UNITS ADDED INTO SERVICE IN PERIOD-RENTAL</t>
  </si>
  <si>
    <t>UNITS REMOVED FROM SERVICE IN PERIOD-RENTAL</t>
  </si>
  <si>
    <t>ENDING UNITS IN SERVICE / EFFECTIVE UNITS-RENTAL</t>
  </si>
  <si>
    <t>UNITS DISPOSED-RENTAL</t>
  </si>
  <si>
    <t>LEASE BILLINGS-TOTAL</t>
  </si>
  <si>
    <t>220 L&amp;R B</t>
  </si>
  <si>
    <t>220LR B</t>
  </si>
  <si>
    <t>OTHER RECEIVABLES-TOTAL</t>
  </si>
  <si>
    <t>220 L&amp;R O</t>
  </si>
  <si>
    <t>220LR O</t>
  </si>
  <si>
    <t>SUB-TOTAL-TOTAL</t>
  </si>
  <si>
    <t>220LRSUB</t>
  </si>
  <si>
    <t>LESS ALLOW. DOUBT ACCTS-TOTAL</t>
  </si>
  <si>
    <t>220 L&amp;R ADA</t>
  </si>
  <si>
    <t>340LRADA</t>
  </si>
  <si>
    <t>TOTAL-TOTAL L&amp;R A/R</t>
  </si>
  <si>
    <t>220 L&amp;R NET</t>
  </si>
  <si>
    <t>220LRNET</t>
  </si>
  <si>
    <t>LEASE BILLINGS-PRE-PAID</t>
  </si>
  <si>
    <t>PREPAID</t>
  </si>
  <si>
    <t>OTHER RECEIVABLES=PRE-PAID</t>
  </si>
  <si>
    <t>SUB-TOTAL-PRE-PAID</t>
  </si>
  <si>
    <t>LEASE BILLINGS-1-30D</t>
  </si>
  <si>
    <t>01-30D</t>
  </si>
  <si>
    <t>OTHER RECEIVABLES=1-30D</t>
  </si>
  <si>
    <t>SUB-TOTAL-1-30D</t>
  </si>
  <si>
    <t>LEASE BILLINGS-31-60D</t>
  </si>
  <si>
    <t>OTHER RECEIVABLES=31-60D</t>
  </si>
  <si>
    <t>SUB-TOTAL-31-60D</t>
  </si>
  <si>
    <t>LEASE BILLINGS-61-90D</t>
  </si>
  <si>
    <t>OTHER RECEIVABLES=61-90D</t>
  </si>
  <si>
    <t>SUB-TOTAL-61-90D</t>
  </si>
  <si>
    <t>LEASE BILLINGS-90+D</t>
  </si>
  <si>
    <t>OTHER RECEIVABLES=90+D</t>
  </si>
  <si>
    <t>SUB-TOTAL-90+D</t>
  </si>
  <si>
    <t>NEW UNITS FOR LEASE -UNITS</t>
  </si>
  <si>
    <t>DEMONSTRATORS -UNITS</t>
  </si>
  <si>
    <t>TERMINATED NOT DISPOSED -UNITS</t>
  </si>
  <si>
    <t>*MEMO OVER 30 DAYS -UNITS</t>
  </si>
  <si>
    <t>277OV30D</t>
  </si>
  <si>
    <t>NEW VALUE FOR LEASE -VALUE</t>
  </si>
  <si>
    <t>DEMONSTRATORS -VALUE</t>
  </si>
  <si>
    <t>TERMINATED NOT DISPOSED -VALUE</t>
  </si>
  <si>
    <t>*MEMO OVER 30 DAYS -VALUE</t>
  </si>
  <si>
    <t>LEASED VEHICLES - UNITS</t>
  </si>
  <si>
    <t>RENTAL VEHICLES - UNITS</t>
  </si>
  <si>
    <t>LEASED EQUIPMENT - UNITS</t>
  </si>
  <si>
    <t>TOTAL INV - UNITS</t>
  </si>
  <si>
    <t>LEASED VEHICLES - ACCUM DEPR</t>
  </si>
  <si>
    <t>ACCDEPR</t>
  </si>
  <si>
    <t>RENTAL VEHICLES - ACCUM DEPR</t>
  </si>
  <si>
    <t>LEASED EQUIPMENT - ACCUM DEPR</t>
  </si>
  <si>
    <t>TOTAL INV - ACCUM DEPR</t>
  </si>
  <si>
    <t>LEASED VEHICLES - NET</t>
  </si>
  <si>
    <t>RENTAL VEHICLES - NET</t>
  </si>
  <si>
    <t>LEASED EQUIPMENT - NET</t>
  </si>
  <si>
    <t>TOTAL INV - NET</t>
  </si>
  <si>
    <t>INS. COMM. EARNED-Cntrs</t>
  </si>
  <si>
    <t>ACCESSORIES-Cntrs</t>
  </si>
  <si>
    <t>GM PROT. PLANS-Cntrs</t>
  </si>
  <si>
    <t>OTHER PROT. PLANS-Cntrs</t>
  </si>
  <si>
    <t>GM PROT. PLANS-SLS</t>
  </si>
  <si>
    <t>OTHER PROT. PLANS-SLS</t>
  </si>
  <si>
    <t>L&amp;R -  F&amp;I  &amp; PROT. PLN INCOME-SLS</t>
  </si>
  <si>
    <t>FIPPTOTL</t>
  </si>
  <si>
    <t>INS. COMM. EARNED-GRS</t>
  </si>
  <si>
    <t>GRSINC</t>
  </si>
  <si>
    <t>INS CHARGEBACKS-GRS</t>
  </si>
  <si>
    <t>GM PROT. PLANS-GRS</t>
  </si>
  <si>
    <t>OTHER PROT. PLANS-GRS</t>
  </si>
  <si>
    <t>F&amp;I MANAGER COMMISSIONS-GRS</t>
  </si>
  <si>
    <t>L&amp;R -  F&amp;I  &amp; PROT. PLN INCOME-GRS</t>
  </si>
  <si>
    <t>200</t>
  </si>
  <si>
    <t>202</t>
  </si>
  <si>
    <t>205</t>
  </si>
  <si>
    <t>260</t>
  </si>
  <si>
    <t>TOTAL CASH AND CONTRACTS</t>
  </si>
  <si>
    <t>CASHCNTR</t>
  </si>
  <si>
    <t>FROM
PG7</t>
  </si>
  <si>
    <t>261</t>
  </si>
  <si>
    <t>262</t>
  </si>
  <si>
    <t>263</t>
  </si>
  <si>
    <t>264</t>
  </si>
  <si>
    <t>G.S.T RECEIVABLE</t>
  </si>
  <si>
    <t>TOTAL RECEIVABLES</t>
  </si>
  <si>
    <t>TOTRECVS</t>
  </si>
  <si>
    <t>242</t>
  </si>
  <si>
    <t>243</t>
  </si>
  <si>
    <t>244</t>
  </si>
  <si>
    <t>245</t>
  </si>
  <si>
    <t>246</t>
  </si>
  <si>
    <t>247</t>
  </si>
  <si>
    <t>252</t>
  </si>
  <si>
    <t>258</t>
  </si>
  <si>
    <t>LIFO RESERVE</t>
  </si>
  <si>
    <t>TOTAL INVENTORIES</t>
  </si>
  <si>
    <t>TOTINVEN</t>
  </si>
  <si>
    <t>PREPAID EXPENSES:TAXES</t>
  </si>
  <si>
    <t>270</t>
  </si>
  <si>
    <t>PREPAID EXPENSES:INSURANCE</t>
  </si>
  <si>
    <t>271</t>
  </si>
  <si>
    <t>PREPAID EXPENSES:OTHER</t>
  </si>
  <si>
    <t>274</t>
  </si>
  <si>
    <t>TOTAL CURRENT ASSETS</t>
  </si>
  <si>
    <t>CURRASST</t>
  </si>
  <si>
    <t>DRIVER TRAINING VEHICLES- NET</t>
  </si>
  <si>
    <t>LEASE &amp; RENTAL ASSET AT COST</t>
  </si>
  <si>
    <t>L &amp; R ACCUMULATED DEP.</t>
  </si>
  <si>
    <t>TOTAL CURRENT AND WORKING ASSETS</t>
  </si>
  <si>
    <t>WORKASST</t>
  </si>
  <si>
    <t>280</t>
  </si>
  <si>
    <t>COST</t>
  </si>
  <si>
    <t>281</t>
  </si>
  <si>
    <t>LEASE HNAMEPLATE 003</t>
  </si>
  <si>
    <t>286</t>
  </si>
  <si>
    <t>287</t>
  </si>
  <si>
    <t>282</t>
  </si>
  <si>
    <t>283</t>
  </si>
  <si>
    <t>284</t>
  </si>
  <si>
    <t>285</t>
  </si>
  <si>
    <t>TOTALS FIXED ASSETS</t>
  </si>
  <si>
    <t>FIXASSET</t>
  </si>
  <si>
    <t>BLDGS &amp; IMP.  - ACCUM DEPR.</t>
  </si>
  <si>
    <t>351</t>
  </si>
  <si>
    <t>LEASE HNAMEPLATE 003 - ACCUM DEPR.</t>
  </si>
  <si>
    <t>356</t>
  </si>
  <si>
    <t>IT- HARDWARE - ACCUM DEPR.</t>
  </si>
  <si>
    <t>357</t>
  </si>
  <si>
    <t>IT - SOFTWARE - ACCUM DEPR.</t>
  </si>
  <si>
    <t>M&amp;S EQUIP - ACCUM DEPR.</t>
  </si>
  <si>
    <t>352</t>
  </si>
  <si>
    <t>P&amp;A EQUIP - ACCUM DEPR.</t>
  </si>
  <si>
    <t>353</t>
  </si>
  <si>
    <t>FURN &amp; FIXTRS - ACCUM DEPR.</t>
  </si>
  <si>
    <t>354</t>
  </si>
  <si>
    <t>CO. VEHICLES - ACCUM DEPR.</t>
  </si>
  <si>
    <t>355</t>
  </si>
  <si>
    <t>OTHER FIXED ASSETS - ACCUM DEPR.</t>
  </si>
  <si>
    <t>TOTALS FIXED ASSETS - ACCUM DEPR.</t>
  </si>
  <si>
    <t>LAND - NET</t>
  </si>
  <si>
    <t>BLDGS &amp; IMP. - NET</t>
  </si>
  <si>
    <t>LEASE HNAMEPLATE 003 - NET</t>
  </si>
  <si>
    <t>IT- HARDWARE - NET</t>
  </si>
  <si>
    <t>IT - SOFTWARE - NET</t>
  </si>
  <si>
    <t>M&amp;S EQUIP - NET</t>
  </si>
  <si>
    <t>P&amp;A EQUIP - NET</t>
  </si>
  <si>
    <t>FURN &amp; FIXTRS - NET</t>
  </si>
  <si>
    <t>CO. VEHICLES - NET</t>
  </si>
  <si>
    <t>OTHER FIXED ASSETS - NET</t>
  </si>
  <si>
    <t>TOTALS FIXED ASSETS - NET</t>
  </si>
  <si>
    <t>291</t>
  </si>
  <si>
    <t>293</t>
  </si>
  <si>
    <t>294</t>
  </si>
  <si>
    <t>296</t>
  </si>
  <si>
    <t>TOTAL OTHER ASSETS</t>
  </si>
  <si>
    <t>OTHRASST</t>
  </si>
  <si>
    <t>TOTASSET</t>
  </si>
  <si>
    <t>CASH IN BANK CREDIT BALANCE</t>
  </si>
  <si>
    <t>CB</t>
  </si>
  <si>
    <t>300TC</t>
  </si>
  <si>
    <t>220</t>
  </si>
  <si>
    <t>CD</t>
  </si>
  <si>
    <t>305</t>
  </si>
  <si>
    <t>310</t>
  </si>
  <si>
    <t>312</t>
  </si>
  <si>
    <t>314</t>
  </si>
  <si>
    <t>320</t>
  </si>
  <si>
    <t>321</t>
  </si>
  <si>
    <t>322</t>
  </si>
  <si>
    <t>323</t>
  </si>
  <si>
    <t>324</t>
  </si>
  <si>
    <t>325</t>
  </si>
  <si>
    <t>327</t>
  </si>
  <si>
    <t>328</t>
  </si>
  <si>
    <t>329</t>
  </si>
  <si>
    <t>330</t>
  </si>
  <si>
    <t>331</t>
  </si>
  <si>
    <t>TOTAL CURRENT LIABILITIES</t>
  </si>
  <si>
    <t>CURRLIAB</t>
  </si>
  <si>
    <t>334</t>
  </si>
  <si>
    <t>333</t>
  </si>
  <si>
    <t>TOTAL - LONG-TERM LIABILITIES</t>
  </si>
  <si>
    <t>LTLIAB</t>
  </si>
  <si>
    <t>335</t>
  </si>
  <si>
    <t>TOTAL LIABILITIES</t>
  </si>
  <si>
    <t>TOTLIAB</t>
  </si>
  <si>
    <t>CAPITAL STOCK &amp; AD'L PD IN CAP</t>
  </si>
  <si>
    <t>360</t>
  </si>
  <si>
    <t>370</t>
  </si>
  <si>
    <t>375</t>
  </si>
  <si>
    <t>380</t>
  </si>
  <si>
    <t>390</t>
  </si>
  <si>
    <t>TO BALANCE</t>
  </si>
  <si>
    <t>TOBALNCE</t>
  </si>
  <si>
    <t>PROFIT OR LOSS</t>
  </si>
  <si>
    <t>399</t>
  </si>
  <si>
    <t>TOTAL NET WORTH</t>
  </si>
  <si>
    <t>NETWORTH</t>
  </si>
  <si>
    <t>LIABNETW</t>
  </si>
  <si>
    <t>TOT DLRSHIP NET SALES</t>
  </si>
  <si>
    <t>TOT DLRSHIP GROSS PROFIT/INCOME</t>
  </si>
  <si>
    <t>TOT DLRSHIP VEH.  SLSPLE COMPENSATION &amp; OTHER</t>
  </si>
  <si>
    <t>11</t>
  </si>
  <si>
    <t>TOT DLRSHIP DELIVERY EXPENSE</t>
  </si>
  <si>
    <t>TOT DLRSHIP POLICY WORK-VEHICLES</t>
  </si>
  <si>
    <t>15</t>
  </si>
  <si>
    <t>TOT DLRSHIP TOTAL VARIABLE</t>
  </si>
  <si>
    <t>VAREXPNS</t>
  </si>
  <si>
    <t>TOT DLRSHIP SALARIES-OWNERS / EXECUTIVE MANAGERS</t>
  </si>
  <si>
    <t>20</t>
  </si>
  <si>
    <t>TOT DLRSHIP SALARIES-SUPERVISION</t>
  </si>
  <si>
    <t>21</t>
  </si>
  <si>
    <t>TOT DLRSHIP SALARIES-CLERICAL</t>
  </si>
  <si>
    <t>22</t>
  </si>
  <si>
    <t>TOT DLRSHIP OTHER SALARIES AND WAGES</t>
  </si>
  <si>
    <t>23</t>
  </si>
  <si>
    <t>TOT DLRSHIP ABSENTEE COMPENSATION</t>
  </si>
  <si>
    <t>24</t>
  </si>
  <si>
    <t>TOT DLRSHIP INCENTIVES-SUPERVISION</t>
  </si>
  <si>
    <t>TOT DLRSHIP TAXES-PAYROLL</t>
  </si>
  <si>
    <t>25</t>
  </si>
  <si>
    <t>TOT DLRSHIP EMPLOYEE BENEFITS</t>
  </si>
  <si>
    <t>27</t>
  </si>
  <si>
    <t>TOT DLRSHIP RETIREMENT BENEFITS</t>
  </si>
  <si>
    <t>29</t>
  </si>
  <si>
    <t>TOT DLRSHIP TOTAL PERSONNEL</t>
  </si>
  <si>
    <t>TOT DLRSHIP COMPANY VEHICLE EXPENSE</t>
  </si>
  <si>
    <t>51</t>
  </si>
  <si>
    <t>TOT DLRSHIP OFFICE SUPPLIES AND EXPENSES</t>
  </si>
  <si>
    <t>60</t>
  </si>
  <si>
    <t>TOT DLRSHIP OTHER SUPPLIES</t>
  </si>
  <si>
    <t>61</t>
  </si>
  <si>
    <t>TOT DLRSHIP E-COMMERCE ADVERTISING/FEES</t>
  </si>
  <si>
    <t>TOT DLRSHIP ADVERTISING</t>
  </si>
  <si>
    <t>65</t>
  </si>
  <si>
    <t>TOT DLRSHIP ADVERTISING REBATES</t>
  </si>
  <si>
    <t>TOT DLRSHIP CONTRIBUTIONS</t>
  </si>
  <si>
    <t>66</t>
  </si>
  <si>
    <t>TOT DLRSHIP POLICY WORK-PARTS AND SERVICE</t>
  </si>
  <si>
    <t>67</t>
  </si>
  <si>
    <t>TOT DLRSHIP INFORMATION TECHNOLOGY SERVICES</t>
  </si>
  <si>
    <t>68</t>
  </si>
  <si>
    <t>TOT DLRSHIP OUTSIDE SERVICES (OTHER)</t>
  </si>
  <si>
    <t>69</t>
  </si>
  <si>
    <t>TOT DLRSHIP TRAVEL AND ENTERTAINMENT</t>
  </si>
  <si>
    <t>70</t>
  </si>
  <si>
    <t>TOT DLRSHIP MEMBERSHIP DUES AND PUBLICATIONS</t>
  </si>
  <si>
    <t>71</t>
  </si>
  <si>
    <t>TOT DLRSHIP LEGAL AND AUDITING EXPENSE</t>
  </si>
  <si>
    <t>72</t>
  </si>
  <si>
    <t>TOT DLRSHIP TELEPHONE</t>
  </si>
  <si>
    <t>74</t>
  </si>
  <si>
    <t>TOT DLRSHIP TRAINING EXPENSE</t>
  </si>
  <si>
    <t>75</t>
  </si>
  <si>
    <t>TOT DLRSHIP INTEREST-FLOORPLAN</t>
  </si>
  <si>
    <t>76</t>
  </si>
  <si>
    <t>TOT DLRSHIP INTEREST-FLOORPLAN CREDIT</t>
  </si>
  <si>
    <t>78</t>
  </si>
  <si>
    <t>TOT DLRSHIP INTEREST-NOTES PAYABLE (OTHER)</t>
  </si>
  <si>
    <t>TOT DLRSHIP INSURANCE - INVENTORY</t>
  </si>
  <si>
    <t>TOT DLRSHIP BAD DEBT EXPENSE</t>
  </si>
  <si>
    <t>57</t>
  </si>
  <si>
    <t>TOT DLRSHIP FREIGHT</t>
  </si>
  <si>
    <t>TOT DLRSHIP MISCELLANEOUS EXPENSE</t>
  </si>
  <si>
    <t>77</t>
  </si>
  <si>
    <t>TOT DLRSHIP TOTAL SEMI-FIXED</t>
  </si>
  <si>
    <t>SEMIFIXD</t>
  </si>
  <si>
    <t>TOT DLRSHIP RENT</t>
  </si>
  <si>
    <t>80</t>
  </si>
  <si>
    <t>TOT DLRSHIP AMORTIZATION-LEASEHNAMEPLATE 003</t>
  </si>
  <si>
    <t>81</t>
  </si>
  <si>
    <t>TOT DLRSHIP REPAIRS-REAL ESTATE</t>
  </si>
  <si>
    <t>82</t>
  </si>
  <si>
    <t>TOT DLRSHIP DEPRECIATION BLDGS. &amp; IMPROVEMENTS</t>
  </si>
  <si>
    <t>83</t>
  </si>
  <si>
    <t>TOT DLRSHIP TAXES-REAL ESTATE</t>
  </si>
  <si>
    <t>84</t>
  </si>
  <si>
    <t>TOT DLRSHIP INSURANCE BLDGS. &amp; IMPROVEMENTS</t>
  </si>
  <si>
    <t>85</t>
  </si>
  <si>
    <t>TOT DLRSHIP INTEREST - MORTGAGES</t>
  </si>
  <si>
    <t>86</t>
  </si>
  <si>
    <t>TOT DLRSHIP UTILITIES</t>
  </si>
  <si>
    <t>87</t>
  </si>
  <si>
    <t>TOT DLRSHIP SUB-TOTAL RENT &amp; RNT EQUIVALENT</t>
  </si>
  <si>
    <t>RENTEQUV</t>
  </si>
  <si>
    <t>TOT DLRSHIP INSURANCE OTHER</t>
  </si>
  <si>
    <t>88</t>
  </si>
  <si>
    <t>TOT DLRSHIP TAXES-OTHER</t>
  </si>
  <si>
    <t>89</t>
  </si>
  <si>
    <t>TOT DLRSHIP REPAIRS-EQUIPMENT</t>
  </si>
  <si>
    <t>90</t>
  </si>
  <si>
    <t>TOT DLRSHIP DEPRECIATION-EQUIPMENT</t>
  </si>
  <si>
    <t>91</t>
  </si>
  <si>
    <t>TOT DLRSHIP EQUIPMENT RENTAL</t>
  </si>
  <si>
    <t>92</t>
  </si>
  <si>
    <t>TOT DLRSHIP TOTAL FIXED</t>
  </si>
  <si>
    <t>FIXEDEXP</t>
  </si>
  <si>
    <t>TOT DLRSHIP TOTAL FIXED OVERHEAD</t>
  </si>
  <si>
    <t>FIXOVERH</t>
  </si>
  <si>
    <t>TOT DLRSHIP TOTAL EXPENSES     (INCL. PRO OF G&amp;A)</t>
  </si>
  <si>
    <t>TOTALEXP</t>
  </si>
  <si>
    <t>TOT DLRSHIP OPERATING PROFIT OR LOSS</t>
  </si>
  <si>
    <t>OPERPL</t>
  </si>
  <si>
    <t>TOT DLRSHIP NET ADDITIONS &amp; DEDUCTIONS</t>
  </si>
  <si>
    <t>ADDDED</t>
  </si>
  <si>
    <t>TOT DLRSHIP NET PROFIT OR LOSS BEFORE BONUS &amp; INC. TAX</t>
  </si>
  <si>
    <t>NPBBT</t>
  </si>
  <si>
    <t>TOT DLRSHIP BONUSES-EMPLOYEES</t>
  </si>
  <si>
    <t>97</t>
  </si>
  <si>
    <t>TOT DLRSHIP BONUSES-OWNERS</t>
  </si>
  <si>
    <t>98</t>
  </si>
  <si>
    <t>TOT DLRSHIP NET PROFIT OR LOSS BEFORE INCOME TAXES</t>
  </si>
  <si>
    <t>NPBT</t>
  </si>
  <si>
    <t>TOT DLRSHIP INCOME TAXES</t>
  </si>
  <si>
    <t>99</t>
  </si>
  <si>
    <t>TOT DLRSHIP NET PROFIT OR LOSS AFTER INCOME TAXES</t>
  </si>
  <si>
    <t>NPAT</t>
  </si>
  <si>
    <t>VAR OP NET SALES</t>
  </si>
  <si>
    <t>TOTALVAR</t>
  </si>
  <si>
    <t>VAR OP GROSS PROFIT/INCOME</t>
  </si>
  <si>
    <t>VAR OP VEH.  SLSPLE COMPENSATION &amp; OTHER</t>
  </si>
  <si>
    <t>11VAR</t>
  </si>
  <si>
    <t>VAR OP DELIVERY EXPENSE</t>
  </si>
  <si>
    <t>13VAR</t>
  </si>
  <si>
    <t>VAR OP POLICY WORK-VEHICLES</t>
  </si>
  <si>
    <t>15VAR</t>
  </si>
  <si>
    <t>VAR OP TOTAL VARIABLE</t>
  </si>
  <si>
    <t>VAREXVAR</t>
  </si>
  <si>
    <t>VAR OP SALARIES-OWNERS / EXECUTIVE MANAGERS</t>
  </si>
  <si>
    <t>20VAR</t>
  </si>
  <si>
    <t>VAR OP SALARIES-SUPERVISION</t>
  </si>
  <si>
    <t>21VAR</t>
  </si>
  <si>
    <t>VAR OP SALARIES-CLERICAL</t>
  </si>
  <si>
    <t>22VAR</t>
  </si>
  <si>
    <t>VAR OP OTHER SALARIES AND WAGES</t>
  </si>
  <si>
    <t>23VAR</t>
  </si>
  <si>
    <t>VAR OP ABSENTEE COMPENSATION</t>
  </si>
  <si>
    <t>24VAR</t>
  </si>
  <si>
    <t>VAR OP INCENTIVES-SUPERVISION</t>
  </si>
  <si>
    <t>26VAR</t>
  </si>
  <si>
    <t>VAR OP TAXES-PAYROLL</t>
  </si>
  <si>
    <t>25VAR</t>
  </si>
  <si>
    <t>VAR OP EMPLOYEE BENEFITS</t>
  </si>
  <si>
    <t>27VAR</t>
  </si>
  <si>
    <t>VAR OP RETIREMENT BENEFITS</t>
  </si>
  <si>
    <t>29VAR</t>
  </si>
  <si>
    <t>VAR OP TOTAL PERSONNEL</t>
  </si>
  <si>
    <t>PERSVAR</t>
  </si>
  <si>
    <t>VAR OP COMPANY VEHICLE EXPENSE</t>
  </si>
  <si>
    <t>51VAR</t>
  </si>
  <si>
    <t>VAR OP OFFICE SUPPLIES AND EXPENSES</t>
  </si>
  <si>
    <t>60VAR</t>
  </si>
  <si>
    <t>VAR OP OTHER SUPPLIES</t>
  </si>
  <si>
    <t>61VAR</t>
  </si>
  <si>
    <t>VAR OP E-COMMERCE ADVERTISING/FEES</t>
  </si>
  <si>
    <t>63VAR</t>
  </si>
  <si>
    <t>VAR OP ADVERTISING</t>
  </si>
  <si>
    <t>65VAR</t>
  </si>
  <si>
    <t>VAR OP ADVERTISING REBATES</t>
  </si>
  <si>
    <t>64VAR</t>
  </si>
  <si>
    <t>VAR OP CONTRIBUTIONS</t>
  </si>
  <si>
    <t>66VAR</t>
  </si>
  <si>
    <t>VAR OP INFORMATION TECHNOLOGY SERVICES</t>
  </si>
  <si>
    <t>68VAR</t>
  </si>
  <si>
    <t>VAR OP OUTSIDE SERVICES (OTHER)</t>
  </si>
  <si>
    <t>69VAR</t>
  </si>
  <si>
    <t>VAR OP TRAVEL AND ENTERTAINMENT</t>
  </si>
  <si>
    <t>70VAR</t>
  </si>
  <si>
    <t>VAR OP MEMBERSHIP DUES AND PUBLICATIONS</t>
  </si>
  <si>
    <t>71VAR</t>
  </si>
  <si>
    <t>VAR OP LEGAL AND AUDITING EXPENSE</t>
  </si>
  <si>
    <t>72VAR</t>
  </si>
  <si>
    <t>VAR OP TELEPHONE</t>
  </si>
  <si>
    <t>74VAR</t>
  </si>
  <si>
    <t>VAR OP TRAINING EXPENSE</t>
  </si>
  <si>
    <t>75VAR</t>
  </si>
  <si>
    <t>VAR OP INTEREST-FLOORPLAN</t>
  </si>
  <si>
    <t>76VAR</t>
  </si>
  <si>
    <t>VAR OP INTEREST-FLOORPLAN CREDIT</t>
  </si>
  <si>
    <t>78VAR</t>
  </si>
  <si>
    <t>VAR OP INTEREST-NOTES PAYABLE (OTHER)</t>
  </si>
  <si>
    <t>79VAR</t>
  </si>
  <si>
    <t>VAR OP INSURANCE - INVENTORY</t>
  </si>
  <si>
    <t>56VAR</t>
  </si>
  <si>
    <t>VAR OP BAD DEBT EXPENSE</t>
  </si>
  <si>
    <t>57VAR</t>
  </si>
  <si>
    <t>VAR OP FREIGHT</t>
  </si>
  <si>
    <t>33VAR</t>
  </si>
  <si>
    <t>VAR OP MISCELLANEOUS EXPENSE</t>
  </si>
  <si>
    <t>77VAR</t>
  </si>
  <si>
    <t>VAR OP TOTAL SEMI-FIXED</t>
  </si>
  <si>
    <t>SEMIFVAR</t>
  </si>
  <si>
    <t>VAR OP RENT</t>
  </si>
  <si>
    <t>80VAR</t>
  </si>
  <si>
    <t>VAR OP AMORTIZATION-LEASEHNAMEPLATE 003</t>
  </si>
  <si>
    <t>81VAR</t>
  </si>
  <si>
    <t>VAR OP REPAIRS-REAL ESTATE</t>
  </si>
  <si>
    <t>82VAR</t>
  </si>
  <si>
    <t>VAR OP DEPRECIATION BLDGS. &amp; IMPROVEMENTS</t>
  </si>
  <si>
    <t>83VAR</t>
  </si>
  <si>
    <t>VAR OP TAXES-REAL ESTATE</t>
  </si>
  <si>
    <t>84VAR</t>
  </si>
  <si>
    <t>VAR OP INSURANCE BLDGS. &amp; IMPROVEMENTS</t>
  </si>
  <si>
    <t>85VAR</t>
  </si>
  <si>
    <t>VAR OP INTEREST - MORTGAGES</t>
  </si>
  <si>
    <t>86VAR</t>
  </si>
  <si>
    <t>VAR OP UTILITIES</t>
  </si>
  <si>
    <t>87VAR</t>
  </si>
  <si>
    <t>VAR OP SUB-TOTAL RENT &amp; RNT EQUIVALENT</t>
  </si>
  <si>
    <t>RENTVAR</t>
  </si>
  <si>
    <t>VAR OP INSURANCE OTHER</t>
  </si>
  <si>
    <t>88VAR</t>
  </si>
  <si>
    <t>VAR OP TAXES-OTHER</t>
  </si>
  <si>
    <t>89VAR</t>
  </si>
  <si>
    <t>VAR OP REPAIRS-EQUIPMENT</t>
  </si>
  <si>
    <t>90VAR</t>
  </si>
  <si>
    <t>VAR OP DEPRECIATION-EQUIPMENT</t>
  </si>
  <si>
    <t>91VAR</t>
  </si>
  <si>
    <t>VAR OP EQUIPMENT RENTAL</t>
  </si>
  <si>
    <t>92VAR</t>
  </si>
  <si>
    <t>VAR OP TOTAL FIXED</t>
  </si>
  <si>
    <t>FIXEDVAR</t>
  </si>
  <si>
    <t>VAR OP TOTAL FIXED OVERHEAD</t>
  </si>
  <si>
    <t>FIXOVVAR</t>
  </si>
  <si>
    <t>VAR OP TOTAL EXPENSES     (INCL. PRO OF G&amp;A)</t>
  </si>
  <si>
    <t>TOTEXVAR</t>
  </si>
  <si>
    <t>VAR OP OPERATING PROFIT OR LOSS</t>
  </si>
  <si>
    <t>OPRPLVAR</t>
  </si>
  <si>
    <t>FXD OP NET SALES</t>
  </si>
  <si>
    <t>TOTALFIX</t>
  </si>
  <si>
    <t>FXD OP GROSS PROFIT/INCOME</t>
  </si>
  <si>
    <t>FXD OP SALARIES-OWNERS / EXECUTIVE MANAGERS</t>
  </si>
  <si>
    <t>20FIX</t>
  </si>
  <si>
    <t>FXD OP SALARIES-SUPERVISION</t>
  </si>
  <si>
    <t>21FIX</t>
  </si>
  <si>
    <t>FXD OP SALARIES-CLERICAL</t>
  </si>
  <si>
    <t>22FIX</t>
  </si>
  <si>
    <t>FXD OP OTHER SALARIES AND WAGES</t>
  </si>
  <si>
    <t>23FIX</t>
  </si>
  <si>
    <t>FXD OP ABSENTEE COMPENSATION</t>
  </si>
  <si>
    <t>24FIX</t>
  </si>
  <si>
    <t>FXD OP INCENTIVES-SUPERVISION</t>
  </si>
  <si>
    <t>26FIX</t>
  </si>
  <si>
    <t>FXD OP TAXES-PAYROLL</t>
  </si>
  <si>
    <t>25FIX</t>
  </si>
  <si>
    <t>FXD OP EMPLOYEE BENEFITS</t>
  </si>
  <si>
    <t>27FIX</t>
  </si>
  <si>
    <t>FXD OP RETIREMENT BENEFITS</t>
  </si>
  <si>
    <t>29FIX</t>
  </si>
  <si>
    <t>FXD OP TOTAL PERSONNEL</t>
  </si>
  <si>
    <t>PERSFIX</t>
  </si>
  <si>
    <t>FXD OP COMPANY VEHICLE EXPENSE</t>
  </si>
  <si>
    <t>51FIX</t>
  </si>
  <si>
    <t>FXD OP OFFICE SUPPLIES AND EXPENSES</t>
  </si>
  <si>
    <t>60FIX</t>
  </si>
  <si>
    <t>FXD OP OTHER SUPPLIES</t>
  </si>
  <si>
    <t>61FIX</t>
  </si>
  <si>
    <t>FXD OP E-COMMERCE ADVERTISING/FEES</t>
  </si>
  <si>
    <t>63FIX</t>
  </si>
  <si>
    <t>FXD OP ADVERTISING</t>
  </si>
  <si>
    <t>65FIX</t>
  </si>
  <si>
    <t>FXD OP ADVERTISING REBATES</t>
  </si>
  <si>
    <t>64FIX</t>
  </si>
  <si>
    <t>FXD OP CONTRIBUTIONS</t>
  </si>
  <si>
    <t>66FIX</t>
  </si>
  <si>
    <t>FXD OP POLICY WORK-PARTS AND SERVICE</t>
  </si>
  <si>
    <t>67FIX</t>
  </si>
  <si>
    <t>FXD OP INFORMATION TECHNOLOGY SERVICES</t>
  </si>
  <si>
    <t>68FIX</t>
  </si>
  <si>
    <t>FXD OP OUTSIDE SERVICES (OTHER)</t>
  </si>
  <si>
    <t>69FIX</t>
  </si>
  <si>
    <t>FXD OP TRAVEL AND ENTERTAINMENT</t>
  </si>
  <si>
    <t>70FIX</t>
  </si>
  <si>
    <t>FXD OP MEMBERSHIP DUES AND PUBLICATIONS</t>
  </si>
  <si>
    <t>71FIX</t>
  </si>
  <si>
    <t>FXD OP LEGAL AND AUDITING EXPENSE</t>
  </si>
  <si>
    <t>72FIX</t>
  </si>
  <si>
    <t>FXD OP TELEPHONE</t>
  </si>
  <si>
    <t>74FIX</t>
  </si>
  <si>
    <t>FXD OP TRAINING EXPENSE</t>
  </si>
  <si>
    <t>75FIX</t>
  </si>
  <si>
    <t>FXD OP INTEREST-NOTES PAYABLE (OTHER)</t>
  </si>
  <si>
    <t>79FIX</t>
  </si>
  <si>
    <t>FXD OP BAD DEBT EXPENSE</t>
  </si>
  <si>
    <t>57FIX</t>
  </si>
  <si>
    <t>FXD OP FREIGHT</t>
  </si>
  <si>
    <t>33FIX</t>
  </si>
  <si>
    <t>FXD OP MISCELLANEOUS EXPENSE</t>
  </si>
  <si>
    <t>77FIX</t>
  </si>
  <si>
    <t>FXD OP TOTAL SEMI-FIXED</t>
  </si>
  <si>
    <t>SEMIFFIX</t>
  </si>
  <si>
    <t>FXD OP RENT</t>
  </si>
  <si>
    <t>80FIX</t>
  </si>
  <si>
    <t>FXD OP AMORTIZATION-LEASEHNAMEPLATE 003</t>
  </si>
  <si>
    <t>81FIX</t>
  </si>
  <si>
    <t>FXD OP REPAIRS-REAL ESTATE</t>
  </si>
  <si>
    <t>82FIX</t>
  </si>
  <si>
    <t>FXD OP DEPRECIATION BLDGS. &amp; IMPROVEMENTS</t>
  </si>
  <si>
    <t>83FIX</t>
  </si>
  <si>
    <t>FXD OP TAXES-REAL ESTATE</t>
  </si>
  <si>
    <t>84FIX</t>
  </si>
  <si>
    <t>FXD OP INSURANCE BLDGS. &amp; IMPROVEMENTS</t>
  </si>
  <si>
    <t>85FIX</t>
  </si>
  <si>
    <t>FXD OP INTEREST - MORTGAGES</t>
  </si>
  <si>
    <t>86FIX</t>
  </si>
  <si>
    <t>FXD OP UTILITIES</t>
  </si>
  <si>
    <t>87FIX</t>
  </si>
  <si>
    <t>FXD OP SUB-TOTAL RENT &amp; RNT EQUIVALENT</t>
  </si>
  <si>
    <t>RENTFIX</t>
  </si>
  <si>
    <t>FXD OP INSURANCE OTHER</t>
  </si>
  <si>
    <t>88FIX</t>
  </si>
  <si>
    <t>FXD OP TAXES-OTHER</t>
  </si>
  <si>
    <t>89FIX</t>
  </si>
  <si>
    <t>FXD OP REPAIRS-EQUIPMENT</t>
  </si>
  <si>
    <t>90FIX</t>
  </si>
  <si>
    <t>FXD OP DEPRECIATION-EQUIPMENT</t>
  </si>
  <si>
    <t>91FIX</t>
  </si>
  <si>
    <t>FXD OP EQUIPMENT RENTAL</t>
  </si>
  <si>
    <t>92FIX</t>
  </si>
  <si>
    <t>FXD OP TOTAL FIXED</t>
  </si>
  <si>
    <t>FIXEDFIX</t>
  </si>
  <si>
    <t>FXD OP TOTAL FIXED OVERHEAD</t>
  </si>
  <si>
    <t>FIXOVFIX</t>
  </si>
  <si>
    <t>FXD OP TOTAL EXPENSES     (INCL. PRO OF G&amp;A)</t>
  </si>
  <si>
    <t>TOTEXFIX</t>
  </si>
  <si>
    <t>FXD OP OPERATING PROFIT OR LOSS</t>
  </si>
  <si>
    <t>OPRPLFIX</t>
  </si>
  <si>
    <t>NEW VEH NET SALES</t>
  </si>
  <si>
    <t>NEW VEH GROSS PROFIT/INCOME</t>
  </si>
  <si>
    <t>NEW VEH VEH.  SLSPLE COMPENSATION &amp; OTHER</t>
  </si>
  <si>
    <t>NEW VEH DELIVERY EXPENSE</t>
  </si>
  <si>
    <t>NEW VEH POLICY WORK-VEHICLES</t>
  </si>
  <si>
    <t>NEW VEH TOTAL VARIABLE</t>
  </si>
  <si>
    <t>NEW VEH SALARIES-OWNERS / EXECUTIVE MANAGERS</t>
  </si>
  <si>
    <t>NEW VEH SALARIES-SUPERVISION</t>
  </si>
  <si>
    <t>NEW VEH SALARIES-CLERICAL</t>
  </si>
  <si>
    <t>NEW VEH OTHER SALARIES AND WAGES</t>
  </si>
  <si>
    <t>NEW VEH ABSENTEE COMPENSATION</t>
  </si>
  <si>
    <t>NEW VEH INCENTIVES-SUPERVISION</t>
  </si>
  <si>
    <t>NEW VEH TAXES-PAYROLL</t>
  </si>
  <si>
    <t>NEW VEH EMPLOYEE BENEFITS</t>
  </si>
  <si>
    <t>NEW VEH RETIREMENT BENEFITS</t>
  </si>
  <si>
    <t>NEW VEH TOTAL PERSONNEL</t>
  </si>
  <si>
    <t>NEW VEH COMPANY VEHICLE EXPENSE</t>
  </si>
  <si>
    <t>NEW VEH OFFICE SUPPLIES AND EXPENSES</t>
  </si>
  <si>
    <t>NEW VEH OTHER SUPPLIES</t>
  </si>
  <si>
    <t>NEW VEH E-COMMERCE ADVERTISING/FEES</t>
  </si>
  <si>
    <t>NEW VEH ADVERTISING</t>
  </si>
  <si>
    <t>NEW VEH ADVERTISING REBATES</t>
  </si>
  <si>
    <t>NEW VEH CONTRIBUTIONS</t>
  </si>
  <si>
    <t>NEW VEH INFORMATION TECHNOLOGY SERVICES</t>
  </si>
  <si>
    <t>NEW VEH OUTSIDE SERVICES (OTHER)</t>
  </si>
  <si>
    <t>NEW VEH TRAVEL AND ENTERTAINMENT</t>
  </si>
  <si>
    <t>NEW VEH MEMBERSHIP DUES AND PUBLICATIONS</t>
  </si>
  <si>
    <t>NEW VEH LEGAL AND AUDITING EXPENSE</t>
  </si>
  <si>
    <t>NEW VEH TELEPHONE</t>
  </si>
  <si>
    <t>NEW VEH TRAINING EXPENSE</t>
  </si>
  <si>
    <t>NEW VEH INTEREST-FLOORPLAN</t>
  </si>
  <si>
    <t>NEW VEH INTEREST-FLOORPLAN CREDIT</t>
  </si>
  <si>
    <t>NEW VEH INTEREST-NOTES PAYABLE (OTHER)</t>
  </si>
  <si>
    <t>NEW VEH INSURANCE - INVENTORY</t>
  </si>
  <si>
    <t>NEW VEH BAD DEBT EXPENSE</t>
  </si>
  <si>
    <t>NEW VEH FREIGHT</t>
  </si>
  <si>
    <t>NEW VEH MISCELLANEOUS EXPENSE</t>
  </si>
  <si>
    <t>NEW VEH TOTAL SEMI-FIXED</t>
  </si>
  <si>
    <t>NEW VEH RENT</t>
  </si>
  <si>
    <t>NEW VEH AMORTIZATION-LEASEHNAMEPLATE 003</t>
  </si>
  <si>
    <t>NEW VEH REPAIRS-REAL ESTATE</t>
  </si>
  <si>
    <t>NEW VEH DEPRECIATION BLDGS. &amp; IMPROVEMENTS</t>
  </si>
  <si>
    <t>NEW VEH TAXES-REAL ESTATE</t>
  </si>
  <si>
    <t>NEW VEH INSURANCE BLDGS. &amp; IMPROVEMENTS</t>
  </si>
  <si>
    <t>NEW VEH INTEREST - MORTGAGES</t>
  </si>
  <si>
    <t>NEW VEH UTILITIES</t>
  </si>
  <si>
    <t>NEW VEH SUB-TOTAL RENT &amp; RNT EQUIVALENT</t>
  </si>
  <si>
    <t>NEW VEH INSURANCE OTHER</t>
  </si>
  <si>
    <t>NEW VEH TAXES-OTHER</t>
  </si>
  <si>
    <t>NEW VEH REPAIRS-EQUIPMENT</t>
  </si>
  <si>
    <t>NEW VEH DEPRECIATION-EQUIPMENT</t>
  </si>
  <si>
    <t>NEW VEH EQUIPMENT RENTAL</t>
  </si>
  <si>
    <t>NEW VEH TOTAL FIXED</t>
  </si>
  <si>
    <t>NEW VEH TOTAL FIXED OVERHEAD</t>
  </si>
  <si>
    <t xml:space="preserve">NEW VEH TOTAL EXPENSES </t>
  </si>
  <si>
    <t>NEW VEH DEPARTMENT PROFIT OR LOSS</t>
  </si>
  <si>
    <t>P&amp;LDEPT</t>
  </si>
  <si>
    <t>NEW VEH FI &amp; PROT. PLN INCOME TRANSFER</t>
  </si>
  <si>
    <t>FIPPINCM</t>
  </si>
  <si>
    <t>TRANSFER</t>
  </si>
  <si>
    <t>NEW VEH PRORATION OF G&amp;A</t>
  </si>
  <si>
    <t>G&amp;APRO</t>
  </si>
  <si>
    <t>NEW VEH 'DEPT PROFIT OR LOSS AFTER TRSF &amp; PRORAT</t>
  </si>
  <si>
    <t>AFTERPRO</t>
  </si>
  <si>
    <t>USED VEH NET SALES</t>
  </si>
  <si>
    <t>USED VEH GROSS PROFIT/INCOME</t>
  </si>
  <si>
    <t>USED VEH VEH.  SLSPLE COMPENSATION &amp; OTHER</t>
  </si>
  <si>
    <t>USED VEH DELIVERY EXPENSE</t>
  </si>
  <si>
    <t>USED VEH POLICY WORK-VEHICLES</t>
  </si>
  <si>
    <t>USED VEH TOTAL VARIABLE</t>
  </si>
  <si>
    <t>USED VEH SALARIES-OWNERS / EXECUTIVE MANAGERS</t>
  </si>
  <si>
    <t>USED VEH SALARIES-SUPERVISION</t>
  </si>
  <si>
    <t>USED VEH SALARIES-CLERICAL</t>
  </si>
  <si>
    <t>USED VEH OTHER SALARIES AND WAGES</t>
  </si>
  <si>
    <t>USED VEH ABSENTEE COMPENSATION</t>
  </si>
  <si>
    <t>USED VEH INCENTIVES-SUPERVISION</t>
  </si>
  <si>
    <t>USED VEH TAXES-PAYROLL</t>
  </si>
  <si>
    <t>USED VEH EMPLOYEE BENEFITS</t>
  </si>
  <si>
    <t>USED VEH RETIREMENT BENEFITS</t>
  </si>
  <si>
    <t>USED VEH TOTAL PERSONNEL</t>
  </si>
  <si>
    <t>USED VEH COMPANY VEHICLE EXPENSE</t>
  </si>
  <si>
    <t>USED VEH OFFICE SUPPLIES AND EXPENSES</t>
  </si>
  <si>
    <t>USED VEH OTHER SUPPLIES</t>
  </si>
  <si>
    <t>USED VEH E-COMMERCE ADVERTISING/FEES</t>
  </si>
  <si>
    <t>USED VEH ADVERTISING</t>
  </si>
  <si>
    <t>USED VEH ADVERTISING REBATES</t>
  </si>
  <si>
    <t>USED VEH CONTRIBUTIONS</t>
  </si>
  <si>
    <t>USED VEH INFORMATION TECHNOLOGY SERVICES</t>
  </si>
  <si>
    <t>USED VEH OUTSIDE SERVICES (OTHER)</t>
  </si>
  <si>
    <t>USED VEH TRAVEL AND ENTERTAINMENT</t>
  </si>
  <si>
    <t>USED VEH MEMBERSHIP DUES AND PUBLICATIONS</t>
  </si>
  <si>
    <t>USED VEH LEGAL AND AUDITING EXPENSE</t>
  </si>
  <si>
    <t>USED VEH TELEPHONE</t>
  </si>
  <si>
    <t>USED VEH TRAINING EXPENSE</t>
  </si>
  <si>
    <t>USED VEH INTEREST-FLOORPLAN</t>
  </si>
  <si>
    <t>USED VEH INTEREST-FLOORPLAN CREDIT</t>
  </si>
  <si>
    <t>USED VEH INTEREST-NOTES PAYABLE (OTHER)</t>
  </si>
  <si>
    <t>USED VEH INSURANCE - INVENTORY</t>
  </si>
  <si>
    <t>USED VEH BAD DEBT EXPENSE</t>
  </si>
  <si>
    <t>USED VEH FREIGHT</t>
  </si>
  <si>
    <t>USED VEH MISCELLANEOUS EXPENSE</t>
  </si>
  <si>
    <t>USED VEH TOTAL SEMI-FIXED</t>
  </si>
  <si>
    <t>USED VEH RENT</t>
  </si>
  <si>
    <t>USED VEH AMORTIZATION-LEASEHNAMEPLATE 003</t>
  </si>
  <si>
    <t>USED VEH REPAIRS-REAL ESTATE</t>
  </si>
  <si>
    <t>USED VEH DEPRECIATION BLDGS. &amp; IMPROVEMENTS</t>
  </si>
  <si>
    <t>USED VEH TAXES-REAL ESTATE</t>
  </si>
  <si>
    <t>USED VEH INSURANCE BLDGS. &amp; IMPROVEMENTS</t>
  </si>
  <si>
    <t>USED VEH INTEREST - MORTGAGES</t>
  </si>
  <si>
    <t>USED VEH UTILITIES</t>
  </si>
  <si>
    <t>USED VEH SUB-CLOSED END RENT &amp; RNT EQUIVALENT</t>
  </si>
  <si>
    <t>USED VEH INSURANCE OTHER</t>
  </si>
  <si>
    <t>USED VEH TAXES-OTHER</t>
  </si>
  <si>
    <t>USED VEH REPAIRS-EQUIPMENT</t>
  </si>
  <si>
    <t>USED VEH DEPRECIATION-EQUIPMENT</t>
  </si>
  <si>
    <t>USED VEH EQUIPMENT RENTAL</t>
  </si>
  <si>
    <t>USED VEH TOTAL FIXED</t>
  </si>
  <si>
    <t>USED VEH TOTAL FIXED OVERHEAD</t>
  </si>
  <si>
    <t xml:space="preserve">USED VEH TOTAL EXPENSES </t>
  </si>
  <si>
    <t>USED VEH DEPARTMENT PROFIT OR LOSS</t>
  </si>
  <si>
    <t>USED VEH FI &amp; PROT. PLN INCOME TRANSFER</t>
  </si>
  <si>
    <t>USED VEH PRORATION OF G&amp;A</t>
  </si>
  <si>
    <t>USED VEH 'DEPT PROFIT OR LOSS AFTER TRSF &amp; PRORAT</t>
  </si>
  <si>
    <t>L&amp;R DEPT NET SALES</t>
  </si>
  <si>
    <t>L&amp;R DEPT GROSS PROFIT/INCOME (P.3)</t>
  </si>
  <si>
    <t>GPINTOTL</t>
  </si>
  <si>
    <t>L&amp;R DEPT VEH.  SLSPLE COMPENSATION &amp; OTHER</t>
  </si>
  <si>
    <t>L&amp;R DEPT DELIVERY EXPENSE</t>
  </si>
  <si>
    <t>L&amp;R DEPT POLICY WORK-VEHICLES</t>
  </si>
  <si>
    <t>L&amp;R DEPT TOTAL VARIABLE</t>
  </si>
  <si>
    <t>L&amp;R DEPT SALARIES-OWNERS / EXECUTIVE MANAGERS</t>
  </si>
  <si>
    <t>L&amp;R DEPT SALARIES-SUPERVISION</t>
  </si>
  <si>
    <t>L&amp;R DEPT SALARIES-CLERICAL</t>
  </si>
  <si>
    <t>L&amp;R DEPT OTHER SALARIES AND WAGES</t>
  </si>
  <si>
    <t>L&amp;R DEPT ABSENTEE COMPENSATION</t>
  </si>
  <si>
    <t>L&amp;R DEPT INCENTIVES-SUPERVISION</t>
  </si>
  <si>
    <t>26</t>
  </si>
  <si>
    <t>L&amp;R DEPT TAXES-PAYROLL</t>
  </si>
  <si>
    <t>L&amp;R DEPT EMPLOYEE BENEFITS</t>
  </si>
  <si>
    <t>L&amp;R DEPT RETIREMENT BENEFITS</t>
  </si>
  <si>
    <t>L&amp;R DEPT TOTAL PERSONNEL</t>
  </si>
  <si>
    <t>L&amp;R DEPT COMPANY VEHICLE EXPENSE</t>
  </si>
  <si>
    <t>L&amp;R DEPT OFFICE SUPPLIES AND EXPENSES</t>
  </si>
  <si>
    <t>L&amp;R DEPT OTHER SUPPLIES</t>
  </si>
  <si>
    <t>L&amp;R DEPT E-COMMERCE ADVERTISING/FEES</t>
  </si>
  <si>
    <t>63</t>
  </si>
  <si>
    <t>L&amp;R DEPT ADVERTISING</t>
  </si>
  <si>
    <t>L&amp;R DEPT ADVERTISING REBATES</t>
  </si>
  <si>
    <t>64</t>
  </si>
  <si>
    <t>L&amp;R DEPT CONTRIBUTIONS</t>
  </si>
  <si>
    <t>L&amp;R DEPT INFORMATION TECHNOLOGY SERVICES</t>
  </si>
  <si>
    <t>L&amp;R DEPT OUTSIDE SERVICES (OTHER)</t>
  </si>
  <si>
    <t>L&amp;R DEPT TRAVEL AND ENTERTAINMENT</t>
  </si>
  <si>
    <t>L&amp;R DEPT MEMBERSHIP DUES AND PUBLICATIONS</t>
  </si>
  <si>
    <t>L&amp;R DEPT LEGAL AND AUDITING EXPENSE</t>
  </si>
  <si>
    <t>L&amp;R DEPT TELEPHONE</t>
  </si>
  <si>
    <t>L&amp;R DEPT TRAINING EXPENSE</t>
  </si>
  <si>
    <t>L&amp;R DEPT INTEREST-FLOORPLAN</t>
  </si>
  <si>
    <t>L&amp;R DEPT INTEREST-FLOORPLAN CREDIT</t>
  </si>
  <si>
    <t>L&amp;R DEPT INTEREST-NOTES PAYABLE (OTHER)</t>
  </si>
  <si>
    <t>79</t>
  </si>
  <si>
    <t>L&amp;R DEPT INSURANCE - INVENTORY</t>
  </si>
  <si>
    <t>56</t>
  </si>
  <si>
    <t>L&amp;R DEPT BAD DEBT EXPENSE</t>
  </si>
  <si>
    <t>L&amp;R DEPT FREIGHT</t>
  </si>
  <si>
    <t>33</t>
  </si>
  <si>
    <t>L&amp;R DEPT MISCELLANEOUS EXPENSE</t>
  </si>
  <si>
    <t>L&amp;R DEPT TOTAL SEMI-FIXED</t>
  </si>
  <si>
    <t>L&amp;R DEPT RENT</t>
  </si>
  <si>
    <t>L&amp;R DEPT AMORTIZATION-LEASEHNAMEPLATE 003</t>
  </si>
  <si>
    <t>L&amp;R DEPT REPAIRS-REAL ESTATE</t>
  </si>
  <si>
    <t>L&amp;R DEPT DEPRECIATION BLDGS. &amp; IMPROVEMENTS</t>
  </si>
  <si>
    <t>L&amp;R DEPT TAXES-REAL ESTATE</t>
  </si>
  <si>
    <t>L&amp;R DEPT INSURANCE BLDGS. &amp; IMPROVEMENTS</t>
  </si>
  <si>
    <t>L&amp;R DEPT INTEREST - MORTGAGES</t>
  </si>
  <si>
    <t>L&amp;R DEPT UTILITIES</t>
  </si>
  <si>
    <t>L&amp;R DEPT SUB-TOTAL RENT &amp; RNT EQUIVALENT</t>
  </si>
  <si>
    <t>L&amp;R DEPT INSURANCE OTHER</t>
  </si>
  <si>
    <t>L&amp;R DEPT TAXES-OTHER</t>
  </si>
  <si>
    <t>L&amp;R DEPT REPAIRS-EQUIPMENT</t>
  </si>
  <si>
    <t>L&amp;R DEPT DEPRECIATION-EQUIPMENT</t>
  </si>
  <si>
    <t>L&amp;R DEPT EQUIPMENT RENTAL</t>
  </si>
  <si>
    <t>L&amp;R DEPT TOTAL FIXED</t>
  </si>
  <si>
    <t>L&amp;R DEPT TOTAL FIXED OVERHEAD</t>
  </si>
  <si>
    <t xml:space="preserve">L&amp;R DEPT TOTAL EXPENSES </t>
  </si>
  <si>
    <t>L&amp;R DEPT DEPARTMENT PROFIT OR LOSS</t>
  </si>
  <si>
    <t>L&amp;R DEPT FI &amp; PROT. PLN INCOME TRANSFER</t>
  </si>
  <si>
    <t>L&amp;R DEPT PRORATION OF G&amp;A</t>
  </si>
  <si>
    <t>L&amp;R DEPT 'DEPT PROFIT OR LOSS AFTER TRSF &amp; PRORAT</t>
  </si>
  <si>
    <t>F&amp;I NET INCOME</t>
  </si>
  <si>
    <t>FIPPNET</t>
  </si>
  <si>
    <t>F&amp;I GROSS PROFIT/INCOME</t>
  </si>
  <si>
    <t>FIPPGRS</t>
  </si>
  <si>
    <t>FI &amp; PROT. PLN INCOME TRANSFER</t>
  </si>
  <si>
    <t>SERV DEPT NET SALES</t>
  </si>
  <si>
    <t>MECHTOTL</t>
  </si>
  <si>
    <t>SERV DEPT GROSS PROFIT/INCOME</t>
  </si>
  <si>
    <t>SERV DEPT SALARIES-OWNERS / EXECUTIVE MANAGERS</t>
  </si>
  <si>
    <t>SERV DEPT SALARIES-SUPERVISION</t>
  </si>
  <si>
    <t>SERV DEPT SALARIES-CLERICAL</t>
  </si>
  <si>
    <t>SERV DEPT OTHER SALARIES AND WAGES</t>
  </si>
  <si>
    <t>SERV DEPT ABSENTEE COMPENSATION</t>
  </si>
  <si>
    <t>SERV DEPT INCENTIVES-SUPERVISION</t>
  </si>
  <si>
    <t>SERV DEPT TAXES-PAYROLL</t>
  </si>
  <si>
    <t>SERV DEPT EMPLOYEE BENEFITS</t>
  </si>
  <si>
    <t>SERV DEPT RETIREMENT BENEFITS</t>
  </si>
  <si>
    <t>SERV DEPT TOTAL PERSONNEL</t>
  </si>
  <si>
    <t>SERV DEPT COMPANY VEHICLE EXPENSE</t>
  </si>
  <si>
    <t>SERV DEPT OFFICE SUPPLIES AND EXPENSES</t>
  </si>
  <si>
    <t>SERV DEPT OTHER SUPPLIES</t>
  </si>
  <si>
    <t>SERV DEPT E-COMMERCE ADVERTISING/FEES</t>
  </si>
  <si>
    <t>SERV DEPT ADVERTISING</t>
  </si>
  <si>
    <t>SERV DEPT ADVERTISING REBATES</t>
  </si>
  <si>
    <t>SERV DEPT CONTRIBUTIONS</t>
  </si>
  <si>
    <t>SERV DEPT POLICY WORK-PARTS AND SERVICE</t>
  </si>
  <si>
    <t>SERV DEPT INFORMATION TECHNOLOGY SERVICES</t>
  </si>
  <si>
    <t>SERV DEPT OUTSIDE SERVICES (OTHER)</t>
  </si>
  <si>
    <t>SERV DEPT TRAVEL AND ENTERTAINMENT</t>
  </si>
  <si>
    <t>SERV DEPT MEMBERSHIP DUES AND PUBLICATIONS</t>
  </si>
  <si>
    <t>SERV DEPT LEGAL AND AUDITING EXPENSE</t>
  </si>
  <si>
    <t>SERV DEPT TELEPHONE</t>
  </si>
  <si>
    <t>SERV DEPT TRAINING EXPENSE</t>
  </si>
  <si>
    <t>SERV DEPT INTEREST-NOTES PAYABLE (OTHER)</t>
  </si>
  <si>
    <t>SERV DEPT BAD DEBT EXPENSE</t>
  </si>
  <si>
    <t>SERV DEPT FREIGHT</t>
  </si>
  <si>
    <t>SERV DEPT MISCELLANEOUS EXPENSE</t>
  </si>
  <si>
    <t>SERV DEPT TOTAL SEMI-FIXED</t>
  </si>
  <si>
    <t>SERV DEPT RENT</t>
  </si>
  <si>
    <t>SERV DEPT AMORTIZATION-LEASEHNAMEPLATE 003</t>
  </si>
  <si>
    <t>SERV DEPT REPAIRS-REAL ESTATE</t>
  </si>
  <si>
    <t>SERV DEPT DEPRECIATION BLDGS. &amp; IMPROVEMENTS</t>
  </si>
  <si>
    <t>SERV DEPT TAXES-REAL ESTATE</t>
  </si>
  <si>
    <t>SERV DEPT INSURANCE BLDGS. &amp; IMPROVEMENTS</t>
  </si>
  <si>
    <t>SERV DEPT INTEREST - MORTGAGES</t>
  </si>
  <si>
    <t>SERV DEPT UTILITIES</t>
  </si>
  <si>
    <t>SERV DEPT SUB-TOTAL RENT &amp; RNT EQUIVALENT</t>
  </si>
  <si>
    <t>SERV DEPT INSURANCE OTHER</t>
  </si>
  <si>
    <t>SERV DEPT TAXES-OTHER</t>
  </si>
  <si>
    <t>SERV DEPT REPAIRS-EQUIPMENT</t>
  </si>
  <si>
    <t>SERV DEPT DEPRECIATION-EQUIPMENT</t>
  </si>
  <si>
    <t>SERV DEPT EQUIPMENT RENTAL</t>
  </si>
  <si>
    <t>SERV DEPT TOTAL FIXED</t>
  </si>
  <si>
    <t>SERV DEPT TOTAL FIXED OVERHEAD</t>
  </si>
  <si>
    <t xml:space="preserve">SERV DEPT TOTAL EXPENSES </t>
  </si>
  <si>
    <t>SERV DEPT DEPARTMENT PROFIT OR LOSS</t>
  </si>
  <si>
    <r>
      <t xml:space="preserve">SERV DEPT </t>
    </r>
    <r>
      <rPr>
        <b/>
        <sz val="8"/>
        <color indexed="17"/>
        <rFont val="Arial"/>
        <family val="2"/>
      </rPr>
      <t>CUSTOMER PARTS</t>
    </r>
    <r>
      <rPr>
        <sz val="8"/>
        <color indexed="17"/>
        <rFont val="Arial"/>
        <family val="2"/>
      </rPr>
      <t xml:space="preserve"> TRANSFER</t>
    </r>
  </si>
  <si>
    <t>P&amp;A INCM</t>
  </si>
  <si>
    <t>SERV DEPT PRORATION OF G&amp;A</t>
  </si>
  <si>
    <t>SERV DEPT 'DEPT PROFIT OR LOSS AFTER TRSF &amp; PRORAT</t>
  </si>
  <si>
    <t>BODY DEPT NET SALES</t>
  </si>
  <si>
    <t>BODYTOTL</t>
  </si>
  <si>
    <t>BODY DEPT GROSS PROFIT/INCOME</t>
  </si>
  <si>
    <t>BODY DEPT SALARIES-OWNERS / EXECUTIVE MANAGERS</t>
  </si>
  <si>
    <t>BODY DEPT SALARIES-SUPERVISION</t>
  </si>
  <si>
    <t>BODY DEPT SALARIES-CLERICAL</t>
  </si>
  <si>
    <t>BODY DEPT OTHER SALARIES AND WAGES</t>
  </si>
  <si>
    <t>BODY DEPT ABSENTEE COMPENSATION</t>
  </si>
  <si>
    <t>BODY DEPT INCENTIVES-SUPERVISION</t>
  </si>
  <si>
    <t>BODY DEPT TAXES-PAYROLL</t>
  </si>
  <si>
    <t>BODY DEPT EMPLOYEE BENEFITS</t>
  </si>
  <si>
    <t>BODY DEPT RETIREMENT BENEFITS</t>
  </si>
  <si>
    <t>BODY DEPT TOTAL PERSONNEL</t>
  </si>
  <si>
    <t>BODY DEPT COMPANY VEHICLE EXPENSE</t>
  </si>
  <si>
    <t>BODY DEPT OFFICE SUPPLIES AND EXPENSES</t>
  </si>
  <si>
    <t>BODY DEPT OTHER SUPPLIES</t>
  </si>
  <si>
    <t>BODY DEPT E-COMMERCE ADVERTISING/FEES</t>
  </si>
  <si>
    <t>BODY DEPT ADVERTISING</t>
  </si>
  <si>
    <t>BODY DEPT ADVERTISING REBATES</t>
  </si>
  <si>
    <t>BODY DEPT CONTRIBUTIONS</t>
  </si>
  <si>
    <t>BODY DEPT POLICY WORK-PARTS AND BODYICE</t>
  </si>
  <si>
    <t>BODY DEPT INFORMATION TECHNOLOGY BODYICES</t>
  </si>
  <si>
    <t>BODY DEPT OUTSIDE BODYICES (OTHER)</t>
  </si>
  <si>
    <t>BODY DEPT TRAVEL AND ENTERTAINMENT</t>
  </si>
  <si>
    <t>BODY DEPT MEMBERSHIP DUES AND PUBLICATIONS</t>
  </si>
  <si>
    <t>BODY DEPT LEGAL AND AUDITING EXPENSE</t>
  </si>
  <si>
    <t>BODY DEPT TELEPHONE</t>
  </si>
  <si>
    <t>BODY DEPT TRAINING EXPENSE</t>
  </si>
  <si>
    <t>BODY DEPT BAD DEBT EXPENSE</t>
  </si>
  <si>
    <t>BODY DEPT FREIGHT</t>
  </si>
  <si>
    <t>BODY DEPT MISCELLANEOUS EXPENSE</t>
  </si>
  <si>
    <t>BODY DEPT TOTAL SEMI-FIXED</t>
  </si>
  <si>
    <t>BODY DEPT RENT</t>
  </si>
  <si>
    <t>BODY DEPT AMORTIZATION-LEASEHNAMEPLATE 003</t>
  </si>
  <si>
    <t>BODY DEPT REPAIRS-REAL ESTATE</t>
  </si>
  <si>
    <t>BODY DEPT DEPRECIATION BLDGS. &amp; IMPROVEMENTS</t>
  </si>
  <si>
    <t>BODY DEPT TAXES-REAL ESTATE</t>
  </si>
  <si>
    <t>BODY DEPT INSURANCE BLDGS. &amp; IMPROVEMENTS</t>
  </si>
  <si>
    <t>BODY DEPT INTEREST - MORTGAGES</t>
  </si>
  <si>
    <t>BODY DEPT UTILITIES</t>
  </si>
  <si>
    <t>BODY DEPT SUB-TOTAL RENT &amp; RNT EQUIVALENT</t>
  </si>
  <si>
    <t>BODY DEPT INSURANCE OTHER</t>
  </si>
  <si>
    <t>BODY DEPT TAXES-OTHER</t>
  </si>
  <si>
    <t>BODY DEPT REPAIRS-EQUIPMENT</t>
  </si>
  <si>
    <t>BODY DEPT DEPRECIATION-EQUIPMENT</t>
  </si>
  <si>
    <t>BODY DEPT EQUIPMENT RENTAL</t>
  </si>
  <si>
    <t>BODY DEPT TOTAL FIXED</t>
  </si>
  <si>
    <t>BODY DEPT TOTAL FIXED OVERHEAD</t>
  </si>
  <si>
    <t xml:space="preserve">BODY DEPT TOTAL EXPENSES </t>
  </si>
  <si>
    <t>BODY DEPT DEPARTMENT PROFIT OR LOSS</t>
  </si>
  <si>
    <r>
      <t xml:space="preserve">BODY DEPT </t>
    </r>
    <r>
      <rPr>
        <b/>
        <sz val="8"/>
        <color indexed="17"/>
        <rFont val="Arial"/>
        <family val="2"/>
      </rPr>
      <t xml:space="preserve">CUSTOMER PARTS </t>
    </r>
    <r>
      <rPr>
        <sz val="8"/>
        <color indexed="17"/>
        <rFont val="Arial"/>
        <family val="2"/>
      </rPr>
      <t>TRANSFER</t>
    </r>
  </si>
  <si>
    <t>BODY DEPT PRORATION OF G&amp;A</t>
  </si>
  <si>
    <t>BODY DEPT 'DEPT PROFIT OR LOSS AFTER TRSF &amp; PRORAT</t>
  </si>
  <si>
    <t>P&amp;A DEPT NET SALES</t>
  </si>
  <si>
    <t>P&amp;ADEPT</t>
  </si>
  <si>
    <t>P&amp;A DEPT GROSS PROFIT/INCOME</t>
  </si>
  <si>
    <t>P&amp;A DEPT SALARIES-OWNERS / EXECUTIVE MANAGERS</t>
  </si>
  <si>
    <t>P&amp;A DEPT SALARIES-SUPERVISION</t>
  </si>
  <si>
    <t>P&amp;A DEPT SALARIES-CLERICAL</t>
  </si>
  <si>
    <t>P&amp;A DEPT OTHER SALARIES AND WAGES</t>
  </si>
  <si>
    <t>P&amp;A DEPT ABSENTEE COMPENSATION</t>
  </si>
  <si>
    <t>P&amp;A DEPT INCENTIVES-SUPERVISION</t>
  </si>
  <si>
    <t>P&amp;A DEPT TAXES-PAYROLL</t>
  </si>
  <si>
    <t>P&amp;A DEPT EMPLOYEE BENEFITS</t>
  </si>
  <si>
    <t>P&amp;A DEPT RETIREMENT BENEFITS</t>
  </si>
  <si>
    <t>P&amp;A DEPT TOTAL PERSONNEL</t>
  </si>
  <si>
    <t>P&amp;A DEPT COMPANY VEHICLE EXPENSE</t>
  </si>
  <si>
    <t>P&amp;A DEPT OFFICE SUPPLIES AND EXPENSES</t>
  </si>
  <si>
    <t>P&amp;A DEPT OTHER SUPPLIES</t>
  </si>
  <si>
    <t>P&amp;A DEPT E-COMMERCE ADVERTISING/FEES</t>
  </si>
  <si>
    <t>P&amp;A DEPT ADVERTISING</t>
  </si>
  <si>
    <t>P&amp;A DEPT ADVERTISING REBATES</t>
  </si>
  <si>
    <t>P&amp;A DEPT CONTRIBUTIONS</t>
  </si>
  <si>
    <t>P&amp;A DEPT POLICY WORK-PARTS AND P&amp;AICE</t>
  </si>
  <si>
    <t>P&amp;A DEPT INFORMATION TECHNOLOGY P&amp;AICES</t>
  </si>
  <si>
    <t>P&amp;A DEPT OUTSIDE P&amp;AICES (OTHER)</t>
  </si>
  <si>
    <t>P&amp;A DEPT TRAVEL AND ENTERTAINMENT</t>
  </si>
  <si>
    <t>P&amp;A DEPT MEMBERSHIP DUES AND PUBLICATIONS</t>
  </si>
  <si>
    <t>P&amp;A DEPT LEGAL AND AUDITING EXPENSE</t>
  </si>
  <si>
    <t>P&amp;A DEPT TELEPHONE</t>
  </si>
  <si>
    <t>P&amp;A DEPT TRAINING EXPENSE</t>
  </si>
  <si>
    <t>P&amp;A DEPT INTEREST-NOTES PAYABLE (OTHER)</t>
  </si>
  <si>
    <t>P&amp;A DEPT BAD DEBT EXPENSE</t>
  </si>
  <si>
    <t>P&amp;A DEPT FREIGHT</t>
  </si>
  <si>
    <t>P&amp;A DEPT MISCELLANEOUS EXPENSE</t>
  </si>
  <si>
    <t>P&amp;A DEPT TOTAL SEMI-FIXED</t>
  </si>
  <si>
    <t>P&amp;A DEPT RENT</t>
  </si>
  <si>
    <t>P&amp;A DEPT AMORTIZATION-LEASEHNAMEPLATE 003</t>
  </si>
  <si>
    <t>P&amp;A DEPT REPAIRS-REAL ESTATE</t>
  </si>
  <si>
    <t>P&amp;A DEPT DEPRECIATION BLDGS. &amp; IMPROVEMENTS</t>
  </si>
  <si>
    <t>P&amp;A DEPT TAXES-REAL ESTATE</t>
  </si>
  <si>
    <t>P&amp;A DEPT INSURANCE BLDGS. &amp; IMPROVEMENTS</t>
  </si>
  <si>
    <t>P&amp;A DEPT INTEREST - MORTGAGES</t>
  </si>
  <si>
    <t>P&amp;A DEPT UTILITIES</t>
  </si>
  <si>
    <t>P&amp;A DEPT SUB-TOTAL RENT &amp; RNT EQUIVALENT</t>
  </si>
  <si>
    <t>P&amp;A DEPT INSURANCE OTHER</t>
  </si>
  <si>
    <t>P&amp;A DEPT TAXES-OTHER</t>
  </si>
  <si>
    <t>P&amp;A DEPT REPAIRS-EQUIPMENT</t>
  </si>
  <si>
    <t>P&amp;A DEPT DEPRECIATION-EQUIPMENT</t>
  </si>
  <si>
    <t>P&amp;A DEPT EQUIPMENT RENTAL</t>
  </si>
  <si>
    <t>P&amp;A DEPT TOTAL FIXED</t>
  </si>
  <si>
    <t>P&amp;A DEPT TOTAL FIXED OVERHEAD</t>
  </si>
  <si>
    <t xml:space="preserve">P&amp;A DEPT TOTAL EXPENSES </t>
  </si>
  <si>
    <t>P&amp;A DEPT DEPARTMENT PROFIT OR LOSS</t>
  </si>
  <si>
    <r>
      <t xml:space="preserve">P&amp;A DEPT </t>
    </r>
    <r>
      <rPr>
        <b/>
        <sz val="8"/>
        <color indexed="17"/>
        <rFont val="Arial"/>
        <family val="2"/>
      </rPr>
      <t>CUSTOMER PARTS</t>
    </r>
    <r>
      <rPr>
        <sz val="8"/>
        <color indexed="17"/>
        <rFont val="Arial"/>
        <family val="2"/>
      </rPr>
      <t xml:space="preserve"> TRANSFER</t>
    </r>
  </si>
  <si>
    <t>P&amp;A DEPT PRORATION OF G&amp;A</t>
  </si>
  <si>
    <t>P&amp;A DEPT 'DEPT PROFIT OR LOSS AFTER TRSF &amp; PRORAT</t>
  </si>
  <si>
    <t>G&amp;A DEPT SALARIES-OWNERS / EXECUTIVE MANAGERS</t>
  </si>
  <si>
    <t>G&amp;A DEPT SALARIES-SUPERVISION</t>
  </si>
  <si>
    <t>G&amp;A DEPT SALARIES-CLERICAL</t>
  </si>
  <si>
    <t>G&amp;A DEPT OTHER SALARIES AND WAGES</t>
  </si>
  <si>
    <t>G&amp;A DEPT ABSENTEE COMPENSATION</t>
  </si>
  <si>
    <t>G&amp;A DEPT INCENTIVES-SUPERVISION</t>
  </si>
  <si>
    <t>G&amp;A DEPT TAXES-PAYROLL</t>
  </si>
  <si>
    <t>G&amp;A DEPT EMPLOYEE BENEFITS</t>
  </si>
  <si>
    <t>G&amp;A DEPT RETIREMENT BENEFITS</t>
  </si>
  <si>
    <t>G&amp;A DEPT TOTAL PERSONNEL</t>
  </si>
  <si>
    <t>G&amp;A DEPT COMPANY VEHICLE EXPENSE</t>
  </si>
  <si>
    <t>G&amp;A DEPT OFFICE SUPPLIES AND EXPENSES</t>
  </si>
  <si>
    <t>G&amp;A DEPT OTHER SUPPLIES</t>
  </si>
  <si>
    <t>G&amp;A DEPT E-COMMERCE ADVERTISING/FEES</t>
  </si>
  <si>
    <t>G&amp;A DEPT ADVERTISING</t>
  </si>
  <si>
    <t>G&amp;A DEPT ADVERTISING REBATES</t>
  </si>
  <si>
    <t>G&amp;A DEPT CONTRIBUTIONS</t>
  </si>
  <si>
    <t>G&amp;A DEPT INFORMATION TECHNOLOGY G&amp;AICES</t>
  </si>
  <si>
    <t>G&amp;A DEPT OUTSIDE G&amp;AICES (OTHER)</t>
  </si>
  <si>
    <t>G&amp;A DEPT TRAVEL AND ENTERTAINMENT</t>
  </si>
  <si>
    <t>G&amp;A DEPT MEMBERSHIP DUES AND PUBLICATIONS</t>
  </si>
  <si>
    <t>G&amp;A DEPT LEGAL AND AUDITING EXPENSE</t>
  </si>
  <si>
    <t>G&amp;A DEPT TELEPHONE</t>
  </si>
  <si>
    <t>G&amp;A DEPT TRAINING EXPENSE</t>
  </si>
  <si>
    <t>G&amp;A DEPT INTEREST-NOTES PAYABLE (OTHER)</t>
  </si>
  <si>
    <t>G&amp;A DEPT BAD DEBT EXPENSE</t>
  </si>
  <si>
    <t>G&amp;A DEPT FREIGHT</t>
  </si>
  <si>
    <t>G&amp;A DEPT MISCELLANEOUS EXPENSE</t>
  </si>
  <si>
    <t>G&amp;A DEPT TOTAL SEMI-FIXED</t>
  </si>
  <si>
    <t>G&amp;A DEPT RENT</t>
  </si>
  <si>
    <t>G&amp;A DEPT AMORTIZATION-LEASEHNAMEPLATE 003</t>
  </si>
  <si>
    <t>G&amp;A DEPT REPAIRS-REAL ESTATE</t>
  </si>
  <si>
    <t>G&amp;A DEPT DEPRECIATION BLDGS. &amp; IMPROVEMENTS</t>
  </si>
  <si>
    <t>G&amp;A DEPT TAXES-REAL ESTATE</t>
  </si>
  <si>
    <t>G&amp;A DEPT INSURANCE BLDGS. &amp; IMPROVEMENTS</t>
  </si>
  <si>
    <t>G&amp;A DEPT INTEREST - MORTGAGES</t>
  </si>
  <si>
    <t>G&amp;A DEPT UTILITIES</t>
  </si>
  <si>
    <t>G&amp;A DEPT SUB-TOTAL RENT &amp; RNT EQUIVALENT</t>
  </si>
  <si>
    <t>G&amp;A DEPT INSURANCE OTHER</t>
  </si>
  <si>
    <t>G&amp;A DEPT TAXES-OTHER</t>
  </si>
  <si>
    <t>G&amp;A DEPT REPAIRS-EQUIPMENT</t>
  </si>
  <si>
    <t>G&amp;A DEPT DEPRECIATION-EQUIPMENT</t>
  </si>
  <si>
    <t>G&amp;A DEPT EQUIPMENT RENTAL</t>
  </si>
  <si>
    <t>G&amp;A DEPT TOTAL FIXED</t>
  </si>
  <si>
    <t>G&amp;A DEPT TOTAL FIXED OVERHEAD</t>
  </si>
  <si>
    <t xml:space="preserve">G&amp;A DEPT TOTAL EXPENSES </t>
  </si>
  <si>
    <t>G&amp;A DEPT PRORATION OF G&amp;A</t>
  </si>
  <si>
    <t>902</t>
  </si>
  <si>
    <t>905</t>
  </si>
  <si>
    <t>GM REIMBURSEMENTS</t>
  </si>
  <si>
    <t>955</t>
  </si>
  <si>
    <t>PAGE 5A SLS - TOTAL NEW CARS RETAIL</t>
  </si>
  <si>
    <t>PAGE 5A SLS - TOTAL NEW CARS</t>
  </si>
  <si>
    <t>PAGE 5A SLS - TOTAL NEW TRKS RETAIL</t>
  </si>
  <si>
    <t xml:space="preserve">PAGE 5A SLS - TOTAL NEW TRUCKS </t>
  </si>
  <si>
    <t>PAGE 5A SLS - TOTAL NEW VEHICLES</t>
  </si>
  <si>
    <t>PAGE 5A GRS - TOTAL NEW CARS RETAIL</t>
  </si>
  <si>
    <t>PAGE 5A GRS - TOTAL NEW CARS</t>
  </si>
  <si>
    <t>PAGE 5A GRS - TOTAL NEW TRKS RETAIL</t>
  </si>
  <si>
    <t xml:space="preserve">PAGE 5A GRS - TOTAL NEW TRUCKS </t>
  </si>
  <si>
    <t>PAGE 5A GRS - TOTAL NEW VEHICLES</t>
  </si>
  <si>
    <t>PAGE 5B SLS - TOTAL NEW CARS RETAIL</t>
  </si>
  <si>
    <t>PAGE 5B SLS - TOTAL NEW CARS</t>
  </si>
  <si>
    <t>PAGE 5B SLS - TOTAL NEW TRKS RETAIL</t>
  </si>
  <si>
    <t xml:space="preserve">PAGE 5B SLS - TOTAL NEW TRUCKS </t>
  </si>
  <si>
    <t>PAGE 5B SLS - TOTAL NEW VEHICLES</t>
  </si>
  <si>
    <t>PAGE 5B GRS - TOTAL NEW CARS RETAIL</t>
  </si>
  <si>
    <t>PAGE 5B GRS - TOTAL NEW CARS</t>
  </si>
  <si>
    <t>PAGE 5B GRS - TOTAL NEW TRKS RETAIL</t>
  </si>
  <si>
    <t xml:space="preserve">PAGE 5B GRS - TOTAL NEW TRUCKS </t>
  </si>
  <si>
    <t>PAGE 5B GRS - TOTAL NEW VEHICLES</t>
  </si>
  <si>
    <t>PAGE 5C SLS - TOTAL NEW CARS RETAIL</t>
  </si>
  <si>
    <t>PAGE 5C SLS - TOTAL NEW CARS</t>
  </si>
  <si>
    <t>PAGE 5C SLS - TOTAL NEW TRKS RETAIL</t>
  </si>
  <si>
    <t xml:space="preserve">PAGE 5C SLS - TOTAL NEW TRUCKS </t>
  </si>
  <si>
    <t>PAGE 5C SLS - TOTAL NEW VEHICLES</t>
  </si>
  <si>
    <t>PAGE 5C GRS - TOTAL NEW CARS RETAIL</t>
  </si>
  <si>
    <t>PAGE 5C GRS - TOTAL NEW CARS</t>
  </si>
  <si>
    <t>PAGE 5C GRS - TOTAL NEW TRKS RETAIL</t>
  </si>
  <si>
    <t xml:space="preserve">PAGE 5C GRS - TOTAL NEW TRUCKS </t>
  </si>
  <si>
    <t>PAGE 5C GRS - TOTAL NEW VEHICLES</t>
  </si>
  <si>
    <t>PAGE 5D SLS - TOTAL NEW CARS RETAIL</t>
  </si>
  <si>
    <t>PAGE 5D SLS - TOTAL NEW CARS</t>
  </si>
  <si>
    <t>PAGE 5D SLS - TOTAL NEW TRKS RETAIL</t>
  </si>
  <si>
    <t xml:space="preserve">PAGE 5D SLS - TOTAL NEW TRUCKS </t>
  </si>
  <si>
    <t>PAGE 5D SLS - TOTAL NEW VEHICLES</t>
  </si>
  <si>
    <t>PAGE 5D GRS - TOTAL NEW CARS RETAIL</t>
  </si>
  <si>
    <t>PAGE 5D GRS - TOTAL NEW CARS</t>
  </si>
  <si>
    <t>PAGE 5D GRS - TOTAL NEW TRKS RETAIL</t>
  </si>
  <si>
    <t xml:space="preserve">PAGE 5D GRS - TOTAL NEW TRUCKS </t>
  </si>
  <si>
    <t>PAGE 5D GRS - TOTAL NEW VEHICLES</t>
  </si>
  <si>
    <t>PAGE 5E SLS - TOTAL NEW CARS RETAIL</t>
  </si>
  <si>
    <t>PAGE 5E SLS - TOTAL NEW CARS</t>
  </si>
  <si>
    <t>PAGE 5E SLS - TOTAL NEW TRKS RETAIL</t>
  </si>
  <si>
    <t xml:space="preserve">PAGE 5E SLS - TOTAL NEW TRUCKS </t>
  </si>
  <si>
    <t>PAGE 5E SLS - TOTAL NEW VEHICLES</t>
  </si>
  <si>
    <t>PAGE 5E GRS - TOTAL NEW CARS RETAIL</t>
  </si>
  <si>
    <t>PAGE 5E GRS - TOTAL NEW CARS</t>
  </si>
  <si>
    <t>PAGE 5E GRS - TOTAL NEW TRKS RETAIL</t>
  </si>
  <si>
    <t xml:space="preserve">PAGE 5E GRS - TOTAL NEW TRUCKS </t>
  </si>
  <si>
    <t>PAGE 5E GRS - TOTAL NEW VEHICLES</t>
  </si>
  <si>
    <t>PAGE 5F SLS - TOTAL NEW CARS RETAIL</t>
  </si>
  <si>
    <t>PAGE 5F SLS - TOTAL NEW CARS</t>
  </si>
  <si>
    <t>PAGE 5F SLS - TOTAL NEW TRKS RETAIL</t>
  </si>
  <si>
    <t xml:space="preserve">PAGE 5F SLS - TOTAL NEW TRUCKS </t>
  </si>
  <si>
    <t>PAGE 5F SLS - TOTAL NEW VEHICLES</t>
  </si>
  <si>
    <t>PAGE 5F GRS - TOTAL NEW CARS RETAIL</t>
  </si>
  <si>
    <t>PAGE 5F GRS - TOTAL NEW CARS</t>
  </si>
  <si>
    <t>PAGE 5F GRS - TOTAL NEW TRKS RETAIL</t>
  </si>
  <si>
    <t xml:space="preserve">PAGE 5F GRS - TOTAL NEW TRUCKS </t>
  </si>
  <si>
    <t>PAGE 5F GRS - TOTAL NEW VEHICLES</t>
  </si>
  <si>
    <t>PAGE 5G SLS - TOTAL NEW CARS RETAIL</t>
  </si>
  <si>
    <t>PAGE 5G SLS - TOTAL NEW CARS</t>
  </si>
  <si>
    <t>PAGE 5G SLS - TOTAL NEW TRKS RETAIL</t>
  </si>
  <si>
    <t xml:space="preserve">PAGE 5G SLS - TOTAL NEW TRUCKS </t>
  </si>
  <si>
    <t>PAGE 5G SLS - TOTAL NEW VEHICLES</t>
  </si>
  <si>
    <t>PAGE 5G GRS - TOTAL NEW CARS RETAIL</t>
  </si>
  <si>
    <t>PAGE 5G GRS - TOTAL NEW CARS</t>
  </si>
  <si>
    <t>PAGE 5G GRS - TOTAL NEW TRKS RETAIL</t>
  </si>
  <si>
    <t xml:space="preserve">PAGE 5G GRS - TOTAL NEW TRUCKS </t>
  </si>
  <si>
    <t>PAGE 5G GRS - TOTAL NEW VEHICLES</t>
  </si>
  <si>
    <t>PAGE 5H SLS - TOTAL NEW CARS RETAIL</t>
  </si>
  <si>
    <t>PAGE 5H SLS - TOTAL NEW CARS</t>
  </si>
  <si>
    <t>PAGE 5H SLS - TOTAL NEW TRKS RETAIL</t>
  </si>
  <si>
    <t xml:space="preserve">PAGE 5H SLS - TOTAL NEW TRUCKS </t>
  </si>
  <si>
    <t>PAGE 5H SLS - TOTAL NEW VEHICLES</t>
  </si>
  <si>
    <t>PAGE 5H GRS - TOTAL NEW CARS RETAIL</t>
  </si>
  <si>
    <t>PAGE 5H GRS - TOTAL NEW CARS</t>
  </si>
  <si>
    <t>PAGE 5H GRS - TOTAL NEW TRKS RETAIL</t>
  </si>
  <si>
    <t xml:space="preserve">PAGE 5H GRS - TOTAL NEW TRUCKS </t>
  </si>
  <si>
    <t>PAGE 5H GRS - TOTAL NEW VEHICLES</t>
  </si>
  <si>
    <t>PAGE 5I SLS - TOTAL NEW CARS RETAIL</t>
  </si>
  <si>
    <t>PAGE 5I SLS - TOTAL NEW CARS</t>
  </si>
  <si>
    <t>PAGE 5I SLS - TOTAL NEW TRKS RETAIL</t>
  </si>
  <si>
    <t xml:space="preserve">PAGE 5I SLS - TOTAL NEW TRUCKS </t>
  </si>
  <si>
    <t>PAGE 5I SLS - TOTAL NEW VEHICLES</t>
  </si>
  <si>
    <t>PAGE 5I GRS - TOTAL NEW CARS RETAIL</t>
  </si>
  <si>
    <t>PAGE 5I GRS - TOTAL NEW CARS</t>
  </si>
  <si>
    <t>PAGE 5I GRS - TOTAL NEW TRKS RETAIL</t>
  </si>
  <si>
    <t xml:space="preserve">PAGE 5I GRS - TOTAL NEW TRUCKS </t>
  </si>
  <si>
    <t>PAGE 5I GRS - TOTAL NEW VEHICLES</t>
  </si>
  <si>
    <t>PAGE 5J SLS - TOTAL NEW CARS RETAIL</t>
  </si>
  <si>
    <t>PAGE 5J SLS - TOTAL NEW CARS</t>
  </si>
  <si>
    <t>PAGE 5J SLS - TOTAL NEW TRKS RETAIL</t>
  </si>
  <si>
    <t xml:space="preserve">PAGE 5J SLS - TOTAL NEW TRUCKS </t>
  </si>
  <si>
    <t>PAGE 5J SLS - TOTAL NEW VEHICLES</t>
  </si>
  <si>
    <t>PAGE 5J GRS - TOTAL NEW CARS RETAIL</t>
  </si>
  <si>
    <t>PAGE 5J GRS - TOTAL NEW CARS</t>
  </si>
  <si>
    <t>PAGE 5J GRS - TOTAL NEW TRKS RETAIL</t>
  </si>
  <si>
    <t xml:space="preserve">PAGE 5J GRS - TOTAL NEW TRUCKS </t>
  </si>
  <si>
    <t>PAGE 5J GRS - TOTAL NEW VEHICLES</t>
  </si>
  <si>
    <t>USED CARS RTL - OPTIMUM/UCFS - SLS</t>
  </si>
  <si>
    <t>USED CARS RTL - OTHER - SLS</t>
  </si>
  <si>
    <t>USED TRUCKS RTL - OPTIMUM/UCFS - SLS</t>
  </si>
  <si>
    <t>USED TRUCKS RTL - OTHER - SLS</t>
  </si>
  <si>
    <t>TOTAL USED RETAIL - SLS</t>
  </si>
  <si>
    <t>USED CARS WHOLESALE - SLS</t>
  </si>
  <si>
    <t>ADJ USED CAR INV</t>
  </si>
  <si>
    <t>USED TRUCKS WHOLESALE - SLS</t>
  </si>
  <si>
    <t>ADJ. USED TRK INV</t>
  </si>
  <si>
    <t>TOTAL USED  WHSL &amp; ADJ - SLS</t>
  </si>
  <si>
    <t>USED OTHER AUTOMOTIVE - SLS</t>
  </si>
  <si>
    <t>456</t>
  </si>
  <si>
    <t>TOTAL USED VEHICLE - SLS</t>
  </si>
  <si>
    <t>TOTAL NEW &amp; USED - SLS</t>
  </si>
  <si>
    <t>TOTAL F&amp;I AND PROT.PLANS - SLS</t>
  </si>
  <si>
    <t>TOTFIPP</t>
  </si>
  <si>
    <t>TOTAL VARIABLE - SLS</t>
  </si>
  <si>
    <t>VAROPERS</t>
  </si>
  <si>
    <t>USED CARS RTL - OPTIMUM/UCFS - GRS</t>
  </si>
  <si>
    <t>USED CARS RTL - OTHER - GRS</t>
  </si>
  <si>
    <t>USED TRUCKS RTL - OPTIMUM/UCFS - GRS</t>
  </si>
  <si>
    <t>USED TRUCKS RTL - OTHER - GRS</t>
  </si>
  <si>
    <t>TOTAL USED RETAIL - GRS</t>
  </si>
  <si>
    <t>USED CARS WHOLESALE - GRS</t>
  </si>
  <si>
    <t>USED CAR INV ADJUST - GRS</t>
  </si>
  <si>
    <t>649</t>
  </si>
  <si>
    <t>USED TRUCKS WHOLESALE - GRS</t>
  </si>
  <si>
    <t>USED TRK INV ADJUST - GRS</t>
  </si>
  <si>
    <t>653</t>
  </si>
  <si>
    <t>TOTAL USED WHSL &amp; ADJ - GRS</t>
  </si>
  <si>
    <t>USED OTHER AUTOMOTIVE - GRS</t>
  </si>
  <si>
    <t>TOTAL USED VEHICLE - GRS</t>
  </si>
  <si>
    <t>TOTAL NEW &amp; USED - GRS</t>
  </si>
  <si>
    <t>TOTAL F&amp;I AND PROT.PLANS - GRS</t>
  </si>
  <si>
    <t>TOTAL VARIABLE L&amp;R - GRS (P.6)</t>
  </si>
  <si>
    <t>TOTAL VARIABLE - GRS</t>
  </si>
  <si>
    <t>CUST. LAB CARS &amp; LD TRKS - SLS</t>
  </si>
  <si>
    <t>CUST. LAB EV CARS &amp; LD TRKS - SLS</t>
  </si>
  <si>
    <t>S/CNTR LAB -CARS&amp;LD TRKS - SLS</t>
  </si>
  <si>
    <t>S/CNTR LAB - EV CARS &amp; LD TRKS - SLS</t>
  </si>
  <si>
    <t>Q/SRV LAB -CARS&amp;LD TRKS - SLS</t>
  </si>
  <si>
    <t>MOBILE SRV LAB CARS &amp; LD TRKS - SLS</t>
  </si>
  <si>
    <t>NON GM EV CUST LAB - SLS</t>
  </si>
  <si>
    <t>CUST. LAB MD TRKS/SAAB - SLS</t>
  </si>
  <si>
    <t>CUST. LAB EV COM,FLT &amp; MD TRKS - SLS</t>
  </si>
  <si>
    <t>S/CNTR LAB MD TRKS/SAAB - SLS</t>
  </si>
  <si>
    <t>S/CNTR EV LAB COM/FLT &amp; MD TRKS - SLS</t>
  </si>
  <si>
    <t>Q/SRV LAB -MD TRKS/SAAB - SLS</t>
  </si>
  <si>
    <t>WARRANTY CLAIM LABOR - SLS</t>
  </si>
  <si>
    <t>462</t>
  </si>
  <si>
    <t>INTERNAL LABOR - SLS</t>
  </si>
  <si>
    <t>463</t>
  </si>
  <si>
    <t>NEW VEH INSP LBR - SLS</t>
  </si>
  <si>
    <t>464</t>
  </si>
  <si>
    <t>SUB-TOTAL - SLS</t>
  </si>
  <si>
    <t>MECHSUBT</t>
  </si>
  <si>
    <t>SHOP SUPPLIES - SLS</t>
  </si>
  <si>
    <t>SUBLET REPAIRS - SLS</t>
  </si>
  <si>
    <t>466</t>
  </si>
  <si>
    <t>TOTAL MECHANICAL - SLS</t>
  </si>
  <si>
    <t>CUST. PAINT LABOR - SLS</t>
  </si>
  <si>
    <t>470</t>
  </si>
  <si>
    <t>CUST. BODY LABOR - SLS</t>
  </si>
  <si>
    <t>BODYSUBT</t>
  </si>
  <si>
    <t>PNT &amp; SHOP MATRLS. - SLS</t>
  </si>
  <si>
    <t>479</t>
  </si>
  <si>
    <t>TOTAL BODY SHOP - SLS</t>
  </si>
  <si>
    <t>TOTAL SERVICE DEPT. - SLS</t>
  </si>
  <si>
    <t>SVCDEPT</t>
  </si>
  <si>
    <t>WARRANTY CLAIMS - SLS</t>
  </si>
  <si>
    <t>480</t>
  </si>
  <si>
    <t>SERV CARS&amp;LD TRK R.O. - SLS</t>
  </si>
  <si>
    <t>467</t>
  </si>
  <si>
    <t>SERV CARS&amp;LD TRK R.O-EV -SLS</t>
  </si>
  <si>
    <t>SERV COM,FLT &amp; MD TRKS R.O. - SLS</t>
  </si>
  <si>
    <t>SERV COM, FLT &amp; MF TRKS R.O. - EV -SLS</t>
  </si>
  <si>
    <t>SERV QUICK SERV R.O. - SLS</t>
  </si>
  <si>
    <t>BODY CUST.  R.O. - SLS</t>
  </si>
  <si>
    <t>477</t>
  </si>
  <si>
    <t>INTERNAL - SLS</t>
  </si>
  <si>
    <t>481</t>
  </si>
  <si>
    <t>COUNTER-RETAIL - SLS</t>
  </si>
  <si>
    <t>482</t>
  </si>
  <si>
    <t>WHOLESALE - SLS</t>
  </si>
  <si>
    <t>483</t>
  </si>
  <si>
    <t>ACCESSORIES - SLS</t>
  </si>
  <si>
    <t>ACCESSORIES E-COMMERCE -SLS</t>
  </si>
  <si>
    <t>TOTAL  P&amp;A - SLS</t>
  </si>
  <si>
    <t>P&amp;ASUBT</t>
  </si>
  <si>
    <t>TIRES - SLS</t>
  </si>
  <si>
    <t>490</t>
  </si>
  <si>
    <t>GAS, OIL &amp; GREASE - SLS</t>
  </si>
  <si>
    <t>491</t>
  </si>
  <si>
    <t>MISCELLANEOUS - SLS</t>
  </si>
  <si>
    <t>492</t>
  </si>
  <si>
    <t>TOTAL OTHER  - SLS</t>
  </si>
  <si>
    <t>OTHERP&amp;A</t>
  </si>
  <si>
    <t>TOTAL  P&amp;A  DEPT. - SLS</t>
  </si>
  <si>
    <t>TOTAL FIXED - SLS</t>
  </si>
  <si>
    <t>FIXOPER</t>
  </si>
  <si>
    <t>TOTAL ALL DEPTS. - SLS</t>
  </si>
  <si>
    <t>ALLDEPTS</t>
  </si>
  <si>
    <t>CUST. LAB CARS &amp; LD TRKS - GRS</t>
  </si>
  <si>
    <t>CUST. LAB EV CARS &amp; LD TRKS - GRS</t>
  </si>
  <si>
    <t>S/CNTR LAB -CARS&amp;LD TRKS - GRS</t>
  </si>
  <si>
    <t>S/CNTR LAB - EV CARS &amp; LD TRKS - GRS</t>
  </si>
  <si>
    <t>Q/SRV LAB -CARS&amp;LD TRKS - GRS</t>
  </si>
  <si>
    <t>MOBILE SRV LAB CARS &amp; LD TRKS - GRS</t>
  </si>
  <si>
    <t>NON GM EV CUST LAB - GRS</t>
  </si>
  <si>
    <t>CUST. LAB MD TRKS/SAAB - GRS</t>
  </si>
  <si>
    <t>CUST. LAB EV COM,FLT &amp; MD TRKS - GRS</t>
  </si>
  <si>
    <t>S/CNTR LAB MD TRKS/SAAB - GRS</t>
  </si>
  <si>
    <t>S/CNTR EV LAB COM/FLT &amp; MD TRKS - GRS</t>
  </si>
  <si>
    <t>Q/SRV LAB -MD TRKS/SAAB - GRS</t>
  </si>
  <si>
    <t>WARRANTY CLAIM LABOR - GRS</t>
  </si>
  <si>
    <t>INTERNAL LABOR - GRS</t>
  </si>
  <si>
    <t>NEW VEH INSP LBR - GRS</t>
  </si>
  <si>
    <t>ADJ COST OF LBR GRS - GRS</t>
  </si>
  <si>
    <t>665</t>
  </si>
  <si>
    <t>SUB-TOTAL - GRS</t>
  </si>
  <si>
    <t>SHOP SUPPLIES - GRS</t>
  </si>
  <si>
    <t>SUBLET REPAIRS - GRS</t>
  </si>
  <si>
    <t>TOTAL MECHANICAL - GRS</t>
  </si>
  <si>
    <t>CUST. PAINT LABOR - GRS</t>
  </si>
  <si>
    <t>CUST. BODY LABOR - GRS</t>
  </si>
  <si>
    <t>675</t>
  </si>
  <si>
    <t>476</t>
  </si>
  <si>
    <t>PNT &amp; SHOP MATRLS. - GRS</t>
  </si>
  <si>
    <t>TOTAL BODY SHOP - GRS</t>
  </si>
  <si>
    <t>TOTAL SERVICE DEPT. - GRS</t>
  </si>
  <si>
    <t>WARRANTY CLAIMS - GRS</t>
  </si>
  <si>
    <t>SERV CARS&amp;LD TRK R.O. - GRS</t>
  </si>
  <si>
    <t>SERV CARS&amp;LD TRK R.O-EV -GRS</t>
  </si>
  <si>
    <t>SERV COM,FLT &amp; MD TRKS R.O. - GRS</t>
  </si>
  <si>
    <t>SERV COM, FLT &amp; MF TRKS R.O. - EV -GRS</t>
  </si>
  <si>
    <t>SERV QUICK SERV R.O. - GRS</t>
  </si>
  <si>
    <t>BODY CUST.  R.O. - GRS</t>
  </si>
  <si>
    <t>INTERNAL - GRS</t>
  </si>
  <si>
    <t>COUNTER-RETAIL - GRS</t>
  </si>
  <si>
    <t>WHOLESALE - GRS</t>
  </si>
  <si>
    <t>ACCESSORIES - GRS</t>
  </si>
  <si>
    <t>ACCESSORIES E-COMMERCE -GRS</t>
  </si>
  <si>
    <t>PURCHASE ALLOWANCES - GRS</t>
  </si>
  <si>
    <t>687</t>
  </si>
  <si>
    <t>ADJ.  P&amp;A INVENTORY - GRS</t>
  </si>
  <si>
    <t>688</t>
  </si>
  <si>
    <t>TOTAL  P&amp;A - GRS</t>
  </si>
  <si>
    <t>TIRES - GRS</t>
  </si>
  <si>
    <t>GAS, OIL &amp; GREASE - GRS</t>
  </si>
  <si>
    <t>MISCELLANEOUS - GRS</t>
  </si>
  <si>
    <t>TOTAL OTHER  - GRS</t>
  </si>
  <si>
    <t>TOTAL  P&amp;A  DEPT. - GRS</t>
  </si>
  <si>
    <t>TOTAL FIXED - GRS</t>
  </si>
  <si>
    <t>TOTAL ALL DEPTS. - GRS</t>
  </si>
  <si>
    <t>OTHER INCOME - SLS</t>
  </si>
  <si>
    <t>GM PROT. PLANS - SLS</t>
  </si>
  <si>
    <t>OTHER PROT. PLANS - SLS</t>
  </si>
  <si>
    <t>NEW  F&amp;I  &amp; PROT. PLN INCOME - SLS</t>
  </si>
  <si>
    <t>NEWFIPP</t>
  </si>
  <si>
    <t>USED  F&amp;I  &amp; PROT. PLN INCOME - SLS</t>
  </si>
  <si>
    <t>USEDFIPP</t>
  </si>
  <si>
    <t>TOTAL  F&amp;I  INCOME (to pg 3 ln 1-2) - SLS</t>
  </si>
  <si>
    <t>TOTALF&amp;I</t>
  </si>
  <si>
    <t>FINANCE INCOME-NEW - GRS/INC</t>
  </si>
  <si>
    <t>806</t>
  </si>
  <si>
    <t>INS. COMM. EARNED-NEW - GRS/INC</t>
  </si>
  <si>
    <t>FIN &amp; INS CHARGEBACKS - GRS/INC</t>
  </si>
  <si>
    <t>ACCESSORIES - GRS/INC</t>
  </si>
  <si>
    <t>OTHER INCOME - GRS/INC</t>
  </si>
  <si>
    <t>GM PROT. PLANS - GRS/INC</t>
  </si>
  <si>
    <t>OTHER PROT. PLANS - GRS/INC</t>
  </si>
  <si>
    <t>REPO. LOSSES-NEW - GRS/INC</t>
  </si>
  <si>
    <t>853</t>
  </si>
  <si>
    <t>F&amp;I COMPENSATION NEW</t>
  </si>
  <si>
    <t>855</t>
  </si>
  <si>
    <t>NEW  F&amp;I  &amp; PROT. PLN INCOME - GRS/INC</t>
  </si>
  <si>
    <t>FINANCE INCOME-USED - GRS/INC</t>
  </si>
  <si>
    <t>INS. COMM. EARNED-USED - GRS/INC</t>
  </si>
  <si>
    <t>REPO. LOSSES-USED - GRS/INC</t>
  </si>
  <si>
    <t>854</t>
  </si>
  <si>
    <t>F&amp;I COMPENSATION USED</t>
  </si>
  <si>
    <t>USED  F&amp;I  &amp; PROT. PLN INCOME - GRS/INC</t>
  </si>
  <si>
    <t>TOTAL  F&amp;I  INCOME (to pg 3 ln 1-2) - GRS/INC</t>
  </si>
  <si>
    <t>RECURRING LEASE PAYMENTS -TOTAL</t>
  </si>
  <si>
    <t>MAINTENANCE INCOME-TOTAL</t>
  </si>
  <si>
    <t>PARTIAL MONTH (PRORATA) INCOME-TOTAL</t>
  </si>
  <si>
    <t>LATE PAYMENT CHARGE-TOTAL</t>
  </si>
  <si>
    <t>RENTAL INCOME-TOTAL</t>
  </si>
  <si>
    <t>ADMINISTRATIVE FEE-TOTAL</t>
  </si>
  <si>
    <t>OTHER LEASE REVENUE ______________-TOTAL</t>
  </si>
  <si>
    <t>TOTAL LEASE AND RENTAL INCOME-TOTAL</t>
  </si>
  <si>
    <t>INCMTOTL</t>
  </si>
  <si>
    <t>INTEREST-TOTAL</t>
  </si>
  <si>
    <t>AMORTIZATION-TOTAL</t>
  </si>
  <si>
    <t>INSURANCE (IN SERVICE VEHICLES)-TOTAL</t>
  </si>
  <si>
    <t>LICENSE, TITLE &amp; TAX-TOTAL</t>
  </si>
  <si>
    <t>POLICY - LEASED VEHICLES-TOTAL</t>
  </si>
  <si>
    <t>MAINTENANCE &amp; REPAIRS-TOTAL</t>
  </si>
  <si>
    <t>RENT-SUBLET UNITS-TOTAL</t>
  </si>
  <si>
    <t>OTHER-TOTAL</t>
  </si>
  <si>
    <t>TOTAL DIRECT COSTS-TOTAL</t>
  </si>
  <si>
    <t>GROSS PROFIT AFTER DIRECT COST-TOTAL</t>
  </si>
  <si>
    <t>GPACTOTL</t>
  </si>
  <si>
    <t>GAIN(LOSS) ON DISPOSITION-TOTAL</t>
  </si>
  <si>
    <t>500G/L</t>
  </si>
  <si>
    <t>500GL</t>
  </si>
  <si>
    <t>GROSS PROFIT / INCOME-TOTAL</t>
  </si>
  <si>
    <t>RECURRING LEASE PAYMENTS -CLOSED END</t>
  </si>
  <si>
    <t>511CLSD</t>
  </si>
  <si>
    <t>MAINTENANCE INCOME-CLOSED END</t>
  </si>
  <si>
    <t>512CLSD</t>
  </si>
  <si>
    <t>PARTIAL MONTH (PRORATA) INCOME-CLOSED END</t>
  </si>
  <si>
    <t>513CLSD</t>
  </si>
  <si>
    <t>LATE PAYMENT CHARGE-CLOSED END</t>
  </si>
  <si>
    <t>514CLSD</t>
  </si>
  <si>
    <t>ADMINISTRATIVE FEE-CLOSED END</t>
  </si>
  <si>
    <t>516CLSD</t>
  </si>
  <si>
    <t>OTHER LEASE REVENUE ______________-CLOSED END</t>
  </si>
  <si>
    <t>517CLSD</t>
  </si>
  <si>
    <t>TOTAL LEASE AND RENTAL INCOME-CLOSED END</t>
  </si>
  <si>
    <t>INCMCLSD</t>
  </si>
  <si>
    <t>INTEREST-CLOSED END</t>
  </si>
  <si>
    <t>711CLSD</t>
  </si>
  <si>
    <t>AMORTIZATION-CLOSED END</t>
  </si>
  <si>
    <t>712CLSD</t>
  </si>
  <si>
    <t>INSURANCE (IN SERVICE VEHICLES)-CLOSED END</t>
  </si>
  <si>
    <t>713CLSD</t>
  </si>
  <si>
    <t>LICENSE, TITLE &amp; TAX-CLOSED END</t>
  </si>
  <si>
    <t>714CLSD</t>
  </si>
  <si>
    <t>POLICY - LEASE &amp; RENTAL VEHICLES-CLOSED END</t>
  </si>
  <si>
    <t>715CLSD</t>
  </si>
  <si>
    <t>MAINTENANCE &amp; REPAIRS-CLOSED END</t>
  </si>
  <si>
    <t>716CLSD</t>
  </si>
  <si>
    <t>RENT-SUBLET UNITS-CLOSED END</t>
  </si>
  <si>
    <t>717CLSD</t>
  </si>
  <si>
    <t>OTHER-CLOSED END</t>
  </si>
  <si>
    <t>718CLSD</t>
  </si>
  <si>
    <t>TOTAL DIRECT COSTS-CLOSED END</t>
  </si>
  <si>
    <t>TOTCLSD</t>
  </si>
  <si>
    <t>GROSS PROFIT AFTER DIRECT COST-CLOSED END</t>
  </si>
  <si>
    <t>GPACCLSD</t>
  </si>
  <si>
    <t>GAIN(LOSS) ON DISPOSITION-CLOSED END</t>
  </si>
  <si>
    <t>510G/L</t>
  </si>
  <si>
    <t>GROSS PROFIT / INCOME-CLOSED END</t>
  </si>
  <si>
    <t>GPINCLSD</t>
  </si>
  <si>
    <t>RECURRING LEASE PAYMENTS -OPEN END</t>
  </si>
  <si>
    <t>521OPEN</t>
  </si>
  <si>
    <t>MAINTENANCE INCOME-OPEN END</t>
  </si>
  <si>
    <t>522OPEN</t>
  </si>
  <si>
    <t>PARTIAL MONTH (PRORATA) INCOME-OPEN END</t>
  </si>
  <si>
    <t>523OPEN</t>
  </si>
  <si>
    <t>LATE PAYMENT CHARGE-OPEN END</t>
  </si>
  <si>
    <t>524OPEN</t>
  </si>
  <si>
    <t>ADMINISTRATIVE FEE-OPEN END</t>
  </si>
  <si>
    <t>526OPEN</t>
  </si>
  <si>
    <t>OTHER LEASE REVENUE ______________-OPEN END</t>
  </si>
  <si>
    <t>527OPEN</t>
  </si>
  <si>
    <t>TOTAL LEASE AND RENTAL INCOME-OPEN END</t>
  </si>
  <si>
    <t>INCMOPEN</t>
  </si>
  <si>
    <t>INTEREST-OPEN END</t>
  </si>
  <si>
    <t>721OPEN</t>
  </si>
  <si>
    <t>AMORTIZATION-OPEN END</t>
  </si>
  <si>
    <t>722OPEN</t>
  </si>
  <si>
    <t>INSURANCE (IN SERVICE VEHICLES)-OPEN END</t>
  </si>
  <si>
    <t>723OPEN</t>
  </si>
  <si>
    <t>LICENSE, TITLE &amp; TAX-OPEN END</t>
  </si>
  <si>
    <t>724OPEN</t>
  </si>
  <si>
    <t>POLICY - LEASE &amp; RENTAL VEHICLES-OPEN END</t>
  </si>
  <si>
    <t>725OPEN</t>
  </si>
  <si>
    <t>MAINTENANCE &amp; REPAIRS-OPEN END</t>
  </si>
  <si>
    <t>726OPEN</t>
  </si>
  <si>
    <t>RENT-SUBLET UNITS-OPEN END</t>
  </si>
  <si>
    <t>727OPEN</t>
  </si>
  <si>
    <t>OTHER-OPEN END</t>
  </si>
  <si>
    <t>728OPEN</t>
  </si>
  <si>
    <t>TOTAL DIRECT COSTS-OPEN END</t>
  </si>
  <si>
    <t>TOTOPEN</t>
  </si>
  <si>
    <t>GROSS PROFIT AFTER DIRECT COST-OPEN END</t>
  </si>
  <si>
    <t>GPACOPEN</t>
  </si>
  <si>
    <t>GAIN(LOSS) ON DISPOSITION-OPEN END</t>
  </si>
  <si>
    <t>520G/L</t>
  </si>
  <si>
    <t>GROSS PROFIT / INCOME-OPEN END</t>
  </si>
  <si>
    <t>GPINOPEN</t>
  </si>
  <si>
    <t>LATE PAYMENT CHARGE-RENTAL</t>
  </si>
  <si>
    <t>534RENT</t>
  </si>
  <si>
    <t>RENTAL INCOME-RENTAL</t>
  </si>
  <si>
    <t>535RENT</t>
  </si>
  <si>
    <t>ADMINISTRATIVE FEE-RENTAL</t>
  </si>
  <si>
    <t>536RENT</t>
  </si>
  <si>
    <t>TOTAL LEASE AND RENTAL INCOME-RENTAL</t>
  </si>
  <si>
    <t>INCMRENT</t>
  </si>
  <si>
    <t>INTEREST-RENTAL</t>
  </si>
  <si>
    <t>731RENT</t>
  </si>
  <si>
    <t>AMORTIZATION-RENTAL</t>
  </si>
  <si>
    <t>732RENT</t>
  </si>
  <si>
    <t>INSURANCE (IN SERVICE VEHICLES)-RENTAL</t>
  </si>
  <si>
    <t>733RENT</t>
  </si>
  <si>
    <t>LICENSE, TITLE &amp; TAX-RENTAL</t>
  </si>
  <si>
    <t>734RENT</t>
  </si>
  <si>
    <t>POLICY - LEASE &amp; RENTAL VEHICLES-RENTAL</t>
  </si>
  <si>
    <t>735RENT</t>
  </si>
  <si>
    <t>MAINTENANCE &amp; REPAIRS-RENTAL</t>
  </si>
  <si>
    <t>736RENT</t>
  </si>
  <si>
    <t>RENT-SUBLET UNITS-RENTAL</t>
  </si>
  <si>
    <t>737RENT</t>
  </si>
  <si>
    <t>OTHER-RENTAL</t>
  </si>
  <si>
    <t>738RENT</t>
  </si>
  <si>
    <t>TOTAL DIRECT COSTS-RENTAL</t>
  </si>
  <si>
    <t>TOTRENT</t>
  </si>
  <si>
    <t>GROSS PROFIT AFTER DIRECT COST-RENTAL</t>
  </si>
  <si>
    <t>GPACRENT</t>
  </si>
  <si>
    <t>GAIN(LOSS) ON DISPOSITION-RENTAL</t>
  </si>
  <si>
    <t>GROSS PROFIT / INCOME-RENTAL</t>
  </si>
  <si>
    <t>GPINRENT</t>
  </si>
  <si>
    <t>Operating System Version</t>
  </si>
  <si>
    <t>00-00-OS-VER-CURR</t>
  </si>
  <si>
    <t>OS</t>
  </si>
  <si>
    <t>VER</t>
  </si>
  <si>
    <t>Operating System Service Pack</t>
  </si>
  <si>
    <t>00-00-OS-SP-CURR</t>
  </si>
  <si>
    <t>SP</t>
  </si>
  <si>
    <t>Operating System Build</t>
  </si>
  <si>
    <t>00-00-OS-BLD-CURR</t>
  </si>
  <si>
    <t>BLD</t>
  </si>
  <si>
    <t>Operating System Language</t>
  </si>
  <si>
    <t>00-00-OS-LAN-CURR</t>
  </si>
  <si>
    <t>LAN</t>
  </si>
  <si>
    <t>Operating System Region</t>
  </si>
  <si>
    <t>00-00-OS-REG-CURR</t>
  </si>
  <si>
    <t>REG</t>
  </si>
  <si>
    <t>Excel Version</t>
  </si>
  <si>
    <t>00-00-XL-VER-CURR</t>
  </si>
  <si>
    <t>XL</t>
  </si>
  <si>
    <t>Excel Service Pack</t>
  </si>
  <si>
    <t>00-00-XL-SP-CURR</t>
  </si>
  <si>
    <t>Excel Build</t>
  </si>
  <si>
    <t>00-00-XL-BLD-CURR</t>
  </si>
  <si>
    <t>Excel Language</t>
  </si>
  <si>
    <t>00-00-XL-LAN-CURR</t>
  </si>
  <si>
    <t>TB Edit Version</t>
  </si>
  <si>
    <t>00-00-TBE-VER-CURR</t>
  </si>
  <si>
    <t>TBE</t>
  </si>
  <si>
    <t>TB Edit Language</t>
  </si>
  <si>
    <t>00-00-TBE-LAN-CURR</t>
  </si>
  <si>
    <t>TB Edit Country</t>
  </si>
  <si>
    <t>00-00-TBE-CNTRY-CURR</t>
  </si>
  <si>
    <t>CNTRY</t>
  </si>
  <si>
    <t>Internet Explorer Version</t>
  </si>
  <si>
    <t>00-00-IE-VER-CURR</t>
  </si>
  <si>
    <t>IE</t>
  </si>
  <si>
    <t>Internet Explorer Service Pack</t>
  </si>
  <si>
    <t>00-00-IE-SP-CURR</t>
  </si>
  <si>
    <t>Internet Explorer Build</t>
  </si>
  <si>
    <t>00-00-IE-BLD-CURR</t>
  </si>
  <si>
    <t>Internet Explorer Language</t>
  </si>
  <si>
    <t>00-00-IE-LAN-CURR</t>
  </si>
  <si>
    <t>MONTH Only</t>
  </si>
  <si>
    <t>Y-T-D Only</t>
  </si>
  <si>
    <t>Field Count</t>
  </si>
  <si>
    <t>CANADA-F</t>
  </si>
  <si>
    <t>Eff.
Date</t>
  </si>
  <si>
    <t>CANADA-FACC</t>
  </si>
  <si>
    <t>CANADA-F&gt;</t>
  </si>
  <si>
    <t>CANADA-F&lt;</t>
  </si>
  <si>
    <t>DBI DB
Updated</t>
  </si>
  <si>
    <t>Page 5k Mapping</t>
  </si>
  <si>
    <t>When assigning Account Numbers to Models please assign the associated Namplate 3 digit suffix as follows:</t>
  </si>
  <si>
    <t>5A CARS</t>
  </si>
  <si>
    <t>CHEVROLET</t>
  </si>
  <si>
    <t>MIN</t>
  </si>
  <si>
    <t>MAX</t>
  </si>
  <si>
    <t>NamePlate</t>
  </si>
  <si>
    <t>Code</t>
  </si>
  <si>
    <t>ROW 1</t>
  </si>
  <si>
    <t>VOLT</t>
  </si>
  <si>
    <t>400-001</t>
  </si>
  <si>
    <t>400K/L/M</t>
  </si>
  <si>
    <t>001</t>
  </si>
  <si>
    <t>ROW 2</t>
  </si>
  <si>
    <t>MALIBU</t>
  </si>
  <si>
    <t>401-001</t>
  </si>
  <si>
    <t>PONTIAC/GMC</t>
  </si>
  <si>
    <t>002</t>
  </si>
  <si>
    <t>ROW 3</t>
  </si>
  <si>
    <t>SONIC</t>
  </si>
  <si>
    <t>402-001</t>
  </si>
  <si>
    <t>OLDSMOBILE</t>
  </si>
  <si>
    <t>003</t>
  </si>
  <si>
    <t>ROW 4</t>
  </si>
  <si>
    <t>IMPALA</t>
  </si>
  <si>
    <t>403-001</t>
  </si>
  <si>
    <t xml:space="preserve">BUICK </t>
  </si>
  <si>
    <t>004</t>
  </si>
  <si>
    <t>ROW 5</t>
  </si>
  <si>
    <t>SPARK</t>
  </si>
  <si>
    <t>404-001</t>
  </si>
  <si>
    <t>CADILLAC</t>
  </si>
  <si>
    <t>006</t>
  </si>
  <si>
    <t>ROW 6</t>
  </si>
  <si>
    <t>CORVETTE</t>
  </si>
  <si>
    <t>405-001</t>
  </si>
  <si>
    <t>HUMMER</t>
  </si>
  <si>
    <t>007</t>
  </si>
  <si>
    <t>ROW 7</t>
  </si>
  <si>
    <t>CORVETTE E-RAY</t>
  </si>
  <si>
    <t>406-001</t>
  </si>
  <si>
    <t>SATURN</t>
  </si>
  <si>
    <t>008</t>
  </si>
  <si>
    <t>ROW 8</t>
  </si>
  <si>
    <t>NE PAS UTILISER</t>
  </si>
  <si>
    <t>407-001</t>
  </si>
  <si>
    <t>-</t>
  </si>
  <si>
    <t>GMC(ONLY)</t>
  </si>
  <si>
    <t>012</t>
  </si>
  <si>
    <t>ROW 9</t>
  </si>
  <si>
    <t>408-001</t>
  </si>
  <si>
    <t>SAAB</t>
  </si>
  <si>
    <t>015</t>
  </si>
  <si>
    <t>ROW 10</t>
  </si>
  <si>
    <t>409-001</t>
  </si>
  <si>
    <t>ISUZU</t>
  </si>
  <si>
    <t>018</t>
  </si>
  <si>
    <t>ROW 11</t>
  </si>
  <si>
    <t>CAMARO</t>
  </si>
  <si>
    <t>410-001</t>
  </si>
  <si>
    <t xml:space="preserve">OPEL </t>
  </si>
  <si>
    <t>019</t>
  </si>
  <si>
    <t>ROW 12</t>
  </si>
  <si>
    <t>CRUZE</t>
  </si>
  <si>
    <t>411-001</t>
  </si>
  <si>
    <t>VAUXHALL</t>
  </si>
  <si>
    <t>020</t>
  </si>
  <si>
    <t>ROW 13</t>
  </si>
  <si>
    <t>412-001</t>
  </si>
  <si>
    <t>ALFA ROMEO</t>
  </si>
  <si>
    <t>096</t>
  </si>
  <si>
    <t>ROW 14</t>
  </si>
  <si>
    <t>413-001</t>
  </si>
  <si>
    <t>FIAT</t>
  </si>
  <si>
    <t>097</t>
  </si>
  <si>
    <t>ROW 15</t>
  </si>
  <si>
    <t>414-001</t>
  </si>
  <si>
    <t xml:space="preserve">INTERNET </t>
  </si>
  <si>
    <t>098</t>
  </si>
  <si>
    <t>ROW 16</t>
  </si>
  <si>
    <t>415-001</t>
  </si>
  <si>
    <t>OTHER (NON-GM)</t>
  </si>
  <si>
    <t>099</t>
  </si>
  <si>
    <t>ROW 17</t>
  </si>
  <si>
    <t>POUR USAGE FUTUR</t>
  </si>
  <si>
    <t>416-001</t>
  </si>
  <si>
    <t>ROW 18</t>
  </si>
  <si>
    <t>417-001</t>
  </si>
  <si>
    <t>ROW 19</t>
  </si>
  <si>
    <t>AUTRES CHEVROLET</t>
  </si>
  <si>
    <t>418-001</t>
  </si>
  <si>
    <t>ROW 21</t>
  </si>
  <si>
    <t>MÉMO* VENTES INTERNET VOITURES</t>
  </si>
  <si>
    <t>419P5A</t>
  </si>
  <si>
    <t>ROW 22</t>
  </si>
  <si>
    <t>TOTAL PARCS - VOITURES</t>
  </si>
  <si>
    <t>420P5A</t>
  </si>
  <si>
    <t>400L/M</t>
  </si>
  <si>
    <t>ROW 23</t>
  </si>
  <si>
    <t>TOTAL INTERNE - VOITURES</t>
  </si>
  <si>
    <t>421P5A</t>
  </si>
  <si>
    <t>5A TRUCKS</t>
  </si>
  <si>
    <t>(CHEV) 1</t>
  </si>
  <si>
    <t>ROW 25</t>
  </si>
  <si>
    <t>423-001</t>
  </si>
  <si>
    <t>ROW 26</t>
  </si>
  <si>
    <t>424-001</t>
  </si>
  <si>
    <t>ROW 27</t>
  </si>
  <si>
    <t>EXPRESS</t>
  </si>
  <si>
    <t>425-001</t>
  </si>
  <si>
    <t>432K/L/M</t>
  </si>
  <si>
    <t>ROW 28</t>
  </si>
  <si>
    <t>COLORADO</t>
  </si>
  <si>
    <t>426-001</t>
  </si>
  <si>
    <t>428K/L/M</t>
  </si>
  <si>
    <t>ROW 29</t>
  </si>
  <si>
    <t>TRAVERSE</t>
  </si>
  <si>
    <t>427-001</t>
  </si>
  <si>
    <t>421K/L/M</t>
  </si>
  <si>
    <t>ROW 30</t>
  </si>
  <si>
    <t>TRAX</t>
  </si>
  <si>
    <t>428-001</t>
  </si>
  <si>
    <t>7/18/2012</t>
  </si>
  <si>
    <t>419K/L/M</t>
  </si>
  <si>
    <t>ROW 31</t>
  </si>
  <si>
    <t>TAHOE/SUBURBAN</t>
  </si>
  <si>
    <t>429-001</t>
  </si>
  <si>
    <t>423K/L/M</t>
  </si>
  <si>
    <t>ROW 32</t>
  </si>
  <si>
    <t>CL 1500 SILVERADO</t>
  </si>
  <si>
    <t>430-001</t>
  </si>
  <si>
    <t>ROW 33</t>
  </si>
  <si>
    <t>CL 2500 SILVERADO</t>
  </si>
  <si>
    <t>431-001</t>
  </si>
  <si>
    <t>ROW 34</t>
  </si>
  <si>
    <t>CL 3500 SILVERADO</t>
  </si>
  <si>
    <t>432-001</t>
  </si>
  <si>
    <t>ROW 35</t>
  </si>
  <si>
    <t>BLAZER</t>
  </si>
  <si>
    <t>433-001</t>
  </si>
  <si>
    <t>ROW 36</t>
  </si>
  <si>
    <t>EQUINOX</t>
  </si>
  <si>
    <t>434-001</t>
  </si>
  <si>
    <t>ROW 37</t>
  </si>
  <si>
    <t>CITY EXPRESS</t>
  </si>
  <si>
    <t>435-001</t>
  </si>
  <si>
    <t>7/9/2014</t>
  </si>
  <si>
    <t>ROW 38</t>
  </si>
  <si>
    <t>TRAILBLAZER</t>
  </si>
  <si>
    <t>436-001</t>
  </si>
  <si>
    <t>ROW 39</t>
  </si>
  <si>
    <t>437-001</t>
  </si>
  <si>
    <t>ROW 40</t>
  </si>
  <si>
    <t>438-001</t>
  </si>
  <si>
    <t>ROW 42</t>
  </si>
  <si>
    <t>MÉMO* VENTES INTERNET CAMIONS</t>
  </si>
  <si>
    <t>439P5A</t>
  </si>
  <si>
    <t>ROW 43</t>
  </si>
  <si>
    <t>TOTAL PARCS - CAMIONS</t>
  </si>
  <si>
    <t>440P5A</t>
  </si>
  <si>
    <t>419L/M,421L/M,423L/M,428L/M,431L/M,432L/M</t>
  </si>
  <si>
    <t>ROW 44</t>
  </si>
  <si>
    <t xml:space="preserve">TOTAL IINTERNE - CAMIONS </t>
  </si>
  <si>
    <t>441P5A</t>
  </si>
  <si>
    <t>BLANK</t>
  </si>
  <si>
    <t>ROW 46</t>
  </si>
  <si>
    <t>ROW 47</t>
  </si>
  <si>
    <t>457P5A</t>
  </si>
  <si>
    <t>5B CARS</t>
  </si>
  <si>
    <t>CHEVROLET - VE</t>
  </si>
  <si>
    <t>400-002</t>
  </si>
  <si>
    <t>401-002</t>
  </si>
  <si>
    <t>402-002</t>
  </si>
  <si>
    <t>403-002</t>
  </si>
  <si>
    <t>404-002</t>
  </si>
  <si>
    <t>405-002</t>
  </si>
  <si>
    <t>406-002</t>
  </si>
  <si>
    <t>407-002</t>
  </si>
  <si>
    <t>408-002</t>
  </si>
  <si>
    <t>409-002</t>
  </si>
  <si>
    <t>410-002</t>
  </si>
  <si>
    <t>411-002</t>
  </si>
  <si>
    <t>412-002</t>
  </si>
  <si>
    <t>413-002</t>
  </si>
  <si>
    <t>414-002</t>
  </si>
  <si>
    <t>415-002</t>
  </si>
  <si>
    <t>416-002</t>
  </si>
  <si>
    <t>417-002</t>
  </si>
  <si>
    <t>418-002</t>
  </si>
  <si>
    <t>419P5B</t>
  </si>
  <si>
    <t>420P5B</t>
  </si>
  <si>
    <t>421P5B</t>
  </si>
  <si>
    <t>5B TRUCKS</t>
  </si>
  <si>
    <t>(CHEV - VE)</t>
  </si>
  <si>
    <t>BOLT EUV</t>
  </si>
  <si>
    <t>423-002</t>
  </si>
  <si>
    <t>418K/L/M</t>
  </si>
  <si>
    <t>BOLT EV</t>
  </si>
  <si>
    <t>424-002</t>
  </si>
  <si>
    <t>BLAZER EV</t>
  </si>
  <si>
    <t>425-002</t>
  </si>
  <si>
    <t>420K/L/M</t>
  </si>
  <si>
    <t>EQUINOX EV</t>
  </si>
  <si>
    <t>426-002</t>
  </si>
  <si>
    <t>SILVERADO EV</t>
  </si>
  <si>
    <t>427-002</t>
  </si>
  <si>
    <t>ZEVO 400 AWD</t>
  </si>
  <si>
    <t>428-002</t>
  </si>
  <si>
    <t>ZEVO 600 AWD</t>
  </si>
  <si>
    <t>429-002</t>
  </si>
  <si>
    <t>430-002</t>
  </si>
  <si>
    <t>431-002</t>
  </si>
  <si>
    <t>432-002</t>
  </si>
  <si>
    <t>433-002</t>
  </si>
  <si>
    <t>434-002</t>
  </si>
  <si>
    <t>435-002</t>
  </si>
  <si>
    <t>436-002</t>
  </si>
  <si>
    <t>437-002</t>
  </si>
  <si>
    <t>438-002</t>
  </si>
  <si>
    <t>439P5B</t>
  </si>
  <si>
    <t>440P5B</t>
  </si>
  <si>
    <t>418L/M,420L/M</t>
  </si>
  <si>
    <t>441P5B</t>
  </si>
  <si>
    <t>457P5B</t>
  </si>
  <si>
    <t>5C CARS</t>
  </si>
  <si>
    <t>BUICK - VE</t>
  </si>
  <si>
    <t>400-003</t>
  </si>
  <si>
    <t>401-003</t>
  </si>
  <si>
    <t>402-003</t>
  </si>
  <si>
    <t>403-003</t>
  </si>
  <si>
    <t>404-003</t>
  </si>
  <si>
    <t>405-003</t>
  </si>
  <si>
    <t>406-003</t>
  </si>
  <si>
    <t>407-003</t>
  </si>
  <si>
    <t>408-003</t>
  </si>
  <si>
    <t>409-003</t>
  </si>
  <si>
    <t>410-003</t>
  </si>
  <si>
    <t>411-003</t>
  </si>
  <si>
    <t>412-003</t>
  </si>
  <si>
    <t>413-003</t>
  </si>
  <si>
    <t>414-003</t>
  </si>
  <si>
    <t>415-003</t>
  </si>
  <si>
    <t>416-003</t>
  </si>
  <si>
    <t>417-003</t>
  </si>
  <si>
    <t>418-003</t>
  </si>
  <si>
    <t>419P5C</t>
  </si>
  <si>
    <t>420P5C</t>
  </si>
  <si>
    <t>416k</t>
  </si>
  <si>
    <t>421P5C</t>
  </si>
  <si>
    <t>5C TRUCKS</t>
  </si>
  <si>
    <t>(BUI - VE)</t>
  </si>
  <si>
    <t>423-003</t>
  </si>
  <si>
    <t>424-003</t>
  </si>
  <si>
    <t>425-003</t>
  </si>
  <si>
    <t>426-003</t>
  </si>
  <si>
    <t>427-003</t>
  </si>
  <si>
    <t>428-003</t>
  </si>
  <si>
    <t>429-003</t>
  </si>
  <si>
    <t>430-003</t>
  </si>
  <si>
    <t>431-003</t>
  </si>
  <si>
    <t>432-003</t>
  </si>
  <si>
    <t>433-003</t>
  </si>
  <si>
    <t>434-003</t>
  </si>
  <si>
    <t>435-003</t>
  </si>
  <si>
    <t>436-003</t>
  </si>
  <si>
    <t>437-003</t>
  </si>
  <si>
    <t>439P5C</t>
  </si>
  <si>
    <t>440P5C</t>
  </si>
  <si>
    <t>436K</t>
  </si>
  <si>
    <t>441P5C</t>
  </si>
  <si>
    <t>457P5C</t>
  </si>
  <si>
    <t>5D CARS</t>
  </si>
  <si>
    <t>BUICK</t>
  </si>
  <si>
    <t>REGAL</t>
  </si>
  <si>
    <t>400-004</t>
  </si>
  <si>
    <t>402K/L/M</t>
  </si>
  <si>
    <t>LACROSSE</t>
  </si>
  <si>
    <t>401-004</t>
  </si>
  <si>
    <t>VERANO</t>
  </si>
  <si>
    <t>402-004</t>
  </si>
  <si>
    <t>403-004</t>
  </si>
  <si>
    <t>404-004</t>
  </si>
  <si>
    <t>405-004</t>
  </si>
  <si>
    <t>9/13/2005</t>
  </si>
  <si>
    <t>406-004</t>
  </si>
  <si>
    <t>407-004</t>
  </si>
  <si>
    <t>408-004</t>
  </si>
  <si>
    <t>409-004</t>
  </si>
  <si>
    <t>410-004</t>
  </si>
  <si>
    <t>411-004</t>
  </si>
  <si>
    <t>412-004</t>
  </si>
  <si>
    <t>413-004</t>
  </si>
  <si>
    <t>414-004</t>
  </si>
  <si>
    <t>415-004</t>
  </si>
  <si>
    <t>416-004</t>
  </si>
  <si>
    <t>417-004</t>
  </si>
  <si>
    <t>AUTRES BUICK</t>
  </si>
  <si>
    <t>418-004</t>
  </si>
  <si>
    <t>419P5D</t>
  </si>
  <si>
    <t>420P5D</t>
  </si>
  <si>
    <t>421P5D</t>
  </si>
  <si>
    <t>5D TRUCKS</t>
  </si>
  <si>
    <t>(BUICK)</t>
  </si>
  <si>
    <t>423-004</t>
  </si>
  <si>
    <t>ENVISTA</t>
  </si>
  <si>
    <t>424-004</t>
  </si>
  <si>
    <t>416K/L/M</t>
  </si>
  <si>
    <t>425-004</t>
  </si>
  <si>
    <t>ENCLAVE</t>
  </si>
  <si>
    <t>426-004</t>
  </si>
  <si>
    <t>415K/L/M</t>
  </si>
  <si>
    <t>ENCORE GX</t>
  </si>
  <si>
    <t>427-004</t>
  </si>
  <si>
    <t>ENCORE</t>
  </si>
  <si>
    <t>428-004</t>
  </si>
  <si>
    <t>3/4/2013</t>
  </si>
  <si>
    <t>ENVISION</t>
  </si>
  <si>
    <t>429-004</t>
  </si>
  <si>
    <t>430-004</t>
  </si>
  <si>
    <t>431-004</t>
  </si>
  <si>
    <t>432-004</t>
  </si>
  <si>
    <t>433-004</t>
  </si>
  <si>
    <t>434-004</t>
  </si>
  <si>
    <t>435-004</t>
  </si>
  <si>
    <t>436-004</t>
  </si>
  <si>
    <t>437-004</t>
  </si>
  <si>
    <t>AUTRES CAMIONS GM</t>
  </si>
  <si>
    <t>438-004</t>
  </si>
  <si>
    <t>432k</t>
  </si>
  <si>
    <t>439P5D</t>
  </si>
  <si>
    <t>440P5D</t>
  </si>
  <si>
    <t>436k</t>
  </si>
  <si>
    <t>441P5D</t>
  </si>
  <si>
    <t>457P5D</t>
  </si>
  <si>
    <t>5E CARS</t>
  </si>
  <si>
    <t>400-006</t>
  </si>
  <si>
    <t>401-006</t>
  </si>
  <si>
    <t xml:space="preserve">CTS </t>
  </si>
  <si>
    <t>402-006</t>
  </si>
  <si>
    <t>404K/L/M</t>
  </si>
  <si>
    <t>CTS-V</t>
  </si>
  <si>
    <t>403-006</t>
  </si>
  <si>
    <t>CT4</t>
  </si>
  <si>
    <t>404-006</t>
  </si>
  <si>
    <t>CT5</t>
  </si>
  <si>
    <t>405-006</t>
  </si>
  <si>
    <t>406-006</t>
  </si>
  <si>
    <t>407-006</t>
  </si>
  <si>
    <t>ATS</t>
  </si>
  <si>
    <t>408-006</t>
  </si>
  <si>
    <t>12/7/2011</t>
  </si>
  <si>
    <t>XTS</t>
  </si>
  <si>
    <t>409-006</t>
  </si>
  <si>
    <t>ELR</t>
  </si>
  <si>
    <t>410-006</t>
  </si>
  <si>
    <t>01/14/2014</t>
  </si>
  <si>
    <t>ATS-V</t>
  </si>
  <si>
    <t>411-006</t>
  </si>
  <si>
    <t>11/7/2014</t>
  </si>
  <si>
    <t>CT6</t>
  </si>
  <si>
    <t>412-006</t>
  </si>
  <si>
    <t>413-006</t>
  </si>
  <si>
    <t>414-006</t>
  </si>
  <si>
    <t>415-006</t>
  </si>
  <si>
    <t>416-006</t>
  </si>
  <si>
    <t>417-006</t>
  </si>
  <si>
    <t>AUTRES CADILLAC</t>
  </si>
  <si>
    <t>418-006</t>
  </si>
  <si>
    <t>419P5E</t>
  </si>
  <si>
    <t>420P5E</t>
  </si>
  <si>
    <t>404L/M</t>
  </si>
  <si>
    <t>421P5E</t>
  </si>
  <si>
    <t>5E TRUCKS</t>
  </si>
  <si>
    <t>(CADL)</t>
  </si>
  <si>
    <t xml:space="preserve">ESCALADE   </t>
  </si>
  <si>
    <t>423-006</t>
  </si>
  <si>
    <t>417K/L/M</t>
  </si>
  <si>
    <t>424-006</t>
  </si>
  <si>
    <t>ESCALADE-ESV</t>
  </si>
  <si>
    <t>425-006</t>
  </si>
  <si>
    <t>SRX</t>
  </si>
  <si>
    <t>426-006</t>
  </si>
  <si>
    <t>413K/L/M</t>
  </si>
  <si>
    <t>427-006</t>
  </si>
  <si>
    <t>428-006</t>
  </si>
  <si>
    <t>429-006</t>
  </si>
  <si>
    <t>XT4</t>
  </si>
  <si>
    <t>430-006</t>
  </si>
  <si>
    <t>XT5</t>
  </si>
  <si>
    <t>431-006</t>
  </si>
  <si>
    <t>XT6</t>
  </si>
  <si>
    <t>432-006</t>
  </si>
  <si>
    <t>433-006</t>
  </si>
  <si>
    <t>ESCALADE V</t>
  </si>
  <si>
    <t>434-006</t>
  </si>
  <si>
    <t>435-006</t>
  </si>
  <si>
    <t>436-006</t>
  </si>
  <si>
    <t>437-006</t>
  </si>
  <si>
    <t>AUTRES CAMIONS CADILLAC</t>
  </si>
  <si>
    <t>438-006</t>
  </si>
  <si>
    <t>439P5E</t>
  </si>
  <si>
    <t>440P5E</t>
  </si>
  <si>
    <t>413L/M,415L/M,417L/M</t>
  </si>
  <si>
    <t>441P5E</t>
  </si>
  <si>
    <t>457P5E</t>
  </si>
  <si>
    <t>5F CARS</t>
  </si>
  <si>
    <t>GMC</t>
  </si>
  <si>
    <t>400-012</t>
  </si>
  <si>
    <t>401-012</t>
  </si>
  <si>
    <t>402-012</t>
  </si>
  <si>
    <t>403-012</t>
  </si>
  <si>
    <t>404-012</t>
  </si>
  <si>
    <t>405-012</t>
  </si>
  <si>
    <t>406-012</t>
  </si>
  <si>
    <t>407-012</t>
  </si>
  <si>
    <t>408-012</t>
  </si>
  <si>
    <t>409-012</t>
  </si>
  <si>
    <t>410-012</t>
  </si>
  <si>
    <t>411-012</t>
  </si>
  <si>
    <t>412-012</t>
  </si>
  <si>
    <t>413-012</t>
  </si>
  <si>
    <t>414-012</t>
  </si>
  <si>
    <t>415-012</t>
  </si>
  <si>
    <t>416-012</t>
  </si>
  <si>
    <t>417-012</t>
  </si>
  <si>
    <t>AUTRES GMC</t>
  </si>
  <si>
    <t>418-012</t>
  </si>
  <si>
    <t>419P5F</t>
  </si>
  <si>
    <t>420P5F</t>
  </si>
  <si>
    <t>421P5F</t>
  </si>
  <si>
    <t>5F TRUCKS</t>
  </si>
  <si>
    <t>(GMC)</t>
  </si>
  <si>
    <t>423-012</t>
  </si>
  <si>
    <t>424-012</t>
  </si>
  <si>
    <t>SAVANA</t>
  </si>
  <si>
    <t>425-012</t>
  </si>
  <si>
    <t>CANYON</t>
  </si>
  <si>
    <t>426-012</t>
  </si>
  <si>
    <t>427-012</t>
  </si>
  <si>
    <t>428-012</t>
  </si>
  <si>
    <t>429-012</t>
  </si>
  <si>
    <t>YUKON/XL</t>
  </si>
  <si>
    <t>430-012</t>
  </si>
  <si>
    <t>LD 1500 SIERRA</t>
  </si>
  <si>
    <t>431-012</t>
  </si>
  <si>
    <t>LD 2500 SIERRA</t>
  </si>
  <si>
    <t>432-012</t>
  </si>
  <si>
    <t>LD 3500 SIERRA</t>
  </si>
  <si>
    <t>433-012</t>
  </si>
  <si>
    <t>434-012</t>
  </si>
  <si>
    <t>11/23/2006</t>
  </si>
  <si>
    <t>435-012</t>
  </si>
  <si>
    <t>ACADIA</t>
  </si>
  <si>
    <t>436-012</t>
  </si>
  <si>
    <t>437-012</t>
  </si>
  <si>
    <t>AUTRES CAMIONS GMC</t>
  </si>
  <si>
    <t>438-012</t>
  </si>
  <si>
    <t>439P5F</t>
  </si>
  <si>
    <t>440P5F</t>
  </si>
  <si>
    <t>421L/M,423L/M,428L/M,432L/M</t>
  </si>
  <si>
    <t>441P5F</t>
  </si>
  <si>
    <t>457P5F</t>
  </si>
  <si>
    <t>5G CARS</t>
  </si>
  <si>
    <t>CADILLAC - VE</t>
  </si>
  <si>
    <t>CELESTIQ</t>
  </si>
  <si>
    <t>400-007</t>
  </si>
  <si>
    <t>401-007</t>
  </si>
  <si>
    <t>402-007</t>
  </si>
  <si>
    <t>403-007</t>
  </si>
  <si>
    <t>404-007</t>
  </si>
  <si>
    <t>405-007</t>
  </si>
  <si>
    <t>406-007</t>
  </si>
  <si>
    <t>407-007</t>
  </si>
  <si>
    <t>408-007</t>
  </si>
  <si>
    <t>409-007</t>
  </si>
  <si>
    <t>410-007</t>
  </si>
  <si>
    <t>411-007</t>
  </si>
  <si>
    <t>412-007</t>
  </si>
  <si>
    <t>413-007</t>
  </si>
  <si>
    <t>414-007</t>
  </si>
  <si>
    <t>415-007</t>
  </si>
  <si>
    <t>416-007</t>
  </si>
  <si>
    <t>417-007</t>
  </si>
  <si>
    <t>418-007</t>
  </si>
  <si>
    <t>419P5G</t>
  </si>
  <si>
    <t>420P5G</t>
  </si>
  <si>
    <t>421P5G</t>
  </si>
  <si>
    <t>5G TRUCKS</t>
  </si>
  <si>
    <t>(CADL - VE)</t>
  </si>
  <si>
    <t>LYRIQ</t>
  </si>
  <si>
    <t>423-007</t>
  </si>
  <si>
    <t>414K/L/M</t>
  </si>
  <si>
    <t>OPTIQ</t>
  </si>
  <si>
    <t>424-007</t>
  </si>
  <si>
    <t>ESCALADE IQ</t>
  </si>
  <si>
    <t>425-007</t>
  </si>
  <si>
    <t>VISTIQ</t>
  </si>
  <si>
    <t>426-007</t>
  </si>
  <si>
    <t>ESCALADE IQL</t>
  </si>
  <si>
    <t>427-007</t>
  </si>
  <si>
    <t>428-007</t>
  </si>
  <si>
    <t>429-007</t>
  </si>
  <si>
    <t>430-007</t>
  </si>
  <si>
    <t>431-007</t>
  </si>
  <si>
    <t>432-007</t>
  </si>
  <si>
    <t>433-007</t>
  </si>
  <si>
    <t>434-007</t>
  </si>
  <si>
    <t>435-007</t>
  </si>
  <si>
    <t>436-007</t>
  </si>
  <si>
    <t>437-007</t>
  </si>
  <si>
    <t>438-007</t>
  </si>
  <si>
    <t>439P5G</t>
  </si>
  <si>
    <t>440P5G</t>
  </si>
  <si>
    <t>414L/M,416L/M</t>
  </si>
  <si>
    <t>441P5G</t>
  </si>
  <si>
    <t>457P5G</t>
  </si>
  <si>
    <t>5H CARS</t>
  </si>
  <si>
    <t>GMC - VE</t>
  </si>
  <si>
    <t>400-008</t>
  </si>
  <si>
    <t>401-008</t>
  </si>
  <si>
    <t>402-008</t>
  </si>
  <si>
    <t>403-008</t>
  </si>
  <si>
    <t>404-008</t>
  </si>
  <si>
    <t>405-008</t>
  </si>
  <si>
    <t>406-008</t>
  </si>
  <si>
    <t>407-008</t>
  </si>
  <si>
    <t>408-008</t>
  </si>
  <si>
    <t>409-008</t>
  </si>
  <si>
    <t>410-008</t>
  </si>
  <si>
    <t>411-008</t>
  </si>
  <si>
    <t>412-008</t>
  </si>
  <si>
    <t>413-008</t>
  </si>
  <si>
    <t>414-008</t>
  </si>
  <si>
    <t>415-008</t>
  </si>
  <si>
    <t>416-008</t>
  </si>
  <si>
    <t>417-008</t>
  </si>
  <si>
    <t>418-008</t>
  </si>
  <si>
    <t>419P5H</t>
  </si>
  <si>
    <t>420P5H</t>
  </si>
  <si>
    <t>421P5H</t>
  </si>
  <si>
    <t>5H TRUCKS</t>
  </si>
  <si>
    <t>(GMC - VE)</t>
  </si>
  <si>
    <t>HUMMER EV SUT</t>
  </si>
  <si>
    <t>423-008</t>
  </si>
  <si>
    <t>427K/L/M</t>
  </si>
  <si>
    <t>HUMMER EV SUV</t>
  </si>
  <si>
    <t>424-008</t>
  </si>
  <si>
    <t>422K/L/M</t>
  </si>
  <si>
    <t>SIERRA EV</t>
  </si>
  <si>
    <t>425-008</t>
  </si>
  <si>
    <t>426-008</t>
  </si>
  <si>
    <t>427-008</t>
  </si>
  <si>
    <t>428-008</t>
  </si>
  <si>
    <t>429-008</t>
  </si>
  <si>
    <t>430-008</t>
  </si>
  <si>
    <t>431-008</t>
  </si>
  <si>
    <t>432-008</t>
  </si>
  <si>
    <t>433-008</t>
  </si>
  <si>
    <t>434-008</t>
  </si>
  <si>
    <t>435-008</t>
  </si>
  <si>
    <t>436-008</t>
  </si>
  <si>
    <t>437-008</t>
  </si>
  <si>
    <t>438-008</t>
  </si>
  <si>
    <t>439P5H</t>
  </si>
  <si>
    <t>440P5H</t>
  </si>
  <si>
    <t>422L/M,427L/M</t>
  </si>
  <si>
    <t>441P5H</t>
  </si>
  <si>
    <t>457P5H</t>
  </si>
  <si>
    <t>5I CARS</t>
  </si>
  <si>
    <t>SANS OBJECT</t>
  </si>
  <si>
    <t>400-015</t>
  </si>
  <si>
    <t>401-015</t>
  </si>
  <si>
    <t>402-015</t>
  </si>
  <si>
    <t>403-015</t>
  </si>
  <si>
    <t>404-015</t>
  </si>
  <si>
    <t>405-015</t>
  </si>
  <si>
    <t>406-015</t>
  </si>
  <si>
    <t>407-015</t>
  </si>
  <si>
    <t>408-015</t>
  </si>
  <si>
    <t>409-015</t>
  </si>
  <si>
    <t>410-015</t>
  </si>
  <si>
    <t>411-015</t>
  </si>
  <si>
    <t>412-015</t>
  </si>
  <si>
    <t>413-015</t>
  </si>
  <si>
    <t>414-015</t>
  </si>
  <si>
    <t>415-015</t>
  </si>
  <si>
    <t>416-015</t>
  </si>
  <si>
    <t>417-015</t>
  </si>
  <si>
    <t>418-015</t>
  </si>
  <si>
    <t>419P5I</t>
  </si>
  <si>
    <t>420P5I</t>
  </si>
  <si>
    <t>421P5I</t>
  </si>
  <si>
    <t>5I TRUCKS</t>
  </si>
  <si>
    <t>423-015</t>
  </si>
  <si>
    <t>424-015</t>
  </si>
  <si>
    <t>425-015</t>
  </si>
  <si>
    <t>426-015</t>
  </si>
  <si>
    <t>427-015</t>
  </si>
  <si>
    <t>428-015</t>
  </si>
  <si>
    <t>429-015</t>
  </si>
  <si>
    <t>430-015</t>
  </si>
  <si>
    <t>431-015</t>
  </si>
  <si>
    <t>432-015</t>
  </si>
  <si>
    <t>433-015</t>
  </si>
  <si>
    <t>434-015</t>
  </si>
  <si>
    <t>435-015</t>
  </si>
  <si>
    <t>436-015</t>
  </si>
  <si>
    <t>437-015</t>
  </si>
  <si>
    <t>AUTRES POIDS MOYEN</t>
  </si>
  <si>
    <t>438-015</t>
  </si>
  <si>
    <t>439P5I</t>
  </si>
  <si>
    <t>440P5I</t>
  </si>
  <si>
    <t>441P5I</t>
  </si>
  <si>
    <t>457P5I</t>
  </si>
  <si>
    <t>5J CARS</t>
  </si>
  <si>
    <t>400-099</t>
  </si>
  <si>
    <t>401-099</t>
  </si>
  <si>
    <t>402-099</t>
  </si>
  <si>
    <t>403-099</t>
  </si>
  <si>
    <t>404-099</t>
  </si>
  <si>
    <t>405-099</t>
  </si>
  <si>
    <t>406-099</t>
  </si>
  <si>
    <t>407-099</t>
  </si>
  <si>
    <t>408-099</t>
  </si>
  <si>
    <t>409-099</t>
  </si>
  <si>
    <t>410-099</t>
  </si>
  <si>
    <t>411-099</t>
  </si>
  <si>
    <t>412-099</t>
  </si>
  <si>
    <t>413-099</t>
  </si>
  <si>
    <t>414-099</t>
  </si>
  <si>
    <t>415-099</t>
  </si>
  <si>
    <t>416-099</t>
  </si>
  <si>
    <t>417-099</t>
  </si>
  <si>
    <t>418-099</t>
  </si>
  <si>
    <t>419P5J</t>
  </si>
  <si>
    <t>420P5J</t>
  </si>
  <si>
    <t>421P5J</t>
  </si>
  <si>
    <t>5J TRUCKS</t>
  </si>
  <si>
    <t>POIDS LOURD</t>
  </si>
  <si>
    <t>423-099</t>
  </si>
  <si>
    <t>424-099</t>
  </si>
  <si>
    <t>425-099</t>
  </si>
  <si>
    <t>426-099</t>
  </si>
  <si>
    <t>427-099</t>
  </si>
  <si>
    <t>428-099</t>
  </si>
  <si>
    <t>429-099</t>
  </si>
  <si>
    <t>430-099</t>
  </si>
  <si>
    <t>431-099</t>
  </si>
  <si>
    <t>432-099</t>
  </si>
  <si>
    <t>433-099</t>
  </si>
  <si>
    <t>434-099</t>
  </si>
  <si>
    <t>435-099</t>
  </si>
  <si>
    <t>436-099</t>
  </si>
  <si>
    <t>437-099</t>
  </si>
  <si>
    <t>438-099</t>
  </si>
  <si>
    <t>439P5J</t>
  </si>
  <si>
    <t>440P5J</t>
  </si>
  <si>
    <t>441P5J</t>
  </si>
  <si>
    <t>AUTRES NEUFS</t>
  </si>
  <si>
    <t>445-099</t>
  </si>
  <si>
    <t>457P5J</t>
  </si>
  <si>
    <t>PAGE 5K</t>
  </si>
  <si>
    <t>5K CARS</t>
  </si>
  <si>
    <t>FLEET &amp; COMMERICAL</t>
  </si>
  <si>
    <t>CHEVROLET VOITURES MCI</t>
  </si>
  <si>
    <t>400-P5K</t>
  </si>
  <si>
    <t>CHEVROLET VOITURES VE</t>
  </si>
  <si>
    <t>401-P5K</t>
  </si>
  <si>
    <t>BUICK VOITURES MCI</t>
  </si>
  <si>
    <t>402-P5K</t>
  </si>
  <si>
    <t>BUICK VOITURES VE</t>
  </si>
  <si>
    <t>403-P5K</t>
  </si>
  <si>
    <t>CADILLAC VOITURES MCI</t>
  </si>
  <si>
    <t>404-P5K</t>
  </si>
  <si>
    <t>CADILLAC VOITURES VE</t>
  </si>
  <si>
    <t>405-P5K</t>
  </si>
  <si>
    <t>406-P5K</t>
  </si>
  <si>
    <t>407-P5K</t>
  </si>
  <si>
    <t>5K TRUCKS</t>
  </si>
  <si>
    <t>BUICK / CADILLAC PETIT VUS VE</t>
  </si>
  <si>
    <t>412-P5K</t>
  </si>
  <si>
    <t>BUICK / CADILLAC PETIT VUS MCI</t>
  </si>
  <si>
    <t>413-P5K</t>
  </si>
  <si>
    <t>BUICK / CADILLAC MOYEN VUS VE</t>
  </si>
  <si>
    <t>414-P5K</t>
  </si>
  <si>
    <t>BUICK / CADILLAC MOYEN VUS MCI</t>
  </si>
  <si>
    <t>415-P5K</t>
  </si>
  <si>
    <t>BUICK / CADILLAC GRAND VUS VE</t>
  </si>
  <si>
    <t>416-P5K</t>
  </si>
  <si>
    <t>BUICK / CADILLAC GRAND VUS MCI</t>
  </si>
  <si>
    <t>417-P5K</t>
  </si>
  <si>
    <t>CHEVROLET / GMC PETIT VUS VE</t>
  </si>
  <si>
    <t>418-P5K</t>
  </si>
  <si>
    <t>CHEVROLET / GMC PETIT VUS MCI</t>
  </si>
  <si>
    <t>419-P5K</t>
  </si>
  <si>
    <t>CHEVROLET / GMC MOYEN VUS VE</t>
  </si>
  <si>
    <t>420-P5K</t>
  </si>
  <si>
    <t>01/31/2006</t>
  </si>
  <si>
    <t>CHEVROLET / GMC MOYEN VUS MCI</t>
  </si>
  <si>
    <t>421-P5K</t>
  </si>
  <si>
    <t>ROW 20</t>
  </si>
  <si>
    <t>CHEVROLET / GMC / HUMMER GRAND VUS VE</t>
  </si>
  <si>
    <t>422-P5K</t>
  </si>
  <si>
    <t>CHEVROLET / GMC GRAND VUS MCI</t>
  </si>
  <si>
    <t>423-P5K</t>
  </si>
  <si>
    <t>SILVERADO/SIERRA POIDS LOURD MCI (2500/3500)</t>
  </si>
  <si>
    <t>424-P5K</t>
  </si>
  <si>
    <t>425-P5K</t>
  </si>
  <si>
    <t>ROW 24</t>
  </si>
  <si>
    <t>SILVERADO/SIERRA POIDS LÉGER MCI (1500)</t>
  </si>
  <si>
    <t>426-P5K</t>
  </si>
  <si>
    <t>SILVERADO/SIERRA/HUMMER POIDS LOURD VE</t>
  </si>
  <si>
    <t>427-P5K</t>
  </si>
  <si>
    <t>COLORADO/CANYON MCI</t>
  </si>
  <si>
    <t>428-P5K</t>
  </si>
  <si>
    <t>429-P5K</t>
  </si>
  <si>
    <t>SILVERADO CHASSIS (4500+)</t>
  </si>
  <si>
    <t>430-P5K</t>
  </si>
  <si>
    <t>CHEVROLET/GMC LCF/CONV</t>
  </si>
  <si>
    <t>431-P5K</t>
  </si>
  <si>
    <t>EXPRESS/SAVANA MCI</t>
  </si>
  <si>
    <t>432-P5K</t>
  </si>
  <si>
    <t>433-P5K</t>
  </si>
  <si>
    <t>434-P5K</t>
  </si>
  <si>
    <t>PAGE 5L</t>
  </si>
  <si>
    <t>5L CARS</t>
  </si>
  <si>
    <t>FLEET</t>
  </si>
  <si>
    <t>400-P5L</t>
  </si>
  <si>
    <t>401-P5L</t>
  </si>
  <si>
    <t>402-P5L</t>
  </si>
  <si>
    <t>403-P5L</t>
  </si>
  <si>
    <t>404-P5L</t>
  </si>
  <si>
    <t>405-P5L</t>
  </si>
  <si>
    <t>406-P5L</t>
  </si>
  <si>
    <t>407-P5L</t>
  </si>
  <si>
    <t>5L TRUCKS</t>
  </si>
  <si>
    <t>412-P5L</t>
  </si>
  <si>
    <t>413-P5L</t>
  </si>
  <si>
    <t>414-P5L</t>
  </si>
  <si>
    <t>415-P5L</t>
  </si>
  <si>
    <t>416-P5L</t>
  </si>
  <si>
    <t>417-P5L</t>
  </si>
  <si>
    <t>418-P5L</t>
  </si>
  <si>
    <t>419-P5L</t>
  </si>
  <si>
    <t>420-P5L</t>
  </si>
  <si>
    <t>421-P5L</t>
  </si>
  <si>
    <t>422-P5L</t>
  </si>
  <si>
    <t>423-P5L</t>
  </si>
  <si>
    <t>424-P5L</t>
  </si>
  <si>
    <t>425-P5L</t>
  </si>
  <si>
    <t>426-P5L</t>
  </si>
  <si>
    <t>427-P5L</t>
  </si>
  <si>
    <t>428-P5L</t>
  </si>
  <si>
    <t>429-P5L</t>
  </si>
  <si>
    <t>430-P5L</t>
  </si>
  <si>
    <t>431-P5L</t>
  </si>
  <si>
    <t>432-P5L</t>
  </si>
  <si>
    <t>BRIGHTDROP</t>
  </si>
  <si>
    <t>433-P5L</t>
  </si>
  <si>
    <t>434-P5L</t>
  </si>
  <si>
    <t>PAGE 5M</t>
  </si>
  <si>
    <t>5M CARS</t>
  </si>
  <si>
    <t>GOVERNMENT</t>
  </si>
  <si>
    <t>400-P5M</t>
  </si>
  <si>
    <t>401-P5M</t>
  </si>
  <si>
    <t>402-P5M</t>
  </si>
  <si>
    <t>403-P5M</t>
  </si>
  <si>
    <t>ROW 41</t>
  </si>
  <si>
    <t>404-P5M</t>
  </si>
  <si>
    <t>405-P5M</t>
  </si>
  <si>
    <t>406-P5M</t>
  </si>
  <si>
    <t>407-P5M</t>
  </si>
  <si>
    <t>5M TRUCKS</t>
  </si>
  <si>
    <t>412-P5M</t>
  </si>
  <si>
    <t>413-P5M</t>
  </si>
  <si>
    <t>ROW 48</t>
  </si>
  <si>
    <t>414-P5M</t>
  </si>
  <si>
    <t>ROW 49</t>
  </si>
  <si>
    <t>415-P5M</t>
  </si>
  <si>
    <t>ROW 50</t>
  </si>
  <si>
    <t>416-P5M</t>
  </si>
  <si>
    <t>ROW 51</t>
  </si>
  <si>
    <t>417-P5M</t>
  </si>
  <si>
    <t>ROW 52</t>
  </si>
  <si>
    <t>418-P5M</t>
  </si>
  <si>
    <t>ROW 53</t>
  </si>
  <si>
    <t>419-P5M</t>
  </si>
  <si>
    <t>ROW 54</t>
  </si>
  <si>
    <t>420-P5M</t>
  </si>
  <si>
    <t>ROW 55</t>
  </si>
  <si>
    <t>421-P5M</t>
  </si>
  <si>
    <t>ROW 56</t>
  </si>
  <si>
    <t>422-P5M</t>
  </si>
  <si>
    <t>ROW 57</t>
  </si>
  <si>
    <t>423-P5M</t>
  </si>
  <si>
    <t>ROW 58</t>
  </si>
  <si>
    <t>424-P5M</t>
  </si>
  <si>
    <t>ROW 59</t>
  </si>
  <si>
    <t>425-P5M</t>
  </si>
  <si>
    <t>ROW 60</t>
  </si>
  <si>
    <t>426-P5M</t>
  </si>
  <si>
    <t>ROW 61</t>
  </si>
  <si>
    <t>427-P5M</t>
  </si>
  <si>
    <t>ROW 62</t>
  </si>
  <si>
    <t>428-P5M</t>
  </si>
  <si>
    <t>ROW 63</t>
  </si>
  <si>
    <t>429-P5M</t>
  </si>
  <si>
    <t>ROW 64</t>
  </si>
  <si>
    <t>430-P5M</t>
  </si>
  <si>
    <t>ROW 65</t>
  </si>
  <si>
    <t>431-P5M</t>
  </si>
  <si>
    <t>ROW 66</t>
  </si>
  <si>
    <t>432-P5M</t>
  </si>
  <si>
    <t>ROW 67</t>
  </si>
  <si>
    <t>433-P5M</t>
  </si>
  <si>
    <t>ROW 68</t>
  </si>
  <si>
    <t>434-P5M</t>
  </si>
  <si>
    <t>VOIT D'OCC. DÉTAIL CERTIF.</t>
  </si>
  <si>
    <t>VOIT D'OCC. DÉTAIL AUTRE</t>
  </si>
  <si>
    <t>VOIT OCC. REMIS-À-NF CERTIF</t>
  </si>
  <si>
    <t>VOIT OCC. REMIS-À-NF AUTR</t>
  </si>
  <si>
    <t>648</t>
  </si>
  <si>
    <t>VOIT D'OCCASION EN GROS</t>
  </si>
  <si>
    <t>CAM D'OCC. DÉTAIL CERTIF.</t>
  </si>
  <si>
    <t>CAM D'OCC. DÉTAIL AUTRE</t>
  </si>
  <si>
    <t>CAM OCC. REMIS-À-NF CERTIF</t>
  </si>
  <si>
    <t>CAM OCC. REMIS-À-NF AUTR</t>
  </si>
  <si>
    <t>652</t>
  </si>
  <si>
    <t>CAM D'OCCASION EN GROS</t>
  </si>
  <si>
    <t>LABOR</t>
  </si>
  <si>
    <t>M-D'O S/TRAIT - VOIT &amp; CAM LÉG.</t>
  </si>
  <si>
    <t>M-D'O SRV RAP - VOIT &amp; CAM LÉG.</t>
  </si>
  <si>
    <t>M-D’O SERV RAPIDE - VOIT, CAM LÉGER VE</t>
  </si>
  <si>
    <t>M-D'O CLI COM, PARCS &amp; CAM MOY</t>
  </si>
  <si>
    <t>M-D'O S/TR COM, PARCS &amp; CAM MOY</t>
  </si>
  <si>
    <t>M-D'O SRV RAP-COM, PRC &amp; CM MOY</t>
  </si>
  <si>
    <t>M-D'O RÉCLAMATION SUR GARANTIE</t>
  </si>
  <si>
    <t>M-D'O INSP. DE VÉH. NEUFS</t>
  </si>
  <si>
    <t>M-D'O CLIENT PEINTURE</t>
  </si>
  <si>
    <t>M-D'O CLIENT CARR -CAM</t>
  </si>
  <si>
    <t>INVENTORIES</t>
  </si>
  <si>
    <t>230G</t>
  </si>
  <si>
    <t>STOCK DEMONSTR.</t>
  </si>
  <si>
    <t>230NG</t>
  </si>
  <si>
    <t>231G</t>
  </si>
  <si>
    <t>STOCK VOITURES NEUVES</t>
  </si>
  <si>
    <t>231NG</t>
  </si>
  <si>
    <t>237G</t>
  </si>
  <si>
    <t>STOCK CAMIONS NEUFS</t>
  </si>
  <si>
    <t>237NG</t>
  </si>
  <si>
    <t>235G</t>
  </si>
  <si>
    <t>235NG</t>
  </si>
  <si>
    <t>240</t>
  </si>
  <si>
    <t>STOCK VOIT. D'OCCASION</t>
  </si>
  <si>
    <t>241</t>
  </si>
  <si>
    <t>STOCK CAMIONS D'OCCASION</t>
  </si>
  <si>
    <t>STOCK VÉH. ÉDUC. ROUTIÈRE</t>
  </si>
  <si>
    <t>STOCK LC&amp;LT</t>
  </si>
  <si>
    <t>STOCK VÉH. DE SERVITURE</t>
  </si>
  <si>
    <t>510</t>
  </si>
  <si>
    <t>CRÉDIT-BAIL ALÉATOIRE</t>
  </si>
  <si>
    <t>520</t>
  </si>
  <si>
    <t>CRÉDIT-BAIL SIMPLE</t>
  </si>
  <si>
    <t>530</t>
  </si>
  <si>
    <t>REVENU LOCATION CRT TRM</t>
  </si>
  <si>
    <t>REVENU FINANCE-NEUF</t>
  </si>
  <si>
    <t>COMM. ENCAIS. ASS.-NEUF</t>
  </si>
  <si>
    <t>643</t>
  </si>
  <si>
    <t>PPGM</t>
  </si>
  <si>
    <t>644</t>
  </si>
  <si>
    <t>AUTRES PLANS DE PROT</t>
  </si>
  <si>
    <t>REVENU FINANCE-D'OCCA.</t>
  </si>
  <si>
    <t>COMM. ENCAIS. ASS.-D'OCCA.</t>
  </si>
  <si>
    <t>654</t>
  </si>
  <si>
    <t>PLAN DE PROT. GM</t>
  </si>
  <si>
    <t>655</t>
  </si>
  <si>
    <t>RÉCLAM GARANTIE marge br</t>
  </si>
  <si>
    <t>DEFAULTS</t>
  </si>
  <si>
    <t>NEW</t>
  </si>
  <si>
    <t>SERVICE/BODY</t>
  </si>
  <si>
    <t>SERVICE</t>
  </si>
  <si>
    <t>CO. VEH</t>
  </si>
  <si>
    <t>VÉH. DE SERVITUDE</t>
  </si>
  <si>
    <t>PERSONNEL</t>
  </si>
  <si>
    <t>LABOUR RATES</t>
  </si>
  <si>
    <t>Accuracy Points</t>
  </si>
  <si>
    <t>Report Version No.</t>
  </si>
  <si>
    <t>2.2.2</t>
  </si>
  <si>
    <t>Document Number</t>
  </si>
  <si>
    <t>v222r0</t>
  </si>
  <si>
    <t>Owner</t>
  </si>
  <si>
    <t>Client</t>
  </si>
  <si>
    <t>S/T</t>
  </si>
  <si>
    <t>Language</t>
  </si>
  <si>
    <t>French</t>
  </si>
  <si>
    <t>Division</t>
  </si>
  <si>
    <t>GMCL</t>
  </si>
  <si>
    <t>Previous Month Sales Edit Unlock Code:</t>
  </si>
  <si>
    <t>WorkBook Name:</t>
  </si>
  <si>
    <t>Commentaires</t>
  </si>
  <si>
    <t>Points
Deducted</t>
  </si>
  <si>
    <t>Defined Ranges</t>
  </si>
  <si>
    <t xml:space="preserve">JOURNAL DES SOUMISSIONS - </t>
  </si>
  <si>
    <t xml:space="preserve">
ERREUR IRRÉCUPÉRABLE --- Le code BAC n'est pas VALIDE !</t>
  </si>
  <si>
    <t>Apr 07, 2025 - 01:33:31 PM: Tableur fermé</t>
  </si>
  <si>
    <t xml:space="preserve">
ERREUR IRRÉCUPÉRABLE --- La somme des comptes 243, 244, 245 et 258 à la page 1 N'EST PAS ÉGALE aux autres stocks GM et autres à la page 7! La différence est de  </t>
  </si>
  <si>
    <t>Les erreurs irrécupérables vont prévenir la soumission des données.</t>
  </si>
  <si>
    <t>Les erreurs non irrécupérables résulteront en une perte de points de précision.</t>
  </si>
  <si>
    <t xml:space="preserve">
ERREUR IRRÉCUPÉRABLE --- Les unités NE correspondent PAS à une valeur de l'actif ou ; un actif NE correspond PAS aux unités ! </t>
  </si>
  <si>
    <t>Intro</t>
  </si>
  <si>
    <t xml:space="preserve">
ERREUR IRRÉCUPÉRABLE --- Une valeur de l'actif NE correspond PAS à l'amortissement cumulé ou ; l'amortissement cumulé ne démontre AUCUNE valeur de l'actif correspondante !  </t>
  </si>
  <si>
    <t>Le fichier a été importé.</t>
  </si>
  <si>
    <t>TB Edit Application</t>
  </si>
  <si>
    <t xml:space="preserve">
--- Un solde de clôture d'un compte de l'actif DEVRAIT ÊTRE supérieur ou égal à zéro (0) !</t>
  </si>
  <si>
    <t>Seul le texte non-italique en bleu peut être corrigé!</t>
  </si>
  <si>
    <t xml:space="preserve">
--- Les frais payés d'avance représentent PLUS DE 12 mois de frais mensuels moyens courants! CETTE ERREUR NE REPRÉSENTE QU'UNE OBSERVATION.  AUCUN POINT NE SERA DÉDUIT ET AUCUN COMPTE D'ERREUR NE SERA ENREGISTRÉ!</t>
  </si>
  <si>
    <t>Le fichier N'A PAS été importé.</t>
  </si>
  <si>
    <t xml:space="preserve">
--- L'actif est amorti à MOINS DE son coût d'origine !</t>
  </si>
  <si>
    <t>Seul le texte en bleu peut être corrigé!</t>
  </si>
  <si>
    <t xml:space="preserve">
ERREUR IRRÉCUPÉRABLE --- Le total des actifs N'EST PAS ÉGAL au total des actifs à court terme et d'exploitation + le total des immobilisations + le total des actifs divers !  La différence est de  </t>
  </si>
  <si>
    <t>Vous avez sauvegardé le chiffrier avec les données prises de DSP.  Seul le texte en bleu et non en italique peut être corrigé!</t>
  </si>
  <si>
    <t xml:space="preserve">
ERREUR IRRÉCUPÉRABLE --- L'écart de la balance de vérification est de  </t>
  </si>
  <si>
    <t xml:space="preserve">Le fichier de sortie a été créé dans </t>
  </si>
  <si>
    <t>TB Edit Application Export</t>
  </si>
  <si>
    <t xml:space="preserve">
--- Un solde de clôture d'un compte du passif DEVRAIT ÊTRE supérieur ou égal à zéro (0) !</t>
  </si>
  <si>
    <t xml:space="preserve">On ne peut trouver l'identification du compte: </t>
  </si>
  <si>
    <t xml:space="preserve">
--- Ce compte dénote un montant tandis qu'il n'y a aucun montant pour les commissions et salaires ou, aucun montant n'est démontré pour ce compte tandis qu'on dénote des commissions et/ou des salaires !</t>
  </si>
  <si>
    <t xml:space="preserve">
ERREUR IRRÉCUPÉRABLE --- On ne démontre pas le # d'employés pertinents à cette classification de poste tandis que le compte de rémunération qui y est relié démontre un solde. Ou, ce compte de rémunération pour cette classification du poste démontre un solde de 0, tandis que le décompte de personnel correspondant n'est pas 0 !</t>
  </si>
  <si>
    <t xml:space="preserve"> L'identification du compte est vierge. L'étiquette d'identification du compte est manquante ou erronée.</t>
  </si>
  <si>
    <t xml:space="preserve">
ERREUR IRRÉCUPÉRABLE --- Le profit/perte du service après les frais d'administration générale N'EST PAS ÉGAL au profit/perte du service, plus le transfert F&amp;A, plus le prorata des frais d'administration générale ! La différence est de  </t>
  </si>
  <si>
    <t xml:space="preserve">Une erreur c'est produite lors du traitement du fichier CSV.   </t>
  </si>
  <si>
    <t>Entrer fichier CSV</t>
  </si>
  <si>
    <t xml:space="preserve">
ERREUR IRRÉCUPÉRABLE --- Le prorata des frais d'administration générale N'EST PAS complet ! La différence est de  </t>
  </si>
  <si>
    <t xml:space="preserve">Une erreur c'est produite lors du traitement du fichier XML.   </t>
  </si>
  <si>
    <t>Entrer fichier XML</t>
  </si>
  <si>
    <t xml:space="preserve">
ERREUR IRRÉCUPÉRABLE --- Le total des frais d'administration générale N'EST PAS ÉGAL aux frais d'administration générale du personnel, plus les semi-fixes, plus les fixes !   La différence est de  </t>
  </si>
  <si>
    <t>Rapport d'exploitation du concessionnaire</t>
  </si>
  <si>
    <t xml:space="preserve">
ERREUR IRRÉCUPÉRABLE --- Le décompte de personnel dépasse la marge allouée, la valeur minimum  est  </t>
  </si>
  <si>
    <t>Désirez-vous imprimer une liste des Erreur(s) dans un document MS Word ?</t>
  </si>
  <si>
    <t>Imprimer cellule de commentaires</t>
  </si>
  <si>
    <t xml:space="preserve">, la valeur maximum est  </t>
  </si>
  <si>
    <t>Vous n'avez pas d'erreurs irrécupérables. Désirez-vous soumettre les données au système DBI ?</t>
  </si>
  <si>
    <t>Désirez-vous soumettre les données?</t>
  </si>
  <si>
    <t xml:space="preserve">, la valeur actuelle est  </t>
  </si>
  <si>
    <t xml:space="preserve"> Points d'exactitude seront déduits. Désirez-vous tout de même le soumettre ?</t>
  </si>
  <si>
    <t>Points d'exactitude</t>
  </si>
  <si>
    <t xml:space="preserve">
ERREUR IRRÉCUPÉRABLE --- Le montant démontré par unité dépasse la marge, la valeur minimum est  </t>
  </si>
  <si>
    <t>Fin d'impression des commentaires à MS Word</t>
  </si>
  <si>
    <t xml:space="preserve">
ERREUR IRRÉCUPÉRABLE --- Les UNITÉS démontrées ne correspondent pas aux VENTES et/ou au C.D.V., ou les VENTES démontrées ne correspondent pas aux UNITÉS, ou le C.D.V. démontré ne correspond pas aux UNITÉS ! </t>
  </si>
  <si>
    <t>A field, or fields contains data that cannot be processed! Insure that alpha data was not mistakenly entered into a numeric field</t>
  </si>
  <si>
    <t>Dealer Operating Report Edit</t>
  </si>
  <si>
    <t xml:space="preserve">
--- Le montant démontré dépasse la marge "par unité", la valeur minimum est  </t>
  </si>
  <si>
    <t>Chargement des données du mois précédent (ou données soumises précédemment) dans le tableur.</t>
  </si>
  <si>
    <t>Chargement des données…</t>
  </si>
  <si>
    <t xml:space="preserve">
ERREUR IRRÉCUPÉRABLE --- Les ventes DOIVENT ÊTRE supérieures ou égales à 0 !  </t>
  </si>
  <si>
    <t>Prière d'attendre...</t>
  </si>
  <si>
    <t xml:space="preserve">
ERREUR IRRÉCUPÉRABLE --- Les ventes démontrées ne correspondent pas au C.D.V., ou le C.D.V. démontré ne correspond pas aux ventes ! </t>
  </si>
  <si>
    <t>C:</t>
  </si>
  <si>
    <t>C:\DSP2DCS</t>
  </si>
  <si>
    <t xml:space="preserve">
ERREUR IRRÉCUPÉRABLE --- Ceci semble être un rapport d'exploitation de clôture d'exercice et la concession démontre une réserve de réduction DEPS, on devrait donc démontrer un DEPS AAD !</t>
  </si>
  <si>
    <t>The output file has Not been saved.</t>
  </si>
  <si>
    <t xml:space="preserve">
ERREUR IRRÉCUPÉRABLE --- Le décompte des unités DOIT ÊTRE supérieur ou égal à 0 !  </t>
  </si>
  <si>
    <t xml:space="preserve">Edit data error.
Please call the DBI Help Desk. 
Reference: </t>
  </si>
  <si>
    <t>Edit Data:</t>
  </si>
  <si>
    <t xml:space="preserve">
ERREUR IRRÉCUPÉRABLE --- Les contrats démontrés ne correspondent pas au revenu ou, le revenu ne correspond pas aux contrats !</t>
  </si>
  <si>
    <t>Télécharger les données :</t>
  </si>
  <si>
    <t xml:space="preserve">
ERREUR IRRÉCUPÉRABLE --- La valeur des stocks DOIT ÊTRE supérieure ou égale à 0 !  </t>
  </si>
  <si>
    <t>Select the environment for Automatic Upload by setting the appropriate flag to TRUE. Please set the flags for the other environments to FALSE</t>
  </si>
  <si>
    <t xml:space="preserve">
ERREUR IRRÉCUPÉRABLE --- La réserve de réduction de DEPS cumulée DOIT ÊTRE inférieure OU ÉGALE au coût des stocks !</t>
  </si>
  <si>
    <t>Veuillez sélectionner l'environnement de téléchargement automatique en plaçant les repères appropriés sur la feuille de calcul « Commentaires ».</t>
  </si>
  <si>
    <t>Sélectionner l'environnement de téléchargement automatique :</t>
  </si>
  <si>
    <t xml:space="preserve">
 --- Les comptes à recevoir DOIVENT AVOIR un solde de clôture débiteur !</t>
  </si>
  <si>
    <t>Production:</t>
  </si>
  <si>
    <t xml:space="preserve">
ERREUR IRRÉCUPÉRABLE --- Les ventes au comptant NE SONT PAS RAPPORTÉES !</t>
  </si>
  <si>
    <t>Préproduction (salle de modélisation) :</t>
  </si>
  <si>
    <t xml:space="preserve">
 --- Les ventes au comptant NE SONT PAS RAPPORTÉES !</t>
  </si>
  <si>
    <t>Développement :</t>
  </si>
  <si>
    <t xml:space="preserve">
 --- La catégorie du revenu de LC&amp;LT dépasse la marge, la valeur minimum est  </t>
  </si>
  <si>
    <t>AutoUpload Error messages</t>
  </si>
  <si>
    <t xml:space="preserve">
 --- Le paiement payé d'avance LC&amp;LT DEVRAIT AVOIR un solde de clôture créditeur !</t>
  </si>
  <si>
    <t>Login timeout error</t>
  </si>
  <si>
    <t>Ouverture de session expirée!</t>
  </si>
  <si>
    <t xml:space="preserve">
 --- Le montant des stocks de voitures et camions d'occasion par unité dépasse la marge, la valeur minimum est  </t>
  </si>
  <si>
    <t>LoginFormExists error</t>
  </si>
  <si>
    <t>Erreur d'ouverture de session!</t>
  </si>
  <si>
    <t xml:space="preserve">
ERREUR IRRÉCUPÉRABLE --- Le total des immobilisations net N'EST PAS ÉGAL à la somme des immobilisations aux lignes 47 à 56 ci-dessus, Le total courant est de  </t>
  </si>
  <si>
    <t>Page Web d'ouverture de session introuvable!</t>
  </si>
  <si>
    <t xml:space="preserve">
ERREUR IRRÉCUPÉRABLE --- Les additions et déductions nettes au revenu NE totalisent PAS la somme des additions moins la somme des déductions du revenu ! La différence est de    </t>
  </si>
  <si>
    <t>UploadFile error</t>
  </si>
  <si>
    <t>Erreur dans le fichier de téléchargement!</t>
  </si>
  <si>
    <t xml:space="preserve">
ERREUR IRRÉCUPÉRABLE --- Le total des unités de véhicules neufs N'EST PAS ÉGAL au total des unités de voitures neuves, plus le total des unités de camions neufs ! La différence est de    </t>
  </si>
  <si>
    <t>IEPostStringRequest error</t>
  </si>
  <si>
    <t>Erreur lors du transfert des données au système DBI!</t>
  </si>
  <si>
    <t xml:space="preserve">
ERREUR IRRÉCUPÉRABLE --- Le profit brut total des véhicules neufs N'EST PAS ÉGAL au profit brut total des voitures neuves, plus le profit brut total des camions neufs, plus le profit brut des autres véhicules, plus le profit brut des accessoires ! La différence est de    </t>
  </si>
  <si>
    <t>GetFile error</t>
  </si>
  <si>
    <t>Erreur lors de la lecture du fichier de sortie XML!</t>
  </si>
  <si>
    <t xml:space="preserve">
ERREUR IRRÉCUPÉRABLE --- Le profit brut total N'EST PAS ÉGAL au profit brut total des voitures neuves, plus le profit brut total des camions neufs, plus le profit brut de F&amp;A, plus le profit brut des accessoires, moins le total des frais directs ! La différence est de    </t>
  </si>
  <si>
    <t>CheckUploadStatus</t>
  </si>
  <si>
    <t>Erreur lors de la lecture de l'état de progression du téléchargement automatique!</t>
  </si>
  <si>
    <t xml:space="preserve">
ERREUR IRRÉCUPÉRABLE --- Le profit brut total N'EST PAS ÉGAL au profit brut au détail, plus le profit brut en gros et la rectification des stocks, plus le profit brut de F&amp;A ! La différence est de    </t>
  </si>
  <si>
    <t>General error message</t>
  </si>
  <si>
    <t>Erreur lors de la lecture des données de téléchargement!</t>
  </si>
  <si>
    <t xml:space="preserve">
ERREUR IRRÉCUPÉRABLE --- Le total des unités N'EST PAS ÉGAL aux unités détaillées plus les unités en gros ! La différence est de    </t>
  </si>
  <si>
    <t>Ouverture réussie d'une session du système DBI.</t>
  </si>
  <si>
    <t>Téléchargement des données en cours…</t>
  </si>
  <si>
    <t xml:space="preserve">
ERREUR IRRÉCUPÉRABLE --- Le profit brut total N'EST PAS ÉGAL au profit brut de la main-d'œuvre, plus le profit brut des fournitures d'atelier, plus le profit brut des réparations sous traitées ! La différence est de    </t>
  </si>
  <si>
    <t xml:space="preserve">Données financières correspondant au code d'associé commercial (BAC) : </t>
  </si>
  <si>
    <t>État de progression du téléchargement :</t>
  </si>
  <si>
    <t xml:space="preserve">
ERREUR IRRÉCUPÉRABLE --- Le total des bons de réparations N'EST PAS ÉGAL à la somme des bons de réparations par catérogie de main-d'œuvre ! La différence est de    </t>
  </si>
  <si>
    <t xml:space="preserve"> Pour le mois de : </t>
  </si>
  <si>
    <t>Erreur!</t>
  </si>
  <si>
    <t xml:space="preserve">
ERREUR IRRÉCUPÉRABLE --- Le profit brut total N'EST PAS ÉGAL au profit brut main-d'œuvre, plus le profit brut des fournitures de la carroserie, plus le profit brut des réparations sous traitées ! La différence est de    </t>
  </si>
  <si>
    <t xml:space="preserve"> ont été téléchargées avec succès vers le serveur DBI.</t>
  </si>
  <si>
    <t xml:space="preserve">
ERREUR IRRÉCUPÉRABLE --- Le profit brut total N'EST PAS ÉGAL au profit brut total des pièces et accessoires. plus le profit brut du total des autres pièces ! La différence est de    </t>
  </si>
  <si>
    <t>Submission Log Messages</t>
  </si>
  <si>
    <t xml:space="preserve">
ERREUR IRRÉCUPÉRABLE --- Le total du F&amp;A N'EST PAS ÉGAL à la somme de finance, d'assurance et des plans de protection ! La différence est de    </t>
  </si>
  <si>
    <t>Conversion du journal des soumissions en format Word terminée</t>
  </si>
  <si>
    <t>Imprimer journal des soumissions:</t>
  </si>
  <si>
    <t xml:space="preserve">
ERREUR IRRÉCUPÉRABLE --- Le total des unités en stock N'EST PAS ÉGAL à la somme du décompte des unités individuelles en stock ! La différence est de    </t>
  </si>
  <si>
    <t>Tableur ouvert</t>
  </si>
  <si>
    <t xml:space="preserve">
ERREUR IRRÉCUPÉRABLE --- Le total de la réserve de réduction de DEPS cumulée N'EST PAS ÉGAL à la somme de réserve de réduction de DEPS des stocks individuels ! La différence est de    </t>
  </si>
  <si>
    <t>Tableur fermé</t>
  </si>
  <si>
    <t xml:space="preserve">
ERREUR IRRÉCUPÉRABLE --- Le décompte total N'EST PAS ÉGAL à la somme du décompte de tous les départements individuels ! La différence est de    </t>
  </si>
  <si>
    <t>Fichier XML importé</t>
  </si>
  <si>
    <t xml:space="preserve">
ERREUR IRRÉCUPÉRABLE --- Le total des comptes à recevoir net clients N'EST PAS ÉGAL au total des comptes à recevoir clients, plus le solde débiteur des comptes à payer, moins la réserve pour créances douteuses ! La différence est de    </t>
  </si>
  <si>
    <t>Fichier CSV importé</t>
  </si>
  <si>
    <t xml:space="preserve">
ERREUR IRRÉCUPÉRABLE --- L'amortissement cumulé total de la LC&amp;LT N'EST PAS ÉGAL à la somme d'amortissement cumulé de toutes les différentes catégories ! La différence est de    </t>
  </si>
  <si>
    <t>Méthode d'entrée manuelle sélectionnée</t>
  </si>
  <si>
    <t xml:space="preserve">
ERREUR IRRÉCUPÉRABLE --- Le total des unités en LC&amp;LT N'EST PAS ÉGAL à la somme des unités pour les différentes catégories ! La différence est de    </t>
  </si>
  <si>
    <t>Option « VÉRIFICATION DES DONNÉES » sélectionnée</t>
  </si>
  <si>
    <t xml:space="preserve">
ERREUR IRRÉCUPÉRABLE --- Les unités sont démontrées SANS valeur d'actif correspondante ou ; un actif est démontré SANS unités correspondantes, ou SANS amortissement cumulé correspondant ou ; l'amortissement cumulé est démontré SANS valeur d'actif correspondante ! </t>
  </si>
  <si>
    <t xml:space="preserve">
ERREUR IRRÉCUPÉRABLE --- La valeur nette totale de l'actif de la LC&amp;LT N'EST PAS ÉGALE à la somme des valeurs nettes de l'actif pour les différentes catégories ! La différence est de    </t>
  </si>
  <si>
    <t>Erreur lors de la lecture du fichier d'entrée</t>
  </si>
  <si>
    <t xml:space="preserve">
ERREUR IRRÉCUPÉRABLE --- Le total net des comptes clients à recevoir N'EST PAS ÉGAL au total des comptes clients à recevoir, moins la réserve pour créances douteuses ! La différence est de    </t>
  </si>
  <si>
    <t xml:space="preserve">
ERREUR IRRÉCUPÉRABLE --- Le profif brut total LC&amp;LT N'EST PAS ÉGAL au profit brut après les coûts directs, plus Gain(Perte) sur cession ! La différence est de    </t>
  </si>
  <si>
    <t xml:space="preserve">
ERREUR IRRÉCUPÉRABLE --- Les unités totales LC&amp;LT NE SONT PAS ÉGALES à la somme de crédit-bail simple, plus le crédit-bail aléatoire, plus les unités en loc. court terme ! La différence est de    </t>
  </si>
  <si>
    <t>Backup File Name Text:</t>
  </si>
  <si>
    <t xml:space="preserve">\Copie de sécurité de </t>
  </si>
  <si>
    <t xml:space="preserve">
ERREUR IRRÉCUPÉRABLE --- Le total du passif et de la valeur nette N'EST PAS ÉGAL au passif total, plus la valeur nette ! La différence est de  </t>
  </si>
  <si>
    <t>Workbook Backup Saved:</t>
  </si>
  <si>
    <t xml:space="preserve">
--- Le montant au solde devrait être moins de 100 $ ou plus de -100 $!</t>
  </si>
  <si>
    <t>DSP File Info Verification</t>
  </si>
  <si>
    <t xml:space="preserve">
ERREUR IRRÉCUPÉRABLE --- La main-d'œuvre des travaux en cours, Compte 247 à la page 1, N'EST PAS ÉGALE aux travaux en cours des ateliers de mécanique et de carrosserie à la page 7 ! La différence est de  </t>
  </si>
  <si>
    <t>Données erronées dans le fichier d'entrée :</t>
  </si>
  <si>
    <t xml:space="preserve">
ERREUR IRRÉCUPÉRABLE --- Le stock de pièces et accessoires, Compte 242 à la page 1, N'EST PAS ÉGAL aux P&amp;A et P&amp;A d'échange GM et autres stocks avant le PEPS à la page 7 ! La différence est de  </t>
  </si>
  <si>
    <t xml:space="preserve">
ERREUR IRRÉCUPÉRABLE --- Le transfert du profit brut de pièces et accessoires à la page 4, ligne 59 N'EST PAS ÉGAL au transfert des ateliers de mécanique et de carrosserie à la page 4, ligne 59 ! La différence est de     </t>
  </si>
  <si>
    <t xml:space="preserve">
--- Le transfert du profit brut de pièces et accessoires à l'atelier mécanique à la page 4, ligne 59 N'EST PAS ÉGAL à 50 % du profit brut des pièces de l'atelier mécanique à la page 6, lignes 51-55, 58 et 59 ! La différence est de    </t>
  </si>
  <si>
    <t xml:space="preserve">
--- Le transfert du profit brut des pièces et accessoires à l'atelier de carrosserie à la page 4, ligne 59 N'EST PAS ÉGAL à 50 % du profit brut des pièces de l'atelier de carrosserie à la page 6, ligne 57 ! La différence est de    </t>
  </si>
  <si>
    <t>Date de transfert des soumissions non valide à la page 1 :</t>
  </si>
  <si>
    <t>Mois soumis est non valide :</t>
  </si>
  <si>
    <t xml:space="preserve">
--- Ce compte NE DEVRAIT PAS être utilisé et devrait donc démontrer un solde de 0 $ !</t>
  </si>
  <si>
    <t xml:space="preserve"> .Impossible de télécharger les données!</t>
  </si>
  <si>
    <t xml:space="preserve">
--- L'information à la page 7 ne concorde pas avec l'information à la page 1.  La différence est de    </t>
  </si>
  <si>
    <t>Automatic Upload - Debug Mode (Keeps the web browser visible):</t>
  </si>
  <si>
    <t xml:space="preserve">
ERREUR IRRÉCUPÉRABLE --- Les ventes nettes, année a date, du mois précédant sont égales, ou plus grande, que les ventes nettes, année a date, du mois courrant.  Les ventes nettes AAD du mois précédant son :   </t>
  </si>
  <si>
    <t>Un des éléments suivants peut être la cause de l'erreur
Un logiciel antivirus
Version ancienne de l'ensemble de service Microsoft Excel
Des problèmes liés au pare-feu</t>
  </si>
  <si>
    <t>Le chargement automatique n'a pas réussi</t>
  </si>
  <si>
    <t xml:space="preserve">
ERREUR IRRÉCUPÉRABLE --- Les ventes totales nettes totalisent zéro !</t>
  </si>
  <si>
    <t>La date du dernier mois de soumission est manquante dans l'en-tête de la Balance de Vérification</t>
  </si>
  <si>
    <t>La date inscrite dans l'en-tête est manquante</t>
  </si>
  <si>
    <t xml:space="preserve">
ERREUR IRRÉCUPÉRABLE --- On ne démontre pas le # d’employés applicables à la classification de ce poste, quoiqu’on démontre un solde au(x) compte(s) de rémunération apparentée à la page 7, lignes 8 et 17. Ou, le(s) compte(s) de rémunération à la page 7, lignes 8 et 17 démontre un solde de zéro, quoique le décompte de personnel apparenté n’est pas zéro !</t>
  </si>
  <si>
    <t>Edit Change Alerts</t>
  </si>
  <si>
    <t xml:space="preserve">
ERREUR IRRÉCUPÉRABLE ---La valeur absolue des frais de G&amp;A qui sont alloués à ce departement est plus élevée que la valeur totale absolue de frais de G&amp;A à la page 4!  </t>
  </si>
  <si>
    <t>Alert Month</t>
  </si>
  <si>
    <t xml:space="preserve">
ERREUR IRRÉCUPÉRABLE ---Les ventes d’unités pour le mois courant sont plus élevées que les ventes d’unités pour l’année en cours!</t>
  </si>
  <si>
    <t>Alert Year</t>
  </si>
  <si>
    <t xml:space="preserve">
--- Le taux de main-d’oeuvre comptabilisé excède le montant maximum permis</t>
  </si>
  <si>
    <t>****** Avertissement d'un Changement ******</t>
  </si>
  <si>
    <t>Header</t>
  </si>
  <si>
    <r>
      <t xml:space="preserve">
ERREUR IRRÉCUPÉRABLE --- La somme des unités autos parc enregistrée aux pages 5a à 5j, ligne 22 n'est </t>
    </r>
    <r>
      <rPr>
        <u/>
        <sz val="10"/>
        <rFont val="Arial"/>
        <family val="2"/>
      </rPr>
      <t>PAS</t>
    </r>
    <r>
      <rPr>
        <sz val="10"/>
        <rFont val="Arial"/>
        <family val="2"/>
      </rPr>
      <t xml:space="preserve"> égale à la somme des unités autos parc à la page 5k, ligne 21 !  La différence est   </t>
    </r>
  </si>
  <si>
    <t>Taux de main-d’œuvre</t>
  </si>
  <si>
    <t>Subheader1</t>
  </si>
  <si>
    <r>
      <t xml:space="preserve">
ERREUR IRRÉCUPÉRABLE --- La somme des unités camions parc enregistrée aux pages 5a à 5j, ligne 22 n'est</t>
    </r>
    <r>
      <rPr>
        <u/>
        <sz val="10"/>
        <rFont val="Arial"/>
        <family val="2"/>
      </rPr>
      <t xml:space="preserve"> PAS</t>
    </r>
    <r>
      <rPr>
        <sz val="10"/>
        <rFont val="Arial"/>
        <family val="2"/>
      </rPr>
      <t xml:space="preserve"> égale à la somme des unités camions parc à la page 5k, ligne 21 !  La différence est   </t>
    </r>
  </si>
  <si>
    <t>Une deuxième catégorie d’éditions critiques a été ajoutée à la section taux de main-d’œuvre au bas de la page 4.</t>
  </si>
  <si>
    <t>Message1</t>
  </si>
  <si>
    <t xml:space="preserve">
ERREUR IRRÉCUPÉRABLE  --- On n’a pas sélectionné de méthode d’entrée / Fournisseur de systèmes d'établissements concessionnaires (DSP) ! On doit sélectionner une méthode valide d’entrée / DSP avant de soumettre vos données à General Motors!</t>
  </si>
  <si>
    <t>À partir d’avril 2006, une comptabilisation qui affichera des taux de main-d’œuvre grossièrement exagérés, résultera en un empêchement par l’utilisateur de soumettre les données.</t>
  </si>
  <si>
    <t>Message2</t>
  </si>
  <si>
    <t xml:space="preserve">
ERREUR IRRÉCUPÉRABLE --- Le montant au solde devrait être moins de 100 $ ou plus de - 100 $!</t>
  </si>
  <si>
    <t>SubHeader2</t>
  </si>
  <si>
    <t xml:space="preserve">
ERREUR IRRÉCUPÉRABLE --- Les ventes pour le mois de janvier et le cumul annuel ne sont pas égales ! Vous devez comptabiliser la position financière de la concession basée selon la méthode comptable d’un exercice financier de fin d’année civile (clôture d’exercice le 31 décembre).  Si tel est le cas, les ventes pour le mois de janvier et le cumul annuel devraient être égales.</t>
  </si>
  <si>
    <t>N’oubliez pas que les taux de main-d’œuvre sont considérés comme statistiques et, par conséquence, peuvent être édités directement dans TB Edit.  Il n’est pas nécessaire d’importer de nouvelles données dans votre système DSP.</t>
  </si>
  <si>
    <t>Message3</t>
  </si>
  <si>
    <t>Message4</t>
  </si>
  <si>
    <t xml:space="preserve"> mois de cette année financière/calendrier.  Vous devez soumettre les données financières du concessionnaire basé sur une fin d'année fiscale du 31 décembre.  SVP vous assure que vous reportez pour une période qui débute le 1er janvier et qui se termine le 31 décembre de la même année.  CETTE ERREUR N'EST QU'UNE « OBSERVATION ».  AUCUNS POINTS DE PRÉCISION NE SERONT DÉDUITS ET AUCUN DÉCOMPTE D'ERREUR NE SERA FACTURÉE !</t>
  </si>
  <si>
    <t>Message5</t>
  </si>
  <si>
    <t xml:space="preserve">
ERREUR IRRÉCUPÉRABLE --- L'actif total  est plus petit ou égale 0.  Un concessionnaire ne peut opérer sans actifs!</t>
  </si>
  <si>
    <t>Message6</t>
  </si>
  <si>
    <t xml:space="preserve">
ERREUR IRRÉCUPÉRABLE --- Aucun taux de main-d'oeuvre n'est comptabilisé pour ce compte, tandis que des ventes de main-d'oeuvre correspondantes sont comptabilisées pour ce mois, à la page 6 !</t>
  </si>
  <si>
    <t>TBOutput Extract Management</t>
  </si>
  <si>
    <t>Keep TBOutput file used for direct upload</t>
  </si>
  <si>
    <t xml:space="preserve"> Les montants des dettes à long terme qui sont exclus dans le calcul du fonds de roulement net rencontrent les conditions suivantes :
1. L’effet doit être payable au principal propriétaire participant.
2. Les remboursements du principal doivent provenir uniquement des bénéfices.
3. Le montant exclu est limité à 50 % du fonds de roulement standard.</t>
  </si>
  <si>
    <t>Login Screen</t>
  </si>
  <si>
    <t>GLOBALCONNECT</t>
  </si>
  <si>
    <t>Use GlobalConnect or DBI Login</t>
  </si>
  <si>
    <t>DBI</t>
  </si>
  <si>
    <t xml:space="preserve">
ERREUR IRRÉCUPÉRABLE --- La valeur inscrite du taux de main-d’œuvre N'EST PAS numérique. Prière d'entrer la valeur numérique correcte du taux de main-d’œuvre en utilisant le format suivant : "00.00"!</t>
  </si>
  <si>
    <t xml:space="preserve">
ERREUR IRRÉCUPÉRABLE --- Le taux de main-d’oeuvre comptabilisé excède le montant maximum permis</t>
  </si>
  <si>
    <t xml:space="preserve"> CETTE ERREUR N'EST QU'UNE « OBSERVATION ».  AUCUNS POINTS DE PRÉCISION NE SERONT DÉDUITS ET AUCUN DÉCOMPTE D'ERREUR NE SERA FACTURÉE À CE MOMENT!</t>
  </si>
  <si>
    <t xml:space="preserve">
ERREUR IRRÉCUPÉRABLE --- Les Ventes au Comptant de </t>
  </si>
  <si>
    <t xml:space="preserve"> sont plus grand que les ventes clients totales des Opérations Fixes de </t>
  </si>
  <si>
    <t>TBD</t>
  </si>
  <si>
    <t xml:space="preserve">
ERREUR IRRÉCUPÉRABLE --- La somme des comptes 280 et 281 à la page 1 ÉGALE zéro (0) ET le compte 335 à la page 1 est PLUS GRAND QUE zéro (0).  Le compte 335 ne peut pas être plus grand que zéro (0) s’il n’y a pas de valeur dans les comptes 280 et 281. </t>
  </si>
  <si>
    <t xml:space="preserve">
ERREUR IRRÉCUPÉRABLE - Les Comptes No 360 et 380 NE PEUVENT PAS être utilisés en même temps et donc l'un d'entre eux devrait démontrer un solde de 0 $ ! (Le Compte No 360 est établi pour enregistrer la structure de capital dans les établissements concessionnaires qui sont constitués en sociétés par actions.  Ce compte ne peut être utilisé par les établissements concessionnaires établis en sociétés de personnes (partenariat) ou en entreprises individuelles)</t>
  </si>
  <si>
    <t xml:space="preserve">
ERREUR IRRÉCUPÉRABLE - Les Comptes No 360 et 380 NE PEUVENT PAS être utilisés en même temps et donc l'un d'entre eux devrait démontrer un solde de 0 $ ! (Le Compte No 380 est établi pour les sociétés de personnes (partenariat) ou individuelles afin de comptabiliser les investissements des propriétaires. Les sociétés par actions ne peuvent pas utiliser ce compte)</t>
  </si>
  <si>
    <t>Les totaux de parcs et de gouvernement entrés ne correspondent pas aux totaux des unités entrés sur Page5_FLT_GOV pour la marque respective. Cet écart peut provenir des totaux de GMC ou de Chevrolet, veuillez-vous assurer que les deux sont corrects.</t>
  </si>
  <si>
    <t>Les totaux de parcs et de gouvernement entrés ne correspondent pas aux totaux des ventes entrés sur Page5_FLT_GOV pour la marque respective. Cet écart peut provenir des totaux de GMC ou de Chevrolet, veuillez-vous assurer que les deux sont corrects.</t>
  </si>
  <si>
    <t>Les totaux de parcs et de gouvernement entrés ne correspondent pas aux totaux du profit brut entrés sur Page5_FLT_GOV pour la marque respective. Cet écart peut provenir des totaux de GMC ou de Chevrolet, veuillez-vous assurer que les deux sont corrects.</t>
  </si>
  <si>
    <t>Les totaux de parcs et de gouvernement entrés ne correspondent pas aux totaux des unités entrés sur Page5_FLT_GOV pour la marque respective. Cet écart peut provenir des totaux de Buick ou de Cadillac, veuillez-vous assurer que les deux sont corrects.</t>
  </si>
  <si>
    <t>Les totaux de parcs et de gouvernement entrés ne correspondent pas aux totaux des ventes entrés sur Page5_FLT_GOV pour la marque respective. Cet écart peut provenir des totaux  de Buick ou de Cadillac, veuillez-vous assurer que les deux sont corrects.</t>
  </si>
  <si>
    <t>Les totaux de parcs et de gouvernement entrés ne correspondent pas aux totaux du profit brut entrés sur Page5_FLT_GOV pour la marque respective. Cet écart peut provenir des totaux  de Buick ou de Cadillac, veuillez-vous assurer que les deux sont corrects.</t>
  </si>
  <si>
    <t xml:space="preserve">
ERREUR IRRÉCUPÉRABLE --- LTD doit être ≥0</t>
  </si>
  <si>
    <t>TB Edit Application Change Log</t>
  </si>
  <si>
    <t>Country</t>
  </si>
  <si>
    <t>Canada-French</t>
  </si>
  <si>
    <t>Version</t>
  </si>
  <si>
    <t>Date</t>
  </si>
  <si>
    <t>Excel
Sheet
Reference</t>
  </si>
  <si>
    <t>Excel
Column
Reference</t>
  </si>
  <si>
    <t>Excel
Row
Number</t>
  </si>
  <si>
    <t>TBIEdit 
Change
Reference</t>
  </si>
  <si>
    <t>Additional
Ref 1</t>
  </si>
  <si>
    <t>Additional
Ref 2</t>
  </si>
  <si>
    <t>Comments</t>
  </si>
  <si>
    <t>Account Description</t>
  </si>
  <si>
    <t>Account
No.</t>
  </si>
  <si>
    <t>Account Identifier</t>
  </si>
  <si>
    <t>Updated By</t>
  </si>
  <si>
    <t>1.3.8</t>
  </si>
  <si>
    <t>1.3.9</t>
  </si>
  <si>
    <t>Yes</t>
  </si>
  <si>
    <t>Removed Corporation Type</t>
  </si>
  <si>
    <t>TBIn</t>
  </si>
  <si>
    <t>G</t>
  </si>
  <si>
    <t>TBOut</t>
  </si>
  <si>
    <t>Changed formula to Sum(Row 4 to 11) from Sum(Row 4 to 9)</t>
  </si>
  <si>
    <t>K</t>
  </si>
  <si>
    <t>1.4.0</t>
  </si>
  <si>
    <t>A-H</t>
  </si>
  <si>
    <t>77-113</t>
  </si>
  <si>
    <t>Improved description of RONA calculation</t>
  </si>
  <si>
    <t>D,H,L,P</t>
  </si>
  <si>
    <t>Added Department Numbers to Column Headers</t>
  </si>
  <si>
    <t>Changed C/T to C+T</t>
  </si>
  <si>
    <t>Added "OTHER" to the fixeed asset sub</t>
  </si>
  <si>
    <t>Added "OTHER RESERVES" to the stub</t>
  </si>
  <si>
    <t>L,M,N</t>
  </si>
  <si>
    <t>Changed "USED OTHER" to USED OTHER AUTOMOTIVE"</t>
  </si>
  <si>
    <t>Changed "NEW OTHER" to "NEW OTHER AUTOMOTIVE"</t>
  </si>
  <si>
    <t xml:space="preserve">Corrected formula wa IF(Flag=TRUE,P31-TBIn!E780,TBIn!D788). Correct calculation is =IF(Flag=TRUE,P31-TBIn!E780,TBIn!D788) </t>
  </si>
  <si>
    <t>OR_VEH</t>
  </si>
  <si>
    <t>Added comment to the Namplate Title "Alfa Romeo 096" and "Fiat 097"</t>
  </si>
  <si>
    <t>Added links to the TBOut and &lt;0 edits on the Verify Sheet</t>
  </si>
  <si>
    <t>Added links to the TBOut</t>
  </si>
  <si>
    <t>F,M,O</t>
  </si>
  <si>
    <t>Changed the Unique Field Name from 00-00-339-AMT-CURR to 00-00-TOTRES-LIFO-CURR</t>
  </si>
  <si>
    <t>Changed refrences to "Service Department" to "Mechanical Department"</t>
  </si>
  <si>
    <t>26-35</t>
  </si>
  <si>
    <t>J</t>
  </si>
  <si>
    <t>Changed refrences to "Service Department" to "Mech Department"</t>
  </si>
  <si>
    <t>B</t>
  </si>
  <si>
    <t>Changed stub from "TTL  F&amp;I  INC.(to pg 2 ln 1-2)" to "TTL  F&amp;I  INC.(to pg 3 ln 1-2)"</t>
  </si>
  <si>
    <t>Changed stub from "L&amp;R -  F&amp;I  &amp; PROT. PLN INCOME ." to "L&amp;R -  F&amp;I  &amp; PROT. PLN INCOME .(to pg 3 ln 1-2)"</t>
  </si>
  <si>
    <t>Verify</t>
  </si>
  <si>
    <t>2219-2223</t>
  </si>
  <si>
    <t>Changed font from italic to normal to enable manual correction of cells</t>
  </si>
  <si>
    <t>Deleted commet</t>
  </si>
  <si>
    <t>Changed Account Name form "220 L&amp;R ADA" to "340 L&amp;R ADA"</t>
  </si>
  <si>
    <t>Changed the Stub from "&lt;-- 447B / 447A  --&gt;" to "&lt;-- 647A / 647B  --&gt;"</t>
  </si>
  <si>
    <t>Changed the Stub from "&lt;-- 451B / 451A  --&gt;" to "&lt;-- 651A / 651B  --&gt;"</t>
  </si>
  <si>
    <t>5K</t>
  </si>
  <si>
    <t>Changed the spelling of COMMERICAL to COMMERCIAL</t>
  </si>
  <si>
    <t>Changed the font for the account number</t>
  </si>
  <si>
    <t>1.4.1</t>
  </si>
  <si>
    <t>Changed the default format to regular black text with white fill</t>
  </si>
  <si>
    <t>Corrected the formula and format of cell</t>
  </si>
  <si>
    <t>XML File</t>
  </si>
  <si>
    <t>Corrected the field identifier form "00^00^220LRADA^^TOTLRECV^CURR" to "00^00^340LRADA^^TOTLRECV^CURR"</t>
  </si>
  <si>
    <t>CSV File</t>
  </si>
  <si>
    <t>Corrected the field identifier form "220LRADA" to "340LRADA"</t>
  </si>
  <si>
    <t>Corrected the field identifier form "05-00-462A-RO-CURR" to "05-00-462-RO-CURR"</t>
  </si>
  <si>
    <t>Corrected the field identifier form "05-00-463A-RO-CURR" to "05-00-463-RO-CURR"</t>
  </si>
  <si>
    <t>Corrected the field identifier form "462A" to "462"</t>
  </si>
  <si>
    <t>Corrected the field identifier form "463A" to "463"</t>
  </si>
  <si>
    <t>Corrected the field identifier form "00^00^340LRNET^^TOTLRECV^CURR" to "00^00^220LRNET^^TOTLRECV^CURR"</t>
  </si>
  <si>
    <t>Corrected the field identifier form "00-00-340LRNET-TOTLRECV-CURR" to "00-00-220LRNET-TOTLRECV-CURR"</t>
  </si>
  <si>
    <t>1.4.2.</t>
  </si>
  <si>
    <t>Corrected the formula from "=TBIn!E678" to " =L45-M45"</t>
  </si>
  <si>
    <t>1.4.2</t>
  </si>
  <si>
    <t>Comment on the right-hand side of the page was too large, changed font size</t>
  </si>
  <si>
    <t>Changed the account name from "À RECEVOIR T.P.S." to "T.P.S. À RECEVOIR"</t>
  </si>
  <si>
    <t>Changed the account name from "VÉHICULES LC &amp; LT" to "VÉHICULES LOC. C&amp;L T.</t>
  </si>
  <si>
    <t>Changed the account name from "LC &amp; LT - AMORT. CUM." to LOC. C&amp;L T. - AMORT. CUM."</t>
  </si>
  <si>
    <t>Changed the title from "ANALYSE DES DÉPENSES DE L'EXPLOITATION TOTALE" to "ANALYSE DES DÉPENSES DE L'EXPLOITATION TOTALE"</t>
  </si>
  <si>
    <t>Changed the title from "CONCESSION TOTALE" to "OPÉRATION TOTALE"</t>
  </si>
  <si>
    <t>Changed the account name from "RÉMUNÉRATION - PROP./CADRES SUPÉRIEURS" to "RÉMUNÉRATION - PROPR./DIR. GÉNÉRAL"</t>
  </si>
  <si>
    <t>Changed the account name from "COMMERCE ÉLECTRONIQUE FRAIS DE PUBLICITÉ" to "COMMERCE ÉLECTRONIQUE / PUBLICITÉ", change font to 8</t>
  </si>
  <si>
    <t>Changed the account name from "ASSURANCE - STOCKS" to "ASSURANCE - STOCKS DE VÉHICULES"</t>
  </si>
  <si>
    <t>Changed the account name from "TRANSPORT" to "FRAIS DE POSTE ET DE TRANSPORT"</t>
  </si>
  <si>
    <t>Changed from "VARIABLE OPERATIONS - DEPARTMENT PROFITABILITY"  to "OPÉRATIONS VARIABLES - PROFITABILITÉ"</t>
  </si>
  <si>
    <t>Changed from "VÉHICULES NEUFS" to "VÉHICULES NEUFS (01)"</t>
  </si>
  <si>
    <t>Changed from "VÉHICULES D'OCCATION" to "VÉHICULES D'OCCASION (02)"</t>
  </si>
  <si>
    <t>Changed from "LOCATION LONG ET COURT TERME" to "LOCATION COURT ET LONG TERME (03)</t>
  </si>
  <si>
    <t>Changed from "REVENU FIN. ASS ET PLAN DE PROT." to "REVNUE FIN. ASS. &amp; PLAN PROT. (04)"</t>
  </si>
  <si>
    <t>Changed font from italic to normal and change font from 6 to 7</t>
  </si>
  <si>
    <t>Changed font from italic to normal</t>
  </si>
  <si>
    <t>Changed from "FIXED OPERATIONS - DEPARTMENT PROFITABILITY"  to "OPÉRATIONS FIXES - PROFITABILITÉ"</t>
  </si>
  <si>
    <t>Changed from "ATELIER DE MÉCANIQUE" to "ATELIER DE MÉCANIQUE (05)"</t>
  </si>
  <si>
    <t>Changed from "ATELIER DE CARROSSERIE" to "ATELIER DE CARROSSERIE (06)"</t>
  </si>
  <si>
    <t>Changed from "SERVICES DES PIÈCES ET ACCESSOIRES" to "PIÈCES ET ACCESSOIRES"</t>
  </si>
  <si>
    <t>Changed from "ADMINISTRATION GÉNÉRALE" to "ADMINISTRATION GÉNÉRALE (09)"</t>
  </si>
  <si>
    <t>Changed from "MAIN-D'ŒUVRE CONTRAT PROLONG. DE SERVICE" to "MAIN-D'ŒUVRE CONTRAT PROLONGÉ DE SERVICE"</t>
  </si>
  <si>
    <t>All changes are in yellow</t>
  </si>
  <si>
    <t>5a-5J</t>
  </si>
  <si>
    <t>Line was added at the end of page (does not affect print area)</t>
  </si>
  <si>
    <t>Deleted account name</t>
  </si>
  <si>
    <t>5k</t>
  </si>
  <si>
    <t>Changed font from 7 to 6</t>
  </si>
  <si>
    <t>Changed the account name from "TOTAL VARIABLES L C&amp;L T" to "TOTAL LOCATION C &amp; L TERME"</t>
  </si>
  <si>
    <t>Changed "PVR" to ""PVD"</t>
  </si>
  <si>
    <t>Changed "M-D'O S-TRAIT - VOIT &amp; CAM LÉGERS" to "M-D'O CONT. SERV.-VOIT &amp;CAM LÉGERS"</t>
  </si>
  <si>
    <t>Changed "M-D'O S-TRAIT CAM MOY/SAAB" to "M-D'O CONTRAT SERV. - CAM MOY/SAAB"</t>
  </si>
  <si>
    <t>Changed "Décompte B.R." to "Nombre de B.R."</t>
  </si>
  <si>
    <t>Changed "REVENU FIN. VÉH. NEUFS" to "REVENU FINANCEMENT"</t>
  </si>
  <si>
    <t>Changed "COMMISSIONS VERSÉES SUR ASSURANCE VÉHICULES NEUFS" to "COMMISSIONS ENCAISSÉES SUR ASSURANCE"</t>
  </si>
  <si>
    <t>Changed "PERTES DE REPRISE DE POSSESSION VÉHICULES NEUFS" to "PERTES DE REPRISE DE POSSESSION"</t>
  </si>
  <si>
    <t>Changed "REVENU FIN. VÉH. D'OCCASION" to "REVENU FINANCEMENT"</t>
  </si>
  <si>
    <t>Changed "COMMISSIONS VERSÉES SUR ASSURANCE VÉHICULES D'OCCASION" to "COMMISSIONS ENCAISSÉES SUR ASSURANCE"</t>
  </si>
  <si>
    <t>Changed "REV. F&amp;A PLANS PROT. D'OCC. À" to "REV. F&amp;A PLANS PROT D'OCC."</t>
  </si>
  <si>
    <t>Changed "CNTRS/UNITÉS" to "CONT./UNITÉS"</t>
  </si>
  <si>
    <t>Changed "ANALYSE SUPPLÉMENTAIRE DES INVENTARIES" to "ANALYSE SUPPLÉMENTAIRE DES INVENTAIRES"</t>
  </si>
  <si>
    <t>Changed "CAMIONS MOYENS" to "CAMIONS POIDS MOYEN"</t>
  </si>
  <si>
    <t>Changed "AUTRES AUTOMOBILES" to "AUTRES VÉHICULES"</t>
  </si>
  <si>
    <t>Changed "M-D'O TRAVAUX EN COURS - SERVICE" to "M-D'O TRAVAUX EN COURS-MÉCANIQUE"</t>
  </si>
  <si>
    <t>Changed "A &amp; G" to "ADM. GÉN."</t>
  </si>
  <si>
    <t>Changed "VENDEURS VÉH. ET APRÈS-VENTE" to "VENDEURS VÉH., SERVICES, PIÈCES"</t>
  </si>
  <si>
    <t>Changed "COMPTES-CLIENTS À RECEVOIR POUR LA CONCESSION" to "COMPTES-CLIENTS À RECEVOIR"</t>
  </si>
  <si>
    <t>Changed "ÉLIMINÉES DU SERVICE" to "VENTES"</t>
  </si>
  <si>
    <t>Changed "CHIFFRE D'AFFAIRES RÉALISÉ" to "VENTES"</t>
  </si>
  <si>
    <t>Changed "AUTRES AUTOM. NEUVES" to "AUTRES VÉHICULES NEUFS"</t>
  </si>
  <si>
    <t>Changed "NEW UNITS FOR LEASE" to "UNITÉS NEUVES POUR LOCATION"</t>
  </si>
  <si>
    <t>Changed "DEMONSTRATORS" to "VÉHICULES DE DÉMONSTRATION"</t>
  </si>
  <si>
    <t>Changed "TERMINATED NOT DISPOSED" to "UNITÉS HORS-SERVICE NON CÉDÉES"</t>
  </si>
  <si>
    <t>Changed "MÉMO 30 DAYS $$/U" to ""MÉMO" 30 JOURS $$/U</t>
  </si>
  <si>
    <t>Changed "CHIFFRE D'AFFAIRES" to "VENTES"</t>
  </si>
  <si>
    <t>Changed "CAMIONS MOYEN NEUFS" to "CAM. PDS MOYEN NEUFS"</t>
  </si>
  <si>
    <t>Changed "BILLETS &amp; COMPTES-CLIENTS À RECEVOIR ADMINISTRATEURS" to "BILLETS &amp; COMPTES À RECEVOIR - ADMINISTRATEURS"</t>
  </si>
  <si>
    <t>Changed "BONIS À PAYER AUX SALARIÉS" to "BONIS À PAYER AUX EMPLOYÉS"</t>
  </si>
  <si>
    <t>From cell O 51 to O 57, removed and replaced by the word "COMPAGNIES"</t>
  </si>
  <si>
    <t>Changed the font from 7 to 8</t>
  </si>
  <si>
    <t>Changed the font to bold</t>
  </si>
  <si>
    <t>Changed font from Italic to normal</t>
  </si>
  <si>
    <t>Changed from "BLANK" to "AUTRES"</t>
  </si>
  <si>
    <t>Changed from "BLANK" to "AUTRES RÉSERVES"</t>
  </si>
  <si>
    <t>Changed from "TOTAL REV F&amp;A (à la page 2, ligne 1 et 2)" to "TOTAL REV F&amp;A (à la page 3, lignes 1 et 2)</t>
  </si>
  <si>
    <t>Changed "L C&amp;L T - REVENU FIN. &amp; ASSS. ET PLANS DE PROT." to "L C&amp;LT REV. FIN &amp; ASS.&amp;PLANS DE PROT. (p3, lignes 1-2)" also, font was changed from 8 to 7</t>
  </si>
  <si>
    <t>Replaced the account title by "AVEO/OPTRA/EPICA"</t>
  </si>
  <si>
    <t>Replaced "WAVE" by "----"</t>
  </si>
  <si>
    <t>Replaced "VIVANT" by "EPICA"</t>
  </si>
  <si>
    <t>Replaced "EPICA" by "----"</t>
  </si>
  <si>
    <t>Added "AUTRES POIDS MOYEN"</t>
  </si>
  <si>
    <t>473-2173</t>
  </si>
  <si>
    <t>Modified Edits to elminate redundency - edited cells highlighted in yellow</t>
  </si>
  <si>
    <t>1 to 8</t>
  </si>
  <si>
    <t>various</t>
  </si>
  <si>
    <t>On manual input, modified range totals to calculate automatically rather than have the user enter them.</t>
  </si>
  <si>
    <t>DF, HJ, LN</t>
  </si>
  <si>
    <t>On manual input, modified parts gross transfer to be preformed automatically based on a 50/50 split.</t>
  </si>
  <si>
    <t>Corrected formula was =IF(Flag=TRUE,O48+TBIn!E2216,-TBIn!D2216) to =IF(Flag=TRUE,O48-TBIn!E2216,+TBIn!D2216)</t>
  </si>
  <si>
    <t>Corrected formula was =-TBIn!E2216 to =TBIn!E2216</t>
  </si>
  <si>
    <t>K-R</t>
  </si>
  <si>
    <t>Removed the dark line and changes the section name from "Acct &amp; Notes / Accrued" to "Accts &amp; Accrued Notes"</t>
  </si>
  <si>
    <t>Added formula =N29+M30-M31 to cell</t>
  </si>
  <si>
    <t>H/O</t>
  </si>
  <si>
    <t>Changed formula to =IF(Flag=TRUE,J29+H30-H31,TBIn!D794)</t>
  </si>
  <si>
    <t>Changed formula from SUM(J48:J52) to SUM(J48:J53)</t>
  </si>
  <si>
    <t>Corrected formula was =IF(Flag=TRUE,O48+TBIn!E2216,-TBIn!D2216) to =IF(Flag=TRUE,O48-TBIn!E2216,TBIn!D2216)</t>
  </si>
  <si>
    <t>Changed formula from IF(Flag=TRUE,K4+TBIn!E2179,-TBIn!D2179) to IF(Flag=TRUE,K4-TBIn!E2179,TBIn!D2179)</t>
  </si>
  <si>
    <t>Changed formula from IF(Flag=TRUE,K5+TBIn!E2180,-TBIn!D2180) to IF(Flag=TRUE,K5-TBIn!E2180,TBIn!D2180)</t>
  </si>
  <si>
    <t>Changed formula from IF(Flag=TRUE,K13+TBIn!E2187,-TBIn!D2187) to IF(Flag=TRUE,K13-TBIn!E2187,TBIn!D2187)</t>
  </si>
  <si>
    <t>Changed formula from IF(Flag=TRUE,K14+TBIn!E2188,-TBIn!D2188) to IF(Flag=TRUE,K14-TBIn!E2188,TBIn!D2188)</t>
  </si>
  <si>
    <t>Changed formula from -TBIn!E2179 to TBIn!E2179</t>
  </si>
  <si>
    <t>Changed formula from -TBIn!E2180 to TBIn!E2180</t>
  </si>
  <si>
    <t>Changed formula from -TBIn!E2187 to TBIn!E2187</t>
  </si>
  <si>
    <t>Changed formula from -TBIn!E2188 to TBIn!E2188</t>
  </si>
  <si>
    <t>1.4.4-1</t>
  </si>
  <si>
    <t>Removed formula to increment month value by one. Changed to refer to cell J2230.</t>
  </si>
  <si>
    <t>Khalid Abdul</t>
  </si>
  <si>
    <t>1.4.4-2</t>
  </si>
  <si>
    <t>Changed formula form "=IF(Page6!$K$39=0,FALSE,OR(Page6!$M$38/Page6!$K$39&lt;HLOOKUP(Page1!$I$70,VehTable,M2153,FALSE),Page6!$M$38/Page6!$K$39&gt;HLOOKUP(Page1!$I$71,VehTable,M2153,FALSE))) to =IF(Page6!$K$39=0,FALSE,OR((Page6!$M$38+Page6!$M$39)/Page6!$K$39&lt;HLOOKUP(Page1!$I$70,VehTable,M2153,FALSE),(Page6!$M$38+Page6!$M$39)/Page6!$K$39&gt;HLOOKUP(Page1!$I$71,VehTable,M2153,FALSE)))</t>
  </si>
  <si>
    <t>Changed formula form "=IF(Page6!$K$39=0,FALSE,OR(Page6!$M$39/Page6!$K$39&lt;HLOOKUP(Page1!$I$70,VehTable,M2153,FALSE),Page6!$M$39/Page6!$K$39&gt;HLOOKUP(Page1!$I$71,VehTable,M2153,FALSE))) to =IF(Page6!$K$39=0,FALSE,OR((Page6!$M$38+Page6!$M$39)/Page6!$K$39&lt;HLOOKUP(Page1!$I$70,VehTable,M2153,FALSE),(Page6!$M$38+Page6!$M$39)/Page6!$K$39&gt;HLOOKUP(Page1!$I$71,VehTable,M2153,FALSE)))</t>
  </si>
  <si>
    <t>Changed cell background to white</t>
  </si>
  <si>
    <t>Changed formula form "=IF(Page6!$K$39=0,FALSE,OR(Page6!$M$38/Page6!$K$39&lt;HLOOKUP(Page1!$I$70,VehTable,L2153,FALSE),Page6!$M$38/Page6!$K$39&gt;HLOOKUP(Page1!$I$71,VehTable,L2153,FALSE))) to =IF(Page6!$K$39=0,FALSE,OR((Page6!$M$38+Page6!$M$39)/Page6!$K$39&lt;HLOOKUP(Page1!$I$70,VehTable,L2153,FALSE),(Page6!$M$38+Page6!$M$39)/Page6!$K$39&gt;HLOOKUP(Page1!$I$71,VehTable,L2153,FALSE)))</t>
  </si>
  <si>
    <t>Changed formula form "=IF(Page6!$K$39=0,FALSE,OR(Page6!$M$38/Page6!$K$39&lt;HLOOKUP(Page1!$I$70,VehTable,L2154,FALSE),Page6!$M$38/Page6!$K$39&gt;HLOOKUP(Page1!$I$71,VehTable,L2154,FALSE))) to =IF(Page6!$K$39=0,FALSE,OR((Page6!$M$38+Page6!$M$39)/Page6!$K$39&lt;HLOOKUP(Page1!$I$70,VehTable,L2154,FALSE),(Page6!$M$38+Page6!$M$39)/Page6!$K$39&gt;HLOOKUP(Page1!$I$71,VehTable,L2154,FALSE)))</t>
  </si>
  <si>
    <t>Added the following formula =DAYS360(+I2225&amp;"/1/1",+I2225&amp;"/"&amp;I2224&amp;"/"&amp;I2223)</t>
  </si>
  <si>
    <t>Changed formula from =Page1!I40/((Page2!J48+Page2!J54)/Page1!$G$91)&gt;12 to =IFERROR(Page1!I40/((Page2!J48+Page2!J54)/Page1!$G$91)&gt;12,FALSE)</t>
  </si>
  <si>
    <t>Changed formula from=Page1!I41/((Page2!J49+Page2!J53)/Page1!$G$91)&gt;12 to =IFERROR(Page1!I41/((Page2!J49+Page2!J53)/Page1!$G$91)&gt;12,FALSE)</t>
  </si>
  <si>
    <t>Changed formula from AND(Page7!I39&gt;0,Page3!N66=0,IF(Page1!E8=0,0,DATEVALUE(Page1!E8&amp;" "&amp;Page1!F8&amp;", "&amp; Page1!G8)-DATEVALUE(Page1!E7&amp;" "&amp;Page1!F7&amp;", "&amp; Page1!G7))&gt;340) to AND(Page7!I39&gt;0,Page3!N66=0,TBIn!I2240&gt;340)</t>
  </si>
  <si>
    <t>1.4.4-4</t>
  </si>
  <si>
    <t>2132-2173</t>
  </si>
  <si>
    <t>Changed formula from =OR(AND(Page6!$M??&lt;&gt;0,Page6!$M??=0),AND(Page6!$M??&lt;&gt;0,Page6!$M??=0)) to =OR(AND(Page6!$L??&lt;&gt;0,Page6!$M??=0),AND(Page6!$M??&lt;&gt;0,Page6!$L??=0))</t>
  </si>
  <si>
    <t>Changed formula from =IF(Page6!$K$39=0,FALSE,OR((Page6!$M$38+Page6!$M$39)/Page6!$K$39&lt;HLOOKUP(Page1!$I$70,VehTable,L2153,FALSE),(Page6!$M$38+Page6!$M$39)/Page6!$K$39&gt;HLOOKUP(Page1!$I$71,VehTable,L2153,FALSE))) to =IF(OR(Page6!$K$39=0,Page6!$M$38=0),FALSE,OR((Page6!$M$38+Page6!$M$39)/Page6!$K$39&lt;HLOOKUP(Page1!$I$70,VehTable,L2153,FALSE),(Page6!$M$38+Page6!$M$39)/Page6!$K$39&gt;HLOOKUP(Page1!$I$71,VehTable,L2153,FALSE)))</t>
  </si>
  <si>
    <t>Changed formula from =IF(Page6!$K$39=0,FALSE,OR((Page6!$M$38+Page6!$M$39)/Page6!$K$39&lt;HLOOKUP(Page1!$I$70,VehTable,L2154,FALSE),(Page6!$M$38+Page6!$M$39)/Page6!$K$39&gt;HLOOKUP(Page1!$I$71,VehTable,L2154,FALSE))) to =IF(OR(Page6!$K$39=0,Page6!$M$39=0),FALSE,OR((Page6!$M$38+Page6!$M$39)/Page6!$K$39&lt;HLOOKUP(Page1!$I$70,VehTable,L2154,FALSE),(Page6!$M$38+Page6!$M$39)/Page6!$K$39&gt;HLOOKUP(Page1!$I$71,VehTable,L2154,FALSE)))</t>
  </si>
  <si>
    <t>Changed formula from =IF(Page6!$K$38=0,FALSE,OR((Page6!$M$38+Page6!$M$39)/Page6!$K$39&lt;HLOOKUP(Page1!$I$70,VehTable,L2154,FALSE),(Page6!$M$38+Page6!$M$39)/Page6!$K$39&gt;HLOOKUP(Page1!$I$71,VehTable,L2154,FALSE))) to =IF(OR(Page6!$K$39=0,Page6!$M$39=0),FALSE,OR((Page6!$M$38+Page6!$M$39)/Page6!$K$39&lt;HLOOKUP(Page1!$I$70,VehTable,L2154,FALSE),(Page6!$M$38+Page6!$M$39)/Page6!$K$39&gt;HLOOKUP(Page1!$I$71,VehTable,L2154,FALSE)))</t>
  </si>
  <si>
    <t>Changed formula from =IF(Page6!$K$39=0,FALSE,OR((Page6!$M$38+Page6!$M$39)/Page6!$K$39&lt;HLOOKUP(Page1!$I$70,VehTable,M2154,FALSE),(Page6!$M$38+Page6!$M$39)/Page6!$K$39&gt;HLOOKUP(Page1!$I$71,VehTable,M2154,FALSE))) to =IF(OR(Page6!$K$39=0,Page6!$M$39=0),FALSE,OR((Page6!$M$38+Page6!$M$39)/Page6!$K$39&lt;HLOOKUP(Page1!$I$70,VehTable,M2154,FALSE),(Page6!$M$38+Page6!$M$39)/Page6!$K$39&gt;HLOOKUP(Page1!$I$71,VehTable,M2154,FALSE)))</t>
  </si>
  <si>
    <t>Changed account 265 name from T.P.S. à recevoir to T.P.S., T.V.H. ET T.V.P À RECEVOIR</t>
  </si>
  <si>
    <t>Changed account 315 name from T.P.S. À PAYER TO T.P.S. AND T.V.H. À PAYER</t>
  </si>
  <si>
    <t>OR VEH</t>
  </si>
  <si>
    <t>259-264</t>
  </si>
  <si>
    <t>Changed Saturn carlines names (carline stays same, only name change)</t>
  </si>
  <si>
    <t>1.4.4-5</t>
  </si>
  <si>
    <t>Changed from Yukon to Yukon/XL</t>
  </si>
  <si>
    <t>1.4.4-6</t>
  </si>
  <si>
    <t>Changed formula from =Page4!$D$62&lt;&gt;ROUND((Page6!$I$49+Page6!$I$50+Page6!$I$51)*0.5,0) to =ROUND(Page4!$D$62,-1)&lt;&gt;ROUND((Page6!$I$49+Page6!$I$50+Page6!$I$51)*0.5,-1)</t>
  </si>
  <si>
    <t>Changed formula from =Page4!$F$62&lt;&gt;ROUND((Page6!$N$49+Page6!$N$50+Page6!$N$51)*0.5,0) to =ROUND(Page4!$F$62,-1)&lt;&gt;ROUND((Page6!$N$49+Page6!$N$50+Page6!$N$51)*0.5,-1)</t>
  </si>
  <si>
    <t>Changed formula from =Page4!$H$62&lt;&gt;ROUND((Page6!$I$52)*0.5,0) to =round(Page4!$H$62,-1)&lt;&gt;ROUND((Page6!$I$52)*0.5,-1)</t>
  </si>
  <si>
    <t>Changed formula from =Page4!$J$62&lt;&gt;ROUND((Page6!$N$52)*0.5,0) to =ROUND(Page4!$J$62,-1)&lt;&gt;ROUND((Page6!$N$52)*0.5,-1)</t>
  </si>
  <si>
    <t>A-O</t>
  </si>
  <si>
    <t>1-83</t>
  </si>
  <si>
    <t>Added instructions for Macro high Security</t>
  </si>
  <si>
    <t>1.4.4-7</t>
  </si>
  <si>
    <t>Change formula from =ROUND(Page1!$I$68,-2)&lt;&gt;ROUND(Page1!$R$68,-2) to =OR(Page1!$I$68-Page1!$R$68&gt;100,Page1!$I$68-Page1!$R$68&lt;-100)</t>
  </si>
  <si>
    <t>Change formula from =ROUND(Page3!$D$63+Page3!$H$63+Page3!$L$63+Page4!$D$63+Page4!$H$63+Page4!$L$63,0)&lt;&gt;ROUND(Page4!$P$63,0) to =OR(Page3!$D$63+Page3!$H$63+Page3!$L$63+Page4!$D$63+Page4!$H$63+Page4!$L$63-Page4!$P$63&gt;100,Page3!$D$63+Page3!$H$63+Page3!$L$63+Page4!$D$63+Page4!$H$63+Page4!$L$63-Page4!$P$63&lt;-100)</t>
  </si>
  <si>
    <t>Change formula from =ROUND(Page3!$F$63+Page3!$J$63+Page3!$N$63+Page4!$F$63+Page4!$J$63+Page4!$N$63,0)&lt;&gt;ROUND(Page4!$R$63,0) to =OR(Page3!$F$63+Page3!$J$63+Page3!$N$63+Page4!$F$63+Page4!$J$63+Page4!$N$63-Page4!$R$63&gt;100,Page3!$F$63+Page3!$J$63+Page3!$N$63+Page4!$F$63+Page4!$J$63+Page4!$N$63-Page4!$R$63&lt;-100)</t>
  </si>
  <si>
    <t>Change formula from =ROUND(Page4!$D$62,-1)&lt;&gt;ROUND((Page6!$I$49+Page6!$I$50+Page6!$I$51)*0.5,-1) to =OR(Page4!$D$62-((Page6!$I$49+Page6!$I$50+Page6!$I$51)*0.5)&gt;100,Page4!$D$62-((Page6!$I$49+Page6!$I$50+Page6!$I$51)*0.5)&lt;-100)</t>
  </si>
  <si>
    <t>Change formula from =ROUND(Page4!$F$62,-1)&lt;&gt;ROUND((Page6!$N$49+Page6!$N$50+Page6!$N$51)*0.5,-1) to =OR(Page4!$F$62-((Page6!$N$49+Page6!$N$50+Page6!$N$51)*0.5)&gt;100,Page4!$F$62-((Page6!$N$49+Page6!$N$50+Page6!$N$51)*0.5)&lt;-100)</t>
  </si>
  <si>
    <t>Change formula from =ROUND(Page4!$H$62,-1)&lt;&gt;ROUND((Page6!$I$52)*0.5,-1) to =OR(Page4!$H$62-(Page6!$I$52*0.5)&gt;100,Page4!$H$62-(Page6!$I$52*0.5)&lt;-100)</t>
  </si>
  <si>
    <t>Change formula from =ROUND(Page4!$J$62,-1)&lt;&gt;ROUND((Page6!$N$52)*0.5,-1)) to =OR(Page4!$J$62-((Page6!$N$52)*0.5)&gt;100,Page4!$J$62-((Page6!$N$52)*0.5)&lt;-100)</t>
  </si>
  <si>
    <t>D-F</t>
  </si>
  <si>
    <t>Added Total Error Calculation for "VRAI" as well as "TRUE"</t>
  </si>
  <si>
    <t>E-M</t>
  </si>
  <si>
    <t>24-40</t>
  </si>
  <si>
    <t>Changed the cell background from light green to tan to eliminate confusion</t>
  </si>
  <si>
    <t>Added password protection for workbook and worksheets. Created Macros to enter (ctrl + u) and exit (ctrl + l) maintenance mode.</t>
  </si>
  <si>
    <t>Accts 419/437</t>
  </si>
  <si>
    <t>Pages 5a-e,h</t>
  </si>
  <si>
    <t>Opened account and tagged "FOR FUTURE USE" and removed the edit check for units</t>
  </si>
  <si>
    <t>1.4.4-8</t>
  </si>
  <si>
    <t>Added error handler in CreateDetail</t>
  </si>
  <si>
    <t>D,E</t>
  </si>
  <si>
    <t>Adder IFERROR check to force the value to zero if there is an error.</t>
  </si>
  <si>
    <t>v144r9</t>
  </si>
  <si>
    <r>
      <t>Corrected the formula from =OR(AND(Page4!$J$13=0,Page7!$K$47&gt;0),AND(Page4!$J$13&gt;0,Page7!$F$47=0)) to =OR(AND(Page4!$J$13=0,Page7!$K$47&gt;0),AND(Page4!$J$13&gt;0,Page7!$</t>
    </r>
    <r>
      <rPr>
        <b/>
        <sz val="10"/>
        <rFont val="Arial"/>
        <family val="2"/>
      </rPr>
      <t>K</t>
    </r>
    <r>
      <rPr>
        <sz val="10"/>
        <rFont val="Arial"/>
        <family val="2"/>
      </rPr>
      <t>$47=0))</t>
    </r>
  </si>
  <si>
    <t>Automated the Repert title to include the file version number</t>
  </si>
  <si>
    <t>Changed audit max form 32000 to 40000</t>
  </si>
  <si>
    <t>Changed audit max form 50000 to 60000</t>
  </si>
  <si>
    <t>Changed audit max form 44000 to 130000</t>
  </si>
  <si>
    <t>Changed audit max form 81000 to 150000</t>
  </si>
  <si>
    <t>Changed audit max form 100 to 125000</t>
  </si>
  <si>
    <t>E,G,I,K,M,N</t>
  </si>
  <si>
    <t>7-64</t>
  </si>
  <si>
    <t>Changed the denominator in the percentage gross profit calculation to include line 62 (Gross Transfer amount)</t>
  </si>
  <si>
    <t>11-64</t>
  </si>
  <si>
    <t>Added check for regional setting (,). Replace with (.)</t>
  </si>
  <si>
    <t>v144r10</t>
  </si>
  <si>
    <t>AK-AP</t>
  </si>
  <si>
    <t>18-29</t>
  </si>
  <si>
    <t xml:space="preserve">Added a table to incorporate the current months data into the Profit/Loss summary - this data will be transferred over to </t>
  </si>
  <si>
    <t>1198-1245</t>
  </si>
  <si>
    <r>
      <t>Changed formulas from OR(AND(Page5f!$K?&gt;0,Page5f!$M?=0),AND(Page5f!$M?&lt;&gt;0,Page5f!$K$</t>
    </r>
    <r>
      <rPr>
        <b/>
        <sz val="10"/>
        <rFont val="Arial"/>
        <family val="2"/>
      </rPr>
      <t>4</t>
    </r>
    <r>
      <rPr>
        <sz val="10"/>
        <rFont val="Arial"/>
        <family val="2"/>
      </rPr>
      <t>=0)) to OR(AND(Page5f!$K?&gt;0,Page5f!$M?=0),AND(Page5f!$M?&lt;&gt;0,Page5f!$K$</t>
    </r>
    <r>
      <rPr>
        <b/>
        <sz val="10"/>
        <rFont val="Arial"/>
        <family val="2"/>
      </rPr>
      <t>?</t>
    </r>
    <r>
      <rPr>
        <sz val="10"/>
        <rFont val="Arial"/>
        <family val="2"/>
      </rPr>
      <t>=0)) This was causing all unit edits on this page 5f to run of row 4</t>
    </r>
  </si>
  <si>
    <t>Removed code to copy Profit/Loss data from TBIn to Page1</t>
  </si>
  <si>
    <t>Added code to hide / unhide Row and Column heading in Maintenance macro</t>
  </si>
  <si>
    <t>v144r11</t>
  </si>
  <si>
    <t>402-420</t>
  </si>
  <si>
    <t>Changed the VML Account formula to insure that the Unique field identifier is concatenated correctly</t>
  </si>
  <si>
    <t>426-441</t>
  </si>
  <si>
    <t>2364-2382</t>
  </si>
  <si>
    <t>2388-2403</t>
  </si>
  <si>
    <t>2411-2429</t>
  </si>
  <si>
    <t>2435-2450</t>
  </si>
  <si>
    <t>v144r12</t>
  </si>
  <si>
    <t>Page3</t>
  </si>
  <si>
    <t>D,F,H,J,L,N</t>
  </si>
  <si>
    <t>Unlocked cells, Reset defined ranges</t>
  </si>
  <si>
    <t>Page4</t>
  </si>
  <si>
    <t>v144r13</t>
  </si>
  <si>
    <t>2068-2176</t>
  </si>
  <si>
    <t>Changed imcorrect references to page 7 to page 6  Causing critical errors to show up on page 6 based on page 7 data</t>
  </si>
  <si>
    <t>2100-2199</t>
  </si>
  <si>
    <t>Changed incorrrect references to cells in the 2400-2499 range to 2100 to 2199 range.  This was causing cell comments to apear based on errors in a different range.</t>
  </si>
  <si>
    <t>Page1</t>
  </si>
  <si>
    <t>Changed the formula form Page7!F26 to =IF(Flag=TRUE,Page7!F26,TBIn!E850) to connect the Vehicle Inventories directly to the DSP Balance Shett data</t>
  </si>
  <si>
    <t>Changed the formula form Page7!F27 to =IF(Flag=TRUE,Page7!F27,TBIn!E851) to connect the Vehicle Inventories directly to the DSP Balance Shett data</t>
  </si>
  <si>
    <t>Changed the formula form Page7!F28 to =IF(Flag=TRUE,Page7!F28,TBIn!E852) to connect the Vehicle Inventories directly to the DSP Balance Shett data</t>
  </si>
  <si>
    <t>Changed the formula form Page7!F29 to =IF(Flag=TRUE,Page7!F29,TBIn!E853) to connect the Vehicle Inventories directly to the DSP Balance Shett data</t>
  </si>
  <si>
    <t>Changed the formula form Page7!F30 to =IF(Flag=TRUE,Page7!F30,TBIn!E854) to connect the Vehicle Inventories directly to the DSP Balance Shett data</t>
  </si>
  <si>
    <t>Changed the formula form Page7!K33 to =IF(Flag=TRUE,Page7!K33,TBIn!E855) to connect the Vehicle Inventories directly to the DSP Balance Shett data</t>
  </si>
  <si>
    <t>Changed the formula form Page7!K34 to =IF(Flag=TRUE,Page7!K34,TBIn!E856) to connect the Vehicle Inventories directly to the DSP Balance Shett data</t>
  </si>
  <si>
    <t>E/I/T</t>
  </si>
  <si>
    <t>Added edit checks to insure that statistical data on page 7 matches B/S data on page 1, with-in $100</t>
  </si>
  <si>
    <t>Added NEW ROW *** Added edit checks to insure that statistical data on page 7 matches B/S data on page 1, with-in $100</t>
  </si>
  <si>
    <t>All</t>
  </si>
  <si>
    <t>Added data validation to all unlocked cells to insure numerice values are inputed.</t>
  </si>
  <si>
    <t>Hard codded the version number</t>
  </si>
  <si>
    <t>Added a coment"--- L'information à la page 7 ne concorde pas avec l'information à la page 1.  La différence est de    " to display differences between page 1 and 7 on inventory - 500 Accuracy points</t>
  </si>
  <si>
    <t>E,F</t>
  </si>
  <si>
    <t>Changed the min and max values from 5 and 3000 to 3 and 5000</t>
  </si>
  <si>
    <t>Changed the formula form =IF(C2153=TRUE,Comments!$B$20&amp;DOLLAR(HLOOKUP(Page1!$I$70,VehTable,L2153,FALSE),0)&amp;Comments!$B$18&amp;DOLLAR(HLOOKUP(Page1!$I$71,VehTable,L2153,FALSE),0)&amp;Comments!$B$19&amp;DOLLAR(Page6!$M$38/Page6!$K$39,0),"") to =IF(C2153=TRUE,Comments!$B$20&amp;DOLLAR(HLOOKUP(Page1!$I$70,VehTable,L2153,FALSE),0)&amp;Comments!$B$18&amp;DOLLAR(HLOOKUP(Page1!$I$71,VehTable,L2153,FALSE),0)&amp;Comments!$B$19&amp;DOLLAR((Page6!$M$38+Page6!$M$39)/Page6!$K$39,0),"")</t>
  </si>
  <si>
    <t>Changed the formula form =IF(C2154=TRUE,Comments!$B$20&amp;DOLLAR(HLOOKUP(Page1!$I$70,VehTable,L2154,FALSE),0)&amp;Comments!$B$18&amp;DOLLAR(HLOOKUP(Page1!$I$71,VehTable,L2154,FALSE),0)&amp;Comments!$B$19&amp;DOLLAR(Page6!$M$38/Page6!$K$39,0),"") to =IF(C2154=TRUE,Comments!$B$20&amp;DOLLAR(HLOOKUP(Page1!$I$70,VehTable,L2154,FALSE),0)&amp;Comments!$B$18&amp;DOLLAR(HLOOKUP(Page1!$I$71,VehTable,L2154,FALSE),0)&amp;Comments!$B$19&amp;DOLLAR((Page6!$M$38+Page6!$M$39)/Page6!$K$39,0),"")</t>
  </si>
  <si>
    <t>Changed the formula form =IF(E2153=TRUE,Comments!$B$22&amp;DOLLAR(HLOOKUP(Page1!$I$70,VehTable,M2153,FALSE),0)&amp;Comments!$B$18&amp;DOLLAR(HLOOKUP(Page1!$I$71,VehTable,M2153,FALSE),0)&amp;Comments!$B$19&amp;DOLLAR(Page6!$M$38/Page6!$K$39,0),"") to =IF(E2153=TRUE,Comments!$B$22&amp;DOLLAR(HLOOKUP(Page1!$I$70,VehTable,M2153,FALSE),0)&amp;Comments!$B$18&amp;DOLLAR(HLOOKUP(Page1!$I$71,VehTable,M2153,FALSE),0)&amp;Comments!$B$19&amp;DOLLAR((Page6!$M$38+Page6!$M$39)/Page6!$K$39,0),"")</t>
  </si>
  <si>
    <t>Changed the formula form =IF(E2154=TRUE,Comments!$B$22&amp;DOLLAR(HLOOKUP(Page1!$I$70,VehTable,M2154,FALSE),0)&amp;Comments!$B$18&amp;DOLLAR(HLOOKUP(Page1!$I$71,VehTable,M2154,FALSE),0)&amp;Comments!$B$19&amp;DOLLAR(Page6!$M$38/Page6!$K$39,0),"") to =IF(E2154=TRUE,Comments!$B$22&amp;DOLLAR(HLOOKUP(Page1!$I$70,VehTable,M2154,FALSE),0)&amp;Comments!$B$18&amp;DOLLAR(HLOOKUP(Page1!$I$71,VehTable,M2154,FALSE),0)&amp;Comments!$B$19&amp;DOLLAR((Page6!$M$38+Page6!$M$39)/Page6!$K$39,0),"")</t>
  </si>
  <si>
    <t>v145r1</t>
  </si>
  <si>
    <t>Corrected formula from OR(AND(Page8!$H$41=0,Page8!$E$41&gt;0),AND(Page8!$H$41&gt;0,Page8!$E$41=0)) to OR(AND(Page8!$H$42=0,Page8!$E$42&gt;0),AND(Page8!$H$42&gt;0,Page8!$E$42=0))</t>
  </si>
  <si>
    <t>Corrected formula from OR(AND(Page8!$H$42=0,Page8!$E$42&gt;0),AND(Page8!$H$42&gt;0,Page8!$E$42=0)) to OR(AND(Page8!$H$43=0,Page8!$E$43&gt;0),AND(Page8!$H$43&gt;0,Page8!$E$43=0))</t>
  </si>
  <si>
    <t>Khalid you need to verify functionality</t>
  </si>
  <si>
    <t>Modified VBA code to print CRITICAL ERRORS in RED and also changed the report title to "Error Log"</t>
  </si>
  <si>
    <t>C/H</t>
  </si>
  <si>
    <t>Removed the Edit</t>
  </si>
  <si>
    <t>Picture883</t>
  </si>
  <si>
    <t>Removed hyperlink</t>
  </si>
  <si>
    <t>Added edit (Page1!$I$31+Page1!$I$32+Page1!$I$33+Page1!$I$37)&lt;&gt;(Page7!$F$38+Page7!$K$38)</t>
  </si>
  <si>
    <t>TBOuput</t>
  </si>
  <si>
    <t>D/E</t>
  </si>
  <si>
    <t>2506-2553</t>
  </si>
  <si>
    <t>Remapped cells to page 5j - gross profit.  Previous mapping was incorrect</t>
  </si>
  <si>
    <t>Page6</t>
  </si>
  <si>
    <t>Added a cell validation comment "The amount MUST include recoditioning"</t>
  </si>
  <si>
    <t>FAQ</t>
  </si>
  <si>
    <t>Added FAQ tab</t>
  </si>
  <si>
    <t>Updated FAQ list</t>
  </si>
  <si>
    <t>Changed formula from R60*-1 to R60</t>
  </si>
  <si>
    <t>F63</t>
  </si>
  <si>
    <t>Changed the formula form OR(Page3!$F$63+Page3!$J$63+Page3!$N$63+Page4!$F$63+Page4!$J$63+Page4!$N$63-Page4!$R$63&gt;100,Page3!$F$63+Page3!$J$63+Page3!$N$63+Page4!$F$63+Page4!$J$63+Page4!$N$63-Page4!$R$63&lt;-100) to OR(Page3!$F$63+Page3!$J$63+Page3!$N$63+Page4!$</t>
  </si>
  <si>
    <t>J63</t>
  </si>
  <si>
    <t>N63</t>
  </si>
  <si>
    <t>Changed formula from P60*-1 to P60</t>
  </si>
  <si>
    <t>D63</t>
  </si>
  <si>
    <t>Changed the formula form OR(Page3!$D$63+Page3!$H$63+Page3!$L$63+Page4!$D$63+Page4!$H$63+Page4!$L$63-Page4!$P$63&gt;100,Page3!$D$63+Page3!$H$63+Page3!$L$63+Page4!$D$63+Page4!$H$63+Page4!$L$63-Page4!$P$63&lt;-100) to OR(Page3!$D$63+Page3!$H$63+Page3!$L$63+Page4!$</t>
  </si>
  <si>
    <t>H63</t>
  </si>
  <si>
    <t>L63</t>
  </si>
  <si>
    <t>P63</t>
  </si>
  <si>
    <t>R63</t>
  </si>
  <si>
    <t>Increased Maximum Audit Range from $48000 to $55000 for Ranier</t>
  </si>
  <si>
    <t>Increased Maximum Audit Range from $40000 to $55000 for Bravada</t>
  </si>
  <si>
    <t>E/F</t>
  </si>
  <si>
    <t>Changed Minmum/Maximum Audit Range from $10/$100 to $100/125000 for 439I</t>
  </si>
  <si>
    <t>Removed the audit check for units no income or income no units</t>
  </si>
  <si>
    <t>Page7</t>
  </si>
  <si>
    <t>Changed formula from IF(Flag=TRUE,L10-(TBIn!E2176-TBIn!E2185),F10-G10)  to IF(Flag=TRUE,M10-(TBIn!E2176-TBIn!E2185),F10-G10)</t>
  </si>
  <si>
    <t>Changed formula from IF(Flag=TRUE,L11-(TBIn!E2177-TBIn!E2186),F11-G11)  to IF(Flag=TRUE,M11-(TBIn!E2177-TBIn!E2186),F11-G11)</t>
  </si>
  <si>
    <t>Changed formula from IF(Flag=TRUE,L19-TBIn!E2193,TBIn!D2193)  to IF(Flag=TRUE,M19-TBIn!E2193,TBIn!D2193)</t>
  </si>
  <si>
    <t>Changed formula from IF(Flag=TRUE,L20-TBIn!E2194,TBIn!D2194)  to IIF(Flag=TRUE,L20-TBIn!E2194,TBIn!D2194)</t>
  </si>
  <si>
    <t>Remapped - 00-00-87-EXPNS-CURR to correct fields on page 2</t>
  </si>
  <si>
    <t>Remapped - 00-00-RENTEQUV-EXPNS-CURR to correct fields on page 2</t>
  </si>
  <si>
    <t>Remapped - 00-00-87VAR-EXPNS-CURR to correct fields on page 2</t>
  </si>
  <si>
    <t>Remapped - 00-00-RENTVAR-EXPNS-CURR to correct fields on page 2</t>
  </si>
  <si>
    <t>Remapped - 00-00-87FIX-EXPNS-CURR to correct fields on page 2</t>
  </si>
  <si>
    <t>Remapped - 00-00-RENTFIX-CURR to correct fields on page 2</t>
  </si>
  <si>
    <t>Remapped - 01-00-87-EXPNS-CURR to correct fields on page 3</t>
  </si>
  <si>
    <t>Remapped - 01-00-RENTEQUV-EXPNS-CURR to correct fields on page 3</t>
  </si>
  <si>
    <t>Remapped - 02-00-87-EXPNS-CURR to correct fields on page 3</t>
  </si>
  <si>
    <t>Remapped - 02-00-RENTEQUV-EXPNS-CURR to correct fields on page 3</t>
  </si>
  <si>
    <t>Remapped - 03-00-87-EXPNS-CURR to correct fields on page 3</t>
  </si>
  <si>
    <t>Remapped - 03-00-RENTEQUV-EXPNS-CURR to correct fields on page 3</t>
  </si>
  <si>
    <t>Remapped - 05-00-87-EXPNS-CURR to correct fields on page 4</t>
  </si>
  <si>
    <t>Remapped - 05-00-RENTEQUV-EXPNS-CURR to correct fields on page 4</t>
  </si>
  <si>
    <t>Remapped - 06-00-87-EXPNS-CURR to correct fields on page 4</t>
  </si>
  <si>
    <t>Remapped - 06-00-RENTEQUV-EXPNS-CURR to correct fields on page 4</t>
  </si>
  <si>
    <t>Remapped - 07-00-87-EXPNS-CURR to correct fields on page 4</t>
  </si>
  <si>
    <t>Remapped - 07-00-RENTEQUV-EXPNS-CURR to correct fields on page 4</t>
  </si>
  <si>
    <t>Remapped - 09-00-87-EXPNS-CURR to correct fields on page 4</t>
  </si>
  <si>
    <t>Remapped - 09-00-RENTEQUV-EXPNS-CURR to correct fields on page 4</t>
  </si>
  <si>
    <t>00-00-300-DEBTBAL-CURR - Reversed the sign on data coming from the TB Edit to populate DB in a  consistent manner with migrated data.</t>
  </si>
  <si>
    <t>00-00-351-ACCDEPR-CURR - Reversed the sign on data coming from the TB Edit to populate DB in a consistent manner with migrated data.</t>
  </si>
  <si>
    <t>00-00-356-ACCDEPR-CURR - Reversed the sign on data coming from the TB Edit to populate DB in a consistent manner with migrated data.</t>
  </si>
  <si>
    <t>00-00-357-ACCDEPR-CURR - Reversed the sign on data coming from the TB Edit to populate DB in a consistent manner with migrated data.</t>
  </si>
  <si>
    <t>00-00-358-ACCDEPR-CURR - Reversed the sign on data coming from the TB Edit to populate DB in a consistent manner with migrated data.</t>
  </si>
  <si>
    <t>00-00-352-ACCDEPR-CURR - Reversed the sign on data coming from the TB Edit to populate DB in a consistent manner with migrated data.</t>
  </si>
  <si>
    <t>00-00-353-ACCDEPR-CURR - Reversed the sign on data coming from the TB Edit to populate DB in a consistent manner with migrated data.</t>
  </si>
  <si>
    <t>00-00-354-ACCDEPR-CURR - Reversed the sign on data coming from the TB Edit to populate DB in a consistent manner with migrated data.</t>
  </si>
  <si>
    <t>00-00-355-ACCDEPR-CURR - Reversed the sign on data coming from the TB Edit to populate DB in a consistent manner with migrated data.</t>
  </si>
  <si>
    <t>00-00-359-ACCDEPR-CURR - Reversed the sign on data coming from the TB Edit to populate DB in a consistent manner with migrated data.</t>
  </si>
  <si>
    <t>00-00-FIXASSET-ACCDEPR-CURR - Reversed the sign on data coming from the TB Edit to populate DB in a  consistent manner with migrated data.</t>
  </si>
  <si>
    <t>Changed formula from TBIn!E842 to IF(Flag=TRUE,TBIn!E842*-1,TBIn!E842) to accept a typically positive amount from DSP's and a typicall negative amount from FACTS 2.0 DB</t>
  </si>
  <si>
    <t>Changed formula from TBIn!E881 to IF(Flag=TRUE,TBIn!E881*-1,TBIn!E881) to accept a typically positive amount from DSP's and a typicall negative amount from FACTS 2.0 DB</t>
  </si>
  <si>
    <t>Changed formula from TBIn!E882 to IF(Flag=TRUE,TBIn!E882*-1,TBIn!E910) to accept a typically positive amount from DSP's and a typicall negative amount from FACTS 2.0 DB</t>
  </si>
  <si>
    <t>Changed formula from TBIn!E883 to IF(Flag=TRUE,TBIn!E883*-1,TBIn!E910) to accept a typically positive amount from DSP's and a typicall negative amount from FACTS 2.0 DB</t>
  </si>
  <si>
    <t>Changed formula from TBIn!E884 to IF(Flag=TRUE,TBIn!E884*-1,TBIn!E910) to accept a typically positive amount from DSP's and a typicall negative amount from FACTS 2.0 DB</t>
  </si>
  <si>
    <t>Changed formula from TBIn!E885 to IF(Flag=TRUE,TBIn!E885*-1,TBIn!E910) to accept a typically positive amount from DSP's and a typicall negative amount from FACTS 2.0 DB</t>
  </si>
  <si>
    <t>Changed formula from TBIn!E886 to IF(Flag=TRUE,TBIn!E886*-1,TBIn!E910) to accept a typically positive amount from DSP's and a typicall negative amount from FACTS 2.0 DB</t>
  </si>
  <si>
    <t>Changed formula from TBIn!E887 to IF(Flag=TRUE,TBIn!E887*-1,TBIn!E910) to accept a typically positive amount from DSP's and a typicall negative amount from FACTS 2.0 DB</t>
  </si>
  <si>
    <t>Changed formula from TBIn!E888 to IF(Flag=TRUE,TBIn!E888*-1,TBIn!E910) to accept a typically positive amount from DSP's and a typicall negative amount from FACTS 2.0 DB</t>
  </si>
  <si>
    <t>Changed formula from TBIn!E889 to IF(Flag=TRUE,TBIn!E910*-1,TBIn!E889) to accept a typically positive amount from DSP's and a typicall negative amount from FACTS 2.0 DB</t>
  </si>
  <si>
    <t>Changed formula from TBIn!E890 to IF(Flag=TRUE,TBIn!E890*-1,TBIn!E890) to accept a typically positive amount from DSP's and a typicall negative amount from FACTS 2.0 DB</t>
  </si>
  <si>
    <t>00-00-220-CD-CURR - Reversed the sign on data coming from the TB Edit to populate DB in a consistent manner with migrated data.</t>
  </si>
  <si>
    <t>Changed formula from TBIn!E927 to IF(Flag=TRUE,TBIn!E927*-1,TBIn!E927) to accept a typically positive amount from DSP's and a typicall negative amount from FACTS 2.0 DB</t>
  </si>
  <si>
    <t>00-00-220-CB-CURR - Reversed the sign on data coming from the TB Edit to populate DB in a consistent manner with migrated data.</t>
  </si>
  <si>
    <t>Changed formula from TBIn!E843 to=IF(Flag=TRUE,TBIn!E843,TBIn!E843*-1) to accept a typically negative amount from DSP's and a typicall positive amount from FACTS 2.0 DB</t>
  </si>
  <si>
    <t>Changed formula from (M1640)*-1 to (M1640) to accept a typically negative amount from DSP's and a typicall postive amount from FACTS 2.0 DB for account 855 COS</t>
  </si>
  <si>
    <t>Changed formula from (N1640)*-1 to (N1640) to accept a typically negative amount from DSP's and a typicall postive amount from FACTS 2.0 DB for account 855 COS</t>
  </si>
  <si>
    <t>04-00-855-GRSINC-CURR - Reversed the sign on data coming from the TB Edit to populate DB in a  consistent manner with migrated data.</t>
  </si>
  <si>
    <t>Changed formula from (M1649)*-1 to (M1649) to accept a typically negative amount from DSP's and a typicall postive amount from FACTS 2.0 DB for account 855 COS</t>
  </si>
  <si>
    <t>Changed formula from (N1649)*-1 to (N1649) to accept a typically negative amount from DSP's and a typicall postive amount from FACTS 2.0 DB for account 855 COS</t>
  </si>
  <si>
    <t>04-00-856-GRSINC-CURR - Reversed the sign on data coming from the TB Edit to populate DB in a  consistent manner with migrated data.</t>
  </si>
  <si>
    <t>Add cell validations to G&amp;A proration accounts to indicate that the data must be negative</t>
  </si>
  <si>
    <t>Modified code to include Accuracy Point Score even if the value is zero</t>
  </si>
  <si>
    <t>Changed formula formIF(Flag=TRUE,M4-(TBIn!E2170-TBIn!E2179),F4-G4) to IF(Flag=TRUE,M4-TBIn!E2179,F4-G4)</t>
  </si>
  <si>
    <t>Changed formula formIF(Flag=TRUE,M5-(TBIn!E2171-TBIn!E2180),F5-G5) to IF(Flag=TRUE,M5-TBIn!E2180,F5-G5)</t>
  </si>
  <si>
    <t>Changed formula form IF(Flag=TRUE,M6-(TBIn!E2172-TBIn!E2181),F6-G6) to IF(Flag=TRUE,M6+TBIn!E2181,F6-G6)</t>
  </si>
  <si>
    <t>Changed formula form IF(Flag=TRUE,M10-(TBIn!E2176-TBIn!E2185),F10-G10) to IF(Flag=TRUE,M10+TBIn!E2185,F10-G10)</t>
  </si>
  <si>
    <t>Changed formula form IF(Flag=TRUE,M11-(TBIn!E2177-TBIn!E2186),F11-G11) to IF(Flag=TRUE,M11+TBIn!E2186,F11-G11)</t>
  </si>
  <si>
    <t>Changed formula form IF(Flag=TRUE,M14-(TBIn!E2179-TBIn!E2188),F14-G14) to IF(Flag=TRUE,M14-TBIn!E2188,F14-G14)</t>
  </si>
  <si>
    <t>Changed formula form IF(Flag=TRUE,M15-(TBIn!E2180-TBIn!E2189),F15-G15) to IF(Flag=TRUE,M15-TBIn!E2189,F15-G15)</t>
  </si>
  <si>
    <t>Changed formula form IF(Flag=TRUE,M16-(TBIn!E2181-TBIn!E2190),F16-G16) to IF(Flag=TRUE,M16+TBIn!E2190,F16-G16)</t>
  </si>
  <si>
    <t>Changed formula form IF(Flag=TRUE,M19-(TBIn!E2184-TBIn!E2193),F19-G19) to IF(Flag=TRUE,M19+TBIn!E2193,F19-G19)</t>
  </si>
  <si>
    <t>Changed formula form IF(Flag=TRUE,M20-(TBIn!E2185-TBIn!E2194),F20-G20) to IF(Flag=TRUE,M20+TBIn!E2194,F20-G20)</t>
  </si>
  <si>
    <t>H/I</t>
  </si>
  <si>
    <t>Changed the formulas from M/N1518-M/N1534 to M/N1520-M/N1534</t>
  </si>
  <si>
    <t>Changed the formulas from (M/N1633)*-1 to M/N1633</t>
  </si>
  <si>
    <t>Changed the formulas from (M/N1634)*-1 to M/N1634</t>
  </si>
  <si>
    <t>Changed the formulas from (M/N1640)*-1 to M/N1640</t>
  </si>
  <si>
    <t>Changed the formulas from (M/N1642)*-1 to M/N1642</t>
  </si>
  <si>
    <t>Changed the formulas from (M/N1643)*-1 to M/N1643</t>
  </si>
  <si>
    <t>Changed formula fromIF(Flag=TRUE,M4-(TBIn!E2094+TBIn!E2096),TBIn!D2094+TBIn!D2096) to IF(Flag=TRUE,M4-(TBIn!E2094,TBIn!D2094+TBIn!D2096)</t>
  </si>
  <si>
    <t>Changed formula from IF(Flag=TRUE,M5-(TBIn!E2095+TBIn!E2097),TBIn!D2095+TBIn!D2097) to IF(Flag=TRUE,M5-(TBIn!E2095),TBIn!D2095+TBIn!D2097)</t>
  </si>
  <si>
    <t>Changed formula from IF(Flag=TRUE,M7-(TBIn!E2100+TBIn!E2102),TBIn!D2100+TBIn!D2102) to IF(Flag=TRUE,M7-(TBIn!E2100),TBIn!D2100+TBIn!D2102)</t>
  </si>
  <si>
    <t>Changed formula fromIF(Flag=TRUE,M8-(TBIn!E2101+TBIn!E2103),TBIn!D2101+TBIn!D2103) to IF(Flag=TRUE,M8-(TBIn!E2101),TBIn!D2101+TBIn!D2103)</t>
  </si>
  <si>
    <t>Changed formula from IF(Flag=TRUE,N4-(TBIn!E2087-TBIn!E2094-TBIn!E2096),G4-H4) to IF(Flag=TRUE,N4-(TBIn!E2087-TBIn!E2094),G4-H4)</t>
  </si>
  <si>
    <t>Changed formula from IF(Flag=TRUE,N5-(TBIn!E2088-TBIn!E2095-TBIn!E2097),G5-H5) to IF(Flag=TRUE,N5-(TBIn!E2088-TBIn!E2095),G5-H5)</t>
  </si>
  <si>
    <t>Changed formula from IF(Flag=TRUE,N7-(TBIn!E2090-TBIn!E2100-TBIn!E2102),G7-H7) to IF(Flag=TRUE,N7-(TBIn!E2090-TBIn!E2100),G7-H7)</t>
  </si>
  <si>
    <t>Changed formula from IF(Flag=TRUE,N8-(TBIn!E2091-TBIn!E2101-TBIn!E2103),G8-H8) to IF(Flag=TRUE,N8-(TBIn!E2091-TBIn!E2101),G8-H8)</t>
  </si>
  <si>
    <t>Changed formula from TBIn!E2094+TBIn!E2096 to if(flag=true,TBIn!E2094,TBIn!E2094+TBIn!E2096)</t>
  </si>
  <si>
    <t>Changed formula from TBIn!E2095+TBIn!E2097 to if(flag=true,TBIn!E2095,TBIn!E2095+TBIn!E2097)</t>
  </si>
  <si>
    <t>Changed formula from TBIn!E2100+TBIn!E2102 to if(flag=true,TBIn!E2100,TBIn!E2100+TBIn!E22102)</t>
  </si>
  <si>
    <t>Changed formula from TBIn!E2101+TBIn!E22103 to if(flag=true,TBIn!E2101,TBIn!E2101+TBIn!E2103)</t>
  </si>
  <si>
    <t>Changed formula fromM68+M71+M73+M72 to M68+M71+M73+M72+IF(Page5j!N27+Page5j!N48+Page5j!N49+Page5j!N50=0,Page5j!N51,0)</t>
  </si>
  <si>
    <t>Page5J</t>
  </si>
  <si>
    <t>G/H/L/M</t>
  </si>
  <si>
    <t>Changed formula from G/H/L/M27+G/H/L/M48+G/H/H/L/M50 to G/H/L/M27+G/H/L/M48+G/H/L/H49+G/H/H/L/M50</t>
  </si>
  <si>
    <t xml:space="preserve">Changed formula from IFERROR(IF(Flag=TRUE,N27+N48+N49+N50,TBIn!E2086),0) to  IFERROR(IF(N27+N48+N49+N50&gt;0,N27+N48+N49+N50,TBIn!E2086),0) </t>
  </si>
  <si>
    <t>K/L</t>
  </si>
  <si>
    <t>Inserted rows to set up Account 00-00-265-AMT-CURR</t>
  </si>
  <si>
    <t>Inserted rows to set up Account 00-00-315-AMT-CURR</t>
  </si>
  <si>
    <t>G/H/I</t>
  </si>
  <si>
    <t>Mapped 00-00-265-AMT-CURR to M1726</t>
  </si>
  <si>
    <t>Mapped 00-00-315-AMT-CURR to M1727</t>
  </si>
  <si>
    <t>Chnged the System fileds from 1303 to 7910 for account 00-00-955-AMT-CURR</t>
  </si>
  <si>
    <t>v145r2</t>
  </si>
  <si>
    <t>Changed formula from IF(Flag=TRUE,TBIn!E843*-1,TBIn!E843) to=IF(Flag=TRUE,TBIn!E843,TBIn!E843*-1) to correct the incorrect change made on 3/3/2004</t>
  </si>
  <si>
    <t>453-471,477-492</t>
  </si>
  <si>
    <t>Added Nameplate 099 tp all VML on this page</t>
  </si>
  <si>
    <t>E/J/T</t>
  </si>
  <si>
    <t>Removed edit for Absentee Comp check against personnel expenses</t>
  </si>
  <si>
    <t>AM-AP</t>
  </si>
  <si>
    <t>Changed current month test to be static "01" against month only</t>
  </si>
  <si>
    <t>AK</t>
  </si>
  <si>
    <t>Changed current month read to be MM form YYYYMM</t>
  </si>
  <si>
    <t>v145r3</t>
  </si>
  <si>
    <t>Increased the Max Audit Range on New Inventory from $40000 to $60000</t>
  </si>
  <si>
    <t>Increased the Max Audit Range on L&amp;R Open-End from $2000 to $5000</t>
  </si>
  <si>
    <t>Increased the Max Audit Range on L&amp;R Closed-End from $2000 to $5000</t>
  </si>
  <si>
    <t>Increased the Max Audit Range on L&amp;R Rental from $2000 to $5000</t>
  </si>
  <si>
    <t>D62</t>
  </si>
  <si>
    <t>Changed the font from Italic to Regular to un-lock cells</t>
  </si>
  <si>
    <t>F62</t>
  </si>
  <si>
    <t>H62</t>
  </si>
  <si>
    <t>J62</t>
  </si>
  <si>
    <t>Modified code to insure that D/F/H/J 62 on page 4 remain unlock at all times</t>
  </si>
  <si>
    <t>145r4</t>
  </si>
  <si>
    <t>Page1!R64</t>
  </si>
  <si>
    <t>Changed formula from Page1!R64&gt;100 to OR(Page1!R64&gt;100,Page1!R64&lt;-100)</t>
  </si>
  <si>
    <t>Page3!D69</t>
  </si>
  <si>
    <t>Changed formula from IF(Page3!$D$69&gt;100,TRUE) to OR(Page3!$D$69&gt;100,Page3!$D$69&lt;-100)</t>
  </si>
  <si>
    <t xml:space="preserve">Corrected formula from J21+H65 to H21+H65  </t>
  </si>
  <si>
    <t>Corrected formula from O21+M65 to M21+M65</t>
  </si>
  <si>
    <t>Tex Box 926</t>
  </si>
  <si>
    <t>Added a text box informing users how to access the web based accounting manual.</t>
  </si>
  <si>
    <t>Added hyperlink to the GM Canada Accounting Manual Web Site</t>
  </si>
  <si>
    <t>Added a code routine to hide sheets page5a to page5k and sheet page8 if they are not being used (import file mode)</t>
  </si>
  <si>
    <t>5-7</t>
  </si>
  <si>
    <t>All Gross Porfit calculations</t>
  </si>
  <si>
    <t>Changed gross profit formulas to calculate directly from Month Sales and Gross -  This will allow data submisson for Manual Dealers on Direct Posted Link</t>
  </si>
  <si>
    <t>K-L</t>
  </si>
  <si>
    <t>Changed stub form "VENTES COMPTANT" to "VENTES COMPTANT-PIECES/SERV/DEBOS"</t>
  </si>
  <si>
    <t>Serv</t>
  </si>
  <si>
    <t>50/50 trsf</t>
  </si>
  <si>
    <t>Changed the Loss Accuracy point factor from 3 to 0 to eliminate loss points for transfers that are not 50/50.</t>
  </si>
  <si>
    <t>Body</t>
  </si>
  <si>
    <t>Acct'261</t>
  </si>
  <si>
    <t>&lt;0 bal</t>
  </si>
  <si>
    <t>Changed the Loss Accuracy point reference from 6 to 900 to eliminate loss points for a negative balance.</t>
  </si>
  <si>
    <t>270-271</t>
  </si>
  <si>
    <t>Pre-Paid</t>
  </si>
  <si>
    <t>Changed the Loss Accuracy point factor from 2 to 0 to eliminate loss points for pre-paid in excess of 12 months expenses</t>
  </si>
  <si>
    <t>Changed audit Ranges to Min $10,000 and Max $33,000</t>
  </si>
  <si>
    <t>Changed audit Ranges to Min $24,000 and Max $100,000</t>
  </si>
  <si>
    <t>Changed audit Ranges to Min $10 and Max $100</t>
  </si>
  <si>
    <t>Changed audit Ranges to Min $7,000 and Max $100,000</t>
  </si>
  <si>
    <t>Changed audit Ranges to Min $20,000 and Max $70,000</t>
  </si>
  <si>
    <t>Changed audit Ranges to Min $12,000 and Max $50,000</t>
  </si>
  <si>
    <t>Changed audit Ranges to Min $18,000 and Max $60,000</t>
  </si>
  <si>
    <t>Changed audit Ranges to Min $30,000 and Max $75,000</t>
  </si>
  <si>
    <t>Changed audit Ranges to Min $12,000 and Max $75,000</t>
  </si>
  <si>
    <t>Changed audit Ranges to Min $40,000 and Max $100,000</t>
  </si>
  <si>
    <t>Changed audit Ranges to Min $9,000 and Max $100,000</t>
  </si>
  <si>
    <t>Changed audit Ranges to Min $17,000 and Max $100,000</t>
  </si>
  <si>
    <t>Changed audit Ranges to Min $10,000 and Max $35,000</t>
  </si>
  <si>
    <t>Changed audit Ranges to Min $10,000 and Max $60,000</t>
  </si>
  <si>
    <t>Changed audit Ranges to Min $10,000 and Max $50,000</t>
  </si>
  <si>
    <t>Changed audit Ranges to Min $7,000 and Max $50,000</t>
  </si>
  <si>
    <t>Changed audit Ranges to Min $24,000 and Max $65,000</t>
  </si>
  <si>
    <t>Changed audit Ranges to Min $12,000 and Max $30,000</t>
  </si>
  <si>
    <t>Changed audit Ranges to Min $7,000 and Max $60,000</t>
  </si>
  <si>
    <t>Changed audit Ranges to Min $12,000 and Max $60,000</t>
  </si>
  <si>
    <t>Changed audit Ranges to Min $17,000 and Max $60,000</t>
  </si>
  <si>
    <t>Changed audit Ranges to Min $16,000 and Max $60,000</t>
  </si>
  <si>
    <t>Changed audit Ranges to Min $9,000 and Max $60,000</t>
  </si>
  <si>
    <t>Changed audit Ranges to Min $15,000 and Max $60,000</t>
  </si>
  <si>
    <t>Changed audit Ranges to Min $40,000 and Max $60,000</t>
  </si>
  <si>
    <t>Changed audit Ranges to Min $30,000 and Max $130,000</t>
  </si>
  <si>
    <t>Changed audit Ranges to Min $20,000 and Max $130,000</t>
  </si>
  <si>
    <t>Changed audit Ranges to Min $25,000 and Max $100,000</t>
  </si>
  <si>
    <t>Changed audit Ranges to Min $30,000 and Max $125,000</t>
  </si>
  <si>
    <t>Changed audit Ranges to Min $0 and Max $999,000</t>
  </si>
  <si>
    <t>Changed audit Ranges to Min $10,000 and Max $40,000</t>
  </si>
  <si>
    <t>Changed audit Ranges to Min $40,000 and Max $65,000</t>
  </si>
  <si>
    <t>Changed audit Ranges to Min $25,000 and Max $50,000</t>
  </si>
  <si>
    <t>Changed audit Ranges to Min $25,000 and Max $70,000</t>
  </si>
  <si>
    <t>Changed audit Ranges to Min $25,000 and Max $200,000</t>
  </si>
  <si>
    <t>Changed audit Ranges to Min $35,000 and Max $70,000</t>
  </si>
  <si>
    <t>Changed audit Ranges to Min $30,000 and Max $110,000</t>
  </si>
  <si>
    <t>Changed audit Ranges to Min $25,000 and Max $125,000</t>
  </si>
  <si>
    <t>Changed audit Ranges to Min $0 and Max $0</t>
  </si>
  <si>
    <t>Changed audit Ranges to Min $0 and Max $5,000</t>
  </si>
  <si>
    <t>Changed audit Ranges to Min $0 and Max $50,000</t>
  </si>
  <si>
    <t>Changed audit Ranges to Min $10 and Max $5,000</t>
  </si>
  <si>
    <t>Changed audit Ranges to Min $0 and Max $2,000</t>
  </si>
  <si>
    <t>Changed audit Ranges to Min $12000 and Max $33,000</t>
  </si>
  <si>
    <t>Changed audit Ranges to Min $0 and Max $6,000</t>
  </si>
  <si>
    <t>Changed audit Ranges to Min $0 and Max $60,000</t>
  </si>
  <si>
    <t>Added "POUR USAGE FUTUR" to Stub</t>
  </si>
  <si>
    <t>Added "SAAB 9-2X" to Stub</t>
  </si>
  <si>
    <t>A-V</t>
  </si>
  <si>
    <t>YTD Sls &gt; Previous Mth YTD Sls</t>
  </si>
  <si>
    <t>Activated the critical error edit that insures that current YTD sales are greater than previous month's YTD sales</t>
  </si>
  <si>
    <t>B/D</t>
  </si>
  <si>
    <t>Added comment "ERREUR IRRÉCUPÉRABLE --- Les ventes nettes, année a date, du mois précédant sont égales, ou plus grande, que les ventes nettes, année a date, du mois courrant.  Les ventes nettes AAD du mois précédant son :    "</t>
  </si>
  <si>
    <t>Changed the Comment text from "ERREUR IRRÉCUPÉRABLE --- Le code CAA n'est pas VALIDE !" to "ERREUR IRRÉCUPÉRABLE --- Le code BAC n'est pas VALIDE !"</t>
  </si>
  <si>
    <t>2-2457</t>
  </si>
  <si>
    <t>Changed the Comment builder formula text from "Comment Ref No." to "No.de ref. du commentaire."</t>
  </si>
  <si>
    <t>145r5</t>
  </si>
  <si>
    <t>All-Displayed</t>
  </si>
  <si>
    <t>Added hyperlink to GM Accounting Manual</t>
  </si>
  <si>
    <t>Added code to disable user from dragging and dropping cell contents</t>
  </si>
  <si>
    <t>Added error handler to trap errors on TBOut worksheet (Sub CreateDetail)</t>
  </si>
  <si>
    <t>145r6</t>
  </si>
  <si>
    <t>Corrected range for page5k (RNG_SUM_2) from "K55:N55" to "K56:N56" (Hide_UnUsed_Sheets)</t>
  </si>
  <si>
    <t>Modified code to check values in individual cells  instead of the totals (Hide_UnUsed_Sheets</t>
  </si>
  <si>
    <t>v145r7</t>
  </si>
  <si>
    <t>AJ</t>
  </si>
  <si>
    <t>MS Query was changed to bring back previous months YTD sales for edit check Page2J4</t>
  </si>
  <si>
    <t>E,J</t>
  </si>
  <si>
    <t>2371-2376</t>
  </si>
  <si>
    <t>Accounting for multiple mths on L&amp;R Income</t>
  </si>
  <si>
    <r>
      <t>Changed formulas from IF(Page8!$N$32=0,FALSE,OR(Page8!$N$12/Page8!$N$32&lt;HLOOKUP(Page1!$I$70,VehTable,L2371,FALSE),Page8!$N$12/Page8!$N$32&gt;HLOOKUP(Page1!$I$71,VehTable,L2371,FALSE))) to IF(Page8!$N$32=0,FALSE,OR(Page8!$N$12/Page8!$N$32</t>
    </r>
    <r>
      <rPr>
        <sz val="10"/>
        <color indexed="12"/>
        <rFont val="Arial"/>
        <family val="2"/>
      </rPr>
      <t>/Page1!$G$91</t>
    </r>
    <r>
      <rPr>
        <sz val="10"/>
        <rFont val="Arial"/>
        <family val="2"/>
      </rPr>
      <t>&lt;HLOOKUP(Page1!$I$70,VehTable,L2371,FALSE),Page8!$N$12/Page8!$N$32</t>
    </r>
    <r>
      <rPr>
        <sz val="10"/>
        <color indexed="12"/>
        <rFont val="Arial"/>
        <family val="2"/>
      </rPr>
      <t>/Page1!$G$91</t>
    </r>
    <r>
      <rPr>
        <sz val="10"/>
        <rFont val="Arial"/>
        <family val="2"/>
      </rPr>
      <t>&gt;HLOOKUP(Page1!$I$71,VehTable,L2371,FALSE)))</t>
    </r>
  </si>
  <si>
    <t>2406-2411</t>
  </si>
  <si>
    <r>
      <t>Changed formulas from IF(Page8!$P$32=0,FALSE,OR(Page8!$P$12/Page8!$P$32&lt;HLOOKUP(Page1!$I$70,VehTable,L2406,FALSE),Page8!$P$12/Page8!$P$32&gt;HLOOKUP(Page1!$I$71,VehTable,L2406,FALSE))) to IF(Page8!$P$32=0,FALSE,OR(Page8!$P$12/Page8!$P$32</t>
    </r>
    <r>
      <rPr>
        <sz val="10"/>
        <color indexed="12"/>
        <rFont val="Arial"/>
        <family val="2"/>
      </rPr>
      <t>/Page1!$G$91</t>
    </r>
    <r>
      <rPr>
        <sz val="10"/>
        <rFont val="Arial"/>
        <family val="2"/>
      </rPr>
      <t>&lt;HLOOKUP(Page1!$I$70,VehTable,L2406,FALSE),Page8!$P$12/Page8!$P$32</t>
    </r>
    <r>
      <rPr>
        <sz val="10"/>
        <color indexed="12"/>
        <rFont val="Arial"/>
        <family val="2"/>
      </rPr>
      <t>/Page1!$G$91</t>
    </r>
    <r>
      <rPr>
        <sz val="10"/>
        <rFont val="Arial"/>
        <family val="2"/>
      </rPr>
      <t>&gt;HLOOKUP(Page1!$I$71,VehTable,L2406,FALSE)))</t>
    </r>
  </si>
  <si>
    <t>2438-2440</t>
  </si>
  <si>
    <r>
      <t>Changed formulas from IF(Page8!$R$32=0,FALSE,OR(Page8!$R$12/Page8!$R$32&lt;HLOOKUP(Page1!$I$70,VehTable,L2438,FALSE),Page8!$R$12/Page8!$R$32&gt;HLOOKUP(Page1!$I$71,VehTable,L2438,FALSE))) to IF(Page8!$R$32=0,FALSE,OR(Page8!$R$12/Page8!$R$32</t>
    </r>
    <r>
      <rPr>
        <sz val="10"/>
        <color indexed="12"/>
        <rFont val="Arial"/>
        <family val="2"/>
      </rPr>
      <t>/Page1!$G$91</t>
    </r>
    <r>
      <rPr>
        <sz val="10"/>
        <rFont val="Arial"/>
        <family val="2"/>
      </rPr>
      <t>&lt;HLOOKUP(Page1!$I$70,VehTable,L2438,FALSE),Page8!$R$12/Page8!$R$32</t>
    </r>
    <r>
      <rPr>
        <sz val="10"/>
        <color indexed="12"/>
        <rFont val="Arial"/>
        <family val="2"/>
      </rPr>
      <t>/Page1!$G$91</t>
    </r>
    <r>
      <rPr>
        <sz val="10"/>
        <rFont val="Arial"/>
        <family val="2"/>
      </rPr>
      <t>&gt;HLOOKUP(Page1!$I$71,VehTable,L2438,FALSE)))</t>
    </r>
  </si>
  <si>
    <t>Changed minimum audit range from $40,000 to $12,000</t>
  </si>
  <si>
    <t>Changed minimum audit range from $35,000 to $30,000</t>
  </si>
  <si>
    <t>v145r8</t>
  </si>
  <si>
    <t>2082-2100</t>
  </si>
  <si>
    <t>Changed the Account Type from GRSPFT to SALES</t>
  </si>
  <si>
    <t>v145r9</t>
  </si>
  <si>
    <t>F/K</t>
  </si>
  <si>
    <t>38-39</t>
  </si>
  <si>
    <t>Merged cells F/K38 and F/K39 to position Body Shop Customer RO's between Paint and Bosy Labor Sales</t>
  </si>
  <si>
    <t>Added a data validation input message "Les décomptes des bons de réparation de la main-d'œuvre client - peinture et de la main-d'œuvre client - carrosserie sont combinés dans un seul compte."</t>
  </si>
  <si>
    <t>Removed cell notes and replaced with text in cells H1 to J18</t>
  </si>
  <si>
    <t>Removed cell note</t>
  </si>
  <si>
    <t>Removed call to 'Hide_UnUsed_Sheets' routine (ConditionalFormat</t>
  </si>
  <si>
    <t>Removed condition to check if sheet is hidden (PrintCellComments)</t>
  </si>
  <si>
    <t>Moved routine 'Hide_UnUsed_Sheets' from modImportExport to Page1. Added button on Page1 to call routine</t>
  </si>
  <si>
    <t>Added additional check conditions for hiding sheets</t>
  </si>
  <si>
    <t>Removed I68 and R68 from strPage1range in the Trial Balance Lock code</t>
  </si>
  <si>
    <t>v145r10</t>
  </si>
  <si>
    <t>Corrected typo in code for Hide/Display Blank Sheets</t>
  </si>
  <si>
    <t>Replaced -------- in Col B with 'DO NOT USE'</t>
  </si>
  <si>
    <t>Re-Mapped cells to Page6!F/K65 form Page6!J/O65</t>
  </si>
  <si>
    <t>A/B/C</t>
  </si>
  <si>
    <t>114-120</t>
  </si>
  <si>
    <t xml:space="preserve">Was </t>
  </si>
  <si>
    <t>117-123</t>
  </si>
  <si>
    <t>Moved edit field from YTD data to Month data, changed cell appearance from tan to light green for head Count to Personnel expense audit and moved the rows back into numeric sequency on the verify tab</t>
  </si>
  <si>
    <t>169-175</t>
  </si>
  <si>
    <t>171-177</t>
  </si>
  <si>
    <t>219-225</t>
  </si>
  <si>
    <t>222-228</t>
  </si>
  <si>
    <t>274-277</t>
  </si>
  <si>
    <t>280-283</t>
  </si>
  <si>
    <t>327-330</t>
  </si>
  <si>
    <t>330-333</t>
  </si>
  <si>
    <t>375-378</t>
  </si>
  <si>
    <t>380-383</t>
  </si>
  <si>
    <t>428-431</t>
  </si>
  <si>
    <t>430-433</t>
  </si>
  <si>
    <r>
      <t>Added the following Edit Check =OR(AND(Page6!$</t>
    </r>
    <r>
      <rPr>
        <b/>
        <sz val="10"/>
        <rFont val="Arial"/>
        <family val="2"/>
      </rPr>
      <t>H</t>
    </r>
    <r>
      <rPr>
        <sz val="10"/>
        <rFont val="Arial"/>
        <family val="2"/>
      </rPr>
      <t>$34=0,Page7!$J$46&gt;0),AND(Page6!$</t>
    </r>
    <r>
      <rPr>
        <b/>
        <sz val="10"/>
        <rFont val="Arial"/>
        <family val="2"/>
      </rPr>
      <t>H</t>
    </r>
    <r>
      <rPr>
        <sz val="10"/>
        <rFont val="Arial"/>
        <family val="2"/>
      </rPr>
      <t>$34&gt;0,(Page7!$J$46+Page7!$N$46=0)))</t>
    </r>
  </si>
  <si>
    <r>
      <t>Added the following Edit Check =OR(AND(Page6!$</t>
    </r>
    <r>
      <rPr>
        <b/>
        <sz val="10"/>
        <rFont val="Arial"/>
        <family val="2"/>
      </rPr>
      <t>H</t>
    </r>
    <r>
      <rPr>
        <sz val="10"/>
        <rFont val="Arial"/>
        <family val="2"/>
      </rPr>
      <t>$43=0,Page7!$K$46&gt;0),AND(Page6!$</t>
    </r>
    <r>
      <rPr>
        <b/>
        <sz val="10"/>
        <rFont val="Arial"/>
        <family val="2"/>
      </rPr>
      <t>H</t>
    </r>
    <r>
      <rPr>
        <sz val="10"/>
        <rFont val="Arial"/>
        <family val="2"/>
      </rPr>
      <t>$43&gt;0,(Page7!$K$46+Page7!$N$46)=0))</t>
    </r>
  </si>
  <si>
    <t>Copied the data validation from Column M to Column H</t>
  </si>
  <si>
    <t>B/E/F</t>
  </si>
  <si>
    <t>Added WAVE with Min/Max $12,000/$33,000</t>
  </si>
  <si>
    <t>Page5k</t>
  </si>
  <si>
    <t>Changed stub from "AVEO/OPRA/EPICA" to "AV/OPT/EP/WAV"</t>
  </si>
  <si>
    <t>Changed formula from =(M/N605)*-1 to =(M/N605)</t>
  </si>
  <si>
    <t>Changed formulas from IFERROR(IF(Flag=TRUE,L49-TBIn!E2056,TBIn!D2056),0) to IFERROR(IF(Flag=TRUE,K72-TBIn!E2056,TBIn!D2056),0)</t>
  </si>
  <si>
    <t>Changed formulas from IFERROR(IF(Flag=TRUE,M49-TBIn!E2057,TBIn!D2057),0) to ferror(IF(Flag=TRUE,L72-TBIn!E2057,TBIn!D2057),0)</t>
  </si>
  <si>
    <t>Changed formulas from IF(Flag=TRUE,M72-(TBIn!D2056-TBIn!D2057),F72-G72) to F72-G72</t>
  </si>
  <si>
    <t>Changed formulas from Page2!J63 to (Page2!J63/Page1!G91*12)</t>
  </si>
  <si>
    <t>50 - 61</t>
  </si>
  <si>
    <t>Changed font to Black Non-Italicized</t>
  </si>
  <si>
    <t>Changed code to keep Page1 I 50 - I 61 locked at all times</t>
  </si>
  <si>
    <t>Changed formula from =Page7!$O$49&lt;&gt;SUM(Page7!$E$49:$N$49) to OR(Page7!$O$49-SUM(Page7!$E$49:$N$49)&gt;0.1,Page7!$O$49-SUM(Page7!$E$49:$N$49)&lt;-0.1)</t>
  </si>
  <si>
    <t>Changed formula from =Page7!$O$50&lt;&gt;SUM(Page7!$E$50:$N$50) to OR(Page7!$O$50-SUM(Page7!$E$50:$N$50)&gt;0.1,Page7!$O$50-SUM(Page7!$E$50:$N$50)&lt;-0.1)</t>
  </si>
  <si>
    <t>Changed formula from =Page7!$O$51&lt;&gt;SUM(Page7!$E$51:$N$51) to OR(Page7!$O$51-SUM(Page7!$E$51:$N$51)&gt;0.1,Page7!$O$51-SUM(Page7!$E$51:$N$51)&lt;-0.1)</t>
  </si>
  <si>
    <t>Added Auto Upload Code</t>
  </si>
  <si>
    <t>v145r11</t>
  </si>
  <si>
    <t>2185-2187</t>
  </si>
  <si>
    <t>Page 7</t>
  </si>
  <si>
    <t>Col E</t>
  </si>
  <si>
    <t>Row 43-45</t>
  </si>
  <si>
    <t>Eliminated personnel count Vs. YTD compensation</t>
  </si>
  <si>
    <t>2188-2189</t>
  </si>
  <si>
    <t>Row 47-48</t>
  </si>
  <si>
    <t>2203-2208</t>
  </si>
  <si>
    <t>Col F</t>
  </si>
  <si>
    <t>Row 43-48</t>
  </si>
  <si>
    <t>2213-2217</t>
  </si>
  <si>
    <t>Col H</t>
  </si>
  <si>
    <t>2247-2252</t>
  </si>
  <si>
    <t>Col J</t>
  </si>
  <si>
    <t>2270-2275</t>
  </si>
  <si>
    <t>Col K</t>
  </si>
  <si>
    <t>2292-2296</t>
  </si>
  <si>
    <t>Col M</t>
  </si>
  <si>
    <t>2307-2312</t>
  </si>
  <si>
    <t>Col N</t>
  </si>
  <si>
    <t>2222-2224</t>
  </si>
  <si>
    <t>Col I</t>
  </si>
  <si>
    <t>Row 43,47,48</t>
  </si>
  <si>
    <t>Changed formula from OR(AND(Page7!$L$11+Page7!$L$20=0,Page7!$I$44+Page7!$I$47+Page7!$I$48&gt;0),AND(Page7!$L$11+Page7!$L$20&lt;0,Page7!$I$44+Page7!$I$47+Page7!$I$48=0)) to OR(AND(Page7!$G$11+Page7!$G$20=0,Page7!$I$44+Page7!$I$47+Page7!$I$48&gt;0),AND(Page7!$G$11+P</t>
  </si>
  <si>
    <t>Changed Minmum audit ranges from $60000 to $50000</t>
  </si>
  <si>
    <t>Changed Maximum audit ranges from $54000 to $60000</t>
  </si>
  <si>
    <t>Added 'Option Private Module' to modules to hide the macros from showin up in the macro list. Made all subs in worksheets private.</t>
  </si>
  <si>
    <t>v145r12</t>
  </si>
  <si>
    <t>Reduced Min audit range from $60,000 to $50,000</t>
  </si>
  <si>
    <t>Increased Max audit range from $50,000 to $60,000</t>
  </si>
  <si>
    <t>D/I</t>
  </si>
  <si>
    <t>122/177/227/280/333/381</t>
  </si>
  <si>
    <t>Page 3</t>
  </si>
  <si>
    <t>D/F/H/J/L/N</t>
  </si>
  <si>
    <t>Added Edit to insure Dept G&amp;A is not greater than Total G&amp;A</t>
  </si>
  <si>
    <t>164/218/269/323/374/423</t>
  </si>
  <si>
    <t>Page 4</t>
  </si>
  <si>
    <t>Added comment to define Dept G&amp;A &gt; Total G&amp;A crtical error</t>
  </si>
  <si>
    <t>Added Edit to new month units sales are not greater than new YTD unit sales</t>
  </si>
  <si>
    <t>Added Edit to used month units sales are not greater than new YTD unit sales</t>
  </si>
  <si>
    <t>Added comment to define Month Unit Sales Greater Than YTD Units Sales critical error</t>
  </si>
  <si>
    <t>E/J</t>
  </si>
  <si>
    <t>D66</t>
  </si>
  <si>
    <t>Added Edit to trap labor rates in excess of OR_VEH table max value - Non-Critical</t>
  </si>
  <si>
    <t>D67</t>
  </si>
  <si>
    <t>D68</t>
  </si>
  <si>
    <t>F66</t>
  </si>
  <si>
    <t>F67</t>
  </si>
  <si>
    <t>F68</t>
  </si>
  <si>
    <t>L66</t>
  </si>
  <si>
    <t>L67</t>
  </si>
  <si>
    <t>N66</t>
  </si>
  <si>
    <t>N67</t>
  </si>
  <si>
    <t>N68</t>
  </si>
  <si>
    <t>N69</t>
  </si>
  <si>
    <t>Added comment to define Labor Rate in excess of Max Audit Range - Non-Critical Error</t>
  </si>
  <si>
    <t>Added Max Labor Rate to OR_VEH table</t>
  </si>
  <si>
    <t>2373-2378</t>
  </si>
  <si>
    <t>Page8</t>
  </si>
  <si>
    <t>5-11</t>
  </si>
  <si>
    <t>Changed the edit from average month income to current month income and only on sub-total income</t>
  </si>
  <si>
    <t>2409-2414</t>
  </si>
  <si>
    <t>2441-2443</t>
  </si>
  <si>
    <t>8-10</t>
  </si>
  <si>
    <t>Created a new (row) edit to insure current month Net Sales are reported</t>
  </si>
  <si>
    <t>Added edit to insure current YTD Net Sales are reported</t>
  </si>
  <si>
    <t>Added comment "CRITICAL ERROR --- Total Net Sales are zero!"</t>
  </si>
  <si>
    <t>Added comment "CRITICAL ERROR ---The # of employees applicable to this position classification was not shown, although the related compensation acc't(s) on Page 7 lines 8 &amp; 17 shows a balance.  Or, the comp acc't(s) on Page 7 lines 8 &amp; 17 shows a 0 balance, although the releated personnel count is not 0!"</t>
  </si>
  <si>
    <t>Added code to hide hidden sheets such that they can be un-hidden using code only (ctrl + u)</t>
  </si>
  <si>
    <t>2224-2226</t>
  </si>
  <si>
    <t>Changed formula from IF(C2224=TRUE,Comments!$B$13,"") to IF(C2224=TRUE,Comments!$B$70,"")</t>
  </si>
  <si>
    <t>v145r13</t>
  </si>
  <si>
    <t>Deleted Row 571 - Entry for PDI labor Rate should not have been there and is causing a error in Body Shop Warranty Rate to appear when there shouldn't be one.</t>
  </si>
  <si>
    <t>Added WAVE Min/Max $12,000/$33,000</t>
  </si>
  <si>
    <t>Page 5k</t>
  </si>
  <si>
    <t>Change "Aveo/Optra/Epica" to "AV/OPT/EP/WAV"</t>
  </si>
  <si>
    <t>Changed formula from IF(Page7!$J$33=0,FALSE,OR(Page7!$K$33/Page7!$J$33&lt;HLOOKUP(Page1!$I$70,VehTable,L2200,FALSE),Page7!$K$33/Page7!$J$33&gt;HLOOKUP(Page1!$I$71,VehTable,L2200,FALSE))) to IF(Page7!$J$34=0,FALSE,OR(Page7!$K$34/Page7!$J$34&lt;HLOOKUP(Page1!$I$70,VehTable,L2200,FALSE),Page7!$K$34/Page7!$J$34&gt;HLOOKUP(Page1!$I$71,VehTable,L2200,FALSE)))</t>
  </si>
  <si>
    <t>Changed formula from IF(E2200=TRUE,Comments!$B$35&amp;DOLLAR(HLOOKUP(Page1!$I$70,VehTable,L2200,FALSE),0)&amp;Comments!$B$18&amp;DOLLAR(HLOOKUP(Page1!$I$71,VehTable,L2200,FALSE),0)&amp;Comments!$B$19&amp;DOLLAR(Page7!$K$33/Page7!$J$33,0),"") to IF(E2200=TRUE,Comments!$B$35&amp;DOLLAR(HLOOKUP(Page1!$I$70,VehTable,L2200,FALSE),0)&amp;Comments!$B$18&amp;DOLLAR(HLOOKUP(Page1!$I$71,VehTable,L2200,FALSE),0)&amp;Comments!$B$19&amp;DOLLAR(Page7!$K$34/Page7!$J$34,0),"")</t>
  </si>
  <si>
    <t>v145r14</t>
  </si>
  <si>
    <t>Added COBALT Min/Max $15,000/$35,000</t>
  </si>
  <si>
    <t>Changed VENTURE to VENTURE/UPLANDER</t>
  </si>
  <si>
    <t>Added PURSUIT Min/Max $15,000/$35,000</t>
  </si>
  <si>
    <t>Added G6 Min/Max $20,000/$35,000</t>
  </si>
  <si>
    <t>Changed MONTANA to MONTANA / SV6</t>
  </si>
  <si>
    <t>Added ALLURE Min/Max $20,000/$35,000</t>
  </si>
  <si>
    <t>Added TERRAZA Min/Max $25,000/$40,000</t>
  </si>
  <si>
    <t>change CAVALIER/SUNFIRE to CAV/COB/SUN/PURS</t>
  </si>
  <si>
    <t>change MAL/GRAM/ALERO to MAL/GRA/G6/ALERO</t>
  </si>
  <si>
    <t>change REGAL TO REGAL/ALLURE</t>
  </si>
  <si>
    <t>change VEN/MON/SIL to VE/UP/MO/SV6/SI/TER</t>
  </si>
  <si>
    <t>change SATURN to SAT VUE/RELAY</t>
  </si>
  <si>
    <t>Added VeriSign Digital ID for VBA macros. Removed Sheet 'Intro'.</t>
  </si>
  <si>
    <t>Added error handler to trap MS Excel SP error and scrrun.dll error (Sub CreateExport)</t>
  </si>
  <si>
    <t>v145r15</t>
  </si>
  <si>
    <t>Setup paper size of 8.5"X11" - was previously blank</t>
  </si>
  <si>
    <t>I,K</t>
  </si>
  <si>
    <t>5-12,14-22</t>
  </si>
  <si>
    <t>Removed the "PVIS" Analysis that is based on Effective units</t>
  </si>
  <si>
    <t>30-32</t>
  </si>
  <si>
    <t xml:space="preserve">Removed YTD "ADDED UNITS", "REMOVED UNITS" and "EFFECTIVE UNITS" and corresponding edits. - This information was not used . </t>
  </si>
  <si>
    <t>Page5f</t>
  </si>
  <si>
    <t>426-018</t>
  </si>
  <si>
    <t>Added RELAY Min/Max $20,000/$35,000</t>
  </si>
  <si>
    <t>I/N</t>
  </si>
  <si>
    <t>Was PVN to PNVD</t>
  </si>
  <si>
    <t>Changed formula from IF(E74=0,0,H72/E74) to IF(E74=0,0,H72/E75)</t>
  </si>
  <si>
    <t>16,18,32</t>
  </si>
  <si>
    <t>Added a Critical Error to insure Co. Vehicles are not outside ranges established on OR_VEH row 540</t>
  </si>
  <si>
    <t>Inserted a row to accomdate NWCS and mapped to data feed for MS as well as to page 1</t>
  </si>
  <si>
    <t>K-N</t>
  </si>
  <si>
    <t>53-64</t>
  </si>
  <si>
    <t>Unlocked cells to allow user the ability to manuall input missing data and added data valadation for whole numbers only</t>
  </si>
  <si>
    <t>Mapped NWCS cell to TBIn and locked cell to prevent manual data input</t>
  </si>
  <si>
    <t>Added a cell validation comment "This cell has been unlocked to allow the user to input previous month data that may be missing because it was not submitted to General Motors.  This data is for Dealer presentation purposes ONLY and will not be retained by General Motors FACTS 2.0."</t>
  </si>
  <si>
    <t>Added a cell validation comment "Actif ligne 44 - Passif ligne 37  + Dette à Long Terme à Exclure Ligne 43"</t>
  </si>
  <si>
    <t>v145r16</t>
  </si>
  <si>
    <t>Changed formula from Page3!$N$70&lt;&gt;(SUM(Page3!$F$66:$G$69)-SUM(Page3!$N$66:$O$68)) to Page3!$N$70&lt;&gt;(SUM(Page3!$F$66:$F$69)-SUM(Page3!$N$66:$N$68))</t>
  </si>
  <si>
    <t>66-69</t>
  </si>
  <si>
    <t>Locked Cells</t>
  </si>
  <si>
    <t>66-68</t>
  </si>
  <si>
    <t>Page 5i</t>
  </si>
  <si>
    <t>Increased the maximum audit range from $70,000 to $80,000</t>
  </si>
  <si>
    <t>H-R</t>
  </si>
  <si>
    <t>29-32</t>
  </si>
  <si>
    <t>Improved the appearance of this section by shading unused cells.</t>
  </si>
  <si>
    <t>36-76</t>
  </si>
  <si>
    <t>Shifted the edit comment account descriptions down by one row.  Somehow they got out of sync.</t>
  </si>
  <si>
    <t>Released</t>
  </si>
  <si>
    <t>v145r17</t>
  </si>
  <si>
    <t>6-42</t>
  </si>
  <si>
    <t>Changed Stub From "Voitures Neuves" to Autos/Cam Commercial"</t>
  </si>
  <si>
    <t>B,C,F,F</t>
  </si>
  <si>
    <t>2-441</t>
  </si>
  <si>
    <t>Changed the MA accounts to be consistentl at 416 Cars and 437 Trucks for all VML's</t>
  </si>
  <si>
    <t>v146r1</t>
  </si>
  <si>
    <t>Page 5d</t>
  </si>
  <si>
    <t>Changed the Max Audit Range for Allure from $35,000 to $40,000</t>
  </si>
  <si>
    <t>Page 5b</t>
  </si>
  <si>
    <t>Changed the Max Audit Range for Yukon XL from $65,000 to $80,000</t>
  </si>
  <si>
    <t>Added Critical edits to insure Fleet Car Units Reported on Pages 5a - 5i  row 25  = Fleet Car Units reported on page 5k row 24</t>
  </si>
  <si>
    <t>Added Comment "ERREUR IRRÉCUPÉRABLE --- La somme des unités autos parc enregistrée aux pages 5a à 5j, ligne 22 n'est PAS égale à la somme des unités autos parc à la page 5k, ligne 21 !  La différence est   "</t>
  </si>
  <si>
    <t>Added Critical edit to insure Fleet Truck Units Reported on Pages 5a - 5i  row 46  = Fleet Truck Units reported on page 5k row 43</t>
  </si>
  <si>
    <t>Added Comment "ERREUR IRRÉCUPÉRABLE --- La somme des unités camions parc enregistrée aux pages 5a à 5j, ligne 22 n'est PAS égale à la somme des unités camions parc à la page 5k, ligne 21 !  La différence est  "</t>
  </si>
  <si>
    <t>Page 1</t>
  </si>
  <si>
    <t>Added a data input field for input method/DSP that is validated against a list of DSP's in cells Page1!I95:I158</t>
  </si>
  <si>
    <t>H-M</t>
  </si>
  <si>
    <t>93-158</t>
  </si>
  <si>
    <t>Added  a table to list DSP's for data validation of cell Page1!C3</t>
  </si>
  <si>
    <t>Added Comment "--- On n’a pas sélectionné de méthode d’entrée / Fournisseur de systèmes d'établissements concessionnaires (DSP) ! On doit sélectionner une méthode valide d’entrée / DSP avant de soumettre vos données à General Motors. À l'avenir, ceci deviendra une ERREUR IRRÉCUPÉRABLE."</t>
  </si>
  <si>
    <t>C3</t>
  </si>
  <si>
    <t>Row added for additional edit to insure that an input method / DSP value has been reported.</t>
  </si>
  <si>
    <t>B-E</t>
  </si>
  <si>
    <t>O93</t>
  </si>
  <si>
    <t>Row added to capture DSP type header information from central database download.</t>
  </si>
  <si>
    <t>B-R</t>
  </si>
  <si>
    <t>M93</t>
  </si>
  <si>
    <t>Row added to upload to central database DSP Type info.</t>
  </si>
  <si>
    <t>2-2436</t>
  </si>
  <si>
    <t>Changed the Comment concatenation formula to suppress the display of NON-CRITICAL errors and accuracy point loss when a CRITICAL error exist for the same cell.</t>
  </si>
  <si>
    <t>modImportExport - Modified constants to accommodate extra row on TBIn, TBOut and Verify Sheets</t>
  </si>
  <si>
    <t>&gt;100</t>
  </si>
  <si>
    <t>&lt;-100</t>
  </si>
  <si>
    <t>Changed Comment from "--- Amount to balance should be less than $100." to "--- Le montant au solde devrait être moins de 100 $ ou plus de -100 $. N.B. : Ceci deviendra une erreur IRRÉCUPÉRABLE à un certain moment en 2005 lorsque GM tentera d’améliorer la comptabilisation des concessionnaires !</t>
  </si>
  <si>
    <t>&gt;1000</t>
  </si>
  <si>
    <t>&lt;-1000</t>
  </si>
  <si>
    <t>Added Comment "ERREUR IRRÉCUPÉRABLE --- Le montant au solde devrait être moins de 1 000 $ ou plus de - 1 000 $. Ce seuil sera réduit à 100 $ à un certain moment en 2005 lorsque GM tentera d’améliorer la comptabilisation des concessionnaires"</t>
  </si>
  <si>
    <t>R64</t>
  </si>
  <si>
    <t>Added Critical edit to insure that "To Balance" amount is &lt;$1,000 and &gt;-$1,000</t>
  </si>
  <si>
    <t>D69</t>
  </si>
  <si>
    <t>F69</t>
  </si>
  <si>
    <t>Removed code to create a backup on workbook startup</t>
  </si>
  <si>
    <t>Added error comment "ERREUR IRRÉCUPÉRABLE --- Les ventes pour le mois de janvier et le cumul annuel ne sont pas égales ! Vous devez comptabiliser la position financière de la concession basée selon la méthode comptable d’un exercice financier de fin d’année civile (clôture d’exercice le 31 décembre).  Si tel est le cas, les ventes pour le mois de janvier et le cumul annuel devraient être égales."</t>
  </si>
  <si>
    <t>Page2</t>
  </si>
  <si>
    <t>G4</t>
  </si>
  <si>
    <t>Added an edit to insure that January Month and YTD sales are equal</t>
  </si>
  <si>
    <t>Added error comment "--- Basées sur le niveau élevé d’analyse de données que vous soumettez, il semble que vous rapportez les chiffres pour les mois "&amp;ROUND(IFERROR(Page6!L38/Page6!G38,0),0)&amp;" lorsqu’en fait, l’état "&amp;Page1!E9&amp;" devrait représenter les activités des mois "&amp;TBIn!E2226&amp;B80</t>
  </si>
  <si>
    <t>Added error comment "pour cette période de l’exercice.  Vous devez comptabiliser la position financière de la concession basée selon la méthode comptable d’un exercice financier de fin d’année civile (clôture d’exercice le 31 décembre).  Prière de vous assurer que vous comptabiliser pour la période de l’exercice financier qui commence le 1er janvier et qui se terminera le 31 décembre de l’exercice courant."</t>
  </si>
  <si>
    <t>E7</t>
  </si>
  <si>
    <t>Added an edit to test the number of months reporting for (estimated by dividing YTD Servce Sales by MTH Service Sales) against the TB Edit Reporting Month.  A NON- CRITICAL error with 0 accuracy points is generated.</t>
  </si>
  <si>
    <t>I93</t>
  </si>
  <si>
    <t xml:space="preserve">Link to the DSP inof from Page1 is suppressed and will need to be re-instated when the database can accept this info.  Formula on TBOut!E4 is "=LEFT(Page1!I93,60)" </t>
  </si>
  <si>
    <t>Page 5a</t>
  </si>
  <si>
    <t>Changed the Min Audit Range for SSR from $50,000 to $40,000</t>
  </si>
  <si>
    <t>B,E,F</t>
  </si>
  <si>
    <t>Page 5h</t>
  </si>
  <si>
    <t>Added Audit Range for H3 - Min $30,000 / Max $55,000</t>
  </si>
  <si>
    <t>Page 5g</t>
  </si>
  <si>
    <t>Added VML for SAAB 9-7X with auditranges of - Min $35,000 / Max $60,000</t>
  </si>
  <si>
    <t>Removed Edit based on request from Bruce Johnson</t>
  </si>
  <si>
    <t>(modEditVerify) Modified code to properly set the dimensions of cell comments</t>
  </si>
  <si>
    <t>v146r2</t>
  </si>
  <si>
    <t>Unlocked cell</t>
  </si>
  <si>
    <t>(modImportExport) Modified code to capture dealer BAC in Sender section of output xml file</t>
  </si>
  <si>
    <t>v146r3</t>
  </si>
  <si>
    <t>Reduced Min audit range from $20,000 to $18,000 on Blazer</t>
  </si>
  <si>
    <t>Reduced Min audit range from $20,000 to $18,000 on Jimmy</t>
  </si>
  <si>
    <t>Added a fix to correct the problem with the DSP drop down selection on Page1</t>
  </si>
  <si>
    <t>v146r4</t>
  </si>
  <si>
    <t>Corrected hyperlinks to wron area</t>
  </si>
  <si>
    <t>v146r5</t>
  </si>
  <si>
    <t>Changed stub file form SAT VUE/RELAY TO VUE/REL/SAAB</t>
  </si>
  <si>
    <t>Modified code that unlocks cells for manual input on page 1 to capture additional cells</t>
  </si>
  <si>
    <t>Changed Min Audit Range for Aveo from $12,000 to $9,000</t>
  </si>
  <si>
    <t>Changed Min Audit Range for Optra from $12,000 to $9,000</t>
  </si>
  <si>
    <t>Changed Max Audit Range for Rainier from $55,000 to $60,000</t>
  </si>
  <si>
    <t>Page 5f</t>
  </si>
  <si>
    <t>Changed Min Audit Range for Ion2 from $13,000 to $12,000</t>
  </si>
  <si>
    <t>Changed Max Audit Range for Relay from $35,000 to $40,000</t>
  </si>
  <si>
    <t>v146r6</t>
  </si>
  <si>
    <t>7 to 64</t>
  </si>
  <si>
    <t>Changed the denominator of the formula from H$5 to (H$5+H$62) to match the English version of TBE</t>
  </si>
  <si>
    <t>v146r7</t>
  </si>
  <si>
    <t>Changed formula for displaying ZIP/Postal Code to IFERROR(IF(ISNUMBER(VALUE(TBIn!E2233))=TRUE,LEFT(TBIn!E2233,5)&amp;"-"&amp;RIGHT(TBIn!E2233,4),LEFT(TBIn!E2233,3)&amp;" "&amp;RIGHT(TBIn!E2233,3)),"")</t>
  </si>
  <si>
    <t>Added edit "OR(Page1!$I$68=0,Page1!$I$68&lt;0)"</t>
  </si>
  <si>
    <t>I68</t>
  </si>
  <si>
    <t>Added Comments "ERREUR IRRÉCUPÉRABLE --- L'actif total  est plus petit ou égale 0.  Un concessionnaire ne peut opérer sans actifs!"</t>
  </si>
  <si>
    <t>Page5d</t>
  </si>
  <si>
    <t>Increased Max Audit Range from $40,000 to $45,000</t>
  </si>
  <si>
    <t>Page5i</t>
  </si>
  <si>
    <t>Increased Max Audit Range from $80,000 to $100,000</t>
  </si>
  <si>
    <t>Changed error message from:
Please update Micosoft Excel with the latest service pack.
To
Cause of error may be one of the following:
Antivirus software
Older version of Micosoft Excel service pack
Firewall issues</t>
  </si>
  <si>
    <t>Added code to copy NWCS data
Added code to display message when header info date is missing
Modified code to activate/deactivate copy/paste in maintanence mode</t>
  </si>
  <si>
    <t>Changed the cell validation message from "sélectionner à partir de la liste ci-dessous."  to "Ce champ a été mis temporairement hors service.  Vous n'avez pas à sélectionner un fournisseur pour l'instant!"</t>
  </si>
  <si>
    <t>De-activated the edit by placing a hard code "FALSE" in the test range.  Formula was "Page1!M93=0"</t>
  </si>
  <si>
    <t>Page5a</t>
  </si>
  <si>
    <t>Added VML HHR with a Min/Max $15,000/$30,000</t>
  </si>
  <si>
    <t>Page5b</t>
  </si>
  <si>
    <t>Added VML Solstice with a Min/Max $20,000/$35,000</t>
  </si>
  <si>
    <t>v146r8</t>
  </si>
  <si>
    <t>Changed code to compare English language month when reading the header date</t>
  </si>
  <si>
    <t>v146r9</t>
  </si>
  <si>
    <t>B-H</t>
  </si>
  <si>
    <t>Removed HHR VML and changed back to "NE PAS UTILISER"</t>
  </si>
  <si>
    <t>Changed  "SSR" to "SSR/HHR"</t>
  </si>
  <si>
    <t>Added VML Solstice</t>
  </si>
  <si>
    <t>v146r10</t>
  </si>
  <si>
    <t>E8</t>
  </si>
  <si>
    <t>Added to the Non-Critical error mesaage " SVP vous assure que vous reportez pour une période qui débute le 1er janvier et qui se termine le 31 décembre de la même année.  CETTE ERREUR NE REPRÉSENTE QU'UNE OBSERVATION.  AUCUN POINT NE SERA DÉDUIT ET AUCUN COMPTE D'ERREUR NE SERA ENREGISTRÉ!"</t>
  </si>
  <si>
    <t>Changed reference from TBIn!E2233 to TBIn!E2232</t>
  </si>
  <si>
    <t>E-F</t>
  </si>
  <si>
    <t>3-528</t>
  </si>
  <si>
    <t>Updated various VML audit Ranges as per list provided by Sylvie Pap.  See column Q for detail ---&gt;</t>
  </si>
  <si>
    <t>CAVALIER</t>
  </si>
  <si>
    <t>v146r11</t>
  </si>
  <si>
    <t>B-F</t>
  </si>
  <si>
    <t>Added Pontiac Torrent VML Min/MAX $15,000/$35,000</t>
  </si>
  <si>
    <t>MALIBU MAXX</t>
  </si>
  <si>
    <t>AVEO</t>
  </si>
  <si>
    <t>v146r12</t>
  </si>
  <si>
    <t>Changed Postal Code formula from =Mid(J2229,1,5) to =J2229</t>
  </si>
  <si>
    <t>OPTRA</t>
  </si>
  <si>
    <t>Removed link to secondary postal code</t>
  </si>
  <si>
    <t>EPICA</t>
  </si>
  <si>
    <t>Changed the cell validation message to re-activate the DSP drop down</t>
  </si>
  <si>
    <t>COBALT</t>
  </si>
  <si>
    <t>Re-mapped the DSP selection field to page 1</t>
  </si>
  <si>
    <t>VENTURE / UPLANDER</t>
  </si>
  <si>
    <t>Re-activated the edit to insure a DSP is selected</t>
  </si>
  <si>
    <t>(msCopyDSP) Added code to copy DSP data</t>
  </si>
  <si>
    <t>TRAILBLAZER/EXT</t>
  </si>
  <si>
    <t>v146r13</t>
  </si>
  <si>
    <t>Removed the non-Calendar year reporting edit based on service sales.</t>
  </si>
  <si>
    <t>F/K/U</t>
  </si>
  <si>
    <t>282-284</t>
  </si>
  <si>
    <t>Page4D66:68</t>
  </si>
  <si>
    <t>Page6G24:26</t>
  </si>
  <si>
    <t>Added non-critical edits (100 points) to insure labor rates are reported when corresponding current month labor sales are reported.</t>
  </si>
  <si>
    <t>VIBE</t>
  </si>
  <si>
    <t>325-327</t>
  </si>
  <si>
    <t>Page4F66:68</t>
  </si>
  <si>
    <t>Page6G27:29</t>
  </si>
  <si>
    <t>SUNFIRE</t>
  </si>
  <si>
    <t>383-384</t>
  </si>
  <si>
    <t>Page4L66:67</t>
  </si>
  <si>
    <t>Page6G307:31</t>
  </si>
  <si>
    <t>GRAND AM</t>
  </si>
  <si>
    <t>425-428</t>
  </si>
  <si>
    <t>Page4N66:69</t>
  </si>
  <si>
    <t>Page6G38:41</t>
  </si>
  <si>
    <t>WAVE</t>
  </si>
  <si>
    <t>Added non-critical "--- Aucun taux de main-d'oeuvre n'est comptabilisé pour ce compte, tandis que des ventes de main-d'oeuvre correspondantes sont comptabilisées pour ce mois, à la page 6 ! La présente édition deviendra une erreur irrécupérable prochainement en 2005."</t>
  </si>
  <si>
    <t>PURSUIT</t>
  </si>
  <si>
    <t>G6</t>
  </si>
  <si>
    <t>v146r14</t>
  </si>
  <si>
    <t>C/F/H/K/U</t>
  </si>
  <si>
    <t>Added Critical and Non-Critical edits based on new audit ranges in OR_VEH Table</t>
  </si>
  <si>
    <t>SOLSTICE</t>
  </si>
  <si>
    <t>MONTANA / SV6</t>
  </si>
  <si>
    <t>A/B/C/E/F</t>
  </si>
  <si>
    <t>536/538</t>
  </si>
  <si>
    <t>Added new audit ranges for Used Veh Inventory - critical errors</t>
  </si>
  <si>
    <t>JIMMY</t>
  </si>
  <si>
    <t>B,G</t>
  </si>
  <si>
    <t>Changed VML description to "TRACKER/EQUINOX"</t>
  </si>
  <si>
    <t>ENVOY/XL</t>
  </si>
  <si>
    <t>Re-Mapped The Saturn Relay from Isuzu (426-018) to Saturn (426-008)</t>
  </si>
  <si>
    <t>ENVOY XUV</t>
  </si>
  <si>
    <t>Changed formulas from TBIn!E15 to TBIn!E15+TBIn!E855</t>
  </si>
  <si>
    <t>SILHOUETTE</t>
  </si>
  <si>
    <t>BRAVADA</t>
  </si>
  <si>
    <t>v146r15</t>
  </si>
  <si>
    <t>83-85</t>
  </si>
  <si>
    <t>Changed ROA formula new vehicle references from Page 7 to Page 1 and eliminated the Demo deduction</t>
  </si>
  <si>
    <t>RELAY</t>
  </si>
  <si>
    <t>Changed the L7B formula from IF(ISERROR(Page1!L76)=TRUE,0,ABS(PV(0.1075/12,15*12,Page2!J52/Page1!G91,,))) to IFERROR(ABS(PV(0.1075,15,Page2!J52*(12/Page1!G91),,)),0)</t>
  </si>
  <si>
    <t>SAAB 9-5</t>
  </si>
  <si>
    <t>Col 84</t>
  </si>
  <si>
    <t>TrialBalanceLock</t>
  </si>
  <si>
    <t>Removed range P60:P63 form unlock when manually input</t>
  </si>
  <si>
    <t>SAAB 9-5W</t>
  </si>
  <si>
    <t>Removed range R60:R63 form unlock when manually input</t>
  </si>
  <si>
    <t>9-7X</t>
  </si>
  <si>
    <t>H3</t>
  </si>
  <si>
    <t>v146r16</t>
  </si>
  <si>
    <t>Changed formula form TBIn!E15 + TBIn!E855 to TBIn!E15</t>
  </si>
  <si>
    <t xml:space="preserve">GMC W </t>
  </si>
  <si>
    <t>v146r17</t>
  </si>
  <si>
    <t>Added to the end of the current comment the following "CETTE ERREUR NE REPRÉSENTE QU'UNE OBSERVATION.  AUCUN POINT NE SERA DÉDUIT ET AUCUN COMPTE D'ERREUR NE SERA ENREGISTRÉ!"</t>
  </si>
  <si>
    <t>INV DEMOS</t>
  </si>
  <si>
    <t>Added Account 405 Lucerne Min/Max 30,000 /60,000</t>
  </si>
  <si>
    <t>Page5e</t>
  </si>
  <si>
    <t>Account 400 add  /DTS</t>
  </si>
  <si>
    <t>Account 405: Ion 1 Coupe, Range: 9,000-25,000</t>
  </si>
  <si>
    <t>Account 406: add /Aura 1</t>
  </si>
  <si>
    <t>Account 407: add /Aura 2</t>
  </si>
  <si>
    <t>Account 412: add Sky 1  Min/Max 20,000 /35,000</t>
  </si>
  <si>
    <t>Account 413: add Sky 2.  Min/Max 20,000 /35,000</t>
  </si>
  <si>
    <t>Account 425: remove Trooper and add Vue (hybrid) Min/Max $20,000-$45,000</t>
  </si>
  <si>
    <t>Account 427: add Outlook 1 Min/Max $20,000-$50,000</t>
  </si>
  <si>
    <t>Account 428: add Outlook 2 Min/Max $20,000-$50,000</t>
  </si>
  <si>
    <t>Added LUCERNE to VML</t>
  </si>
  <si>
    <t>Added HHR to VML</t>
  </si>
  <si>
    <t>Added SAAB to VML</t>
  </si>
  <si>
    <t>Changed VML to SATURN</t>
  </si>
  <si>
    <t>Reduced Min value from $14,000 to $11,000</t>
  </si>
  <si>
    <t>Reduced Min value from $10,000 to $8,000</t>
  </si>
  <si>
    <t>Reduced Min value from $30,000 to $27,000</t>
  </si>
  <si>
    <t>v146r18</t>
  </si>
  <si>
    <t>424k</t>
  </si>
  <si>
    <t>Removed HHR from VML stub</t>
  </si>
  <si>
    <t>D,E,F,H,J,L,N</t>
  </si>
  <si>
    <t>Changed data validation messages from "Ce montant devrait être négative !" to "Ce montant devrait être négatif !"</t>
  </si>
  <si>
    <t>v146r19</t>
  </si>
  <si>
    <t>Set re-calculations to automatic</t>
  </si>
  <si>
    <t>v146r20</t>
  </si>
  <si>
    <t>Changed VML Description to 400G  Saab 9-3 SEDAN</t>
  </si>
  <si>
    <t>Changed VML Description to 402G  SAAB 9-5 SEDAN</t>
  </si>
  <si>
    <t>Changed VML Description to 403G  SAAB 9-5 SP COMBI</t>
  </si>
  <si>
    <t>Added VML 405G SAAB 9-3 SP COMBI</t>
  </si>
  <si>
    <t>A-T</t>
  </si>
  <si>
    <t>Added non-critical edit to insure Qualified LTD is not greater than Long-Term Debt</t>
  </si>
  <si>
    <t>A-C</t>
  </si>
  <si>
    <t>83-84</t>
  </si>
  <si>
    <t>Added non-critical comment on Qualified LTD</t>
  </si>
  <si>
    <t>Added non-critical edit to insure Qualified LTD is not greater than 50% of the Working Capital Standard</t>
  </si>
  <si>
    <t>Added non-critical comment on Qualified LTD against Working Capital Standard</t>
  </si>
  <si>
    <t>C,F,H,K,U</t>
  </si>
  <si>
    <t>283-285</t>
  </si>
  <si>
    <t>Converted non-critical errors to critical errors</t>
  </si>
  <si>
    <t>326-328</t>
  </si>
  <si>
    <t>384-385</t>
  </si>
  <si>
    <t>426-429</t>
  </si>
  <si>
    <t>Converted non-critical error comment to critical error comment</t>
  </si>
  <si>
    <t>C,E,J</t>
  </si>
  <si>
    <t>Reducded To Balance critical range from +/-1,000 to +/-100 and eliminated non-critical edit</t>
  </si>
  <si>
    <t xml:space="preserve">Changed comment to reflect a reducded To Balance critical range from +/-1,000 to +/-100 </t>
  </si>
  <si>
    <t>C,E,H,J,T</t>
  </si>
  <si>
    <t>Added Pop-Up Window to display new Edit Changes Alert</t>
  </si>
  <si>
    <t>v146r21</t>
  </si>
  <si>
    <t>Reduced the minmum audit range on Lucerne from $30,000 to $25,000</t>
  </si>
  <si>
    <t>v146r22</t>
  </si>
  <si>
    <t>AA</t>
  </si>
  <si>
    <t>Cleared data for test dealer</t>
  </si>
  <si>
    <t>v147r1</t>
  </si>
  <si>
    <t>Testing</t>
  </si>
  <si>
    <t>VML Audit</t>
  </si>
  <si>
    <t>Added Sheet with VML audit Ranges</t>
  </si>
  <si>
    <t>Changed date format to YYYYMM</t>
  </si>
  <si>
    <t>147r2</t>
  </si>
  <si>
    <t>285 Car units</t>
  </si>
  <si>
    <t>Added a compounded critical error to trap negative unit counts</t>
  </si>
  <si>
    <t>285 Trk units</t>
  </si>
  <si>
    <t>Mapped DSP to new History field on TBIn - AT5</t>
  </si>
  <si>
    <t>NWCS to new History field on TBIn - AT3</t>
  </si>
  <si>
    <t>Added Critical Error to trap non-Numeric labor rate values coming in through the DSP-xml file</t>
  </si>
  <si>
    <t>66-67</t>
  </si>
  <si>
    <t>A/B</t>
  </si>
  <si>
    <t>Added Critical Comment for non-numeric labor rate values</t>
  </si>
  <si>
    <t>v147r3</t>
  </si>
  <si>
    <t>Added Critical Comment for labour rates above the critical max audit range.</t>
  </si>
  <si>
    <t>A-F</t>
  </si>
  <si>
    <t>609-631</t>
  </si>
  <si>
    <t>Added Critical maximum audit ranges for labour rates</t>
  </si>
  <si>
    <t>C,D,H,I,J</t>
  </si>
  <si>
    <t>Combined non-numeric and no labour rate yet labour sales edit and created a new edit based on critical max audit range</t>
  </si>
  <si>
    <t>K-M</t>
  </si>
  <si>
    <t>Removed critical edit preventing submission of COS data with no sales or units</t>
  </si>
  <si>
    <t>C-E, H-J</t>
  </si>
  <si>
    <t>v147r4</t>
  </si>
  <si>
    <t>Increased audit range from 60,000 to 75,000</t>
  </si>
  <si>
    <t>Increased audit range from 70,000 to 90,000</t>
  </si>
  <si>
    <t>v147r5</t>
  </si>
  <si>
    <t>H/M</t>
  </si>
  <si>
    <t>4-6,10-11,13-15,19-20</t>
  </si>
  <si>
    <t>Changed formulas to not consider blank cells that are unlocked on Manual input and can have text imputed in them</t>
  </si>
  <si>
    <t>Added a critical error to insure that reported Qualified Long Term Debt is a postive value.</t>
  </si>
  <si>
    <t>A-B</t>
  </si>
  <si>
    <t>Added Qualified Long Term Debt - postive value critical error comment.</t>
  </si>
  <si>
    <t>Added Qualified Long Term Debt - Amount greater than total Long-Term Debt</t>
  </si>
  <si>
    <t>Added a non-critical error to insure that reported Qualified Long Term Debt is less than Long-Term Debt</t>
  </si>
  <si>
    <t>84-85</t>
  </si>
  <si>
    <t>Added a non-critical error to insure that reported Qualified Long Term Debt is less than 50% of the NWCS</t>
  </si>
  <si>
    <t>v147r6</t>
  </si>
  <si>
    <t>Increased Max audit range on G6 from 35,000 to 48,000</t>
  </si>
  <si>
    <t>F-K</t>
  </si>
  <si>
    <t>Added non-critical error (No-Points) to flag cash sales that are less than 15% of F.O. Customer Sales - MONTH</t>
  </si>
  <si>
    <t>Added non-critical error (No-Points) to flag cash sales that are less than 15% of F.O. Customer Sales - YTD</t>
  </si>
  <si>
    <t>89-90</t>
  </si>
  <si>
    <t>Added Incorrectly Reported Cash Sales Comments</t>
  </si>
  <si>
    <t>Added critical error to flag cash sales that are greater than total Fixed Customer Sales - Mth</t>
  </si>
  <si>
    <t>Added critical error to flag cash sales that are greater than total Fixed Customer Sales - YTD</t>
  </si>
  <si>
    <t>91-92</t>
  </si>
  <si>
    <t>Added over reported Cash Sales Comments</t>
  </si>
  <si>
    <t>Disabled Cash sales Edit</t>
  </si>
  <si>
    <t>v147r7</t>
  </si>
  <si>
    <t>Changed formula from Page7!N63=0 to AND(Page6!L65&lt;&gt;0,Page7!N63=0)</t>
  </si>
  <si>
    <t>Changed formula from Page7!M63&lt;(0.3*(SUM... to Page7!M63&lt;(0.2*(SUM...</t>
  </si>
  <si>
    <t>Changed formula from Page7!N63&lt;(0.3*(SUM... to Page7!N63&lt;(0.2*(SUM...</t>
  </si>
  <si>
    <t>Changed formula from IF(TBIn!E2225&lt;13,FALSE… to IF(TBIn!E2225&lt;13,FALSE.. To disable the edit for the time being.</t>
  </si>
  <si>
    <t>v147r8</t>
  </si>
  <si>
    <t>v148r1</t>
  </si>
  <si>
    <t>3-537</t>
  </si>
  <si>
    <t>Added/Removed/Changed various VML's and audit ranges as per information provided by GMCL. (See dates in col. C &amp; G)</t>
  </si>
  <si>
    <t>Inserted Row to Add Account F&amp;I Other - New - Sales - S/A # 8594 - for FACTS 2.0 database load</t>
  </si>
  <si>
    <t>Inserted Row to Add Account F&amp;I Other - Used - Sales - S/A # 8597 - for FACTS 2.0 database load</t>
  </si>
  <si>
    <t>Inserted Row to Add Account F&amp;I Other - New - GRS/INC - S/A # 8595 - for FACTS 2.0 database load</t>
  </si>
  <si>
    <t>Inserted Row to Add Account F&amp;I Other - Used - GRS/INC - S/A # 8598 - for FACTS 2.0 database load</t>
  </si>
  <si>
    <t>B-I</t>
  </si>
  <si>
    <t>Inserted Row to Add Account F&amp;I Other - New - Sales - for DSP or FACTS 2.0 load - Acct 822</t>
  </si>
  <si>
    <t>Inserted Row to Add Account F&amp;I Other - Used - Sales - for DSP or FACTS 2.0 load - Acct 823</t>
  </si>
  <si>
    <t>Inserted Row to Add Account F&amp;I Other - New - GRS/INC  - for DSP or FACTS 2.0 load - Acct 872 = Sls - Grs</t>
  </si>
  <si>
    <t>Inserted Row to Add Account F&amp;I Other - Used - GRS/INC  - for DSP or FACTS 2.0 load - Acct 873 = Sls - Grs</t>
  </si>
  <si>
    <t>modImportExport</t>
  </si>
  <si>
    <t>Public Constants</t>
  </si>
  <si>
    <t>DEALER_INFO_DEST As String = "J2226:J2233"</t>
  </si>
  <si>
    <t>PRE_MTH_SALES_DEST As String = "J2237"</t>
  </si>
  <si>
    <t>REP_YEAR_DEST As String = "J2234"</t>
  </si>
  <si>
    <t>REP_MONTH_DEST As String = "J2235"</t>
  </si>
  <si>
    <t>DSP_DEST As String = "E2239"</t>
  </si>
  <si>
    <t>DEALER_INFO_COPY As String = "I2226:I2238"</t>
  </si>
  <si>
    <t>DEALER_INFO_PASTE As String = "E2226:E2238"</t>
  </si>
  <si>
    <t>DEALER_DATA_COPY As String = "H6:I2224"</t>
  </si>
  <si>
    <t>DEALER_DATA_PASTE As String = "D6:E2224"</t>
  </si>
  <si>
    <t>ACCOUNT_ROW_END As Integer = 2708</t>
  </si>
  <si>
    <t>Public Const RPT_MONTH_ROW As Integer = 2229</t>
  </si>
  <si>
    <t>Public Const RPT_YEAR_ROW As Integer = 2230</t>
  </si>
  <si>
    <t>Public Const BAC_ROW As Integer = 2227</t>
  </si>
  <si>
    <t>Public Sub TrialBalanceLock</t>
  </si>
  <si>
    <t>strPage7range = "F4:H24,K4:M24"</t>
  </si>
  <si>
    <t>A-P</t>
  </si>
  <si>
    <t>Inserted Row to Add Account F&amp;I Other - New - Sales / GRS/INC Mth/YTD Acct 822 - Protected cells accordingly</t>
  </si>
  <si>
    <t>Inserted Row to Add Account F&amp;I Other - Used - Sales / GRS/INC Mth/YTD Acct 823- Protected cells accordingly</t>
  </si>
  <si>
    <t>K8</t>
  </si>
  <si>
    <t>Added edits on the YTD Sales Account for Other F&amp;I New</t>
  </si>
  <si>
    <t>K18</t>
  </si>
  <si>
    <t>Added edits on the YTD Sales Account for Other F&amp;I Used</t>
  </si>
  <si>
    <t>L8</t>
  </si>
  <si>
    <t>Added edits on the YTD GRS/INC Account for Other F&amp;I New</t>
  </si>
  <si>
    <t>L18</t>
  </si>
  <si>
    <t>Added edits on the YTD GRS/INC Account for Other F&amp;I Used</t>
  </si>
  <si>
    <t>B-Q</t>
  </si>
  <si>
    <t>Added XML Output fields for file upload</t>
  </si>
  <si>
    <t>GRS/INC</t>
  </si>
  <si>
    <t>L-M</t>
  </si>
  <si>
    <t>K35</t>
  </si>
  <si>
    <t>Remapped OR_VEH Audit Range table value to correct row and chnaged to formula</t>
  </si>
  <si>
    <t>K36</t>
  </si>
  <si>
    <t>Changed formula from IF(TBIn!E2225&lt;13,FALSE… to IF((SUM(Page6!G24:G29)+SUM(Page6!G35:G36)+SUM(Page6!G38:G39)+SUM(Page6!G44:G45)+SUM(Page6!G49:G52)+SUM(Page6!G54:G56)+SUM(Page6!G60:G62))=0,FALSE. To activate the edit.</t>
  </si>
  <si>
    <t>Changed formula from IF(TBIn!E2225&lt;13,FALSE… to IF((SUM(Page6!L24:L29)+SUM(Page6!L35:L36)+SUM(Page6!L38:L39)+SUM(Page6!L44:L45)+SUM(Page6!L49:L52)+SUM(Page6!L54:L56)+SUM(Page6!L60:L62)),FALSE.. To activate the edit.</t>
  </si>
  <si>
    <t>Corrected formula from IF((SUM(Page6!L24:L29)+SUM(Page6!L35:L36)+SUM(Page6!L38:L39)+SUM(Page6!L44:L45)+SUM(Page6!L49:L52)+SUM(Page6!L54:L56)+SUM(Page6!L60:L62)),FALSE.. to IF((SUM(Page6!L24:L29)+SUM(Page6!L35:L36)+SUM(Page6!L38:L39)+SUM(Page6!L44:L45)+SUM(Page6!L49:L52)+SUM(Page6!L54:L56)+SUM(Page6!L60:L62))=0,FALSE..</t>
  </si>
  <si>
    <t>E:F</t>
  </si>
  <si>
    <t>Reduced audit range to $10-$100 to reflect rows not being used</t>
  </si>
  <si>
    <t>Updated max audit range from $54,000 to $60,000</t>
  </si>
  <si>
    <t>Increased min from $20,000 to $25,000</t>
  </si>
  <si>
    <t>Updated max audit range from $999,999 to $100</t>
  </si>
  <si>
    <t>Unbolded cell</t>
  </si>
  <si>
    <t xml:space="preserve">H </t>
  </si>
  <si>
    <t>Updated formula from "=J21+H65" to "=H21+H65"</t>
  </si>
  <si>
    <t>Updated formula from "=O21+M65" to "=M21+M65"</t>
  </si>
  <si>
    <t>Update formula to be consistent with English version</t>
  </si>
  <si>
    <t>326:327</t>
  </si>
  <si>
    <t>Clear formula to be consistent with English version</t>
  </si>
  <si>
    <t>D,I</t>
  </si>
  <si>
    <t>Delete formula to be consistent with English version</t>
  </si>
  <si>
    <t>601:602,604</t>
  </si>
  <si>
    <t>Updated format of cell to reflect addition of audit</t>
  </si>
  <si>
    <t>C,D,H</t>
  </si>
  <si>
    <t>Updated comment reference</t>
  </si>
  <si>
    <t>Moved formula that was incorrectly mapped to C857</t>
  </si>
  <si>
    <t>Moved formula that was incorrectly mapped to D857</t>
  </si>
  <si>
    <t>Clear comment formula to be consistent with English version</t>
  </si>
  <si>
    <t>2103:2113</t>
  </si>
  <si>
    <t>2115:2120</t>
  </si>
  <si>
    <t>2122:2133</t>
  </si>
  <si>
    <t>2135:2139</t>
  </si>
  <si>
    <t>2143:2152</t>
  </si>
  <si>
    <t>2156:2159</t>
  </si>
  <si>
    <t>2163:2171</t>
  </si>
  <si>
    <t>2174:2176</t>
  </si>
  <si>
    <t>D,M</t>
  </si>
  <si>
    <t>H:I</t>
  </si>
  <si>
    <t>Removed extraneous formula (not used) and not in English version</t>
  </si>
  <si>
    <t>Updated year from 2006 to 2007</t>
  </si>
  <si>
    <t>Reduced minimum range to $35,000</t>
  </si>
  <si>
    <t>C-D</t>
  </si>
  <si>
    <t>Re-mapped links to Accounting Manual to new URL's provided by GM Canada/Alpha Omega</t>
  </si>
  <si>
    <t>281:282</t>
  </si>
  <si>
    <t>Updated OUTLOOK XE and XR to FWD and AWD</t>
  </si>
  <si>
    <t>v148r2</t>
  </si>
  <si>
    <t>F,K</t>
  </si>
  <si>
    <t>12,14</t>
  </si>
  <si>
    <t>Updated ratios from TEXT to ROUND functions for regional settings issues.</t>
  </si>
  <si>
    <t>Updated file version</t>
  </si>
  <si>
    <t>Fixed account manual links</t>
  </si>
  <si>
    <t>Michael Troost</t>
  </si>
  <si>
    <t>Fixed accounting manual links that were pointing to US Accounting manual.</t>
  </si>
  <si>
    <r>
      <t xml:space="preserve">Fixed broken links.  </t>
    </r>
    <r>
      <rPr>
        <b/>
        <sz val="10"/>
        <rFont val="Arial"/>
        <family val="2"/>
      </rPr>
      <t>NOTE:  Account 687 does not have a link in the French Accounting Manual.  I linked it to 687 canadian English version.</t>
    </r>
  </si>
  <si>
    <t>Fixed account manual link.</t>
  </si>
  <si>
    <t>12,14,27-29,50</t>
  </si>
  <si>
    <t>Added accounting manual links.</t>
  </si>
  <si>
    <t>Ln 811,815</t>
  </si>
  <si>
    <t>Added code for Ln 815 locking the page 8 range.  Adjusted the range of cells to be what is in italics.</t>
  </si>
  <si>
    <t>v148r3</t>
  </si>
  <si>
    <t>Updated code to be compatible with Middle East release.</t>
  </si>
  <si>
    <t>CapGemini</t>
  </si>
  <si>
    <t>v148r4</t>
  </si>
  <si>
    <t>AM:AP</t>
  </si>
  <si>
    <t>3-14</t>
  </si>
  <si>
    <t>Cleared out values for Profit/Loss Summary to make it compatible with Office 2003 SP3.</t>
  </si>
  <si>
    <t>v148r5</t>
  </si>
  <si>
    <t>TB Out</t>
  </si>
  <si>
    <t>2774-2789</t>
  </si>
  <si>
    <t>Added administrative accounts</t>
  </si>
  <si>
    <t>Updated TBOUT_END_ROW to account for the new administrative accounts</t>
  </si>
  <si>
    <t>Added module modCVI which contains the procedure PopulateAdminAccounts</t>
  </si>
  <si>
    <t>Created call to PopulateAdminAccounts</t>
  </si>
  <si>
    <t>Updated VML accounts per Jack Uppal email on 9/28/2007</t>
  </si>
  <si>
    <t>Changed ROI calculation so that if the denominator is less than zero then ROI is zero.</t>
  </si>
  <si>
    <t>v149r1</t>
  </si>
  <si>
    <t>References</t>
  </si>
  <si>
    <t>Removed reference to XML 2.0 DLL and added reference to XML 3.0 DLL</t>
  </si>
  <si>
    <t>Replaced calls to IFERROR function with calls to IFERROR function</t>
  </si>
  <si>
    <t>modCVI</t>
  </si>
  <si>
    <t>Added IfErrorUpdate function</t>
  </si>
  <si>
    <t>ThisWorkbook</t>
  </si>
  <si>
    <t>102-103</t>
  </si>
  <si>
    <t>Added call to IfErrorUpdate</t>
  </si>
  <si>
    <t>modCustomFunctions</t>
  </si>
  <si>
    <t>Renamed function IfError to IFERROR</t>
  </si>
  <si>
    <t>Updated procedure PopulateAdminAccounts to capture Internet Explorer information</t>
  </si>
  <si>
    <t>v149r2</t>
  </si>
  <si>
    <t>Removed hardcoded reporting filter.</t>
  </si>
  <si>
    <t>v149r3</t>
  </si>
  <si>
    <t>Added comment for warning added in F103.</t>
  </si>
  <si>
    <t>Added warning</t>
  </si>
  <si>
    <t>Updated VML accounts per Jack Uppal email on 10/7/2008 &amp; 10/15/2008.</t>
  </si>
  <si>
    <t>10-11</t>
  </si>
  <si>
    <r>
      <t xml:space="preserve">Added back in min, max values for dealers who still have YTD numbers.  </t>
    </r>
    <r>
      <rPr>
        <b/>
        <sz val="10"/>
        <color indexed="10"/>
        <rFont val="Arial"/>
        <family val="2"/>
      </rPr>
      <t>NEED TO REMOVE FOR 2009.</t>
    </r>
  </si>
  <si>
    <t>v150r1</t>
  </si>
  <si>
    <t>Updated date references to be January 2009..</t>
  </si>
  <si>
    <t>Updated version number.</t>
  </si>
  <si>
    <t>Removed min, max values.</t>
  </si>
  <si>
    <t>Changed secondary warning to be a secondary critical error.</t>
  </si>
  <si>
    <t>67-70</t>
  </si>
  <si>
    <t>Added warning if value less than zero.  Deduct 100 points.</t>
  </si>
  <si>
    <t>Added critical error edit.</t>
  </si>
  <si>
    <t>Added edit comment for critical errors on line 104 of verify.</t>
  </si>
  <si>
    <t>Updated comment to be an error.</t>
  </si>
  <si>
    <t>Added edit comment for critical errors on line 107 of verify.</t>
  </si>
  <si>
    <t>v150r2</t>
  </si>
  <si>
    <t>Updated max for Corvette to be $160K</t>
  </si>
  <si>
    <t>v150r3</t>
  </si>
  <si>
    <t>Install digitally signed signature.</t>
  </si>
  <si>
    <t>v150r4</t>
  </si>
  <si>
    <t>Updated model lines and ranges.</t>
  </si>
  <si>
    <t>v151r1</t>
  </si>
  <si>
    <t>766-860</t>
  </si>
  <si>
    <t>Updated Edits to show a critical error if ANY data is input into page 5c.</t>
  </si>
  <si>
    <t>Dan Manasse</t>
  </si>
  <si>
    <t>v151r2</t>
  </si>
  <si>
    <t>B:C</t>
  </si>
  <si>
    <t>updated VML from ALLURE to ALLURE/REGAL/LACROSSE</t>
  </si>
  <si>
    <t>v152r2</t>
  </si>
  <si>
    <t>Release with new version number required due to an issue with the valid version numbers.</t>
  </si>
  <si>
    <t>C,F</t>
  </si>
  <si>
    <t>573:576</t>
  </si>
  <si>
    <t>Updated maximum range from 90000 to 120000</t>
  </si>
  <si>
    <t>v152r3</t>
  </si>
  <si>
    <t>Updated URLs of URL_MO_LOGIN, URL_MO_UPLOAD, URL_PROD_LOGIN, URL_PROD_UPLOAD</t>
  </si>
  <si>
    <t>Chris Schauman</t>
  </si>
  <si>
    <t>v153r1</t>
  </si>
  <si>
    <t>B,C,E,F,H</t>
  </si>
  <si>
    <t>2011 VML Update</t>
  </si>
  <si>
    <t>Addition of VOLT to acct 400A, Min 20K Max 65K, 5K-404K</t>
  </si>
  <si>
    <t>Addition of ORLANDO to acct 424A, Min 15K Max 45K, 5K-429K</t>
  </si>
  <si>
    <t>Addition of VERANO to acct 402D, Min 20K Max 55K, 5K-408K</t>
  </si>
  <si>
    <r>
      <t>Updated LD 2500 SILVERADO</t>
    </r>
    <r>
      <rPr>
        <sz val="10"/>
        <color indexed="55"/>
        <rFont val="Arial"/>
        <family val="2"/>
      </rPr>
      <t xml:space="preserve"> FROM Max 75K</t>
    </r>
    <r>
      <rPr>
        <sz val="10"/>
        <rFont val="Arial"/>
        <family val="2"/>
      </rPr>
      <t>, TO Max 85K</t>
    </r>
  </si>
  <si>
    <r>
      <t>Updated LD 2500 SIERRA</t>
    </r>
    <r>
      <rPr>
        <sz val="10"/>
        <color indexed="55"/>
        <rFont val="Arial"/>
        <family val="2"/>
      </rPr>
      <t xml:space="preserve"> FROM Max 75K</t>
    </r>
    <r>
      <rPr>
        <sz val="10"/>
        <rFont val="Arial"/>
        <family val="2"/>
      </rPr>
      <t>, TO Max 85K</t>
    </r>
  </si>
  <si>
    <t>252:271, 277:292</t>
  </si>
  <si>
    <t>Updated SATURN to DO NOT USE, Min $10 Max $100, 5K-""</t>
  </si>
  <si>
    <t>302:321, 327:342</t>
  </si>
  <si>
    <t>Updated SAAB to DO NOT USE, Min $10 Max $100, 5K-""</t>
  </si>
  <si>
    <t>352:371, 377:392</t>
  </si>
  <si>
    <t>Updated HUMMER to DO NOT USE, Min $10 Max $100, 5K-""</t>
  </si>
  <si>
    <t>Updated Page5K item VOLT to Min $10 Max $999,999, 5K-""</t>
  </si>
  <si>
    <t>Updated Page5K item VERANO to Min $10 Max $999,999, 5K-""</t>
  </si>
  <si>
    <t>Updated Page5K item to DO NOT USE, Min $10 Max $100, 5K-""</t>
  </si>
  <si>
    <t>Updated Page5K item ORLANDO to Min $10 Max $999,999, 5K-""</t>
  </si>
  <si>
    <r>
      <t xml:space="preserve">Updated Page5K item </t>
    </r>
    <r>
      <rPr>
        <sz val="10"/>
        <color indexed="55"/>
        <rFont val="Arial"/>
        <family val="2"/>
      </rPr>
      <t>CADILLAC/SAAB</t>
    </r>
    <r>
      <rPr>
        <sz val="10"/>
        <rFont val="Arial"/>
        <family val="2"/>
      </rPr>
      <t xml:space="preserve"> TO CADILLAC to Min $10 Max $999,999, 5K-""</t>
    </r>
  </si>
  <si>
    <t>B,C</t>
  </si>
  <si>
    <r>
      <t xml:space="preserve">Updated Page5K item to IMPALA </t>
    </r>
    <r>
      <rPr>
        <sz val="10"/>
        <color indexed="55"/>
        <rFont val="Arial"/>
        <family val="2"/>
      </rPr>
      <t>FROM IMPALA/GRAND PRIX</t>
    </r>
  </si>
  <si>
    <r>
      <t xml:space="preserve">Updated Page5K item to UPLANDER/SV6 </t>
    </r>
    <r>
      <rPr>
        <sz val="10"/>
        <color indexed="55"/>
        <rFont val="Arial"/>
        <family val="2"/>
      </rPr>
      <t>FROM UPLANDER/SV6/TERRAZA</t>
    </r>
  </si>
  <si>
    <r>
      <t xml:space="preserve">Addition of SONIC </t>
    </r>
    <r>
      <rPr>
        <sz val="10"/>
        <color indexed="55"/>
        <rFont val="Arial"/>
        <family val="2"/>
      </rPr>
      <t>FROM DO NOT USE</t>
    </r>
    <r>
      <rPr>
        <sz val="10"/>
        <rFont val="Arial"/>
        <family val="2"/>
      </rPr>
      <t xml:space="preserve"> to acct 402A, Min 10K Max 30K, 5K Mapping - 416K</t>
    </r>
  </si>
  <si>
    <r>
      <t xml:space="preserve">Addition of SPARK </t>
    </r>
    <r>
      <rPr>
        <sz val="10"/>
        <color indexed="55"/>
        <rFont val="Arial"/>
        <family val="2"/>
      </rPr>
      <t>FROM DO NOT USE</t>
    </r>
    <r>
      <rPr>
        <sz val="10"/>
        <rFont val="Arial"/>
        <family val="2"/>
      </rPr>
      <t xml:space="preserve"> to acct 404A, Min 10K Max 30K, 5K Mapping - 416K</t>
    </r>
  </si>
  <si>
    <t>2012 VML Update</t>
  </si>
  <si>
    <r>
      <t xml:space="preserve">Updated Page5K item to SONIC / SPARK </t>
    </r>
    <r>
      <rPr>
        <sz val="10"/>
        <color indexed="55"/>
        <rFont val="Arial"/>
        <family val="2"/>
      </rPr>
      <t>FROM DO NOT USE</t>
    </r>
  </si>
  <si>
    <t>v201r1</t>
  </si>
  <si>
    <t>VBAProject Properties</t>
  </si>
  <si>
    <r>
      <rPr>
        <sz val="10"/>
        <color indexed="12"/>
        <rFont val="Arial"/>
        <family val="2"/>
      </rPr>
      <t>DBI INTEGRATION:</t>
    </r>
    <r>
      <rPr>
        <sz val="10"/>
        <rFont val="Arial"/>
        <family val="2"/>
      </rPr>
      <t xml:space="preserve"> Changed VBA password</t>
    </r>
  </si>
  <si>
    <t>DBI Data</t>
  </si>
  <si>
    <r>
      <rPr>
        <sz val="10"/>
        <color indexed="12"/>
        <rFont val="Arial"/>
        <family val="2"/>
      </rPr>
      <t>DBI INTEGRATION:</t>
    </r>
    <r>
      <rPr>
        <sz val="10"/>
        <rFont val="Arial"/>
        <family val="2"/>
      </rPr>
      <t xml:space="preserve"> Added worksheet to be populated by DBI</t>
    </r>
  </si>
  <si>
    <t>DBIMoveData</t>
  </si>
  <si>
    <r>
      <rPr>
        <sz val="10"/>
        <color indexed="12"/>
        <rFont val="Arial"/>
        <family val="2"/>
      </rPr>
      <t>DBI INTEGRATION:</t>
    </r>
    <r>
      <rPr>
        <sz val="10"/>
        <rFont val="Arial"/>
        <family val="2"/>
      </rPr>
      <t xml:space="preserve"> Added procedure for copying data from DBI Data worksheet to TBIn with updated logic to handle when data is not available</t>
    </r>
  </si>
  <si>
    <t>modMaintenance</t>
  </si>
  <si>
    <t>gsEntMnt, gsExtMnt</t>
  </si>
  <si>
    <r>
      <rPr>
        <sz val="10"/>
        <color indexed="12"/>
        <rFont val="Arial"/>
        <family val="2"/>
      </rPr>
      <t>DBI INTEGRATION:</t>
    </r>
    <r>
      <rPr>
        <sz val="10"/>
        <rFont val="Arial"/>
        <family val="2"/>
      </rPr>
      <t xml:space="preserve"> Added code for hiding/unhiding DBI Data</t>
    </r>
  </si>
  <si>
    <t>modOpen</t>
  </si>
  <si>
    <t>Auto_Open</t>
  </si>
  <si>
    <r>
      <rPr>
        <sz val="10"/>
        <color indexed="12"/>
        <rFont val="Arial"/>
        <family val="2"/>
      </rPr>
      <t>DBI INTEGRATION:</t>
    </r>
    <r>
      <rPr>
        <sz val="10"/>
        <rFont val="Arial"/>
        <family val="2"/>
      </rPr>
      <t xml:space="preserve"> Added code for calling DBIMoveData</t>
    </r>
  </si>
  <si>
    <t>CreateFileHeader</t>
  </si>
  <si>
    <r>
      <rPr>
        <sz val="10"/>
        <color indexed="12"/>
        <rFont val="Arial"/>
        <family val="2"/>
      </rPr>
      <t>DBI INTEGRATION:</t>
    </r>
    <r>
      <rPr>
        <sz val="10"/>
        <rFont val="Arial"/>
        <family val="2"/>
      </rPr>
      <t xml:space="preserve"> Updated xmlns tag to be "http://www.starstandards.org/STAR" </t>
    </r>
    <r>
      <rPr>
        <sz val="10"/>
        <color indexed="55"/>
        <rFont val="Arial"/>
        <family val="2"/>
      </rPr>
      <t>FROM "http://www.openapplications.org/star"</t>
    </r>
  </si>
  <si>
    <r>
      <rPr>
        <sz val="10"/>
        <color indexed="12"/>
        <rFont val="Arial"/>
        <family val="2"/>
      </rPr>
      <t>DBI INTEGRATION:</t>
    </r>
    <r>
      <rPr>
        <sz val="10"/>
        <rFont val="Arial"/>
        <family val="2"/>
      </rPr>
      <t xml:space="preserve"> Updated release to be "8.1-Lite" </t>
    </r>
    <r>
      <rPr>
        <sz val="10"/>
        <color indexed="55"/>
        <rFont val="Arial"/>
        <family val="2"/>
      </rPr>
      <t>FROM "8.1"</t>
    </r>
  </si>
  <si>
    <r>
      <rPr>
        <sz val="10"/>
        <color indexed="12"/>
        <rFont val="Arial"/>
        <family val="2"/>
      </rPr>
      <t>DBI INTEGRATION:</t>
    </r>
    <r>
      <rPr>
        <sz val="10"/>
        <rFont val="Arial"/>
        <family val="2"/>
      </rPr>
      <t xml:space="preserve"> Updated Language variable to be "fr-CA" </t>
    </r>
    <r>
      <rPr>
        <sz val="10"/>
        <color indexed="55"/>
        <rFont val="Arial"/>
        <family val="2"/>
      </rPr>
      <t>FROM "en-CA"</t>
    </r>
  </si>
  <si>
    <r>
      <rPr>
        <sz val="10"/>
        <color indexed="12"/>
        <rFont val="Arial"/>
        <family val="2"/>
      </rPr>
      <t>DBI INTEGRATION:</t>
    </r>
    <r>
      <rPr>
        <sz val="10"/>
        <rFont val="Arial"/>
        <family val="2"/>
      </rPr>
      <t xml:space="preserve"> Added COUNTRY_CD variable to DealerCountry tag.  Did so by adding strOutputHdr7.</t>
    </r>
  </si>
  <si>
    <r>
      <rPr>
        <sz val="10"/>
        <color indexed="12"/>
        <rFont val="Arial"/>
        <family val="2"/>
      </rPr>
      <t>DBI INTEGRATION:</t>
    </r>
    <r>
      <rPr>
        <sz val="10"/>
        <rFont val="Arial"/>
        <family val="2"/>
      </rPr>
      <t xml:space="preserve"> Added zero as value passed for DeliverPendingMailInd (instead of having it blank)</t>
    </r>
  </si>
  <si>
    <r>
      <rPr>
        <sz val="10"/>
        <color indexed="12"/>
        <rFont val="Arial"/>
        <family val="2"/>
      </rPr>
      <t>DBI INTEGRATION:</t>
    </r>
    <r>
      <rPr>
        <sz val="10"/>
        <rFont val="Arial"/>
        <family val="2"/>
      </rPr>
      <t xml:space="preserve"> Added capturing of current time as input to CreationDateTime</t>
    </r>
  </si>
  <si>
    <r>
      <rPr>
        <sz val="10"/>
        <color indexed="12"/>
        <rFont val="Arial"/>
        <family val="2"/>
      </rPr>
      <t>DBI INTEGRATION:</t>
    </r>
    <r>
      <rPr>
        <sz val="10"/>
        <rFont val="Arial"/>
        <family val="2"/>
      </rPr>
      <t xml:space="preserve"> Replaced DealerCountry tags for Destination with strOutputHdr7</t>
    </r>
  </si>
  <si>
    <r>
      <rPr>
        <sz val="10"/>
        <color indexed="12"/>
        <rFont val="Arial"/>
        <family val="2"/>
      </rPr>
      <t>DBI INTEGRATION:</t>
    </r>
    <r>
      <rPr>
        <sz val="10"/>
        <rFont val="Arial"/>
        <family val="2"/>
      </rPr>
      <t xml:space="preserve"> Removed "oa:" from strOutputHdr6.</t>
    </r>
  </si>
  <si>
    <r>
      <rPr>
        <sz val="10"/>
        <color indexed="12"/>
        <rFont val="Arial"/>
        <family val="2"/>
      </rPr>
      <t>DBI INTEGRATION:</t>
    </r>
    <r>
      <rPr>
        <sz val="10"/>
        <rFont val="Arial"/>
        <family val="2"/>
      </rPr>
      <t xml:space="preserve"> Added header tags specific to USAI code.</t>
    </r>
  </si>
  <si>
    <t>CreateDetailHeader</t>
  </si>
  <si>
    <r>
      <rPr>
        <sz val="10"/>
        <color indexed="12"/>
        <rFont val="Arial"/>
        <family val="2"/>
      </rPr>
      <t>DBI INTEGRATION:</t>
    </r>
    <r>
      <rPr>
        <sz val="10"/>
        <rFont val="Arial"/>
        <family val="2"/>
      </rPr>
      <t xml:space="preserve"> Added strOutputHdr5 to capture date/time in detail header.</t>
    </r>
  </si>
  <si>
    <r>
      <rPr>
        <sz val="10"/>
        <color indexed="12"/>
        <rFont val="Arial"/>
        <family val="2"/>
      </rPr>
      <t>DBI INTEGRATION:</t>
    </r>
    <r>
      <rPr>
        <sz val="10"/>
        <rFont val="Arial"/>
        <family val="2"/>
      </rPr>
      <t xml:space="preserve"> Moved "Count" tags ahead of "FileVersionNumber" tags.</t>
    </r>
  </si>
  <si>
    <r>
      <rPr>
        <sz val="10"/>
        <color indexed="12"/>
        <rFont val="Arial"/>
        <family val="2"/>
      </rPr>
      <t>DBI INTEGRATION:</t>
    </r>
    <r>
      <rPr>
        <sz val="10"/>
        <rFont val="Arial"/>
        <family val="2"/>
      </rPr>
      <t xml:space="preserve"> Updated create date format to be XML schema compliant.</t>
    </r>
  </si>
  <si>
    <r>
      <rPr>
        <sz val="10"/>
        <color indexed="12"/>
        <rFont val="Arial"/>
        <family val="2"/>
      </rPr>
      <t>DBI INTEGRATION:</t>
    </r>
    <r>
      <rPr>
        <sz val="10"/>
        <rFont val="Arial"/>
        <family val="2"/>
      </rPr>
      <t xml:space="preserve"> Added FILE_NAME variable</t>
    </r>
  </si>
  <si>
    <r>
      <rPr>
        <sz val="10"/>
        <color indexed="12"/>
        <rFont val="Arial"/>
        <family val="2"/>
      </rPr>
      <t>DBI INTEGRATION:</t>
    </r>
    <r>
      <rPr>
        <sz val="10"/>
        <rFont val="Arial"/>
        <family val="2"/>
      </rPr>
      <t xml:space="preserve"> Added declaration for g_FileSystemObject</t>
    </r>
  </si>
  <si>
    <t>CVIUploadFile</t>
  </si>
  <si>
    <r>
      <rPr>
        <sz val="10"/>
        <color indexed="12"/>
        <rFont val="Arial"/>
        <family val="2"/>
      </rPr>
      <t>DBI INTEGRATION:</t>
    </r>
    <r>
      <rPr>
        <sz val="10"/>
        <rFont val="Arial"/>
        <family val="2"/>
      </rPr>
      <t xml:space="preserve"> Created procedure CVIUploadFile</t>
    </r>
  </si>
  <si>
    <r>
      <rPr>
        <sz val="10"/>
        <color indexed="12"/>
        <rFont val="Arial"/>
        <family val="2"/>
      </rPr>
      <t>DBI INTEGRATION:</t>
    </r>
    <r>
      <rPr>
        <sz val="10"/>
        <rFont val="Arial"/>
        <family val="2"/>
      </rPr>
      <t xml:space="preserve"> Created the functions GetSOAPRequestPart1 &amp; GetSOAPRequestPart2.</t>
    </r>
  </si>
  <si>
    <t>KeepTBOutput</t>
  </si>
  <si>
    <r>
      <rPr>
        <sz val="10"/>
        <color indexed="12"/>
        <rFont val="Arial"/>
        <family val="2"/>
      </rPr>
      <t>DBI INTEGRATION:</t>
    </r>
    <r>
      <rPr>
        <sz val="10"/>
        <rFont val="Arial"/>
        <family val="2"/>
      </rPr>
      <t xml:space="preserve"> Added procedure KeepTBOutput.  Assigned shortcut key of Ctrl-K to sub procedure</t>
    </r>
  </si>
  <si>
    <t>SelectLogin</t>
  </si>
  <si>
    <r>
      <rPr>
        <sz val="10"/>
        <color indexed="12"/>
        <rFont val="Arial"/>
        <family val="2"/>
      </rPr>
      <t>DBI INTEGRATION:</t>
    </r>
    <r>
      <rPr>
        <sz val="10"/>
        <rFont val="Arial"/>
        <family val="2"/>
      </rPr>
      <t xml:space="preserve"> Added procedure SelectLogin and added the shortcut key CTRL-SHIFT-L</t>
    </r>
  </si>
  <si>
    <t>PopulateAdminAccounts</t>
  </si>
  <si>
    <r>
      <rPr>
        <sz val="10"/>
        <color indexed="12"/>
        <rFont val="Arial"/>
        <family val="2"/>
      </rPr>
      <t>DBI INTEGRATION:</t>
    </r>
    <r>
      <rPr>
        <sz val="10"/>
        <rFont val="Arial"/>
        <family val="2"/>
      </rPr>
      <t xml:space="preserve"> Updated to check for "pt-BR" for the language</t>
    </r>
  </si>
  <si>
    <t>CreateExport</t>
  </si>
  <si>
    <r>
      <rPr>
        <sz val="10"/>
        <color indexed="12"/>
        <rFont val="Arial"/>
        <family val="2"/>
      </rPr>
      <t>DBI INTEGRATION:</t>
    </r>
    <r>
      <rPr>
        <sz val="10"/>
        <rFont val="Arial"/>
        <family val="2"/>
      </rPr>
      <t xml:space="preserve"> Removed call to UploadData</t>
    </r>
  </si>
  <si>
    <r>
      <rPr>
        <sz val="10"/>
        <color indexed="12"/>
        <rFont val="Arial"/>
        <family val="2"/>
      </rPr>
      <t>DBI INTEGRATION:</t>
    </r>
    <r>
      <rPr>
        <sz val="10"/>
        <rFont val="Arial"/>
        <family val="2"/>
      </rPr>
      <t xml:space="preserve"> Added strExportType parameter</t>
    </r>
  </si>
  <si>
    <r>
      <rPr>
        <sz val="10"/>
        <color indexed="12"/>
        <rFont val="Arial"/>
        <family val="2"/>
      </rPr>
      <t>DBI INTEGRATION:</t>
    </r>
    <r>
      <rPr>
        <sz val="10"/>
        <rFont val="Arial"/>
        <family val="2"/>
      </rPr>
      <t xml:space="preserve"> Added IF logic for calling CreateManualFooter and CreateManualHeader</t>
    </r>
  </si>
  <si>
    <r>
      <rPr>
        <sz val="10"/>
        <color indexed="12"/>
        <rFont val="Arial"/>
        <family val="2"/>
      </rPr>
      <t>DBI INTEGRATION:</t>
    </r>
    <r>
      <rPr>
        <sz val="10"/>
        <rFont val="Arial"/>
        <family val="2"/>
      </rPr>
      <t xml:space="preserve"> Added Protect/Unprotect worksheets around hiding TB Out</t>
    </r>
  </si>
  <si>
    <t>modEditVerify</t>
  </si>
  <si>
    <t>CreateConditionalFormat</t>
  </si>
  <si>
    <r>
      <rPr>
        <sz val="10"/>
        <color indexed="12"/>
        <rFont val="Arial"/>
        <family val="2"/>
      </rPr>
      <t>DBI INTEGRATION:</t>
    </r>
    <r>
      <rPr>
        <sz val="10"/>
        <rFont val="Arial"/>
        <family val="2"/>
      </rPr>
      <t xml:space="preserve"> Added call to Upload_Data and added "Manual" flag to CreateExport call</t>
    </r>
  </si>
  <si>
    <t>modAutoUpload</t>
  </si>
  <si>
    <t>Upload_Data</t>
  </si>
  <si>
    <r>
      <rPr>
        <sz val="10"/>
        <color indexed="12"/>
        <rFont val="Arial"/>
        <family val="2"/>
      </rPr>
      <t>DBI INTEGRATION:</t>
    </r>
    <r>
      <rPr>
        <sz val="10"/>
        <rFont val="Arial"/>
        <family val="2"/>
      </rPr>
      <t xml:space="preserve"> Modified Upload URL</t>
    </r>
  </si>
  <si>
    <r>
      <rPr>
        <sz val="10"/>
        <color indexed="12"/>
        <rFont val="Arial"/>
        <family val="2"/>
      </rPr>
      <t>DBI INTEGRATION:</t>
    </r>
    <r>
      <rPr>
        <sz val="10"/>
        <rFont val="Arial"/>
        <family val="2"/>
      </rPr>
      <t xml:space="preserve"> Added calls to CreateExport and CVIUploadFile</t>
    </r>
  </si>
  <si>
    <r>
      <rPr>
        <sz val="10"/>
        <color indexed="12"/>
        <rFont val="Arial"/>
        <family val="2"/>
      </rPr>
      <t>DBI INTEGRATION:</t>
    </r>
    <r>
      <rPr>
        <sz val="10"/>
        <rFont val="Arial"/>
        <family val="2"/>
      </rPr>
      <t xml:space="preserve"> Added strDealerNumber and added parameters to strUploadURL</t>
    </r>
  </si>
  <si>
    <r>
      <rPr>
        <sz val="10"/>
        <color indexed="12"/>
        <rFont val="Arial"/>
        <family val="2"/>
      </rPr>
      <t>DBI INTEGRATION:</t>
    </r>
    <r>
      <rPr>
        <sz val="10"/>
        <rFont val="Arial"/>
        <family val="2"/>
      </rPr>
      <t xml:space="preserve"> Updated to allow for switch between GlobalConnect login and DBI login</t>
    </r>
  </si>
  <si>
    <t>LoginFormExists</t>
  </si>
  <si>
    <r>
      <rPr>
        <sz val="10"/>
        <color indexed="12"/>
        <rFont val="Arial"/>
        <family val="2"/>
      </rPr>
      <t>DBI INTEGRATION:</t>
    </r>
    <r>
      <rPr>
        <sz val="10"/>
        <rFont val="Arial"/>
        <family val="2"/>
      </rPr>
      <t xml:space="preserve"> Updated TXT_FORM string</t>
    </r>
  </si>
  <si>
    <r>
      <rPr>
        <sz val="10"/>
        <color indexed="12"/>
        <rFont val="Arial"/>
        <family val="2"/>
      </rPr>
      <t>DBI INTEGRATION:</t>
    </r>
    <r>
      <rPr>
        <sz val="10"/>
        <rFont val="Arial"/>
        <family val="2"/>
      </rPr>
      <t xml:space="preserve"> Added capture of security token</t>
    </r>
  </si>
  <si>
    <r>
      <rPr>
        <sz val="10"/>
        <color indexed="12"/>
        <rFont val="Arial"/>
        <family val="2"/>
      </rPr>
      <t>DBI INTEGRATION:</t>
    </r>
    <r>
      <rPr>
        <sz val="10"/>
        <rFont val="Arial"/>
        <family val="2"/>
      </rPr>
      <t xml:space="preserve"> Added declaration for AUTO_UPLOAD_FILE_EXT</t>
    </r>
  </si>
  <si>
    <r>
      <rPr>
        <sz val="10"/>
        <color indexed="12"/>
        <rFont val="Arial"/>
        <family val="2"/>
      </rPr>
      <t>DBI INTEGRATION:</t>
    </r>
    <r>
      <rPr>
        <sz val="10"/>
        <rFont val="Arial"/>
        <family val="2"/>
      </rPr>
      <t xml:space="preserve"> 
Updated Pre-production and Development URLs: URL_MO_LOGIN &amp; URL_MO_UPLOAD and URL_DEV_LOGIN &amp; URL_DEV_UPLOAD as well as DBI URL functionality</t>
    </r>
  </si>
  <si>
    <r>
      <rPr>
        <sz val="10"/>
        <color indexed="12"/>
        <rFont val="Arial"/>
        <family val="2"/>
      </rPr>
      <t>DBI INTEGRATION:</t>
    </r>
    <r>
      <rPr>
        <sz val="10"/>
        <rFont val="Arial"/>
        <family val="2"/>
      </rPr>
      <t xml:space="preserve"> Made MTH_COL &amp; YR_COL declarations public</t>
    </r>
  </si>
  <si>
    <r>
      <rPr>
        <sz val="10"/>
        <color indexed="12"/>
        <rFont val="Arial"/>
        <family val="2"/>
      </rPr>
      <t>DBI INTEGRATION:</t>
    </r>
    <r>
      <rPr>
        <sz val="10"/>
        <rFont val="Arial"/>
        <family val="2"/>
      </rPr>
      <t xml:space="preserve"> Add declaration for m_strSecurityToken and made m_wksTBout declaration public.</t>
    </r>
  </si>
  <si>
    <r>
      <rPr>
        <sz val="10"/>
        <color indexed="12"/>
        <rFont val="Arial"/>
        <family val="2"/>
      </rPr>
      <t>DBI INTEGRATION:</t>
    </r>
    <r>
      <rPr>
        <sz val="10"/>
        <rFont val="Arial"/>
        <family val="2"/>
      </rPr>
      <t xml:space="preserve"> Created procedures CreateManualFileFooter and CreateManualFileHeader</t>
    </r>
  </si>
  <si>
    <t>K:L</t>
  </si>
  <si>
    <t>82:83</t>
  </si>
  <si>
    <r>
      <rPr>
        <sz val="10"/>
        <color indexed="12"/>
        <rFont val="Arial"/>
        <family val="2"/>
      </rPr>
      <t>DBI INTEGRATION:</t>
    </r>
    <r>
      <rPr>
        <sz val="10"/>
        <rFont val="Arial"/>
        <family val="2"/>
      </rPr>
      <t xml:space="preserve"> Added flag to use to check if we should not delete the direct upload version of the TBOut.  Named the range "keepTBOut"</t>
    </r>
  </si>
  <si>
    <t>K:M</t>
  </si>
  <si>
    <t>84:85</t>
  </si>
  <si>
    <r>
      <rPr>
        <sz val="10"/>
        <color indexed="12"/>
        <rFont val="Arial"/>
        <family val="2"/>
      </rPr>
      <t>DBI INTEGRATION:</t>
    </r>
    <r>
      <rPr>
        <sz val="10"/>
        <rFont val="Arial"/>
        <family val="2"/>
      </rPr>
      <t xml:space="preserve"> Added section for selecting login screen, defined name of cell to be "GC_OR_DBI", and used Data Validation to select GlobalConnect or DBI</t>
    </r>
  </si>
  <si>
    <r>
      <rPr>
        <sz val="10"/>
        <color indexed="12"/>
        <rFont val="Arial"/>
        <family val="2"/>
      </rPr>
      <t>DBI INTEGRATION:</t>
    </r>
    <r>
      <rPr>
        <sz val="10"/>
        <rFont val="Arial"/>
        <family val="2"/>
      </rPr>
      <t xml:space="preserve"> Updated version number </t>
    </r>
    <r>
      <rPr>
        <sz val="10"/>
        <color indexed="55"/>
        <rFont val="Arial"/>
        <family val="2"/>
      </rPr>
      <t>FROM 153</t>
    </r>
    <r>
      <rPr>
        <sz val="10"/>
        <rFont val="Arial"/>
        <family val="2"/>
      </rPr>
      <t xml:space="preserve"> TO 201</t>
    </r>
  </si>
  <si>
    <t>(Declarations)</t>
  </si>
  <si>
    <r>
      <rPr>
        <sz val="10"/>
        <color indexed="12"/>
        <rFont val="Arial"/>
        <family val="2"/>
      </rPr>
      <t>DBI INTEGRATION:</t>
    </r>
    <r>
      <rPr>
        <sz val="10"/>
        <rFont val="Arial"/>
        <family val="2"/>
      </rPr>
      <t xml:space="preserve"> Changed URL of URL_DEV_LOGIN </t>
    </r>
    <r>
      <rPr>
        <sz val="10"/>
        <color indexed="55"/>
        <rFont val="Arial"/>
        <family val="2"/>
      </rPr>
      <t>FROM "https://DETTEST78/DBICore/ServiceLogin.aspx"</t>
    </r>
    <r>
      <rPr>
        <sz val="10"/>
        <rFont val="Arial"/>
        <family val="2"/>
      </rPr>
      <t xml:space="preserve"> TO "https://DETTEST78/DBIBPO/ServiceLogin.aspx"</t>
    </r>
  </si>
  <si>
    <t>Various</t>
  </si>
  <si>
    <r>
      <rPr>
        <sz val="10"/>
        <color indexed="12"/>
        <rFont val="Arial"/>
        <family val="2"/>
      </rPr>
      <t>DBI INTEGRATION facts -&gt; dbi:</t>
    </r>
    <r>
      <rPr>
        <sz val="10"/>
        <rFont val="Arial"/>
        <family val="2"/>
      </rPr>
      <t xml:space="preserve"> Changed the picture on Page1 FROM the GM FACTS 2.0 Logo TO just the GM Logo. Also, changed instances of FACTS or FACTS 2.0 TO DBI. This was done in the following locations: TB Out- B1, B820, B821; Comments- K4, K18, K26, K42, K45, L38; Verify- A2472; OR_VEH- G1</t>
    </r>
  </si>
  <si>
    <t>On sheet: TB Out. For columns D and E. If any column D had a NULL value, the forumula from column E was copied into column D, and vice versa.</t>
  </si>
  <si>
    <t>v201r2</t>
  </si>
  <si>
    <r>
      <t>Added code "</t>
    </r>
    <r>
      <rPr>
        <b/>
        <sz val="10"/>
        <rFont val="Arial"/>
        <family val="2"/>
      </rPr>
      <t>m_objWebBrowser.Quit</t>
    </r>
    <r>
      <rPr>
        <sz val="10"/>
        <rFont val="Arial"/>
        <family val="2"/>
      </rPr>
      <t>" &amp; "</t>
    </r>
    <r>
      <rPr>
        <b/>
        <sz val="10"/>
        <rFont val="Arial"/>
        <family val="2"/>
      </rPr>
      <t>Set m_objWebBrowser = Nothing</t>
    </r>
    <r>
      <rPr>
        <sz val="10"/>
        <rFont val="Arial"/>
        <family val="2"/>
      </rPr>
      <t>" in order to correct a problem where on upload the TB Edit does NOT prompt the user for a password after recently uploading other data in TB Edit</t>
    </r>
  </si>
  <si>
    <t>v201r3</t>
  </si>
  <si>
    <t>CountOutEntries</t>
  </si>
  <si>
    <r>
      <rPr>
        <sz val="10"/>
        <color indexed="12"/>
        <rFont val="Arial"/>
        <family val="2"/>
      </rPr>
      <t>CountOutEntries:</t>
    </r>
    <r>
      <rPr>
        <sz val="10"/>
        <rFont val="Arial"/>
        <family val="2"/>
      </rPr>
      <t xml:space="preserve"> Updated an IF statement </t>
    </r>
    <r>
      <rPr>
        <sz val="10"/>
        <color indexed="55"/>
        <rFont val="Arial"/>
        <family val="2"/>
      </rPr>
      <t xml:space="preserve">FROM If (m_strDetail &lt;&gt; "0") Then </t>
    </r>
    <r>
      <rPr>
        <sz val="10"/>
        <rFont val="Arial"/>
        <family val="2"/>
      </rPr>
      <t>TO If (m_strDetail &lt;&gt; "0") Or (m_strAcctIDold = Range("rngACCURACY_POINTS")) Then   This was done to account for the case that accuracy points are "0" before this code modification it would only count those accounts which were NOT "" and NOT "0". In DBI, the account count is a verified against the number of accounts being uploaded. After this code change, they will match.</t>
    </r>
  </si>
  <si>
    <r>
      <rPr>
        <sz val="10"/>
        <color indexed="12"/>
        <rFont val="Arial"/>
        <family val="2"/>
      </rPr>
      <t>DBI INTEGRATION facts -&gt; dbi:</t>
    </r>
    <r>
      <rPr>
        <sz val="10"/>
        <rFont val="Arial"/>
        <family val="2"/>
      </rPr>
      <t xml:space="preserve"> Changed the string FACTS or FACTS 2.0 to DBI in the following locations: frmAutoUpload, frmMessage, ConditionalFormat procedure</t>
    </r>
  </si>
  <si>
    <t>v202r1</t>
  </si>
  <si>
    <r>
      <t xml:space="preserve">Updated </t>
    </r>
    <r>
      <rPr>
        <sz val="10"/>
        <color indexed="55"/>
        <rFont val="Arial"/>
        <family val="2"/>
      </rPr>
      <t>FROM NE PAS UTILISER</t>
    </r>
    <r>
      <rPr>
        <sz val="10"/>
        <rFont val="Arial"/>
        <family val="2"/>
      </rPr>
      <t xml:space="preserve"> TO ATS, Min 30K, Max 80K, 5K mapping: 412k</t>
    </r>
  </si>
  <si>
    <r>
      <t xml:space="preserve">Updated </t>
    </r>
    <r>
      <rPr>
        <sz val="10"/>
        <color indexed="55"/>
        <rFont val="Arial"/>
        <family val="2"/>
      </rPr>
      <t>FROM NE PAS UTILISER</t>
    </r>
    <r>
      <rPr>
        <sz val="10"/>
        <rFont val="Arial"/>
        <family val="2"/>
      </rPr>
      <t xml:space="preserve"> TO XTS, Min 40K, Max 80K, 5K mapping: 412k</t>
    </r>
  </si>
  <si>
    <r>
      <rPr>
        <sz val="10"/>
        <color indexed="12"/>
        <rFont val="Arial"/>
        <family val="2"/>
      </rPr>
      <t>NEW DEVELOPMENT ENVIRONMENT:</t>
    </r>
    <r>
      <rPr>
        <sz val="10"/>
        <rFont val="Arial"/>
        <family val="2"/>
      </rPr>
      <t xml:space="preserve"> in the constants URL_DEV_LOGIN &amp; URL_DEV_UPLOAD, DBIBPO was changed to DBIBPOLocal and DBIServices was changed to DBIServicesLocal</t>
    </r>
  </si>
  <si>
    <t>v202r2</t>
  </si>
  <si>
    <r>
      <rPr>
        <sz val="10"/>
        <color indexed="12"/>
        <rFont val="Arial"/>
        <family val="2"/>
      </rPr>
      <t>IE9 / DBI 1.4 SUBMISSION FIX:</t>
    </r>
    <r>
      <rPr>
        <sz val="10"/>
        <rFont val="Arial"/>
        <family val="2"/>
      </rPr>
      <t xml:space="preserve"> Added the following code, to dimension a new variable…
Const TXT_FORMie9 As String = "form id=""ctl03"
and changed other code in the procedure </t>
    </r>
    <r>
      <rPr>
        <sz val="10"/>
        <color indexed="55"/>
        <rFont val="Arial"/>
        <family val="2"/>
      </rPr>
      <t xml:space="preserve">FROM </t>
    </r>
    <r>
      <rPr>
        <i/>
        <sz val="10"/>
        <color indexed="55"/>
        <rFont val="Arial"/>
        <family val="2"/>
      </rPr>
      <t>If InStr(1, objRow.outerhtml, TXT_FORM)</t>
    </r>
    <r>
      <rPr>
        <sz val="10"/>
        <color indexed="55"/>
        <rFont val="Arial"/>
        <family val="2"/>
      </rPr>
      <t xml:space="preserve"> Then</t>
    </r>
    <r>
      <rPr>
        <sz val="10"/>
        <rFont val="Arial"/>
        <family val="2"/>
      </rPr>
      <t xml:space="preserve">  </t>
    </r>
    <r>
      <rPr>
        <b/>
        <sz val="10"/>
        <rFont val="Arial"/>
        <family val="2"/>
      </rPr>
      <t>TO</t>
    </r>
    <r>
      <rPr>
        <b/>
        <i/>
        <sz val="10"/>
        <rFont val="Arial"/>
        <family val="2"/>
      </rPr>
      <t xml:space="preserve"> If InStr(1, objRow.outerhtml, TXT_FORM) Or InStr(1, objRow.outerhtml, TXT_FORMie9) Then</t>
    </r>
    <r>
      <rPr>
        <sz val="10"/>
        <rFont val="Arial"/>
        <family val="2"/>
      </rPr>
      <t xml:space="preserve">  in order to handle the passing of a different form name when using the combination of IE9 and DBI 1.4, without this fix TB Edit Submission fails</t>
    </r>
  </si>
  <si>
    <t>Kris Rivera</t>
  </si>
  <si>
    <t>v202r3</t>
  </si>
  <si>
    <r>
      <t xml:space="preserve">Updated </t>
    </r>
    <r>
      <rPr>
        <sz val="10"/>
        <color indexed="55"/>
        <rFont val="Arial"/>
        <family val="2"/>
      </rPr>
      <t>FROM NE PAS UTILISER</t>
    </r>
    <r>
      <rPr>
        <sz val="10"/>
        <rFont val="Arial"/>
        <family val="2"/>
      </rPr>
      <t xml:space="preserve"> TO TRAX, Min 15K, Max 45K, 5K mapping: 430k, Effective: Oct 2012 (Q4)</t>
    </r>
  </si>
  <si>
    <r>
      <t xml:space="preserve">Updated </t>
    </r>
    <r>
      <rPr>
        <sz val="10"/>
        <color indexed="55"/>
        <rFont val="Arial"/>
        <family val="2"/>
      </rPr>
      <t>FROM SSR/HHR</t>
    </r>
    <r>
      <rPr>
        <sz val="10"/>
        <rFont val="Arial"/>
        <family val="2"/>
      </rPr>
      <t xml:space="preserve"> TO HHR/TRAX , Effective: Oct 2012 (Q4)</t>
    </r>
  </si>
  <si>
    <t>v202r4</t>
  </si>
  <si>
    <t>Corrected 2012 VML Update</t>
  </si>
  <si>
    <r>
      <t xml:space="preserve">Updated </t>
    </r>
    <r>
      <rPr>
        <sz val="10"/>
        <color indexed="55"/>
        <rFont val="Arial"/>
        <family val="2"/>
      </rPr>
      <t>FROM NE PAS UTILISER</t>
    </r>
    <r>
      <rPr>
        <sz val="10"/>
        <rFont val="Arial"/>
        <family val="2"/>
      </rPr>
      <t xml:space="preserve"> TO ENCORE, Min 20K, Max 55K, 5K mapping: 430k, Effective: FEB 2013 (Q1)</t>
    </r>
  </si>
  <si>
    <t>Sax</t>
  </si>
  <si>
    <r>
      <t xml:space="preserve">Updated </t>
    </r>
    <r>
      <rPr>
        <sz val="10"/>
        <color indexed="55"/>
        <rFont val="Arial"/>
        <family val="2"/>
      </rPr>
      <t>FROM HHR/TRAX</t>
    </r>
    <r>
      <rPr>
        <sz val="10"/>
        <rFont val="Arial"/>
        <family val="2"/>
      </rPr>
      <t xml:space="preserve"> TO ENCORE/TRAX , Effective: Feb 2013 (Q1)</t>
    </r>
  </si>
  <si>
    <t>v203r1</t>
  </si>
  <si>
    <t>W</t>
  </si>
  <si>
    <r>
      <rPr>
        <sz val="10"/>
        <color indexed="12"/>
        <rFont val="Arial"/>
        <family val="2"/>
      </rPr>
      <t>TB EDIT LINE #s DISPLAY:</t>
    </r>
    <r>
      <rPr>
        <sz val="10"/>
        <rFont val="Arial"/>
        <family val="2"/>
      </rPr>
      <t xml:space="preserve"> Added a new column (W) with the header "Line # Ref" and in all verify rows filled down the following function:  TO =LEFT(A2,FIND("!",A2,1)-1)&amp;", Ligne "&amp;INDIRECT(ADDRESS(ROW(INDIRECT(A2)),IF(INDIRECT(ADDRESS(ROW(INDIRECT(A2)),1,,,LEFT(A2,FIND("!",A2,1)-1)))="",2,1),,,LEFT(A2,FIND("!",A2,1)-1)))&amp;" ["&amp;A2&amp;"] "&amp;" -"</t>
    </r>
  </si>
  <si>
    <r>
      <rPr>
        <sz val="10"/>
        <color indexed="12"/>
        <rFont val="Arial"/>
        <family val="2"/>
      </rPr>
      <t>TB EDIT LINE #s DISPLAY:</t>
    </r>
    <r>
      <rPr>
        <sz val="10"/>
        <rFont val="Arial"/>
        <family val="2"/>
      </rPr>
      <t xml:space="preserve"> Replaced a part of the Total Comment column (G) formula in order to point the reference location of the error from column A to column X. Formula was changed </t>
    </r>
    <r>
      <rPr>
        <sz val="10"/>
        <color indexed="22"/>
        <rFont val="Arial"/>
        <family val="2"/>
      </rPr>
      <t>FROM =IF(H2&amp;I2&amp;J2&amp;K2&lt;&gt;"","No.de ref. du commentaire.: "&amp;A2&amp;" "&amp;N2&amp;" "&amp;H2&amp;I2&amp;IF(OR(C2=TRUE,D2=TRUE),"",J2&amp;K2&amp;V2),"")</t>
    </r>
    <r>
      <rPr>
        <sz val="10"/>
        <rFont val="Arial"/>
        <family val="2"/>
      </rPr>
      <t xml:space="preserve"> TO =IF(H2&amp;I2&amp;J2&amp;K2&lt;&gt;"","No.de ref. du commentaire.: "&amp;W2&amp;" "&amp;N2&amp;" "&amp;H2&amp;I2&amp;IF(OR(C2=TRUE,D2=TRUE),"",J2&amp;K2&amp;V2),"")</t>
    </r>
  </si>
  <si>
    <t>frmInputMethod</t>
  </si>
  <si>
    <t>Manual_Input_Match</t>
  </si>
  <si>
    <r>
      <rPr>
        <sz val="10"/>
        <color indexed="12"/>
        <rFont val="Arial"/>
        <family val="2"/>
      </rPr>
      <t>TB EDIT LINE #s DISPLAY:</t>
    </r>
    <r>
      <rPr>
        <sz val="10"/>
        <rFont val="Arial"/>
        <family val="2"/>
      </rPr>
      <t xml:space="preserve"> Added the following code to the Manual_Input_Match procedure:
</t>
    </r>
    <r>
      <rPr>
        <i/>
        <sz val="10"/>
        <rFont val="Arial"/>
        <family val="2"/>
      </rPr>
      <t>CalcInOut = Application.Calculation 'JRD 4-15-2013
Application.Calculation = xlCalculationManual 'JRD 4-15-2013
…
Application.Calculation = CalcInOut 'JRD 4-15-2013</t>
    </r>
    <r>
      <rPr>
        <sz val="10"/>
        <rFont val="Arial"/>
        <family val="2"/>
      </rPr>
      <t xml:space="preserve">
in order to turn off calculation during the manual data load. This returns performance to it's original level after adding the new function to display line numbers when errors occur</t>
    </r>
  </si>
  <si>
    <t>PrintCellComments</t>
  </si>
  <si>
    <r>
      <rPr>
        <sz val="10"/>
        <color indexed="12"/>
        <rFont val="Arial"/>
        <family val="2"/>
      </rPr>
      <t>TB EDIT LINE #s DISPLAY:</t>
    </r>
    <r>
      <rPr>
        <sz val="10"/>
        <rFont val="Arial"/>
        <family val="2"/>
      </rPr>
      <t xml:space="preserve"> Intentionally commented out the following line of code:
</t>
    </r>
    <r>
      <rPr>
        <i/>
        <sz val="10"/>
        <rFont val="Arial"/>
        <family val="2"/>
      </rPr>
      <t xml:space="preserve">&amp; " sur la page " &amp; objWS.Name
</t>
    </r>
    <r>
      <rPr>
        <sz val="10"/>
        <rFont val="Arial"/>
        <family val="2"/>
      </rPr>
      <t>of the string</t>
    </r>
    <r>
      <rPr>
        <i/>
        <sz val="10"/>
        <rFont val="Arial"/>
        <family val="2"/>
      </rPr>
      <t xml:space="preserve"> .TypeText Text:=strString1 &amp; " sur la page " &amp; objWS.Name</t>
    </r>
    <r>
      <rPr>
        <sz val="10"/>
        <rFont val="Arial"/>
        <family val="2"/>
      </rPr>
      <t xml:space="preserve">
in order to stop printing the reference to the page (tab) on the MS Word export</t>
    </r>
  </si>
  <si>
    <r>
      <rPr>
        <sz val="10"/>
        <color indexed="12"/>
        <rFont val="Arial"/>
        <family val="2"/>
      </rPr>
      <t>WIN 8/OFFICE 2013 COMPATIBILITY</t>
    </r>
    <r>
      <rPr>
        <sz val="10"/>
        <rFont val="Arial"/>
        <family val="2"/>
      </rPr>
      <t xml:space="preserve">: Updated variable declarations from MSXMLDOMDocument60 to MSXMLDOMDocument, specificalled changed: </t>
    </r>
    <r>
      <rPr>
        <sz val="10"/>
        <color indexed="55"/>
        <rFont val="Arial"/>
        <family val="2"/>
      </rPr>
      <t>Dim xmlReqdoc As MSXML2.DOMDocument60</t>
    </r>
    <r>
      <rPr>
        <sz val="10"/>
        <rFont val="Arial"/>
        <family val="2"/>
      </rPr>
      <t xml:space="preserve"> TO Dim xmlReqdoc As MSXML2.DOMDocument,  </t>
    </r>
    <r>
      <rPr>
        <sz val="10"/>
        <color indexed="55"/>
        <rFont val="Arial"/>
        <family val="2"/>
      </rPr>
      <t>Set xmlReqdoc = New MSXML2.DOMDocument60</t>
    </r>
    <r>
      <rPr>
        <sz val="10"/>
        <rFont val="Arial"/>
        <family val="2"/>
      </rPr>
      <t xml:space="preserve"> TO Set xmlReqdoc = New MSXML2.DOMDocument, </t>
    </r>
    <r>
      <rPr>
        <sz val="10"/>
        <color indexed="55"/>
        <rFont val="Arial"/>
        <family val="2"/>
      </rPr>
      <t>Dim xmlDoc As MSXML2.DOMDocument60</t>
    </r>
    <r>
      <rPr>
        <sz val="10"/>
        <rFont val="Arial"/>
        <family val="2"/>
      </rPr>
      <t xml:space="preserve"> TO Dim xmlDoc As MSXML2.DOMDocument, and </t>
    </r>
    <r>
      <rPr>
        <sz val="10"/>
        <color indexed="55"/>
        <rFont val="Arial"/>
        <family val="2"/>
      </rPr>
      <t>Set xmlDoc = New MSXML2.DOMDocument60</t>
    </r>
    <r>
      <rPr>
        <sz val="10"/>
        <rFont val="Arial"/>
        <family val="2"/>
      </rPr>
      <t xml:space="preserve"> to Set xmlDoc = New MSXML2.DOMDocument</t>
    </r>
  </si>
  <si>
    <t>Increased Audit Range to 85000</t>
  </si>
  <si>
    <t>Increased Audit Range to 60000</t>
  </si>
  <si>
    <t>Increased Audit Range to 40000</t>
  </si>
  <si>
    <t>Increased Audit Range to 180000</t>
  </si>
  <si>
    <t>Increased Audit Range to 30000</t>
  </si>
  <si>
    <t>Increased Audit Range to 91000</t>
  </si>
  <si>
    <t>Increased Audit Range to 55000</t>
  </si>
  <si>
    <t>Increased Audit Range to 65000</t>
  </si>
  <si>
    <t>Increased Audit Range to 80000</t>
  </si>
  <si>
    <t>Increased Audit Range to 100000</t>
  </si>
  <si>
    <t>Increased Audit Range to 90000</t>
  </si>
  <si>
    <t>Increased Audit Range to 110000</t>
  </si>
  <si>
    <t>Increased Audit Range to 70000</t>
  </si>
  <si>
    <t>Increased Audit Range to 105000</t>
  </si>
  <si>
    <t>Increased Audit Range to 95000</t>
  </si>
  <si>
    <t>Increased Audit Range to 75000</t>
  </si>
  <si>
    <t>Increased Audit Range to 130000</t>
  </si>
  <si>
    <t>Increased Audit Range to 145000</t>
  </si>
  <si>
    <t>Increased Audit Range to 135000</t>
  </si>
  <si>
    <t>Increased Audit Range to 120000</t>
  </si>
  <si>
    <t>K,L</t>
  </si>
  <si>
    <r>
      <rPr>
        <sz val="11"/>
        <color indexed="12"/>
        <rFont val="Calibri"/>
        <family val="2"/>
      </rPr>
      <t>ADD ACCOUNT 909</t>
    </r>
    <r>
      <rPr>
        <sz val="10"/>
        <rFont val="Arial"/>
        <family val="2"/>
      </rPr>
      <t>: Inserted system account 13274 (00-00-909-AMT-CURR) to end of account list</t>
    </r>
  </si>
  <si>
    <t>Josh Ditton</t>
  </si>
  <si>
    <t>A-J</t>
  </si>
  <si>
    <r>
      <rPr>
        <sz val="11"/>
        <color indexed="12"/>
        <rFont val="Calibri"/>
        <family val="2"/>
      </rPr>
      <t>ADD ACCOUNT 909</t>
    </r>
    <r>
      <rPr>
        <sz val="10"/>
        <rFont val="Arial"/>
        <family val="2"/>
      </rPr>
      <t>: Inserted a new row for a new account 'GM REIMBURSEMENTS' and updated cell references appropriately (specifically to point columns H,I row 1243 to the new account M2709, N2709)</t>
    </r>
  </si>
  <si>
    <t>A-R</t>
  </si>
  <si>
    <r>
      <rPr>
        <sz val="11"/>
        <color indexed="12"/>
        <rFont val="Calibri"/>
        <family val="2"/>
      </rPr>
      <t>ADD ACCOUNT 909</t>
    </r>
    <r>
      <rPr>
        <sz val="10"/>
        <rFont val="Arial"/>
        <family val="2"/>
      </rPr>
      <t>: Inserted a new row 69 to display GM REIMBURSEMENTS account.  Renumbered the line numbers on the left and right appropriately (total of 68 instead of 67 lines at this time).  Cleaned up formatting from the new line insert</t>
    </r>
  </si>
  <si>
    <t>D,F</t>
  </si>
  <si>
    <r>
      <rPr>
        <sz val="11"/>
        <color indexed="12"/>
        <rFont val="Calibri"/>
        <family val="2"/>
      </rPr>
      <t>ADD ACCOUNT 909</t>
    </r>
    <r>
      <rPr>
        <sz val="10"/>
        <rFont val="Arial"/>
        <family val="2"/>
      </rPr>
      <t>: Added the appropriate formulas (modeled from US TB Edit) to the cells, specifically =IF(Flag=TRUE,F69-TBIn!E1243,TBIn!D1243) and =TBIn!E1243.</t>
    </r>
  </si>
  <si>
    <r>
      <rPr>
        <sz val="11"/>
        <color indexed="12"/>
        <rFont val="Calibri"/>
        <family val="2"/>
      </rPr>
      <t>ADD ACCOUNT 909</t>
    </r>
    <r>
      <rPr>
        <sz val="10"/>
        <rFont val="Arial"/>
        <family val="2"/>
      </rPr>
      <t>: Extend/Adjust Variables -&gt;  ACCOUNT_ROW_END, DEALER_DATA_COPY, DEALER_DATA_PASTE, DEALER_INFO_DEST, PRE_MTH_SALES_DEST, DEALER_INFO_COPY, DEALER_INFO_PASTE, DSP_DEST, REP_YEAR_DEST, REP_MONTH_DEST, RPT_MONTH_ROW, RPT_YEAR_ROW, BAC_ROW</t>
    </r>
  </si>
  <si>
    <r>
      <rPr>
        <sz val="11"/>
        <color indexed="12"/>
        <rFont val="Calibri"/>
        <family val="2"/>
      </rPr>
      <t>ADD ACCOUNT 909</t>
    </r>
    <r>
      <rPr>
        <sz val="10"/>
        <rFont val="Arial"/>
        <family val="2"/>
      </rPr>
      <t>: Inerted a new row for GM REIMBURSEMENT account, filled out information across columns A-R</t>
    </r>
  </si>
  <si>
    <r>
      <rPr>
        <sz val="11"/>
        <color indexed="12"/>
        <rFont val="Calibri"/>
        <family val="2"/>
      </rPr>
      <t>ADD ACCOUNT 909</t>
    </r>
    <r>
      <rPr>
        <sz val="10"/>
        <rFont val="Arial"/>
        <family val="2"/>
      </rPr>
      <t>: Updated the TBOUT_END_ROW variable</t>
    </r>
  </si>
  <si>
    <r>
      <rPr>
        <sz val="11"/>
        <color indexed="12"/>
        <rFont val="Calibri"/>
        <family val="2"/>
      </rPr>
      <t>ADD ACCOUNT 909</t>
    </r>
    <r>
      <rPr>
        <sz val="10"/>
        <rFont val="Arial"/>
        <family val="2"/>
      </rPr>
      <t xml:space="preserve">: Changed formula from </t>
    </r>
    <r>
      <rPr>
        <sz val="11"/>
        <color indexed="55"/>
        <rFont val="Calibri"/>
        <family val="2"/>
      </rPr>
      <t>=IF(Flag=TRUE,D66+D67+D68+D70-L67-L68,TBIn!D1247)</t>
    </r>
    <r>
      <rPr>
        <sz val="10"/>
        <rFont val="Arial"/>
        <family val="2"/>
      </rPr>
      <t xml:space="preserve"> to =IF(Flag=TRUE,SUM(D66:D70)-SUM(L67:L68),TBIn!D1247)</t>
    </r>
  </si>
  <si>
    <r>
      <rPr>
        <sz val="11"/>
        <color indexed="12"/>
        <rFont val="Calibri"/>
        <family val="2"/>
      </rPr>
      <t>ADD ACCOUNT 909</t>
    </r>
    <r>
      <rPr>
        <sz val="10"/>
        <rFont val="Arial"/>
        <family val="2"/>
      </rPr>
      <t xml:space="preserve">: Changed formula from </t>
    </r>
    <r>
      <rPr>
        <sz val="11"/>
        <color indexed="55"/>
        <rFont val="Calibri"/>
        <family val="2"/>
      </rPr>
      <t>=IF(Flag=TRUE,F66+F67+F68+F70-N67-N68,TBIn!D1247)</t>
    </r>
    <r>
      <rPr>
        <sz val="10"/>
        <rFont val="Arial"/>
        <family val="2"/>
      </rPr>
      <t xml:space="preserve"> to =IF(Flag=TRUE,SUM(F66:F70)-SUM(N67:N68),TBIn!E1247)</t>
    </r>
  </si>
  <si>
    <t>C,E</t>
  </si>
  <si>
    <r>
      <rPr>
        <sz val="10"/>
        <color indexed="12"/>
        <rFont val="Arial"/>
        <family val="2"/>
      </rPr>
      <t>ADD ACCOUNT 909:</t>
    </r>
    <r>
      <rPr>
        <sz val="10"/>
        <rFont val="Arial"/>
        <family val="2"/>
      </rPr>
      <t xml:space="preserve"> Added a new row to create (the current) row 103. Cell C103 &amp; E103 contains the description &amp; reference to the new account 909 on Page3 in order to include 909 in on the ROA calculation</t>
    </r>
  </si>
  <si>
    <r>
      <rPr>
        <sz val="10"/>
        <color indexed="12"/>
        <rFont val="Arial"/>
        <family val="2"/>
      </rPr>
      <t>ADD ACCOUNT 909:</t>
    </r>
    <r>
      <rPr>
        <sz val="10"/>
        <rFont val="Arial"/>
        <family val="2"/>
      </rPr>
      <t xml:space="preserve"> Expanded the Sum function to include the new account 909 in order to include 909 in on the ROA calculation</t>
    </r>
  </si>
  <si>
    <t>v205r1</t>
  </si>
  <si>
    <t>506, 213</t>
  </si>
  <si>
    <t>2014 VML Update</t>
  </si>
  <si>
    <r>
      <t xml:space="preserve">Updated </t>
    </r>
    <r>
      <rPr>
        <sz val="10"/>
        <color indexed="55"/>
        <rFont val="Arial"/>
        <family val="2"/>
      </rPr>
      <t>FROM DO NOT USE</t>
    </r>
    <r>
      <rPr>
        <sz val="10"/>
        <rFont val="Arial"/>
        <family val="2"/>
      </rPr>
      <t xml:space="preserve"> TO ELR (Volt/ELR), Min 40K, Max 110000K</t>
    </r>
  </si>
  <si>
    <t>Mike sax</t>
  </si>
  <si>
    <t>620, 628</t>
  </si>
  <si>
    <t>Labor Rate Update</t>
  </si>
  <si>
    <t>Raised the maximum labor rate from $140 to $200 on warning</t>
  </si>
  <si>
    <t>Mike Sax</t>
  </si>
  <si>
    <t>5/12/20114</t>
  </si>
  <si>
    <t>code</t>
  </si>
  <si>
    <t>Forms, Modules</t>
  </si>
  <si>
    <t>Added wait screens</t>
  </si>
  <si>
    <t>Joshua Morrison</t>
  </si>
  <si>
    <t>Pruntranslog</t>
  </si>
  <si>
    <t>Added following to submission log: Your submission process is NOT COMPLETE until you verify your submittal with the Submission History screen in the DBI System.</t>
  </si>
  <si>
    <t>v205r2</t>
  </si>
  <si>
    <t>v205r3</t>
  </si>
  <si>
    <t>IE9 / DBI 1.4 SUBMISSION FIX: Added the following code, to dimension a new variable…
Const TXT_FORM02 As String = "FORM id=ctl02"
and changed other code in the procedure FROM If InStr(1, objRow.outerhtml, TXT_FORM) Or InStr(1, objRow.outerhtml, TXT_FORMie9)  TO If InStr(1, objRow.outerhtml, TXT_FORM) Or InStr(1, objRow.outerhtml, TXT_FORMie9) Or InStr(1, objRow.outerhtml, TXT_FORM02) Then  in order to handle the passing of a different form name, without this fix TB Edit Submission fails</t>
  </si>
  <si>
    <t>39, 536</t>
  </si>
  <si>
    <t>updated VML from Do Not Use to CITY EXPRESS</t>
  </si>
  <si>
    <t>v206r1</t>
  </si>
  <si>
    <t>SUBMISSION ERRORS: We were required to change the code for handling the GlobalConnect Security Token screen because we believe that a recent update has interfered with the TB Edit's usual submission operation. 
Code changed FROM If InStr(1, objRow.outerhtml, TXT_FORM) Or InStr(1, objRow.outerhtml, TXT_FORMie9) Or InStr(1, objRow.outerhtml, TEXT_FORM02) Then
TO If InStr(1, objBrowserDoc.Forms(0).Name, TXT_FORM) Or InStr(1, objBrowserDoc.Forms(0).Name, TEXT_FORM02) Then
and we are redefining the constants as
Const TXT_FORM As String = "ctl03"
Const TEXT_FORM02 As String = "ctl02"</t>
  </si>
  <si>
    <t>v207r1</t>
  </si>
  <si>
    <t>2,3,5,6</t>
  </si>
  <si>
    <t>2015 VML Update</t>
  </si>
  <si>
    <r>
      <t xml:space="preserve">Updated </t>
    </r>
    <r>
      <rPr>
        <sz val="10"/>
        <color indexed="55"/>
        <rFont val="Arial"/>
        <family val="2"/>
      </rPr>
      <t>FROM DO NOT USE</t>
    </r>
    <r>
      <rPr>
        <sz val="10"/>
        <rFont val="Arial"/>
        <family val="2"/>
      </rPr>
      <t xml:space="preserve"> TO ATS-V, Min 40K, Max 100000K, Effective: January 2015 </t>
    </r>
  </si>
  <si>
    <r>
      <t xml:space="preserve">Updated </t>
    </r>
    <r>
      <rPr>
        <sz val="10"/>
        <color indexed="55"/>
        <rFont val="Arial"/>
        <family val="2"/>
      </rPr>
      <t>FROM DO NOT USE</t>
    </r>
    <r>
      <rPr>
        <sz val="10"/>
        <rFont val="Arial"/>
        <family val="2"/>
      </rPr>
      <t xml:space="preserve"> TO CT6, Min 50K, Max 125000K,  Effective: January 2015 </t>
    </r>
  </si>
  <si>
    <t>v208r0</t>
  </si>
  <si>
    <t>NEW MAPPING</t>
  </si>
  <si>
    <t>sAX</t>
  </si>
  <si>
    <t>DO NOT USE</t>
  </si>
  <si>
    <t>PONTIAC</t>
  </si>
  <si>
    <t>400k</t>
  </si>
  <si>
    <t>407k</t>
  </si>
  <si>
    <t>401k</t>
  </si>
  <si>
    <t>402k</t>
  </si>
  <si>
    <t>415k</t>
  </si>
  <si>
    <t>406k</t>
  </si>
  <si>
    <t>MEDIUM DUTY</t>
  </si>
  <si>
    <t>CORVETTE/CAMARO</t>
  </si>
  <si>
    <t>EQUINOX/TERRAIN/ENVISION</t>
  </si>
  <si>
    <t>v209r0</t>
  </si>
  <si>
    <t>v209r1</t>
  </si>
  <si>
    <t>Updated to fix Windows 10 issue by adding the following code in modCVI, PopulateAdminAccounts:
 'Windows 10 Override
    If IsNumeric(Sheets(strWS).Range("OSVER")) = False Then
        Sheets(strWS).Range("OSVER") = "10.0"
    End If</t>
  </si>
  <si>
    <t>Michelle Truong</t>
  </si>
  <si>
    <t>v209r2</t>
  </si>
  <si>
    <t>OR_Veh</t>
  </si>
  <si>
    <t>f</t>
  </si>
  <si>
    <t>571, 572</t>
  </si>
  <si>
    <t>Changed max range from 60,000 to 80,000</t>
  </si>
  <si>
    <t>v210r1</t>
  </si>
  <si>
    <t>Nie</t>
  </si>
  <si>
    <t>BOLT</t>
  </si>
  <si>
    <t>408k</t>
  </si>
  <si>
    <t>412k</t>
  </si>
  <si>
    <t>VOLT / ELR / BOLT</t>
  </si>
  <si>
    <t>2.4 Upgrade</t>
  </si>
  <si>
    <t>Created flag for service test rng_ServiceActive</t>
  </si>
  <si>
    <t>Nick Krywy</t>
  </si>
  <si>
    <t>ConditionalFormat</t>
  </si>
  <si>
    <t>Added call to test service and update flag</t>
  </si>
  <si>
    <t>testURL</t>
  </si>
  <si>
    <t>Added function to test services and update login/upload paths</t>
  </si>
  <si>
    <t>CVIUploadFile, GetSOAPRequestPart1, GetSOAPRequestPart2</t>
  </si>
  <si>
    <t>Added logic to check service flag and use old service if still active</t>
  </si>
  <si>
    <t>CreateManualFileFooter, CreateManualFileHeader, CreateFileHeader</t>
  </si>
  <si>
    <t>Added logic to check service flag and use old service if still active, changed login/upload urls from Constant to Variable.</t>
  </si>
  <si>
    <t>Converted file format to .xlsm</t>
  </si>
  <si>
    <t>v210r2</t>
  </si>
  <si>
    <t>Removed flag for service test rng_ServiceActive</t>
  </si>
  <si>
    <t>Sharv Patel</t>
  </si>
  <si>
    <t>Removed call to test service and update flag</t>
  </si>
  <si>
    <t>Removed function to test services and update login/upload paths</t>
  </si>
  <si>
    <t>Removed logic to check service flag and use old service if still active</t>
  </si>
  <si>
    <t>Removed logic to check service flag and use old service if still active, changed login/upload urls from Variable. to Constant</t>
  </si>
  <si>
    <t>Fixed flag that shows whether user is manually inputting data or uploading a file</t>
  </si>
  <si>
    <t>v211r1</t>
  </si>
  <si>
    <t>2018 version, no VML changes t this time</t>
  </si>
  <si>
    <t>Reduced XTS mimimum range by $5,000 and raise max for City Express by $3,000 per Diane W.</t>
  </si>
  <si>
    <t>v212r1</t>
  </si>
  <si>
    <t>modAutoImport</t>
  </si>
  <si>
    <t>SAML</t>
  </si>
  <si>
    <t>Added variables to hold new form names, changed IF statement to CASE and added logic for logging in with SAML then getting token.</t>
  </si>
  <si>
    <t>getServiceURL</t>
  </si>
  <si>
    <t>Created function to get SAML login URL</t>
  </si>
  <si>
    <t>Module Variables</t>
  </si>
  <si>
    <t>Updated URL variables at top of module</t>
  </si>
  <si>
    <t>Added XT4 to row 234 MIN: 25,000 max 100,000</t>
  </si>
  <si>
    <t>Added Blazer to row 35 min 20,000 max 75,000, modded CTS old max: 90,000 new max: 120,000</t>
  </si>
  <si>
    <t>Jon Kirles</t>
  </si>
  <si>
    <t>v213r1</t>
  </si>
  <si>
    <t>Added XT6 to 432E, Min: 30,,, Max: 120,000</t>
  </si>
  <si>
    <t>Added CT5 to account 405E Min: $25K Max: $110</t>
  </si>
  <si>
    <t>Added CT4 to account 404E Min: $20K Max: $100K</t>
  </si>
  <si>
    <t>Added buick encore gx to account 427D Min: $15K Max: $75K</t>
  </si>
  <si>
    <t>Added TRAILBLAZER to account 436A Min: $15K Max: $70</t>
  </si>
  <si>
    <t>v214r1</t>
  </si>
  <si>
    <t>Change ranges for these accounts: 230G, 230NG, 231G, 231NG, all are now 10,000/110,000</t>
  </si>
  <si>
    <t>Increased mx from 50,000 to 70, 000 per Diane</t>
  </si>
  <si>
    <t>v215r1</t>
  </si>
  <si>
    <t>No changes to 2021 TBE</t>
  </si>
  <si>
    <t>10, 194, 195, 196, 235</t>
  </si>
  <si>
    <t>Increase audit ranges for Bolt, Memo E Truck Sales, Total truck fleet and total truck internal and Cad XT5</t>
  </si>
  <si>
    <t>Added new GM logo and removed digital signature</t>
  </si>
  <si>
    <t>OR_veh</t>
  </si>
  <si>
    <t>Add BOLT EUV to acct 424, ranges 30k-70k, change Bolt from Bolt to Bolt EV</t>
  </si>
  <si>
    <t>Or Veh</t>
  </si>
  <si>
    <t>Changed max rnage from 70k to 110k</t>
  </si>
  <si>
    <t>v216r1</t>
  </si>
  <si>
    <t>B,C,E,F</t>
  </si>
  <si>
    <t>Add Lyriq to 428E, Audit Range $50k/$120K</t>
  </si>
  <si>
    <t>Add Hummer EV SUT to 435B, Audit Range 70k/170k</t>
  </si>
  <si>
    <t>I,</t>
  </si>
  <si>
    <t>94-109</t>
  </si>
  <si>
    <t>Unhide staging area below cell 70, Add Tekion to DSP selection in alphabetical order with correct ID in chronological order, change range on DSP selection on page 1 by selecting Data Validation and expanding the range by 1 to accommodate the new DSP.  Verify all choices on list are avaialble in dropdown when finished.</t>
  </si>
  <si>
    <t>543-552</t>
  </si>
  <si>
    <t>Increase non-critical max range changes for page 6 Used vehicles accounts 446A, 446B, 450A, 450B, 448, 452</t>
  </si>
  <si>
    <t>30, 80</t>
  </si>
  <si>
    <t>Changed audit ranges for Colorado and Canyon to 20k/80K</t>
  </si>
  <si>
    <t>v217r0</t>
  </si>
  <si>
    <t xml:space="preserve">Internet Explorer is depreciated; updated the module "modAutoUpload" to use Edge instead. The class modules "clsEdge" and "clsExec", along with the modules "modEdge", "modExec", and "JsonCoverter", were added to support this. </t>
  </si>
  <si>
    <t>Emily Lerman</t>
  </si>
  <si>
    <t>Commented out subs "IEPostStringRequest" and "UploadFile" in "modAutoUpload"</t>
  </si>
  <si>
    <t>Fixed errors in "SetWindowBounds" and "windowId" functions in "clsEdge"</t>
  </si>
  <si>
    <t>v218r0</t>
  </si>
  <si>
    <t>2023 Version - no change suntil March 2023 BEV/ICE changes</t>
  </si>
  <si>
    <t>2710 :2717</t>
  </si>
  <si>
    <t>BEV/ICE Edits</t>
  </si>
  <si>
    <t>ADD ACCOUNT 231E: Inserted system accounts 100181:100188 (00-00-231EGM-UNIT-CURR, 00-00-231EGM-FIFO-CURR, 00-00-231EGM-LIFOWD-CURR, 00-00-231EGM-LIFO-CURR, 00-00-231EOTH-UNIT-CURR, 00-00-231EOTH-FIFO-CURR, 00-00-231EOTH-LIFOWD-CURR, 00-00-231EOTH-LIFO-CURR) to end of account list</t>
  </si>
  <si>
    <t>Moody</t>
  </si>
  <si>
    <t>2718: 2725</t>
  </si>
  <si>
    <t>ADD ACCOUNT 237E: Inserted system accounts 100189:100196 (00-00-237EGM-UNIT-CURR, 00-00-237EGM-FIFO-CURR, 00-00-237EGM-LIFOWD-CURR, 00-00-237EGM-LIFO-CURR, 00-00-237EOTH-UNIT-CURR, 00-00-237EOTH-FIFO-CURR, 00-00-237EOTH-LIFOWD-CURR, 00-00-237EOTH-LIFO-CURR) to end of account list</t>
  </si>
  <si>
    <t>8, 14</t>
  </si>
  <si>
    <t>ADD ACCOUNT 231E: Inserted new rows for new accounts
00-00-231EGM-UNIT-CURR, 00-00-231EGM-FIFO-CURR</t>
  </si>
  <si>
    <t>10, 16</t>
  </si>
  <si>
    <t>ADD ACCOUNT 237E: Inserted new rows for new accounts
00-00-237EGM-UNIT-CURR, 00-00-237EGM-FIFO-CURR</t>
  </si>
  <si>
    <t>2726: 2728</t>
  </si>
  <si>
    <t>ADD ACCOUNT RTLCARE: Inserted system accounts 100197:100200 (01-00-RTLCARE-UNIT-CURR, 01-00-RTLCARE-SALES-CURR, 01-00-RTLCARE-GRSPFT-CURR) to end of account list</t>
  </si>
  <si>
    <t>2729: 2731</t>
  </si>
  <si>
    <t xml:space="preserve">ADD ACCOUNT RTLTRKE: Inserted system accounts 100201:100204 (01-00-RTLTRKE-UNIT-CURR, 01-00-RTLTRKE-SALES-CURR, 01-00-RTLTRKE-GRSPFT-CURR) to end of account list </t>
  </si>
  <si>
    <t>2732: 2739</t>
  </si>
  <si>
    <t>ADD ACCOUNT BDCE: Inserted system accounts 100205:100212 (01-00-BDCE-PERSONNL-CURR, 02-00-BDCE-PERSONNL-CURR, 03-00-BDCE-PERSONNL-CURR, 05-00-BDCE-PERSONNL-CURR, 06-00-BDCE-PERSONNL-CURR, 07-00-BDCE-PERSONNL-CURR, 09-00-BDCE-PERSONNL-CURR, 00-00-BDCE-PERSONNL-CURR) to end of account list</t>
  </si>
  <si>
    <t>62,70,78, 91, 100, 109, 117</t>
  </si>
  <si>
    <t xml:space="preserve">ADD ACCOUNT BDCE: Inserted new rows for new accounts
01-00-BDCE-PERSONNL-CURR, 02-00-BDCE-PERSONNL-CURR, 03-00-BDCE-PERSONNL-CURR, 05-00-BDCE-PERSONNL-CURR, 06-00-BDCE-PERSONNL-CURR, 07-00-BDCE-PERSONNL-CURR, 09-00-BDCE-PERSONNL-CURR </t>
  </si>
  <si>
    <t>29 ,31</t>
  </si>
  <si>
    <t>Modified 'CARS' to 'CARS - ICE' and 'TRUCKS' to 'TRUCKS - ICE'</t>
  </si>
  <si>
    <t xml:space="preserve">ADD ACCOUNT 231E: Inserted a new row  30 to display CARS - EV account to Supplemental Inventory Analysis </t>
  </si>
  <si>
    <t>A- F</t>
  </si>
  <si>
    <t xml:space="preserve">ADD ACCOUNT 237E: Inserted row 32 to display TRUCKS - EV to Supplemental Inventory Analysis </t>
  </si>
  <si>
    <t>A:F, H,J,K, M,,O</t>
  </si>
  <si>
    <t xml:space="preserve">ADD ACCOUNT BDCE: Inserted a new row 49 to display BDC / E - COMMERCE to Dealership Personnel Count </t>
  </si>
  <si>
    <t>71, 75</t>
  </si>
  <si>
    <t xml:space="preserve">Modified 'TOTAL NEW CARS RETAIL' to 'TOTAL NEW CARS RETAIL - ICE' and 'TOTAL NEW TRUCKS RETAIL' to 'TOTAL NEW TRUCKS RETAIL - ICE', changed the Month and YTD formulas to only sum ICE pages AND MED DUTY, HEAVY DUTY </t>
  </si>
  <si>
    <t>72, 76</t>
  </si>
  <si>
    <t>Added 'TOTAL NEW CARS RETAIL - EV' and 'TOTAL NEW TRUCKS RETAIL - EV' to New Vehicle SLS Summary,  added the Month and YTD formulas to only sum EV pages</t>
  </si>
  <si>
    <t>changed formulas from =E71+E75 (total new cars retail ice + total new trucks retail ice)to =E71+E72+E75+E76 (total new cars retail ice + total new cars retail ev + total new trucks retail ice +  total new trucks retail ev)</t>
  </si>
  <si>
    <t>679, 687</t>
  </si>
  <si>
    <t>ADD ACCOUNT 231E: Inserted new rows for CARS - EV - GM accounts below the CARS - GM accounts,  filled out information across columns A-R</t>
  </si>
  <si>
    <t>682, 689</t>
  </si>
  <si>
    <t>ADD ACCOUNT 237E: Inserted new rows for TRUCKS - EV - GM accounts below the TRUCKS - GM accounts,  filled out information across columns A-R</t>
  </si>
  <si>
    <t>714, 723, 732, 747, 757, 767, 776, 786</t>
  </si>
  <si>
    <t>ADD ACCOUNT BDCE: Inerted a new row for PERSONNEL - BDC / E-COMMERCE account, filled out information across columns A-R</t>
  </si>
  <si>
    <t>835, 846, 858</t>
  </si>
  <si>
    <t>ADD ACCOUNT RTLCARE: Inerted a new row for TOTAL NEW CARS RETAIL - EV account, filled out information across columns A-R</t>
  </si>
  <si>
    <t>839, 850, 862</t>
  </si>
  <si>
    <t>ADD ACCOUNT RTLTRKE: Inerted a new row for 'TOTAL NEW TRUCKS RETAIL - EV account, filled out information across columns A-R</t>
  </si>
  <si>
    <t xml:space="preserve">Verify </t>
  </si>
  <si>
    <t>A-AB</t>
  </si>
  <si>
    <t>2183, 2200</t>
  </si>
  <si>
    <t>ADD ACCOUNT 231E: inserted audit rules for new CARS - EV - GM acounts in page 7 relative to the ice accounts (besides nonCrit 1)</t>
  </si>
  <si>
    <t xml:space="preserve">2185, 2202 </t>
  </si>
  <si>
    <t>ADD ACCOUNT 237E: inserted audit rules for new TRUCKS - EV - GM acounts in page 7 relative to the ice accounts  (besides nonCrit 1)</t>
  </si>
  <si>
    <t>ADD ACCOUNT 231E: Updated Non-crit 1 formula for GM (A) - CARS - BEFORE LIFO to also include CARS-EV $$</t>
  </si>
  <si>
    <t>ADD ACCOUNT 237E: Updated Non-crit 1 formula for GM (A) - TRUCKS - BEFORE LIFO to also include TRUCKS-EV $$</t>
  </si>
  <si>
    <t>ADD ACCOUNT 231E: Updated NEW CARS account (231)  to include EV CARS. Formula was '=IF(Flag=TRUE,Page7!F29,TBIn!E863)'</t>
  </si>
  <si>
    <t>ADD ACCOUNT 237E: Updated NEW TRUCKS account (237)  to include EV TRUCKS. Formula was '=IF(Flag=TRUE,Page7!F31,TBIn!E864)'</t>
  </si>
  <si>
    <t>ADD ACCOUNT 231E: Updated NEW CARS account (231)  to include EV CARS. Formula was '=Page7!E29'  NOW '=Page7!E29+Page7!E30'</t>
  </si>
  <si>
    <t>ADD ACCOUNT 231E: Updated NEW CARS account (231)  to include EV CARS. Formula was '=Page7!E31'  NOW '=Page7!E31+Page7!E32'</t>
  </si>
  <si>
    <t>2192, 2214, 2225, 2260, 2286, 2311, 2327</t>
  </si>
  <si>
    <t>ADD ACCOUNT BDCE: inserted audit rules for new BDC / E - COMMERCE acounts from page 7 for new, used, L&amp;R, Mech, BODY, P&amp;A, G&amp;A</t>
  </si>
  <si>
    <t>dealer_info_dest</t>
  </si>
  <si>
    <t>expand selection</t>
  </si>
  <si>
    <t>PRE_MTH_SALES_DEST, PRE_MTH_SALES_DEST, REP_YEAR_DEST, REP_MONTH_DEST, DSP_DEST, DEALER_INFO_COPY, DEALER_INFO_PASTE, DEALER_DATA_COPY,DEALER_DATA_PASTE, ACCOUNT_ROW_END, RPT_MONTH_ROW, RPT_YEAR_ROW, BAC_ROW</t>
  </si>
  <si>
    <t>TBOUT_END_ROW</t>
  </si>
  <si>
    <t>5a,5b,5c,5d,5e,5f,5g,5h,5j,5k</t>
  </si>
  <si>
    <t>Rename Page5's</t>
  </si>
  <si>
    <t>Rename and reorder page5 tabs: moving to new EV pages:</t>
  </si>
  <si>
    <t>old page</t>
  </si>
  <si>
    <t>old Brand</t>
  </si>
  <si>
    <t>new page name</t>
  </si>
  <si>
    <t>5a</t>
  </si>
  <si>
    <t>chevy</t>
  </si>
  <si>
    <t>Page5_CHV_MCI</t>
  </si>
  <si>
    <t>5b</t>
  </si>
  <si>
    <t>pontiac</t>
  </si>
  <si>
    <t>Page5_CHV_VE</t>
  </si>
  <si>
    <t>5d</t>
  </si>
  <si>
    <t>Buick</t>
  </si>
  <si>
    <t>Page5 _BUI_MCI</t>
  </si>
  <si>
    <t>5c</t>
  </si>
  <si>
    <t>Do not use</t>
  </si>
  <si>
    <t>Page5_BUI_VE</t>
  </si>
  <si>
    <t>5f</t>
  </si>
  <si>
    <t>Page5_GMC_MCI</t>
  </si>
  <si>
    <t>5h</t>
  </si>
  <si>
    <t>Page5_GMC_VE</t>
  </si>
  <si>
    <t>5e</t>
  </si>
  <si>
    <t>cadi</t>
  </si>
  <si>
    <t>Page5_CAD _MCI</t>
  </si>
  <si>
    <t>5g</t>
  </si>
  <si>
    <t>Page5_CAD_VE</t>
  </si>
  <si>
    <t>FLeet</t>
  </si>
  <si>
    <t>Page5_PARCS</t>
  </si>
  <si>
    <t>5i</t>
  </si>
  <si>
    <t>Medium Duty</t>
  </si>
  <si>
    <t>Page5i_SANS_OBJECT</t>
  </si>
  <si>
    <t>5j</t>
  </si>
  <si>
    <t>Heavy Duty</t>
  </si>
  <si>
    <t>Page5j_SANS_OBJECT</t>
  </si>
  <si>
    <t>VBA</t>
  </si>
  <si>
    <t>Replaced old page 5 names with new ones</t>
  </si>
  <si>
    <t>VML Audit Ranges/Gamme de Mod</t>
  </si>
  <si>
    <t>Reordered the columns to match the order of the tabs (chev,chev ev, buick, buick ev, gmc, gmc ev, cadi, cadi ev, med duty, heavy duty)</t>
  </si>
  <si>
    <t>Page5 FLT COM</t>
  </si>
  <si>
    <t>V:AB</t>
  </si>
  <si>
    <t>25, 46</t>
  </si>
  <si>
    <t>Added 'Page5 GMC EV' to the sums</t>
  </si>
  <si>
    <t>H, K</t>
  </si>
  <si>
    <t>Added Page7 -TOTAL NEW CARS/TRUCKS RETAIL - EV - UNITS SOLD to the formulas. Was '(Page6!F4+Page6!F5+Page6!F7+Page6!F8+Page7!E71+Page7!E75)'. now: '=(Page6!F4+Page6!F5+Page6!F7+Page6!F8+Page7!E71+Page7!E75+Page7!E72+Page7!E76)'</t>
  </si>
  <si>
    <t>P, Q</t>
  </si>
  <si>
    <t>26, 37</t>
  </si>
  <si>
    <t>Added Page7 -TOTAL NEW CARS/TRUCKS RETAIL - EV to the formulas (Page7!E$71 &amp; Page7!E$75)</t>
  </si>
  <si>
    <t>F, K</t>
  </si>
  <si>
    <t>12, 14</t>
  </si>
  <si>
    <t>J, O</t>
  </si>
  <si>
    <t>18, 19, 21</t>
  </si>
  <si>
    <t xml:space="preserve">Page7 </t>
  </si>
  <si>
    <t>I, N</t>
  </si>
  <si>
    <t>Changed formula to include Cars/Trucks - EV and NonGM Cars/Trks.</t>
  </si>
  <si>
    <t xml:space="preserve">F </t>
  </si>
  <si>
    <t>96, 97</t>
  </si>
  <si>
    <t>B:H</t>
  </si>
  <si>
    <t>53:96 to 253:296</t>
  </si>
  <si>
    <t>Moved all vehicles and values from 5b to 5f (GMC). Changes all values in 5b to DO NOT USE, min max: $10, $100</t>
  </si>
  <si>
    <t>10, 78</t>
  </si>
  <si>
    <t>Moving past EV's</t>
  </si>
  <si>
    <t>Moved current EV models to new EV pages with respected Min/Max Range, changed previous cell of EV models to DO NOT USE, range $10-$100
Bolt EV 407A -&gt; 424B</t>
  </si>
  <si>
    <t>28, 77</t>
  </si>
  <si>
    <t>Bolt EUV 424A -&gt; 423B</t>
  </si>
  <si>
    <t>289, 377</t>
  </si>
  <si>
    <t>HUMMER EV SUT 435F -&gt; 423H</t>
  </si>
  <si>
    <t>232, 327</t>
  </si>
  <si>
    <t>Lyriq 428E -&gt; 423G</t>
  </si>
  <si>
    <t>Adding EV's</t>
  </si>
  <si>
    <t>Added Blazer EV to account 425B, Range: 45,000-66,000</t>
  </si>
  <si>
    <t>Added Equinox EV to account 426B, Range: 33,500-46,500</t>
  </si>
  <si>
    <t>Added Silverado EV to account 427B, Range: 40,000-105,000</t>
  </si>
  <si>
    <t>Added CELESTIQ to account 400G, Range: 300,000-400,000</t>
  </si>
  <si>
    <t>Added ENVISTA to account 423C Range: 15,000-50,000</t>
  </si>
  <si>
    <t>Added  HUMMER EV SUV to account 424H Range:$70,000-$170,000</t>
  </si>
  <si>
    <t>Added  'ESCALADE V' account 434E Range: $151,000-$160,700</t>
  </si>
  <si>
    <t>Added  "HUMMER EV SUT/HUMMER EV SUV" to Fleet &amp; Com account 433K, Range: 40,000-250,000</t>
  </si>
  <si>
    <t>Added  "SILVERADO EV" to Fleet &amp; Com account 433K, Range: 40,000-105,000</t>
  </si>
  <si>
    <t>Added 'Sierra EV' to account 425H, Range $40,000:$105,000</t>
  </si>
  <si>
    <t>Raised cadiallc V COS to 200,000</t>
  </si>
  <si>
    <t>577, 578, 208, 227, 229</t>
  </si>
  <si>
    <t>Raised COS ranges: Escalade - 170K , Escalalde ESV - 200K, CT5 - 150K, page account 240 - 200K</t>
  </si>
  <si>
    <t>287, 571</t>
  </si>
  <si>
    <t>Raised Ranges t0 $130,000 for accounts: 433F LD 3500 SIERRA C.O.S. - YTD &amp; GM (A) - CARS - BEFORE LIFO(pg7)</t>
  </si>
  <si>
    <t>Tia</t>
  </si>
  <si>
    <t>B, E, F</t>
  </si>
  <si>
    <t>9, 329</t>
  </si>
  <si>
    <t>ADDED CORVETTE E-RAY TO ACCOUNT 406A AND ESCALADE IQ TO ACCOUNT 425G</t>
  </si>
  <si>
    <t>SAX</t>
  </si>
  <si>
    <t>25,27,29,30,32,34</t>
  </si>
  <si>
    <t>ADD ACCTS 460E,460F, 460D, 460N, 461E,461F to Mechanical department fixed operations, inserted new rows to accommodate.</t>
  </si>
  <si>
    <t>O'Donnell</t>
  </si>
  <si>
    <t>56,58,61,62,65,68,71</t>
  </si>
  <si>
    <t>ADD ACCTS 467E, 468E, 467D,467N, 482C, 484C to Parts fixed operations,inserted new rows to accommodate</t>
  </si>
  <si>
    <t>2740:2763</t>
  </si>
  <si>
    <t>ADD ACCTS 460E,460F, 460D, 460N, 461E,461F for page 6 mechanical fixed ops. Each with RO, SALES, and GRSPFT accounts; 05-00-ACCT-TYP-CURR(ex 05-00-460E-RO-CURR) for each acct. Inserted rows at bottom to add</t>
  </si>
  <si>
    <t>2764:2781</t>
  </si>
  <si>
    <t>ADD ACCTS 467E, 468E, 467D,467N, 482C, 484C for page 6 parts fixed ops. Each with SALES, GRSPFT and COS accounts; 07-00-ACCT-TYP-CURR(ex 07-00-467E-SALES-CURR) for each acct. Inserted rows at bottom to add</t>
  </si>
  <si>
    <t>740:751</t>
  </si>
  <si>
    <t>ADD RO ACCTS FOR 460E,460F, 460D, 460N, 461E,461F in appropriate section to group with data already in section on page6. Inserted rows as needed. Mapped columns H,I to M,N</t>
  </si>
  <si>
    <t>2092:2103</t>
  </si>
  <si>
    <t>ADD SALES ACCTS FOR 460E,460F, 460D, 460N, 461E,461F in appropriate section to group with data already in section on page6. Inserted rows as needed. Mapped columns H,I to M,N</t>
  </si>
  <si>
    <t>2328:2345</t>
  </si>
  <si>
    <t>ADD COS ACCTS FOR 660E,660F, 660D, 660N, 661E,661F in appropriate section to group with data already in section on page6. Inserted rows as needed. Mapped columns H,I to M,N (It is the corresponding sales acct - grspft acct ex: 660E COS -&gt; 05-00-460E-SALES-CURR - 05-00-460E-GRSPFT-CURR)</t>
  </si>
  <si>
    <t>2311:2327</t>
  </si>
  <si>
    <t>ADD SALES ACCTS FOR 467E, 468E, 467D,467N, 482C, 484C  in appropriate section to group with data already in section on page6. Inserted rows as needed. Mapped columns H,I to M,N</t>
  </si>
  <si>
    <t>2354:2368</t>
  </si>
  <si>
    <t>ADD COS ACCTS FOR 667E, 668E, 667D,667N, 682C, 684C in appropriate section to group with data already in section on page6. Inserted rows as needed. Mapped columns H,I to M,N (It is the corresponding sales acct - grspft acct ex: 667E COS -&gt; 07-00-460E-SALES-CURR - 07-00-460E-GRSPFT-CURR)</t>
  </si>
  <si>
    <t>882:893</t>
  </si>
  <si>
    <t>ADD RO ACCTS FOR 460E,460F, 460D, 460N, 461E,461F in appropriate section to group with data already in section on page6. Inserted rows as needed at locations noted</t>
  </si>
  <si>
    <t>2841:2855</t>
  </si>
  <si>
    <t>ADD SALES ACCTS FOR 460E,460F, 460D, 460N, 461E,461F in appropriate section to group with data already in section on page6. Inserted rows as needed at locations noted</t>
  </si>
  <si>
    <t>2887:2901</t>
  </si>
  <si>
    <t>ADD GRSPFT ACCTS FOR 460E,460F, 460D, 460N, 461E,461F in appropriate section to group with data already in section on page6. Inserted rows as needed at locations noted</t>
  </si>
  <si>
    <t>2922:2937</t>
  </si>
  <si>
    <t>ADD GRSPFT ACCTS FOR 467E, 468E, 467D,467N, 482C, 484C  in appropriate section to group with data already in section on page6. Inserted rows as needed at locations noted</t>
  </si>
  <si>
    <t>2869:2883</t>
  </si>
  <si>
    <t>ADD SLS ACCTS FOR 467E, 468E, 467D,467N, 482C, 484C  in appropriate section to group with data already in section on page6. Inserted rows as needed at locations noted</t>
  </si>
  <si>
    <t>ADD ACCOUNTS: Updated strPage6range1 - strPage6range6 in both SetManualColor and ReSetManualColor</t>
  </si>
  <si>
    <t>ADD ACCOUNTS: changed TBOUT_END_ROW from 2902 to 2932 to account for added accounts</t>
  </si>
  <si>
    <t>A- W</t>
  </si>
  <si>
    <t>2229:2242</t>
  </si>
  <si>
    <t>ADD ACCOUNTS: inserted audit rules for mechanical R.O. accounts 460E,460F, 460D, 460N, 461E,461F (match 'like' accounts already in section)</t>
  </si>
  <si>
    <t>2258:2272</t>
  </si>
  <si>
    <t>ADD ACCOUNTS: inserted audit rules for mechanical SALES accounts 460E,460F, 460D, 460N, 461E,461F (match 'like' accounts already in section)</t>
  </si>
  <si>
    <t>A-W</t>
  </si>
  <si>
    <t>2230:2243</t>
  </si>
  <si>
    <t>ADD ACCOUNTS: inserted audit rules for mechanical COS accounts 660E,660F, 660D, 660N, 661E,661F (match 'like' accounts already in section)</t>
  </si>
  <si>
    <t>614:628</t>
  </si>
  <si>
    <t>Added audit ranges for COS accts 660E, 660F, 660D, 660N, 661E, 661F</t>
  </si>
  <si>
    <t>2311:2324</t>
  </si>
  <si>
    <t>Added references to OR_VEH tab, specifically ranges for the COS accts in that tab to match the other accounts in the section.</t>
  </si>
  <si>
    <t>2284:2297</t>
  </si>
  <si>
    <t>ADD ACCOUNTS: inserted audit rules for mechanical SALES accounts 467E,468E, 467D, 467N, 482C,484C (match 'like' accounts already in section)</t>
  </si>
  <si>
    <t>2336:2350</t>
  </si>
  <si>
    <t>ADD ACCOUNTS: inserted audit rules for mechanical COS accounts 667E,668E, 667D, 667N, 682C,684C (match 'like' accounts already in section)</t>
  </si>
  <si>
    <t>PG5_FLT_GOV</t>
  </si>
  <si>
    <t>ALL</t>
  </si>
  <si>
    <t>ADD NEW PAGE - New page for fleet and government sales and gross profit analysis</t>
  </si>
  <si>
    <t>ADD VML ACCOUNTS for new fleet and gov page</t>
  </si>
  <si>
    <t>PG5_FLT_COM</t>
  </si>
  <si>
    <t>Reorganize page to match new 2024 layout</t>
  </si>
  <si>
    <t>724:927</t>
  </si>
  <si>
    <t>ADD ACCOUNTS: SALES, COS and UNIT accounts 400L-407L, 412L-434L, 400M-407M, 412M-434M, inserted rows</t>
  </si>
  <si>
    <t>2782:2971</t>
  </si>
  <si>
    <t>ADD ACCOUNTS: Add all new SALES,UNIT, and GRSPFT accounts to the end of the account list for the new Fleet and Government page</t>
  </si>
  <si>
    <t>ADDED account names in column F, acct_typ_nbrs in column G, and mapped columns H,I to corresponding accounts in columns M,N</t>
  </si>
  <si>
    <t>615:645</t>
  </si>
  <si>
    <t xml:space="preserve">Updated labels for SALES accounts for Page K with new account orderings in column C, updated account namin in column F, updated acct_typ_nbrs in column G, and new mapping from columns H,I to columns M,N </t>
  </si>
  <si>
    <t>646:678</t>
  </si>
  <si>
    <t>Updated labels for COS accounts for Page K with new account orderings in column C, updated account namin in column F, updated acct_typ_nbrs in column G, and new mapping from columns H,I to columns M,N (Sales - Grspft)</t>
  </si>
  <si>
    <t>687:718</t>
  </si>
  <si>
    <t xml:space="preserve">Updated labels for UNIT accounts for Page K with new account orderings in column C, updated account namin in column F, updated acct_typ_nbrs in column G, and new mapping from columns H,I to columns M,N </t>
  </si>
  <si>
    <t>DELETE ROWS, removed rows that weren't used in page repurpose: COS-NAT'L FLEET - TRUCK and old 634K and 635K account</t>
  </si>
  <si>
    <t>DELETE ROWS, removed rows that weren't used in page repurpose old 434K account</t>
  </si>
  <si>
    <t>B-P</t>
  </si>
  <si>
    <t>497:530</t>
  </si>
  <si>
    <t>Updated area to match new layout of page K. Removed unused rows FOR SALES</t>
  </si>
  <si>
    <t>531:564</t>
  </si>
  <si>
    <t>Updated area to match new layout of page K. Removed unused rows FOR GRSPFT</t>
  </si>
  <si>
    <t>574:607</t>
  </si>
  <si>
    <t>Updated area to match new layout of page K. Removed unused rows FOR UNITS</t>
  </si>
  <si>
    <t>608:809</t>
  </si>
  <si>
    <t>ADD ACCOUNTS: Add new SALES,UNIT and GRSPFT accounts for new Fleet and government page L (and section M)</t>
  </si>
  <si>
    <t>505,529:530,539,563:564,582,606:607</t>
  </si>
  <si>
    <t>UPDATE subtotal accounts to map to correct location. Repurposed VEH F&amp;C accounts to be the total commercial gross,sales and units. Used CCAR F&amp;C and CTRK F&amp;C for individual car and truck totals</t>
  </si>
  <si>
    <t>B_P</t>
  </si>
  <si>
    <t>616,640:641,650,674:675,684,708:709,718,742:743,752,776:777,786,810:811</t>
  </si>
  <si>
    <t xml:space="preserve">UPDATE subtotal accounts to map to correct location. Used newly created TOTVEH5L, TOTVEH5M, TOTTRK5L, TOTTRK5M, TOTCAR5M and TOTTRKM accounts to be the total commercial gross,sales and units. </t>
  </si>
  <si>
    <t>812:865</t>
  </si>
  <si>
    <t>ADD ACCOUNTS: Added new subtotal accounts for Fleet and commercial summary section. COMTRK,COMTRKE, COMCAR, COMCARE, FLTTRK, FLTTRKE, FLTCAR,FLTCARE, GOVTRK, GOVTRKE, GOVCAR, GOVCARE, TOTFCGTRKI, TOTFCGTRKE, TOTFCGTRK, TOTFCGCARI, TOTFCGCARE, TOTFCGCAR, and mapped to appropriate cell on Page5_FLT_COM</t>
  </si>
  <si>
    <t>1924:2027</t>
  </si>
  <si>
    <t>Modified order and rules of FLT_COM page in Verify tab to match the new layout and extend rules into new accounts. COS verification linked to OR_VEH tab with audit ranges</t>
  </si>
  <si>
    <t>2028:2183</t>
  </si>
  <si>
    <t>ADD ACCTS: Added new verification rules for the new FLT_GOV page L and M accounts for UNITS, SALES and COS accounts, matches rules for FLT_COM page.</t>
  </si>
  <si>
    <t>ADD PAGE: Added strPage5range5 and strPage5range6  in both SetManualColor and ReSetManualColor and added correct ranges for Page5_FLT_GOV</t>
  </si>
  <si>
    <t>ADD PAGE/ACCOUNTS: changed TBOUT_END_ROW from 2932 to 3162 to account for added accounts on new page</t>
  </si>
  <si>
    <t>modWorksheetsProtection</t>
  </si>
  <si>
    <t>Add Page5_FLT_GOV to UnProtectWorksheets and ProtectWorksheets</t>
  </si>
  <si>
    <t>Sheet17 Page5_FLT_GOV</t>
  </si>
  <si>
    <t>Copied code from page k for hiding COS and worksheet_change so that when data is entered in certain ranges, color changes</t>
  </si>
  <si>
    <t>Page5's</t>
  </si>
  <si>
    <t>25,46</t>
  </si>
  <si>
    <t>Change from '420_'' and "440_" to 'FROM FLT PG' as these values will be compared against dealers submission for fleet vehicles for accurate rollup on selected page5's</t>
  </si>
  <si>
    <t>497,518,642,663,787,808,932,953,1077,1098,1243,1367,1388,1533</t>
  </si>
  <si>
    <t>Added Audit rules to K25 and K46 (fleet vehicles) for page 5's so that they match the totals entered on the fleet government page.</t>
  </si>
  <si>
    <t xml:space="preserve"> modImportExport</t>
  </si>
  <si>
    <t>Public constants</t>
  </si>
  <si>
    <t>Updated DEALER_INFO_DEST, DEALER_INFO_LANDING, REP_YEAR_DEST,REP_MONTH_DEST, DEALER_INFO*, DSP_DEST, RPT_YEAR_ROW, RPT_MONTH_COL and any other constants, need to be moved because over 200 rows were inserted</t>
  </si>
  <si>
    <t>Module constants</t>
  </si>
  <si>
    <t>Updated TBOUT_END_ROW to be 3068, further down because of additional accounts</t>
  </si>
  <si>
    <t>Or_Veh</t>
  </si>
  <si>
    <t>Multiple</t>
  </si>
  <si>
    <t>Raised all max ranges on page 5s by 50,000 per Greg's request</t>
  </si>
  <si>
    <t>64,65</t>
  </si>
  <si>
    <t>Updated line numbers hardcoded into comments to be accurate</t>
  </si>
  <si>
    <t>Updated parts gross transfer to include accounts 467D and 467N</t>
  </si>
  <si>
    <t>Updated audit rules to include totals from 467D and 467N</t>
  </si>
  <si>
    <t>verify</t>
  </si>
  <si>
    <t>Updated audit rules for FLT lines on Page5's to include rounding to avoid submission errors based on trailing decimals</t>
  </si>
  <si>
    <t>uses URL instead of document form title to figure out which site the pop-up browser is currently on</t>
  </si>
  <si>
    <t>isDBISite</t>
  </si>
  <si>
    <t>new function used in LoginFormExists that determines if the given URL is a DBI site</t>
  </si>
  <si>
    <t>extractDomainFromURL</t>
  </si>
  <si>
    <t>new function used in isDBISite that extracts the domain from the given URL</t>
  </si>
  <si>
    <t xml:space="preserve">added an else/if condition to also be able to return the development environment service URL </t>
  </si>
  <si>
    <t>Variable Declarations</t>
  </si>
  <si>
    <t>added the variables "DEV_DOMAIN", "PPD_DOMAIN", and "PROD_DOMAIN" which are used in the "isDBISite" function</t>
  </si>
  <si>
    <t>updated the login, upload, and service URLs for each environment</t>
  </si>
  <si>
    <t>added the security token to the request headers</t>
  </si>
  <si>
    <t>B,C,E,F,G</t>
  </si>
  <si>
    <t>Changed Acct 433L from "DO NOT USE" to "BRIGHTDROP", range 50,000-300,000</t>
  </si>
  <si>
    <t>Add Optiq to 424G, audit range of 40k/140k</t>
  </si>
  <si>
    <t xml:space="preserve">Moody </t>
  </si>
  <si>
    <t>377, 378</t>
  </si>
  <si>
    <t>Increased 423H, 424H Max range from $220K to $300K</t>
  </si>
  <si>
    <t>Increased act 237G Max range from $120K to $300K</t>
  </si>
  <si>
    <t>ADDED VISTIQ RANGE 50K - 200K</t>
  </si>
  <si>
    <t>RAISED MAX RANGE TO 300K</t>
  </si>
  <si>
    <t>ADDED ESCALADE ESV FOR 2025 TBE</t>
  </si>
  <si>
    <t>CHANGE ESCALADE ESV TO ESCALADE IQL</t>
  </si>
  <si>
    <t>MULTIPLE</t>
  </si>
  <si>
    <t>REDUCED ALL FLT GOV AUDIT RANGES TO $1</t>
  </si>
  <si>
    <t>PARCS</t>
  </si>
  <si>
    <t>F,G,H,K,L,M</t>
  </si>
  <si>
    <t>Rolled BrightDrop fleet sales from parcs_gouv into total fleet sales on PARCS page</t>
  </si>
  <si>
    <t>or veh</t>
  </si>
  <si>
    <t>b,f,g</t>
  </si>
  <si>
    <t>82,83</t>
  </si>
  <si>
    <t>Added Zevo 400 and zevo 600 with ranges of 50k/200k</t>
  </si>
  <si>
    <t>C,E,H,J</t>
  </si>
  <si>
    <t>Changed LTD audit from noncritical to critical</t>
  </si>
  <si>
    <t>Dealership</t>
  </si>
  <si>
    <t>2</t>
  </si>
  <si>
    <t>202501</t>
  </si>
  <si>
    <t/>
  </si>
  <si>
    <t>Report filter: (Dealership = 319719:HAWKESBURY CHEV CADILLAC BUICK GMC) And ({Reporting Month} = April 2025)</t>
  </si>
  <si>
    <t>TRUE</t>
  </si>
  <si>
    <t>FALSE</t>
  </si>
  <si>
    <t>319719</t>
  </si>
  <si>
    <t>202502</t>
  </si>
  <si>
    <t>HAWKESBURY CHEV CADILLAC BUICK GMC</t>
  </si>
  <si>
    <t>202503</t>
  </si>
  <si>
    <t>640 MAIN STREET WEST</t>
  </si>
  <si>
    <t>202504</t>
  </si>
  <si>
    <t>202505</t>
  </si>
  <si>
    <t>HAWKESBURY</t>
  </si>
  <si>
    <t>202506</t>
  </si>
  <si>
    <t>ON</t>
  </si>
  <si>
    <t>202507</t>
  </si>
  <si>
    <t>K6A2J3</t>
  </si>
  <si>
    <t>202508</t>
  </si>
  <si>
    <t>202509</t>
  </si>
  <si>
    <t>202510</t>
  </si>
  <si>
    <t>202511</t>
  </si>
  <si>
    <t>202512</t>
  </si>
  <si>
    <t>New Vehicle Audit Ranges</t>
  </si>
  <si>
    <t>Several new vehicle audit ranges have been adjusted.  Rather than list all the changes, we will continually update the complete list below as we</t>
  </si>
  <si>
    <t>refresh these FAQ’s:</t>
  </si>
  <si>
    <t>Vehicle Model Line Descriptions and Minmum/Maximun Audit Ranges</t>
  </si>
  <si>
    <t>Page5 --&gt;</t>
  </si>
  <si>
    <t>a</t>
  </si>
  <si>
    <t>b</t>
  </si>
  <si>
    <t>c</t>
  </si>
  <si>
    <t>d</t>
  </si>
  <si>
    <t>e</t>
  </si>
  <si>
    <t>g</t>
  </si>
  <si>
    <t>h</t>
  </si>
  <si>
    <t>j</t>
  </si>
  <si>
    <t>Account
Number</t>
  </si>
  <si>
    <t>Page6 --&gt;</t>
  </si>
  <si>
    <t>---------------------------   All Namplates  --------------------------------------</t>
  </si>
  <si>
    <t>MECHANICAL</t>
  </si>
  <si>
    <t>BODY SHOP</t>
  </si>
  <si>
    <t>Méthode d’entrée / Fournisseur (DSP).</t>
  </si>
  <si>
    <t>DE</t>
  </si>
  <si>
    <t>À</t>
  </si>
  <si>
    <t>VILLE ET PROVINCE</t>
  </si>
  <si>
    <t>ACTIF</t>
  </si>
  <si>
    <t>CTE.</t>
  </si>
  <si>
    <t>PASSIF</t>
  </si>
  <si>
    <t xml:space="preserve">ESPÈCES  </t>
  </si>
  <si>
    <t>COMPTES &amp; EFFETS</t>
  </si>
  <si>
    <t>TOTAL CAISSE, BANQUE ET CONTRATS</t>
  </si>
  <si>
    <t>À RECEVOIR NET CLIENTS</t>
  </si>
  <si>
    <t>DE LA
PG 7</t>
  </si>
  <si>
    <t>*MÉMO: PAIEMENT DIFFÉRÉ - COMPTE 310</t>
  </si>
  <si>
    <t xml:space="preserve">    $</t>
  </si>
  <si>
    <t>BILLETS À PAYER - VÉH LOCATION C &amp; L T</t>
  </si>
  <si>
    <t>Manuel des méthodes comptables</t>
  </si>
  <si>
    <t>T.P.S., T.V.H. ET T.V.P. À RECEVOIR</t>
  </si>
  <si>
    <t>T.P.S. ET T.V.H. À PAYER</t>
  </si>
  <si>
    <t>pour les concessionnaires de la</t>
  </si>
  <si>
    <t>TOTAL COMPTES À RECEVOIR</t>
  </si>
  <si>
    <t>General Motors du Canada</t>
  </si>
  <si>
    <t>VOITURES NEUVES</t>
  </si>
  <si>
    <t>COURUS</t>
  </si>
  <si>
    <t>CAMIONS NEUFS</t>
  </si>
  <si>
    <t>CAM. PDS MOYEN NEUFS</t>
  </si>
  <si>
    <t>AUTRES VÉHICULES</t>
  </si>
  <si>
    <t>VOITURES D'OCCASION</t>
  </si>
  <si>
    <t>CAMIONS D'OCCASION</t>
  </si>
  <si>
    <t>ESSENCE, HUILE ET GRAISSE</t>
  </si>
  <si>
    <t>MATÉRIEL ATELIER CARROSS. ET PEINT.</t>
  </si>
  <si>
    <t>TOTAL PASSIF À COURT TERME</t>
  </si>
  <si>
    <t>TRAVAUX EN COURS - MAIN-D'ŒUVRE</t>
  </si>
  <si>
    <t>AUTRES RÉSERVES</t>
  </si>
  <si>
    <t xml:space="preserve">AUTRES </t>
  </si>
  <si>
    <t>ACTIF DIVERS DE REPRISE</t>
  </si>
  <si>
    <t>TOTAL STOCKS</t>
  </si>
  <si>
    <t>FRAIS PAYÉS D'AVANCE:</t>
  </si>
  <si>
    <t>IMPÔTS</t>
  </si>
  <si>
    <t>Lignes 31 à 36</t>
  </si>
  <si>
    <t>ASSURANCE</t>
  </si>
  <si>
    <t>TOTAL ACTIF À COURT TERME</t>
  </si>
  <si>
    <t xml:space="preserve">VÉH ÉDUC ROUTIÈRE </t>
  </si>
  <si>
    <t>VÉHICULES LOC. C&amp;L T.</t>
  </si>
  <si>
    <t>PASSIF TOTAL</t>
  </si>
  <si>
    <t>Lignes 37 à 41</t>
  </si>
  <si>
    <t>LOC C&amp;L T. - AMORT CUM</t>
  </si>
  <si>
    <t>FONDS</t>
  </si>
  <si>
    <t>TOTAL ACTIF À COURT TERME ET IMMOBILISATIONS</t>
  </si>
  <si>
    <t>ROULE-</t>
  </si>
  <si>
    <t>IMMOBILISATIONS</t>
  </si>
  <si>
    <t>MENT</t>
  </si>
  <si>
    <t>COMPTE</t>
  </si>
  <si>
    <t>COÛT</t>
  </si>
  <si>
    <t>AMORTIS. CUMULÉ</t>
  </si>
  <si>
    <t>SOMMAIRE DE PROFITS ET PERTES</t>
  </si>
  <si>
    <t>BÂT. &amp; AMÉL.</t>
  </si>
  <si>
    <t>281/351</t>
  </si>
  <si>
    <t>MO.</t>
  </si>
  <si>
    <t>TOT</t>
  </si>
  <si>
    <t>DÉT</t>
  </si>
  <si>
    <t>PROFIT/</t>
  </si>
  <si>
    <t>COMPAGNIES</t>
  </si>
  <si>
    <t>VALEUR NETTE</t>
  </si>
  <si>
    <t>NO.</t>
  </si>
  <si>
    <t>286/356</t>
  </si>
  <si>
    <t>D’OCC</t>
  </si>
  <si>
    <t>PERTE</t>
  </si>
  <si>
    <t>M S</t>
  </si>
  <si>
    <t>287/357</t>
  </si>
  <si>
    <t>288/358</t>
  </si>
  <si>
    <t>A  U</t>
  </si>
  <si>
    <t>MACHINES ET ÉQUIP. D'ATELIER</t>
  </si>
  <si>
    <t>282/352</t>
  </si>
  <si>
    <t>U  L</t>
  </si>
  <si>
    <t>MATÉRIEL P &amp; A</t>
  </si>
  <si>
    <t>283/353</t>
  </si>
  <si>
    <t>284/354</t>
  </si>
  <si>
    <t>285/355</t>
  </si>
  <si>
    <t>PROPRIÉTAIRE</t>
  </si>
  <si>
    <t>289/359</t>
  </si>
  <si>
    <t>TOTAUX (45..52)</t>
  </si>
  <si>
    <t>* MÉMO: VÉH. SERVITUDE-VOITURES</t>
  </si>
  <si>
    <t>BILLETS &amp; COMPTES  À RECEVOIR - ADMINISTRATEURS</t>
  </si>
  <si>
    <t>Tot</t>
  </si>
  <si>
    <t>PROFIT OU PERTE</t>
  </si>
  <si>
    <t>TOTAL AUTRES ÉLÉMENTS D'ACTIF</t>
  </si>
  <si>
    <t>TOTAL VALEUR NETTE</t>
  </si>
  <si>
    <t>Mth Count</t>
  </si>
  <si>
    <t>Manual Input Flag</t>
  </si>
  <si>
    <t>From/Thru Date Table(s)</t>
  </si>
  <si>
    <t>&lt;--To TBOut</t>
  </si>
  <si>
    <t>&lt;--from TBIn</t>
  </si>
  <si>
    <t>----- sélectionner une méthode d’entrée / DSP  -----</t>
  </si>
  <si>
    <t>Janvier</t>
  </si>
  <si>
    <t>ADP Inc. - Elite</t>
  </si>
  <si>
    <t>Février</t>
  </si>
  <si>
    <t>ADP Inc. - w.e.b.Suite 1000 (Alliance)</t>
  </si>
  <si>
    <t>Mars</t>
  </si>
  <si>
    <t>Autoflexilog Inc.</t>
  </si>
  <si>
    <t>Avril</t>
  </si>
  <si>
    <t>AutoSoft International, Inc.</t>
  </si>
  <si>
    <t>Mai</t>
  </si>
  <si>
    <t>DIS (Dealer Information Systems) Limited</t>
  </si>
  <si>
    <t>Juin</t>
  </si>
  <si>
    <t>Kerridge Computer Company Limited</t>
  </si>
  <si>
    <t>Juillet</t>
  </si>
  <si>
    <t>Logiciels Lautopak Inc.</t>
  </si>
  <si>
    <t>Août</t>
  </si>
  <si>
    <t>Oasis Auto Complete Systems Limited</t>
  </si>
  <si>
    <t>Septembre</t>
  </si>
  <si>
    <t>PBS Financial Systems Inc.</t>
  </si>
  <si>
    <t>Octobre</t>
  </si>
  <si>
    <t>Quorum Information Systems Inc.</t>
  </si>
  <si>
    <t>Novembre</t>
  </si>
  <si>
    <t>R&amp;R (Reynolds &amp; Reynolds)</t>
  </si>
  <si>
    <t>Décembre</t>
  </si>
  <si>
    <t>Serti Informatique Inc.</t>
  </si>
  <si>
    <t>Tekion</t>
  </si>
  <si>
    <t>Thru- Year</t>
  </si>
  <si>
    <t>Aucun fournisseur (méthode d’entrée manuelle)</t>
  </si>
  <si>
    <t>Autre DSP</t>
  </si>
  <si>
    <t>System Enviroment Information</t>
  </si>
  <si>
    <t>Used Memory</t>
  </si>
  <si>
    <t>Available Mem</t>
  </si>
  <si>
    <t>Total Memory</t>
  </si>
  <si>
    <t>Recal Mode</t>
  </si>
  <si>
    <t>Operating System</t>
  </si>
  <si>
    <t>Directory =</t>
  </si>
  <si>
    <t>File Name</t>
  </si>
  <si>
    <t>Corp Type</t>
  </si>
  <si>
    <t>S-Corp.</t>
  </si>
  <si>
    <t>C-Corp.</t>
  </si>
  <si>
    <t xml:space="preserve">ANALYSE DES DÉPENSES TOTALES DE L'EXPLOITATION </t>
  </si>
  <si>
    <t>OPÉRATION TOTALE</t>
  </si>
  <si>
    <t>OPÉRATIONS FI XES</t>
  </si>
  <si>
    <t>TOTAL DES REVENUS ET DES DÉPENSES</t>
  </si>
  <si>
    <t>PAR VÉH DÉT</t>
  </si>
  <si>
    <t>% VENTES</t>
  </si>
  <si>
    <t>CUMUL ANNUEL</t>
  </si>
  <si>
    <t>PROFIT BRUT/REVENU</t>
  </si>
  <si>
    <t>CTE</t>
  </si>
  <si>
    <t>% PR. BR.</t>
  </si>
  <si>
    <t>% P.B.</t>
  </si>
  <si>
    <t>VENDEURS VÉH - RÉMUNÉRATION ET AUTRE</t>
  </si>
  <si>
    <t>TRAV GRACIEUX - VÉHICULES</t>
  </si>
  <si>
    <t>TOTAL DES FRAIS VARIABLES</t>
  </si>
  <si>
    <t>TOTAL FIXES</t>
  </si>
  <si>
    <t>TOTAL DES FRAIS GÉNÉRAUX FIXES</t>
  </si>
  <si>
    <r>
      <t xml:space="preserve">TOTAL DES DÉPENSES    </t>
    </r>
    <r>
      <rPr>
        <b/>
        <sz val="7"/>
        <rFont val="Arial"/>
        <family val="2"/>
      </rPr>
      <t xml:space="preserve"> (INCL. PRO DU G&amp;A)</t>
    </r>
  </si>
  <si>
    <t>PROFIT OU PERTE D'EXPLOITATION</t>
  </si>
  <si>
    <t>ADDITIONS ET DÉDUCTIONS NETTES</t>
  </si>
  <si>
    <t>PROFIT NET OU PERTE NETTE (AVANT BONIS ET IMPÔTS)</t>
  </si>
  <si>
    <t>BONIS AUX EMPLOYÉS</t>
  </si>
  <si>
    <t>BONIS AUX PROPRIÉTAIRES</t>
  </si>
  <si>
    <t>PROFIT NET OU PERTE NETTE (AV. IMPÔTS SUR REVENU)</t>
  </si>
  <si>
    <t>IMPÔTS SUR LE REVENU</t>
  </si>
  <si>
    <t>PROFIT NET OU PERTE NETTE (APRÈS IMPÔTS SUR REVENU)</t>
  </si>
  <si>
    <t>N+U Reatil Units</t>
  </si>
  <si>
    <t>CommandButton1_Click</t>
  </si>
  <si>
    <t>OPÉRATIONS VARIABLES - PROFITABILITÉ</t>
  </si>
  <si>
    <t>VÉHICULES NEUFS (01)</t>
  </si>
  <si>
    <t>VÉHICULES D'OCCASION (02)</t>
  </si>
  <si>
    <t>LOCATION COURT ET LONG TERME (03)</t>
  </si>
  <si>
    <t>REVENU FIN., ASS. &amp; PLAN  PROT.(04)</t>
  </si>
  <si>
    <t>% Sls</t>
  </si>
  <si>
    <t>RÉMUN. VENDEURS NEUFS PVND</t>
  </si>
  <si>
    <t>RÉMUN. VENDEURS D'OCCA. PVUD</t>
  </si>
  <si>
    <t>TRAV. GRACIEUX VÉH. D'OCCA. PVUD</t>
  </si>
  <si>
    <t>NEUFS-PUBLICITÉ NETTE TOT PVND</t>
  </si>
  <si>
    <t>NEUFS-INTÉRÊT NET FIN. STOCKS PVND</t>
  </si>
  <si>
    <t xml:space="preserve">TRANSFERT REVENU F &amp; A ET PLAN DE PROTECTION </t>
  </si>
  <si>
    <t>PROFIT OU PERTE PAR SERVICE APRÈS TRSF &amp; PRORATA</t>
  </si>
  <si>
    <t>ADDITIONS AU REVENU</t>
  </si>
  <si>
    <t>DÉDUCTIONS DU REVENU</t>
  </si>
  <si>
    <t>ESCOMPTES DE CAISSE</t>
  </si>
  <si>
    <t>AUTRES DÉDUCTIONS</t>
  </si>
  <si>
    <t>REMBOURSEMENTS DE GMCL</t>
  </si>
  <si>
    <t xml:space="preserve">ADDITIONS ET DÉDUCTIONS NETTES  </t>
  </si>
  <si>
    <t>mai 16, 2025 - 03:38:54 : Tableur ouvert</t>
  </si>
  <si>
    <t>mai 16, 2025 - 03:39:14 : ******* ATTENTION – BAC non valide *******
Le code d'associé commercial (BAC) pour les données que vous importez de votre « fournisseur de système » semble être non valide.
Le BAC correspondant à cette balance de vérification est le : 319719.
Veuillez communiquer avec votre « fournisseur de système » pour entrer un BAC valide dans le fichier d'entrée.</t>
  </si>
  <si>
    <t>mai 16, 2025 - 03:39:20 : Fichier XML importé</t>
  </si>
  <si>
    <t>mai 16, 2025 - 04:31:12 : Option « VÉRIFICATION DES DONNÉES » sélectionnée</t>
  </si>
  <si>
    <t>mai 16, 2025 - 04:31:14 : 13 erreur(s) critique(s) et 9 erreur(s) non critique(s) repérée(s)</t>
  </si>
  <si>
    <t>mai 16, 2025 - 04:34:16 : Option « VÉRIFICATION DES DONNÉES » sélectionnée</t>
  </si>
  <si>
    <t>mai 16, 2025 - 04:34:18 : 7 erreur(s) critique(s) et 7 erreur(s) non critique(s) repérée(s)</t>
  </si>
  <si>
    <t>mai 16, 2025 - 04:42:18 : Tableur fermé</t>
  </si>
  <si>
    <t>mai 16, 2025 - 04:42:41 : Tableur ouvert</t>
  </si>
  <si>
    <t>mai 16, 2025 - 04:42:54 : ******* ATTENTION – BAC non valide *******
Le code d'associé commercial (BAC) pour les données que vous importez de votre « fournisseur de système » semble être non valide.
Le BAC correspondant à cette balance de vérification est le : 319719.
Veuillez communiquer avec votre « fournisseur de système » pour entrer un BAC valide dans le fichier d'entrée.</t>
  </si>
  <si>
    <t>mai 16, 2025 - 04:43:00 : Fichier XML importé</t>
  </si>
  <si>
    <t>mai 16, 2025 - 04:43:21 : Option « VÉRIFICATION DES DONNÉES » sélectionnée</t>
  </si>
  <si>
    <t>mai 16, 2025 - 04:43:22 : 2 erreur(s) critique(s) et 7 erreur(s) non critique(s) repérée(s)</t>
  </si>
  <si>
    <t>mai 16, 2025 - 04:51:26 : Option « VÉRIFICATION DES DONNÉES » sélectionnée</t>
  </si>
  <si>
    <t>mai 16, 2025 - 04:51:27 : 0 erreur(s) critique(s) et 6 erreur(s) non critique(s) repérée(s)</t>
  </si>
  <si>
    <t>mai 16, 2025 - 04:51:37 : 1000 Points d'exactitude seront déduits.</t>
  </si>
  <si>
    <t>mai 16, 2025 - 04:57:29 : Option « VÉRIFICATION DES DONNÉES » sélectionnée</t>
  </si>
  <si>
    <t>mai 16, 2025 - 04:57:30 : 0 erreur(s) critique(s) et 6 erreur(s) non critique(s) repérée(s)</t>
  </si>
  <si>
    <t>mai 16, 2025 - 04:58:40 : Option « VÉRIFICATION DES DONNÉES » sélectionnée</t>
  </si>
  <si>
    <t>mai 16, 2025 - 04:58:41 : 0 erreur(s) critique(s) et 6 erreur(s) non critique(s) repérée(s)</t>
  </si>
  <si>
    <t>mai 16, 2025 - 04:58:48 : 1000 Points d'exactitude seront déduits.</t>
  </si>
  <si>
    <t>mai 16, 2025 - 04:59:52 : Accepted</t>
  </si>
  <si>
    <t>mai 16, 2025 - 05:01:12 : Données financières correspondant au code d'associé commercial (BAC) : 319719 Pour le mois de : Avril, 2025 ont été téléchargées avec succès vers le serveur DBI.</t>
  </si>
  <si>
    <t>mai 16, 2025 - 05:02:19 : Tableur fermé</t>
  </si>
  <si>
    <t>juin 13, 2025 - 04:34:41 : Tableur ouvert</t>
  </si>
  <si>
    <t>juin 13, 2025 - 05:57:42 : Tableur fermé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</si>
</sst>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_);[Red]\(&quot;$&quot;#,##0\)"/>
    <numFmt numFmtId="165" formatCode="_(* #,##0.00_);_(* \(#,##0.00\);_(* &quot;-&quot;??_);_(@_)"/>
    <numFmt numFmtId="166" formatCode="_(* #,##0_);_(* \(#,##0\);_(* &quot;-&quot;??_);_(@_)"/>
    <numFmt numFmtId="167" formatCode="&quot;$&quot;#,##0"/>
    <numFmt numFmtId="168" formatCode="_(* #,##0.0_);_(* \(#,##0.0\);_(* &quot;-&quot;??_);_(@_)"/>
    <numFmt numFmtId="169" formatCode="0.0%"/>
    <numFmt numFmtId="170" formatCode="0_);\(0\)"/>
    <numFmt numFmtId="171" formatCode="#,##0.0_);\(#,##0.0\)"/>
    <numFmt numFmtId="172" formatCode="_(* #,##0.0000_);_(* \(#,##0.0000\);_(* &quot;-&quot;??_);_(@_)"/>
    <numFmt numFmtId="173" formatCode="\300\-000"/>
    <numFmt numFmtId="174" formatCode="\300\-\X00"/>
    <numFmt numFmtId="175" formatCode="#,##0.000000_);\(#,##0.000000\)"/>
    <numFmt numFmtId="176" formatCode="#,##0.0000000000_);\(#,##0.0000000000\)"/>
    <numFmt numFmtId="177" formatCode="#,##0.0,\K"/>
    <numFmt numFmtId="178" formatCode="#,##0.00,,&quot;M&quot;"/>
    <numFmt numFmtId="179" formatCode="00"/>
    <numFmt numFmtId="180" formatCode="0.000"/>
    <numFmt numFmtId="181" formatCode="mm/dd/yy"/>
  </numFmts>
  <fonts count="117">
    <font>
      <sz val="10"/>
      <name val="Arial"/>
    </font>
    <font>
      <sz val="11"/>
      <color theme="1"/>
      <name val="Calibri"/>
      <family val="2"/>
      <scheme val="minor"/>
    </font>
    <font>
      <sz val="11"/>
      <color theme="1"/>
      <name val="Calibri"/>
      <family val="2"/>
      <scheme val="minor"/>
    </font>
    <font>
      <i/>
      <sz val="10"/>
      <name val="Arial"/>
      <family val="2"/>
    </font>
    <font>
      <sz val="10"/>
      <name val="MS Sans Serif"/>
      <family val="2"/>
    </font>
    <font>
      <sz val="8"/>
      <name val="Arial MT"/>
    </font>
    <font>
      <sz val="10"/>
      <name val="Arial"/>
      <family val="2"/>
    </font>
    <font>
      <sz val="8"/>
      <name val="Arial"/>
      <family val="2"/>
    </font>
    <font>
      <sz val="16"/>
      <name val="Arial"/>
      <family val="2"/>
    </font>
    <font>
      <sz val="7"/>
      <name val="Arial"/>
      <family val="2"/>
    </font>
    <font>
      <sz val="12"/>
      <name val="Arial"/>
      <family val="2"/>
    </font>
    <font>
      <b/>
      <sz val="7"/>
      <name val="Arial"/>
      <family val="2"/>
    </font>
    <font>
      <b/>
      <sz val="8"/>
      <name val="Arial"/>
      <family val="2"/>
    </font>
    <font>
      <sz val="8"/>
      <name val="Arial"/>
      <family val="2"/>
    </font>
    <font>
      <sz val="6"/>
      <name val="Arial"/>
      <family val="2"/>
    </font>
    <font>
      <sz val="9"/>
      <color indexed="12"/>
      <name val="Arial"/>
      <family val="2"/>
    </font>
    <font>
      <sz val="10"/>
      <name val="Arial"/>
      <family val="2"/>
    </font>
    <font>
      <b/>
      <sz val="10"/>
      <name val="Arial"/>
      <family val="2"/>
    </font>
    <font>
      <sz val="12"/>
      <color indexed="17"/>
      <name val="Arial"/>
      <family val="2"/>
    </font>
    <font>
      <sz val="8"/>
      <color indexed="17"/>
      <name val="Arial"/>
      <family val="2"/>
    </font>
    <font>
      <sz val="10"/>
      <color indexed="9"/>
      <name val="Arial"/>
      <family val="2"/>
    </font>
    <font>
      <sz val="8"/>
      <color indexed="9"/>
      <name val="Arial"/>
      <family val="2"/>
    </font>
    <font>
      <sz val="6"/>
      <color indexed="9"/>
      <name val="Arial"/>
      <family val="2"/>
    </font>
    <font>
      <b/>
      <sz val="8"/>
      <color indexed="9"/>
      <name val="Arial"/>
      <family val="2"/>
    </font>
    <font>
      <sz val="5"/>
      <color indexed="17"/>
      <name val="Arial"/>
      <family val="2"/>
    </font>
    <font>
      <sz val="7"/>
      <color indexed="17"/>
      <name val="Arial"/>
      <family val="2"/>
    </font>
    <font>
      <sz val="10"/>
      <color indexed="17"/>
      <name val="Arial"/>
      <family val="2"/>
    </font>
    <font>
      <b/>
      <sz val="7"/>
      <color indexed="9"/>
      <name val="Arial"/>
      <family val="2"/>
    </font>
    <font>
      <b/>
      <sz val="8"/>
      <color indexed="17"/>
      <name val="Arial"/>
      <family val="2"/>
    </font>
    <font>
      <b/>
      <sz val="7"/>
      <color indexed="17"/>
      <name val="Arial"/>
      <family val="2"/>
    </font>
    <font>
      <sz val="16"/>
      <color indexed="17"/>
      <name val="Arial"/>
      <family val="2"/>
    </font>
    <font>
      <sz val="9"/>
      <color indexed="17"/>
      <name val="Arial"/>
      <family val="2"/>
    </font>
    <font>
      <sz val="7"/>
      <color indexed="9"/>
      <name val="Arial"/>
      <family val="2"/>
    </font>
    <font>
      <b/>
      <sz val="10"/>
      <color indexed="9"/>
      <name val="Arial"/>
      <family val="2"/>
    </font>
    <font>
      <b/>
      <sz val="12"/>
      <name val="Arial"/>
      <family val="2"/>
    </font>
    <font>
      <sz val="7"/>
      <name val="Arial"/>
      <family val="2"/>
    </font>
    <font>
      <b/>
      <sz val="10"/>
      <color indexed="17"/>
      <name val="Arial"/>
      <family val="2"/>
    </font>
    <font>
      <b/>
      <sz val="9"/>
      <name val="Arial"/>
      <family val="2"/>
    </font>
    <font>
      <sz val="9"/>
      <name val="Arial"/>
      <family val="2"/>
    </font>
    <font>
      <b/>
      <sz val="7"/>
      <name val="Arial"/>
      <family val="2"/>
    </font>
    <font>
      <sz val="10"/>
      <color indexed="12"/>
      <name val="Arial"/>
      <family val="2"/>
    </font>
    <font>
      <sz val="8"/>
      <color indexed="12"/>
      <name val="Arial"/>
      <family val="2"/>
    </font>
    <font>
      <sz val="10"/>
      <name val="Times New Roman"/>
      <family val="1"/>
    </font>
    <font>
      <sz val="12"/>
      <name val="TimesNewRomanPS"/>
    </font>
    <font>
      <sz val="12"/>
      <name val="Arial"/>
      <family val="2"/>
    </font>
    <font>
      <b/>
      <sz val="12"/>
      <name val="Arial"/>
      <family val="2"/>
    </font>
    <font>
      <vertAlign val="superscript"/>
      <sz val="8"/>
      <name val="Arial"/>
      <family val="2"/>
    </font>
    <font>
      <vertAlign val="superscript"/>
      <sz val="9"/>
      <name val="Arial"/>
      <family val="2"/>
    </font>
    <font>
      <sz val="8"/>
      <name val="Times New Roman"/>
      <family val="1"/>
    </font>
    <font>
      <b/>
      <sz val="11"/>
      <name val="Arial"/>
      <family val="2"/>
    </font>
    <font>
      <sz val="8"/>
      <name val="Comic Sans MS"/>
      <family val="4"/>
    </font>
    <font>
      <u/>
      <sz val="10"/>
      <name val="Arial"/>
      <family val="2"/>
    </font>
    <font>
      <u/>
      <sz val="10"/>
      <color indexed="12"/>
      <name val="Arial"/>
      <family val="2"/>
    </font>
    <font>
      <sz val="10"/>
      <name val="Arial MT"/>
    </font>
    <font>
      <b/>
      <sz val="9"/>
      <color indexed="12"/>
      <name val="Arial"/>
      <family val="2"/>
    </font>
    <font>
      <i/>
      <sz val="8"/>
      <color indexed="17"/>
      <name val="Arial"/>
      <family val="2"/>
    </font>
    <font>
      <i/>
      <sz val="8"/>
      <name val="Arial"/>
      <family val="2"/>
    </font>
    <font>
      <sz val="10"/>
      <name val="Arial"/>
      <family val="2"/>
    </font>
    <font>
      <i/>
      <sz val="8"/>
      <name val="Arial MT"/>
    </font>
    <font>
      <sz val="10"/>
      <color indexed="10"/>
      <name val="Arial"/>
      <family val="2"/>
    </font>
    <font>
      <sz val="9"/>
      <color indexed="9"/>
      <name val="Arial"/>
      <family val="2"/>
    </font>
    <font>
      <b/>
      <sz val="9"/>
      <color indexed="9"/>
      <name val="Arial"/>
      <family val="2"/>
    </font>
    <font>
      <b/>
      <sz val="6"/>
      <name val="Arial"/>
      <family val="2"/>
    </font>
    <font>
      <i/>
      <sz val="10"/>
      <color indexed="12"/>
      <name val="Arial"/>
      <family val="2"/>
    </font>
    <font>
      <sz val="6"/>
      <color indexed="17"/>
      <name val="Arial"/>
      <family val="2"/>
    </font>
    <font>
      <b/>
      <sz val="6"/>
      <color indexed="9"/>
      <name val="Arial"/>
      <family val="2"/>
    </font>
    <font>
      <sz val="16"/>
      <name val="Arial"/>
      <family val="2"/>
    </font>
    <font>
      <i/>
      <sz val="8"/>
      <name val="Arial"/>
      <family val="2"/>
    </font>
    <font>
      <i/>
      <sz val="10"/>
      <name val="Arial"/>
      <family val="2"/>
    </font>
    <font>
      <i/>
      <sz val="8"/>
      <color indexed="12"/>
      <name val="Arial"/>
      <family val="2"/>
    </font>
    <font>
      <u/>
      <sz val="8"/>
      <name val="Arial"/>
      <family val="2"/>
    </font>
    <font>
      <sz val="8"/>
      <color indexed="8"/>
      <name val="Arial"/>
      <family val="2"/>
    </font>
    <font>
      <sz val="14"/>
      <name val="Arial"/>
      <family val="2"/>
    </font>
    <font>
      <sz val="14"/>
      <color indexed="17"/>
      <name val="Arial"/>
      <family val="2"/>
    </font>
    <font>
      <b/>
      <sz val="10"/>
      <color indexed="12"/>
      <name val="Arial"/>
      <family val="2"/>
    </font>
    <font>
      <i/>
      <sz val="9"/>
      <color indexed="12"/>
      <name val="Arial"/>
      <family val="2"/>
    </font>
    <font>
      <b/>
      <u/>
      <sz val="10"/>
      <color indexed="12"/>
      <name val="Arial"/>
      <family val="2"/>
    </font>
    <font>
      <sz val="11"/>
      <name val="Arial"/>
      <family val="2"/>
    </font>
    <font>
      <sz val="11"/>
      <color indexed="10"/>
      <name val="Arial"/>
      <family val="2"/>
    </font>
    <font>
      <sz val="8"/>
      <color indexed="17"/>
      <name val="Arial"/>
      <family val="2"/>
    </font>
    <font>
      <sz val="8"/>
      <color indexed="9"/>
      <name val="Arial"/>
      <family val="2"/>
    </font>
    <font>
      <sz val="7"/>
      <color indexed="17"/>
      <name val="Arial"/>
      <family val="2"/>
    </font>
    <font>
      <b/>
      <sz val="8"/>
      <color indexed="12"/>
      <name val="Arial"/>
      <family val="2"/>
    </font>
    <font>
      <sz val="14"/>
      <color indexed="12"/>
      <name val="Arial"/>
      <family val="2"/>
    </font>
    <font>
      <b/>
      <sz val="7"/>
      <color indexed="12"/>
      <name val="Arial"/>
      <family val="2"/>
    </font>
    <font>
      <sz val="12"/>
      <name val="Tahoma"/>
      <family val="2"/>
    </font>
    <font>
      <sz val="15"/>
      <color indexed="17"/>
      <name val="Arial"/>
      <family val="2"/>
    </font>
    <font>
      <sz val="11"/>
      <color theme="1"/>
      <name val="Calibri"/>
      <family val="2"/>
      <scheme val="minor"/>
    </font>
    <font>
      <sz val="8"/>
      <color theme="1"/>
      <name val="Arial"/>
      <family val="2"/>
    </font>
    <font>
      <b/>
      <sz val="9"/>
      <color rgb="FF0000FF"/>
      <name val="Arial"/>
      <family val="2"/>
    </font>
    <font>
      <sz val="9"/>
      <color rgb="FFFF0000"/>
      <name val="Arial"/>
      <family val="2"/>
    </font>
    <font>
      <sz val="11"/>
      <color rgb="FFFF0000"/>
      <name val="Arial"/>
      <family val="2"/>
    </font>
    <font>
      <b/>
      <sz val="6"/>
      <color indexed="12"/>
      <name val="Arial"/>
      <family val="2"/>
    </font>
    <font>
      <sz val="6.5"/>
      <color indexed="17"/>
      <name val="Arial"/>
      <family val="2"/>
    </font>
    <font>
      <u/>
      <sz val="11"/>
      <color theme="10"/>
      <name val="Calibri"/>
      <family val="2"/>
      <scheme val="minor"/>
    </font>
    <font>
      <b/>
      <sz val="8"/>
      <color theme="0"/>
      <name val="Arial"/>
      <family val="2"/>
    </font>
    <font>
      <sz val="8"/>
      <color rgb="FF008000"/>
      <name val="Arial"/>
      <family val="2"/>
    </font>
    <font>
      <b/>
      <sz val="8"/>
      <color rgb="FF008000"/>
      <name val="Arial"/>
      <family val="2"/>
    </font>
    <font>
      <b/>
      <sz val="10"/>
      <color theme="0"/>
      <name val="Arial"/>
      <family val="2"/>
    </font>
    <font>
      <sz val="10"/>
      <color theme="0"/>
      <name val="Arial"/>
      <family val="2"/>
    </font>
    <font>
      <sz val="6"/>
      <color rgb="FF008000"/>
      <name val="Arial"/>
      <family val="2"/>
    </font>
    <font>
      <sz val="7"/>
      <color rgb="FF008000"/>
      <name val="Arial"/>
      <family val="2"/>
    </font>
    <font>
      <b/>
      <sz val="9"/>
      <color rgb="FF008000"/>
      <name val="Arial"/>
      <family val="2"/>
    </font>
    <font>
      <sz val="11"/>
      <name val="Calibri"/>
      <family val="2"/>
      <scheme val="minor"/>
    </font>
    <font>
      <sz val="11"/>
      <color rgb="FF000000"/>
      <name val="Calibri"/>
      <family val="2"/>
    </font>
    <font>
      <b/>
      <sz val="10"/>
      <color indexed="10"/>
      <name val="Arial"/>
      <family val="2"/>
    </font>
    <font>
      <sz val="10"/>
      <color indexed="55"/>
      <name val="Arial"/>
      <family val="2"/>
    </font>
    <font>
      <i/>
      <sz val="10"/>
      <color indexed="55"/>
      <name val="Arial"/>
      <family val="2"/>
    </font>
    <font>
      <b/>
      <i/>
      <sz val="10"/>
      <name val="Arial"/>
      <family val="2"/>
    </font>
    <font>
      <sz val="10"/>
      <color indexed="22"/>
      <name val="Arial"/>
      <family val="2"/>
    </font>
    <font>
      <sz val="11"/>
      <color indexed="12"/>
      <name val="Calibri"/>
      <family val="2"/>
    </font>
    <font>
      <sz val="11"/>
      <color indexed="55"/>
      <name val="Calibri"/>
      <family val="2"/>
    </font>
    <font>
      <i/>
      <sz val="7"/>
      <color indexed="17"/>
      <name val="Arial"/>
      <family val="2"/>
    </font>
    <font>
      <i/>
      <sz val="6"/>
      <color indexed="17"/>
      <name val="Arial"/>
      <family val="2"/>
    </font>
    <font>
      <sz val="10"/>
      <color indexed="8"/>
      <name val="Arial"/>
      <family val="2"/>
    </font>
    <font>
      <sz val="9"/>
      <color indexed="81"/>
      <name val="Tahoma"/>
      <family val="2"/>
    </font>
    <font>
      <i/>
      <sz val="10"/>
      <color indexed="8"/>
      <name val="Arial"/>
      <family val="2"/>
    </font>
  </fonts>
  <fills count="30">
    <fill>
      <patternFill patternType="none"/>
    </fill>
    <fill>
      <patternFill patternType="gray125"/>
    </fill>
    <fill>
      <patternFill patternType="solid">
        <fgColor indexed="17"/>
        <bgColor indexed="64"/>
      </patternFill>
    </fill>
    <fill>
      <patternFill patternType="solid">
        <fgColor indexed="42"/>
        <bgColor indexed="64"/>
      </patternFill>
    </fill>
    <fill>
      <patternFill patternType="solid">
        <fgColor indexed="16"/>
        <bgColor indexed="64"/>
      </patternFill>
    </fill>
    <fill>
      <patternFill patternType="solid">
        <fgColor indexed="47"/>
        <bgColor indexed="64"/>
      </patternFill>
    </fill>
    <fill>
      <patternFill patternType="solid">
        <fgColor indexed="23"/>
        <bgColor indexed="64"/>
      </patternFill>
    </fill>
    <fill>
      <patternFill patternType="solid">
        <fgColor indexed="65"/>
        <bgColor indexed="64"/>
      </patternFill>
    </fill>
    <fill>
      <patternFill patternType="darkUp"/>
    </fill>
    <fill>
      <patternFill patternType="solid">
        <fgColor indexed="13"/>
        <bgColor indexed="64"/>
      </patternFill>
    </fill>
    <fill>
      <patternFill patternType="solid">
        <fgColor indexed="9"/>
        <bgColor indexed="64"/>
      </patternFill>
    </fill>
    <fill>
      <patternFill patternType="solid">
        <fgColor indexed="14"/>
        <bgColor indexed="64"/>
      </patternFill>
    </fill>
    <fill>
      <patternFill patternType="solid">
        <fgColor indexed="10"/>
        <bgColor indexed="64"/>
      </patternFill>
    </fill>
    <fill>
      <patternFill patternType="solid">
        <fgColor indexed="8"/>
        <bgColor indexed="64"/>
      </patternFill>
    </fill>
    <fill>
      <patternFill patternType="solid">
        <fgColor indexed="44"/>
        <bgColor indexed="64"/>
      </patternFill>
    </fill>
    <fill>
      <patternFill patternType="darkUp"/>
    </fill>
    <fill>
      <patternFill patternType="solid">
        <fgColor indexed="55"/>
        <bgColor indexed="64"/>
      </patternFill>
    </fill>
    <fill>
      <patternFill patternType="solid">
        <fgColor indexed="15"/>
        <bgColor indexed="64"/>
      </patternFill>
    </fill>
    <fill>
      <patternFill patternType="solid">
        <fgColor indexed="22"/>
        <bgColor indexed="64"/>
      </patternFill>
    </fill>
    <fill>
      <patternFill patternType="solid">
        <fgColor indexed="11"/>
        <bgColor indexed="64"/>
      </patternFill>
    </fill>
    <fill>
      <patternFill patternType="solid">
        <fgColor theme="6" tint="0.79998168889431442"/>
        <bgColor indexed="64"/>
      </patternFill>
    </fill>
    <fill>
      <patternFill patternType="solid">
        <fgColor rgb="FFEDEDED"/>
        <bgColor indexed="64"/>
      </patternFill>
    </fill>
    <fill>
      <patternFill patternType="solid">
        <fgColor rgb="FF008000"/>
        <bgColor indexed="64"/>
      </patternFill>
    </fill>
    <fill>
      <patternFill patternType="solid">
        <fgColor theme="0"/>
        <bgColor indexed="64"/>
      </patternFill>
    </fill>
    <fill>
      <patternFill patternType="solid">
        <fgColor theme="0" tint="-0.249977111117893"/>
        <bgColor indexed="64"/>
      </patternFill>
    </fill>
    <fill>
      <patternFill patternType="solid">
        <fgColor rgb="FF00FFFF"/>
        <bgColor indexed="64"/>
      </patternFill>
    </fill>
    <fill>
      <patternFill patternType="solid">
        <fgColor rgb="FFFF00FF"/>
        <bgColor indexed="64"/>
      </patternFill>
    </fill>
    <fill>
      <patternFill patternType="solid">
        <fgColor rgb="FFCCFFCC"/>
        <bgColor indexed="64"/>
      </patternFill>
    </fill>
    <fill>
      <patternFill patternType="solid">
        <fgColor rgb="FFFFCC99"/>
        <bgColor indexed="64"/>
      </patternFill>
    </fill>
    <fill>
      <patternFill patternType="solid">
        <fgColor rgb="FFFFFF00"/>
        <bgColor indexed="64"/>
      </patternFill>
    </fill>
  </fills>
  <borders count="188">
    <border>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ck">
        <color indexed="64"/>
      </right>
      <top style="medium">
        <color indexed="64"/>
      </top>
      <bottom/>
      <diagonal/>
    </border>
    <border>
      <left/>
      <right style="thick">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ck">
        <color indexed="64"/>
      </right>
      <top/>
      <bottom style="medium">
        <color indexed="64"/>
      </bottom>
      <diagonal/>
    </border>
    <border>
      <left/>
      <right/>
      <top style="medium">
        <color indexed="64"/>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thick">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ck">
        <color indexed="64"/>
      </bottom>
      <diagonal/>
    </border>
    <border>
      <left style="thin">
        <color indexed="9"/>
      </left>
      <right style="thin">
        <color indexed="9"/>
      </right>
      <top style="thin">
        <color indexed="9"/>
      </top>
      <bottom style="thin">
        <color indexed="9"/>
      </bottom>
      <diagonal/>
    </border>
    <border>
      <left/>
      <right/>
      <top style="medium">
        <color indexed="12"/>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hair">
        <color indexed="64"/>
      </right>
      <top style="medium">
        <color indexed="64"/>
      </top>
      <bottom style="medium">
        <color indexed="64"/>
      </bottom>
      <diagonal/>
    </border>
    <border>
      <left/>
      <right/>
      <top style="medium">
        <color indexed="64"/>
      </top>
      <bottom style="hair">
        <color indexed="17"/>
      </bottom>
      <diagonal/>
    </border>
    <border>
      <left/>
      <right style="medium">
        <color indexed="64"/>
      </right>
      <top style="medium">
        <color indexed="64"/>
      </top>
      <bottom style="hair">
        <color indexed="17"/>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right/>
      <top/>
      <bottom style="medium">
        <color indexed="12"/>
      </bottom>
      <diagonal/>
    </border>
    <border>
      <left style="medium">
        <color indexed="12"/>
      </left>
      <right/>
      <top style="medium">
        <color indexed="12"/>
      </top>
      <bottom/>
      <diagonal/>
    </border>
    <border>
      <left/>
      <right style="medium">
        <color indexed="12"/>
      </right>
      <top style="medium">
        <color indexed="12"/>
      </top>
      <bottom/>
      <diagonal/>
    </border>
    <border>
      <left style="medium">
        <color indexed="12"/>
      </left>
      <right/>
      <top/>
      <bottom/>
      <diagonal/>
    </border>
    <border>
      <left/>
      <right style="medium">
        <color indexed="12"/>
      </right>
      <top/>
      <bottom/>
      <diagonal/>
    </border>
    <border>
      <left style="medium">
        <color indexed="12"/>
      </left>
      <right/>
      <top/>
      <bottom style="medium">
        <color indexed="12"/>
      </bottom>
      <diagonal/>
    </border>
    <border>
      <left/>
      <right style="medium">
        <color indexed="12"/>
      </right>
      <top/>
      <bottom style="medium">
        <color indexed="12"/>
      </bottom>
      <diagonal/>
    </border>
    <border>
      <left style="medium">
        <color indexed="64"/>
      </left>
      <right/>
      <top/>
      <bottom style="hair">
        <color indexed="64"/>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64"/>
      </left>
      <right/>
      <top/>
      <bottom/>
      <diagonal/>
    </border>
    <border>
      <left/>
      <right style="thin">
        <color indexed="64"/>
      </right>
      <top style="medium">
        <color indexed="64"/>
      </top>
      <bottom/>
      <diagonal/>
    </border>
    <border>
      <left style="thin">
        <color indexed="64"/>
      </left>
      <right/>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9"/>
      </left>
      <right style="thin">
        <color indexed="9"/>
      </right>
      <top/>
      <bottom/>
      <diagonal/>
    </border>
    <border>
      <left style="thin">
        <color indexed="64"/>
      </left>
      <right/>
      <top style="medium">
        <color indexed="64"/>
      </top>
      <bottom/>
      <diagonal/>
    </border>
    <border>
      <left style="medium">
        <color indexed="64"/>
      </left>
      <right/>
      <top style="medium">
        <color indexed="64"/>
      </top>
      <bottom style="hair">
        <color indexed="17"/>
      </bottom>
      <diagonal/>
    </border>
    <border>
      <left/>
      <right style="medium">
        <color indexed="64"/>
      </right>
      <top style="thin">
        <color indexed="64"/>
      </top>
      <bottom/>
      <diagonal/>
    </border>
    <border>
      <left style="thin">
        <color indexed="64"/>
      </left>
      <right style="medium">
        <color indexed="64"/>
      </right>
      <top/>
      <bottom/>
      <diagonal/>
    </border>
    <border>
      <left/>
      <right/>
      <top style="thick">
        <color indexed="64"/>
      </top>
      <bottom/>
      <diagonal/>
    </border>
    <border>
      <left style="medium">
        <color indexed="64"/>
      </left>
      <right style="thick">
        <color indexed="64"/>
      </right>
      <top/>
      <bottom/>
      <diagonal/>
    </border>
    <border>
      <left/>
      <right/>
      <top style="thin">
        <color indexed="64"/>
      </top>
      <bottom style="double">
        <color indexed="64"/>
      </bottom>
      <diagonal/>
    </border>
    <border>
      <left/>
      <right style="thin">
        <color indexed="64"/>
      </right>
      <top style="thin">
        <color indexed="64"/>
      </top>
      <bottom/>
      <diagonal/>
    </border>
    <border>
      <left style="hair">
        <color indexed="64"/>
      </left>
      <right style="hair">
        <color indexed="64"/>
      </right>
      <top/>
      <bottom style="medium">
        <color indexed="64"/>
      </bottom>
      <diagonal/>
    </border>
    <border>
      <left style="hair">
        <color indexed="64"/>
      </left>
      <right style="hair">
        <color indexed="64"/>
      </right>
      <top/>
      <bottom/>
      <diagonal/>
    </border>
    <border>
      <left style="hair">
        <color indexed="17"/>
      </left>
      <right/>
      <top style="medium">
        <color indexed="64"/>
      </top>
      <bottom style="hair">
        <color indexed="17"/>
      </bottom>
      <diagonal/>
    </border>
    <border>
      <left/>
      <right style="hair">
        <color indexed="17"/>
      </right>
      <top style="medium">
        <color indexed="64"/>
      </top>
      <bottom style="hair">
        <color indexed="17"/>
      </bottom>
      <diagonal/>
    </border>
    <border>
      <left style="hair">
        <color indexed="17"/>
      </left>
      <right style="hair">
        <color indexed="17"/>
      </right>
      <top style="medium">
        <color indexed="64"/>
      </top>
      <bottom style="hair">
        <color indexed="17"/>
      </bottom>
      <diagonal/>
    </border>
    <border>
      <left style="hair">
        <color indexed="17"/>
      </left>
      <right style="hair">
        <color indexed="17"/>
      </right>
      <top style="hair">
        <color indexed="17"/>
      </top>
      <bottom style="medium">
        <color indexed="64"/>
      </bottom>
      <diagonal/>
    </border>
    <border>
      <left/>
      <right style="hair">
        <color indexed="17"/>
      </right>
      <top style="medium">
        <color indexed="64"/>
      </top>
      <bottom style="thin">
        <color indexed="64"/>
      </bottom>
      <diagonal/>
    </border>
    <border>
      <left/>
      <right style="hair">
        <color indexed="17"/>
      </right>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12"/>
      </left>
      <right style="medium">
        <color indexed="12"/>
      </right>
      <top style="medium">
        <color indexed="12"/>
      </top>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hair">
        <color indexed="17"/>
      </left>
      <right/>
      <top/>
      <bottom style="medium">
        <color indexed="64"/>
      </bottom>
      <diagonal/>
    </border>
    <border>
      <left style="medium">
        <color indexed="64"/>
      </left>
      <right style="hair">
        <color indexed="17"/>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medium">
        <color indexed="64"/>
      </right>
      <top/>
      <bottom style="thin">
        <color indexed="64"/>
      </bottom>
      <diagonal/>
    </border>
    <border>
      <left style="hair">
        <color indexed="64"/>
      </left>
      <right/>
      <top style="medium">
        <color indexed="64"/>
      </top>
      <bottom style="thin">
        <color indexed="64"/>
      </bottom>
      <diagonal/>
    </border>
    <border>
      <left style="hair">
        <color indexed="64"/>
      </left>
      <right/>
      <top/>
      <bottom style="medium">
        <color indexed="64"/>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hair">
        <color indexed="64"/>
      </left>
      <right style="thin">
        <color indexed="64"/>
      </right>
      <top style="medium">
        <color indexed="64"/>
      </top>
      <bottom style="medium">
        <color indexed="64"/>
      </bottom>
      <diagonal/>
    </border>
    <border>
      <left style="hair">
        <color indexed="64"/>
      </left>
      <right style="thin">
        <color indexed="64"/>
      </right>
      <top style="thin">
        <color indexed="64"/>
      </top>
      <bottom/>
      <diagonal/>
    </border>
    <border>
      <left style="hair">
        <color indexed="64"/>
      </left>
      <right style="thin">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thin">
        <color indexed="64"/>
      </bottom>
      <diagonal/>
    </border>
    <border>
      <left style="hair">
        <color indexed="64"/>
      </left>
      <right style="medium">
        <color indexed="64"/>
      </right>
      <top/>
      <bottom style="thin">
        <color indexed="64"/>
      </bottom>
      <diagonal/>
    </border>
    <border>
      <left style="hair">
        <color indexed="64"/>
      </left>
      <right style="medium">
        <color indexed="64"/>
      </right>
      <top/>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style="thin">
        <color indexed="64"/>
      </top>
      <bottom/>
      <diagonal/>
    </border>
    <border>
      <left style="hair">
        <color indexed="64"/>
      </left>
      <right/>
      <top/>
      <bottom style="thin">
        <color indexed="64"/>
      </bottom>
      <diagonal/>
    </border>
    <border>
      <left style="hair">
        <color indexed="64"/>
      </left>
      <right/>
      <top/>
      <bottom/>
      <diagonal/>
    </border>
    <border>
      <left style="hair">
        <color indexed="64"/>
      </left>
      <right/>
      <top style="medium">
        <color indexed="64"/>
      </top>
      <bottom style="medium">
        <color indexed="64"/>
      </bottom>
      <diagonal/>
    </border>
    <border>
      <left style="hair">
        <color indexed="64"/>
      </left>
      <right/>
      <top style="thin">
        <color indexed="64"/>
      </top>
      <bottom style="thin">
        <color indexed="64"/>
      </bottom>
      <diagonal/>
    </border>
    <border>
      <left style="hair">
        <color indexed="17"/>
      </left>
      <right/>
      <top style="hair">
        <color indexed="17"/>
      </top>
      <bottom style="medium">
        <color indexed="64"/>
      </bottom>
      <diagonal/>
    </border>
    <border>
      <left/>
      <right/>
      <top style="hair">
        <color indexed="17"/>
      </top>
      <bottom style="medium">
        <color indexed="64"/>
      </bottom>
      <diagonal/>
    </border>
    <border>
      <left/>
      <right style="hair">
        <color indexed="17"/>
      </right>
      <top style="hair">
        <color indexed="17"/>
      </top>
      <bottom style="medium">
        <color indexed="64"/>
      </bottom>
      <diagonal/>
    </border>
    <border>
      <left style="medium">
        <color indexed="64"/>
      </left>
      <right style="thick">
        <color indexed="64"/>
      </right>
      <top style="thin">
        <color indexed="64"/>
      </top>
      <bottom/>
      <diagonal/>
    </border>
    <border>
      <left style="medium">
        <color indexed="64"/>
      </left>
      <right/>
      <top style="thin">
        <color indexed="64"/>
      </top>
      <bottom style="hair">
        <color indexed="17"/>
      </bottom>
      <diagonal/>
    </border>
    <border>
      <left/>
      <right/>
      <top style="thin">
        <color indexed="64"/>
      </top>
      <bottom style="hair">
        <color indexed="17"/>
      </bottom>
      <diagonal/>
    </border>
    <border>
      <left style="medium">
        <color indexed="64"/>
      </left>
      <right/>
      <top style="hair">
        <color indexed="17"/>
      </top>
      <bottom style="medium">
        <color indexed="64"/>
      </bottom>
      <diagonal/>
    </border>
    <border>
      <left style="hair">
        <color indexed="17"/>
      </left>
      <right/>
      <top style="hair">
        <color indexed="17"/>
      </top>
      <bottom style="hair">
        <color indexed="17"/>
      </bottom>
      <diagonal/>
    </border>
    <border>
      <left/>
      <right/>
      <top style="hair">
        <color indexed="17"/>
      </top>
      <bottom style="hair">
        <color indexed="17"/>
      </bottom>
      <diagonal/>
    </border>
    <border>
      <left/>
      <right style="hair">
        <color indexed="17"/>
      </right>
      <top style="hair">
        <color indexed="17"/>
      </top>
      <bottom style="hair">
        <color indexed="17"/>
      </bottom>
      <diagonal/>
    </border>
    <border>
      <left style="thin">
        <color indexed="64"/>
      </left>
      <right/>
      <top style="thin">
        <color indexed="64"/>
      </top>
      <bottom style="thick">
        <color indexed="64"/>
      </bottom>
      <diagonal/>
    </border>
    <border>
      <left/>
      <right/>
      <top style="hair">
        <color rgb="FF008000"/>
      </top>
      <bottom/>
      <diagonal/>
    </border>
    <border>
      <left/>
      <right style="medium">
        <color rgb="FF000000"/>
      </right>
      <top style="medium">
        <color indexed="64"/>
      </top>
      <bottom style="medium">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s>
  <cellStyleXfs count="125">
    <xf numFmtId="0" fontId="0" fillId="0" borderId="0"/>
    <xf numFmtId="0" fontId="4" fillId="0" borderId="1"/>
    <xf numFmtId="0" fontId="4" fillId="0" borderId="2"/>
    <xf numFmtId="0" fontId="4" fillId="0" borderId="3"/>
    <xf numFmtId="0" fontId="4" fillId="0" borderId="4"/>
    <xf numFmtId="0" fontId="5" fillId="0" borderId="5"/>
    <xf numFmtId="0" fontId="4" fillId="0" borderId="6"/>
    <xf numFmtId="0" fontId="4" fillId="0" borderId="7"/>
    <xf numFmtId="0" fontId="4" fillId="0" borderId="8"/>
    <xf numFmtId="0" fontId="4" fillId="0" borderId="9"/>
    <xf numFmtId="0" fontId="4" fillId="0" borderId="10"/>
    <xf numFmtId="0" fontId="4" fillId="0" borderId="11"/>
    <xf numFmtId="0" fontId="4" fillId="0" borderId="12"/>
    <xf numFmtId="0" fontId="4" fillId="0" borderId="13"/>
    <xf numFmtId="0" fontId="4" fillId="0" borderId="14"/>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87"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6" fillId="0" borderId="0"/>
    <xf numFmtId="165" fontId="87" fillId="0" borderId="0"/>
    <xf numFmtId="3" fontId="6" fillId="0" borderId="0"/>
    <xf numFmtId="0" fontId="52" fillId="0" borderId="0">
      <alignment vertical="top"/>
      <protection locked="0"/>
    </xf>
    <xf numFmtId="167" fontId="6" fillId="0" borderId="0">
      <alignment vertical="top"/>
      <protection locked="0"/>
    </xf>
    <xf numFmtId="0" fontId="94" fillId="0" borderId="0"/>
    <xf numFmtId="0" fontId="88" fillId="0" borderId="0"/>
    <xf numFmtId="0" fontId="6" fillId="0" borderId="0"/>
    <xf numFmtId="0" fontId="6" fillId="0" borderId="0"/>
    <xf numFmtId="0" fontId="6" fillId="0" borderId="0"/>
    <xf numFmtId="0" fontId="2" fillId="0" borderId="0"/>
    <xf numFmtId="0" fontId="1" fillId="0" borderId="0"/>
    <xf numFmtId="0" fontId="87" fillId="0" borderId="0"/>
    <xf numFmtId="0" fontId="87" fillId="0" borderId="0"/>
    <xf numFmtId="0" fontId="6" fillId="0" borderId="0"/>
    <xf numFmtId="0" fontId="6" fillId="0" borderId="0"/>
    <xf numFmtId="0" fontId="6" fillId="0" borderId="0"/>
    <xf numFmtId="0" fontId="6" fillId="0" borderId="0"/>
    <xf numFmtId="0" fontId="88" fillId="0" borderId="0"/>
    <xf numFmtId="0" fontId="88" fillId="0" borderId="0"/>
    <xf numFmtId="0" fontId="6" fillId="0" borderId="0"/>
    <xf numFmtId="0" fontId="88" fillId="0" borderId="0"/>
    <xf numFmtId="0" fontId="88" fillId="0" borderId="0"/>
    <xf numFmtId="0" fontId="88" fillId="0" borderId="0"/>
    <xf numFmtId="0" fontId="88" fillId="0" borderId="0"/>
    <xf numFmtId="0" fontId="88" fillId="0" borderId="0"/>
    <xf numFmtId="0" fontId="88"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8" fillId="0" borderId="0"/>
    <xf numFmtId="0" fontId="6" fillId="0" borderId="0"/>
    <xf numFmtId="0" fontId="6" fillId="0" borderId="0"/>
    <xf numFmtId="0" fontId="6" fillId="0" borderId="0"/>
    <xf numFmtId="0" fontId="6" fillId="0" borderId="0"/>
    <xf numFmtId="0" fontId="88" fillId="0" borderId="0"/>
    <xf numFmtId="0" fontId="88" fillId="0" borderId="0"/>
    <xf numFmtId="0" fontId="6" fillId="0" borderId="0"/>
    <xf numFmtId="0" fontId="88" fillId="0" borderId="0"/>
    <xf numFmtId="0" fontId="6" fillId="0" borderId="0"/>
    <xf numFmtId="0" fontId="6" fillId="0" borderId="0"/>
    <xf numFmtId="0" fontId="88" fillId="0" borderId="0"/>
    <xf numFmtId="0" fontId="6" fillId="0" borderId="0"/>
    <xf numFmtId="0" fontId="88" fillId="0" borderId="0"/>
    <xf numFmtId="0" fontId="6" fillId="0" borderId="0"/>
    <xf numFmtId="0" fontId="6" fillId="0" borderId="0"/>
    <xf numFmtId="0" fontId="88" fillId="0" borderId="0"/>
    <xf numFmtId="0" fontId="6" fillId="0" borderId="0"/>
    <xf numFmtId="0" fontId="88" fillId="0" borderId="0"/>
    <xf numFmtId="0" fontId="88" fillId="0" borderId="0"/>
    <xf numFmtId="0" fontId="87" fillId="0" borderId="0"/>
    <xf numFmtId="0" fontId="88" fillId="0" borderId="0"/>
    <xf numFmtId="0" fontId="88" fillId="0" borderId="0"/>
    <xf numFmtId="0" fontId="88" fillId="0" borderId="0"/>
    <xf numFmtId="0" fontId="88" fillId="0" borderId="0"/>
    <xf numFmtId="0" fontId="43" fillId="0" borderId="0"/>
    <xf numFmtId="0" fontId="6" fillId="0" borderId="0"/>
    <xf numFmtId="0" fontId="6" fillId="0" borderId="0"/>
    <xf numFmtId="0" fontId="10" fillId="0" borderId="0"/>
    <xf numFmtId="0" fontId="42"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87" fillId="0" borderId="0"/>
    <xf numFmtId="9" fontId="6" fillId="0" borderId="0"/>
    <xf numFmtId="9" fontId="6" fillId="0" borderId="0"/>
    <xf numFmtId="9" fontId="6" fillId="0" borderId="0"/>
    <xf numFmtId="9" fontId="6" fillId="0" borderId="0"/>
    <xf numFmtId="9" fontId="6" fillId="0" borderId="0"/>
    <xf numFmtId="9" fontId="6" fillId="0" borderId="0"/>
    <xf numFmtId="9" fontId="6" fillId="0" borderId="0"/>
    <xf numFmtId="9" fontId="87" fillId="0" borderId="0"/>
    <xf numFmtId="9" fontId="2" fillId="0" borderId="0"/>
    <xf numFmtId="0" fontId="5" fillId="0" borderId="5"/>
  </cellStyleXfs>
  <cellXfs count="2865">
    <xf numFmtId="0" fontId="0" fillId="0" borderId="0" xfId="0"/>
    <xf numFmtId="0" fontId="6" fillId="0" borderId="0" xfId="39"/>
    <xf numFmtId="0" fontId="42" fillId="0" borderId="0" xfId="103"/>
    <xf numFmtId="0" fontId="5" fillId="0" borderId="0" xfId="0" applyFont="1"/>
    <xf numFmtId="0" fontId="7" fillId="0" borderId="0" xfId="0" applyFont="1"/>
    <xf numFmtId="0" fontId="19" fillId="0" borderId="0" xfId="0" applyFont="1"/>
    <xf numFmtId="0" fontId="21" fillId="2" borderId="0" xfId="0" applyFont="1" applyFill="1" applyAlignment="1">
      <alignment horizontal="center"/>
    </xf>
    <xf numFmtId="37" fontId="0" fillId="0" borderId="0" xfId="0" applyNumberFormat="1"/>
    <xf numFmtId="0" fontId="13" fillId="0" borderId="0" xfId="0" applyFont="1" applyProtection="1">
      <protection hidden="1"/>
    </xf>
    <xf numFmtId="37" fontId="13" fillId="0" borderId="0" xfId="0" applyNumberFormat="1" applyFont="1" applyProtection="1">
      <protection hidden="1"/>
    </xf>
    <xf numFmtId="166" fontId="13" fillId="0" borderId="0" xfId="15" applyNumberFormat="1" applyFont="1" applyProtection="1">
      <protection hidden="1"/>
    </xf>
    <xf numFmtId="166" fontId="13" fillId="0" borderId="0" xfId="0" applyNumberFormat="1" applyFont="1" applyProtection="1">
      <protection hidden="1"/>
    </xf>
    <xf numFmtId="10" fontId="13" fillId="0" borderId="0" xfId="104" applyNumberFormat="1" applyFont="1" applyProtection="1">
      <protection hidden="1"/>
    </xf>
    <xf numFmtId="166" fontId="0" fillId="0" borderId="0" xfId="15" applyNumberFormat="1" applyFont="1"/>
    <xf numFmtId="0" fontId="0" fillId="0" borderId="0" xfId="0" applyAlignment="1">
      <alignment horizontal="right"/>
    </xf>
    <xf numFmtId="166" fontId="16" fillId="0" borderId="0" xfId="15" applyNumberFormat="1" applyFont="1"/>
    <xf numFmtId="37" fontId="5" fillId="0" borderId="0" xfId="0" applyNumberFormat="1" applyFont="1"/>
    <xf numFmtId="0" fontId="13" fillId="0" borderId="0" xfId="99" applyFont="1"/>
    <xf numFmtId="0" fontId="16" fillId="0" borderId="0" xfId="103" applyFont="1" applyAlignment="1">
      <alignment horizontal="centerContinuous"/>
    </xf>
    <xf numFmtId="0" fontId="16" fillId="0" borderId="0" xfId="103" applyFont="1"/>
    <xf numFmtId="0" fontId="48" fillId="0" borderId="0" xfId="103" applyFont="1"/>
    <xf numFmtId="0" fontId="13" fillId="0" borderId="0" xfId="101" applyFont="1"/>
    <xf numFmtId="0" fontId="13" fillId="0" borderId="0" xfId="103" applyFont="1"/>
    <xf numFmtId="0" fontId="19" fillId="0" borderId="0" xfId="0" applyFont="1" applyAlignment="1">
      <alignment horizontal="center"/>
    </xf>
    <xf numFmtId="0" fontId="19" fillId="0" borderId="0" xfId="8" applyFont="1" applyBorder="1"/>
    <xf numFmtId="0" fontId="21" fillId="2" borderId="0" xfId="13" applyFont="1" applyFill="1" applyBorder="1" applyAlignment="1">
      <alignment horizontal="center"/>
    </xf>
    <xf numFmtId="0" fontId="21" fillId="2" borderId="0" xfId="6" applyFont="1" applyFill="1" applyBorder="1" applyAlignment="1">
      <alignment horizontal="center"/>
    </xf>
    <xf numFmtId="0" fontId="28" fillId="0" borderId="0" xfId="0" applyFont="1"/>
    <xf numFmtId="37" fontId="7" fillId="3" borderId="9" xfId="0" applyNumberFormat="1" applyFont="1" applyFill="1" applyBorder="1" applyAlignment="1">
      <alignment horizontal="center"/>
    </xf>
    <xf numFmtId="0" fontId="21" fillId="2" borderId="15" xfId="0" applyFont="1" applyFill="1" applyBorder="1"/>
    <xf numFmtId="0" fontId="16" fillId="0" borderId="0" xfId="0" applyFont="1"/>
    <xf numFmtId="3" fontId="13" fillId="0" borderId="0" xfId="99" applyNumberFormat="1" applyFont="1"/>
    <xf numFmtId="37" fontId="13" fillId="0" borderId="0" xfId="99" applyNumberFormat="1" applyFont="1"/>
    <xf numFmtId="166" fontId="13" fillId="0" borderId="0" xfId="15" applyNumberFormat="1" applyFont="1"/>
    <xf numFmtId="0" fontId="13" fillId="0" borderId="0" xfId="99" applyFont="1" applyAlignment="1">
      <alignment horizontal="right"/>
    </xf>
    <xf numFmtId="39" fontId="13" fillId="0" borderId="0" xfId="99" applyNumberFormat="1" applyFont="1"/>
    <xf numFmtId="49" fontId="37" fillId="0" borderId="0" xfId="0" applyNumberFormat="1" applyFont="1"/>
    <xf numFmtId="37" fontId="16" fillId="0" borderId="0" xfId="0" applyNumberFormat="1" applyFont="1"/>
    <xf numFmtId="0" fontId="19" fillId="0" borderId="0" xfId="99" quotePrefix="1" applyFont="1" applyAlignment="1">
      <alignment horizontal="left"/>
    </xf>
    <xf numFmtId="0" fontId="19" fillId="0" borderId="0" xfId="99" applyFont="1" applyAlignment="1">
      <alignment horizontal="left"/>
    </xf>
    <xf numFmtId="0" fontId="19" fillId="0" borderId="0" xfId="0" quotePrefix="1" applyFont="1" applyAlignment="1">
      <alignment horizontal="left"/>
    </xf>
    <xf numFmtId="166" fontId="19" fillId="0" borderId="0" xfId="15" applyNumberFormat="1" applyFont="1"/>
    <xf numFmtId="0" fontId="19" fillId="0" borderId="0" xfId="99" applyFont="1"/>
    <xf numFmtId="0" fontId="19" fillId="0" borderId="0" xfId="102" quotePrefix="1" applyFont="1" applyAlignment="1">
      <alignment horizontal="left"/>
    </xf>
    <xf numFmtId="0" fontId="28" fillId="0" borderId="0" xfId="99" applyFont="1"/>
    <xf numFmtId="0" fontId="19" fillId="0" borderId="0" xfId="5" applyFont="1" applyBorder="1"/>
    <xf numFmtId="3" fontId="19" fillId="0" borderId="0" xfId="15" applyNumberFormat="1" applyFont="1"/>
    <xf numFmtId="0" fontId="19" fillId="0" borderId="0" xfId="9" applyFont="1" applyBorder="1"/>
    <xf numFmtId="0" fontId="19" fillId="0" borderId="0" xfId="1" applyFont="1" applyBorder="1"/>
    <xf numFmtId="0" fontId="19" fillId="0" borderId="0" xfId="5" quotePrefix="1" applyFont="1" applyBorder="1" applyAlignment="1">
      <alignment horizontal="left"/>
    </xf>
    <xf numFmtId="0" fontId="19" fillId="0" borderId="0" xfId="0" applyFont="1" applyAlignment="1">
      <alignment horizontal="left"/>
    </xf>
    <xf numFmtId="0" fontId="28" fillId="0" borderId="0" xfId="0" quotePrefix="1" applyFont="1" applyAlignment="1">
      <alignment horizontal="left"/>
    </xf>
    <xf numFmtId="0" fontId="28" fillId="0" borderId="0" xfId="1" applyFont="1" applyBorder="1"/>
    <xf numFmtId="0" fontId="28" fillId="0" borderId="0" xfId="9" applyFont="1" applyBorder="1"/>
    <xf numFmtId="0" fontId="28" fillId="0" borderId="0" xfId="9" quotePrefix="1" applyFont="1" applyBorder="1" applyAlignment="1">
      <alignment horizontal="left"/>
    </xf>
    <xf numFmtId="0" fontId="28" fillId="0" borderId="0" xfId="1" quotePrefix="1" applyFont="1" applyBorder="1" applyAlignment="1">
      <alignment horizontal="left"/>
    </xf>
    <xf numFmtId="0" fontId="28" fillId="0" borderId="0" xfId="0" applyFont="1" applyAlignment="1">
      <alignment horizontal="left"/>
    </xf>
    <xf numFmtId="37" fontId="40" fillId="3" borderId="16" xfId="0" applyNumberFormat="1" applyFont="1" applyFill="1" applyBorder="1" applyProtection="1">
      <protection locked="0" hidden="1"/>
    </xf>
    <xf numFmtId="0" fontId="5" fillId="0" borderId="0" xfId="0" applyFont="1" applyProtection="1">
      <protection hidden="1"/>
    </xf>
    <xf numFmtId="0" fontId="30" fillId="0" borderId="0" xfId="0" applyFont="1" applyAlignment="1" applyProtection="1">
      <alignment horizontal="centerContinuous"/>
      <protection hidden="1"/>
    </xf>
    <xf numFmtId="0" fontId="7" fillId="0" borderId="0" xfId="0" applyFont="1" applyAlignment="1" applyProtection="1">
      <alignment horizontal="centerContinuous"/>
      <protection hidden="1"/>
    </xf>
    <xf numFmtId="0" fontId="8" fillId="0" borderId="0" xfId="0" applyFont="1" applyAlignment="1" applyProtection="1">
      <alignment horizontal="centerContinuous"/>
      <protection hidden="1"/>
    </xf>
    <xf numFmtId="22" fontId="28" fillId="0" borderId="0" xfId="0" applyNumberFormat="1" applyFont="1" applyAlignment="1" applyProtection="1">
      <alignment horizontal="right"/>
      <protection hidden="1"/>
    </xf>
    <xf numFmtId="0" fontId="19" fillId="0" borderId="13" xfId="13" applyFont="1" applyAlignment="1" applyProtection="1">
      <alignment horizontal="center"/>
      <protection hidden="1"/>
    </xf>
    <xf numFmtId="0" fontId="9" fillId="0" borderId="12" xfId="0" quotePrefix="1" applyFont="1" applyBorder="1" applyAlignment="1" applyProtection="1">
      <alignment horizontal="centerContinuous"/>
      <protection hidden="1"/>
    </xf>
    <xf numFmtId="0" fontId="7" fillId="0" borderId="8" xfId="0" applyFont="1" applyBorder="1" applyAlignment="1" applyProtection="1">
      <alignment horizontal="centerContinuous"/>
      <protection hidden="1"/>
    </xf>
    <xf numFmtId="0" fontId="7" fillId="0" borderId="17" xfId="0" applyFont="1" applyBorder="1" applyAlignment="1" applyProtection="1">
      <alignment horizontal="centerContinuous"/>
      <protection hidden="1"/>
    </xf>
    <xf numFmtId="0" fontId="19" fillId="0" borderId="13" xfId="0" applyFont="1" applyBorder="1" applyAlignment="1" applyProtection="1">
      <alignment horizontal="center"/>
      <protection hidden="1"/>
    </xf>
    <xf numFmtId="0" fontId="19" fillId="0" borderId="6" xfId="6" applyFont="1" applyAlignment="1" applyProtection="1">
      <alignment horizontal="center"/>
      <protection hidden="1"/>
    </xf>
    <xf numFmtId="0" fontId="9" fillId="0" borderId="5" xfId="0" applyFont="1" applyBorder="1" applyAlignment="1" applyProtection="1">
      <alignment horizontal="centerContinuous"/>
      <protection hidden="1"/>
    </xf>
    <xf numFmtId="0" fontId="7" fillId="0" borderId="18" xfId="0" applyFont="1" applyBorder="1" applyAlignment="1" applyProtection="1">
      <alignment horizontal="centerContinuous"/>
      <protection hidden="1"/>
    </xf>
    <xf numFmtId="0" fontId="19" fillId="0" borderId="3" xfId="0" applyFont="1" applyBorder="1" applyAlignment="1" applyProtection="1">
      <alignment horizontal="center"/>
      <protection hidden="1"/>
    </xf>
    <xf numFmtId="0" fontId="19" fillId="0" borderId="19" xfId="13" applyFont="1" applyBorder="1" applyAlignment="1" applyProtection="1">
      <alignment horizontal="center"/>
      <protection hidden="1"/>
    </xf>
    <xf numFmtId="0" fontId="9" fillId="0" borderId="5" xfId="0" quotePrefix="1" applyFont="1" applyBorder="1" applyAlignment="1" applyProtection="1">
      <alignment horizontal="centerContinuous"/>
      <protection hidden="1"/>
    </xf>
    <xf numFmtId="0" fontId="19" fillId="0" borderId="19" xfId="0" applyFont="1" applyBorder="1" applyAlignment="1" applyProtection="1">
      <alignment horizontal="center"/>
      <protection hidden="1"/>
    </xf>
    <xf numFmtId="0" fontId="19" fillId="0" borderId="20" xfId="6" applyFont="1" applyBorder="1" applyAlignment="1" applyProtection="1">
      <alignment horizontal="center"/>
      <protection hidden="1"/>
    </xf>
    <xf numFmtId="0" fontId="7" fillId="0" borderId="0" xfId="0" applyFont="1" applyProtection="1">
      <protection hidden="1"/>
    </xf>
    <xf numFmtId="0" fontId="9" fillId="0" borderId="2" xfId="0" applyFont="1" applyBorder="1" applyAlignment="1" applyProtection="1">
      <alignment horizontal="centerContinuous"/>
      <protection hidden="1"/>
    </xf>
    <xf numFmtId="0" fontId="7" fillId="0" borderId="1" xfId="0" applyFont="1" applyBorder="1" applyAlignment="1" applyProtection="1">
      <alignment horizontal="centerContinuous"/>
      <protection hidden="1"/>
    </xf>
    <xf numFmtId="0" fontId="7" fillId="0" borderId="21" xfId="0" applyFont="1" applyBorder="1" applyAlignment="1" applyProtection="1">
      <alignment horizontal="centerContinuous"/>
      <protection hidden="1"/>
    </xf>
    <xf numFmtId="0" fontId="19" fillId="0" borderId="20" xfId="0" applyFont="1" applyBorder="1" applyAlignment="1" applyProtection="1">
      <alignment horizontal="center"/>
      <protection hidden="1"/>
    </xf>
    <xf numFmtId="0" fontId="7" fillId="0" borderId="1" xfId="1" applyFont="1" applyProtection="1">
      <protection hidden="1"/>
    </xf>
    <xf numFmtId="0" fontId="7" fillId="0" borderId="8" xfId="0" applyFont="1" applyBorder="1" applyProtection="1">
      <protection hidden="1"/>
    </xf>
    <xf numFmtId="0" fontId="7" fillId="0" borderId="17" xfId="0" applyFont="1" applyBorder="1" applyProtection="1">
      <protection hidden="1"/>
    </xf>
    <xf numFmtId="0" fontId="19" fillId="0" borderId="0" xfId="0" applyFont="1" applyProtection="1">
      <protection hidden="1"/>
    </xf>
    <xf numFmtId="0" fontId="7" fillId="0" borderId="7" xfId="7" applyFont="1" applyAlignment="1" applyProtection="1">
      <alignment horizontal="center"/>
      <protection hidden="1"/>
    </xf>
    <xf numFmtId="0" fontId="7" fillId="0" borderId="18" xfId="0" applyFont="1" applyBorder="1" applyProtection="1">
      <protection hidden="1"/>
    </xf>
    <xf numFmtId="0" fontId="19" fillId="0" borderId="1" xfId="1" applyFont="1" applyProtection="1">
      <protection hidden="1"/>
    </xf>
    <xf numFmtId="0" fontId="19" fillId="0" borderId="2" xfId="0" applyFont="1" applyBorder="1" applyProtection="1">
      <protection hidden="1"/>
    </xf>
    <xf numFmtId="0" fontId="7" fillId="0" borderId="1" xfId="0" applyFont="1" applyBorder="1" applyProtection="1">
      <protection hidden="1"/>
    </xf>
    <xf numFmtId="0" fontId="7" fillId="0" borderId="21" xfId="0" applyFont="1" applyBorder="1" applyProtection="1">
      <protection hidden="1"/>
    </xf>
    <xf numFmtId="0" fontId="20" fillId="2" borderId="0" xfId="0" applyFont="1" applyFill="1" applyAlignment="1" applyProtection="1">
      <alignment horizontal="centerContinuous"/>
      <protection hidden="1"/>
    </xf>
    <xf numFmtId="0" fontId="21" fillId="2" borderId="10" xfId="0" applyFont="1" applyFill="1" applyBorder="1" applyAlignment="1" applyProtection="1">
      <alignment horizontal="centerContinuous"/>
      <protection hidden="1"/>
    </xf>
    <xf numFmtId="0" fontId="21" fillId="4" borderId="8" xfId="0" applyFont="1" applyFill="1" applyBorder="1" applyProtection="1">
      <protection hidden="1"/>
    </xf>
    <xf numFmtId="0" fontId="21" fillId="4" borderId="12" xfId="0" applyFont="1" applyFill="1" applyBorder="1" applyProtection="1">
      <protection hidden="1"/>
    </xf>
    <xf numFmtId="0" fontId="21" fillId="4" borderId="15" xfId="0" applyFont="1" applyFill="1" applyBorder="1" applyAlignment="1" applyProtection="1">
      <alignment horizontal="center"/>
      <protection hidden="1"/>
    </xf>
    <xf numFmtId="0" fontId="21" fillId="2" borderId="0" xfId="0" applyFont="1" applyFill="1" applyProtection="1">
      <protection hidden="1"/>
    </xf>
    <xf numFmtId="0" fontId="21" fillId="2" borderId="19" xfId="13" applyFont="1" applyFill="1" applyBorder="1" applyAlignment="1" applyProtection="1">
      <alignment horizontal="center"/>
      <protection hidden="1"/>
    </xf>
    <xf numFmtId="0" fontId="21" fillId="4" borderId="5" xfId="0" applyFont="1" applyFill="1" applyBorder="1" applyProtection="1">
      <protection hidden="1"/>
    </xf>
    <xf numFmtId="0" fontId="19" fillId="0" borderId="22" xfId="0" applyFont="1" applyBorder="1" applyProtection="1">
      <protection hidden="1"/>
    </xf>
    <xf numFmtId="0" fontId="21" fillId="4" borderId="22" xfId="0" applyFont="1" applyFill="1" applyBorder="1" applyAlignment="1" applyProtection="1">
      <alignment horizontal="center"/>
      <protection hidden="1"/>
    </xf>
    <xf numFmtId="0" fontId="21" fillId="2" borderId="0" xfId="0" applyFont="1" applyFill="1" applyAlignment="1" applyProtection="1">
      <alignment horizontal="center"/>
      <protection hidden="1"/>
    </xf>
    <xf numFmtId="0" fontId="21" fillId="3" borderId="5" xfId="5" applyFont="1" applyFill="1" applyProtection="1">
      <protection hidden="1"/>
    </xf>
    <xf numFmtId="0" fontId="19" fillId="0" borderId="23" xfId="0" applyFont="1" applyBorder="1" applyProtection="1">
      <protection hidden="1"/>
    </xf>
    <xf numFmtId="0" fontId="7" fillId="0" borderId="23" xfId="0" applyFont="1" applyBorder="1" applyProtection="1">
      <protection hidden="1"/>
    </xf>
    <xf numFmtId="0" fontId="21" fillId="2" borderId="24" xfId="6" applyFont="1" applyFill="1" applyBorder="1" applyAlignment="1" applyProtection="1">
      <alignment horizontal="center"/>
      <protection hidden="1"/>
    </xf>
    <xf numFmtId="0" fontId="21" fillId="4" borderId="5" xfId="0" applyFont="1" applyFill="1" applyBorder="1" applyAlignment="1" applyProtection="1">
      <alignment horizontal="center"/>
      <protection hidden="1"/>
    </xf>
    <xf numFmtId="0" fontId="7" fillId="0" borderId="16" xfId="0" applyFont="1" applyBorder="1" applyProtection="1">
      <protection hidden="1"/>
    </xf>
    <xf numFmtId="0" fontId="21" fillId="4" borderId="23" xfId="0" applyFont="1" applyFill="1" applyBorder="1" applyAlignment="1" applyProtection="1">
      <alignment horizontal="center"/>
      <protection hidden="1"/>
    </xf>
    <xf numFmtId="0" fontId="21" fillId="2" borderId="20" xfId="6" applyFont="1" applyFill="1" applyBorder="1" applyAlignment="1" applyProtection="1">
      <alignment horizontal="center"/>
      <protection hidden="1"/>
    </xf>
    <xf numFmtId="0" fontId="21" fillId="3" borderId="2" xfId="2" applyFont="1" applyFill="1" applyProtection="1">
      <protection hidden="1"/>
    </xf>
    <xf numFmtId="0" fontId="21" fillId="4" borderId="0" xfId="0" applyFont="1" applyFill="1" applyAlignment="1" applyProtection="1">
      <alignment horizontal="center"/>
      <protection hidden="1"/>
    </xf>
    <xf numFmtId="0" fontId="12" fillId="5" borderId="5" xfId="0" applyFont="1" applyFill="1" applyBorder="1" applyAlignment="1" applyProtection="1">
      <alignment horizontal="center"/>
      <protection hidden="1"/>
    </xf>
    <xf numFmtId="0" fontId="19" fillId="0" borderId="23" xfId="0" applyFont="1" applyBorder="1" applyAlignment="1" applyProtection="1">
      <alignment horizontal="right"/>
      <protection hidden="1"/>
    </xf>
    <xf numFmtId="0" fontId="21" fillId="3" borderId="5" xfId="5" applyFont="1" applyFill="1" applyAlignment="1" applyProtection="1">
      <alignment horizontal="center"/>
      <protection hidden="1"/>
    </xf>
    <xf numFmtId="0" fontId="19" fillId="0" borderId="25" xfId="0" applyFont="1" applyBorder="1" applyProtection="1">
      <protection hidden="1"/>
    </xf>
    <xf numFmtId="0" fontId="7" fillId="0" borderId="25" xfId="0" applyFont="1" applyBorder="1" applyProtection="1">
      <protection hidden="1"/>
    </xf>
    <xf numFmtId="0" fontId="7" fillId="0" borderId="26" xfId="0" applyFont="1" applyBorder="1" applyProtection="1">
      <protection hidden="1"/>
    </xf>
    <xf numFmtId="0" fontId="21" fillId="4" borderId="25" xfId="0" applyFont="1" applyFill="1" applyBorder="1" applyAlignment="1" applyProtection="1">
      <alignment horizontal="center"/>
      <protection hidden="1"/>
    </xf>
    <xf numFmtId="0" fontId="21" fillId="4" borderId="1" xfId="0" applyFont="1" applyFill="1" applyBorder="1" applyProtection="1">
      <protection hidden="1"/>
    </xf>
    <xf numFmtId="0" fontId="21" fillId="4" borderId="2" xfId="0" applyFont="1" applyFill="1" applyBorder="1" applyProtection="1">
      <protection hidden="1"/>
    </xf>
    <xf numFmtId="0" fontId="23" fillId="4" borderId="1" xfId="0" applyFont="1" applyFill="1" applyBorder="1" applyProtection="1">
      <protection hidden="1"/>
    </xf>
    <xf numFmtId="0" fontId="21" fillId="4" borderId="27" xfId="0" applyFont="1" applyFill="1" applyBorder="1" applyAlignment="1" applyProtection="1">
      <alignment horizontal="center"/>
      <protection hidden="1"/>
    </xf>
    <xf numFmtId="0" fontId="21" fillId="4" borderId="0" xfId="0" quotePrefix="1" applyFont="1" applyFill="1" applyAlignment="1" applyProtection="1">
      <alignment horizontal="center"/>
      <protection hidden="1"/>
    </xf>
    <xf numFmtId="0" fontId="19" fillId="0" borderId="28" xfId="0" applyFont="1" applyBorder="1" applyProtection="1">
      <protection hidden="1"/>
    </xf>
    <xf numFmtId="0" fontId="19" fillId="0" borderId="29" xfId="1" applyFont="1" applyBorder="1" applyProtection="1">
      <protection hidden="1"/>
    </xf>
    <xf numFmtId="0" fontId="21" fillId="4" borderId="20" xfId="0" applyFont="1" applyFill="1" applyBorder="1" applyAlignment="1" applyProtection="1">
      <alignment horizontal="center"/>
      <protection hidden="1"/>
    </xf>
    <xf numFmtId="0" fontId="21" fillId="4" borderId="1" xfId="0" applyFont="1" applyFill="1" applyBorder="1" applyAlignment="1" applyProtection="1">
      <alignment horizontal="center"/>
      <protection hidden="1"/>
    </xf>
    <xf numFmtId="0" fontId="21" fillId="2" borderId="3" xfId="3" applyFont="1" applyFill="1" applyAlignment="1" applyProtection="1">
      <alignment horizontal="center"/>
      <protection hidden="1"/>
    </xf>
    <xf numFmtId="0" fontId="23" fillId="2" borderId="1" xfId="1" applyFont="1" applyFill="1" applyProtection="1">
      <protection hidden="1"/>
    </xf>
    <xf numFmtId="0" fontId="21" fillId="2" borderId="1" xfId="1" applyFont="1" applyFill="1" applyProtection="1">
      <protection hidden="1"/>
    </xf>
    <xf numFmtId="0" fontId="21" fillId="2" borderId="7" xfId="7" applyFont="1" applyFill="1" applyAlignment="1" applyProtection="1">
      <alignment horizontal="center"/>
      <protection hidden="1"/>
    </xf>
    <xf numFmtId="37" fontId="16" fillId="0" borderId="11" xfId="0" applyNumberFormat="1" applyFont="1" applyBorder="1" applyProtection="1">
      <protection hidden="1"/>
    </xf>
    <xf numFmtId="0" fontId="7" fillId="0" borderId="29" xfId="0" applyFont="1" applyBorder="1" applyProtection="1">
      <protection hidden="1"/>
    </xf>
    <xf numFmtId="0" fontId="7" fillId="0" borderId="30" xfId="0" applyFont="1" applyBorder="1" applyProtection="1">
      <protection hidden="1"/>
    </xf>
    <xf numFmtId="0" fontId="21" fillId="4" borderId="29" xfId="0" applyFont="1" applyFill="1" applyBorder="1" applyProtection="1">
      <protection hidden="1"/>
    </xf>
    <xf numFmtId="0" fontId="7" fillId="5" borderId="31" xfId="0" applyFont="1" applyFill="1" applyBorder="1" applyProtection="1">
      <protection hidden="1"/>
    </xf>
    <xf numFmtId="0" fontId="21" fillId="2" borderId="8" xfId="8" applyFont="1" applyFill="1" applyAlignment="1" applyProtection="1">
      <alignment horizontal="center"/>
      <protection hidden="1"/>
    </xf>
    <xf numFmtId="0" fontId="7" fillId="0" borderId="2" xfId="0" applyFont="1" applyBorder="1" applyProtection="1">
      <protection hidden="1"/>
    </xf>
    <xf numFmtId="0" fontId="7" fillId="0" borderId="4" xfId="0" applyFont="1" applyBorder="1" applyProtection="1">
      <protection hidden="1"/>
    </xf>
    <xf numFmtId="0" fontId="7" fillId="5" borderId="32" xfId="0" applyFont="1" applyFill="1" applyBorder="1" applyProtection="1">
      <protection hidden="1"/>
    </xf>
    <xf numFmtId="0" fontId="21" fillId="4" borderId="2" xfId="0" applyFont="1" applyFill="1" applyBorder="1" applyAlignment="1" applyProtection="1">
      <alignment horizontal="center"/>
      <protection hidden="1"/>
    </xf>
    <xf numFmtId="0" fontId="19" fillId="0" borderId="33" xfId="0" applyFont="1" applyBorder="1" applyProtection="1">
      <protection hidden="1"/>
    </xf>
    <xf numFmtId="0" fontId="23" fillId="2" borderId="9" xfId="9" applyFont="1" applyFill="1" applyProtection="1">
      <protection hidden="1"/>
    </xf>
    <xf numFmtId="0" fontId="23" fillId="2" borderId="0" xfId="0" applyFont="1" applyFill="1" applyAlignment="1" applyProtection="1">
      <alignment horizontal="center"/>
      <protection hidden="1"/>
    </xf>
    <xf numFmtId="0" fontId="7" fillId="3" borderId="0" xfId="0" applyFont="1" applyFill="1" applyProtection="1">
      <protection hidden="1"/>
    </xf>
    <xf numFmtId="0" fontId="7" fillId="3" borderId="34" xfId="14" applyFont="1" applyFill="1" applyBorder="1" applyAlignment="1" applyProtection="1">
      <alignment horizontal="center"/>
      <protection hidden="1"/>
    </xf>
    <xf numFmtId="0" fontId="19" fillId="0" borderId="1" xfId="0" applyFont="1" applyBorder="1" applyProtection="1">
      <protection hidden="1"/>
    </xf>
    <xf numFmtId="0" fontId="12" fillId="3" borderId="35" xfId="0" applyFont="1" applyFill="1" applyBorder="1" applyAlignment="1" applyProtection="1">
      <alignment horizontal="centerContinuous"/>
      <protection hidden="1"/>
    </xf>
    <xf numFmtId="0" fontId="7" fillId="3" borderId="16" xfId="7" applyFont="1" applyFill="1" applyBorder="1" applyAlignment="1" applyProtection="1">
      <alignment horizontal="center"/>
      <protection hidden="1"/>
    </xf>
    <xf numFmtId="0" fontId="21" fillId="2" borderId="20" xfId="7" applyFont="1" applyFill="1" applyBorder="1" applyAlignment="1" applyProtection="1">
      <alignment horizontal="center"/>
      <protection hidden="1"/>
    </xf>
    <xf numFmtId="0" fontId="21" fillId="4" borderId="9" xfId="0" applyFont="1" applyFill="1" applyBorder="1" applyAlignment="1" applyProtection="1">
      <alignment horizontal="centerContinuous"/>
      <protection hidden="1"/>
    </xf>
    <xf numFmtId="0" fontId="22" fillId="2" borderId="24" xfId="7" applyFont="1" applyFill="1" applyBorder="1" applyAlignment="1" applyProtection="1">
      <alignment horizontal="center"/>
      <protection hidden="1"/>
    </xf>
    <xf numFmtId="0" fontId="21" fillId="4" borderId="19" xfId="0" applyFont="1" applyFill="1" applyBorder="1" applyAlignment="1" applyProtection="1">
      <alignment horizontal="center"/>
      <protection hidden="1"/>
    </xf>
    <xf numFmtId="0" fontId="7" fillId="5" borderId="36" xfId="0" applyFont="1" applyFill="1" applyBorder="1" applyProtection="1">
      <protection hidden="1"/>
    </xf>
    <xf numFmtId="0" fontId="20" fillId="4" borderId="37" xfId="0" applyFont="1" applyFill="1" applyBorder="1" applyProtection="1">
      <protection hidden="1"/>
    </xf>
    <xf numFmtId="0" fontId="21" fillId="4" borderId="24" xfId="0" applyFont="1" applyFill="1" applyBorder="1" applyAlignment="1" applyProtection="1">
      <alignment horizontal="center"/>
      <protection hidden="1"/>
    </xf>
    <xf numFmtId="0" fontId="25" fillId="0" borderId="24" xfId="0" applyFont="1" applyBorder="1" applyProtection="1">
      <protection hidden="1"/>
    </xf>
    <xf numFmtId="0" fontId="21" fillId="4" borderId="3" xfId="0" applyFont="1" applyFill="1" applyBorder="1" applyAlignment="1" applyProtection="1">
      <alignment horizontal="center"/>
      <protection hidden="1"/>
    </xf>
    <xf numFmtId="0" fontId="22" fillId="2" borderId="20" xfId="7" applyFont="1" applyFill="1" applyBorder="1" applyAlignment="1" applyProtection="1">
      <alignment horizontal="center"/>
      <protection hidden="1"/>
    </xf>
    <xf numFmtId="0" fontId="21" fillId="4" borderId="13" xfId="0" applyFont="1" applyFill="1" applyBorder="1" applyAlignment="1" applyProtection="1">
      <alignment horizontal="center"/>
      <protection hidden="1"/>
    </xf>
    <xf numFmtId="0" fontId="22" fillId="2" borderId="3" xfId="7" applyFont="1" applyFill="1" applyBorder="1" applyAlignment="1" applyProtection="1">
      <alignment horizontal="center"/>
      <protection hidden="1"/>
    </xf>
    <xf numFmtId="0" fontId="23" fillId="2" borderId="0" xfId="0" quotePrefix="1" applyFont="1" applyFill="1" applyAlignment="1" applyProtection="1">
      <alignment horizontal="left"/>
      <protection hidden="1"/>
    </xf>
    <xf numFmtId="37" fontId="38" fillId="5" borderId="15" xfId="10" applyNumberFormat="1" applyFont="1" applyFill="1" applyBorder="1" applyProtection="1">
      <protection hidden="1"/>
    </xf>
    <xf numFmtId="0" fontId="7" fillId="2" borderId="4" xfId="4" applyFont="1" applyFill="1" applyAlignment="1" applyProtection="1">
      <alignment horizontal="center"/>
      <protection hidden="1"/>
    </xf>
    <xf numFmtId="0" fontId="24" fillId="0" borderId="8" xfId="8" applyFont="1" applyProtection="1">
      <protection hidden="1"/>
    </xf>
    <xf numFmtId="0" fontId="19" fillId="0" borderId="8" xfId="8" applyFont="1" applyProtection="1">
      <protection hidden="1"/>
    </xf>
    <xf numFmtId="0" fontId="19" fillId="0" borderId="9" xfId="8" applyFont="1" applyBorder="1" applyProtection="1">
      <protection hidden="1"/>
    </xf>
    <xf numFmtId="0" fontId="24" fillId="0" borderId="9" xfId="8" applyFont="1" applyBorder="1" applyProtection="1">
      <protection hidden="1"/>
    </xf>
    <xf numFmtId="0" fontId="21" fillId="2" borderId="14" xfId="14" applyFont="1" applyFill="1" applyAlignment="1" applyProtection="1">
      <alignment horizontal="center"/>
      <protection hidden="1"/>
    </xf>
    <xf numFmtId="0" fontId="21" fillId="2" borderId="7" xfId="0" applyFont="1" applyFill="1" applyBorder="1" applyAlignment="1" applyProtection="1">
      <alignment horizontal="center"/>
      <protection hidden="1"/>
    </xf>
    <xf numFmtId="0" fontId="25" fillId="0" borderId="2" xfId="2" applyFont="1" applyProtection="1">
      <protection hidden="1"/>
    </xf>
    <xf numFmtId="0" fontId="21" fillId="2" borderId="6" xfId="6" applyFont="1" applyFill="1" applyAlignment="1" applyProtection="1">
      <alignment horizontal="center"/>
      <protection hidden="1"/>
    </xf>
    <xf numFmtId="0" fontId="21" fillId="2" borderId="2" xfId="1" applyFont="1" applyFill="1" applyBorder="1" applyAlignment="1" applyProtection="1">
      <alignment horizontal="center"/>
      <protection hidden="1"/>
    </xf>
    <xf numFmtId="0" fontId="21" fillId="2" borderId="1" xfId="1" applyFont="1" applyFill="1" applyAlignment="1" applyProtection="1">
      <alignment horizontal="center"/>
      <protection hidden="1"/>
    </xf>
    <xf numFmtId="0" fontId="21" fillId="2" borderId="11" xfId="11" applyFont="1" applyFill="1" applyAlignment="1" applyProtection="1">
      <alignment horizontal="center"/>
      <protection hidden="1"/>
    </xf>
    <xf numFmtId="0" fontId="21" fillId="4" borderId="9" xfId="0" applyFont="1" applyFill="1" applyBorder="1" applyProtection="1">
      <protection hidden="1"/>
    </xf>
    <xf numFmtId="0" fontId="21" fillId="4" borderId="11" xfId="0" applyFont="1" applyFill="1" applyBorder="1" applyProtection="1">
      <protection hidden="1"/>
    </xf>
    <xf numFmtId="0" fontId="19" fillId="0" borderId="38" xfId="6" applyFont="1" applyBorder="1" applyAlignment="1" applyProtection="1">
      <alignment horizontal="center"/>
      <protection hidden="1"/>
    </xf>
    <xf numFmtId="0" fontId="19" fillId="0" borderId="38" xfId="0" applyFont="1" applyBorder="1" applyAlignment="1" applyProtection="1">
      <alignment horizontal="center"/>
      <protection hidden="1"/>
    </xf>
    <xf numFmtId="37" fontId="40" fillId="3" borderId="28" xfId="15" applyNumberFormat="1" applyFont="1" applyFill="1" applyBorder="1" applyProtection="1">
      <protection locked="0" hidden="1"/>
    </xf>
    <xf numFmtId="0" fontId="19" fillId="0" borderId="0" xfId="0" applyFont="1" applyAlignment="1" applyProtection="1">
      <alignment horizontal="centerContinuous"/>
      <protection hidden="1"/>
    </xf>
    <xf numFmtId="0" fontId="21" fillId="2" borderId="8" xfId="0" applyFont="1" applyFill="1" applyBorder="1" applyProtection="1">
      <protection hidden="1"/>
    </xf>
    <xf numFmtId="37" fontId="6" fillId="3" borderId="39" xfId="0" applyNumberFormat="1" applyFont="1" applyFill="1" applyBorder="1" applyProtection="1">
      <protection hidden="1"/>
    </xf>
    <xf numFmtId="0" fontId="19" fillId="0" borderId="10" xfId="0" quotePrefix="1" applyFont="1" applyBorder="1" applyAlignment="1" applyProtection="1">
      <alignment horizontal="left"/>
      <protection hidden="1"/>
    </xf>
    <xf numFmtId="37" fontId="6" fillId="3" borderId="40" xfId="0" applyNumberFormat="1" applyFont="1" applyFill="1" applyBorder="1" applyProtection="1">
      <protection hidden="1"/>
    </xf>
    <xf numFmtId="37" fontId="16" fillId="5" borderId="4" xfId="15" applyNumberFormat="1" applyFont="1" applyFill="1" applyBorder="1" applyProtection="1">
      <protection hidden="1"/>
    </xf>
    <xf numFmtId="0" fontId="21" fillId="2" borderId="5" xfId="0" applyFont="1" applyFill="1" applyBorder="1" applyAlignment="1" applyProtection="1">
      <alignment horizontal="center"/>
      <protection hidden="1"/>
    </xf>
    <xf numFmtId="0" fontId="21" fillId="2" borderId="0" xfId="0" applyFont="1" applyFill="1" applyAlignment="1" applyProtection="1">
      <alignment horizontal="left"/>
      <protection hidden="1"/>
    </xf>
    <xf numFmtId="0" fontId="21" fillId="2" borderId="13" xfId="0" applyFont="1" applyFill="1" applyBorder="1" applyAlignment="1" applyProtection="1">
      <alignment horizontal="center"/>
      <protection hidden="1"/>
    </xf>
    <xf numFmtId="0" fontId="21" fillId="2" borderId="19" xfId="0" applyFont="1" applyFill="1" applyBorder="1" applyAlignment="1" applyProtection="1">
      <alignment horizontal="center"/>
      <protection hidden="1"/>
    </xf>
    <xf numFmtId="37" fontId="6" fillId="3" borderId="41" xfId="0" applyNumberFormat="1" applyFont="1" applyFill="1" applyBorder="1" applyProtection="1">
      <protection hidden="1"/>
    </xf>
    <xf numFmtId="0" fontId="19" fillId="0" borderId="42" xfId="0" applyFont="1" applyBorder="1" applyProtection="1">
      <protection hidden="1"/>
    </xf>
    <xf numFmtId="0" fontId="21" fillId="2" borderId="20" xfId="0" applyFont="1" applyFill="1" applyBorder="1" applyAlignment="1" applyProtection="1">
      <alignment horizontal="center"/>
      <protection hidden="1"/>
    </xf>
    <xf numFmtId="37" fontId="6" fillId="3" borderId="43" xfId="0" applyNumberFormat="1" applyFont="1" applyFill="1" applyBorder="1" applyProtection="1">
      <protection hidden="1"/>
    </xf>
    <xf numFmtId="0" fontId="21" fillId="2" borderId="3" xfId="0" applyFont="1" applyFill="1" applyBorder="1" applyAlignment="1" applyProtection="1">
      <alignment horizontal="center"/>
      <protection hidden="1"/>
    </xf>
    <xf numFmtId="37" fontId="6" fillId="3" borderId="44" xfId="0" applyNumberFormat="1" applyFont="1" applyFill="1" applyBorder="1" applyProtection="1">
      <protection hidden="1"/>
    </xf>
    <xf numFmtId="0" fontId="21" fillId="2" borderId="1" xfId="0" applyFont="1" applyFill="1" applyBorder="1" applyProtection="1">
      <protection hidden="1"/>
    </xf>
    <xf numFmtId="37" fontId="6" fillId="0" borderId="45" xfId="0" applyNumberFormat="1" applyFont="1" applyBorder="1" applyProtection="1">
      <protection hidden="1"/>
    </xf>
    <xf numFmtId="0" fontId="21" fillId="2" borderId="12" xfId="0" applyFont="1" applyFill="1" applyBorder="1" applyProtection="1">
      <protection hidden="1"/>
    </xf>
    <xf numFmtId="0" fontId="21" fillId="2" borderId="5" xfId="0" applyFont="1" applyFill="1" applyBorder="1" applyProtection="1">
      <protection hidden="1"/>
    </xf>
    <xf numFmtId="0" fontId="21" fillId="2" borderId="24" xfId="0" applyFont="1" applyFill="1" applyBorder="1" applyAlignment="1" applyProtection="1">
      <alignment horizontal="center"/>
      <protection hidden="1"/>
    </xf>
    <xf numFmtId="37" fontId="6" fillId="3" borderId="46" xfId="0" applyNumberFormat="1" applyFont="1" applyFill="1" applyBorder="1" applyProtection="1">
      <protection hidden="1"/>
    </xf>
    <xf numFmtId="37" fontId="6" fillId="0" borderId="40" xfId="0" applyNumberFormat="1" applyFont="1" applyBorder="1" applyProtection="1">
      <protection hidden="1"/>
    </xf>
    <xf numFmtId="37" fontId="16" fillId="3" borderId="46" xfId="0" applyNumberFormat="1" applyFont="1" applyFill="1" applyBorder="1" applyProtection="1">
      <protection hidden="1"/>
    </xf>
    <xf numFmtId="37" fontId="6" fillId="3" borderId="45" xfId="0" applyNumberFormat="1" applyFont="1" applyFill="1" applyBorder="1" applyProtection="1">
      <protection hidden="1"/>
    </xf>
    <xf numFmtId="37" fontId="6" fillId="3" borderId="45" xfId="6" applyNumberFormat="1" applyFont="1" applyFill="1" applyBorder="1" applyProtection="1">
      <protection hidden="1"/>
    </xf>
    <xf numFmtId="0" fontId="21" fillId="2" borderId="13" xfId="0" applyFont="1" applyFill="1" applyBorder="1" applyProtection="1">
      <protection hidden="1"/>
    </xf>
    <xf numFmtId="0" fontId="12" fillId="3" borderId="10" xfId="0" quotePrefix="1" applyFont="1" applyFill="1" applyBorder="1" applyAlignment="1" applyProtection="1">
      <alignment horizontal="left"/>
      <protection hidden="1"/>
    </xf>
    <xf numFmtId="0" fontId="23" fillId="2" borderId="5" xfId="0" applyFont="1" applyFill="1" applyBorder="1" applyAlignment="1" applyProtection="1">
      <alignment horizontal="center"/>
      <protection hidden="1"/>
    </xf>
    <xf numFmtId="0" fontId="21" fillId="2" borderId="9" xfId="0" applyFont="1" applyFill="1" applyBorder="1" applyProtection="1">
      <protection hidden="1"/>
    </xf>
    <xf numFmtId="0" fontId="21" fillId="2" borderId="11" xfId="0" applyFont="1" applyFill="1" applyBorder="1" applyAlignment="1" applyProtection="1">
      <alignment horizontal="center"/>
      <protection hidden="1"/>
    </xf>
    <xf numFmtId="0" fontId="23" fillId="2" borderId="6" xfId="0" applyFont="1" applyFill="1" applyBorder="1" applyAlignment="1" applyProtection="1">
      <alignment horizontal="center"/>
      <protection hidden="1"/>
    </xf>
    <xf numFmtId="0" fontId="21" fillId="2" borderId="4" xfId="0" applyFont="1" applyFill="1" applyBorder="1" applyAlignment="1" applyProtection="1">
      <alignment horizontal="center"/>
      <protection hidden="1"/>
    </xf>
    <xf numFmtId="37" fontId="6" fillId="0" borderId="44" xfId="0" applyNumberFormat="1" applyFont="1" applyBorder="1" applyProtection="1">
      <protection hidden="1"/>
    </xf>
    <xf numFmtId="0" fontId="21" fillId="2" borderId="6" xfId="0" applyFont="1" applyFill="1" applyBorder="1" applyProtection="1">
      <protection hidden="1"/>
    </xf>
    <xf numFmtId="0" fontId="21" fillId="2" borderId="3" xfId="0" applyFont="1" applyFill="1" applyBorder="1" applyProtection="1">
      <protection hidden="1"/>
    </xf>
    <xf numFmtId="0" fontId="21" fillId="2" borderId="4" xfId="0" applyFont="1" applyFill="1" applyBorder="1" applyProtection="1">
      <protection hidden="1"/>
    </xf>
    <xf numFmtId="0" fontId="21" fillId="0" borderId="0" xfId="0" applyFont="1" applyAlignment="1">
      <alignment horizontal="center"/>
    </xf>
    <xf numFmtId="37" fontId="7" fillId="5" borderId="15" xfId="0" applyNumberFormat="1" applyFont="1" applyFill="1" applyBorder="1" applyAlignment="1">
      <alignment horizontal="center"/>
    </xf>
    <xf numFmtId="0" fontId="7" fillId="0" borderId="12" xfId="0" applyFont="1" applyBorder="1" applyProtection="1">
      <protection hidden="1"/>
    </xf>
    <xf numFmtId="0" fontId="7" fillId="0" borderId="14" xfId="0" applyFont="1" applyBorder="1" applyProtection="1">
      <protection hidden="1"/>
    </xf>
    <xf numFmtId="0" fontId="21" fillId="2" borderId="11" xfId="0" applyFont="1" applyFill="1" applyBorder="1" applyProtection="1">
      <protection hidden="1"/>
    </xf>
    <xf numFmtId="0" fontId="23" fillId="2" borderId="23" xfId="0" applyFont="1" applyFill="1" applyBorder="1" applyProtection="1">
      <protection hidden="1"/>
    </xf>
    <xf numFmtId="0" fontId="21" fillId="2" borderId="23" xfId="0" applyFont="1" applyFill="1" applyBorder="1" applyProtection="1">
      <protection hidden="1"/>
    </xf>
    <xf numFmtId="37" fontId="7" fillId="3" borderId="28" xfId="15" applyNumberFormat="1" applyFont="1" applyFill="1" applyBorder="1" applyProtection="1">
      <protection hidden="1"/>
    </xf>
    <xf numFmtId="3" fontId="13" fillId="3" borderId="33" xfId="15" applyNumberFormat="1" applyFont="1" applyFill="1" applyBorder="1" applyAlignment="1" applyProtection="1">
      <alignment horizontal="centerContinuous"/>
      <protection hidden="1"/>
    </xf>
    <xf numFmtId="3" fontId="13" fillId="3" borderId="34" xfId="15" applyNumberFormat="1" applyFont="1" applyFill="1" applyBorder="1" applyAlignment="1" applyProtection="1">
      <alignment horizontal="centerContinuous"/>
      <protection hidden="1"/>
    </xf>
    <xf numFmtId="37" fontId="16" fillId="3" borderId="44" xfId="15" applyNumberFormat="1" applyFont="1" applyFill="1" applyBorder="1" applyProtection="1">
      <protection hidden="1"/>
    </xf>
    <xf numFmtId="0" fontId="23" fillId="2" borderId="9" xfId="0" applyFont="1" applyFill="1" applyBorder="1" applyProtection="1">
      <protection hidden="1"/>
    </xf>
    <xf numFmtId="0" fontId="23" fillId="2" borderId="9" xfId="0" quotePrefix="1" applyFont="1" applyFill="1" applyBorder="1" applyAlignment="1" applyProtection="1">
      <alignment horizontal="left"/>
      <protection hidden="1"/>
    </xf>
    <xf numFmtId="0" fontId="27" fillId="2" borderId="10" xfId="0" applyFont="1" applyFill="1" applyBorder="1" applyProtection="1">
      <protection hidden="1"/>
    </xf>
    <xf numFmtId="0" fontId="28" fillId="0" borderId="9" xfId="0" quotePrefix="1" applyFont="1" applyBorder="1" applyAlignment="1" applyProtection="1">
      <alignment horizontal="left"/>
      <protection hidden="1"/>
    </xf>
    <xf numFmtId="0" fontId="23" fillId="2" borderId="0" xfId="0" applyFont="1" applyFill="1" applyProtection="1">
      <protection hidden="1"/>
    </xf>
    <xf numFmtId="0" fontId="28" fillId="0" borderId="9" xfId="0" applyFont="1" applyBorder="1" applyProtection="1">
      <protection hidden="1"/>
    </xf>
    <xf numFmtId="0" fontId="35" fillId="3" borderId="33" xfId="0" applyFont="1" applyFill="1" applyBorder="1" applyAlignment="1" applyProtection="1">
      <alignment horizontal="left"/>
      <protection hidden="1"/>
    </xf>
    <xf numFmtId="0" fontId="13" fillId="3" borderId="22" xfId="0" applyFont="1" applyFill="1" applyBorder="1" applyProtection="1">
      <protection hidden="1"/>
    </xf>
    <xf numFmtId="0" fontId="21" fillId="2" borderId="33" xfId="0" applyFont="1" applyFill="1" applyBorder="1" applyAlignment="1" applyProtection="1">
      <alignment horizontal="center"/>
      <protection hidden="1"/>
    </xf>
    <xf numFmtId="0" fontId="25" fillId="0" borderId="28" xfId="0" applyFont="1" applyBorder="1" applyProtection="1">
      <protection hidden="1"/>
    </xf>
    <xf numFmtId="0" fontId="21" fillId="2" borderId="28" xfId="0" applyFont="1" applyFill="1" applyBorder="1" applyAlignment="1" applyProtection="1">
      <alignment horizontal="center"/>
      <protection hidden="1"/>
    </xf>
    <xf numFmtId="0" fontId="25" fillId="0" borderId="2" xfId="0" applyFont="1" applyBorder="1" applyProtection="1">
      <protection hidden="1"/>
    </xf>
    <xf numFmtId="0" fontId="21" fillId="2" borderId="2" xfId="0" applyFont="1" applyFill="1" applyBorder="1" applyProtection="1">
      <protection hidden="1"/>
    </xf>
    <xf numFmtId="3" fontId="11" fillId="0" borderId="1" xfId="0" applyNumberFormat="1" applyFont="1" applyBorder="1" applyProtection="1">
      <protection hidden="1"/>
    </xf>
    <xf numFmtId="37" fontId="16" fillId="0" borderId="10" xfId="15" applyNumberFormat="1" applyFont="1" applyBorder="1" applyProtection="1">
      <protection hidden="1"/>
    </xf>
    <xf numFmtId="37" fontId="16" fillId="3" borderId="10" xfId="15" applyNumberFormat="1" applyFont="1" applyFill="1" applyBorder="1" applyProtection="1">
      <protection hidden="1"/>
    </xf>
    <xf numFmtId="166" fontId="13" fillId="3" borderId="9" xfId="15" applyNumberFormat="1" applyFont="1" applyFill="1" applyBorder="1" applyAlignment="1" applyProtection="1">
      <alignment horizontal="centerContinuous"/>
      <protection hidden="1"/>
    </xf>
    <xf numFmtId="166" fontId="13" fillId="3" borderId="47" xfId="15" applyNumberFormat="1" applyFont="1" applyFill="1" applyBorder="1" applyAlignment="1" applyProtection="1">
      <alignment horizontal="centerContinuous"/>
      <protection hidden="1"/>
    </xf>
    <xf numFmtId="166" fontId="13" fillId="3" borderId="10" xfId="15" applyNumberFormat="1" applyFont="1" applyFill="1" applyBorder="1" applyAlignment="1" applyProtection="1">
      <alignment horizontal="centerContinuous"/>
      <protection hidden="1"/>
    </xf>
    <xf numFmtId="166" fontId="19" fillId="0" borderId="22" xfId="15" applyNumberFormat="1" applyFont="1" applyBorder="1" applyProtection="1">
      <protection hidden="1"/>
    </xf>
    <xf numFmtId="166" fontId="19" fillId="0" borderId="34" xfId="15" applyNumberFormat="1" applyFont="1" applyBorder="1" applyProtection="1">
      <protection hidden="1"/>
    </xf>
    <xf numFmtId="166" fontId="19" fillId="0" borderId="33" xfId="15" applyNumberFormat="1" applyFont="1" applyBorder="1" applyProtection="1">
      <protection hidden="1"/>
    </xf>
    <xf numFmtId="166" fontId="19" fillId="0" borderId="23" xfId="15" applyNumberFormat="1" applyFont="1" applyBorder="1" applyProtection="1">
      <protection hidden="1"/>
    </xf>
    <xf numFmtId="166" fontId="19" fillId="0" borderId="16" xfId="15" applyNumberFormat="1" applyFont="1" applyBorder="1" applyProtection="1">
      <protection hidden="1"/>
    </xf>
    <xf numFmtId="166" fontId="19" fillId="0" borderId="28" xfId="15" applyNumberFormat="1" applyFont="1" applyBorder="1" applyProtection="1">
      <protection hidden="1"/>
    </xf>
    <xf numFmtId="166" fontId="19" fillId="0" borderId="48" xfId="15" applyNumberFormat="1" applyFont="1" applyBorder="1" applyProtection="1">
      <protection hidden="1"/>
    </xf>
    <xf numFmtId="166" fontId="19" fillId="0" borderId="26" xfId="15" applyNumberFormat="1" applyFont="1" applyBorder="1" applyProtection="1">
      <protection hidden="1"/>
    </xf>
    <xf numFmtId="166" fontId="19" fillId="0" borderId="42" xfId="15" applyNumberFormat="1" applyFont="1" applyBorder="1" applyProtection="1">
      <protection hidden="1"/>
    </xf>
    <xf numFmtId="0" fontId="30" fillId="0" borderId="0" xfId="0" applyFont="1" applyAlignment="1" applyProtection="1">
      <alignment horizontal="left"/>
      <protection hidden="1"/>
    </xf>
    <xf numFmtId="0" fontId="21" fillId="2" borderId="8" xfId="0" applyFont="1" applyFill="1" applyBorder="1" applyAlignment="1" applyProtection="1">
      <alignment horizontal="centerContinuous"/>
      <protection hidden="1"/>
    </xf>
    <xf numFmtId="0" fontId="23" fillId="2" borderId="14" xfId="0" applyFont="1" applyFill="1" applyBorder="1" applyAlignment="1" applyProtection="1">
      <alignment horizontal="centerContinuous"/>
      <protection hidden="1"/>
    </xf>
    <xf numFmtId="0" fontId="21" fillId="2" borderId="1" xfId="0" applyFont="1" applyFill="1" applyBorder="1" applyAlignment="1" applyProtection="1">
      <alignment horizontal="centerContinuous"/>
      <protection hidden="1"/>
    </xf>
    <xf numFmtId="0" fontId="23" fillId="2" borderId="4" xfId="0" applyFont="1" applyFill="1" applyBorder="1" applyAlignment="1" applyProtection="1">
      <alignment horizontal="centerContinuous"/>
      <protection hidden="1"/>
    </xf>
    <xf numFmtId="0" fontId="31" fillId="0" borderId="16" xfId="0" applyFont="1" applyBorder="1" applyProtection="1">
      <protection hidden="1"/>
    </xf>
    <xf numFmtId="0" fontId="28" fillId="0" borderId="10" xfId="0" applyFont="1" applyBorder="1" applyProtection="1">
      <protection hidden="1"/>
    </xf>
    <xf numFmtId="0" fontId="19" fillId="0" borderId="9" xfId="0" applyFont="1" applyBorder="1" applyProtection="1">
      <protection hidden="1"/>
    </xf>
    <xf numFmtId="37" fontId="6" fillId="0" borderId="10" xfId="0" applyNumberFormat="1" applyFont="1" applyBorder="1" applyProtection="1">
      <protection hidden="1"/>
    </xf>
    <xf numFmtId="0" fontId="19" fillId="0" borderId="5" xfId="0" applyFont="1" applyBorder="1" applyAlignment="1" applyProtection="1">
      <alignment horizontal="left"/>
      <protection hidden="1"/>
    </xf>
    <xf numFmtId="0" fontId="28" fillId="0" borderId="3" xfId="0" applyFont="1" applyBorder="1" applyAlignment="1" applyProtection="1">
      <alignment horizontal="center"/>
      <protection hidden="1"/>
    </xf>
    <xf numFmtId="37" fontId="40" fillId="3" borderId="33" xfId="0" applyNumberFormat="1" applyFont="1" applyFill="1" applyBorder="1" applyProtection="1">
      <protection locked="0" hidden="1"/>
    </xf>
    <xf numFmtId="37" fontId="40" fillId="3" borderId="28" xfId="0" applyNumberFormat="1" applyFont="1" applyFill="1" applyBorder="1" applyProtection="1">
      <protection locked="0" hidden="1"/>
    </xf>
    <xf numFmtId="37" fontId="40" fillId="3" borderId="5" xfId="0" applyNumberFormat="1" applyFont="1" applyFill="1" applyBorder="1" applyProtection="1">
      <protection locked="0" hidden="1"/>
    </xf>
    <xf numFmtId="37" fontId="16" fillId="3" borderId="16" xfId="15" applyNumberFormat="1" applyFont="1" applyFill="1" applyBorder="1" applyProtection="1">
      <protection hidden="1"/>
    </xf>
    <xf numFmtId="37" fontId="16" fillId="5" borderId="16" xfId="15" applyNumberFormat="1" applyFont="1" applyFill="1" applyBorder="1" applyProtection="1">
      <protection hidden="1"/>
    </xf>
    <xf numFmtId="0" fontId="8" fillId="0" borderId="0" xfId="0" applyFont="1" applyAlignment="1" applyProtection="1">
      <alignment horizontal="left"/>
      <protection hidden="1"/>
    </xf>
    <xf numFmtId="0" fontId="28" fillId="0" borderId="10" xfId="0" applyFont="1" applyBorder="1" applyAlignment="1" applyProtection="1">
      <alignment horizontal="left"/>
      <protection hidden="1"/>
    </xf>
    <xf numFmtId="0" fontId="21" fillId="2" borderId="6" xfId="0" applyFont="1" applyFill="1" applyBorder="1" applyAlignment="1" applyProtection="1">
      <alignment horizontal="center"/>
      <protection hidden="1"/>
    </xf>
    <xf numFmtId="0" fontId="23" fillId="2" borderId="2" xfId="0" applyFont="1" applyFill="1" applyBorder="1" applyProtection="1">
      <protection hidden="1"/>
    </xf>
    <xf numFmtId="0" fontId="21" fillId="2" borderId="50" xfId="0" applyFont="1" applyFill="1" applyBorder="1" applyAlignment="1" applyProtection="1">
      <alignment horizontal="center"/>
      <protection hidden="1"/>
    </xf>
    <xf numFmtId="0" fontId="21" fillId="2" borderId="51" xfId="0" applyFont="1" applyFill="1" applyBorder="1" applyAlignment="1" applyProtection="1">
      <alignment horizontal="center"/>
      <protection hidden="1"/>
    </xf>
    <xf numFmtId="0" fontId="21" fillId="0" borderId="15" xfId="0" applyFont="1" applyBorder="1" applyAlignment="1" applyProtection="1">
      <alignment horizontal="center"/>
      <protection hidden="1"/>
    </xf>
    <xf numFmtId="37" fontId="40" fillId="3" borderId="52" xfId="0" applyNumberFormat="1" applyFont="1" applyFill="1" applyBorder="1" applyProtection="1">
      <protection locked="0" hidden="1"/>
    </xf>
    <xf numFmtId="0" fontId="36" fillId="0" borderId="0" xfId="0" applyFont="1" applyAlignment="1" applyProtection="1">
      <alignment horizontal="right"/>
      <protection hidden="1"/>
    </xf>
    <xf numFmtId="0" fontId="23" fillId="2" borderId="12" xfId="0" applyFont="1" applyFill="1" applyBorder="1" applyProtection="1">
      <protection hidden="1"/>
    </xf>
    <xf numFmtId="0" fontId="50" fillId="3" borderId="43" xfId="0" applyFont="1" applyFill="1" applyBorder="1" applyAlignment="1" applyProtection="1">
      <alignment horizontal="right"/>
      <protection hidden="1"/>
    </xf>
    <xf numFmtId="0" fontId="50" fillId="5" borderId="43" xfId="0" applyFont="1" applyFill="1" applyBorder="1" applyAlignment="1" applyProtection="1">
      <alignment horizontal="right"/>
      <protection hidden="1"/>
    </xf>
    <xf numFmtId="37" fontId="17" fillId="3" borderId="53" xfId="15" applyNumberFormat="1" applyFont="1" applyFill="1" applyBorder="1" applyAlignment="1" applyProtection="1">
      <alignment horizontal="center"/>
      <protection hidden="1"/>
    </xf>
    <xf numFmtId="37" fontId="17" fillId="5" borderId="53" xfId="15" applyNumberFormat="1" applyFont="1" applyFill="1" applyBorder="1" applyAlignment="1" applyProtection="1">
      <alignment horizontal="center"/>
      <protection hidden="1"/>
    </xf>
    <xf numFmtId="0" fontId="21" fillId="2" borderId="9" xfId="0" quotePrefix="1" applyFont="1" applyFill="1" applyBorder="1" applyAlignment="1" applyProtection="1">
      <alignment horizontal="left"/>
      <protection hidden="1"/>
    </xf>
    <xf numFmtId="0" fontId="21" fillId="2" borderId="10" xfId="0" applyFont="1" applyFill="1" applyBorder="1" applyProtection="1">
      <protection hidden="1"/>
    </xf>
    <xf numFmtId="37" fontId="16" fillId="3" borderId="52" xfId="0" applyNumberFormat="1" applyFont="1" applyFill="1" applyBorder="1" applyProtection="1">
      <protection hidden="1"/>
    </xf>
    <xf numFmtId="37" fontId="16" fillId="3" borderId="54" xfId="0" applyNumberFormat="1" applyFont="1" applyFill="1" applyBorder="1" applyProtection="1">
      <protection hidden="1"/>
    </xf>
    <xf numFmtId="37" fontId="16" fillId="5" borderId="52" xfId="0" applyNumberFormat="1" applyFont="1" applyFill="1" applyBorder="1" applyProtection="1">
      <protection hidden="1"/>
    </xf>
    <xf numFmtId="37" fontId="16" fillId="5" borderId="54" xfId="0" applyNumberFormat="1" applyFont="1" applyFill="1" applyBorder="1" applyProtection="1">
      <protection hidden="1"/>
    </xf>
    <xf numFmtId="0" fontId="21" fillId="4" borderId="0" xfId="0" applyFont="1" applyFill="1" applyProtection="1">
      <protection hidden="1"/>
    </xf>
    <xf numFmtId="0" fontId="23" fillId="4" borderId="10" xfId="0" applyFont="1" applyFill="1" applyBorder="1" applyProtection="1">
      <protection hidden="1"/>
    </xf>
    <xf numFmtId="0" fontId="23" fillId="4" borderId="0" xfId="0" applyFont="1" applyFill="1" applyAlignment="1" applyProtection="1">
      <alignment horizontal="center"/>
      <protection hidden="1"/>
    </xf>
    <xf numFmtId="0" fontId="13" fillId="3" borderId="9" xfId="0" applyFont="1" applyFill="1" applyBorder="1" applyProtection="1">
      <protection hidden="1"/>
    </xf>
    <xf numFmtId="0" fontId="13" fillId="3" borderId="11" xfId="0" applyFont="1" applyFill="1" applyBorder="1" applyAlignment="1" applyProtection="1">
      <alignment horizontal="center"/>
      <protection hidden="1"/>
    </xf>
    <xf numFmtId="0" fontId="23" fillId="4" borderId="10" xfId="0" applyFont="1" applyFill="1" applyBorder="1" applyAlignment="1" applyProtection="1">
      <alignment horizontal="left"/>
      <protection hidden="1"/>
    </xf>
    <xf numFmtId="0" fontId="23" fillId="4" borderId="9" xfId="0" applyFont="1" applyFill="1" applyBorder="1" applyProtection="1">
      <protection hidden="1"/>
    </xf>
    <xf numFmtId="0" fontId="23" fillId="4" borderId="0" xfId="0" applyFont="1" applyFill="1" applyProtection="1">
      <protection hidden="1"/>
    </xf>
    <xf numFmtId="0" fontId="23" fillId="4" borderId="1" xfId="0" applyFont="1" applyFill="1" applyBorder="1" applyAlignment="1" applyProtection="1">
      <alignment horizontal="center"/>
      <protection hidden="1"/>
    </xf>
    <xf numFmtId="37" fontId="6" fillId="3" borderId="10" xfId="0" applyNumberFormat="1" applyFont="1" applyFill="1" applyBorder="1" applyProtection="1">
      <protection hidden="1"/>
    </xf>
    <xf numFmtId="37" fontId="40" fillId="3" borderId="12" xfId="0" applyNumberFormat="1" applyFont="1" applyFill="1" applyBorder="1" applyProtection="1">
      <protection locked="0" hidden="1"/>
    </xf>
    <xf numFmtId="37" fontId="40" fillId="3" borderId="42" xfId="0" applyNumberFormat="1" applyFont="1" applyFill="1" applyBorder="1" applyProtection="1">
      <protection locked="0" hidden="1"/>
    </xf>
    <xf numFmtId="37" fontId="40" fillId="3" borderId="16" xfId="15" applyNumberFormat="1" applyFont="1" applyFill="1" applyBorder="1" applyProtection="1">
      <protection locked="0" hidden="1"/>
    </xf>
    <xf numFmtId="0" fontId="26" fillId="0" borderId="0" xfId="0" applyFont="1" applyAlignment="1" applyProtection="1">
      <alignment horizontal="centerContinuous"/>
      <protection hidden="1"/>
    </xf>
    <xf numFmtId="0" fontId="21" fillId="2" borderId="12" xfId="0" applyFont="1" applyFill="1" applyBorder="1" applyAlignment="1" applyProtection="1">
      <alignment horizontal="centerContinuous"/>
      <protection hidden="1"/>
    </xf>
    <xf numFmtId="0" fontId="20" fillId="2" borderId="8" xfId="0" applyFont="1" applyFill="1" applyBorder="1" applyAlignment="1" applyProtection="1">
      <alignment horizontal="centerContinuous"/>
      <protection hidden="1"/>
    </xf>
    <xf numFmtId="0" fontId="21" fillId="2" borderId="14" xfId="0" applyFont="1" applyFill="1" applyBorder="1" applyAlignment="1" applyProtection="1">
      <alignment horizontal="centerContinuous"/>
      <protection hidden="1"/>
    </xf>
    <xf numFmtId="0" fontId="21" fillId="2" borderId="2" xfId="0" applyFont="1" applyFill="1" applyBorder="1" applyAlignment="1" applyProtection="1">
      <alignment horizontal="centerContinuous"/>
      <protection hidden="1"/>
    </xf>
    <xf numFmtId="0" fontId="20" fillId="2" borderId="1" xfId="0" applyFont="1" applyFill="1" applyBorder="1" applyAlignment="1" applyProtection="1">
      <alignment horizontal="centerContinuous"/>
      <protection hidden="1"/>
    </xf>
    <xf numFmtId="0" fontId="21" fillId="2" borderId="4" xfId="0" applyFont="1" applyFill="1" applyBorder="1" applyAlignment="1" applyProtection="1">
      <alignment horizontal="centerContinuous"/>
      <protection hidden="1"/>
    </xf>
    <xf numFmtId="0" fontId="21" fillId="2" borderId="6" xfId="0" applyFont="1" applyFill="1" applyBorder="1" applyAlignment="1" applyProtection="1">
      <alignment horizontal="centerContinuous"/>
      <protection hidden="1"/>
    </xf>
    <xf numFmtId="0" fontId="17" fillId="0" borderId="55" xfId="0" applyFont="1" applyBorder="1" applyAlignment="1" applyProtection="1">
      <alignment horizontal="center"/>
      <protection hidden="1"/>
    </xf>
    <xf numFmtId="0" fontId="21" fillId="2" borderId="2" xfId="0" applyFont="1" applyFill="1" applyBorder="1" applyAlignment="1" applyProtection="1">
      <alignment horizontal="center"/>
      <protection hidden="1"/>
    </xf>
    <xf numFmtId="37" fontId="16" fillId="0" borderId="4" xfId="15" applyNumberFormat="1" applyFont="1" applyBorder="1" applyProtection="1">
      <protection hidden="1"/>
    </xf>
    <xf numFmtId="0" fontId="20" fillId="2" borderId="6" xfId="0" applyFont="1" applyFill="1" applyBorder="1" applyAlignment="1" applyProtection="1">
      <alignment horizontal="center"/>
      <protection hidden="1"/>
    </xf>
    <xf numFmtId="0" fontId="23" fillId="2" borderId="12" xfId="0" applyFont="1" applyFill="1" applyBorder="1" applyAlignment="1" applyProtection="1">
      <alignment horizontal="centerContinuous"/>
      <protection hidden="1"/>
    </xf>
    <xf numFmtId="0" fontId="23" fillId="2" borderId="8" xfId="0" quotePrefix="1" applyFont="1" applyFill="1" applyBorder="1" applyAlignment="1" applyProtection="1">
      <alignment horizontal="centerContinuous"/>
      <protection hidden="1"/>
    </xf>
    <xf numFmtId="0" fontId="23" fillId="2" borderId="10" xfId="0" applyFont="1" applyFill="1" applyBorder="1" applyProtection="1">
      <protection hidden="1"/>
    </xf>
    <xf numFmtId="0" fontId="13" fillId="3" borderId="2" xfId="0" applyFont="1" applyFill="1" applyBorder="1" applyAlignment="1" applyProtection="1">
      <alignment horizontal="center"/>
      <protection hidden="1"/>
    </xf>
    <xf numFmtId="0" fontId="13" fillId="3" borderId="52" xfId="0" applyFont="1" applyFill="1" applyBorder="1" applyAlignment="1" applyProtection="1">
      <alignment horizontal="center"/>
      <protection hidden="1"/>
    </xf>
    <xf numFmtId="0" fontId="13" fillId="5" borderId="2" xfId="0" applyFont="1" applyFill="1" applyBorder="1" applyAlignment="1" applyProtection="1">
      <alignment horizontal="center"/>
      <protection hidden="1"/>
    </xf>
    <xf numFmtId="0" fontId="13" fillId="5" borderId="52" xfId="0" applyFont="1" applyFill="1" applyBorder="1" applyAlignment="1" applyProtection="1">
      <alignment horizontal="center"/>
      <protection hidden="1"/>
    </xf>
    <xf numFmtId="0" fontId="23" fillId="2" borderId="8" xfId="0" applyFont="1" applyFill="1" applyBorder="1" applyProtection="1">
      <protection hidden="1"/>
    </xf>
    <xf numFmtId="37" fontId="16" fillId="5" borderId="57" xfId="15" applyNumberFormat="1" applyFont="1" applyFill="1" applyBorder="1" applyProtection="1">
      <protection hidden="1"/>
    </xf>
    <xf numFmtId="0" fontId="12" fillId="5" borderId="10" xfId="0" applyFont="1" applyFill="1" applyBorder="1" applyProtection="1">
      <protection hidden="1"/>
    </xf>
    <xf numFmtId="0" fontId="21" fillId="2" borderId="25" xfId="0" applyFont="1" applyFill="1" applyBorder="1" applyProtection="1">
      <protection hidden="1"/>
    </xf>
    <xf numFmtId="0" fontId="21" fillId="2" borderId="52" xfId="0" applyFont="1" applyFill="1" applyBorder="1" applyAlignment="1" applyProtection="1">
      <alignment horizontal="center"/>
      <protection hidden="1"/>
    </xf>
    <xf numFmtId="0" fontId="21" fillId="2" borderId="1" xfId="0" applyFont="1" applyFill="1" applyBorder="1" applyAlignment="1" applyProtection="1">
      <alignment horizontal="center"/>
      <protection hidden="1"/>
    </xf>
    <xf numFmtId="0" fontId="12" fillId="5" borderId="10" xfId="0" applyFont="1" applyFill="1" applyBorder="1" applyAlignment="1" applyProtection="1">
      <alignment horizontal="centerContinuous"/>
      <protection hidden="1"/>
    </xf>
    <xf numFmtId="0" fontId="12" fillId="5" borderId="9" xfId="0" applyFont="1" applyFill="1" applyBorder="1" applyAlignment="1" applyProtection="1">
      <alignment horizontal="centerContinuous"/>
      <protection hidden="1"/>
    </xf>
    <xf numFmtId="0" fontId="12" fillId="5" borderId="11" xfId="0" applyFont="1" applyFill="1" applyBorder="1" applyAlignment="1" applyProtection="1">
      <alignment horizontal="centerContinuous"/>
      <protection hidden="1"/>
    </xf>
    <xf numFmtId="0" fontId="21" fillId="4" borderId="10" xfId="0" applyFont="1" applyFill="1" applyBorder="1" applyProtection="1">
      <protection hidden="1"/>
    </xf>
    <xf numFmtId="0" fontId="23" fillId="4" borderId="27" xfId="0" applyFont="1" applyFill="1" applyBorder="1" applyAlignment="1" applyProtection="1">
      <alignment horizontal="center"/>
      <protection hidden="1"/>
    </xf>
    <xf numFmtId="0" fontId="23" fillId="4" borderId="15" xfId="0" applyFont="1" applyFill="1" applyBorder="1" applyAlignment="1" applyProtection="1">
      <alignment horizontal="center"/>
      <protection hidden="1"/>
    </xf>
    <xf numFmtId="0" fontId="21" fillId="2" borderId="27" xfId="0" applyFont="1" applyFill="1" applyBorder="1" applyProtection="1">
      <protection hidden="1"/>
    </xf>
    <xf numFmtId="0" fontId="21" fillId="2" borderId="27" xfId="0" applyFont="1" applyFill="1" applyBorder="1" applyAlignment="1" applyProtection="1">
      <alignment horizontal="center"/>
      <protection hidden="1"/>
    </xf>
    <xf numFmtId="0" fontId="32" fillId="4" borderId="40" xfId="0" applyFont="1" applyFill="1" applyBorder="1" applyAlignment="1" applyProtection="1">
      <alignment horizontal="center"/>
      <protection hidden="1"/>
    </xf>
    <xf numFmtId="0" fontId="32" fillId="4" borderId="27" xfId="0" applyFont="1" applyFill="1" applyBorder="1" applyAlignment="1" applyProtection="1">
      <alignment horizontal="center"/>
      <protection hidden="1"/>
    </xf>
    <xf numFmtId="0" fontId="19" fillId="0" borderId="10" xfId="0" applyFont="1" applyBorder="1" applyProtection="1">
      <protection hidden="1"/>
    </xf>
    <xf numFmtId="0" fontId="12" fillId="3" borderId="33" xfId="0" applyFont="1" applyFill="1" applyBorder="1" applyAlignment="1" applyProtection="1">
      <alignment horizontal="left"/>
      <protection hidden="1"/>
    </xf>
    <xf numFmtId="0" fontId="12" fillId="3" borderId="22" xfId="0" applyFont="1" applyFill="1" applyBorder="1" applyAlignment="1" applyProtection="1">
      <alignment horizontal="left"/>
      <protection hidden="1"/>
    </xf>
    <xf numFmtId="0" fontId="13" fillId="3" borderId="22" xfId="0" applyFont="1" applyFill="1" applyBorder="1" applyAlignment="1" applyProtection="1">
      <alignment horizontal="left"/>
      <protection hidden="1"/>
    </xf>
    <xf numFmtId="0" fontId="13" fillId="3" borderId="34" xfId="0" applyFont="1" applyFill="1" applyBorder="1" applyAlignment="1" applyProtection="1">
      <alignment horizontal="left"/>
      <protection hidden="1"/>
    </xf>
    <xf numFmtId="0" fontId="12" fillId="5" borderId="33" xfId="0" applyFont="1" applyFill="1" applyBorder="1" applyAlignment="1" applyProtection="1">
      <alignment horizontal="centerContinuous"/>
      <protection hidden="1"/>
    </xf>
    <xf numFmtId="0" fontId="12" fillId="5" borderId="22" xfId="0" applyFont="1" applyFill="1" applyBorder="1" applyAlignment="1" applyProtection="1">
      <alignment horizontal="left"/>
      <protection hidden="1"/>
    </xf>
    <xf numFmtId="37" fontId="23" fillId="2" borderId="13" xfId="0" applyNumberFormat="1" applyFont="1" applyFill="1" applyBorder="1" applyAlignment="1" applyProtection="1">
      <alignment horizontal="center"/>
      <protection hidden="1"/>
    </xf>
    <xf numFmtId="0" fontId="19" fillId="0" borderId="59" xfId="0" applyFont="1" applyBorder="1" applyProtection="1">
      <protection hidden="1"/>
    </xf>
    <xf numFmtId="37" fontId="38" fillId="3" borderId="59" xfId="0" applyNumberFormat="1" applyFont="1" applyFill="1" applyBorder="1" applyProtection="1">
      <protection hidden="1"/>
    </xf>
    <xf numFmtId="37" fontId="38" fillId="3" borderId="61" xfId="0" applyNumberFormat="1" applyFont="1" applyFill="1" applyBorder="1" applyProtection="1">
      <protection hidden="1"/>
    </xf>
    <xf numFmtId="37" fontId="38" fillId="3" borderId="62" xfId="0" applyNumberFormat="1" applyFont="1" applyFill="1" applyBorder="1" applyProtection="1">
      <protection hidden="1"/>
    </xf>
    <xf numFmtId="37" fontId="38" fillId="5" borderId="61" xfId="0" applyNumberFormat="1" applyFont="1" applyFill="1" applyBorder="1" applyProtection="1">
      <protection hidden="1"/>
    </xf>
    <xf numFmtId="37" fontId="38" fillId="5" borderId="62" xfId="0" applyNumberFormat="1" applyFont="1" applyFill="1" applyBorder="1" applyProtection="1">
      <protection hidden="1"/>
    </xf>
    <xf numFmtId="37" fontId="23" fillId="2" borderId="6" xfId="0" applyNumberFormat="1" applyFont="1" applyFill="1" applyBorder="1" applyAlignment="1" applyProtection="1">
      <alignment horizontal="center"/>
      <protection hidden="1"/>
    </xf>
    <xf numFmtId="37" fontId="38" fillId="3" borderId="63" xfId="0" applyNumberFormat="1" applyFont="1" applyFill="1" applyBorder="1" applyProtection="1">
      <protection hidden="1"/>
    </xf>
    <xf numFmtId="37" fontId="38" fillId="3" borderId="7" xfId="0" applyNumberFormat="1" applyFont="1" applyFill="1" applyBorder="1" applyProtection="1">
      <protection hidden="1"/>
    </xf>
    <xf numFmtId="37" fontId="38" fillId="5" borderId="63" xfId="0" applyNumberFormat="1" applyFont="1" applyFill="1" applyBorder="1" applyProtection="1">
      <protection hidden="1"/>
    </xf>
    <xf numFmtId="37" fontId="38" fillId="5" borderId="7" xfId="0" applyNumberFormat="1" applyFont="1" applyFill="1" applyBorder="1" applyProtection="1">
      <protection hidden="1"/>
    </xf>
    <xf numFmtId="0" fontId="23" fillId="2" borderId="3" xfId="0" applyFont="1" applyFill="1" applyBorder="1" applyAlignment="1" applyProtection="1">
      <alignment horizontal="center"/>
      <protection hidden="1"/>
    </xf>
    <xf numFmtId="37" fontId="38" fillId="0" borderId="10" xfId="0" applyNumberFormat="1" applyFont="1" applyBorder="1" applyProtection="1">
      <protection hidden="1"/>
    </xf>
    <xf numFmtId="37" fontId="38" fillId="0" borderId="52" xfId="0" applyNumberFormat="1" applyFont="1" applyBorder="1" applyProtection="1">
      <protection hidden="1"/>
    </xf>
    <xf numFmtId="37" fontId="38" fillId="0" borderId="11" xfId="0" applyNumberFormat="1" applyFont="1" applyBorder="1" applyProtection="1">
      <protection hidden="1"/>
    </xf>
    <xf numFmtId="37" fontId="38" fillId="0" borderId="9" xfId="0" applyNumberFormat="1" applyFont="1" applyBorder="1" applyProtection="1">
      <protection hidden="1"/>
    </xf>
    <xf numFmtId="37" fontId="23" fillId="2" borderId="3" xfId="0" applyNumberFormat="1" applyFont="1" applyFill="1" applyBorder="1" applyAlignment="1" applyProtection="1">
      <alignment horizontal="center"/>
      <protection hidden="1"/>
    </xf>
    <xf numFmtId="37" fontId="38" fillId="3" borderId="10" xfId="0" applyNumberFormat="1" applyFont="1" applyFill="1" applyBorder="1" applyProtection="1">
      <protection hidden="1"/>
    </xf>
    <xf numFmtId="37" fontId="38" fillId="3" borderId="52" xfId="0" applyNumberFormat="1" applyFont="1" applyFill="1" applyBorder="1" applyProtection="1">
      <protection hidden="1"/>
    </xf>
    <xf numFmtId="37" fontId="38" fillId="3" borderId="11" xfId="0" applyNumberFormat="1" applyFont="1" applyFill="1" applyBorder="1" applyProtection="1">
      <protection hidden="1"/>
    </xf>
    <xf numFmtId="37" fontId="38" fillId="5" borderId="9" xfId="0" applyNumberFormat="1" applyFont="1" applyFill="1" applyBorder="1" applyProtection="1">
      <protection hidden="1"/>
    </xf>
    <xf numFmtId="37" fontId="38" fillId="5" borderId="52" xfId="0" applyNumberFormat="1" applyFont="1" applyFill="1" applyBorder="1" applyProtection="1">
      <protection hidden="1"/>
    </xf>
    <xf numFmtId="37" fontId="38" fillId="5" borderId="11" xfId="0" applyNumberFormat="1" applyFont="1" applyFill="1" applyBorder="1" applyProtection="1">
      <protection hidden="1"/>
    </xf>
    <xf numFmtId="37" fontId="40" fillId="3" borderId="64" xfId="0" applyNumberFormat="1" applyFont="1" applyFill="1" applyBorder="1" applyProtection="1">
      <protection locked="0" hidden="1"/>
    </xf>
    <xf numFmtId="0" fontId="44" fillId="0" borderId="0" xfId="99" applyFont="1" applyProtection="1">
      <protection hidden="1"/>
    </xf>
    <xf numFmtId="0" fontId="34" fillId="0" borderId="1" xfId="99" applyFont="1" applyBorder="1" applyAlignment="1" applyProtection="1">
      <alignment horizontal="centerContinuous"/>
      <protection hidden="1"/>
    </xf>
    <xf numFmtId="0" fontId="44" fillId="0" borderId="1" xfId="99" applyFont="1" applyBorder="1" applyAlignment="1" applyProtection="1">
      <alignment horizontal="centerContinuous"/>
      <protection hidden="1"/>
    </xf>
    <xf numFmtId="0" fontId="45" fillId="0" borderId="1" xfId="99" applyFont="1" applyBorder="1" applyAlignment="1" applyProtection="1">
      <alignment horizontal="centerContinuous"/>
      <protection hidden="1"/>
    </xf>
    <xf numFmtId="0" fontId="13" fillId="0" borderId="1" xfId="99" applyFont="1" applyBorder="1" applyAlignment="1" applyProtection="1">
      <alignment horizontal="centerContinuous"/>
      <protection hidden="1"/>
    </xf>
    <xf numFmtId="0" fontId="23" fillId="2" borderId="0" xfId="101" applyFont="1" applyFill="1" applyAlignment="1" applyProtection="1">
      <alignment horizontal="centerContinuous"/>
      <protection hidden="1"/>
    </xf>
    <xf numFmtId="0" fontId="23" fillId="2" borderId="0" xfId="99" applyFont="1" applyFill="1" applyAlignment="1" applyProtection="1">
      <alignment horizontal="centerContinuous"/>
      <protection hidden="1"/>
    </xf>
    <xf numFmtId="0" fontId="13" fillId="3" borderId="0" xfId="99" applyFont="1" applyFill="1" applyAlignment="1" applyProtection="1">
      <alignment horizontal="centerContinuous"/>
      <protection hidden="1"/>
    </xf>
    <xf numFmtId="0" fontId="23" fillId="2" borderId="1" xfId="101" applyFont="1" applyFill="1" applyBorder="1" applyAlignment="1" applyProtection="1">
      <alignment horizontal="centerContinuous"/>
      <protection hidden="1"/>
    </xf>
    <xf numFmtId="0" fontId="21" fillId="2" borderId="1" xfId="101" applyFont="1" applyFill="1" applyBorder="1" applyAlignment="1" applyProtection="1">
      <alignment horizontal="centerContinuous"/>
      <protection hidden="1"/>
    </xf>
    <xf numFmtId="0" fontId="21" fillId="2" borderId="1" xfId="99" applyFont="1" applyFill="1" applyBorder="1" applyAlignment="1" applyProtection="1">
      <alignment horizontal="centerContinuous"/>
      <protection hidden="1"/>
    </xf>
    <xf numFmtId="0" fontId="13" fillId="3" borderId="1" xfId="99" applyFont="1" applyFill="1" applyBorder="1" applyAlignment="1" applyProtection="1">
      <alignment horizontal="centerContinuous"/>
      <protection hidden="1"/>
    </xf>
    <xf numFmtId="0" fontId="21" fillId="2" borderId="8" xfId="99" applyFont="1" applyFill="1" applyBorder="1" applyProtection="1">
      <protection hidden="1"/>
    </xf>
    <xf numFmtId="0" fontId="13" fillId="3" borderId="10" xfId="99" applyFont="1" applyFill="1" applyBorder="1" applyAlignment="1" applyProtection="1">
      <alignment horizontal="center" wrapText="1"/>
      <protection hidden="1"/>
    </xf>
    <xf numFmtId="0" fontId="13" fillId="3" borderId="52" xfId="99" applyFont="1" applyFill="1" applyBorder="1" applyAlignment="1" applyProtection="1">
      <alignment horizontal="center"/>
      <protection hidden="1"/>
    </xf>
    <xf numFmtId="0" fontId="13" fillId="5" borderId="9" xfId="99" applyFont="1" applyFill="1" applyBorder="1" applyAlignment="1" applyProtection="1">
      <alignment horizontal="center" wrapText="1"/>
      <protection hidden="1"/>
    </xf>
    <xf numFmtId="0" fontId="13" fillId="5" borderId="54" xfId="99" applyFont="1" applyFill="1" applyBorder="1" applyAlignment="1" applyProtection="1">
      <alignment horizontal="center"/>
      <protection hidden="1"/>
    </xf>
    <xf numFmtId="0" fontId="13" fillId="3" borderId="40" xfId="99" applyFont="1" applyFill="1" applyBorder="1" applyAlignment="1" applyProtection="1">
      <alignment horizontal="center" wrapText="1"/>
      <protection hidden="1"/>
    </xf>
    <xf numFmtId="0" fontId="19" fillId="0" borderId="29" xfId="99" quotePrefix="1" applyFont="1" applyBorder="1" applyAlignment="1" applyProtection="1">
      <alignment horizontal="left"/>
      <protection hidden="1"/>
    </xf>
    <xf numFmtId="0" fontId="21" fillId="2" borderId="20" xfId="99" applyFont="1" applyFill="1" applyBorder="1" applyAlignment="1" applyProtection="1">
      <alignment horizontal="center"/>
      <protection hidden="1"/>
    </xf>
    <xf numFmtId="3" fontId="16" fillId="3" borderId="65" xfId="99" applyNumberFormat="1" applyFont="1" applyFill="1" applyBorder="1" applyProtection="1">
      <protection hidden="1"/>
    </xf>
    <xf numFmtId="3" fontId="13" fillId="3" borderId="65" xfId="99" applyNumberFormat="1" applyFont="1" applyFill="1" applyBorder="1" applyProtection="1">
      <protection hidden="1"/>
    </xf>
    <xf numFmtId="3" fontId="16" fillId="5" borderId="65" xfId="99" applyNumberFormat="1" applyFont="1" applyFill="1" applyBorder="1" applyProtection="1">
      <protection hidden="1"/>
    </xf>
    <xf numFmtId="3" fontId="13" fillId="5" borderId="65" xfId="99" applyNumberFormat="1" applyFont="1" applyFill="1" applyBorder="1" applyProtection="1">
      <protection hidden="1"/>
    </xf>
    <xf numFmtId="10" fontId="13" fillId="5" borderId="55" xfId="104" applyNumberFormat="1" applyFont="1" applyFill="1" applyBorder="1" applyProtection="1">
      <protection hidden="1"/>
    </xf>
    <xf numFmtId="0" fontId="19" fillId="0" borderId="29" xfId="99" applyFont="1" applyBorder="1" applyAlignment="1" applyProtection="1">
      <alignment horizontal="left"/>
      <protection hidden="1"/>
    </xf>
    <xf numFmtId="0" fontId="20" fillId="2" borderId="0" xfId="101" applyFont="1" applyFill="1" applyProtection="1">
      <protection hidden="1"/>
    </xf>
    <xf numFmtId="0" fontId="13" fillId="3" borderId="9" xfId="99" quotePrefix="1" applyFont="1" applyFill="1" applyBorder="1" applyAlignment="1" applyProtection="1">
      <alignment horizontal="left"/>
      <protection hidden="1"/>
    </xf>
    <xf numFmtId="174" fontId="13" fillId="3" borderId="11" xfId="99" applyNumberFormat="1" applyFont="1" applyFill="1" applyBorder="1" applyProtection="1">
      <protection hidden="1"/>
    </xf>
    <xf numFmtId="3" fontId="16" fillId="0" borderId="10" xfId="99" applyNumberFormat="1" applyFont="1" applyBorder="1" applyProtection="1">
      <protection hidden="1"/>
    </xf>
    <xf numFmtId="3" fontId="16" fillId="0" borderId="15" xfId="99" applyNumberFormat="1" applyFont="1" applyBorder="1" applyProtection="1">
      <protection hidden="1"/>
    </xf>
    <xf numFmtId="0" fontId="28" fillId="0" borderId="9" xfId="99" applyFont="1" applyBorder="1" applyAlignment="1" applyProtection="1">
      <alignment horizontal="center"/>
      <protection hidden="1"/>
    </xf>
    <xf numFmtId="0" fontId="13" fillId="3" borderId="47" xfId="99" quotePrefix="1" applyFont="1" applyFill="1" applyBorder="1" applyAlignment="1" applyProtection="1">
      <alignment horizontal="center"/>
      <protection hidden="1"/>
    </xf>
    <xf numFmtId="169" fontId="13" fillId="5" borderId="55" xfId="104" applyNumberFormat="1" applyFont="1" applyFill="1" applyBorder="1" applyProtection="1">
      <protection hidden="1"/>
    </xf>
    <xf numFmtId="169" fontId="13" fillId="5" borderId="66" xfId="104" applyNumberFormat="1" applyFont="1" applyFill="1" applyBorder="1" applyProtection="1">
      <protection hidden="1"/>
    </xf>
    <xf numFmtId="0" fontId="13" fillId="3" borderId="9" xfId="99" quotePrefix="1" applyFont="1" applyFill="1" applyBorder="1" applyProtection="1">
      <protection hidden="1"/>
    </xf>
    <xf numFmtId="3" fontId="13" fillId="0" borderId="15" xfId="99" applyNumberFormat="1" applyFont="1" applyBorder="1" applyProtection="1">
      <protection hidden="1"/>
    </xf>
    <xf numFmtId="169" fontId="13" fillId="0" borderId="15" xfId="104" applyNumberFormat="1" applyFont="1" applyBorder="1" applyProtection="1">
      <protection hidden="1"/>
    </xf>
    <xf numFmtId="0" fontId="21" fillId="2" borderId="1" xfId="101" applyFont="1" applyFill="1" applyBorder="1" applyProtection="1">
      <protection hidden="1"/>
    </xf>
    <xf numFmtId="0" fontId="21" fillId="2" borderId="9" xfId="99" quotePrefix="1" applyFont="1" applyFill="1" applyBorder="1" applyAlignment="1" applyProtection="1">
      <alignment horizontal="left"/>
      <protection hidden="1"/>
    </xf>
    <xf numFmtId="3" fontId="13" fillId="0" borderId="54" xfId="99" applyNumberFormat="1" applyFont="1" applyBorder="1" applyAlignment="1" applyProtection="1">
      <alignment horizontal="center"/>
      <protection hidden="1"/>
    </xf>
    <xf numFmtId="0" fontId="13" fillId="0" borderId="15" xfId="99" quotePrefix="1" applyFont="1" applyBorder="1" applyAlignment="1" applyProtection="1">
      <alignment horizontal="center"/>
      <protection hidden="1"/>
    </xf>
    <xf numFmtId="0" fontId="13" fillId="3" borderId="67" xfId="99" applyFont="1" applyFill="1" applyBorder="1" applyProtection="1">
      <protection hidden="1"/>
    </xf>
    <xf numFmtId="0" fontId="13" fillId="3" borderId="65" xfId="99" applyFont="1" applyFill="1" applyBorder="1" applyProtection="1">
      <protection hidden="1"/>
    </xf>
    <xf numFmtId="0" fontId="13" fillId="3" borderId="68" xfId="99" applyFont="1" applyFill="1" applyBorder="1" applyProtection="1">
      <protection hidden="1"/>
    </xf>
    <xf numFmtId="0" fontId="13" fillId="3" borderId="29" xfId="99" applyFont="1" applyFill="1" applyBorder="1" applyProtection="1">
      <protection hidden="1"/>
    </xf>
    <xf numFmtId="0" fontId="21" fillId="2" borderId="46" xfId="99" applyFont="1" applyFill="1" applyBorder="1" applyAlignment="1" applyProtection="1">
      <alignment horizontal="center"/>
      <protection hidden="1"/>
    </xf>
    <xf numFmtId="177" fontId="13" fillId="3" borderId="65" xfId="99" applyNumberFormat="1" applyFont="1" applyFill="1" applyBorder="1" applyProtection="1">
      <protection hidden="1"/>
    </xf>
    <xf numFmtId="177" fontId="13" fillId="5" borderId="65" xfId="99" applyNumberFormat="1" applyFont="1" applyFill="1" applyBorder="1" applyProtection="1">
      <protection hidden="1"/>
    </xf>
    <xf numFmtId="0" fontId="13" fillId="3" borderId="67" xfId="99" applyFont="1" applyFill="1" applyBorder="1" applyAlignment="1" applyProtection="1">
      <alignment horizontal="left"/>
      <protection hidden="1"/>
    </xf>
    <xf numFmtId="0" fontId="21" fillId="2" borderId="43" xfId="99" applyFont="1" applyFill="1" applyBorder="1" applyAlignment="1" applyProtection="1">
      <alignment horizontal="center"/>
      <protection hidden="1"/>
    </xf>
    <xf numFmtId="0" fontId="13" fillId="3" borderId="69" xfId="99" applyFont="1" applyFill="1" applyBorder="1" applyProtection="1">
      <protection hidden="1"/>
    </xf>
    <xf numFmtId="0" fontId="13" fillId="3" borderId="70" xfId="99" applyFont="1" applyFill="1" applyBorder="1" applyProtection="1">
      <protection hidden="1"/>
    </xf>
    <xf numFmtId="0" fontId="13" fillId="6" borderId="3" xfId="99" applyFont="1" applyFill="1" applyBorder="1" applyProtection="1">
      <protection hidden="1"/>
    </xf>
    <xf numFmtId="0" fontId="13" fillId="3" borderId="10" xfId="99" applyFont="1" applyFill="1" applyBorder="1" applyAlignment="1" applyProtection="1">
      <alignment horizontal="centerContinuous"/>
      <protection hidden="1"/>
    </xf>
    <xf numFmtId="0" fontId="13" fillId="3" borderId="11" xfId="99" applyFont="1" applyFill="1" applyBorder="1" applyAlignment="1" applyProtection="1">
      <alignment horizontal="centerContinuous"/>
      <protection hidden="1"/>
    </xf>
    <xf numFmtId="0" fontId="13" fillId="5" borderId="10" xfId="99" applyFont="1" applyFill="1" applyBorder="1" applyAlignment="1" applyProtection="1">
      <alignment horizontal="centerContinuous"/>
      <protection hidden="1"/>
    </xf>
    <xf numFmtId="0" fontId="13" fillId="5" borderId="9" xfId="99" applyFont="1" applyFill="1" applyBorder="1" applyAlignment="1" applyProtection="1">
      <alignment horizontal="centerContinuous"/>
      <protection hidden="1"/>
    </xf>
    <xf numFmtId="0" fontId="13" fillId="5" borderId="11" xfId="99" applyFont="1" applyFill="1" applyBorder="1" applyAlignment="1" applyProtection="1">
      <alignment horizontal="centerContinuous"/>
      <protection hidden="1"/>
    </xf>
    <xf numFmtId="3" fontId="13" fillId="3" borderId="10" xfId="99" applyNumberFormat="1" applyFont="1" applyFill="1" applyBorder="1" applyAlignment="1" applyProtection="1">
      <alignment horizontal="centerContinuous"/>
      <protection hidden="1"/>
    </xf>
    <xf numFmtId="0" fontId="13" fillId="3" borderId="22" xfId="99" applyFont="1" applyFill="1" applyBorder="1" applyProtection="1">
      <protection hidden="1"/>
    </xf>
    <xf numFmtId="0" fontId="13" fillId="3" borderId="71" xfId="99" applyFont="1" applyFill="1" applyBorder="1" applyProtection="1">
      <protection hidden="1"/>
    </xf>
    <xf numFmtId="0" fontId="13" fillId="3" borderId="72" xfId="99" applyFont="1" applyFill="1" applyBorder="1" applyProtection="1">
      <protection hidden="1"/>
    </xf>
    <xf numFmtId="0" fontId="13" fillId="3" borderId="73" xfId="99" applyFont="1" applyFill="1" applyBorder="1" applyProtection="1">
      <protection hidden="1"/>
    </xf>
    <xf numFmtId="0" fontId="13" fillId="0" borderId="0" xfId="99" applyFont="1" applyProtection="1">
      <protection hidden="1"/>
    </xf>
    <xf numFmtId="0" fontId="21" fillId="2" borderId="9" xfId="99" applyFont="1" applyFill="1" applyBorder="1" applyProtection="1">
      <protection hidden="1"/>
    </xf>
    <xf numFmtId="0" fontId="21" fillId="2" borderId="52" xfId="99" applyFont="1" applyFill="1" applyBorder="1" applyAlignment="1" applyProtection="1">
      <alignment horizontal="center"/>
      <protection hidden="1"/>
    </xf>
    <xf numFmtId="0" fontId="32" fillId="2" borderId="52" xfId="99" applyFont="1" applyFill="1" applyBorder="1" applyAlignment="1" applyProtection="1">
      <alignment horizontal="center" vertical="center" wrapText="1"/>
      <protection hidden="1"/>
    </xf>
    <xf numFmtId="0" fontId="21" fillId="2" borderId="47" xfId="99" applyFont="1" applyFill="1" applyBorder="1" applyAlignment="1" applyProtection="1">
      <alignment horizontal="center"/>
      <protection hidden="1"/>
    </xf>
    <xf numFmtId="0" fontId="13" fillId="0" borderId="23" xfId="99" applyFont="1" applyBorder="1" applyProtection="1">
      <protection hidden="1"/>
    </xf>
    <xf numFmtId="0" fontId="21" fillId="2" borderId="57" xfId="99" applyFont="1" applyFill="1" applyBorder="1" applyAlignment="1" applyProtection="1">
      <alignment horizontal="center"/>
      <protection hidden="1"/>
    </xf>
    <xf numFmtId="0" fontId="21" fillId="2" borderId="65" xfId="99" applyFont="1" applyFill="1" applyBorder="1" applyAlignment="1" applyProtection="1">
      <alignment horizontal="center"/>
      <protection hidden="1"/>
    </xf>
    <xf numFmtId="0" fontId="19" fillId="0" borderId="28" xfId="99" quotePrefix="1" applyFont="1" applyBorder="1" applyAlignment="1" applyProtection="1">
      <alignment horizontal="left"/>
      <protection hidden="1"/>
    </xf>
    <xf numFmtId="3" fontId="16" fillId="5" borderId="57" xfId="99" applyNumberFormat="1" applyFont="1" applyFill="1" applyBorder="1" applyProtection="1">
      <protection hidden="1"/>
    </xf>
    <xf numFmtId="0" fontId="13" fillId="0" borderId="0" xfId="101" applyFont="1" applyAlignment="1" applyProtection="1">
      <alignment horizontal="center"/>
      <protection hidden="1"/>
    </xf>
    <xf numFmtId="0" fontId="19" fillId="0" borderId="48" xfId="99" applyFont="1" applyBorder="1" applyProtection="1">
      <protection hidden="1"/>
    </xf>
    <xf numFmtId="0" fontId="13" fillId="0" borderId="25" xfId="99" applyFont="1" applyBorder="1" applyProtection="1">
      <protection hidden="1"/>
    </xf>
    <xf numFmtId="3" fontId="16" fillId="5" borderId="70" xfId="99" applyNumberFormat="1" applyFont="1" applyFill="1" applyBorder="1" applyProtection="1">
      <protection hidden="1"/>
    </xf>
    <xf numFmtId="0" fontId="13" fillId="3" borderId="2" xfId="99" applyFont="1" applyFill="1" applyBorder="1" applyProtection="1">
      <protection hidden="1"/>
    </xf>
    <xf numFmtId="0" fontId="13" fillId="3" borderId="1" xfId="99" applyFont="1" applyFill="1" applyBorder="1" applyProtection="1">
      <protection hidden="1"/>
    </xf>
    <xf numFmtId="3" fontId="16" fillId="0" borderId="58" xfId="99" applyNumberFormat="1" applyFont="1" applyBorder="1" applyProtection="1">
      <protection hidden="1"/>
    </xf>
    <xf numFmtId="3" fontId="16" fillId="0" borderId="54" xfId="99" applyNumberFormat="1" applyFont="1" applyBorder="1" applyProtection="1">
      <protection hidden="1"/>
    </xf>
    <xf numFmtId="3" fontId="16" fillId="0" borderId="58" xfId="0" applyNumberFormat="1" applyFont="1" applyBorder="1" applyProtection="1">
      <protection hidden="1"/>
    </xf>
    <xf numFmtId="0" fontId="23" fillId="2" borderId="67" xfId="99" quotePrefix="1" applyFont="1" applyFill="1" applyBorder="1" applyAlignment="1" applyProtection="1">
      <alignment horizontal="left"/>
      <protection hidden="1"/>
    </xf>
    <xf numFmtId="0" fontId="21" fillId="2" borderId="55" xfId="99" quotePrefix="1" applyFont="1" applyFill="1" applyBorder="1" applyAlignment="1" applyProtection="1">
      <alignment horizontal="center"/>
      <protection hidden="1"/>
    </xf>
    <xf numFmtId="0" fontId="13" fillId="0" borderId="1" xfId="99" applyFont="1" applyBorder="1" applyProtection="1">
      <protection hidden="1"/>
    </xf>
    <xf numFmtId="0" fontId="47" fillId="0" borderId="0" xfId="101" applyFont="1" applyProtection="1">
      <protection hidden="1"/>
    </xf>
    <xf numFmtId="0" fontId="13" fillId="0" borderId="0" xfId="99" quotePrefix="1" applyFont="1" applyAlignment="1" applyProtection="1">
      <alignment horizontal="left"/>
      <protection hidden="1"/>
    </xf>
    <xf numFmtId="0" fontId="19" fillId="0" borderId="25" xfId="99" quotePrefix="1" applyFont="1" applyBorder="1" applyAlignment="1" applyProtection="1">
      <alignment horizontal="left"/>
      <protection hidden="1"/>
    </xf>
    <xf numFmtId="0" fontId="21" fillId="2" borderId="74" xfId="99" applyFont="1" applyFill="1" applyBorder="1" applyAlignment="1" applyProtection="1">
      <alignment horizontal="center"/>
      <protection hidden="1"/>
    </xf>
    <xf numFmtId="0" fontId="13" fillId="0" borderId="0" xfId="99" quotePrefix="1" applyFont="1" applyProtection="1">
      <protection hidden="1"/>
    </xf>
    <xf numFmtId="0" fontId="13" fillId="0" borderId="1" xfId="101" applyFont="1" applyBorder="1" applyAlignment="1" applyProtection="1">
      <alignment horizontal="center"/>
      <protection hidden="1"/>
    </xf>
    <xf numFmtId="0" fontId="13" fillId="3" borderId="1" xfId="99" applyFont="1" applyFill="1" applyBorder="1" applyAlignment="1" applyProtection="1">
      <alignment horizontal="left"/>
      <protection hidden="1"/>
    </xf>
    <xf numFmtId="0" fontId="21" fillId="2" borderId="15" xfId="99" applyFont="1" applyFill="1" applyBorder="1" applyAlignment="1" applyProtection="1">
      <alignment horizontal="center"/>
      <protection hidden="1"/>
    </xf>
    <xf numFmtId="0" fontId="15" fillId="0" borderId="0" xfId="101" applyFont="1" applyProtection="1">
      <protection hidden="1"/>
    </xf>
    <xf numFmtId="0" fontId="13" fillId="0" borderId="0" xfId="103" quotePrefix="1" applyFont="1" applyAlignment="1" applyProtection="1">
      <alignment horizontal="left"/>
      <protection hidden="1"/>
    </xf>
    <xf numFmtId="0" fontId="13" fillId="0" borderId="0" xfId="103" applyFont="1" applyProtection="1">
      <protection hidden="1"/>
    </xf>
    <xf numFmtId="3" fontId="40" fillId="3" borderId="43" xfId="15" applyNumberFormat="1" applyFont="1" applyFill="1" applyBorder="1" applyProtection="1">
      <protection locked="0" hidden="1"/>
    </xf>
    <xf numFmtId="3" fontId="40" fillId="3" borderId="75" xfId="15" applyNumberFormat="1" applyFont="1" applyFill="1" applyBorder="1" applyProtection="1">
      <protection locked="0" hidden="1"/>
    </xf>
    <xf numFmtId="3" fontId="40" fillId="3" borderId="46" xfId="15" applyNumberFormat="1" applyFont="1" applyFill="1" applyBorder="1" applyProtection="1">
      <protection locked="0" hidden="1"/>
    </xf>
    <xf numFmtId="3" fontId="40" fillId="3" borderId="76" xfId="15" applyNumberFormat="1" applyFont="1" applyFill="1" applyBorder="1" applyProtection="1">
      <protection locked="0" hidden="1"/>
    </xf>
    <xf numFmtId="3" fontId="40" fillId="3" borderId="65" xfId="99" applyNumberFormat="1" applyFont="1" applyFill="1" applyBorder="1" applyProtection="1">
      <protection locked="0" hidden="1"/>
    </xf>
    <xf numFmtId="0" fontId="21" fillId="2" borderId="77" xfId="99" applyFont="1" applyFill="1" applyBorder="1" applyAlignment="1">
      <alignment horizontal="center"/>
    </xf>
    <xf numFmtId="0" fontId="13" fillId="2" borderId="77" xfId="99" applyFont="1" applyFill="1" applyBorder="1"/>
    <xf numFmtId="0" fontId="26" fillId="0" borderId="0" xfId="0" applyFont="1"/>
    <xf numFmtId="0" fontId="41" fillId="3" borderId="1" xfId="4" applyFont="1" applyFill="1" applyBorder="1" applyProtection="1">
      <protection hidden="1"/>
    </xf>
    <xf numFmtId="0" fontId="51" fillId="0" borderId="78" xfId="0" applyFont="1" applyBorder="1" applyProtection="1">
      <protection hidden="1"/>
    </xf>
    <xf numFmtId="37" fontId="16" fillId="3" borderId="2" xfId="15" applyNumberFormat="1" applyFont="1" applyFill="1" applyBorder="1" applyProtection="1">
      <protection hidden="1"/>
    </xf>
    <xf numFmtId="37" fontId="16" fillId="5" borderId="56" xfId="15" applyNumberFormat="1" applyFont="1" applyFill="1" applyBorder="1" applyProtection="1">
      <protection hidden="1"/>
    </xf>
    <xf numFmtId="37" fontId="16" fillId="3" borderId="33" xfId="15" applyNumberFormat="1" applyFont="1" applyFill="1" applyBorder="1" applyProtection="1">
      <protection hidden="1"/>
    </xf>
    <xf numFmtId="0" fontId="51" fillId="0" borderId="0" xfId="0" applyFont="1" applyProtection="1">
      <protection hidden="1"/>
    </xf>
    <xf numFmtId="37" fontId="40" fillId="3" borderId="67" xfId="15" applyNumberFormat="1" applyFont="1" applyFill="1" applyBorder="1" applyProtection="1">
      <protection locked="0" hidden="1"/>
    </xf>
    <xf numFmtId="3" fontId="40" fillId="3" borderId="28" xfId="0" applyNumberFormat="1" applyFont="1" applyFill="1" applyBorder="1" applyProtection="1">
      <protection locked="0" hidden="1"/>
    </xf>
    <xf numFmtId="3" fontId="40" fillId="3" borderId="64" xfId="0" applyNumberFormat="1" applyFont="1" applyFill="1" applyBorder="1" applyProtection="1">
      <protection locked="0" hidden="1"/>
    </xf>
    <xf numFmtId="3" fontId="40" fillId="3" borderId="43" xfId="0" applyNumberFormat="1" applyFont="1" applyFill="1" applyBorder="1" applyProtection="1">
      <protection locked="0" hidden="1"/>
    </xf>
    <xf numFmtId="3" fontId="40" fillId="3" borderId="46" xfId="0" applyNumberFormat="1" applyFont="1" applyFill="1" applyBorder="1" applyProtection="1">
      <protection locked="0" hidden="1"/>
    </xf>
    <xf numFmtId="3" fontId="16" fillId="3" borderId="16" xfId="15" applyNumberFormat="1" applyFont="1" applyFill="1" applyBorder="1" applyProtection="1">
      <protection hidden="1"/>
    </xf>
    <xf numFmtId="3" fontId="16" fillId="5" borderId="16" xfId="15" applyNumberFormat="1" applyFont="1" applyFill="1" applyBorder="1" applyProtection="1">
      <protection hidden="1"/>
    </xf>
    <xf numFmtId="0" fontId="18" fillId="0" borderId="0" xfId="0" applyFont="1" applyAlignment="1" applyProtection="1">
      <alignment horizontal="left"/>
      <protection hidden="1"/>
    </xf>
    <xf numFmtId="37" fontId="16" fillId="5" borderId="79" xfId="15" applyNumberFormat="1" applyFont="1" applyFill="1" applyBorder="1" applyProtection="1">
      <protection hidden="1"/>
    </xf>
    <xf numFmtId="3" fontId="12" fillId="0" borderId="9" xfId="0" applyNumberFormat="1" applyFont="1" applyBorder="1" applyAlignment="1" applyProtection="1">
      <alignment horizontal="right"/>
      <protection hidden="1"/>
    </xf>
    <xf numFmtId="0" fontId="5" fillId="0" borderId="0" xfId="0" applyFont="1" applyAlignment="1" applyProtection="1">
      <alignment horizontal="right"/>
      <protection hidden="1"/>
    </xf>
    <xf numFmtId="166" fontId="19" fillId="0" borderId="29" xfId="15" applyNumberFormat="1" applyFont="1" applyBorder="1" applyProtection="1">
      <protection hidden="1"/>
    </xf>
    <xf numFmtId="166" fontId="19" fillId="0" borderId="1" xfId="15" applyNumberFormat="1" applyFont="1" applyBorder="1" applyProtection="1">
      <protection hidden="1"/>
    </xf>
    <xf numFmtId="37" fontId="16" fillId="0" borderId="54" xfId="15" applyNumberFormat="1" applyFont="1" applyBorder="1" applyProtection="1">
      <protection hidden="1"/>
    </xf>
    <xf numFmtId="0" fontId="19" fillId="0" borderId="8" xfId="0" applyFont="1" applyBorder="1" applyAlignment="1" applyProtection="1">
      <alignment horizontal="centerContinuous"/>
      <protection hidden="1"/>
    </xf>
    <xf numFmtId="0" fontId="19" fillId="0" borderId="4" xfId="0" applyFont="1" applyBorder="1" applyAlignment="1" applyProtection="1">
      <alignment horizontal="centerContinuous"/>
      <protection hidden="1"/>
    </xf>
    <xf numFmtId="0" fontId="13" fillId="3" borderId="5" xfId="5" applyFont="1" applyFill="1" applyAlignment="1" applyProtection="1">
      <alignment horizontal="center"/>
      <protection hidden="1"/>
    </xf>
    <xf numFmtId="0" fontId="13" fillId="3" borderId="5" xfId="0" applyFont="1" applyFill="1" applyBorder="1" applyAlignment="1" applyProtection="1">
      <alignment horizontal="center"/>
      <protection hidden="1"/>
    </xf>
    <xf numFmtId="0" fontId="13" fillId="3" borderId="2" xfId="5" applyFont="1" applyFill="1" applyBorder="1" applyAlignment="1" applyProtection="1">
      <alignment horizontal="center"/>
      <protection hidden="1"/>
    </xf>
    <xf numFmtId="37" fontId="16" fillId="3" borderId="53" xfId="104" applyNumberFormat="1" applyFont="1" applyFill="1" applyBorder="1" applyProtection="1">
      <protection hidden="1"/>
    </xf>
    <xf numFmtId="37" fontId="16" fillId="5" borderId="4" xfId="104" applyNumberFormat="1" applyFont="1" applyFill="1" applyBorder="1" applyProtection="1">
      <protection hidden="1"/>
    </xf>
    <xf numFmtId="37" fontId="16" fillId="3" borderId="44" xfId="104" applyNumberFormat="1" applyFont="1" applyFill="1" applyBorder="1" applyProtection="1">
      <protection hidden="1"/>
    </xf>
    <xf numFmtId="37" fontId="6" fillId="0" borderId="5" xfId="0" applyNumberFormat="1" applyFont="1" applyBorder="1" applyProtection="1">
      <protection hidden="1"/>
    </xf>
    <xf numFmtId="37" fontId="6" fillId="3" borderId="33" xfId="0" applyNumberFormat="1" applyFont="1" applyFill="1" applyBorder="1" applyProtection="1">
      <protection hidden="1"/>
    </xf>
    <xf numFmtId="37" fontId="6" fillId="3" borderId="42" xfId="0" applyNumberFormat="1" applyFont="1" applyFill="1" applyBorder="1" applyProtection="1">
      <protection hidden="1"/>
    </xf>
    <xf numFmtId="37" fontId="6" fillId="3" borderId="2" xfId="0" applyNumberFormat="1" applyFont="1" applyFill="1" applyBorder="1" applyProtection="1">
      <protection hidden="1"/>
    </xf>
    <xf numFmtId="37" fontId="6" fillId="3" borderId="28" xfId="0" applyNumberFormat="1" applyFont="1" applyFill="1" applyBorder="1" applyProtection="1">
      <protection hidden="1"/>
    </xf>
    <xf numFmtId="37" fontId="16" fillId="3" borderId="28" xfId="0" applyNumberFormat="1" applyFont="1" applyFill="1" applyBorder="1" applyProtection="1">
      <protection hidden="1"/>
    </xf>
    <xf numFmtId="37" fontId="6" fillId="3" borderId="5" xfId="0" applyNumberFormat="1" applyFont="1" applyFill="1" applyBorder="1" applyProtection="1">
      <protection hidden="1"/>
    </xf>
    <xf numFmtId="37" fontId="6" fillId="3" borderId="5" xfId="6" applyNumberFormat="1" applyFont="1" applyFill="1" applyBorder="1" applyProtection="1">
      <protection hidden="1"/>
    </xf>
    <xf numFmtId="0" fontId="21" fillId="2" borderId="9" xfId="0" applyFont="1" applyFill="1" applyBorder="1" applyAlignment="1" applyProtection="1">
      <alignment horizontal="centerContinuous"/>
      <protection hidden="1"/>
    </xf>
    <xf numFmtId="37" fontId="16" fillId="0" borderId="70" xfId="99" applyNumberFormat="1" applyFont="1" applyBorder="1"/>
    <xf numFmtId="0" fontId="13" fillId="5" borderId="70" xfId="0" applyFont="1" applyFill="1" applyBorder="1" applyAlignment="1" applyProtection="1">
      <alignment horizontal="center"/>
      <protection hidden="1"/>
    </xf>
    <xf numFmtId="37" fontId="16" fillId="0" borderId="48" xfId="0" applyNumberFormat="1" applyFont="1" applyBorder="1" applyProtection="1">
      <protection hidden="1"/>
    </xf>
    <xf numFmtId="37" fontId="16" fillId="3" borderId="10" xfId="10" applyNumberFormat="1" applyFont="1" applyFill="1" applyProtection="1">
      <protection hidden="1"/>
    </xf>
    <xf numFmtId="37" fontId="16" fillId="0" borderId="33" xfId="0" applyNumberFormat="1" applyFont="1" applyBorder="1" applyProtection="1">
      <protection hidden="1"/>
    </xf>
    <xf numFmtId="0" fontId="7" fillId="3" borderId="8" xfId="100" applyFont="1" applyFill="1" applyBorder="1" applyProtection="1">
      <protection hidden="1"/>
    </xf>
    <xf numFmtId="37" fontId="15" fillId="3" borderId="14" xfId="15" applyNumberFormat="1" applyFont="1" applyFill="1" applyBorder="1" applyProtection="1">
      <protection locked="0" hidden="1"/>
    </xf>
    <xf numFmtId="37" fontId="15" fillId="3" borderId="0" xfId="15" applyNumberFormat="1" applyFont="1" applyFill="1" applyAlignment="1" applyProtection="1">
      <alignment horizontal="center"/>
      <protection locked="0" hidden="1"/>
    </xf>
    <xf numFmtId="0" fontId="7" fillId="3" borderId="0" xfId="100" applyFont="1" applyFill="1" applyProtection="1">
      <protection hidden="1"/>
    </xf>
    <xf numFmtId="37" fontId="15" fillId="3" borderId="7" xfId="15" applyNumberFormat="1" applyFont="1" applyFill="1" applyBorder="1" applyProtection="1">
      <protection locked="0" hidden="1"/>
    </xf>
    <xf numFmtId="37" fontId="38" fillId="3" borderId="7" xfId="15" applyNumberFormat="1" applyFont="1" applyFill="1" applyBorder="1" applyProtection="1">
      <protection hidden="1"/>
    </xf>
    <xf numFmtId="0" fontId="13" fillId="3" borderId="1" xfId="100" applyFont="1" applyFill="1" applyBorder="1" applyProtection="1">
      <protection hidden="1"/>
    </xf>
    <xf numFmtId="0" fontId="5" fillId="3" borderId="1" xfId="100" applyFont="1" applyFill="1" applyBorder="1" applyProtection="1">
      <protection hidden="1"/>
    </xf>
    <xf numFmtId="37" fontId="38" fillId="3" borderId="4" xfId="15" applyNumberFormat="1" applyFont="1" applyFill="1" applyBorder="1" applyProtection="1">
      <protection hidden="1"/>
    </xf>
    <xf numFmtId="3" fontId="0" fillId="0" borderId="0" xfId="0" applyNumberFormat="1"/>
    <xf numFmtId="49" fontId="15" fillId="0" borderId="0" xfId="0" applyNumberFormat="1" applyFont="1" applyAlignment="1">
      <alignment horizontal="center"/>
    </xf>
    <xf numFmtId="49" fontId="15" fillId="0" borderId="0" xfId="0" applyNumberFormat="1" applyFont="1"/>
    <xf numFmtId="49" fontId="54" fillId="0" borderId="0" xfId="0" applyNumberFormat="1" applyFont="1" applyAlignment="1">
      <alignment horizontal="center"/>
    </xf>
    <xf numFmtId="49" fontId="54" fillId="0" borderId="0" xfId="0" applyNumberFormat="1" applyFont="1"/>
    <xf numFmtId="49" fontId="38" fillId="0" borderId="0" xfId="0" applyNumberFormat="1" applyFont="1"/>
    <xf numFmtId="167" fontId="38" fillId="0" borderId="0" xfId="0" applyNumberFormat="1" applyFont="1"/>
    <xf numFmtId="49" fontId="38" fillId="0" borderId="0" xfId="0" applyNumberFormat="1" applyFont="1" applyAlignment="1">
      <alignment horizontal="left"/>
    </xf>
    <xf numFmtId="9" fontId="38" fillId="0" borderId="0" xfId="104" applyFont="1"/>
    <xf numFmtId="167" fontId="15" fillId="0" borderId="0" xfId="0" applyNumberFormat="1" applyFont="1"/>
    <xf numFmtId="0" fontId="38" fillId="0" borderId="0" xfId="0" applyFont="1"/>
    <xf numFmtId="0" fontId="13" fillId="3" borderId="38" xfId="0" applyFont="1" applyFill="1" applyBorder="1" applyProtection="1">
      <protection hidden="1"/>
    </xf>
    <xf numFmtId="37" fontId="16" fillId="0" borderId="15" xfId="0" applyNumberFormat="1" applyFont="1" applyBorder="1" applyProtection="1">
      <protection hidden="1"/>
    </xf>
    <xf numFmtId="39" fontId="13" fillId="0" borderId="0" xfId="0" applyNumberFormat="1" applyFont="1" applyProtection="1">
      <protection hidden="1"/>
    </xf>
    <xf numFmtId="0" fontId="40" fillId="0" borderId="0" xfId="0" applyFont="1" applyProtection="1">
      <protection hidden="1"/>
    </xf>
    <xf numFmtId="3" fontId="40" fillId="0" borderId="0" xfId="0" applyNumberFormat="1" applyFont="1" applyProtection="1">
      <protection hidden="1"/>
    </xf>
    <xf numFmtId="37" fontId="16" fillId="5" borderId="54" xfId="15" applyNumberFormat="1" applyFont="1" applyFill="1" applyBorder="1" applyProtection="1">
      <protection hidden="1"/>
    </xf>
    <xf numFmtId="165" fontId="16" fillId="0" borderId="0" xfId="15" applyFont="1" applyProtection="1">
      <protection hidden="1"/>
    </xf>
    <xf numFmtId="165" fontId="16" fillId="0" borderId="0" xfId="15" applyFont="1" applyAlignment="1" applyProtection="1">
      <alignment horizontal="center"/>
      <protection hidden="1"/>
    </xf>
    <xf numFmtId="165" fontId="16" fillId="0" borderId="0" xfId="15" quotePrefix="1" applyFont="1" applyProtection="1">
      <protection hidden="1"/>
    </xf>
    <xf numFmtId="49" fontId="38" fillId="0" borderId="0" xfId="0" applyNumberFormat="1" applyFont="1" applyProtection="1">
      <protection hidden="1"/>
    </xf>
    <xf numFmtId="3" fontId="7" fillId="0" borderId="0" xfId="34" applyFont="1" applyProtection="1">
      <protection hidden="1"/>
    </xf>
    <xf numFmtId="37" fontId="16" fillId="3" borderId="80" xfId="0" applyNumberFormat="1" applyFont="1" applyFill="1" applyBorder="1" applyProtection="1">
      <protection hidden="1"/>
    </xf>
    <xf numFmtId="37" fontId="16" fillId="3" borderId="57" xfId="0" applyNumberFormat="1" applyFont="1" applyFill="1" applyBorder="1" applyProtection="1">
      <protection hidden="1"/>
    </xf>
    <xf numFmtId="37" fontId="16" fillId="3" borderId="63" xfId="0" applyNumberFormat="1" applyFont="1" applyFill="1" applyBorder="1" applyProtection="1">
      <protection hidden="1"/>
    </xf>
    <xf numFmtId="37" fontId="16" fillId="5" borderId="80" xfId="0" applyNumberFormat="1" applyFont="1" applyFill="1" applyBorder="1" applyProtection="1">
      <protection hidden="1"/>
    </xf>
    <xf numFmtId="37" fontId="16" fillId="5" borderId="57" xfId="0" applyNumberFormat="1" applyFont="1" applyFill="1" applyBorder="1" applyProtection="1">
      <protection hidden="1"/>
    </xf>
    <xf numFmtId="37" fontId="16" fillId="5" borderId="63" xfId="0" applyNumberFormat="1" applyFont="1" applyFill="1" applyBorder="1" applyProtection="1">
      <protection hidden="1"/>
    </xf>
    <xf numFmtId="37" fontId="16" fillId="3" borderId="57" xfId="15" applyNumberFormat="1" applyFont="1" applyFill="1" applyBorder="1" applyProtection="1">
      <protection hidden="1"/>
    </xf>
    <xf numFmtId="37" fontId="16" fillId="3" borderId="65" xfId="0" applyNumberFormat="1" applyFont="1" applyFill="1" applyBorder="1" applyProtection="1">
      <protection hidden="1"/>
    </xf>
    <xf numFmtId="37" fontId="16" fillId="5" borderId="65" xfId="0" applyNumberFormat="1" applyFont="1" applyFill="1" applyBorder="1" applyProtection="1">
      <protection hidden="1"/>
    </xf>
    <xf numFmtId="37" fontId="16" fillId="3" borderId="81" xfId="0" applyNumberFormat="1" applyFont="1" applyFill="1" applyBorder="1" applyProtection="1">
      <protection hidden="1"/>
    </xf>
    <xf numFmtId="37" fontId="16" fillId="3" borderId="58" xfId="0" applyNumberFormat="1" applyFont="1" applyFill="1" applyBorder="1" applyProtection="1">
      <protection hidden="1"/>
    </xf>
    <xf numFmtId="37" fontId="16" fillId="3" borderId="58" xfId="15" applyNumberFormat="1" applyFont="1" applyFill="1" applyBorder="1" applyProtection="1">
      <protection hidden="1"/>
    </xf>
    <xf numFmtId="37" fontId="16" fillId="5" borderId="81" xfId="0" applyNumberFormat="1" applyFont="1" applyFill="1" applyBorder="1" applyProtection="1">
      <protection hidden="1"/>
    </xf>
    <xf numFmtId="37" fontId="16" fillId="5" borderId="58" xfId="0" applyNumberFormat="1" applyFont="1" applyFill="1" applyBorder="1" applyProtection="1">
      <protection hidden="1"/>
    </xf>
    <xf numFmtId="37" fontId="38" fillId="0" borderId="0" xfId="0" applyNumberFormat="1" applyFont="1" applyProtection="1">
      <protection hidden="1"/>
    </xf>
    <xf numFmtId="0" fontId="15" fillId="0" borderId="0" xfId="103" applyFont="1" applyProtection="1">
      <protection hidden="1"/>
    </xf>
    <xf numFmtId="0" fontId="3" fillId="0" borderId="0" xfId="0" applyFont="1"/>
    <xf numFmtId="0" fontId="57" fillId="0" borderId="0" xfId="0" applyFont="1" applyProtection="1">
      <protection hidden="1"/>
    </xf>
    <xf numFmtId="0" fontId="57" fillId="0" borderId="0" xfId="0" applyFont="1"/>
    <xf numFmtId="0" fontId="42" fillId="0" borderId="0" xfId="103" applyAlignment="1" applyProtection="1">
      <alignment horizontal="centerContinuous"/>
      <protection hidden="1"/>
    </xf>
    <xf numFmtId="0" fontId="42" fillId="7" borderId="0" xfId="103" applyFill="1" applyAlignment="1" applyProtection="1">
      <alignment horizontal="centerContinuous"/>
      <protection hidden="1"/>
    </xf>
    <xf numFmtId="0" fontId="42" fillId="7" borderId="0" xfId="103" applyFill="1" applyAlignment="1">
      <alignment horizontal="centerContinuous"/>
    </xf>
    <xf numFmtId="0" fontId="42" fillId="0" borderId="0" xfId="103" applyAlignment="1">
      <alignment horizontal="centerContinuous"/>
    </xf>
    <xf numFmtId="0" fontId="42" fillId="0" borderId="0" xfId="103" applyProtection="1">
      <protection hidden="1"/>
    </xf>
    <xf numFmtId="0" fontId="57" fillId="0" borderId="0" xfId="101" applyFont="1"/>
    <xf numFmtId="0" fontId="16" fillId="0" borderId="0" xfId="0" applyFont="1" applyProtection="1">
      <protection hidden="1"/>
    </xf>
    <xf numFmtId="0" fontId="12" fillId="3" borderId="33" xfId="0" applyFont="1" applyFill="1" applyBorder="1" applyAlignment="1" applyProtection="1">
      <alignment horizontal="centerContinuous"/>
      <protection hidden="1"/>
    </xf>
    <xf numFmtId="0" fontId="13" fillId="3" borderId="22" xfId="0" applyFont="1" applyFill="1" applyBorder="1" applyAlignment="1" applyProtection="1">
      <alignment horizontal="centerContinuous"/>
      <protection hidden="1"/>
    </xf>
    <xf numFmtId="0" fontId="13" fillId="3" borderId="34" xfId="0" applyFont="1" applyFill="1" applyBorder="1" applyAlignment="1" applyProtection="1">
      <alignment horizontal="centerContinuous"/>
      <protection hidden="1"/>
    </xf>
    <xf numFmtId="0" fontId="13" fillId="5" borderId="22" xfId="0" applyFont="1" applyFill="1" applyBorder="1" applyAlignment="1" applyProtection="1">
      <alignment horizontal="centerContinuous"/>
      <protection hidden="1"/>
    </xf>
    <xf numFmtId="0" fontId="13" fillId="5" borderId="34" xfId="0" applyFont="1" applyFill="1" applyBorder="1" applyAlignment="1" applyProtection="1">
      <alignment horizontal="centerContinuous"/>
      <protection hidden="1"/>
    </xf>
    <xf numFmtId="0" fontId="35" fillId="3" borderId="4" xfId="0" applyFont="1" applyFill="1" applyBorder="1" applyAlignment="1" applyProtection="1">
      <alignment horizontal="center"/>
      <protection hidden="1"/>
    </xf>
    <xf numFmtId="0" fontId="35" fillId="5" borderId="4" xfId="0" applyFont="1" applyFill="1" applyBorder="1" applyAlignment="1" applyProtection="1">
      <alignment horizontal="center"/>
      <protection hidden="1"/>
    </xf>
    <xf numFmtId="37" fontId="16" fillId="3" borderId="34" xfId="0" applyNumberFormat="1" applyFont="1" applyFill="1" applyBorder="1" applyProtection="1">
      <protection hidden="1"/>
    </xf>
    <xf numFmtId="37" fontId="16" fillId="5" borderId="34" xfId="0" applyNumberFormat="1" applyFont="1" applyFill="1" applyBorder="1" applyProtection="1">
      <protection hidden="1"/>
    </xf>
    <xf numFmtId="37" fontId="16" fillId="3" borderId="30" xfId="0" applyNumberFormat="1" applyFont="1" applyFill="1" applyBorder="1" applyProtection="1">
      <protection hidden="1"/>
    </xf>
    <xf numFmtId="37" fontId="16" fillId="5" borderId="16" xfId="0" applyNumberFormat="1" applyFont="1" applyFill="1" applyBorder="1" applyProtection="1">
      <protection hidden="1"/>
    </xf>
    <xf numFmtId="0" fontId="13" fillId="3" borderId="2" xfId="0" quotePrefix="1" applyFont="1" applyFill="1" applyBorder="1" applyAlignment="1" applyProtection="1">
      <alignment horizontal="left"/>
      <protection hidden="1"/>
    </xf>
    <xf numFmtId="0" fontId="13" fillId="3" borderId="26" xfId="0" applyFont="1" applyFill="1" applyBorder="1" applyAlignment="1" applyProtection="1">
      <alignment horizontal="center"/>
      <protection hidden="1"/>
    </xf>
    <xf numFmtId="37" fontId="13" fillId="3" borderId="44" xfId="0" applyNumberFormat="1" applyFont="1" applyFill="1" applyBorder="1" applyAlignment="1" applyProtection="1">
      <alignment horizontal="center"/>
      <protection hidden="1"/>
    </xf>
    <xf numFmtId="37" fontId="13" fillId="5" borderId="44" xfId="0" applyNumberFormat="1" applyFont="1" applyFill="1" applyBorder="1" applyAlignment="1" applyProtection="1">
      <alignment horizontal="center"/>
      <protection hidden="1"/>
    </xf>
    <xf numFmtId="0" fontId="13" fillId="3" borderId="11" xfId="0" applyFont="1" applyFill="1" applyBorder="1" applyAlignment="1" applyProtection="1">
      <alignment horizontal="centerContinuous"/>
      <protection hidden="1"/>
    </xf>
    <xf numFmtId="0" fontId="13" fillId="3" borderId="9" xfId="0" applyFont="1" applyFill="1" applyBorder="1" applyAlignment="1" applyProtection="1">
      <alignment horizontal="centerContinuous"/>
      <protection hidden="1"/>
    </xf>
    <xf numFmtId="0" fontId="13" fillId="5" borderId="11" xfId="0" applyFont="1" applyFill="1" applyBorder="1" applyAlignment="1" applyProtection="1">
      <alignment horizontal="centerContinuous"/>
      <protection hidden="1"/>
    </xf>
    <xf numFmtId="0" fontId="13" fillId="5" borderId="9" xfId="0" applyFont="1" applyFill="1" applyBorder="1" applyAlignment="1" applyProtection="1">
      <alignment horizontal="centerContinuous"/>
      <protection hidden="1"/>
    </xf>
    <xf numFmtId="0" fontId="13" fillId="0" borderId="33" xfId="0" applyFont="1" applyBorder="1" applyProtection="1">
      <protection hidden="1"/>
    </xf>
    <xf numFmtId="37" fontId="16" fillId="5" borderId="82" xfId="0" applyNumberFormat="1" applyFont="1" applyFill="1" applyBorder="1" applyProtection="1">
      <protection hidden="1"/>
    </xf>
    <xf numFmtId="37" fontId="16" fillId="0" borderId="0" xfId="0" applyNumberFormat="1" applyFont="1" applyProtection="1">
      <protection hidden="1"/>
    </xf>
    <xf numFmtId="0" fontId="13" fillId="0" borderId="28" xfId="0" applyFont="1" applyBorder="1" applyProtection="1">
      <protection hidden="1"/>
    </xf>
    <xf numFmtId="0" fontId="13" fillId="0" borderId="5" xfId="0" applyFont="1" applyBorder="1" applyProtection="1">
      <protection hidden="1"/>
    </xf>
    <xf numFmtId="37" fontId="16" fillId="5" borderId="7" xfId="0" applyNumberFormat="1" applyFont="1" applyFill="1" applyBorder="1" applyProtection="1">
      <protection hidden="1"/>
    </xf>
    <xf numFmtId="0" fontId="13" fillId="5" borderId="27" xfId="0" applyFont="1" applyFill="1" applyBorder="1" applyAlignment="1" applyProtection="1">
      <alignment horizontal="centerContinuous"/>
      <protection hidden="1"/>
    </xf>
    <xf numFmtId="0" fontId="16" fillId="2" borderId="2" xfId="0" applyFont="1" applyFill="1" applyBorder="1" applyProtection="1">
      <protection hidden="1"/>
    </xf>
    <xf numFmtId="0" fontId="16" fillId="2" borderId="1" xfId="0" applyFont="1" applyFill="1" applyBorder="1" applyProtection="1">
      <protection hidden="1"/>
    </xf>
    <xf numFmtId="0" fontId="13" fillId="0" borderId="2" xfId="0" applyFont="1" applyBorder="1" applyProtection="1">
      <protection hidden="1"/>
    </xf>
    <xf numFmtId="0" fontId="13" fillId="0" borderId="10" xfId="0" applyFont="1" applyBorder="1" applyProtection="1">
      <protection hidden="1"/>
    </xf>
    <xf numFmtId="0" fontId="13" fillId="0" borderId="11" xfId="0" applyFont="1" applyBorder="1" applyProtection="1">
      <protection hidden="1"/>
    </xf>
    <xf numFmtId="37" fontId="16" fillId="3" borderId="16" xfId="0" applyNumberFormat="1" applyFont="1" applyFill="1" applyBorder="1" applyProtection="1">
      <protection hidden="1"/>
    </xf>
    <xf numFmtId="0" fontId="13" fillId="0" borderId="4" xfId="0" applyFont="1" applyBorder="1" applyProtection="1">
      <protection hidden="1"/>
    </xf>
    <xf numFmtId="0" fontId="13" fillId="8" borderId="0" xfId="0" applyFont="1" applyFill="1" applyProtection="1">
      <protection hidden="1"/>
    </xf>
    <xf numFmtId="0" fontId="13" fillId="0" borderId="0" xfId="0" applyFont="1"/>
    <xf numFmtId="0" fontId="13" fillId="0" borderId="0" xfId="0" applyFont="1" applyAlignment="1">
      <alignment horizontal="center"/>
    </xf>
    <xf numFmtId="0" fontId="13" fillId="8" borderId="5" xfId="0" applyFont="1" applyFill="1" applyBorder="1" applyProtection="1">
      <protection hidden="1"/>
    </xf>
    <xf numFmtId="171" fontId="16" fillId="5" borderId="24" xfId="15" applyNumberFormat="1" applyFont="1" applyFill="1" applyBorder="1" applyProtection="1">
      <protection hidden="1"/>
    </xf>
    <xf numFmtId="0" fontId="13" fillId="8" borderId="5" xfId="0" quotePrefix="1" applyFont="1" applyFill="1" applyBorder="1" applyAlignment="1" applyProtection="1">
      <alignment horizontal="left"/>
      <protection hidden="1"/>
    </xf>
    <xf numFmtId="171" fontId="16" fillId="5" borderId="3" xfId="15" applyNumberFormat="1" applyFont="1" applyFill="1" applyBorder="1" applyProtection="1">
      <protection hidden="1"/>
    </xf>
    <xf numFmtId="171" fontId="16" fillId="0" borderId="27" xfId="15" applyNumberFormat="1" applyFont="1" applyBorder="1" applyProtection="1">
      <protection hidden="1"/>
    </xf>
    <xf numFmtId="0" fontId="16" fillId="8" borderId="0" xfId="0" applyFont="1" applyFill="1" applyProtection="1">
      <protection hidden="1"/>
    </xf>
    <xf numFmtId="0" fontId="12" fillId="0" borderId="10" xfId="0" applyFont="1" applyBorder="1" applyAlignment="1" applyProtection="1">
      <alignment horizontal="centerContinuous"/>
      <protection hidden="1"/>
    </xf>
    <xf numFmtId="0" fontId="12" fillId="0" borderId="9" xfId="0" applyFont="1" applyBorder="1" applyAlignment="1" applyProtection="1">
      <alignment horizontal="centerContinuous"/>
      <protection hidden="1"/>
    </xf>
    <xf numFmtId="0" fontId="12" fillId="0" borderId="11" xfId="0" applyFont="1" applyBorder="1" applyAlignment="1" applyProtection="1">
      <alignment horizontal="centerContinuous"/>
      <protection hidden="1"/>
    </xf>
    <xf numFmtId="0" fontId="13" fillId="0" borderId="23" xfId="0" applyFont="1" applyBorder="1" applyProtection="1">
      <protection hidden="1"/>
    </xf>
    <xf numFmtId="0" fontId="13" fillId="8" borderId="0" xfId="0" applyFont="1" applyFill="1" applyAlignment="1" applyProtection="1">
      <alignment horizontal="centerContinuous"/>
      <protection hidden="1"/>
    </xf>
    <xf numFmtId="37" fontId="16" fillId="8" borderId="0" xfId="0" applyNumberFormat="1" applyFont="1" applyFill="1" applyAlignment="1" applyProtection="1">
      <alignment horizontal="center"/>
      <protection hidden="1"/>
    </xf>
    <xf numFmtId="0" fontId="13" fillId="0" borderId="23" xfId="0" quotePrefix="1" applyFont="1" applyBorder="1" applyAlignment="1" applyProtection="1">
      <alignment horizontal="left"/>
      <protection hidden="1"/>
    </xf>
    <xf numFmtId="37" fontId="16" fillId="8" borderId="0" xfId="0" applyNumberFormat="1" applyFont="1" applyFill="1" applyProtection="1">
      <protection hidden="1"/>
    </xf>
    <xf numFmtId="37" fontId="16" fillId="5" borderId="30" xfId="0" applyNumberFormat="1" applyFont="1" applyFill="1" applyBorder="1" applyProtection="1">
      <protection hidden="1"/>
    </xf>
    <xf numFmtId="10" fontId="16" fillId="0" borderId="15" xfId="0" applyNumberFormat="1" applyFont="1" applyBorder="1" applyAlignment="1" applyProtection="1">
      <alignment horizontal="center"/>
      <protection hidden="1"/>
    </xf>
    <xf numFmtId="0" fontId="13" fillId="3" borderId="10" xfId="0" applyFont="1" applyFill="1" applyBorder="1" applyProtection="1">
      <protection hidden="1"/>
    </xf>
    <xf numFmtId="0" fontId="13" fillId="3" borderId="27" xfId="0" applyFont="1" applyFill="1" applyBorder="1" applyProtection="1">
      <protection hidden="1"/>
    </xf>
    <xf numFmtId="37" fontId="16" fillId="0" borderId="27" xfId="0" applyNumberFormat="1" applyFont="1" applyBorder="1" applyProtection="1">
      <protection hidden="1"/>
    </xf>
    <xf numFmtId="37" fontId="16" fillId="0" borderId="40" xfId="0" applyNumberFormat="1" applyFont="1" applyBorder="1" applyProtection="1">
      <protection hidden="1"/>
    </xf>
    <xf numFmtId="0" fontId="13" fillId="0" borderId="22" xfId="0" applyFont="1" applyBorder="1" applyProtection="1">
      <protection hidden="1"/>
    </xf>
    <xf numFmtId="0" fontId="16" fillId="5" borderId="3" xfId="0" applyFont="1" applyFill="1" applyBorder="1" applyAlignment="1">
      <alignment horizontal="centerContinuous"/>
    </xf>
    <xf numFmtId="0" fontId="12" fillId="5" borderId="22" xfId="0" applyFont="1" applyFill="1" applyBorder="1" applyAlignment="1" applyProtection="1">
      <alignment horizontal="centerContinuous"/>
      <protection hidden="1"/>
    </xf>
    <xf numFmtId="0" fontId="12" fillId="5" borderId="34" xfId="0" applyFont="1" applyFill="1" applyBorder="1" applyAlignment="1" applyProtection="1">
      <alignment horizontal="centerContinuous"/>
      <protection hidden="1"/>
    </xf>
    <xf numFmtId="0" fontId="16" fillId="0" borderId="1" xfId="0" applyFont="1" applyBorder="1" applyAlignment="1" applyProtection="1">
      <alignment horizontal="centerContinuous"/>
      <protection hidden="1"/>
    </xf>
    <xf numFmtId="0" fontId="16" fillId="0" borderId="0" xfId="0" applyFont="1" applyAlignment="1">
      <alignment horizontal="right"/>
    </xf>
    <xf numFmtId="0" fontId="56" fillId="0" borderId="0" xfId="0" applyFont="1" applyAlignment="1" applyProtection="1">
      <alignment horizontal="centerContinuous"/>
      <protection hidden="1"/>
    </xf>
    <xf numFmtId="0" fontId="58" fillId="0" borderId="0" xfId="0" applyFont="1"/>
    <xf numFmtId="0" fontId="57" fillId="0" borderId="0" xfId="0" applyFont="1" applyAlignment="1" applyProtection="1">
      <alignment horizontal="centerContinuous"/>
      <protection hidden="1"/>
    </xf>
    <xf numFmtId="0" fontId="57" fillId="9" borderId="0" xfId="0" applyFont="1" applyFill="1" applyAlignment="1" applyProtection="1">
      <alignment horizontal="center" wrapText="1"/>
      <protection hidden="1"/>
    </xf>
    <xf numFmtId="0" fontId="57" fillId="9" borderId="0" xfId="0" applyFont="1" applyFill="1" applyAlignment="1" applyProtection="1">
      <alignment horizontal="center"/>
      <protection hidden="1"/>
    </xf>
    <xf numFmtId="37" fontId="57" fillId="9" borderId="0" xfId="0" applyNumberFormat="1" applyFont="1" applyFill="1" applyProtection="1">
      <protection hidden="1"/>
    </xf>
    <xf numFmtId="37" fontId="57" fillId="3" borderId="34" xfId="0" applyNumberFormat="1" applyFont="1" applyFill="1" applyBorder="1" applyProtection="1">
      <protection hidden="1"/>
    </xf>
    <xf numFmtId="37" fontId="57" fillId="5" borderId="34" xfId="0" applyNumberFormat="1" applyFont="1" applyFill="1" applyBorder="1" applyProtection="1">
      <protection hidden="1"/>
    </xf>
    <xf numFmtId="37" fontId="57" fillId="3" borderId="16" xfId="0" applyNumberFormat="1" applyFont="1" applyFill="1" applyBorder="1" applyProtection="1">
      <protection hidden="1"/>
    </xf>
    <xf numFmtId="37" fontId="57" fillId="5" borderId="16" xfId="0" applyNumberFormat="1" applyFont="1" applyFill="1" applyBorder="1" applyProtection="1">
      <protection hidden="1"/>
    </xf>
    <xf numFmtId="37" fontId="57" fillId="0" borderId="10" xfId="0" applyNumberFormat="1" applyFont="1" applyBorder="1" applyProtection="1">
      <protection hidden="1"/>
    </xf>
    <xf numFmtId="37" fontId="57" fillId="0" borderId="52" xfId="0" applyNumberFormat="1" applyFont="1" applyBorder="1" applyProtection="1">
      <protection hidden="1"/>
    </xf>
    <xf numFmtId="37" fontId="57" fillId="0" borderId="11" xfId="0" applyNumberFormat="1" applyFont="1" applyBorder="1" applyProtection="1">
      <protection hidden="1"/>
    </xf>
    <xf numFmtId="37" fontId="57" fillId="0" borderId="0" xfId="0" applyNumberFormat="1" applyFont="1" applyProtection="1">
      <protection hidden="1"/>
    </xf>
    <xf numFmtId="3" fontId="57" fillId="0" borderId="0" xfId="0" applyNumberFormat="1" applyFont="1" applyProtection="1">
      <protection hidden="1"/>
    </xf>
    <xf numFmtId="0" fontId="6" fillId="0" borderId="0" xfId="0" applyFont="1"/>
    <xf numFmtId="37" fontId="6" fillId="0" borderId="0" xfId="0" applyNumberFormat="1" applyFont="1"/>
    <xf numFmtId="0" fontId="57" fillId="9" borderId="0" xfId="0" applyFont="1" applyFill="1" applyProtection="1">
      <protection hidden="1"/>
    </xf>
    <xf numFmtId="37" fontId="57" fillId="3" borderId="7" xfId="0" applyNumberFormat="1" applyFont="1" applyFill="1" applyBorder="1" applyProtection="1">
      <protection hidden="1"/>
    </xf>
    <xf numFmtId="37" fontId="57" fillId="5" borderId="7" xfId="0" applyNumberFormat="1" applyFont="1" applyFill="1" applyBorder="1" applyProtection="1">
      <protection hidden="1"/>
    </xf>
    <xf numFmtId="37" fontId="57" fillId="3" borderId="63" xfId="0" applyNumberFormat="1" applyFont="1" applyFill="1" applyBorder="1" applyProtection="1">
      <protection hidden="1"/>
    </xf>
    <xf numFmtId="37" fontId="6" fillId="9" borderId="0" xfId="0" applyNumberFormat="1" applyFont="1" applyFill="1"/>
    <xf numFmtId="0" fontId="6" fillId="9" borderId="0" xfId="0" applyFont="1" applyFill="1"/>
    <xf numFmtId="0" fontId="57" fillId="9" borderId="2" xfId="0" applyFont="1" applyFill="1" applyBorder="1" applyAlignment="1" applyProtection="1">
      <alignment horizontal="center"/>
      <protection hidden="1"/>
    </xf>
    <xf numFmtId="0" fontId="57" fillId="9" borderId="1" xfId="0" applyFont="1" applyFill="1" applyBorder="1" applyAlignment="1" applyProtection="1">
      <alignment horizontal="center"/>
      <protection hidden="1"/>
    </xf>
    <xf numFmtId="3" fontId="57" fillId="9" borderId="0" xfId="0" applyNumberFormat="1" applyFont="1" applyFill="1" applyProtection="1">
      <protection hidden="1"/>
    </xf>
    <xf numFmtId="37" fontId="57" fillId="3" borderId="33" xfId="15" applyNumberFormat="1" applyFont="1" applyFill="1" applyBorder="1" applyProtection="1">
      <protection hidden="1"/>
    </xf>
    <xf numFmtId="37" fontId="57" fillId="5" borderId="79" xfId="15" applyNumberFormat="1" applyFont="1" applyFill="1" applyBorder="1" applyProtection="1">
      <protection hidden="1"/>
    </xf>
    <xf numFmtId="37" fontId="57" fillId="3" borderId="2" xfId="15" applyNumberFormat="1" applyFont="1" applyFill="1" applyBorder="1" applyProtection="1">
      <protection hidden="1"/>
    </xf>
    <xf numFmtId="37" fontId="57" fillId="5" borderId="83" xfId="15" applyNumberFormat="1" applyFont="1" applyFill="1" applyBorder="1" applyProtection="1">
      <protection hidden="1"/>
    </xf>
    <xf numFmtId="37" fontId="57" fillId="0" borderId="10" xfId="15" applyNumberFormat="1" applyFont="1" applyBorder="1" applyProtection="1">
      <protection hidden="1"/>
    </xf>
    <xf numFmtId="37" fontId="57" fillId="0" borderId="54" xfId="15" applyNumberFormat="1" applyFont="1" applyBorder="1" applyProtection="1">
      <protection hidden="1"/>
    </xf>
    <xf numFmtId="37" fontId="57" fillId="3" borderId="10" xfId="15" applyNumberFormat="1" applyFont="1" applyFill="1" applyBorder="1" applyProtection="1">
      <protection hidden="1"/>
    </xf>
    <xf numFmtId="37" fontId="57" fillId="5" borderId="54" xfId="15" applyNumberFormat="1" applyFont="1" applyFill="1" applyBorder="1" applyProtection="1">
      <protection hidden="1"/>
    </xf>
    <xf numFmtId="37" fontId="57" fillId="0" borderId="2" xfId="15" applyNumberFormat="1" applyFont="1" applyBorder="1" applyProtection="1">
      <protection hidden="1"/>
    </xf>
    <xf numFmtId="37" fontId="57" fillId="0" borderId="83" xfId="15" applyNumberFormat="1" applyFont="1" applyBorder="1" applyProtection="1">
      <protection hidden="1"/>
    </xf>
    <xf numFmtId="166" fontId="57" fillId="0" borderId="0" xfId="0" applyNumberFormat="1" applyFont="1" applyProtection="1">
      <protection hidden="1"/>
    </xf>
    <xf numFmtId="37" fontId="6" fillId="0" borderId="0" xfId="0" applyNumberFormat="1" applyFont="1" applyProtection="1">
      <protection hidden="1"/>
    </xf>
    <xf numFmtId="0" fontId="6" fillId="0" borderId="0" xfId="0" applyFont="1" applyProtection="1">
      <protection hidden="1"/>
    </xf>
    <xf numFmtId="37" fontId="57" fillId="5" borderId="82" xfId="15" applyNumberFormat="1" applyFont="1" applyFill="1" applyBorder="1" applyProtection="1">
      <protection hidden="1"/>
    </xf>
    <xf numFmtId="37" fontId="57" fillId="5" borderId="84" xfId="15" applyNumberFormat="1" applyFont="1" applyFill="1" applyBorder="1" applyProtection="1">
      <protection hidden="1"/>
    </xf>
    <xf numFmtId="37" fontId="57" fillId="5" borderId="56" xfId="15" applyNumberFormat="1" applyFont="1" applyFill="1" applyBorder="1" applyProtection="1">
      <protection hidden="1"/>
    </xf>
    <xf numFmtId="37" fontId="57" fillId="0" borderId="85" xfId="15" applyNumberFormat="1" applyFont="1" applyBorder="1" applyProtection="1">
      <protection hidden="1"/>
    </xf>
    <xf numFmtId="37" fontId="57" fillId="0" borderId="0" xfId="0" applyNumberFormat="1" applyFont="1"/>
    <xf numFmtId="176" fontId="57" fillId="0" borderId="0" xfId="0" applyNumberFormat="1" applyFont="1"/>
    <xf numFmtId="0" fontId="56" fillId="0" borderId="0" xfId="0" applyFont="1" applyAlignment="1" applyProtection="1">
      <alignment horizontal="center"/>
      <protection hidden="1"/>
    </xf>
    <xf numFmtId="0" fontId="57" fillId="0" borderId="86" xfId="0" applyFont="1" applyBorder="1" applyAlignment="1" applyProtection="1">
      <alignment horizontal="centerContinuous"/>
      <protection hidden="1"/>
    </xf>
    <xf numFmtId="0" fontId="57" fillId="0" borderId="86" xfId="8" applyFont="1" applyBorder="1" applyAlignment="1" applyProtection="1">
      <alignment horizontal="centerContinuous"/>
      <protection hidden="1"/>
    </xf>
    <xf numFmtId="0" fontId="57" fillId="0" borderId="87" xfId="0" applyFont="1" applyBorder="1" applyAlignment="1" applyProtection="1">
      <alignment horizontal="centerContinuous"/>
      <protection hidden="1"/>
    </xf>
    <xf numFmtId="0" fontId="57" fillId="0" borderId="0" xfId="0" applyFont="1" applyProtection="1">
      <protection locked="0"/>
    </xf>
    <xf numFmtId="0" fontId="57" fillId="0" borderId="0" xfId="0" quotePrefix="1" applyFont="1" applyProtection="1">
      <protection locked="0"/>
    </xf>
    <xf numFmtId="0" fontId="57" fillId="0" borderId="0" xfId="0" applyFont="1" applyProtection="1">
      <protection locked="0" hidden="1"/>
    </xf>
    <xf numFmtId="37" fontId="57" fillId="5" borderId="88" xfId="0" applyNumberFormat="1" applyFont="1" applyFill="1" applyBorder="1" applyProtection="1">
      <protection hidden="1"/>
    </xf>
    <xf numFmtId="37" fontId="57" fillId="5" borderId="89" xfId="0" applyNumberFormat="1" applyFont="1" applyFill="1" applyBorder="1" applyProtection="1">
      <protection hidden="1"/>
    </xf>
    <xf numFmtId="37" fontId="57" fillId="0" borderId="21" xfId="0" applyNumberFormat="1" applyFont="1" applyBorder="1" applyProtection="1">
      <protection hidden="1"/>
    </xf>
    <xf numFmtId="0" fontId="57" fillId="3" borderId="1" xfId="1" applyFont="1" applyFill="1" applyProtection="1">
      <protection hidden="1"/>
    </xf>
    <xf numFmtId="0" fontId="57" fillId="3" borderId="4" xfId="7" applyFont="1" applyFill="1" applyBorder="1" applyAlignment="1" applyProtection="1">
      <alignment horizontal="center"/>
      <protection hidden="1"/>
    </xf>
    <xf numFmtId="37" fontId="57" fillId="5" borderId="90" xfId="0" applyNumberFormat="1" applyFont="1" applyFill="1" applyBorder="1" applyProtection="1">
      <protection hidden="1"/>
    </xf>
    <xf numFmtId="37" fontId="57" fillId="0" borderId="90" xfId="0" applyNumberFormat="1" applyFont="1" applyBorder="1" applyProtection="1">
      <protection hidden="1"/>
    </xf>
    <xf numFmtId="0" fontId="57" fillId="0" borderId="0" xfId="0" applyFont="1" applyAlignment="1" applyProtection="1">
      <alignment horizontal="right"/>
      <protection hidden="1"/>
    </xf>
    <xf numFmtId="39" fontId="57" fillId="0" borderId="0" xfId="0" applyNumberFormat="1" applyFont="1" applyProtection="1">
      <protection hidden="1"/>
    </xf>
    <xf numFmtId="165" fontId="57" fillId="0" borderId="0" xfId="15" applyFont="1" applyProtection="1">
      <protection hidden="1"/>
    </xf>
    <xf numFmtId="166" fontId="57" fillId="0" borderId="0" xfId="15" applyNumberFormat="1" applyFont="1" applyAlignment="1" applyProtection="1">
      <alignment horizontal="right"/>
      <protection hidden="1"/>
    </xf>
    <xf numFmtId="0" fontId="57" fillId="0" borderId="91" xfId="0" applyFont="1" applyBorder="1" applyProtection="1">
      <protection hidden="1"/>
    </xf>
    <xf numFmtId="0" fontId="57" fillId="0" borderId="92" xfId="0" applyFont="1" applyBorder="1" applyProtection="1">
      <protection hidden="1"/>
    </xf>
    <xf numFmtId="0" fontId="57" fillId="0" borderId="78" xfId="0" applyFont="1" applyBorder="1" applyProtection="1">
      <protection hidden="1"/>
    </xf>
    <xf numFmtId="0" fontId="57" fillId="0" borderId="93" xfId="0" applyFont="1" applyBorder="1" applyProtection="1">
      <protection hidden="1"/>
    </xf>
    <xf numFmtId="0" fontId="57" fillId="0" borderId="94" xfId="0" applyFont="1" applyBorder="1" applyProtection="1">
      <protection hidden="1"/>
    </xf>
    <xf numFmtId="0" fontId="57" fillId="0" borderId="95" xfId="0" applyFont="1" applyBorder="1" applyProtection="1">
      <protection hidden="1"/>
    </xf>
    <xf numFmtId="0" fontId="57" fillId="0" borderId="96" xfId="0" applyFont="1" applyBorder="1" applyProtection="1">
      <protection hidden="1"/>
    </xf>
    <xf numFmtId="0" fontId="57" fillId="0" borderId="97" xfId="0" applyFont="1" applyBorder="1" applyProtection="1">
      <protection hidden="1"/>
    </xf>
    <xf numFmtId="178" fontId="57" fillId="0" borderId="0" xfId="0" applyNumberFormat="1" applyFont="1" applyProtection="1">
      <protection hidden="1"/>
    </xf>
    <xf numFmtId="3" fontId="16" fillId="5" borderId="65" xfId="0" applyNumberFormat="1" applyFont="1" applyFill="1" applyBorder="1" applyProtection="1">
      <protection hidden="1"/>
    </xf>
    <xf numFmtId="0" fontId="16" fillId="9" borderId="0" xfId="0" applyFont="1" applyFill="1" applyProtection="1">
      <protection hidden="1"/>
    </xf>
    <xf numFmtId="0" fontId="40" fillId="0" borderId="0" xfId="0" applyFont="1" applyAlignment="1" applyProtection="1">
      <alignment horizontal="center"/>
      <protection hidden="1"/>
    </xf>
    <xf numFmtId="37" fontId="40" fillId="3" borderId="33" xfId="15" applyNumberFormat="1" applyFont="1" applyFill="1" applyBorder="1" applyProtection="1">
      <protection locked="0" hidden="1"/>
    </xf>
    <xf numFmtId="37" fontId="16" fillId="0" borderId="10" xfId="0" applyNumberFormat="1" applyFont="1" applyBorder="1" applyProtection="1">
      <protection hidden="1"/>
    </xf>
    <xf numFmtId="37" fontId="16" fillId="0" borderId="52" xfId="0" applyNumberFormat="1" applyFont="1" applyBorder="1" applyProtection="1">
      <protection hidden="1"/>
    </xf>
    <xf numFmtId="0" fontId="16" fillId="0" borderId="94" xfId="0" applyFont="1" applyBorder="1" applyProtection="1">
      <protection hidden="1"/>
    </xf>
    <xf numFmtId="178" fontId="16" fillId="0" borderId="0" xfId="0" applyNumberFormat="1" applyFont="1" applyProtection="1">
      <protection hidden="1"/>
    </xf>
    <xf numFmtId="37" fontId="40" fillId="5" borderId="79" xfId="15" applyNumberFormat="1" applyFont="1" applyFill="1" applyBorder="1" applyProtection="1">
      <protection locked="0" hidden="1"/>
    </xf>
    <xf numFmtId="37" fontId="40" fillId="5" borderId="22" xfId="0" applyNumberFormat="1" applyFont="1" applyFill="1" applyBorder="1" applyProtection="1">
      <protection locked="0" hidden="1"/>
    </xf>
    <xf numFmtId="37" fontId="40" fillId="5" borderId="23" xfId="0" applyNumberFormat="1" applyFont="1" applyFill="1" applyBorder="1" applyProtection="1">
      <protection locked="0" hidden="1"/>
    </xf>
    <xf numFmtId="37" fontId="40" fillId="5" borderId="0" xfId="0" applyNumberFormat="1" applyFont="1" applyFill="1" applyProtection="1">
      <protection locked="0" hidden="1"/>
    </xf>
    <xf numFmtId="37" fontId="40" fillId="5" borderId="23" xfId="15" applyNumberFormat="1" applyFont="1" applyFill="1" applyBorder="1" applyProtection="1">
      <protection locked="0" hidden="1"/>
    </xf>
    <xf numFmtId="171" fontId="40" fillId="5" borderId="24" xfId="15" applyNumberFormat="1" applyFont="1" applyFill="1" applyBorder="1" applyProtection="1">
      <protection locked="0" hidden="1"/>
    </xf>
    <xf numFmtId="171" fontId="40" fillId="5" borderId="3" xfId="15" applyNumberFormat="1" applyFont="1" applyFill="1" applyBorder="1" applyProtection="1">
      <protection locked="0" hidden="1"/>
    </xf>
    <xf numFmtId="169" fontId="16" fillId="3" borderId="57" xfId="104" applyNumberFormat="1" applyFont="1" applyFill="1" applyBorder="1" applyProtection="1">
      <protection hidden="1"/>
    </xf>
    <xf numFmtId="169" fontId="16" fillId="3" borderId="70" xfId="104" applyNumberFormat="1" applyFont="1" applyFill="1" applyBorder="1" applyProtection="1">
      <protection hidden="1"/>
    </xf>
    <xf numFmtId="169" fontId="16" fillId="3" borderId="52" xfId="104" applyNumberFormat="1" applyFont="1" applyFill="1" applyBorder="1" applyProtection="1">
      <protection hidden="1"/>
    </xf>
    <xf numFmtId="169" fontId="16" fillId="5" borderId="57" xfId="104" applyNumberFormat="1" applyFont="1" applyFill="1" applyBorder="1" applyProtection="1">
      <protection hidden="1"/>
    </xf>
    <xf numFmtId="169" fontId="16" fillId="5" borderId="65" xfId="104" applyNumberFormat="1" applyFont="1" applyFill="1" applyBorder="1" applyProtection="1">
      <protection hidden="1"/>
    </xf>
    <xf numFmtId="169" fontId="16" fillId="5" borderId="70" xfId="104" applyNumberFormat="1" applyFont="1" applyFill="1" applyBorder="1" applyProtection="1">
      <protection hidden="1"/>
    </xf>
    <xf numFmtId="169" fontId="16" fillId="5" borderId="47" xfId="104" applyNumberFormat="1" applyFont="1" applyFill="1" applyBorder="1" applyProtection="1">
      <protection hidden="1"/>
    </xf>
    <xf numFmtId="3" fontId="38" fillId="10" borderId="23" xfId="15" applyNumberFormat="1" applyFont="1" applyFill="1" applyBorder="1" applyProtection="1">
      <protection hidden="1"/>
    </xf>
    <xf numFmtId="37" fontId="16" fillId="3" borderId="42" xfId="0" applyNumberFormat="1" applyFont="1" applyFill="1" applyBorder="1" applyProtection="1">
      <protection hidden="1"/>
    </xf>
    <xf numFmtId="37" fontId="16" fillId="0" borderId="5" xfId="0" applyNumberFormat="1" applyFont="1" applyBorder="1" applyProtection="1">
      <protection hidden="1"/>
    </xf>
    <xf numFmtId="3" fontId="16" fillId="0" borderId="0" xfId="0" applyNumberFormat="1" applyFont="1" applyProtection="1">
      <protection hidden="1"/>
    </xf>
    <xf numFmtId="0" fontId="16" fillId="0" borderId="0" xfId="0" applyFont="1" applyAlignment="1" applyProtection="1">
      <alignment horizontal="right"/>
      <protection hidden="1"/>
    </xf>
    <xf numFmtId="166" fontId="16" fillId="0" borderId="0" xfId="0" applyNumberFormat="1" applyFont="1" applyAlignment="1" applyProtection="1">
      <alignment horizontal="centerContinuous"/>
      <protection hidden="1"/>
    </xf>
    <xf numFmtId="166" fontId="16" fillId="0" borderId="0" xfId="0" applyNumberFormat="1" applyFont="1" applyProtection="1">
      <protection hidden="1"/>
    </xf>
    <xf numFmtId="0" fontId="16" fillId="0" borderId="0" xfId="0" applyFont="1" applyAlignment="1" applyProtection="1">
      <alignment horizontal="centerContinuous"/>
      <protection hidden="1"/>
    </xf>
    <xf numFmtId="166" fontId="6" fillId="0" borderId="0" xfId="0" applyNumberFormat="1" applyFont="1" applyProtection="1">
      <protection hidden="1"/>
    </xf>
    <xf numFmtId="0" fontId="6" fillId="0" borderId="0" xfId="0" applyFont="1" applyAlignment="1" applyProtection="1">
      <alignment horizontal="right"/>
      <protection hidden="1"/>
    </xf>
    <xf numFmtId="166" fontId="19" fillId="0" borderId="0" xfId="15" applyNumberFormat="1" applyFont="1" applyProtection="1">
      <protection hidden="1"/>
    </xf>
    <xf numFmtId="37" fontId="53" fillId="0" borderId="0" xfId="0" applyNumberFormat="1" applyFont="1" applyProtection="1">
      <protection hidden="1"/>
    </xf>
    <xf numFmtId="166" fontId="16" fillId="0" borderId="0" xfId="0" applyNumberFormat="1" applyFont="1"/>
    <xf numFmtId="0" fontId="16" fillId="0" borderId="0" xfId="101" applyFont="1"/>
    <xf numFmtId="0" fontId="0" fillId="9" borderId="0" xfId="0" applyFill="1"/>
    <xf numFmtId="0" fontId="0" fillId="0" borderId="0" xfId="0" applyAlignment="1">
      <alignment horizontal="center" wrapText="1"/>
    </xf>
    <xf numFmtId="0" fontId="0" fillId="0" borderId="0" xfId="0" applyAlignment="1">
      <alignment wrapText="1"/>
    </xf>
    <xf numFmtId="3" fontId="17" fillId="0" borderId="0" xfId="34" quotePrefix="1" applyFont="1" applyProtection="1">
      <protection hidden="1"/>
    </xf>
    <xf numFmtId="0" fontId="0" fillId="0" borderId="0" xfId="0" applyAlignment="1">
      <alignment horizontal="center"/>
    </xf>
    <xf numFmtId="0" fontId="13" fillId="0" borderId="0" xfId="0" applyFont="1" applyAlignment="1" applyProtection="1">
      <alignment horizontal="centerContinuous"/>
      <protection hidden="1"/>
    </xf>
    <xf numFmtId="0" fontId="19" fillId="3" borderId="0" xfId="124" applyFont="1" applyFill="1" applyBorder="1" applyAlignment="1" applyProtection="1">
      <alignment horizontal="center"/>
      <protection hidden="1"/>
    </xf>
    <xf numFmtId="0" fontId="13" fillId="11" borderId="77" xfId="99" applyFont="1" applyFill="1" applyBorder="1" applyAlignment="1">
      <alignment horizontal="center"/>
    </xf>
    <xf numFmtId="3" fontId="40" fillId="10" borderId="52" xfId="99" applyNumberFormat="1" applyFont="1" applyFill="1" applyBorder="1" applyProtection="1">
      <protection locked="0" hidden="1"/>
    </xf>
    <xf numFmtId="3" fontId="40" fillId="5" borderId="65" xfId="15" applyNumberFormat="1" applyFont="1" applyFill="1" applyBorder="1" applyProtection="1">
      <protection locked="0" hidden="1"/>
    </xf>
    <xf numFmtId="3" fontId="40" fillId="10" borderId="2" xfId="0" applyNumberFormat="1" applyFont="1" applyFill="1" applyBorder="1" applyProtection="1">
      <protection locked="0" hidden="1"/>
    </xf>
    <xf numFmtId="3" fontId="40" fillId="10" borderId="15" xfId="99" applyNumberFormat="1" applyFont="1" applyFill="1" applyBorder="1" applyProtection="1">
      <protection locked="0" hidden="1"/>
    </xf>
    <xf numFmtId="3" fontId="40" fillId="10" borderId="11" xfId="99" applyNumberFormat="1" applyFont="1" applyFill="1" applyBorder="1" applyProtection="1">
      <protection locked="0" hidden="1"/>
    </xf>
    <xf numFmtId="3" fontId="40" fillId="10" borderId="58" xfId="99" applyNumberFormat="1" applyFont="1" applyFill="1" applyBorder="1" applyProtection="1">
      <protection locked="0" hidden="1"/>
    </xf>
    <xf numFmtId="37" fontId="40" fillId="0" borderId="10" xfId="0" applyNumberFormat="1" applyFont="1" applyBorder="1" applyProtection="1">
      <protection locked="0" hidden="1"/>
    </xf>
    <xf numFmtId="37" fontId="40" fillId="0" borderId="11" xfId="0" applyNumberFormat="1" applyFont="1" applyBorder="1" applyProtection="1">
      <protection locked="0" hidden="1"/>
    </xf>
    <xf numFmtId="37" fontId="40" fillId="0" borderId="51" xfId="0" applyNumberFormat="1" applyFont="1" applyBorder="1" applyProtection="1">
      <protection locked="0" hidden="1"/>
    </xf>
    <xf numFmtId="37" fontId="16" fillId="3" borderId="4" xfId="0" applyNumberFormat="1" applyFont="1" applyFill="1" applyBorder="1" applyProtection="1">
      <protection hidden="1"/>
    </xf>
    <xf numFmtId="37" fontId="40" fillId="3" borderId="23" xfId="15" applyNumberFormat="1" applyFont="1" applyFill="1" applyBorder="1" applyProtection="1">
      <protection locked="0" hidden="1"/>
    </xf>
    <xf numFmtId="0" fontId="13" fillId="3" borderId="12" xfId="0" applyFont="1" applyFill="1" applyBorder="1" applyAlignment="1" applyProtection="1">
      <alignment horizontal="center"/>
      <protection hidden="1"/>
    </xf>
    <xf numFmtId="0" fontId="13" fillId="3" borderId="98" xfId="0" applyFont="1" applyFill="1" applyBorder="1" applyAlignment="1" applyProtection="1">
      <alignment horizontal="center"/>
      <protection hidden="1"/>
    </xf>
    <xf numFmtId="169" fontId="16" fillId="3" borderId="2" xfId="104" applyNumberFormat="1" applyFont="1" applyFill="1" applyBorder="1" applyAlignment="1" applyProtection="1">
      <alignment horizontal="center"/>
      <protection hidden="1"/>
    </xf>
    <xf numFmtId="0" fontId="13" fillId="5" borderId="12" xfId="0" applyFont="1" applyFill="1" applyBorder="1" applyAlignment="1" applyProtection="1">
      <alignment horizontal="center"/>
      <protection hidden="1"/>
    </xf>
    <xf numFmtId="0" fontId="13" fillId="5" borderId="98" xfId="0" applyFont="1" applyFill="1" applyBorder="1" applyAlignment="1" applyProtection="1">
      <alignment horizontal="center"/>
      <protection hidden="1"/>
    </xf>
    <xf numFmtId="169" fontId="16" fillId="5" borderId="2" xfId="104" applyNumberFormat="1" applyFont="1" applyFill="1" applyBorder="1" applyAlignment="1" applyProtection="1">
      <alignment horizontal="center"/>
      <protection hidden="1"/>
    </xf>
    <xf numFmtId="37" fontId="40" fillId="5" borderId="28" xfId="15" applyNumberFormat="1" applyFont="1" applyFill="1" applyBorder="1" applyProtection="1">
      <protection locked="0" hidden="1"/>
    </xf>
    <xf numFmtId="166" fontId="13" fillId="0" borderId="0" xfId="15" applyNumberFormat="1" applyFont="1" applyAlignment="1">
      <alignment horizontal="right"/>
    </xf>
    <xf numFmtId="166" fontId="57" fillId="0" borderId="0" xfId="15" applyNumberFormat="1" applyFont="1"/>
    <xf numFmtId="166" fontId="13" fillId="0" borderId="0" xfId="99" applyNumberFormat="1" applyFont="1"/>
    <xf numFmtId="0" fontId="32" fillId="2" borderId="16" xfId="0" applyFont="1" applyFill="1" applyBorder="1" applyAlignment="1" applyProtection="1">
      <alignment horizontal="center"/>
      <protection hidden="1"/>
    </xf>
    <xf numFmtId="0" fontId="32" fillId="2" borderId="7" xfId="0" applyFont="1" applyFill="1" applyBorder="1" applyAlignment="1" applyProtection="1">
      <alignment horizontal="center"/>
      <protection hidden="1"/>
    </xf>
    <xf numFmtId="0" fontId="35" fillId="0" borderId="11" xfId="0" applyFont="1" applyBorder="1" applyAlignment="1" applyProtection="1">
      <alignment horizontal="center"/>
      <protection hidden="1"/>
    </xf>
    <xf numFmtId="0" fontId="32" fillId="2" borderId="23" xfId="0" applyFont="1" applyFill="1" applyBorder="1" applyAlignment="1" applyProtection="1">
      <alignment horizontal="center"/>
      <protection hidden="1"/>
    </xf>
    <xf numFmtId="0" fontId="32" fillId="2" borderId="5" xfId="0" applyFont="1" applyFill="1" applyBorder="1" applyAlignment="1" applyProtection="1">
      <alignment horizontal="center"/>
      <protection hidden="1"/>
    </xf>
    <xf numFmtId="0" fontId="32" fillId="2" borderId="11" xfId="0" applyFont="1" applyFill="1" applyBorder="1" applyAlignment="1" applyProtection="1">
      <alignment horizontal="center"/>
      <protection hidden="1"/>
    </xf>
    <xf numFmtId="37" fontId="16" fillId="0" borderId="63" xfId="0" applyNumberFormat="1" applyFont="1" applyBorder="1" applyProtection="1">
      <protection hidden="1"/>
    </xf>
    <xf numFmtId="3" fontId="16" fillId="12" borderId="0" xfId="34" applyFont="1" applyFill="1" applyAlignment="1" applyProtection="1">
      <alignment wrapText="1"/>
      <protection hidden="1"/>
    </xf>
    <xf numFmtId="3" fontId="16" fillId="9" borderId="0" xfId="34" applyFont="1" applyFill="1" applyAlignment="1" applyProtection="1">
      <alignment wrapText="1"/>
      <protection hidden="1"/>
    </xf>
    <xf numFmtId="3" fontId="16" fillId="0" borderId="0" xfId="34" quotePrefix="1" applyFont="1" applyProtection="1">
      <protection hidden="1"/>
    </xf>
    <xf numFmtId="0" fontId="16" fillId="0" borderId="0" xfId="0" quotePrefix="1" applyFont="1"/>
    <xf numFmtId="165" fontId="16" fillId="12" borderId="0" xfId="15" applyFont="1" applyFill="1" applyAlignment="1" applyProtection="1">
      <alignment wrapText="1"/>
      <protection hidden="1"/>
    </xf>
    <xf numFmtId="0" fontId="17" fillId="0" borderId="0" xfId="0" applyFont="1" applyAlignment="1">
      <alignment horizontal="centerContinuous"/>
    </xf>
    <xf numFmtId="179" fontId="16" fillId="0" borderId="0" xfId="0" applyNumberFormat="1" applyFont="1" applyAlignment="1">
      <alignment horizontal="left"/>
    </xf>
    <xf numFmtId="0" fontId="16" fillId="0" borderId="0" xfId="0" applyFont="1" applyAlignment="1">
      <alignment horizontal="left"/>
    </xf>
    <xf numFmtId="0" fontId="16" fillId="0" borderId="0" xfId="0" applyFont="1" applyAlignment="1">
      <alignment horizontal="center"/>
    </xf>
    <xf numFmtId="179" fontId="16" fillId="0" borderId="57" xfId="0" applyNumberFormat="1" applyFont="1" applyBorder="1" applyAlignment="1">
      <alignment horizontal="center" wrapText="1"/>
    </xf>
    <xf numFmtId="49" fontId="16" fillId="0" borderId="57" xfId="0" applyNumberFormat="1" applyFont="1" applyBorder="1" applyAlignment="1">
      <alignment horizontal="center"/>
    </xf>
    <xf numFmtId="0" fontId="16" fillId="0" borderId="64" xfId="0" applyFont="1" applyBorder="1" applyAlignment="1">
      <alignment horizontal="center" wrapText="1"/>
    </xf>
    <xf numFmtId="49" fontId="16" fillId="0" borderId="64" xfId="0" applyNumberFormat="1" applyFont="1" applyBorder="1" applyAlignment="1">
      <alignment horizontal="center" wrapText="1"/>
    </xf>
    <xf numFmtId="0" fontId="16" fillId="0" borderId="57" xfId="0" applyFont="1" applyBorder="1" applyAlignment="1">
      <alignment horizontal="center" wrapText="1"/>
    </xf>
    <xf numFmtId="0" fontId="16" fillId="0" borderId="0" xfId="0" applyFont="1" applyAlignment="1">
      <alignment horizontal="center" wrapText="1"/>
    </xf>
    <xf numFmtId="179" fontId="16" fillId="0" borderId="0" xfId="0" quotePrefix="1" applyNumberFormat="1" applyFont="1" applyAlignment="1">
      <alignment horizontal="left"/>
    </xf>
    <xf numFmtId="49" fontId="16" fillId="0" borderId="0" xfId="0" applyNumberFormat="1" applyFont="1" applyAlignment="1">
      <alignment horizontal="left"/>
    </xf>
    <xf numFmtId="0" fontId="19" fillId="0" borderId="0" xfId="0" applyFont="1" applyAlignment="1" applyProtection="1">
      <alignment horizontal="left"/>
      <protection hidden="1"/>
    </xf>
    <xf numFmtId="3" fontId="0" fillId="0" borderId="0" xfId="0" applyNumberFormat="1" applyAlignment="1">
      <alignment horizontal="right"/>
    </xf>
    <xf numFmtId="172" fontId="6" fillId="0" borderId="0" xfId="15" applyNumberFormat="1"/>
    <xf numFmtId="166" fontId="6" fillId="0" borderId="0" xfId="15" applyNumberFormat="1"/>
    <xf numFmtId="4" fontId="0" fillId="0" borderId="0" xfId="0" applyNumberFormat="1"/>
    <xf numFmtId="0" fontId="59" fillId="0" borderId="0" xfId="0" applyFont="1"/>
    <xf numFmtId="171" fontId="0" fillId="0" borderId="0" xfId="0" applyNumberFormat="1"/>
    <xf numFmtId="0" fontId="17" fillId="0" borderId="0" xfId="0" applyFont="1" applyAlignment="1">
      <alignment horizontal="left"/>
    </xf>
    <xf numFmtId="168" fontId="6" fillId="0" borderId="0" xfId="15" applyNumberFormat="1"/>
    <xf numFmtId="0" fontId="28" fillId="0" borderId="0" xfId="99" quotePrefix="1" applyFont="1" applyAlignment="1">
      <alignment horizontal="left"/>
    </xf>
    <xf numFmtId="0" fontId="28" fillId="0" borderId="0" xfId="99" quotePrefix="1" applyFont="1"/>
    <xf numFmtId="0" fontId="13" fillId="11" borderId="99" xfId="99" applyFont="1" applyFill="1" applyBorder="1" applyAlignment="1">
      <alignment horizontal="center"/>
    </xf>
    <xf numFmtId="0" fontId="13" fillId="11" borderId="100" xfId="99" applyFont="1" applyFill="1" applyBorder="1" applyAlignment="1">
      <alignment horizontal="center"/>
    </xf>
    <xf numFmtId="0" fontId="19" fillId="3" borderId="0" xfId="99" applyFont="1" applyFill="1"/>
    <xf numFmtId="37" fontId="33" fillId="13" borderId="0" xfId="0" applyNumberFormat="1" applyFont="1" applyFill="1"/>
    <xf numFmtId="0" fontId="21" fillId="13" borderId="0" xfId="0" applyFont="1" applyFill="1" applyAlignment="1">
      <alignment horizontal="left"/>
    </xf>
    <xf numFmtId="0" fontId="20" fillId="13" borderId="0" xfId="0" applyFont="1" applyFill="1" applyAlignment="1">
      <alignment horizontal="right"/>
    </xf>
    <xf numFmtId="0" fontId="20" fillId="13" borderId="0" xfId="0" applyFont="1" applyFill="1"/>
    <xf numFmtId="0" fontId="28" fillId="0" borderId="0" xfId="101" applyFont="1"/>
    <xf numFmtId="49" fontId="16" fillId="0" borderId="0" xfId="0" applyNumberFormat="1" applyFont="1" applyAlignment="1">
      <alignment horizontal="center"/>
    </xf>
    <xf numFmtId="0" fontId="0" fillId="0" borderId="0" xfId="0" applyAlignment="1">
      <alignment horizontal="left"/>
    </xf>
    <xf numFmtId="49" fontId="0" fillId="0" borderId="0" xfId="0" applyNumberFormat="1" applyAlignment="1">
      <alignment horizontal="left"/>
    </xf>
    <xf numFmtId="10" fontId="6" fillId="0" borderId="0" xfId="15" applyNumberFormat="1"/>
    <xf numFmtId="169" fontId="16" fillId="0" borderId="15" xfId="0" applyNumberFormat="1" applyFont="1" applyBorder="1" applyAlignment="1" applyProtection="1">
      <alignment horizontal="center"/>
      <protection hidden="1"/>
    </xf>
    <xf numFmtId="0" fontId="16" fillId="0" borderId="1" xfId="0" applyFont="1" applyBorder="1" applyAlignment="1">
      <alignment horizontal="centerContinuous"/>
    </xf>
    <xf numFmtId="37" fontId="16" fillId="0" borderId="29" xfId="0" applyNumberFormat="1" applyFont="1" applyBorder="1"/>
    <xf numFmtId="169" fontId="16" fillId="0" borderId="0" xfId="104" applyNumberFormat="1" applyFont="1"/>
    <xf numFmtId="37" fontId="16" fillId="9" borderId="0" xfId="0" applyNumberFormat="1" applyFont="1" applyFill="1" applyProtection="1">
      <protection hidden="1"/>
    </xf>
    <xf numFmtId="37" fontId="16" fillId="3" borderId="56" xfId="0" applyNumberFormat="1" applyFont="1" applyFill="1" applyBorder="1" applyProtection="1">
      <protection hidden="1"/>
    </xf>
    <xf numFmtId="3" fontId="16" fillId="9" borderId="0" xfId="0" applyNumberFormat="1" applyFont="1" applyFill="1" applyProtection="1">
      <protection hidden="1"/>
    </xf>
    <xf numFmtId="37" fontId="16" fillId="5" borderId="56" xfId="0" applyNumberFormat="1" applyFont="1" applyFill="1" applyBorder="1" applyProtection="1">
      <protection hidden="1"/>
    </xf>
    <xf numFmtId="37" fontId="16" fillId="3" borderId="82" xfId="0" applyNumberFormat="1" applyFont="1" applyFill="1" applyBorder="1" applyProtection="1">
      <protection hidden="1"/>
    </xf>
    <xf numFmtId="37" fontId="17" fillId="9" borderId="0" xfId="0" applyNumberFormat="1" applyFont="1" applyFill="1" applyAlignment="1">
      <alignment horizontal="centerContinuous"/>
    </xf>
    <xf numFmtId="37" fontId="16" fillId="0" borderId="88" xfId="0" applyNumberFormat="1" applyFont="1" applyBorder="1" applyProtection="1">
      <protection hidden="1"/>
    </xf>
    <xf numFmtId="37" fontId="16" fillId="0" borderId="21" xfId="0" applyNumberFormat="1" applyFont="1" applyBorder="1" applyProtection="1">
      <protection hidden="1"/>
    </xf>
    <xf numFmtId="0" fontId="13" fillId="0" borderId="23" xfId="0" applyFont="1" applyBorder="1" applyAlignment="1" applyProtection="1">
      <alignment horizontal="right"/>
      <protection hidden="1"/>
    </xf>
    <xf numFmtId="0" fontId="21" fillId="4" borderId="1" xfId="0" applyFont="1" applyFill="1" applyBorder="1" applyAlignment="1" applyProtection="1">
      <alignment horizontal="right"/>
      <protection hidden="1"/>
    </xf>
    <xf numFmtId="49" fontId="38" fillId="9" borderId="0" xfId="0" applyNumberFormat="1" applyFont="1" applyFill="1"/>
    <xf numFmtId="165" fontId="38" fillId="0" borderId="0" xfId="0" applyNumberFormat="1" applyFont="1" applyProtection="1">
      <protection hidden="1"/>
    </xf>
    <xf numFmtId="0" fontId="38" fillId="0" borderId="0" xfId="0" applyFont="1" applyProtection="1">
      <protection hidden="1"/>
    </xf>
    <xf numFmtId="0" fontId="57" fillId="0" borderId="0" xfId="15" applyNumberFormat="1" applyFont="1" applyProtection="1">
      <protection hidden="1"/>
    </xf>
    <xf numFmtId="0" fontId="6" fillId="0" borderId="0" xfId="0" applyFont="1" applyAlignment="1" applyProtection="1">
      <alignment horizontal="centerContinuous"/>
      <protection hidden="1"/>
    </xf>
    <xf numFmtId="0" fontId="6" fillId="9" borderId="0" xfId="0" applyFont="1" applyFill="1" applyAlignment="1" applyProtection="1">
      <alignment horizontal="center"/>
      <protection hidden="1"/>
    </xf>
    <xf numFmtId="0" fontId="6" fillId="9" borderId="0" xfId="0" applyFont="1" applyFill="1" applyProtection="1">
      <protection hidden="1"/>
    </xf>
    <xf numFmtId="165" fontId="16" fillId="0" borderId="0" xfId="15" applyFont="1" applyAlignment="1" applyProtection="1">
      <alignment horizontal="left"/>
      <protection hidden="1"/>
    </xf>
    <xf numFmtId="0" fontId="17" fillId="0" borderId="0" xfId="0" applyFont="1" applyProtection="1">
      <protection hidden="1"/>
    </xf>
    <xf numFmtId="49" fontId="37" fillId="0" borderId="0" xfId="0" applyNumberFormat="1" applyFont="1" applyProtection="1">
      <protection hidden="1"/>
    </xf>
    <xf numFmtId="37" fontId="16" fillId="3" borderId="7" xfId="0" applyNumberFormat="1" applyFont="1" applyFill="1" applyBorder="1" applyProtection="1">
      <protection hidden="1"/>
    </xf>
    <xf numFmtId="37" fontId="16" fillId="0" borderId="9" xfId="0" applyNumberFormat="1" applyFont="1" applyBorder="1" applyProtection="1">
      <protection hidden="1"/>
    </xf>
    <xf numFmtId="37" fontId="16" fillId="0" borderId="3" xfId="0" applyNumberFormat="1" applyFont="1" applyBorder="1" applyProtection="1">
      <protection hidden="1"/>
    </xf>
    <xf numFmtId="17" fontId="54" fillId="0" borderId="0" xfId="0" applyNumberFormat="1" applyFont="1" applyAlignment="1">
      <alignment horizontal="center" wrapText="1"/>
    </xf>
    <xf numFmtId="17" fontId="38" fillId="0" borderId="0" xfId="0" applyNumberFormat="1" applyFont="1"/>
    <xf numFmtId="9" fontId="13" fillId="5" borderId="55" xfId="104" applyFont="1" applyFill="1" applyBorder="1" applyProtection="1">
      <protection hidden="1"/>
    </xf>
    <xf numFmtId="166" fontId="38" fillId="0" borderId="0" xfId="15" applyNumberFormat="1" applyFont="1"/>
    <xf numFmtId="168" fontId="16" fillId="0" borderId="0" xfId="15" applyNumberFormat="1" applyFont="1" applyProtection="1">
      <protection hidden="1"/>
    </xf>
    <xf numFmtId="0" fontId="16" fillId="14" borderId="0" xfId="0" applyFont="1" applyFill="1" applyAlignment="1">
      <alignment horizontal="left"/>
    </xf>
    <xf numFmtId="0" fontId="17" fillId="14" borderId="0" xfId="0" applyFont="1" applyFill="1" applyAlignment="1">
      <alignment horizontal="left"/>
    </xf>
    <xf numFmtId="0" fontId="0" fillId="14" borderId="0" xfId="0" applyFill="1"/>
    <xf numFmtId="37" fontId="16" fillId="0" borderId="54" xfId="0" applyNumberFormat="1" applyFont="1" applyBorder="1" applyProtection="1">
      <protection hidden="1"/>
    </xf>
    <xf numFmtId="37" fontId="16" fillId="10" borderId="49" xfId="0" applyNumberFormat="1" applyFont="1" applyFill="1" applyBorder="1" applyProtection="1">
      <protection hidden="1"/>
    </xf>
    <xf numFmtId="37" fontId="13" fillId="10" borderId="42" xfId="0" applyNumberFormat="1" applyFont="1" applyFill="1" applyBorder="1" applyProtection="1">
      <protection hidden="1"/>
    </xf>
    <xf numFmtId="37" fontId="13" fillId="10" borderId="16" xfId="0" applyNumberFormat="1" applyFont="1" applyFill="1" applyBorder="1" applyProtection="1">
      <protection hidden="1"/>
    </xf>
    <xf numFmtId="37" fontId="13" fillId="10" borderId="35" xfId="0" applyNumberFormat="1" applyFont="1" applyFill="1" applyBorder="1" applyProtection="1">
      <protection hidden="1"/>
    </xf>
    <xf numFmtId="0" fontId="13" fillId="10" borderId="5" xfId="0" applyFont="1" applyFill="1" applyBorder="1" applyProtection="1">
      <protection hidden="1"/>
    </xf>
    <xf numFmtId="37" fontId="13" fillId="10" borderId="2" xfId="0" applyNumberFormat="1" applyFont="1" applyFill="1" applyBorder="1" applyProtection="1">
      <protection hidden="1"/>
    </xf>
    <xf numFmtId="37" fontId="13" fillId="10" borderId="66" xfId="0" applyNumberFormat="1" applyFont="1" applyFill="1" applyBorder="1" applyProtection="1">
      <protection hidden="1"/>
    </xf>
    <xf numFmtId="0" fontId="13" fillId="10" borderId="0" xfId="0" applyFont="1" applyFill="1" applyProtection="1">
      <protection hidden="1"/>
    </xf>
    <xf numFmtId="37" fontId="13" fillId="10" borderId="7" xfId="0" applyNumberFormat="1" applyFont="1" applyFill="1" applyBorder="1" applyProtection="1">
      <protection hidden="1"/>
    </xf>
    <xf numFmtId="37" fontId="13" fillId="10" borderId="5" xfId="0" applyNumberFormat="1" applyFont="1" applyFill="1" applyBorder="1" applyProtection="1">
      <protection hidden="1"/>
    </xf>
    <xf numFmtId="0" fontId="13" fillId="10" borderId="39" xfId="0" applyFont="1" applyFill="1" applyBorder="1" applyAlignment="1" applyProtection="1">
      <alignment horizontal="center"/>
      <protection hidden="1"/>
    </xf>
    <xf numFmtId="37" fontId="40" fillId="10" borderId="45" xfId="15" applyNumberFormat="1" applyFont="1" applyFill="1" applyBorder="1" applyProtection="1">
      <protection locked="0"/>
    </xf>
    <xf numFmtId="37" fontId="40" fillId="10" borderId="44" xfId="15" applyNumberFormat="1" applyFont="1" applyFill="1" applyBorder="1" applyProtection="1">
      <protection locked="0"/>
    </xf>
    <xf numFmtId="37" fontId="40" fillId="10" borderId="101" xfId="15" applyNumberFormat="1" applyFont="1" applyFill="1" applyBorder="1" applyProtection="1">
      <protection locked="0"/>
    </xf>
    <xf numFmtId="0" fontId="13" fillId="10" borderId="39" xfId="0" applyFont="1" applyFill="1" applyBorder="1" applyProtection="1">
      <protection hidden="1"/>
    </xf>
    <xf numFmtId="0" fontId="13" fillId="10" borderId="45" xfId="0" applyFont="1" applyFill="1" applyBorder="1" applyProtection="1">
      <protection hidden="1"/>
    </xf>
    <xf numFmtId="166" fontId="16" fillId="10" borderId="29" xfId="15" applyNumberFormat="1" applyFont="1" applyFill="1" applyBorder="1" applyProtection="1">
      <protection hidden="1"/>
    </xf>
    <xf numFmtId="0" fontId="13" fillId="10" borderId="81" xfId="0" applyFont="1" applyFill="1" applyBorder="1" applyProtection="1">
      <protection hidden="1"/>
    </xf>
    <xf numFmtId="0" fontId="13" fillId="10" borderId="57" xfId="0" applyFont="1" applyFill="1" applyBorder="1" applyProtection="1">
      <protection hidden="1"/>
    </xf>
    <xf numFmtId="0" fontId="16" fillId="10" borderId="9" xfId="0" applyFont="1" applyFill="1" applyBorder="1" applyProtection="1">
      <protection hidden="1"/>
    </xf>
    <xf numFmtId="0" fontId="13" fillId="10" borderId="9" xfId="0" applyFont="1" applyFill="1" applyBorder="1" applyProtection="1">
      <protection hidden="1"/>
    </xf>
    <xf numFmtId="37" fontId="40" fillId="10" borderId="54" xfId="15" applyNumberFormat="1" applyFont="1" applyFill="1" applyBorder="1" applyProtection="1">
      <protection locked="0"/>
    </xf>
    <xf numFmtId="0" fontId="13" fillId="10" borderId="1" xfId="0" applyFont="1" applyFill="1" applyBorder="1" applyProtection="1">
      <protection hidden="1"/>
    </xf>
    <xf numFmtId="0" fontId="13" fillId="10" borderId="4" xfId="0" applyFont="1" applyFill="1" applyBorder="1" applyProtection="1">
      <protection hidden="1"/>
    </xf>
    <xf numFmtId="37" fontId="26" fillId="10" borderId="52" xfId="0" applyNumberFormat="1" applyFont="1" applyFill="1" applyBorder="1" applyProtection="1">
      <protection hidden="1"/>
    </xf>
    <xf numFmtId="0" fontId="23" fillId="10" borderId="102" xfId="0" applyFont="1" applyFill="1" applyBorder="1" applyAlignment="1" applyProtection="1">
      <alignment horizontal="center"/>
      <protection hidden="1"/>
    </xf>
    <xf numFmtId="171" fontId="40" fillId="10" borderId="49" xfId="15" applyNumberFormat="1" applyFont="1" applyFill="1" applyBorder="1" applyProtection="1">
      <protection locked="0"/>
    </xf>
    <xf numFmtId="171" fontId="13" fillId="10" borderId="0" xfId="15" applyNumberFormat="1" applyFont="1" applyFill="1" applyProtection="1">
      <protection hidden="1"/>
    </xf>
    <xf numFmtId="171" fontId="16" fillId="10" borderId="49" xfId="15" applyNumberFormat="1" applyFont="1" applyFill="1" applyBorder="1" applyProtection="1">
      <protection hidden="1"/>
    </xf>
    <xf numFmtId="171" fontId="40" fillId="10" borderId="51" xfId="15" applyNumberFormat="1" applyFont="1" applyFill="1" applyBorder="1" applyProtection="1">
      <protection locked="0"/>
    </xf>
    <xf numFmtId="171" fontId="13" fillId="10" borderId="23" xfId="15" applyNumberFormat="1" applyFont="1" applyFill="1" applyBorder="1" applyProtection="1">
      <protection hidden="1"/>
    </xf>
    <xf numFmtId="171" fontId="13" fillId="10" borderId="29" xfId="15" applyNumberFormat="1" applyFont="1" applyFill="1" applyBorder="1" applyProtection="1">
      <protection hidden="1"/>
    </xf>
    <xf numFmtId="171" fontId="13" fillId="10" borderId="64" xfId="15" applyNumberFormat="1" applyFont="1" applyFill="1" applyBorder="1" applyProtection="1">
      <protection hidden="1"/>
    </xf>
    <xf numFmtId="171" fontId="16" fillId="10" borderId="74" xfId="15" applyNumberFormat="1" applyFont="1" applyFill="1" applyBorder="1" applyProtection="1">
      <protection hidden="1"/>
    </xf>
    <xf numFmtId="171" fontId="40" fillId="10" borderId="64" xfId="15" applyNumberFormat="1" applyFont="1" applyFill="1" applyBorder="1" applyProtection="1">
      <protection locked="0"/>
    </xf>
    <xf numFmtId="0" fontId="23" fillId="10" borderId="81" xfId="0" applyFont="1" applyFill="1" applyBorder="1" applyAlignment="1" applyProtection="1">
      <alignment horizontal="center"/>
      <protection hidden="1"/>
    </xf>
    <xf numFmtId="171" fontId="40" fillId="10" borderId="63" xfId="15" applyNumberFormat="1" applyFont="1" applyFill="1" applyBorder="1" applyProtection="1">
      <protection locked="0"/>
    </xf>
    <xf numFmtId="171" fontId="40" fillId="10" borderId="101" xfId="15" applyNumberFormat="1" applyFont="1" applyFill="1" applyBorder="1" applyProtection="1">
      <protection locked="0"/>
    </xf>
    <xf numFmtId="171" fontId="16" fillId="10" borderId="63" xfId="15" applyNumberFormat="1" applyFont="1" applyFill="1" applyBorder="1" applyProtection="1">
      <protection hidden="1"/>
    </xf>
    <xf numFmtId="171" fontId="40" fillId="10" borderId="58" xfId="15" applyNumberFormat="1" applyFont="1" applyFill="1" applyBorder="1" applyProtection="1">
      <protection locked="0"/>
    </xf>
    <xf numFmtId="171" fontId="13" fillId="10" borderId="67" xfId="15" applyNumberFormat="1" applyFont="1" applyFill="1" applyBorder="1" applyProtection="1">
      <protection hidden="1"/>
    </xf>
    <xf numFmtId="0" fontId="16" fillId="10" borderId="13" xfId="0" applyFont="1" applyFill="1" applyBorder="1" applyProtection="1">
      <protection hidden="1"/>
    </xf>
    <xf numFmtId="0" fontId="16" fillId="10" borderId="6" xfId="0" applyFont="1" applyFill="1" applyBorder="1" applyProtection="1">
      <protection hidden="1"/>
    </xf>
    <xf numFmtId="0" fontId="16" fillId="10" borderId="24" xfId="0" applyFont="1" applyFill="1" applyBorder="1" applyProtection="1">
      <protection hidden="1"/>
    </xf>
    <xf numFmtId="0" fontId="16" fillId="10" borderId="3" xfId="0" applyFont="1" applyFill="1" applyBorder="1" applyProtection="1">
      <protection hidden="1"/>
    </xf>
    <xf numFmtId="0" fontId="16" fillId="10" borderId="0" xfId="0" applyFont="1" applyFill="1"/>
    <xf numFmtId="0" fontId="16" fillId="10" borderId="3" xfId="0" applyFont="1" applyFill="1" applyBorder="1"/>
    <xf numFmtId="37" fontId="38" fillId="10" borderId="41" xfId="0" applyNumberFormat="1" applyFont="1" applyFill="1" applyBorder="1" applyProtection="1">
      <protection hidden="1"/>
    </xf>
    <xf numFmtId="0" fontId="13" fillId="15" borderId="0" xfId="0" applyFont="1" applyFill="1" applyProtection="1">
      <protection hidden="1"/>
    </xf>
    <xf numFmtId="0" fontId="16" fillId="15" borderId="0" xfId="0" applyFont="1" applyFill="1" applyProtection="1">
      <protection hidden="1"/>
    </xf>
    <xf numFmtId="0" fontId="13" fillId="15" borderId="11" xfId="0" applyFont="1" applyFill="1" applyBorder="1" applyProtection="1">
      <protection hidden="1"/>
    </xf>
    <xf numFmtId="3" fontId="13" fillId="10" borderId="42" xfId="99" applyNumberFormat="1" applyFont="1" applyFill="1" applyBorder="1" applyProtection="1">
      <protection hidden="1"/>
    </xf>
    <xf numFmtId="3" fontId="13" fillId="10" borderId="23" xfId="99" applyNumberFormat="1" applyFont="1" applyFill="1" applyBorder="1" applyProtection="1">
      <protection hidden="1"/>
    </xf>
    <xf numFmtId="3" fontId="13" fillId="10" borderId="29" xfId="99" applyNumberFormat="1" applyFont="1" applyFill="1" applyBorder="1" applyProtection="1">
      <protection hidden="1"/>
    </xf>
    <xf numFmtId="0" fontId="13" fillId="10" borderId="8" xfId="99" applyFont="1" applyFill="1" applyBorder="1" applyProtection="1">
      <protection hidden="1"/>
    </xf>
    <xf numFmtId="0" fontId="13" fillId="10" borderId="14" xfId="99" applyFont="1" applyFill="1" applyBorder="1" applyProtection="1">
      <protection hidden="1"/>
    </xf>
    <xf numFmtId="0" fontId="13" fillId="10" borderId="1" xfId="99" applyFont="1" applyFill="1" applyBorder="1" applyProtection="1">
      <protection hidden="1"/>
    </xf>
    <xf numFmtId="0" fontId="13" fillId="10" borderId="4" xfId="99" applyFont="1" applyFill="1" applyBorder="1" applyProtection="1">
      <protection hidden="1"/>
    </xf>
    <xf numFmtId="0" fontId="13" fillId="10" borderId="0" xfId="99" applyFont="1" applyFill="1" applyProtection="1">
      <protection hidden="1"/>
    </xf>
    <xf numFmtId="0" fontId="13" fillId="10" borderId="7" xfId="99" applyFont="1" applyFill="1" applyBorder="1" applyProtection="1">
      <protection hidden="1"/>
    </xf>
    <xf numFmtId="37" fontId="57" fillId="10" borderId="49" xfId="0" applyNumberFormat="1" applyFont="1" applyFill="1" applyBorder="1" applyProtection="1">
      <protection hidden="1"/>
    </xf>
    <xf numFmtId="0" fontId="7" fillId="10" borderId="42" xfId="0" applyFont="1" applyFill="1" applyBorder="1" applyProtection="1">
      <protection hidden="1"/>
    </xf>
    <xf numFmtId="0" fontId="7" fillId="10" borderId="16" xfId="0" applyFont="1" applyFill="1" applyBorder="1" applyProtection="1">
      <protection hidden="1"/>
    </xf>
    <xf numFmtId="0" fontId="7" fillId="10" borderId="29" xfId="0" applyFont="1" applyFill="1" applyBorder="1" applyProtection="1">
      <protection hidden="1"/>
    </xf>
    <xf numFmtId="3" fontId="16" fillId="0" borderId="83" xfId="0" applyNumberFormat="1" applyFont="1" applyBorder="1" applyProtection="1">
      <protection hidden="1"/>
    </xf>
    <xf numFmtId="3" fontId="16" fillId="5" borderId="16" xfId="0" applyNumberFormat="1" applyFont="1" applyFill="1" applyBorder="1" applyProtection="1">
      <protection hidden="1"/>
    </xf>
    <xf numFmtId="3" fontId="16" fillId="3" borderId="30" xfId="0" applyNumberFormat="1" applyFont="1" applyFill="1" applyBorder="1" applyProtection="1">
      <protection hidden="1"/>
    </xf>
    <xf numFmtId="0" fontId="7" fillId="10" borderId="17" xfId="0" applyFont="1" applyFill="1" applyBorder="1" applyProtection="1">
      <protection hidden="1"/>
    </xf>
    <xf numFmtId="0" fontId="7" fillId="10" borderId="18" xfId="0" applyFont="1" applyFill="1" applyBorder="1" applyProtection="1">
      <protection hidden="1"/>
    </xf>
    <xf numFmtId="0" fontId="7" fillId="10" borderId="21" xfId="0" applyFont="1" applyFill="1" applyBorder="1" applyProtection="1">
      <protection hidden="1"/>
    </xf>
    <xf numFmtId="0" fontId="13" fillId="10" borderId="2" xfId="0" applyFont="1" applyFill="1" applyBorder="1" applyProtection="1">
      <protection hidden="1"/>
    </xf>
    <xf numFmtId="0" fontId="7" fillId="10" borderId="42" xfId="5" applyFont="1" applyFill="1" applyBorder="1" applyProtection="1">
      <protection hidden="1"/>
    </xf>
    <xf numFmtId="0" fontId="13" fillId="10" borderId="35" xfId="0" applyFont="1" applyFill="1" applyBorder="1" applyProtection="1">
      <protection hidden="1"/>
    </xf>
    <xf numFmtId="0" fontId="13" fillId="10" borderId="28" xfId="0" applyFont="1" applyFill="1" applyBorder="1" applyProtection="1">
      <protection hidden="1"/>
    </xf>
    <xf numFmtId="0" fontId="57" fillId="10" borderId="9" xfId="0" applyFont="1" applyFill="1" applyBorder="1" applyProtection="1">
      <protection hidden="1"/>
    </xf>
    <xf numFmtId="0" fontId="7" fillId="10" borderId="45" xfId="0" applyFont="1" applyFill="1" applyBorder="1" applyProtection="1">
      <protection hidden="1"/>
    </xf>
    <xf numFmtId="0" fontId="7" fillId="10" borderId="12" xfId="0" applyFont="1" applyFill="1" applyBorder="1" applyProtection="1">
      <protection hidden="1"/>
    </xf>
    <xf numFmtId="0" fontId="7" fillId="10" borderId="8" xfId="0" applyFont="1" applyFill="1" applyBorder="1" applyProtection="1">
      <protection hidden="1"/>
    </xf>
    <xf numFmtId="0" fontId="7" fillId="10" borderId="5" xfId="0" applyFont="1" applyFill="1" applyBorder="1" applyProtection="1">
      <protection hidden="1"/>
    </xf>
    <xf numFmtId="0" fontId="7" fillId="10" borderId="0" xfId="0" applyFont="1" applyFill="1" applyProtection="1">
      <protection hidden="1"/>
    </xf>
    <xf numFmtId="0" fontId="7" fillId="10" borderId="2" xfId="0" applyFont="1" applyFill="1" applyBorder="1" applyProtection="1">
      <protection hidden="1"/>
    </xf>
    <xf numFmtId="0" fontId="7" fillId="10" borderId="1" xfId="0" applyFont="1" applyFill="1" applyBorder="1" applyProtection="1">
      <protection hidden="1"/>
    </xf>
    <xf numFmtId="0" fontId="7" fillId="10" borderId="9" xfId="0" applyFont="1" applyFill="1" applyBorder="1" applyProtection="1">
      <protection hidden="1"/>
    </xf>
    <xf numFmtId="37" fontId="6" fillId="5" borderId="81" xfId="0" applyNumberFormat="1" applyFont="1" applyFill="1" applyBorder="1" applyProtection="1">
      <protection hidden="1"/>
    </xf>
    <xf numFmtId="37" fontId="6" fillId="5" borderId="52" xfId="0" applyNumberFormat="1" applyFont="1" applyFill="1" applyBorder="1" applyProtection="1">
      <protection hidden="1"/>
    </xf>
    <xf numFmtId="37" fontId="6" fillId="5" borderId="80" xfId="0" applyNumberFormat="1" applyFont="1" applyFill="1" applyBorder="1" applyProtection="1">
      <protection hidden="1"/>
    </xf>
    <xf numFmtId="37" fontId="6" fillId="5" borderId="65" xfId="0" applyNumberFormat="1" applyFont="1" applyFill="1" applyBorder="1" applyProtection="1">
      <protection hidden="1"/>
    </xf>
    <xf numFmtId="37" fontId="6" fillId="5" borderId="57" xfId="0" applyNumberFormat="1" applyFont="1" applyFill="1" applyBorder="1" applyProtection="1">
      <protection hidden="1"/>
    </xf>
    <xf numFmtId="37" fontId="6" fillId="5" borderId="63" xfId="0" applyNumberFormat="1" applyFont="1" applyFill="1" applyBorder="1" applyProtection="1">
      <protection hidden="1"/>
    </xf>
    <xf numFmtId="37" fontId="6" fillId="5" borderId="63" xfId="6" applyNumberFormat="1" applyFont="1" applyFill="1" applyBorder="1" applyProtection="1">
      <protection hidden="1"/>
    </xf>
    <xf numFmtId="37" fontId="6" fillId="0" borderId="52" xfId="0" applyNumberFormat="1" applyFont="1" applyBorder="1" applyProtection="1">
      <protection hidden="1"/>
    </xf>
    <xf numFmtId="37" fontId="6" fillId="0" borderId="58" xfId="0" applyNumberFormat="1" applyFont="1" applyBorder="1" applyProtection="1">
      <protection hidden="1"/>
    </xf>
    <xf numFmtId="37" fontId="6" fillId="5" borderId="54" xfId="0" applyNumberFormat="1" applyFont="1" applyFill="1" applyBorder="1" applyProtection="1">
      <protection hidden="1"/>
    </xf>
    <xf numFmtId="37" fontId="6" fillId="5" borderId="79" xfId="0" applyNumberFormat="1" applyFont="1" applyFill="1" applyBorder="1" applyProtection="1">
      <protection hidden="1"/>
    </xf>
    <xf numFmtId="37" fontId="6" fillId="5" borderId="68" xfId="0" applyNumberFormat="1" applyFont="1" applyFill="1" applyBorder="1" applyProtection="1">
      <protection hidden="1"/>
    </xf>
    <xf numFmtId="37" fontId="6" fillId="5" borderId="83" xfId="0" applyNumberFormat="1" applyFont="1" applyFill="1" applyBorder="1" applyProtection="1">
      <protection hidden="1"/>
    </xf>
    <xf numFmtId="37" fontId="6" fillId="0" borderId="101" xfId="0" applyNumberFormat="1" applyFont="1" applyBorder="1" applyProtection="1">
      <protection hidden="1"/>
    </xf>
    <xf numFmtId="37" fontId="6" fillId="5" borderId="103" xfId="0" applyNumberFormat="1" applyFont="1" applyFill="1" applyBorder="1" applyProtection="1">
      <protection hidden="1"/>
    </xf>
    <xf numFmtId="37" fontId="6" fillId="0" borderId="54" xfId="0" applyNumberFormat="1" applyFont="1" applyBorder="1" applyProtection="1">
      <protection hidden="1"/>
    </xf>
    <xf numFmtId="37" fontId="6" fillId="5" borderId="101" xfId="0" applyNumberFormat="1" applyFont="1" applyFill="1" applyBorder="1" applyProtection="1">
      <protection hidden="1"/>
    </xf>
    <xf numFmtId="37" fontId="16" fillId="5" borderId="103" xfId="0" applyNumberFormat="1" applyFont="1" applyFill="1" applyBorder="1" applyProtection="1">
      <protection hidden="1"/>
    </xf>
    <xf numFmtId="37" fontId="6" fillId="5" borderId="101" xfId="6" applyNumberFormat="1" applyFont="1" applyFill="1" applyBorder="1" applyProtection="1">
      <protection hidden="1"/>
    </xf>
    <xf numFmtId="37" fontId="6" fillId="5" borderId="104" xfId="0" applyNumberFormat="1" applyFont="1" applyFill="1" applyBorder="1" applyProtection="1">
      <protection hidden="1"/>
    </xf>
    <xf numFmtId="37" fontId="6" fillId="10" borderId="12" xfId="0" applyNumberFormat="1" applyFont="1" applyFill="1" applyBorder="1" applyProtection="1">
      <protection hidden="1"/>
    </xf>
    <xf numFmtId="37" fontId="6" fillId="10" borderId="0" xfId="0" applyNumberFormat="1" applyFont="1" applyFill="1" applyProtection="1">
      <protection hidden="1"/>
    </xf>
    <xf numFmtId="37" fontId="6" fillId="10" borderId="8" xfId="0" applyNumberFormat="1" applyFont="1" applyFill="1" applyBorder="1" applyProtection="1">
      <protection hidden="1"/>
    </xf>
    <xf numFmtId="37" fontId="6" fillId="10" borderId="5" xfId="0" applyNumberFormat="1" applyFont="1" applyFill="1" applyBorder="1" applyProtection="1">
      <protection hidden="1"/>
    </xf>
    <xf numFmtId="37" fontId="6" fillId="10" borderId="2" xfId="0" applyNumberFormat="1" applyFont="1" applyFill="1" applyBorder="1" applyProtection="1">
      <protection hidden="1"/>
    </xf>
    <xf numFmtId="37" fontId="6" fillId="10" borderId="1" xfId="0" applyNumberFormat="1" applyFont="1" applyFill="1" applyBorder="1" applyProtection="1">
      <protection hidden="1"/>
    </xf>
    <xf numFmtId="3" fontId="16" fillId="10" borderId="5" xfId="15" applyNumberFormat="1" applyFont="1" applyFill="1" applyBorder="1" applyProtection="1">
      <protection hidden="1"/>
    </xf>
    <xf numFmtId="3" fontId="16" fillId="10" borderId="7" xfId="15" applyNumberFormat="1" applyFont="1" applyFill="1" applyBorder="1" applyProtection="1">
      <protection hidden="1"/>
    </xf>
    <xf numFmtId="3" fontId="13" fillId="10" borderId="7" xfId="15" applyNumberFormat="1" applyFont="1" applyFill="1" applyBorder="1" applyProtection="1">
      <protection hidden="1"/>
    </xf>
    <xf numFmtId="3" fontId="13" fillId="10" borderId="2" xfId="15" applyNumberFormat="1" applyFont="1" applyFill="1" applyBorder="1" applyProtection="1">
      <protection hidden="1"/>
    </xf>
    <xf numFmtId="3" fontId="13" fillId="10" borderId="4" xfId="15" applyNumberFormat="1" applyFont="1" applyFill="1" applyBorder="1" applyProtection="1">
      <protection hidden="1"/>
    </xf>
    <xf numFmtId="3" fontId="57" fillId="10" borderId="12" xfId="0" applyNumberFormat="1" applyFont="1" applyFill="1" applyBorder="1" applyProtection="1">
      <protection hidden="1"/>
    </xf>
    <xf numFmtId="3" fontId="57" fillId="10" borderId="14" xfId="0" applyNumberFormat="1" applyFont="1" applyFill="1" applyBorder="1" applyProtection="1">
      <protection hidden="1"/>
    </xf>
    <xf numFmtId="3" fontId="57" fillId="10" borderId="5" xfId="0" applyNumberFormat="1" applyFont="1" applyFill="1" applyBorder="1" applyProtection="1">
      <protection hidden="1"/>
    </xf>
    <xf numFmtId="3" fontId="57" fillId="10" borderId="7" xfId="0" applyNumberFormat="1" applyFont="1" applyFill="1" applyBorder="1" applyProtection="1">
      <protection hidden="1"/>
    </xf>
    <xf numFmtId="3" fontId="37" fillId="10" borderId="5" xfId="15" applyNumberFormat="1" applyFont="1" applyFill="1" applyBorder="1" applyAlignment="1" applyProtection="1">
      <alignment horizontal="centerContinuous"/>
      <protection hidden="1"/>
    </xf>
    <xf numFmtId="3" fontId="16" fillId="10" borderId="7" xfId="15" applyNumberFormat="1" applyFont="1" applyFill="1" applyBorder="1" applyAlignment="1" applyProtection="1">
      <alignment horizontal="centerContinuous"/>
      <protection hidden="1"/>
    </xf>
    <xf numFmtId="3" fontId="16" fillId="10" borderId="5" xfId="15" applyNumberFormat="1" applyFont="1" applyFill="1" applyBorder="1" applyAlignment="1" applyProtection="1">
      <alignment horizontal="right"/>
      <protection hidden="1"/>
    </xf>
    <xf numFmtId="3" fontId="7" fillId="10" borderId="7" xfId="0" applyNumberFormat="1" applyFont="1" applyFill="1" applyBorder="1" applyAlignment="1" applyProtection="1">
      <alignment horizontal="center"/>
      <protection hidden="1"/>
    </xf>
    <xf numFmtId="3" fontId="25" fillId="10" borderId="5" xfId="0" applyNumberFormat="1" applyFont="1" applyFill="1" applyBorder="1" applyProtection="1">
      <protection hidden="1"/>
    </xf>
    <xf numFmtId="3" fontId="57" fillId="10" borderId="7" xfId="15" applyNumberFormat="1" applyFont="1" applyFill="1" applyBorder="1" applyProtection="1">
      <protection hidden="1"/>
    </xf>
    <xf numFmtId="3" fontId="25" fillId="10" borderId="2" xfId="0" applyNumberFormat="1" applyFont="1" applyFill="1" applyBorder="1" applyProtection="1">
      <protection hidden="1"/>
    </xf>
    <xf numFmtId="3" fontId="57" fillId="10" borderId="4" xfId="0" applyNumberFormat="1" applyFont="1" applyFill="1" applyBorder="1" applyProtection="1">
      <protection hidden="1"/>
    </xf>
    <xf numFmtId="37" fontId="7" fillId="10" borderId="29" xfId="15" applyNumberFormat="1" applyFont="1" applyFill="1" applyBorder="1" applyProtection="1">
      <protection hidden="1"/>
    </xf>
    <xf numFmtId="37" fontId="7" fillId="10" borderId="42" xfId="15" applyNumberFormat="1" applyFont="1" applyFill="1" applyBorder="1" applyProtection="1">
      <protection hidden="1"/>
    </xf>
    <xf numFmtId="166" fontId="7" fillId="10" borderId="12" xfId="15" applyNumberFormat="1" applyFont="1" applyFill="1" applyBorder="1" applyProtection="1">
      <protection hidden="1"/>
    </xf>
    <xf numFmtId="166" fontId="7" fillId="10" borderId="8" xfId="15" applyNumberFormat="1" applyFont="1" applyFill="1" applyBorder="1" applyProtection="1">
      <protection hidden="1"/>
    </xf>
    <xf numFmtId="166" fontId="7" fillId="10" borderId="0" xfId="15" applyNumberFormat="1" applyFont="1" applyFill="1" applyProtection="1">
      <protection hidden="1"/>
    </xf>
    <xf numFmtId="166" fontId="7" fillId="10" borderId="5" xfId="15" applyNumberFormat="1" applyFont="1" applyFill="1" applyBorder="1" applyProtection="1">
      <protection hidden="1"/>
    </xf>
    <xf numFmtId="166" fontId="7" fillId="10" borderId="2" xfId="15" applyNumberFormat="1" applyFont="1" applyFill="1" applyBorder="1" applyProtection="1">
      <protection hidden="1"/>
    </xf>
    <xf numFmtId="166" fontId="16" fillId="10" borderId="42" xfId="15" applyNumberFormat="1" applyFont="1" applyFill="1" applyBorder="1" applyProtection="1">
      <protection hidden="1"/>
    </xf>
    <xf numFmtId="166" fontId="57" fillId="10" borderId="35" xfId="15" applyNumberFormat="1" applyFont="1" applyFill="1" applyBorder="1" applyProtection="1">
      <protection hidden="1"/>
    </xf>
    <xf numFmtId="166" fontId="57" fillId="10" borderId="37" xfId="15" applyNumberFormat="1" applyFont="1" applyFill="1" applyBorder="1" applyProtection="1">
      <protection hidden="1"/>
    </xf>
    <xf numFmtId="166" fontId="16" fillId="10" borderId="37" xfId="15" applyNumberFormat="1" applyFont="1" applyFill="1" applyBorder="1" applyProtection="1">
      <protection hidden="1"/>
    </xf>
    <xf numFmtId="166" fontId="57" fillId="10" borderId="28" xfId="15" applyNumberFormat="1" applyFont="1" applyFill="1" applyBorder="1" applyProtection="1">
      <protection hidden="1"/>
    </xf>
    <xf numFmtId="166" fontId="57" fillId="10" borderId="23" xfId="15" applyNumberFormat="1" applyFont="1" applyFill="1" applyBorder="1" applyProtection="1">
      <protection hidden="1"/>
    </xf>
    <xf numFmtId="166" fontId="16" fillId="10" borderId="23" xfId="15" applyNumberFormat="1" applyFont="1" applyFill="1" applyBorder="1" applyProtection="1">
      <protection hidden="1"/>
    </xf>
    <xf numFmtId="166" fontId="57" fillId="10" borderId="42" xfId="15" applyNumberFormat="1" applyFont="1" applyFill="1" applyBorder="1" applyProtection="1">
      <protection hidden="1"/>
    </xf>
    <xf numFmtId="166" fontId="57" fillId="10" borderId="29" xfId="15" applyNumberFormat="1" applyFont="1" applyFill="1" applyBorder="1" applyProtection="1">
      <protection hidden="1"/>
    </xf>
    <xf numFmtId="166" fontId="16" fillId="10" borderId="35" xfId="15" applyNumberFormat="1" applyFont="1" applyFill="1" applyBorder="1" applyProtection="1">
      <protection hidden="1"/>
    </xf>
    <xf numFmtId="166" fontId="16" fillId="10" borderId="28" xfId="15" applyNumberFormat="1" applyFont="1" applyFill="1" applyBorder="1" applyProtection="1">
      <protection hidden="1"/>
    </xf>
    <xf numFmtId="0" fontId="25" fillId="10" borderId="1" xfId="0" applyFont="1" applyFill="1" applyBorder="1" applyProtection="1">
      <protection hidden="1"/>
    </xf>
    <xf numFmtId="0" fontId="21" fillId="10" borderId="1" xfId="0" applyFont="1" applyFill="1" applyBorder="1" applyProtection="1">
      <protection hidden="1"/>
    </xf>
    <xf numFmtId="166" fontId="19" fillId="10" borderId="9" xfId="15" applyNumberFormat="1" applyFont="1" applyFill="1" applyBorder="1" applyProtection="1">
      <protection hidden="1"/>
    </xf>
    <xf numFmtId="0" fontId="7" fillId="10" borderId="35" xfId="0" applyFont="1" applyFill="1" applyBorder="1" applyProtection="1">
      <protection hidden="1"/>
    </xf>
    <xf numFmtId="166" fontId="13" fillId="10" borderId="8" xfId="15" applyNumberFormat="1" applyFont="1" applyFill="1" applyBorder="1" applyProtection="1">
      <protection hidden="1"/>
    </xf>
    <xf numFmtId="166" fontId="13" fillId="10" borderId="1" xfId="15" applyNumberFormat="1" applyFont="1" applyFill="1" applyBorder="1" applyProtection="1">
      <protection hidden="1"/>
    </xf>
    <xf numFmtId="166" fontId="37" fillId="10" borderId="12" xfId="15" applyNumberFormat="1" applyFont="1" applyFill="1" applyBorder="1" applyAlignment="1" applyProtection="1">
      <alignment horizontal="centerContinuous"/>
      <protection hidden="1"/>
    </xf>
    <xf numFmtId="166" fontId="16" fillId="10" borderId="8" xfId="15" applyNumberFormat="1" applyFont="1" applyFill="1" applyBorder="1" applyAlignment="1" applyProtection="1">
      <alignment horizontal="centerContinuous"/>
      <protection hidden="1"/>
    </xf>
    <xf numFmtId="166" fontId="16" fillId="10" borderId="5" xfId="15" applyNumberFormat="1" applyFont="1" applyFill="1" applyBorder="1" applyAlignment="1" applyProtection="1">
      <alignment horizontal="right"/>
      <protection hidden="1"/>
    </xf>
    <xf numFmtId="0" fontId="7" fillId="10" borderId="0" xfId="0" applyFont="1" applyFill="1" applyAlignment="1" applyProtection="1">
      <alignment horizontal="center"/>
      <protection hidden="1"/>
    </xf>
    <xf numFmtId="0" fontId="25" fillId="10" borderId="5" xfId="0" applyFont="1" applyFill="1" applyBorder="1" applyProtection="1">
      <protection hidden="1"/>
    </xf>
    <xf numFmtId="166" fontId="57" fillId="10" borderId="0" xfId="15" applyNumberFormat="1" applyFont="1" applyFill="1" applyProtection="1">
      <protection hidden="1"/>
    </xf>
    <xf numFmtId="0" fontId="25" fillId="10" borderId="2" xfId="0" applyFont="1" applyFill="1" applyBorder="1" applyProtection="1">
      <protection hidden="1"/>
    </xf>
    <xf numFmtId="37" fontId="57" fillId="10" borderId="1" xfId="0" applyNumberFormat="1" applyFont="1" applyFill="1" applyBorder="1" applyProtection="1">
      <protection hidden="1"/>
    </xf>
    <xf numFmtId="37" fontId="57" fillId="10" borderId="5" xfId="0" applyNumberFormat="1" applyFont="1" applyFill="1" applyBorder="1" applyProtection="1">
      <protection hidden="1"/>
    </xf>
    <xf numFmtId="37" fontId="57" fillId="10" borderId="0" xfId="0" applyNumberFormat="1" applyFont="1" applyFill="1" applyProtection="1">
      <protection hidden="1"/>
    </xf>
    <xf numFmtId="37" fontId="16" fillId="10" borderId="5" xfId="0" applyNumberFormat="1" applyFont="1" applyFill="1" applyBorder="1" applyProtection="1">
      <protection hidden="1"/>
    </xf>
    <xf numFmtId="37" fontId="16" fillId="10" borderId="0" xfId="0" applyNumberFormat="1" applyFont="1" applyFill="1" applyProtection="1">
      <protection hidden="1"/>
    </xf>
    <xf numFmtId="37" fontId="57" fillId="10" borderId="2" xfId="0" applyNumberFormat="1" applyFont="1" applyFill="1" applyBorder="1" applyProtection="1">
      <protection hidden="1"/>
    </xf>
    <xf numFmtId="37" fontId="57" fillId="10" borderId="23" xfId="0" applyNumberFormat="1" applyFont="1" applyFill="1" applyBorder="1" applyProtection="1">
      <protection hidden="1"/>
    </xf>
    <xf numFmtId="0" fontId="7" fillId="10" borderId="105" xfId="0" applyFont="1" applyFill="1" applyBorder="1" applyProtection="1">
      <protection hidden="1"/>
    </xf>
    <xf numFmtId="0" fontId="7" fillId="10" borderId="44" xfId="0" applyFont="1" applyFill="1" applyBorder="1" applyProtection="1">
      <protection hidden="1"/>
    </xf>
    <xf numFmtId="0" fontId="13" fillId="10" borderId="12" xfId="0" applyFont="1" applyFill="1" applyBorder="1" applyProtection="1">
      <protection hidden="1"/>
    </xf>
    <xf numFmtId="0" fontId="13" fillId="10" borderId="44" xfId="0" applyFont="1" applyFill="1" applyBorder="1" applyProtection="1">
      <protection hidden="1"/>
    </xf>
    <xf numFmtId="166" fontId="13" fillId="10" borderId="0" xfId="15" applyNumberFormat="1" applyFont="1" applyFill="1" applyProtection="1">
      <protection hidden="1"/>
    </xf>
    <xf numFmtId="166" fontId="13" fillId="10" borderId="103" xfId="15" applyNumberFormat="1" applyFont="1" applyFill="1" applyBorder="1" applyProtection="1">
      <protection hidden="1"/>
    </xf>
    <xf numFmtId="0" fontId="7" fillId="10" borderId="69" xfId="0" applyFont="1" applyFill="1" applyBorder="1" applyProtection="1">
      <protection hidden="1"/>
    </xf>
    <xf numFmtId="0" fontId="7" fillId="10" borderId="84" xfId="0" applyFont="1" applyFill="1" applyBorder="1" applyProtection="1">
      <protection hidden="1"/>
    </xf>
    <xf numFmtId="166" fontId="13" fillId="10" borderId="5" xfId="15" applyNumberFormat="1" applyFont="1" applyFill="1" applyBorder="1" applyProtection="1">
      <protection hidden="1"/>
    </xf>
    <xf numFmtId="0" fontId="7" fillId="10" borderId="106" xfId="0" applyFont="1" applyFill="1" applyBorder="1" applyProtection="1">
      <protection hidden="1"/>
    </xf>
    <xf numFmtId="0" fontId="7" fillId="10" borderId="83" xfId="0" applyFont="1" applyFill="1" applyBorder="1" applyProtection="1">
      <protection hidden="1"/>
    </xf>
    <xf numFmtId="49" fontId="32" fillId="2" borderId="23" xfId="0" applyNumberFormat="1" applyFont="1" applyFill="1" applyBorder="1" applyAlignment="1" applyProtection="1">
      <alignment horizontal="center"/>
      <protection hidden="1"/>
    </xf>
    <xf numFmtId="49" fontId="32" fillId="2" borderId="5" xfId="0" applyNumberFormat="1" applyFont="1" applyFill="1" applyBorder="1" applyAlignment="1" applyProtection="1">
      <alignment horizontal="center"/>
      <protection hidden="1"/>
    </xf>
    <xf numFmtId="49" fontId="19" fillId="0" borderId="5" xfId="0" applyNumberFormat="1" applyFont="1" applyBorder="1" applyAlignment="1" applyProtection="1">
      <alignment horizontal="left"/>
      <protection hidden="1"/>
    </xf>
    <xf numFmtId="49" fontId="32" fillId="2" borderId="34" xfId="0" applyNumberFormat="1" applyFont="1" applyFill="1" applyBorder="1" applyAlignment="1" applyProtection="1">
      <alignment horizontal="center"/>
      <protection hidden="1"/>
    </xf>
    <xf numFmtId="0" fontId="21" fillId="2" borderId="77" xfId="0" applyFont="1" applyFill="1" applyBorder="1" applyAlignment="1">
      <alignment horizontal="center"/>
    </xf>
    <xf numFmtId="0" fontId="21" fillId="2" borderId="0" xfId="0" applyFont="1" applyFill="1"/>
    <xf numFmtId="0" fontId="0" fillId="2" borderId="77" xfId="0" applyFill="1" applyBorder="1"/>
    <xf numFmtId="0" fontId="20" fillId="2" borderId="77" xfId="0" applyFont="1" applyFill="1" applyBorder="1"/>
    <xf numFmtId="0" fontId="0" fillId="11" borderId="77" xfId="0" applyFill="1" applyBorder="1"/>
    <xf numFmtId="0" fontId="16" fillId="11" borderId="77" xfId="0" applyFont="1" applyFill="1" applyBorder="1"/>
    <xf numFmtId="0" fontId="21" fillId="11" borderId="77" xfId="0" applyFont="1" applyFill="1" applyBorder="1"/>
    <xf numFmtId="0" fontId="21" fillId="2" borderId="99" xfId="0" applyFont="1" applyFill="1" applyBorder="1" applyAlignment="1">
      <alignment horizontal="center"/>
    </xf>
    <xf numFmtId="0" fontId="0" fillId="11" borderId="100" xfId="0" applyFill="1" applyBorder="1"/>
    <xf numFmtId="0" fontId="22" fillId="2" borderId="77" xfId="0" applyFont="1" applyFill="1" applyBorder="1"/>
    <xf numFmtId="0" fontId="19" fillId="2" borderId="77" xfId="0" applyFont="1" applyFill="1" applyBorder="1"/>
    <xf numFmtId="0" fontId="14" fillId="11" borderId="77" xfId="3" applyFont="1" applyFill="1" applyBorder="1" applyAlignment="1">
      <alignment horizontal="center" vertical="center" wrapText="1"/>
    </xf>
    <xf numFmtId="0" fontId="0" fillId="11" borderId="99" xfId="0" applyFill="1" applyBorder="1"/>
    <xf numFmtId="0" fontId="32" fillId="2" borderId="77" xfId="99" applyFont="1" applyFill="1" applyBorder="1" applyAlignment="1">
      <alignment horizontal="center"/>
    </xf>
    <xf numFmtId="0" fontId="35" fillId="11" borderId="77" xfId="99" applyFont="1" applyFill="1" applyBorder="1" applyAlignment="1">
      <alignment horizontal="center"/>
    </xf>
    <xf numFmtId="0" fontId="21" fillId="13" borderId="77" xfId="0" applyFont="1" applyFill="1" applyBorder="1" applyAlignment="1">
      <alignment horizontal="center"/>
    </xf>
    <xf numFmtId="0" fontId="21" fillId="2" borderId="77" xfId="13" applyFont="1" applyFill="1" applyBorder="1" applyAlignment="1">
      <alignment horizontal="center"/>
    </xf>
    <xf numFmtId="0" fontId="21" fillId="2" borderId="77" xfId="6" applyFont="1" applyFill="1" applyBorder="1" applyAlignment="1">
      <alignment horizontal="center"/>
    </xf>
    <xf numFmtId="0" fontId="21" fillId="2" borderId="77" xfId="3" applyFont="1" applyFill="1" applyBorder="1" applyAlignment="1">
      <alignment horizontal="center"/>
    </xf>
    <xf numFmtId="0" fontId="20" fillId="2" borderId="77" xfId="0" applyFont="1" applyFill="1" applyBorder="1" applyAlignment="1">
      <alignment horizontal="center"/>
    </xf>
    <xf numFmtId="0" fontId="21" fillId="2" borderId="77" xfId="7" applyFont="1" applyFill="1" applyBorder="1" applyAlignment="1">
      <alignment horizontal="center"/>
    </xf>
    <xf numFmtId="0" fontId="7" fillId="2" borderId="77" xfId="0" applyFont="1" applyFill="1" applyBorder="1"/>
    <xf numFmtId="0" fontId="13" fillId="2" borderId="77" xfId="0" applyFont="1" applyFill="1" applyBorder="1"/>
    <xf numFmtId="0" fontId="21" fillId="2" borderId="77" xfId="15" quotePrefix="1" applyNumberFormat="1" applyFont="1" applyFill="1" applyBorder="1" applyAlignment="1">
      <alignment horizontal="center"/>
    </xf>
    <xf numFmtId="0" fontId="21" fillId="2" borderId="100" xfId="0" applyFont="1" applyFill="1" applyBorder="1" applyAlignment="1">
      <alignment horizontal="center"/>
    </xf>
    <xf numFmtId="0" fontId="0" fillId="11" borderId="107" xfId="0" applyFill="1" applyBorder="1"/>
    <xf numFmtId="0" fontId="0" fillId="2" borderId="0" xfId="0" applyFill="1"/>
    <xf numFmtId="0" fontId="60" fillId="2" borderId="0" xfId="0" applyFont="1" applyFill="1"/>
    <xf numFmtId="0" fontId="61" fillId="2" borderId="0" xfId="0" applyFont="1" applyFill="1"/>
    <xf numFmtId="0" fontId="21" fillId="2" borderId="0" xfId="34" applyNumberFormat="1" applyFont="1" applyFill="1" applyProtection="1">
      <protection hidden="1"/>
    </xf>
    <xf numFmtId="37" fontId="38" fillId="3" borderId="53" xfId="0" applyNumberFormat="1" applyFont="1" applyFill="1" applyBorder="1" applyProtection="1">
      <protection hidden="1"/>
    </xf>
    <xf numFmtId="49" fontId="60" fillId="2" borderId="0" xfId="0" applyNumberFormat="1" applyFont="1" applyFill="1"/>
    <xf numFmtId="0" fontId="16" fillId="0" borderId="0" xfId="0" applyFont="1" applyAlignment="1" applyProtection="1">
      <alignment horizontal="left"/>
      <protection hidden="1"/>
    </xf>
    <xf numFmtId="0" fontId="0" fillId="0" borderId="15" xfId="0" applyBorder="1" applyAlignment="1">
      <alignment horizontal="center"/>
    </xf>
    <xf numFmtId="49" fontId="16" fillId="0" borderId="64" xfId="0" applyNumberFormat="1" applyFont="1" applyBorder="1" applyAlignment="1">
      <alignment horizontal="center"/>
    </xf>
    <xf numFmtId="49" fontId="16" fillId="14" borderId="0" xfId="0" applyNumberFormat="1" applyFont="1" applyFill="1" applyAlignment="1">
      <alignment horizontal="left"/>
    </xf>
    <xf numFmtId="0" fontId="19" fillId="9" borderId="0" xfId="0" applyFont="1" applyFill="1"/>
    <xf numFmtId="0" fontId="19" fillId="9" borderId="0" xfId="0" applyFont="1" applyFill="1" applyProtection="1">
      <protection hidden="1"/>
    </xf>
    <xf numFmtId="0" fontId="13" fillId="0" borderId="29" xfId="1" applyFont="1" applyBorder="1" applyProtection="1">
      <protection hidden="1"/>
    </xf>
    <xf numFmtId="0" fontId="19" fillId="9" borderId="0" xfId="0" quotePrefix="1" applyFont="1" applyFill="1" applyAlignment="1">
      <alignment horizontal="left"/>
    </xf>
    <xf numFmtId="0" fontId="13" fillId="10" borderId="108" xfId="0" applyFont="1" applyFill="1" applyBorder="1" applyAlignment="1" applyProtection="1">
      <alignment horizontal="center"/>
      <protection hidden="1"/>
    </xf>
    <xf numFmtId="0" fontId="13" fillId="0" borderId="8" xfId="0" applyFont="1" applyBorder="1" applyAlignment="1" applyProtection="1">
      <alignment horizontal="center"/>
      <protection hidden="1"/>
    </xf>
    <xf numFmtId="0" fontId="13" fillId="0" borderId="14" xfId="0" applyFont="1" applyBorder="1" applyAlignment="1" applyProtection="1">
      <alignment horizontal="center"/>
      <protection hidden="1"/>
    </xf>
    <xf numFmtId="37" fontId="40" fillId="0" borderId="0" xfId="15" applyNumberFormat="1" applyFont="1" applyProtection="1">
      <protection hidden="1"/>
    </xf>
    <xf numFmtId="37" fontId="16" fillId="0" borderId="7" xfId="0" applyNumberFormat="1" applyFont="1" applyBorder="1" applyProtection="1">
      <protection hidden="1"/>
    </xf>
    <xf numFmtId="37" fontId="16" fillId="0" borderId="7" xfId="15" applyNumberFormat="1" applyFont="1" applyBorder="1" applyProtection="1">
      <protection hidden="1"/>
    </xf>
    <xf numFmtId="37" fontId="40" fillId="0" borderId="0" xfId="0" applyNumberFormat="1" applyFont="1" applyProtection="1">
      <protection hidden="1"/>
    </xf>
    <xf numFmtId="0" fontId="13" fillId="0" borderId="7" xfId="0" applyFont="1" applyBorder="1" applyProtection="1">
      <protection hidden="1"/>
    </xf>
    <xf numFmtId="37" fontId="40" fillId="0" borderId="1" xfId="0" applyNumberFormat="1" applyFont="1" applyBorder="1" applyProtection="1">
      <protection hidden="1"/>
    </xf>
    <xf numFmtId="37" fontId="16" fillId="0" borderId="4" xfId="0" applyNumberFormat="1" applyFont="1" applyBorder="1" applyProtection="1">
      <protection hidden="1"/>
    </xf>
    <xf numFmtId="37" fontId="16" fillId="10" borderId="101" xfId="15" applyNumberFormat="1" applyFont="1" applyFill="1" applyBorder="1" applyProtection="1">
      <protection hidden="1"/>
    </xf>
    <xf numFmtId="37" fontId="16" fillId="10" borderId="83" xfId="15" applyNumberFormat="1" applyFont="1" applyFill="1" applyBorder="1" applyProtection="1">
      <protection hidden="1"/>
    </xf>
    <xf numFmtId="37" fontId="40" fillId="0" borderId="0" xfId="15" applyNumberFormat="1" applyFont="1" applyProtection="1">
      <protection locked="0"/>
    </xf>
    <xf numFmtId="166" fontId="16" fillId="0" borderId="0" xfId="15" applyNumberFormat="1" applyFont="1" applyProtection="1">
      <protection hidden="1"/>
    </xf>
    <xf numFmtId="166" fontId="16" fillId="0" borderId="7" xfId="15" applyNumberFormat="1" applyFont="1" applyBorder="1" applyProtection="1">
      <protection hidden="1"/>
    </xf>
    <xf numFmtId="37" fontId="40" fillId="10" borderId="83" xfId="15" applyNumberFormat="1" applyFont="1" applyFill="1" applyBorder="1" applyProtection="1">
      <protection locked="0"/>
    </xf>
    <xf numFmtId="37" fontId="40" fillId="0" borderId="1" xfId="15" applyNumberFormat="1" applyFont="1" applyBorder="1" applyProtection="1">
      <protection locked="0"/>
    </xf>
    <xf numFmtId="37" fontId="15" fillId="3" borderId="61" xfId="0" applyNumberFormat="1" applyFont="1" applyFill="1" applyBorder="1" applyProtection="1">
      <protection locked="0" hidden="1"/>
    </xf>
    <xf numFmtId="37" fontId="15" fillId="5" borderId="61" xfId="0" applyNumberFormat="1" applyFont="1" applyFill="1" applyBorder="1" applyProtection="1">
      <protection locked="0" hidden="1"/>
    </xf>
    <xf numFmtId="0" fontId="13" fillId="9" borderId="0" xfId="6" applyFont="1" applyFill="1" applyBorder="1" applyAlignment="1">
      <alignment horizontal="center"/>
    </xf>
    <xf numFmtId="37" fontId="40" fillId="0" borderId="57" xfId="0" applyNumberFormat="1" applyFont="1" applyBorder="1" applyProtection="1">
      <protection locked="0"/>
    </xf>
    <xf numFmtId="0" fontId="13" fillId="0" borderId="8" xfId="0" applyFont="1" applyBorder="1" applyAlignment="1" applyProtection="1">
      <alignment horizontal="centerContinuous"/>
      <protection hidden="1"/>
    </xf>
    <xf numFmtId="0" fontId="16" fillId="0" borderId="8" xfId="0" applyFont="1" applyBorder="1" applyAlignment="1" applyProtection="1">
      <alignment horizontal="centerContinuous"/>
      <protection hidden="1"/>
    </xf>
    <xf numFmtId="0" fontId="16" fillId="0" borderId="14" xfId="0" applyFont="1" applyBorder="1" applyAlignment="1" applyProtection="1">
      <alignment horizontal="centerContinuous"/>
      <protection hidden="1"/>
    </xf>
    <xf numFmtId="0" fontId="13" fillId="0" borderId="0" xfId="0" applyFont="1" applyAlignment="1" applyProtection="1">
      <alignment horizontal="center"/>
      <protection hidden="1"/>
    </xf>
    <xf numFmtId="0" fontId="13" fillId="0" borderId="7" xfId="0" applyFont="1" applyBorder="1" applyAlignment="1" applyProtection="1">
      <alignment horizontal="center"/>
      <protection hidden="1"/>
    </xf>
    <xf numFmtId="37" fontId="16" fillId="0" borderId="1" xfId="0" applyNumberFormat="1" applyFont="1" applyBorder="1" applyProtection="1">
      <protection hidden="1"/>
    </xf>
    <xf numFmtId="0" fontId="17" fillId="0" borderId="8" xfId="0" applyFont="1" applyBorder="1" applyAlignment="1" applyProtection="1">
      <alignment horizontal="centerContinuous"/>
      <protection hidden="1"/>
    </xf>
    <xf numFmtId="37" fontId="16" fillId="0" borderId="0" xfId="15" applyNumberFormat="1" applyFont="1" applyProtection="1">
      <protection hidden="1"/>
    </xf>
    <xf numFmtId="37" fontId="40" fillId="0" borderId="0" xfId="0" applyNumberFormat="1" applyFont="1" applyProtection="1">
      <protection locked="0"/>
    </xf>
    <xf numFmtId="0" fontId="13" fillId="10" borderId="8" xfId="0" applyFont="1" applyFill="1" applyBorder="1" applyAlignment="1" applyProtection="1">
      <alignment horizontal="center"/>
      <protection hidden="1"/>
    </xf>
    <xf numFmtId="37" fontId="40" fillId="10" borderId="0" xfId="15" applyNumberFormat="1" applyFont="1" applyFill="1" applyProtection="1">
      <protection locked="0"/>
    </xf>
    <xf numFmtId="37" fontId="40" fillId="10" borderId="1" xfId="0" applyNumberFormat="1" applyFont="1" applyFill="1" applyBorder="1" applyProtection="1">
      <protection locked="0"/>
    </xf>
    <xf numFmtId="0" fontId="23" fillId="2" borderId="8" xfId="0" applyFont="1" applyFill="1" applyBorder="1" applyAlignment="1" applyProtection="1">
      <alignment horizontal="centerContinuous"/>
      <protection hidden="1"/>
    </xf>
    <xf numFmtId="0" fontId="23" fillId="2" borderId="5" xfId="0" applyFont="1" applyFill="1" applyBorder="1" applyAlignment="1" applyProtection="1">
      <alignment horizontal="centerContinuous"/>
      <protection hidden="1"/>
    </xf>
    <xf numFmtId="0" fontId="23" fillId="2" borderId="1" xfId="0" applyFont="1" applyFill="1" applyBorder="1" applyAlignment="1" applyProtection="1">
      <alignment horizontal="centerContinuous"/>
      <protection hidden="1"/>
    </xf>
    <xf numFmtId="0" fontId="13" fillId="3" borderId="33" xfId="0" applyFont="1" applyFill="1" applyBorder="1" applyAlignment="1" applyProtection="1">
      <alignment horizontal="centerContinuous"/>
      <protection hidden="1"/>
    </xf>
    <xf numFmtId="9" fontId="13" fillId="0" borderId="15" xfId="104" applyFont="1" applyBorder="1" applyProtection="1">
      <protection hidden="1"/>
    </xf>
    <xf numFmtId="0" fontId="13" fillId="0" borderId="17" xfId="0" applyFont="1" applyBorder="1" applyAlignment="1" applyProtection="1">
      <alignment horizontal="centerContinuous"/>
      <protection hidden="1"/>
    </xf>
    <xf numFmtId="37" fontId="13" fillId="0" borderId="0" xfId="0" applyNumberFormat="1" applyFont="1"/>
    <xf numFmtId="0" fontId="0" fillId="0" borderId="1" xfId="0" applyBorder="1"/>
    <xf numFmtId="0" fontId="19" fillId="0" borderId="109" xfId="0" applyFont="1" applyBorder="1" applyAlignment="1" applyProtection="1">
      <alignment horizontal="left"/>
      <protection hidden="1"/>
    </xf>
    <xf numFmtId="0" fontId="25" fillId="0" borderId="12" xfId="0" applyFont="1" applyBorder="1" applyProtection="1">
      <protection hidden="1"/>
    </xf>
    <xf numFmtId="0" fontId="25" fillId="0" borderId="5" xfId="0" applyFont="1" applyBorder="1" applyProtection="1">
      <protection hidden="1"/>
    </xf>
    <xf numFmtId="0" fontId="20" fillId="2" borderId="0" xfId="0" applyFont="1" applyFill="1" applyAlignment="1" applyProtection="1">
      <alignment horizontal="center"/>
      <protection hidden="1"/>
    </xf>
    <xf numFmtId="0" fontId="12" fillId="3" borderId="1" xfId="1" applyFont="1" applyFill="1" applyProtection="1">
      <protection hidden="1"/>
    </xf>
    <xf numFmtId="0" fontId="13" fillId="3" borderId="1" xfId="1" applyFont="1" applyFill="1" applyProtection="1">
      <protection hidden="1"/>
    </xf>
    <xf numFmtId="0" fontId="13" fillId="3" borderId="12" xfId="10" applyFont="1" applyFill="1" applyBorder="1" applyAlignment="1" applyProtection="1">
      <alignment horizontal="center"/>
      <protection hidden="1"/>
    </xf>
    <xf numFmtId="0" fontId="13" fillId="3" borderId="5" xfId="0" applyFont="1" applyFill="1" applyBorder="1" applyAlignment="1">
      <alignment horizontal="center"/>
    </xf>
    <xf numFmtId="0" fontId="13" fillId="3" borderId="2" xfId="0" applyFont="1" applyFill="1" applyBorder="1"/>
    <xf numFmtId="0" fontId="12" fillId="3" borderId="1" xfId="9" applyFont="1" applyFill="1" applyBorder="1" applyProtection="1">
      <protection hidden="1"/>
    </xf>
    <xf numFmtId="0" fontId="13" fillId="3" borderId="1" xfId="9" applyFont="1" applyFill="1" applyBorder="1" applyProtection="1">
      <protection hidden="1"/>
    </xf>
    <xf numFmtId="0" fontId="19" fillId="0" borderId="23" xfId="0" applyFont="1" applyBorder="1"/>
    <xf numFmtId="0" fontId="13" fillId="0" borderId="23" xfId="0" applyFont="1" applyBorder="1"/>
    <xf numFmtId="0" fontId="13" fillId="0" borderId="23" xfId="0" quotePrefix="1" applyFont="1" applyBorder="1" applyAlignment="1">
      <alignment horizontal="left"/>
    </xf>
    <xf numFmtId="0" fontId="13" fillId="0" borderId="1" xfId="0" quotePrefix="1" applyFont="1" applyBorder="1" applyAlignment="1">
      <alignment horizontal="left"/>
    </xf>
    <xf numFmtId="0" fontId="13" fillId="0" borderId="1" xfId="1" applyFont="1"/>
    <xf numFmtId="0" fontId="21" fillId="2" borderId="8" xfId="8" applyFont="1" applyFill="1" applyAlignment="1">
      <alignment horizontal="center"/>
    </xf>
    <xf numFmtId="0" fontId="21" fillId="2" borderId="7" xfId="7" applyFont="1" applyFill="1" applyAlignment="1">
      <alignment horizontal="center"/>
    </xf>
    <xf numFmtId="0" fontId="27" fillId="2" borderId="9" xfId="9" applyFont="1" applyFill="1" applyAlignment="1" applyProtection="1">
      <alignment horizontal="left"/>
      <protection hidden="1"/>
    </xf>
    <xf numFmtId="0" fontId="12" fillId="3" borderId="0" xfId="0" applyFont="1" applyFill="1" applyAlignment="1" applyProtection="1">
      <alignment horizontal="center"/>
      <protection hidden="1"/>
    </xf>
    <xf numFmtId="0" fontId="12" fillId="3" borderId="35" xfId="5" applyFont="1" applyFill="1" applyBorder="1" applyAlignment="1" applyProtection="1">
      <alignment horizontal="centerContinuous"/>
      <protection hidden="1"/>
    </xf>
    <xf numFmtId="0" fontId="16" fillId="3" borderId="1" xfId="1" applyFont="1" applyFill="1" applyProtection="1">
      <protection hidden="1"/>
    </xf>
    <xf numFmtId="0" fontId="13" fillId="3" borderId="0" xfId="0" applyFont="1" applyFill="1" applyProtection="1">
      <protection hidden="1"/>
    </xf>
    <xf numFmtId="0" fontId="12" fillId="3" borderId="35" xfId="5" quotePrefix="1" applyFont="1" applyFill="1" applyBorder="1" applyAlignment="1" applyProtection="1">
      <alignment horizontal="centerContinuous"/>
      <protection hidden="1"/>
    </xf>
    <xf numFmtId="0" fontId="12" fillId="3" borderId="110" xfId="0" applyFont="1" applyFill="1" applyBorder="1" applyAlignment="1" applyProtection="1">
      <alignment horizontal="centerContinuous"/>
      <protection hidden="1"/>
    </xf>
    <xf numFmtId="0" fontId="32" fillId="2" borderId="37" xfId="0" applyFont="1" applyFill="1" applyBorder="1" applyProtection="1">
      <protection hidden="1"/>
    </xf>
    <xf numFmtId="0" fontId="32" fillId="2" borderId="0" xfId="0" applyFont="1" applyFill="1" applyAlignment="1" applyProtection="1">
      <alignment horizontal="left"/>
      <protection hidden="1"/>
    </xf>
    <xf numFmtId="0" fontId="32" fillId="2" borderId="0" xfId="0" applyFont="1" applyFill="1" applyAlignment="1" applyProtection="1">
      <alignment horizontal="right"/>
      <protection hidden="1"/>
    </xf>
    <xf numFmtId="0" fontId="32" fillId="2" borderId="0" xfId="0" applyFont="1" applyFill="1" applyProtection="1">
      <protection hidden="1"/>
    </xf>
    <xf numFmtId="0" fontId="13" fillId="0" borderId="1" xfId="0" applyFont="1" applyBorder="1" applyProtection="1">
      <protection hidden="1"/>
    </xf>
    <xf numFmtId="0" fontId="16" fillId="2" borderId="0" xfId="0" applyFont="1" applyFill="1" applyProtection="1">
      <protection hidden="1"/>
    </xf>
    <xf numFmtId="0" fontId="13" fillId="2" borderId="0" xfId="0" applyFont="1" applyFill="1" applyProtection="1">
      <protection hidden="1"/>
    </xf>
    <xf numFmtId="0" fontId="23" fillId="2" borderId="1" xfId="1" applyFont="1" applyFill="1" applyAlignment="1" applyProtection="1">
      <alignment horizontal="left"/>
      <protection hidden="1"/>
    </xf>
    <xf numFmtId="0" fontId="13" fillId="0" borderId="1" xfId="1" applyFont="1" applyProtection="1">
      <protection hidden="1"/>
    </xf>
    <xf numFmtId="0" fontId="23" fillId="4" borderId="1" xfId="0" applyFont="1" applyFill="1" applyBorder="1" applyAlignment="1" applyProtection="1">
      <alignment horizontal="left"/>
      <protection hidden="1"/>
    </xf>
    <xf numFmtId="0" fontId="19" fillId="0" borderId="12" xfId="0" applyFont="1" applyBorder="1"/>
    <xf numFmtId="0" fontId="19" fillId="0" borderId="33" xfId="0" applyFont="1" applyBorder="1"/>
    <xf numFmtId="0" fontId="19" fillId="0" borderId="5" xfId="0" applyFont="1" applyBorder="1"/>
    <xf numFmtId="0" fontId="19" fillId="0" borderId="28" xfId="0" applyFont="1" applyBorder="1" applyAlignment="1">
      <alignment horizontal="left"/>
    </xf>
    <xf numFmtId="0" fontId="21" fillId="4" borderId="10" xfId="0" applyFont="1" applyFill="1" applyBorder="1" applyAlignment="1">
      <alignment horizontal="centerContinuous"/>
    </xf>
    <xf numFmtId="0" fontId="13" fillId="4" borderId="9" xfId="0" applyFont="1" applyFill="1" applyBorder="1" applyAlignment="1">
      <alignment horizontal="centerContinuous"/>
    </xf>
    <xf numFmtId="0" fontId="13" fillId="5" borderId="5" xfId="0" applyFont="1" applyFill="1" applyBorder="1" applyProtection="1">
      <protection hidden="1"/>
    </xf>
    <xf numFmtId="0" fontId="13" fillId="5" borderId="2" xfId="0" applyFont="1" applyFill="1" applyBorder="1" applyProtection="1">
      <protection hidden="1"/>
    </xf>
    <xf numFmtId="0" fontId="13" fillId="0" borderId="42" xfId="0" applyFont="1" applyBorder="1" applyProtection="1">
      <protection hidden="1"/>
    </xf>
    <xf numFmtId="0" fontId="16" fillId="10" borderId="10" xfId="0" applyFont="1" applyFill="1" applyBorder="1" applyProtection="1">
      <protection hidden="1"/>
    </xf>
    <xf numFmtId="0" fontId="12" fillId="5" borderId="17" xfId="0" applyFont="1" applyFill="1" applyBorder="1" applyAlignment="1" applyProtection="1">
      <alignment horizontal="center"/>
      <protection hidden="1"/>
    </xf>
    <xf numFmtId="37" fontId="50" fillId="5" borderId="57" xfId="0" applyNumberFormat="1" applyFont="1" applyFill="1" applyBorder="1" applyAlignment="1" applyProtection="1">
      <alignment horizontal="right"/>
      <protection hidden="1"/>
    </xf>
    <xf numFmtId="0" fontId="16" fillId="0" borderId="0" xfId="0" applyFont="1" applyProtection="1">
      <protection locked="0"/>
    </xf>
    <xf numFmtId="0" fontId="25" fillId="0" borderId="19" xfId="0" applyFont="1" applyBorder="1" applyAlignment="1" applyProtection="1">
      <alignment horizontal="left"/>
      <protection hidden="1"/>
    </xf>
    <xf numFmtId="0" fontId="25" fillId="0" borderId="24" xfId="0" applyFont="1" applyBorder="1"/>
    <xf numFmtId="0" fontId="13" fillId="0" borderId="3" xfId="0" applyFont="1" applyBorder="1" applyProtection="1">
      <protection hidden="1"/>
    </xf>
    <xf numFmtId="0" fontId="12" fillId="3" borderId="2" xfId="0" applyFont="1" applyFill="1" applyBorder="1" applyProtection="1">
      <protection hidden="1"/>
    </xf>
    <xf numFmtId="0" fontId="12" fillId="3" borderId="6" xfId="0" applyFont="1" applyFill="1" applyBorder="1" applyAlignment="1" applyProtection="1">
      <alignment horizontal="center"/>
      <protection hidden="1"/>
    </xf>
    <xf numFmtId="0" fontId="12" fillId="3" borderId="5" xfId="0" applyFont="1" applyFill="1" applyBorder="1" applyAlignment="1" applyProtection="1">
      <alignment horizontal="center"/>
      <protection hidden="1"/>
    </xf>
    <xf numFmtId="0" fontId="19" fillId="0" borderId="20" xfId="0" applyFont="1" applyBorder="1"/>
    <xf numFmtId="0" fontId="13" fillId="3" borderId="5" xfId="0" applyFont="1" applyFill="1" applyBorder="1" applyAlignment="1" applyProtection="1">
      <alignment horizontal="left"/>
      <protection hidden="1"/>
    </xf>
    <xf numFmtId="0" fontId="12" fillId="3" borderId="9" xfId="0" quotePrefix="1" applyFont="1" applyFill="1" applyBorder="1" applyAlignment="1" applyProtection="1">
      <alignment horizontal="left"/>
      <protection hidden="1"/>
    </xf>
    <xf numFmtId="0" fontId="39" fillId="3" borderId="9" xfId="0" applyFont="1" applyFill="1" applyBorder="1" applyProtection="1">
      <protection hidden="1"/>
    </xf>
    <xf numFmtId="0" fontId="12" fillId="3" borderId="9" xfId="0" applyFont="1" applyFill="1" applyBorder="1" applyAlignment="1" applyProtection="1">
      <alignment horizontal="left"/>
      <protection hidden="1"/>
    </xf>
    <xf numFmtId="0" fontId="23" fillId="2" borderId="0" xfId="0" applyFont="1" applyFill="1" applyAlignment="1" applyProtection="1">
      <alignment horizontal="left"/>
      <protection hidden="1"/>
    </xf>
    <xf numFmtId="0" fontId="27" fillId="2" borderId="10" xfId="0" applyFont="1" applyFill="1" applyBorder="1" applyAlignment="1" applyProtection="1">
      <alignment horizontal="left"/>
      <protection hidden="1"/>
    </xf>
    <xf numFmtId="0" fontId="12" fillId="0" borderId="33" xfId="0" applyFont="1" applyBorder="1" applyAlignment="1" applyProtection="1">
      <alignment horizontal="left"/>
      <protection hidden="1"/>
    </xf>
    <xf numFmtId="0" fontId="65" fillId="2" borderId="2" xfId="0" applyFont="1" applyFill="1" applyBorder="1" applyAlignment="1" applyProtection="1">
      <alignment horizontal="left"/>
      <protection hidden="1"/>
    </xf>
    <xf numFmtId="0" fontId="12" fillId="3" borderId="12" xfId="0" applyFont="1" applyFill="1" applyBorder="1" applyProtection="1">
      <protection hidden="1"/>
    </xf>
    <xf numFmtId="0" fontId="13" fillId="3" borderId="8" xfId="0" applyFont="1" applyFill="1" applyBorder="1" applyProtection="1">
      <protection hidden="1"/>
    </xf>
    <xf numFmtId="0" fontId="13" fillId="3" borderId="1" xfId="0" applyFont="1" applyFill="1" applyBorder="1" applyProtection="1">
      <protection hidden="1"/>
    </xf>
    <xf numFmtId="0" fontId="21" fillId="2" borderId="12" xfId="0" applyFont="1" applyFill="1" applyBorder="1" applyAlignment="1" applyProtection="1">
      <alignment horizontal="left"/>
      <protection hidden="1"/>
    </xf>
    <xf numFmtId="0" fontId="13" fillId="0" borderId="9" xfId="0" applyFont="1" applyBorder="1" applyProtection="1">
      <protection hidden="1"/>
    </xf>
    <xf numFmtId="0" fontId="44" fillId="0" borderId="9" xfId="0" applyFont="1" applyBorder="1" applyAlignment="1" applyProtection="1">
      <alignment horizontal="center"/>
      <protection hidden="1"/>
    </xf>
    <xf numFmtId="0" fontId="12" fillId="3" borderId="2" xfId="0" applyFont="1" applyFill="1" applyBorder="1" applyAlignment="1" applyProtection="1">
      <alignment horizontal="center"/>
      <protection hidden="1"/>
    </xf>
    <xf numFmtId="0" fontId="12" fillId="3" borderId="9" xfId="0" applyFont="1" applyFill="1" applyBorder="1" applyProtection="1">
      <protection hidden="1"/>
    </xf>
    <xf numFmtId="0" fontId="13" fillId="3" borderId="13" xfId="0" applyFont="1" applyFill="1" applyBorder="1" applyProtection="1">
      <protection hidden="1"/>
    </xf>
    <xf numFmtId="0" fontId="13" fillId="3" borderId="6" xfId="0" applyFont="1" applyFill="1" applyBorder="1" applyProtection="1">
      <protection hidden="1"/>
    </xf>
    <xf numFmtId="0" fontId="13" fillId="3" borderId="5" xfId="0" applyFont="1" applyFill="1" applyBorder="1" applyProtection="1">
      <protection hidden="1"/>
    </xf>
    <xf numFmtId="0" fontId="13" fillId="3" borderId="2" xfId="0" applyFont="1" applyFill="1" applyBorder="1" applyProtection="1">
      <protection hidden="1"/>
    </xf>
    <xf numFmtId="0" fontId="13" fillId="3" borderId="12" xfId="0" applyFont="1" applyFill="1" applyBorder="1" applyProtection="1">
      <protection hidden="1"/>
    </xf>
    <xf numFmtId="0" fontId="13" fillId="3" borderId="5" xfId="5" applyFont="1" applyFill="1" applyProtection="1">
      <protection hidden="1"/>
    </xf>
    <xf numFmtId="0" fontId="13" fillId="3" borderId="2" xfId="5" applyFont="1" applyFill="1" applyBorder="1" applyProtection="1">
      <protection hidden="1"/>
    </xf>
    <xf numFmtId="0" fontId="44" fillId="0" borderId="22" xfId="0" applyFont="1" applyBorder="1" applyAlignment="1" applyProtection="1">
      <alignment horizontal="center"/>
      <protection hidden="1"/>
    </xf>
    <xf numFmtId="0" fontId="13" fillId="3" borderId="10" xfId="0" applyFont="1" applyFill="1" applyBorder="1" applyAlignment="1" applyProtection="1">
      <alignment horizontal="centerContinuous"/>
      <protection hidden="1"/>
    </xf>
    <xf numFmtId="0" fontId="13" fillId="3" borderId="82" xfId="0" applyFont="1" applyFill="1" applyBorder="1" applyAlignment="1" applyProtection="1">
      <alignment horizontal="centerContinuous"/>
      <protection hidden="1"/>
    </xf>
    <xf numFmtId="0" fontId="13" fillId="3" borderId="44" xfId="0" applyFont="1" applyFill="1" applyBorder="1" applyAlignment="1" applyProtection="1">
      <alignment horizontal="center"/>
      <protection hidden="1"/>
    </xf>
    <xf numFmtId="0" fontId="13" fillId="3" borderId="2" xfId="0" applyFont="1" applyFill="1" applyBorder="1" applyAlignment="1" applyProtection="1">
      <alignment horizontal="centerContinuous"/>
      <protection hidden="1"/>
    </xf>
    <xf numFmtId="0" fontId="13" fillId="5" borderId="54" xfId="0" applyFont="1" applyFill="1" applyBorder="1" applyAlignment="1" applyProtection="1">
      <alignment horizontal="centerContinuous"/>
      <protection hidden="1"/>
    </xf>
    <xf numFmtId="0" fontId="21" fillId="2" borderId="11" xfId="0" quotePrefix="1" applyFont="1" applyFill="1" applyBorder="1" applyProtection="1">
      <protection hidden="1"/>
    </xf>
    <xf numFmtId="0" fontId="19" fillId="0" borderId="10" xfId="0" applyFont="1" applyBorder="1" applyAlignment="1" applyProtection="1">
      <alignment horizontal="left"/>
      <protection hidden="1"/>
    </xf>
    <xf numFmtId="0" fontId="19" fillId="0" borderId="33" xfId="0" applyFont="1" applyBorder="1" applyAlignment="1" applyProtection="1">
      <alignment horizontal="left"/>
      <protection hidden="1"/>
    </xf>
    <xf numFmtId="0" fontId="27" fillId="2" borderId="9" xfId="0" applyFont="1" applyFill="1" applyBorder="1" applyAlignment="1" applyProtection="1">
      <alignment horizontal="left"/>
      <protection hidden="1"/>
    </xf>
    <xf numFmtId="0" fontId="65" fillId="2" borderId="0" xfId="0" applyFont="1" applyFill="1" applyAlignment="1" applyProtection="1">
      <alignment horizontal="left"/>
      <protection hidden="1"/>
    </xf>
    <xf numFmtId="0" fontId="13" fillId="0" borderId="11" xfId="0" applyFont="1" applyBorder="1" applyAlignment="1" applyProtection="1">
      <alignment horizontal="center"/>
      <protection hidden="1"/>
    </xf>
    <xf numFmtId="0" fontId="39" fillId="10" borderId="10" xfId="0" applyFont="1" applyFill="1" applyBorder="1" applyProtection="1">
      <protection hidden="1"/>
    </xf>
    <xf numFmtId="3" fontId="13" fillId="0" borderId="10" xfId="15" applyNumberFormat="1" applyFont="1" applyBorder="1" applyAlignment="1" applyProtection="1">
      <alignment horizontal="centerContinuous"/>
      <protection hidden="1"/>
    </xf>
    <xf numFmtId="3" fontId="14" fillId="0" borderId="10" xfId="15" applyNumberFormat="1" applyFont="1" applyBorder="1" applyAlignment="1" applyProtection="1">
      <alignment horizontal="centerContinuous"/>
      <protection hidden="1"/>
    </xf>
    <xf numFmtId="0" fontId="14" fillId="3" borderId="48" xfId="0" applyFont="1" applyFill="1" applyBorder="1" applyAlignment="1" applyProtection="1">
      <alignment horizontal="centerContinuous"/>
      <protection hidden="1"/>
    </xf>
    <xf numFmtId="0" fontId="14" fillId="5" borderId="84" xfId="0" applyFont="1" applyFill="1" applyBorder="1" applyAlignment="1" applyProtection="1">
      <alignment horizontal="centerContinuous"/>
      <protection hidden="1"/>
    </xf>
    <xf numFmtId="0" fontId="14" fillId="5" borderId="101" xfId="0" applyFont="1" applyFill="1" applyBorder="1" applyAlignment="1" applyProtection="1">
      <alignment horizontal="centerContinuous"/>
      <protection hidden="1"/>
    </xf>
    <xf numFmtId="0" fontId="14" fillId="3" borderId="5" xfId="0" applyFont="1" applyFill="1" applyBorder="1" applyAlignment="1" applyProtection="1">
      <alignment horizontal="centerContinuous"/>
      <protection hidden="1"/>
    </xf>
    <xf numFmtId="0" fontId="14" fillId="3" borderId="5" xfId="0" applyFont="1" applyFill="1" applyBorder="1" applyAlignment="1" applyProtection="1">
      <alignment horizontal="center"/>
      <protection hidden="1"/>
    </xf>
    <xf numFmtId="0" fontId="14" fillId="5" borderId="111" xfId="0" applyFont="1" applyFill="1" applyBorder="1" applyAlignment="1" applyProtection="1">
      <alignment horizontal="center" vertical="center" wrapText="1"/>
      <protection hidden="1"/>
    </xf>
    <xf numFmtId="0" fontId="25" fillId="0" borderId="3" xfId="0" applyFont="1" applyBorder="1" applyAlignment="1" applyProtection="1">
      <alignment horizontal="center"/>
      <protection hidden="1"/>
    </xf>
    <xf numFmtId="3" fontId="35" fillId="3" borderId="33" xfId="15" applyNumberFormat="1" applyFont="1" applyFill="1" applyBorder="1" applyAlignment="1" applyProtection="1">
      <alignment horizontal="centerContinuous"/>
      <protection hidden="1"/>
    </xf>
    <xf numFmtId="0" fontId="27" fillId="2" borderId="0" xfId="0" applyFont="1" applyFill="1" applyAlignment="1" applyProtection="1">
      <alignment horizontal="left"/>
      <protection hidden="1"/>
    </xf>
    <xf numFmtId="166" fontId="35" fillId="3" borderId="9" xfId="15" applyNumberFormat="1" applyFont="1" applyFill="1" applyBorder="1" applyAlignment="1" applyProtection="1">
      <alignment horizontal="centerContinuous"/>
      <protection hidden="1"/>
    </xf>
    <xf numFmtId="0" fontId="35" fillId="3" borderId="5" xfId="0" applyFont="1" applyFill="1" applyBorder="1" applyAlignment="1" applyProtection="1">
      <alignment horizontal="centerContinuous"/>
      <protection hidden="1"/>
    </xf>
    <xf numFmtId="0" fontId="35" fillId="5" borderId="101" xfId="0" applyFont="1" applyFill="1" applyBorder="1" applyAlignment="1" applyProtection="1">
      <alignment horizontal="centerContinuous"/>
      <protection hidden="1"/>
    </xf>
    <xf numFmtId="0" fontId="13" fillId="10" borderId="63" xfId="0" applyFont="1" applyFill="1" applyBorder="1" applyProtection="1">
      <protection hidden="1"/>
    </xf>
    <xf numFmtId="0" fontId="13" fillId="10" borderId="10" xfId="0" applyFont="1" applyFill="1" applyBorder="1" applyProtection="1">
      <protection hidden="1"/>
    </xf>
    <xf numFmtId="0" fontId="13" fillId="10" borderId="47" xfId="0" applyFont="1" applyFill="1" applyBorder="1" applyProtection="1">
      <protection hidden="1"/>
    </xf>
    <xf numFmtId="37" fontId="13" fillId="5" borderId="103" xfId="15" applyNumberFormat="1" applyFont="1" applyFill="1" applyBorder="1" applyProtection="1">
      <protection hidden="1"/>
    </xf>
    <xf numFmtId="37" fontId="13" fillId="3" borderId="28" xfId="15" applyNumberFormat="1" applyFont="1" applyFill="1" applyBorder="1" applyProtection="1">
      <protection hidden="1"/>
    </xf>
    <xf numFmtId="166" fontId="13" fillId="10" borderId="2" xfId="15" applyNumberFormat="1" applyFont="1" applyFill="1" applyBorder="1" applyProtection="1">
      <protection hidden="1"/>
    </xf>
    <xf numFmtId="166" fontId="13" fillId="10" borderId="2" xfId="15" applyNumberFormat="1" applyFont="1" applyFill="1" applyBorder="1" applyAlignment="1" applyProtection="1">
      <alignment horizontal="centerContinuous"/>
      <protection hidden="1"/>
    </xf>
    <xf numFmtId="166" fontId="13" fillId="10" borderId="1" xfId="15" applyNumberFormat="1" applyFont="1" applyFill="1" applyBorder="1" applyAlignment="1" applyProtection="1">
      <alignment horizontal="centerContinuous"/>
      <protection hidden="1"/>
    </xf>
    <xf numFmtId="0" fontId="14" fillId="3" borderId="2" xfId="0" applyFont="1" applyFill="1" applyBorder="1" applyAlignment="1" applyProtection="1">
      <alignment horizontal="center" vertical="center" wrapText="1"/>
      <protection hidden="1"/>
    </xf>
    <xf numFmtId="0" fontId="14" fillId="3" borderId="58" xfId="0" applyFont="1" applyFill="1" applyBorder="1" applyAlignment="1" applyProtection="1">
      <alignment horizontal="center" vertical="center" wrapText="1"/>
      <protection hidden="1"/>
    </xf>
    <xf numFmtId="0" fontId="14" fillId="3" borderId="4" xfId="0" applyFont="1" applyFill="1" applyBorder="1" applyAlignment="1" applyProtection="1">
      <alignment horizontal="center" vertical="center" wrapText="1"/>
      <protection hidden="1"/>
    </xf>
    <xf numFmtId="0" fontId="14" fillId="5" borderId="2" xfId="0" applyFont="1" applyFill="1" applyBorder="1" applyAlignment="1" applyProtection="1">
      <alignment horizontal="center" vertical="center" wrapText="1"/>
      <protection hidden="1"/>
    </xf>
    <xf numFmtId="0" fontId="14" fillId="5" borderId="58" xfId="0" applyFont="1" applyFill="1" applyBorder="1" applyAlignment="1" applyProtection="1">
      <alignment horizontal="center" vertical="center" wrapText="1"/>
      <protection hidden="1"/>
    </xf>
    <xf numFmtId="0" fontId="14" fillId="5" borderId="4" xfId="0" applyFont="1" applyFill="1" applyBorder="1" applyAlignment="1" applyProtection="1">
      <alignment horizontal="center" vertical="center" wrapText="1"/>
      <protection hidden="1"/>
    </xf>
    <xf numFmtId="3" fontId="9" fillId="0" borderId="0" xfId="34" applyFont="1" applyProtection="1">
      <protection hidden="1"/>
    </xf>
    <xf numFmtId="0" fontId="16" fillId="0" borderId="0" xfId="0" quotePrefix="1" applyFont="1" applyAlignment="1">
      <alignment horizontal="center"/>
    </xf>
    <xf numFmtId="0" fontId="12" fillId="3" borderId="33" xfId="0" applyFont="1" applyFill="1" applyBorder="1" applyAlignment="1" applyProtection="1">
      <alignment horizontal="center"/>
      <protection hidden="1"/>
    </xf>
    <xf numFmtId="0" fontId="12" fillId="3" borderId="22" xfId="0" applyFont="1" applyFill="1" applyBorder="1" applyAlignment="1" applyProtection="1">
      <alignment horizontal="center"/>
      <protection hidden="1"/>
    </xf>
    <xf numFmtId="0" fontId="12" fillId="3" borderId="34" xfId="0" applyFont="1" applyFill="1" applyBorder="1" applyAlignment="1" applyProtection="1">
      <alignment horizontal="center"/>
      <protection hidden="1"/>
    </xf>
    <xf numFmtId="0" fontId="12" fillId="5" borderId="33" xfId="0" applyFont="1" applyFill="1" applyBorder="1" applyAlignment="1" applyProtection="1">
      <alignment horizontal="center"/>
      <protection hidden="1"/>
    </xf>
    <xf numFmtId="0" fontId="12" fillId="5" borderId="22" xfId="0" applyFont="1" applyFill="1" applyBorder="1" applyAlignment="1" applyProtection="1">
      <alignment horizontal="center"/>
      <protection hidden="1"/>
    </xf>
    <xf numFmtId="0" fontId="12" fillId="5" borderId="34" xfId="0" applyFont="1" applyFill="1" applyBorder="1" applyAlignment="1" applyProtection="1">
      <alignment horizontal="center"/>
      <protection hidden="1"/>
    </xf>
    <xf numFmtId="0" fontId="66" fillId="0" borderId="0" xfId="0" applyFont="1" applyAlignment="1" applyProtection="1">
      <alignment horizontal="centerContinuous"/>
      <protection hidden="1"/>
    </xf>
    <xf numFmtId="0" fontId="16" fillId="9" borderId="0" xfId="0" applyFont="1" applyFill="1" applyAlignment="1" applyProtection="1">
      <alignment horizontal="center"/>
      <protection hidden="1"/>
    </xf>
    <xf numFmtId="0" fontId="19" fillId="0" borderId="11" xfId="0" applyFont="1" applyBorder="1" applyProtection="1">
      <protection hidden="1"/>
    </xf>
    <xf numFmtId="0" fontId="12" fillId="3" borderId="0" xfId="0" applyFont="1" applyFill="1" applyProtection="1">
      <protection hidden="1"/>
    </xf>
    <xf numFmtId="0" fontId="12" fillId="3" borderId="1" xfId="0" applyFont="1" applyFill="1" applyBorder="1" applyProtection="1">
      <protection hidden="1"/>
    </xf>
    <xf numFmtId="0" fontId="12" fillId="0" borderId="10" xfId="0" applyFont="1" applyBorder="1" applyProtection="1">
      <protection hidden="1"/>
    </xf>
    <xf numFmtId="0" fontId="13" fillId="0" borderId="34" xfId="0" applyFont="1" applyBorder="1" applyAlignment="1" applyProtection="1">
      <alignment horizontal="center"/>
      <protection hidden="1"/>
    </xf>
    <xf numFmtId="0" fontId="13" fillId="0" borderId="4" xfId="0" applyFont="1" applyBorder="1" applyAlignment="1" applyProtection="1">
      <alignment horizontal="center"/>
      <protection hidden="1"/>
    </xf>
    <xf numFmtId="0" fontId="16" fillId="3" borderId="6" xfId="0" applyFont="1" applyFill="1" applyBorder="1" applyProtection="1">
      <protection hidden="1"/>
    </xf>
    <xf numFmtId="37" fontId="50" fillId="3" borderId="57" xfId="0" applyNumberFormat="1" applyFont="1" applyFill="1" applyBorder="1" applyAlignment="1" applyProtection="1">
      <alignment horizontal="right"/>
      <protection hidden="1"/>
    </xf>
    <xf numFmtId="0" fontId="64" fillId="0" borderId="1" xfId="0" applyFont="1" applyBorder="1" applyAlignment="1" applyProtection="1">
      <alignment horizontal="center" vertical="center" wrapText="1"/>
      <protection hidden="1"/>
    </xf>
    <xf numFmtId="0" fontId="12" fillId="3" borderId="10" xfId="0" applyFont="1" applyFill="1" applyBorder="1" applyAlignment="1" applyProtection="1">
      <alignment horizontal="centerContinuous"/>
      <protection hidden="1"/>
    </xf>
    <xf numFmtId="0" fontId="35" fillId="3" borderId="2" xfId="0" applyFont="1" applyFill="1" applyBorder="1" applyAlignment="1" applyProtection="1">
      <alignment horizontal="center" vertical="center"/>
      <protection hidden="1"/>
    </xf>
    <xf numFmtId="0" fontId="35" fillId="3" borderId="58" xfId="0" applyFont="1" applyFill="1" applyBorder="1" applyAlignment="1" applyProtection="1">
      <alignment horizontal="center" vertical="center"/>
      <protection hidden="1"/>
    </xf>
    <xf numFmtId="0" fontId="14" fillId="3" borderId="4" xfId="0" applyFont="1" applyFill="1" applyBorder="1" applyAlignment="1" applyProtection="1">
      <alignment horizontal="center" vertical="center"/>
      <protection hidden="1"/>
    </xf>
    <xf numFmtId="0" fontId="35" fillId="5" borderId="2" xfId="0" applyFont="1" applyFill="1" applyBorder="1" applyAlignment="1" applyProtection="1">
      <alignment horizontal="center" vertical="center"/>
      <protection hidden="1"/>
    </xf>
    <xf numFmtId="0" fontId="35" fillId="5" borderId="58" xfId="0" applyFont="1" applyFill="1" applyBorder="1" applyAlignment="1" applyProtection="1">
      <alignment horizontal="center" vertical="center"/>
      <protection hidden="1"/>
    </xf>
    <xf numFmtId="0" fontId="14" fillId="5" borderId="4" xfId="0" applyFont="1" applyFill="1" applyBorder="1" applyAlignment="1" applyProtection="1">
      <alignment horizontal="center" vertical="center"/>
      <protection hidden="1"/>
    </xf>
    <xf numFmtId="0" fontId="22" fillId="2" borderId="13" xfId="0" applyFont="1" applyFill="1" applyBorder="1" applyAlignment="1" applyProtection="1">
      <alignment horizontal="center"/>
      <protection hidden="1"/>
    </xf>
    <xf numFmtId="0" fontId="22" fillId="2" borderId="3" xfId="0" applyFont="1" applyFill="1" applyBorder="1" applyAlignment="1" applyProtection="1">
      <alignment horizontal="center"/>
      <protection hidden="1"/>
    </xf>
    <xf numFmtId="0" fontId="22" fillId="2" borderId="40" xfId="0" applyFont="1" applyFill="1" applyBorder="1" applyAlignment="1" applyProtection="1">
      <alignment horizontal="center"/>
      <protection hidden="1"/>
    </xf>
    <xf numFmtId="0" fontId="19" fillId="0" borderId="2" xfId="0" applyFont="1" applyBorder="1" applyAlignment="1" applyProtection="1">
      <alignment horizontal="left"/>
      <protection hidden="1"/>
    </xf>
    <xf numFmtId="0" fontId="35" fillId="0" borderId="6" xfId="0" applyFont="1" applyBorder="1" applyAlignment="1" applyProtection="1">
      <alignment horizontal="center"/>
      <protection hidden="1"/>
    </xf>
    <xf numFmtId="0" fontId="14" fillId="0" borderId="3" xfId="0" applyFont="1" applyBorder="1" applyAlignment="1" applyProtection="1">
      <alignment horizontal="center"/>
      <protection hidden="1"/>
    </xf>
    <xf numFmtId="37" fontId="33" fillId="2" borderId="12" xfId="0" applyNumberFormat="1" applyFont="1" applyFill="1" applyBorder="1" applyAlignment="1" applyProtection="1">
      <alignment horizontal="centerContinuous"/>
      <protection hidden="1"/>
    </xf>
    <xf numFmtId="0" fontId="33" fillId="2" borderId="2" xfId="0" applyFont="1" applyFill="1" applyBorder="1" applyAlignment="1" applyProtection="1">
      <alignment horizontal="centerContinuous"/>
      <protection hidden="1"/>
    </xf>
    <xf numFmtId="0" fontId="30" fillId="0" borderId="1" xfId="0" applyFont="1" applyBorder="1" applyAlignment="1" applyProtection="1">
      <alignment horizontal="centerContinuous"/>
      <protection hidden="1"/>
    </xf>
    <xf numFmtId="0" fontId="23" fillId="2" borderId="5" xfId="101" applyFont="1" applyFill="1" applyBorder="1" applyAlignment="1" applyProtection="1">
      <alignment horizontal="centerContinuous"/>
      <protection hidden="1"/>
    </xf>
    <xf numFmtId="0" fontId="12" fillId="3" borderId="5" xfId="99" applyFont="1" applyFill="1" applyBorder="1" applyAlignment="1" applyProtection="1">
      <alignment horizontal="centerContinuous"/>
      <protection hidden="1"/>
    </xf>
    <xf numFmtId="0" fontId="12" fillId="3" borderId="2" xfId="99" applyFont="1" applyFill="1" applyBorder="1" applyAlignment="1" applyProtection="1">
      <alignment horizontal="centerContinuous"/>
      <protection hidden="1"/>
    </xf>
    <xf numFmtId="0" fontId="12" fillId="3" borderId="7" xfId="99" applyFont="1" applyFill="1" applyBorder="1" applyAlignment="1" applyProtection="1">
      <alignment horizontal="centerContinuous"/>
      <protection hidden="1"/>
    </xf>
    <xf numFmtId="0" fontId="12" fillId="3" borderId="49" xfId="99" applyFont="1" applyFill="1" applyBorder="1" applyAlignment="1" applyProtection="1">
      <alignment horizontal="centerContinuous"/>
      <protection hidden="1"/>
    </xf>
    <xf numFmtId="0" fontId="12" fillId="3" borderId="4" xfId="99" applyFont="1" applyFill="1" applyBorder="1" applyAlignment="1" applyProtection="1">
      <alignment horizontal="centerContinuous"/>
      <protection hidden="1"/>
    </xf>
    <xf numFmtId="0" fontId="12" fillId="3" borderId="51" xfId="99" applyFont="1" applyFill="1" applyBorder="1" applyAlignment="1" applyProtection="1">
      <alignment horizontal="centerContinuous"/>
      <protection hidden="1"/>
    </xf>
    <xf numFmtId="0" fontId="21" fillId="2" borderId="8" xfId="101" applyFont="1" applyFill="1" applyBorder="1" applyProtection="1">
      <protection hidden="1"/>
    </xf>
    <xf numFmtId="0" fontId="21" fillId="2" borderId="13" xfId="0" applyFont="1" applyFill="1" applyBorder="1" applyAlignment="1" applyProtection="1">
      <alignment horizontal="center" wrapText="1"/>
      <protection hidden="1"/>
    </xf>
    <xf numFmtId="0" fontId="21" fillId="2" borderId="0" xfId="101" applyFont="1" applyFill="1" applyAlignment="1" applyProtection="1">
      <alignment horizontal="center"/>
      <protection hidden="1"/>
    </xf>
    <xf numFmtId="0" fontId="21" fillId="2" borderId="0" xfId="101" applyFont="1" applyFill="1" applyProtection="1">
      <protection hidden="1"/>
    </xf>
    <xf numFmtId="0" fontId="13" fillId="3" borderId="9" xfId="99" applyFont="1" applyFill="1" applyBorder="1" applyAlignment="1" applyProtection="1">
      <alignment horizontal="left"/>
      <protection hidden="1"/>
    </xf>
    <xf numFmtId="0" fontId="12" fillId="0" borderId="9" xfId="99" quotePrefix="1" applyFont="1" applyBorder="1" applyAlignment="1" applyProtection="1">
      <alignment horizontal="center"/>
      <protection hidden="1"/>
    </xf>
    <xf numFmtId="0" fontId="12" fillId="0" borderId="11" xfId="99" quotePrefix="1" applyFont="1" applyBorder="1" applyAlignment="1" applyProtection="1">
      <alignment horizontal="center"/>
      <protection hidden="1"/>
    </xf>
    <xf numFmtId="0" fontId="12" fillId="3" borderId="9" xfId="99" quotePrefix="1" applyFont="1" applyFill="1" applyBorder="1" applyAlignment="1" applyProtection="1">
      <alignment horizontal="left"/>
      <protection hidden="1"/>
    </xf>
    <xf numFmtId="0" fontId="12" fillId="0" borderId="9" xfId="99" applyFont="1" applyBorder="1" applyAlignment="1" applyProtection="1">
      <alignment horizontal="center"/>
      <protection hidden="1"/>
    </xf>
    <xf numFmtId="174" fontId="13" fillId="10" borderId="15" xfId="99" applyNumberFormat="1" applyFont="1" applyFill="1" applyBorder="1" applyAlignment="1" applyProtection="1">
      <alignment horizontal="center"/>
      <protection hidden="1"/>
    </xf>
    <xf numFmtId="0" fontId="13" fillId="2" borderId="1" xfId="101" applyFont="1" applyFill="1" applyBorder="1" applyProtection="1">
      <protection hidden="1"/>
    </xf>
    <xf numFmtId="0" fontId="12" fillId="0" borderId="0" xfId="99" applyFont="1" applyProtection="1">
      <protection hidden="1"/>
    </xf>
    <xf numFmtId="0" fontId="12" fillId="0" borderId="112" xfId="99" applyFont="1" applyBorder="1" applyProtection="1">
      <protection hidden="1"/>
    </xf>
    <xf numFmtId="3" fontId="12" fillId="3" borderId="2" xfId="99" applyNumberFormat="1" applyFont="1" applyFill="1" applyBorder="1" applyAlignment="1" applyProtection="1">
      <alignment horizontal="centerContinuous" vertical="center" wrapText="1"/>
      <protection hidden="1"/>
    </xf>
    <xf numFmtId="3" fontId="12" fillId="3" borderId="4" xfId="99" applyNumberFormat="1" applyFont="1" applyFill="1" applyBorder="1" applyAlignment="1" applyProtection="1">
      <alignment horizontal="centerContinuous" vertical="center"/>
      <protection hidden="1"/>
    </xf>
    <xf numFmtId="3" fontId="12" fillId="3" borderId="1" xfId="99" applyNumberFormat="1" applyFont="1" applyFill="1" applyBorder="1" applyAlignment="1" applyProtection="1">
      <alignment horizontal="centerContinuous"/>
      <protection hidden="1"/>
    </xf>
    <xf numFmtId="3" fontId="13" fillId="5" borderId="47" xfId="99" applyNumberFormat="1" applyFont="1" applyFill="1" applyBorder="1" applyAlignment="1" applyProtection="1">
      <alignment horizontal="centerContinuous" wrapText="1"/>
      <protection hidden="1"/>
    </xf>
    <xf numFmtId="173" fontId="22" fillId="2" borderId="80" xfId="99" applyNumberFormat="1" applyFont="1" applyFill="1" applyBorder="1" applyAlignment="1" applyProtection="1">
      <alignment horizontal="center"/>
      <protection hidden="1"/>
    </xf>
    <xf numFmtId="173" fontId="22" fillId="2" borderId="70" xfId="99" applyNumberFormat="1" applyFont="1" applyFill="1" applyBorder="1" applyAlignment="1" applyProtection="1">
      <alignment horizontal="center"/>
      <protection hidden="1"/>
    </xf>
    <xf numFmtId="173" fontId="14" fillId="3" borderId="51" xfId="99" applyNumberFormat="1" applyFont="1" applyFill="1" applyBorder="1" applyAlignment="1" applyProtection="1">
      <alignment horizontal="center"/>
      <protection hidden="1"/>
    </xf>
    <xf numFmtId="173" fontId="22" fillId="2" borderId="52" xfId="99" applyNumberFormat="1" applyFont="1" applyFill="1" applyBorder="1" applyAlignment="1" applyProtection="1">
      <alignment horizontal="center"/>
      <protection hidden="1"/>
    </xf>
    <xf numFmtId="0" fontId="22" fillId="2" borderId="58" xfId="99" applyFont="1" applyFill="1" applyBorder="1" applyAlignment="1" applyProtection="1">
      <alignment horizontal="center"/>
      <protection hidden="1"/>
    </xf>
    <xf numFmtId="0" fontId="12" fillId="0" borderId="2" xfId="99" applyFont="1" applyBorder="1" applyProtection="1">
      <protection hidden="1"/>
    </xf>
    <xf numFmtId="0" fontId="32" fillId="2" borderId="54" xfId="99" quotePrefix="1" applyFont="1" applyFill="1" applyBorder="1" applyAlignment="1" applyProtection="1">
      <alignment horizontal="center" vertical="center" wrapText="1"/>
      <protection hidden="1"/>
    </xf>
    <xf numFmtId="0" fontId="32" fillId="2" borderId="54" xfId="99" applyFont="1" applyFill="1" applyBorder="1" applyAlignment="1" applyProtection="1">
      <alignment horizontal="centerContinuous" vertical="center" wrapText="1"/>
      <protection hidden="1"/>
    </xf>
    <xf numFmtId="0" fontId="32" fillId="2" borderId="52" xfId="99" quotePrefix="1" applyFont="1" applyFill="1" applyBorder="1" applyAlignment="1" applyProtection="1">
      <alignment horizontal="centerContinuous" vertical="center" wrapText="1"/>
      <protection hidden="1"/>
    </xf>
    <xf numFmtId="0" fontId="32" fillId="2" borderId="54" xfId="99" quotePrefix="1" applyFont="1" applyFill="1" applyBorder="1" applyAlignment="1" applyProtection="1">
      <alignment horizontal="centerContinuous" vertical="center" wrapText="1"/>
      <protection hidden="1"/>
    </xf>
    <xf numFmtId="0" fontId="12" fillId="3" borderId="33" xfId="0" applyFont="1" applyFill="1" applyBorder="1" applyAlignment="1" applyProtection="1">
      <alignment horizontal="centerContinuous" vertical="center"/>
      <protection hidden="1"/>
    </xf>
    <xf numFmtId="0" fontId="12" fillId="5" borderId="33" xfId="0" applyFont="1" applyFill="1" applyBorder="1" applyAlignment="1" applyProtection="1">
      <alignment horizontal="centerContinuous" vertical="center"/>
      <protection hidden="1"/>
    </xf>
    <xf numFmtId="0" fontId="14" fillId="3" borderId="2" xfId="0" applyFont="1" applyFill="1" applyBorder="1" applyAlignment="1" applyProtection="1">
      <alignment horizontal="center" vertical="center"/>
      <protection hidden="1"/>
    </xf>
    <xf numFmtId="0" fontId="14" fillId="5" borderId="2" xfId="0" applyFont="1" applyFill="1" applyBorder="1" applyAlignment="1" applyProtection="1">
      <alignment horizontal="center" vertical="center"/>
      <protection hidden="1"/>
    </xf>
    <xf numFmtId="0" fontId="14" fillId="5" borderId="70" xfId="0" applyFont="1" applyFill="1" applyBorder="1" applyAlignment="1" applyProtection="1">
      <alignment horizontal="center" vertical="center" wrapText="1"/>
      <protection hidden="1"/>
    </xf>
    <xf numFmtId="0" fontId="13" fillId="3" borderId="22" xfId="0" applyFont="1" applyFill="1" applyBorder="1" applyAlignment="1" applyProtection="1">
      <alignment horizontal="centerContinuous" vertical="center"/>
      <protection hidden="1"/>
    </xf>
    <xf numFmtId="0" fontId="13" fillId="3" borderId="34" xfId="0" applyFont="1" applyFill="1" applyBorder="1" applyAlignment="1" applyProtection="1">
      <alignment horizontal="centerContinuous" vertical="center"/>
      <protection hidden="1"/>
    </xf>
    <xf numFmtId="0" fontId="13" fillId="5" borderId="22" xfId="0" applyFont="1" applyFill="1" applyBorder="1" applyAlignment="1" applyProtection="1">
      <alignment horizontal="centerContinuous" vertical="center"/>
      <protection hidden="1"/>
    </xf>
    <xf numFmtId="0" fontId="14" fillId="5" borderId="47" xfId="99" quotePrefix="1" applyFont="1" applyFill="1" applyBorder="1" applyAlignment="1" applyProtection="1">
      <alignment horizontal="center" wrapText="1"/>
      <protection hidden="1"/>
    </xf>
    <xf numFmtId="37" fontId="63" fillId="3" borderId="42" xfId="0" applyNumberFormat="1" applyFont="1" applyFill="1" applyBorder="1"/>
    <xf numFmtId="0" fontId="67" fillId="10" borderId="113" xfId="0" applyFont="1" applyFill="1" applyBorder="1" applyProtection="1">
      <protection hidden="1"/>
    </xf>
    <xf numFmtId="0" fontId="67" fillId="10" borderId="88" xfId="0" applyFont="1" applyFill="1" applyBorder="1" applyProtection="1">
      <protection hidden="1"/>
    </xf>
    <xf numFmtId="0" fontId="67" fillId="5" borderId="88" xfId="0" applyFont="1" applyFill="1" applyBorder="1" applyProtection="1">
      <protection hidden="1"/>
    </xf>
    <xf numFmtId="37" fontId="40" fillId="0" borderId="15" xfId="0" applyNumberFormat="1" applyFont="1" applyBorder="1" applyProtection="1">
      <protection locked="0" hidden="1"/>
    </xf>
    <xf numFmtId="171" fontId="40" fillId="0" borderId="3" xfId="15" applyNumberFormat="1" applyFont="1" applyBorder="1" applyProtection="1">
      <protection locked="0" hidden="1"/>
    </xf>
    <xf numFmtId="0" fontId="62" fillId="9" borderId="0" xfId="0" applyFont="1" applyFill="1"/>
    <xf numFmtId="0" fontId="14" fillId="0" borderId="0" xfId="0" applyFont="1"/>
    <xf numFmtId="0" fontId="35" fillId="0" borderId="0" xfId="0" applyFont="1"/>
    <xf numFmtId="0" fontId="17" fillId="0" borderId="0" xfId="0" applyFont="1"/>
    <xf numFmtId="3" fontId="12" fillId="0" borderId="10" xfId="15" applyNumberFormat="1" applyFont="1" applyBorder="1" applyAlignment="1" applyProtection="1">
      <alignment horizontal="centerContinuous"/>
      <protection hidden="1"/>
    </xf>
    <xf numFmtId="3" fontId="13" fillId="0" borderId="11" xfId="15" applyNumberFormat="1" applyFont="1" applyBorder="1" applyAlignment="1" applyProtection="1">
      <alignment horizontal="centerContinuous"/>
      <protection hidden="1"/>
    </xf>
    <xf numFmtId="37" fontId="12" fillId="0" borderId="47" xfId="0" applyNumberFormat="1" applyFont="1" applyBorder="1" applyAlignment="1" applyProtection="1">
      <alignment horizontal="center"/>
      <protection hidden="1"/>
    </xf>
    <xf numFmtId="0" fontId="13" fillId="3" borderId="75" xfId="0" applyFont="1" applyFill="1" applyBorder="1" applyAlignment="1" applyProtection="1">
      <alignment horizontal="center"/>
      <protection hidden="1"/>
    </xf>
    <xf numFmtId="0" fontId="13" fillId="5" borderId="75" xfId="0" applyFont="1" applyFill="1" applyBorder="1" applyAlignment="1" applyProtection="1">
      <alignment horizontal="center"/>
      <protection hidden="1"/>
    </xf>
    <xf numFmtId="0" fontId="19" fillId="0" borderId="23" xfId="99" applyFont="1" applyBorder="1" applyProtection="1">
      <protection hidden="1"/>
    </xf>
    <xf numFmtId="0" fontId="19" fillId="0" borderId="29" xfId="99" applyFont="1" applyBorder="1" applyProtection="1">
      <protection hidden="1"/>
    </xf>
    <xf numFmtId="0" fontId="13" fillId="0" borderId="29" xfId="99" applyFont="1" applyBorder="1" applyProtection="1">
      <protection hidden="1"/>
    </xf>
    <xf numFmtId="0" fontId="14" fillId="5" borderId="84" xfId="0" applyFont="1" applyFill="1" applyBorder="1" applyAlignment="1" applyProtection="1">
      <alignment horizontal="center" vertical="center" wrapText="1"/>
      <protection hidden="1"/>
    </xf>
    <xf numFmtId="0" fontId="35" fillId="3" borderId="33" xfId="0" applyFont="1" applyFill="1" applyBorder="1" applyAlignment="1" applyProtection="1">
      <alignment horizontal="centerContinuous"/>
      <protection hidden="1"/>
    </xf>
    <xf numFmtId="0" fontId="35" fillId="3" borderId="34" xfId="0" applyFont="1" applyFill="1" applyBorder="1" applyAlignment="1" applyProtection="1">
      <alignment horizontal="centerContinuous"/>
      <protection hidden="1"/>
    </xf>
    <xf numFmtId="0" fontId="35" fillId="3" borderId="82" xfId="0" applyFont="1" applyFill="1" applyBorder="1" applyAlignment="1" applyProtection="1">
      <alignment horizontal="centerContinuous"/>
      <protection hidden="1"/>
    </xf>
    <xf numFmtId="2" fontId="0" fillId="0" borderId="0" xfId="0" applyNumberFormat="1" applyAlignment="1">
      <alignment horizontal="right"/>
    </xf>
    <xf numFmtId="0" fontId="12" fillId="0" borderId="0" xfId="0" applyFont="1" applyAlignment="1">
      <alignment horizontal="centerContinuous"/>
    </xf>
    <xf numFmtId="37" fontId="13" fillId="3" borderId="9" xfId="0" applyNumberFormat="1" applyFont="1" applyFill="1" applyBorder="1" applyAlignment="1">
      <alignment horizontal="center"/>
    </xf>
    <xf numFmtId="37" fontId="13" fillId="5" borderId="15" xfId="0" applyNumberFormat="1" applyFont="1" applyFill="1" applyBorder="1" applyAlignment="1">
      <alignment horizontal="center"/>
    </xf>
    <xf numFmtId="0" fontId="13" fillId="0" borderId="0" xfId="0" applyFont="1" applyAlignment="1">
      <alignment horizontal="left"/>
    </xf>
    <xf numFmtId="37" fontId="13" fillId="6" borderId="0" xfId="0" applyNumberFormat="1" applyFont="1" applyFill="1"/>
    <xf numFmtId="37" fontId="13" fillId="5" borderId="0" xfId="0" applyNumberFormat="1" applyFont="1" applyFill="1"/>
    <xf numFmtId="37" fontId="13" fillId="6" borderId="0" xfId="0" applyNumberFormat="1" applyFont="1" applyFill="1" applyProtection="1">
      <protection locked="0"/>
    </xf>
    <xf numFmtId="37" fontId="13" fillId="5" borderId="0" xfId="0" applyNumberFormat="1" applyFont="1" applyFill="1" applyProtection="1">
      <protection locked="0"/>
    </xf>
    <xf numFmtId="37" fontId="13" fillId="3" borderId="0" xfId="0" applyNumberFormat="1" applyFont="1" applyFill="1" applyProtection="1">
      <protection locked="0"/>
    </xf>
    <xf numFmtId="171" fontId="13" fillId="5" borderId="0" xfId="0" applyNumberFormat="1" applyFont="1" applyFill="1" applyProtection="1">
      <protection locked="0"/>
    </xf>
    <xf numFmtId="39" fontId="13" fillId="5" borderId="0" xfId="0" applyNumberFormat="1" applyFont="1" applyFill="1" applyProtection="1">
      <protection locked="0"/>
    </xf>
    <xf numFmtId="0" fontId="13" fillId="6" borderId="0" xfId="0" applyFont="1" applyFill="1" applyProtection="1">
      <protection locked="0"/>
    </xf>
    <xf numFmtId="0" fontId="13" fillId="5" borderId="0" xfId="0" applyFont="1" applyFill="1" applyProtection="1">
      <protection locked="0"/>
    </xf>
    <xf numFmtId="37" fontId="12" fillId="0" borderId="0" xfId="0" applyNumberFormat="1" applyFont="1" applyAlignment="1">
      <alignment horizontal="left"/>
    </xf>
    <xf numFmtId="37" fontId="13" fillId="0" borderId="0" xfId="0" applyNumberFormat="1" applyFont="1" applyProtection="1">
      <protection locked="0"/>
    </xf>
    <xf numFmtId="37" fontId="13" fillId="16" borderId="0" xfId="0" applyNumberFormat="1" applyFont="1" applyFill="1" applyProtection="1">
      <protection locked="0"/>
    </xf>
    <xf numFmtId="0" fontId="13" fillId="9" borderId="0" xfId="0" applyFont="1" applyFill="1"/>
    <xf numFmtId="170" fontId="13" fillId="5" borderId="0" xfId="0" applyNumberFormat="1" applyFont="1" applyFill="1" applyProtection="1">
      <protection locked="0"/>
    </xf>
    <xf numFmtId="0" fontId="41" fillId="0" borderId="23" xfId="0" applyFont="1" applyBorder="1" applyAlignment="1">
      <alignment horizontal="center"/>
    </xf>
    <xf numFmtId="0" fontId="41" fillId="0" borderId="0" xfId="0" applyFont="1"/>
    <xf numFmtId="0" fontId="41" fillId="0" borderId="0" xfId="0" applyFont="1" applyAlignment="1">
      <alignment horizontal="right"/>
    </xf>
    <xf numFmtId="37" fontId="41" fillId="0" borderId="0" xfId="0" applyNumberFormat="1" applyFont="1"/>
    <xf numFmtId="3" fontId="41" fillId="0" borderId="0" xfId="0" applyNumberFormat="1" applyFont="1"/>
    <xf numFmtId="3" fontId="41" fillId="0" borderId="0" xfId="0" applyNumberFormat="1" applyFont="1" applyProtection="1">
      <protection locked="0"/>
    </xf>
    <xf numFmtId="37" fontId="13" fillId="0" borderId="37" xfId="0" applyNumberFormat="1" applyFont="1" applyBorder="1"/>
    <xf numFmtId="37" fontId="13" fillId="0" borderId="114" xfId="0" applyNumberFormat="1" applyFont="1" applyBorder="1"/>
    <xf numFmtId="0" fontId="41" fillId="0" borderId="114" xfId="0" applyFont="1" applyBorder="1"/>
    <xf numFmtId="37" fontId="13" fillId="0" borderId="0" xfId="0" applyNumberFormat="1" applyFont="1" applyAlignment="1">
      <alignment horizontal="right"/>
    </xf>
    <xf numFmtId="0" fontId="13" fillId="0" borderId="0" xfId="0" applyFont="1" applyAlignment="1">
      <alignment horizontal="right"/>
    </xf>
    <xf numFmtId="0" fontId="13" fillId="0" borderId="114" xfId="0" applyFont="1" applyBorder="1"/>
    <xf numFmtId="0" fontId="12" fillId="0" borderId="12" xfId="0" applyFont="1" applyBorder="1" applyAlignment="1">
      <alignment horizontal="center"/>
    </xf>
    <xf numFmtId="0" fontId="12" fillId="0" borderId="8" xfId="0" applyFont="1" applyBorder="1" applyAlignment="1">
      <alignment horizontal="right"/>
    </xf>
    <xf numFmtId="37" fontId="13" fillId="0" borderId="8" xfId="0" applyNumberFormat="1" applyFont="1" applyBorder="1" applyAlignment="1">
      <alignment horizontal="center"/>
    </xf>
    <xf numFmtId="37" fontId="13" fillId="0" borderId="14" xfId="0" applyNumberFormat="1" applyFont="1" applyBorder="1" applyAlignment="1">
      <alignment horizontal="center"/>
    </xf>
    <xf numFmtId="0" fontId="12" fillId="0" borderId="8" xfId="0" applyFont="1" applyBorder="1" applyAlignment="1">
      <alignment horizontal="center"/>
    </xf>
    <xf numFmtId="37" fontId="12" fillId="0" borderId="8" xfId="0" applyNumberFormat="1" applyFont="1" applyBorder="1" applyAlignment="1">
      <alignment horizontal="center"/>
    </xf>
    <xf numFmtId="37" fontId="12" fillId="0" borderId="14"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right"/>
    </xf>
    <xf numFmtId="37" fontId="13" fillId="0" borderId="7" xfId="0" applyNumberFormat="1" applyFont="1" applyBorder="1"/>
    <xf numFmtId="0" fontId="12" fillId="0" borderId="0" xfId="0" applyFont="1" applyAlignment="1">
      <alignment horizontal="center"/>
    </xf>
    <xf numFmtId="0" fontId="12" fillId="0" borderId="0" xfId="0" applyFont="1"/>
    <xf numFmtId="0" fontId="12" fillId="0" borderId="7" xfId="0" applyFont="1" applyBorder="1"/>
    <xf numFmtId="0" fontId="12" fillId="0" borderId="5" xfId="0" applyFont="1" applyBorder="1" applyAlignment="1">
      <alignment horizontal="left"/>
    </xf>
    <xf numFmtId="0" fontId="12" fillId="0" borderId="5" xfId="0" applyFont="1" applyBorder="1"/>
    <xf numFmtId="0" fontId="13" fillId="0" borderId="2" xfId="0" applyFont="1" applyBorder="1" applyAlignment="1">
      <alignment horizontal="left"/>
    </xf>
    <xf numFmtId="0" fontId="13" fillId="0" borderId="1" xfId="0" applyFont="1" applyBorder="1" applyAlignment="1">
      <alignment horizontal="right"/>
    </xf>
    <xf numFmtId="37" fontId="13" fillId="0" borderId="1" xfId="0" applyNumberFormat="1" applyFont="1" applyBorder="1"/>
    <xf numFmtId="37" fontId="13" fillId="0" borderId="4" xfId="0" applyNumberFormat="1" applyFont="1" applyBorder="1"/>
    <xf numFmtId="0" fontId="13" fillId="0" borderId="2" xfId="0" applyFont="1" applyBorder="1"/>
    <xf numFmtId="0" fontId="13" fillId="0" borderId="1" xfId="0" applyFont="1" applyBorder="1"/>
    <xf numFmtId="0" fontId="13" fillId="0" borderId="4" xfId="0" applyFont="1" applyBorder="1"/>
    <xf numFmtId="0" fontId="13" fillId="17" borderId="0" xfId="0" applyFont="1" applyFill="1"/>
    <xf numFmtId="0" fontId="13" fillId="0" borderId="106" xfId="0" applyFont="1" applyBorder="1" applyAlignment="1" applyProtection="1">
      <alignment horizontal="left"/>
      <protection locked="0"/>
    </xf>
    <xf numFmtId="0" fontId="13" fillId="0" borderId="115" xfId="0" applyFont="1" applyBorder="1" applyAlignment="1">
      <alignment horizontal="left"/>
    </xf>
    <xf numFmtId="0" fontId="13" fillId="0" borderId="101" xfId="0" applyFont="1" applyBorder="1" applyAlignment="1" applyProtection="1">
      <alignment horizontal="left"/>
      <protection locked="0"/>
    </xf>
    <xf numFmtId="0" fontId="13" fillId="0" borderId="49" xfId="0" applyFont="1" applyBorder="1" applyAlignment="1">
      <alignment horizontal="left"/>
    </xf>
    <xf numFmtId="0" fontId="13" fillId="0" borderId="101" xfId="0" applyFont="1" applyBorder="1" applyAlignment="1">
      <alignment horizontal="left"/>
    </xf>
    <xf numFmtId="0" fontId="13" fillId="0" borderId="101" xfId="0" applyFont="1" applyBorder="1"/>
    <xf numFmtId="0" fontId="13" fillId="0" borderId="103" xfId="0" applyFont="1" applyBorder="1" applyAlignment="1" applyProtection="1">
      <alignment horizontal="left"/>
      <protection locked="0"/>
    </xf>
    <xf numFmtId="0" fontId="13" fillId="0" borderId="64" xfId="0" applyFont="1" applyBorder="1" applyAlignment="1">
      <alignment horizontal="left"/>
    </xf>
    <xf numFmtId="37" fontId="13" fillId="0" borderId="106" xfId="0" applyNumberFormat="1" applyFont="1" applyBorder="1" applyAlignment="1" applyProtection="1">
      <alignment horizontal="right"/>
      <protection locked="0"/>
    </xf>
    <xf numFmtId="37" fontId="13" fillId="0" borderId="103" xfId="0" applyNumberFormat="1" applyFont="1" applyBorder="1" applyAlignment="1" applyProtection="1">
      <alignment horizontal="right"/>
      <protection locked="0"/>
    </xf>
    <xf numFmtId="0" fontId="0" fillId="0" borderId="49" xfId="0" applyBorder="1"/>
    <xf numFmtId="3" fontId="16" fillId="0" borderId="49" xfId="34" applyFont="1" applyBorder="1" applyProtection="1">
      <protection hidden="1"/>
    </xf>
    <xf numFmtId="0" fontId="0" fillId="0" borderId="63" xfId="0" applyBorder="1"/>
    <xf numFmtId="0" fontId="0" fillId="0" borderId="63" xfId="0" applyBorder="1" applyAlignment="1">
      <alignment wrapText="1"/>
    </xf>
    <xf numFmtId="0" fontId="0" fillId="0" borderId="63" xfId="0" applyBorder="1" applyAlignment="1" applyProtection="1">
      <alignment wrapText="1"/>
      <protection locked="0"/>
    </xf>
    <xf numFmtId="3" fontId="16" fillId="0" borderId="63" xfId="34" applyFont="1" applyBorder="1" applyAlignment="1" applyProtection="1">
      <alignment wrapText="1"/>
      <protection hidden="1"/>
    </xf>
    <xf numFmtId="0" fontId="13" fillId="17" borderId="0" xfId="0" applyFont="1" applyFill="1" applyAlignment="1">
      <alignment horizontal="right"/>
    </xf>
    <xf numFmtId="0" fontId="13" fillId="18" borderId="0" xfId="0" applyFont="1" applyFill="1" applyAlignment="1">
      <alignment horizontal="right"/>
    </xf>
    <xf numFmtId="37" fontId="13" fillId="18" borderId="0" xfId="0" applyNumberFormat="1" applyFont="1" applyFill="1" applyAlignment="1">
      <alignment horizontal="right"/>
    </xf>
    <xf numFmtId="171" fontId="13" fillId="0" borderId="0" xfId="0" applyNumberFormat="1" applyFont="1" applyProtection="1">
      <protection locked="0"/>
    </xf>
    <xf numFmtId="39" fontId="13" fillId="0" borderId="0" xfId="0" applyNumberFormat="1" applyFont="1" applyProtection="1">
      <protection locked="0"/>
    </xf>
    <xf numFmtId="0" fontId="13" fillId="19" borderId="0" xfId="0" applyFont="1" applyFill="1" applyAlignment="1">
      <alignment horizontal="right"/>
    </xf>
    <xf numFmtId="0" fontId="13" fillId="9" borderId="0" xfId="0" applyFont="1" applyFill="1" applyAlignment="1">
      <alignment horizontal="right"/>
    </xf>
    <xf numFmtId="0" fontId="13" fillId="0" borderId="0" xfId="0" applyFont="1" applyProtection="1">
      <protection locked="0"/>
    </xf>
    <xf numFmtId="0" fontId="13" fillId="17" borderId="0" xfId="15" applyNumberFormat="1" applyFont="1" applyFill="1" applyAlignment="1">
      <alignment horizontal="right"/>
    </xf>
    <xf numFmtId="37" fontId="13" fillId="17" borderId="0" xfId="0" applyNumberFormat="1" applyFont="1" applyFill="1" applyAlignment="1">
      <alignment horizontal="right"/>
    </xf>
    <xf numFmtId="37" fontId="13" fillId="19" borderId="0" xfId="0" applyNumberFormat="1" applyFont="1" applyFill="1" applyAlignment="1">
      <alignment horizontal="right"/>
    </xf>
    <xf numFmtId="0" fontId="21" fillId="4" borderId="29" xfId="0" applyFont="1" applyFill="1" applyBorder="1" applyAlignment="1" applyProtection="1">
      <alignment horizontal="center"/>
      <protection hidden="1"/>
    </xf>
    <xf numFmtId="37" fontId="16" fillId="0" borderId="2" xfId="15" applyNumberFormat="1" applyFont="1" applyBorder="1" applyProtection="1">
      <protection hidden="1"/>
    </xf>
    <xf numFmtId="37" fontId="16" fillId="0" borderId="83" xfId="15" applyNumberFormat="1" applyFont="1" applyBorder="1" applyProtection="1">
      <protection hidden="1"/>
    </xf>
    <xf numFmtId="166" fontId="13" fillId="10" borderId="12" xfId="15" applyNumberFormat="1" applyFont="1" applyFill="1" applyBorder="1" applyProtection="1">
      <protection hidden="1"/>
    </xf>
    <xf numFmtId="37" fontId="40" fillId="0" borderId="52" xfId="0" applyNumberFormat="1" applyFont="1" applyBorder="1" applyProtection="1">
      <protection locked="0" hidden="1"/>
    </xf>
    <xf numFmtId="37" fontId="16" fillId="10" borderId="3" xfId="0" applyNumberFormat="1" applyFont="1" applyFill="1" applyBorder="1"/>
    <xf numFmtId="10" fontId="16" fillId="0" borderId="83" xfId="0" applyNumberFormat="1" applyFont="1" applyBorder="1" applyProtection="1">
      <protection hidden="1"/>
    </xf>
    <xf numFmtId="37" fontId="40" fillId="0" borderId="83" xfId="15" applyNumberFormat="1" applyFont="1" applyBorder="1" applyProtection="1">
      <protection locked="0" hidden="1"/>
    </xf>
    <xf numFmtId="37" fontId="40" fillId="0" borderId="2" xfId="15" applyNumberFormat="1" applyFont="1" applyBorder="1" applyProtection="1">
      <protection locked="0" hidden="1"/>
    </xf>
    <xf numFmtId="37" fontId="16" fillId="0" borderId="58" xfId="0" applyNumberFormat="1" applyFont="1" applyBorder="1" applyProtection="1">
      <protection hidden="1"/>
    </xf>
    <xf numFmtId="10" fontId="16" fillId="0" borderId="1" xfId="0" applyNumberFormat="1" applyFont="1" applyBorder="1" applyProtection="1">
      <protection hidden="1"/>
    </xf>
    <xf numFmtId="10" fontId="16" fillId="0" borderId="9" xfId="0" applyNumberFormat="1" applyFont="1" applyBorder="1" applyProtection="1">
      <protection hidden="1"/>
    </xf>
    <xf numFmtId="0" fontId="13" fillId="10" borderId="46" xfId="0" applyFont="1" applyFill="1" applyBorder="1" applyProtection="1">
      <protection hidden="1"/>
    </xf>
    <xf numFmtId="37" fontId="40" fillId="0" borderId="19" xfId="0" applyNumberFormat="1" applyFont="1" applyBorder="1" applyAlignment="1" applyProtection="1">
      <alignment horizontal="center"/>
      <protection locked="0" hidden="1"/>
    </xf>
    <xf numFmtId="3" fontId="16" fillId="0" borderId="84" xfId="0" applyNumberFormat="1" applyFont="1" applyBorder="1" applyProtection="1">
      <protection hidden="1"/>
    </xf>
    <xf numFmtId="0" fontId="13" fillId="0" borderId="6" xfId="0" applyFont="1" applyBorder="1" applyAlignment="1" applyProtection="1">
      <alignment horizontal="center"/>
      <protection hidden="1"/>
    </xf>
    <xf numFmtId="0" fontId="13" fillId="0" borderId="3" xfId="0" applyFont="1" applyBorder="1" applyAlignment="1" applyProtection="1">
      <alignment horizontal="center"/>
      <protection hidden="1"/>
    </xf>
    <xf numFmtId="37" fontId="71" fillId="5" borderId="1" xfId="15" applyNumberFormat="1" applyFont="1" applyFill="1" applyBorder="1" applyAlignment="1" applyProtection="1">
      <alignment horizontal="centerContinuous"/>
      <protection hidden="1"/>
    </xf>
    <xf numFmtId="0" fontId="12" fillId="0" borderId="1" xfId="0" applyFont="1" applyBorder="1" applyAlignment="1">
      <alignment wrapText="1"/>
    </xf>
    <xf numFmtId="3" fontId="12" fillId="0" borderId="3" xfId="34" applyFont="1" applyBorder="1" applyAlignment="1" applyProtection="1">
      <alignment horizontal="right" wrapText="1"/>
      <protection hidden="1"/>
    </xf>
    <xf numFmtId="3" fontId="12" fillId="0" borderId="1" xfId="34" applyFont="1" applyBorder="1" applyAlignment="1" applyProtection="1">
      <alignment horizontal="center" wrapText="1"/>
      <protection hidden="1"/>
    </xf>
    <xf numFmtId="0" fontId="12" fillId="0" borderId="116" xfId="0" applyFont="1" applyBorder="1" applyAlignment="1">
      <alignment horizontal="center" wrapText="1"/>
    </xf>
    <xf numFmtId="0" fontId="12" fillId="0" borderId="116" xfId="0" applyFont="1" applyBorder="1" applyAlignment="1">
      <alignment wrapText="1"/>
    </xf>
    <xf numFmtId="0" fontId="12" fillId="0" borderId="1" xfId="0" applyFont="1" applyBorder="1"/>
    <xf numFmtId="3" fontId="13" fillId="0" borderId="0" xfId="0" applyNumberFormat="1" applyFont="1"/>
    <xf numFmtId="3" fontId="13" fillId="0" borderId="0" xfId="34" applyFont="1" applyProtection="1">
      <protection locked="0" hidden="1"/>
    </xf>
    <xf numFmtId="3" fontId="13" fillId="0" borderId="6" xfId="34" applyFont="1" applyBorder="1" applyAlignment="1" applyProtection="1">
      <alignment horizontal="right"/>
      <protection hidden="1"/>
    </xf>
    <xf numFmtId="167" fontId="13" fillId="0" borderId="117" xfId="34" applyNumberFormat="1" applyFont="1" applyBorder="1" applyProtection="1">
      <protection locked="0" hidden="1"/>
    </xf>
    <xf numFmtId="0" fontId="13" fillId="0" borderId="117" xfId="0" applyFont="1" applyBorder="1"/>
    <xf numFmtId="180" fontId="13" fillId="0" borderId="0" xfId="0" applyNumberFormat="1" applyFont="1"/>
    <xf numFmtId="3" fontId="69" fillId="3" borderId="0" xfId="34" applyFont="1" applyFill="1" applyProtection="1">
      <protection locked="0" hidden="1"/>
    </xf>
    <xf numFmtId="3" fontId="13" fillId="0" borderId="6" xfId="34" applyFont="1" applyBorder="1" applyAlignment="1" applyProtection="1">
      <alignment horizontal="right"/>
      <protection locked="0" hidden="1"/>
    </xf>
    <xf numFmtId="165" fontId="13" fillId="0" borderId="6" xfId="15" applyFont="1" applyBorder="1" applyAlignment="1" applyProtection="1">
      <alignment horizontal="right"/>
      <protection hidden="1"/>
    </xf>
    <xf numFmtId="3" fontId="13" fillId="0" borderId="117" xfId="34" applyFont="1" applyBorder="1" applyProtection="1">
      <protection locked="0" hidden="1"/>
    </xf>
    <xf numFmtId="3" fontId="41" fillId="0" borderId="0" xfId="34" applyFont="1" applyProtection="1">
      <protection locked="0" hidden="1"/>
    </xf>
    <xf numFmtId="0" fontId="13" fillId="0" borderId="6" xfId="0" applyFont="1" applyBorder="1" applyAlignment="1" applyProtection="1">
      <alignment horizontal="right"/>
      <protection hidden="1"/>
    </xf>
    <xf numFmtId="3" fontId="69" fillId="0" borderId="0" xfId="34" applyFont="1" applyProtection="1">
      <protection locked="0" hidden="1"/>
    </xf>
    <xf numFmtId="3" fontId="69" fillId="5" borderId="0" xfId="34" applyFont="1" applyFill="1" applyProtection="1">
      <protection locked="0" hidden="1"/>
    </xf>
    <xf numFmtId="3" fontId="41" fillId="10" borderId="0" xfId="34" applyFont="1" applyFill="1" applyProtection="1">
      <protection locked="0" hidden="1"/>
    </xf>
    <xf numFmtId="3" fontId="69" fillId="10" borderId="0" xfId="34" applyFont="1" applyFill="1" applyProtection="1">
      <protection locked="0" hidden="1"/>
    </xf>
    <xf numFmtId="4" fontId="13" fillId="0" borderId="6" xfId="34" applyNumberFormat="1" applyFont="1" applyBorder="1" applyAlignment="1" applyProtection="1">
      <alignment horizontal="right"/>
      <protection locked="0" hidden="1"/>
    </xf>
    <xf numFmtId="3" fontId="41" fillId="3" borderId="0" xfId="34" applyFont="1" applyFill="1" applyProtection="1">
      <protection locked="0" hidden="1"/>
    </xf>
    <xf numFmtId="0" fontId="13" fillId="0" borderId="0" xfId="0" quotePrefix="1" applyFont="1"/>
    <xf numFmtId="3" fontId="13" fillId="3" borderId="0" xfId="34" applyFont="1" applyFill="1" applyProtection="1">
      <protection locked="0" hidden="1"/>
    </xf>
    <xf numFmtId="3" fontId="13" fillId="5" borderId="0" xfId="34" applyFont="1" applyFill="1" applyProtection="1">
      <protection locked="0" hidden="1"/>
    </xf>
    <xf numFmtId="3" fontId="41" fillId="5" borderId="0" xfId="34" applyFont="1" applyFill="1" applyProtection="1">
      <protection locked="0" hidden="1"/>
    </xf>
    <xf numFmtId="37" fontId="13" fillId="0" borderId="6" xfId="0" applyNumberFormat="1" applyFont="1" applyBorder="1" applyAlignment="1" applyProtection="1">
      <alignment horizontal="right"/>
      <protection hidden="1"/>
    </xf>
    <xf numFmtId="4" fontId="13" fillId="0" borderId="6" xfId="34" applyNumberFormat="1" applyFont="1" applyBorder="1" applyAlignment="1" applyProtection="1">
      <alignment horizontal="right"/>
      <protection hidden="1"/>
    </xf>
    <xf numFmtId="3" fontId="13" fillId="0" borderId="0" xfId="34" applyFont="1" applyProtection="1">
      <protection hidden="1"/>
    </xf>
    <xf numFmtId="165" fontId="13" fillId="0" borderId="0" xfId="15" applyFont="1" applyProtection="1">
      <protection hidden="1"/>
    </xf>
    <xf numFmtId="165" fontId="13" fillId="0" borderId="0" xfId="15" applyFont="1" applyAlignment="1" applyProtection="1">
      <alignment wrapText="1"/>
      <protection hidden="1"/>
    </xf>
    <xf numFmtId="0" fontId="19" fillId="5" borderId="8" xfId="0" applyFont="1" applyFill="1" applyBorder="1" applyAlignment="1" applyProtection="1">
      <alignment horizontal="center"/>
      <protection hidden="1"/>
    </xf>
    <xf numFmtId="0" fontId="19" fillId="5" borderId="81" xfId="0" applyFont="1" applyFill="1" applyBorder="1" applyAlignment="1" applyProtection="1">
      <alignment horizontal="center"/>
      <protection hidden="1"/>
    </xf>
    <xf numFmtId="0" fontId="19" fillId="5" borderId="13" xfId="0" applyFont="1" applyFill="1" applyBorder="1" applyAlignment="1" applyProtection="1">
      <alignment horizontal="center"/>
      <protection hidden="1"/>
    </xf>
    <xf numFmtId="0" fontId="19" fillId="5" borderId="1" xfId="0" applyFont="1" applyFill="1" applyBorder="1" applyAlignment="1" applyProtection="1">
      <alignment horizontal="center"/>
      <protection hidden="1"/>
    </xf>
    <xf numFmtId="0" fontId="19" fillId="5" borderId="58" xfId="0" applyFont="1" applyFill="1" applyBorder="1" applyAlignment="1" applyProtection="1">
      <alignment horizontal="center"/>
      <protection hidden="1"/>
    </xf>
    <xf numFmtId="0" fontId="19" fillId="5" borderId="3" xfId="0" applyFont="1" applyFill="1" applyBorder="1" applyAlignment="1" applyProtection="1">
      <alignment horizontal="center"/>
      <protection hidden="1"/>
    </xf>
    <xf numFmtId="37" fontId="71" fillId="5" borderId="58" xfId="15" applyNumberFormat="1" applyFont="1" applyFill="1" applyBorder="1" applyProtection="1">
      <protection hidden="1"/>
    </xf>
    <xf numFmtId="37" fontId="71" fillId="5" borderId="1" xfId="15" applyNumberFormat="1" applyFont="1" applyFill="1" applyBorder="1" applyProtection="1">
      <protection hidden="1"/>
    </xf>
    <xf numFmtId="37" fontId="71" fillId="5" borderId="3" xfId="15" applyNumberFormat="1" applyFont="1" applyFill="1" applyBorder="1" applyProtection="1">
      <protection hidden="1"/>
    </xf>
    <xf numFmtId="0" fontId="38" fillId="0" borderId="121" xfId="0" applyFont="1" applyBorder="1" applyProtection="1">
      <protection hidden="1"/>
    </xf>
    <xf numFmtId="166" fontId="13" fillId="10" borderId="46" xfId="15" applyNumberFormat="1" applyFont="1" applyFill="1" applyBorder="1" applyProtection="1">
      <protection hidden="1"/>
    </xf>
    <xf numFmtId="0" fontId="17" fillId="5" borderId="10" xfId="0" applyFont="1" applyFill="1" applyBorder="1" applyAlignment="1" applyProtection="1">
      <alignment horizontal="centerContinuous"/>
      <protection hidden="1"/>
    </xf>
    <xf numFmtId="0" fontId="13" fillId="5" borderId="47" xfId="0" applyFont="1" applyFill="1" applyBorder="1" applyAlignment="1" applyProtection="1">
      <alignment horizontal="center"/>
      <protection hidden="1"/>
    </xf>
    <xf numFmtId="0" fontId="13" fillId="5" borderId="9" xfId="0" applyFont="1" applyFill="1" applyBorder="1" applyAlignment="1" applyProtection="1">
      <alignment horizontal="center"/>
      <protection hidden="1"/>
    </xf>
    <xf numFmtId="0" fontId="13" fillId="5" borderId="1" xfId="0" applyFont="1" applyFill="1" applyBorder="1" applyAlignment="1" applyProtection="1">
      <alignment horizontal="center"/>
      <protection hidden="1"/>
    </xf>
    <xf numFmtId="0" fontId="12" fillId="5" borderId="10" xfId="0" applyFont="1" applyFill="1" applyBorder="1" applyAlignment="1" applyProtection="1">
      <alignment horizontal="center"/>
      <protection hidden="1"/>
    </xf>
    <xf numFmtId="0" fontId="38" fillId="0" borderId="0" xfId="0" applyFont="1" applyAlignment="1">
      <alignment horizontal="right"/>
    </xf>
    <xf numFmtId="0" fontId="72" fillId="0" borderId="0" xfId="0" applyFont="1" applyAlignment="1" applyProtection="1">
      <alignment horizontal="centerContinuous"/>
      <protection hidden="1"/>
    </xf>
    <xf numFmtId="0" fontId="73" fillId="0" borderId="0" xfId="0" applyFont="1" applyAlignment="1" applyProtection="1">
      <alignment horizontal="centerContinuous"/>
      <protection hidden="1"/>
    </xf>
    <xf numFmtId="0" fontId="38" fillId="0" borderId="0" xfId="0" applyFont="1" applyAlignment="1">
      <alignment wrapText="1"/>
    </xf>
    <xf numFmtId="0" fontId="13" fillId="5" borderId="0" xfId="0" applyFont="1" applyFill="1"/>
    <xf numFmtId="0" fontId="34" fillId="0" borderId="0" xfId="0" applyFont="1" applyProtection="1">
      <protection hidden="1"/>
    </xf>
    <xf numFmtId="0" fontId="0" fillId="0" borderId="0" xfId="0" applyProtection="1">
      <protection hidden="1"/>
    </xf>
    <xf numFmtId="0" fontId="44" fillId="0" borderId="0" xfId="0" applyFont="1" applyProtection="1">
      <protection hidden="1"/>
    </xf>
    <xf numFmtId="0" fontId="74" fillId="0" borderId="0" xfId="0" applyFont="1" applyAlignment="1" applyProtection="1">
      <alignment horizontal="centerContinuous"/>
      <protection hidden="1"/>
    </xf>
    <xf numFmtId="0" fontId="0" fillId="0" borderId="0" xfId="0" applyAlignment="1" applyProtection="1">
      <alignment horizontal="centerContinuous"/>
      <protection hidden="1"/>
    </xf>
    <xf numFmtId="0" fontId="0" fillId="0" borderId="0" xfId="0" applyAlignment="1" applyProtection="1">
      <alignment horizontal="center" wrapText="1"/>
      <protection hidden="1"/>
    </xf>
    <xf numFmtId="0" fontId="0" fillId="0" borderId="65" xfId="0" applyBorder="1" applyProtection="1">
      <protection hidden="1"/>
    </xf>
    <xf numFmtId="0" fontId="13" fillId="0" borderId="65" xfId="0" applyFont="1" applyBorder="1" applyAlignment="1" applyProtection="1">
      <alignment horizontal="center" wrapText="1"/>
      <protection hidden="1"/>
    </xf>
    <xf numFmtId="0" fontId="74" fillId="0" borderId="0" xfId="0" quotePrefix="1" applyFont="1" applyAlignment="1" applyProtection="1">
      <alignment horizontal="centerContinuous"/>
      <protection hidden="1"/>
    </xf>
    <xf numFmtId="0" fontId="0" fillId="0" borderId="0" xfId="0" applyAlignment="1" applyProtection="1">
      <alignment horizontal="right"/>
      <protection hidden="1"/>
    </xf>
    <xf numFmtId="0" fontId="13" fillId="0" borderId="0" xfId="0" applyFont="1" applyAlignment="1" applyProtection="1">
      <alignment horizontal="center" wrapText="1"/>
      <protection hidden="1"/>
    </xf>
    <xf numFmtId="0" fontId="74" fillId="0" borderId="74" xfId="0" applyFont="1" applyBorder="1" applyAlignment="1" applyProtection="1">
      <alignment horizontal="center"/>
      <protection hidden="1"/>
    </xf>
    <xf numFmtId="49" fontId="40" fillId="0" borderId="57" xfId="0" applyNumberFormat="1" applyFont="1" applyBorder="1" applyAlignment="1" applyProtection="1">
      <alignment horizontal="center"/>
      <protection hidden="1"/>
    </xf>
    <xf numFmtId="37" fontId="68" fillId="0" borderId="54" xfId="15" applyNumberFormat="1" applyFont="1" applyBorder="1" applyProtection="1">
      <protection hidden="1"/>
    </xf>
    <xf numFmtId="37" fontId="6" fillId="3" borderId="14" xfId="0" applyNumberFormat="1" applyFont="1" applyFill="1" applyBorder="1" applyProtection="1">
      <protection hidden="1"/>
    </xf>
    <xf numFmtId="37" fontId="6" fillId="3" borderId="30" xfId="0" applyNumberFormat="1" applyFont="1" applyFill="1" applyBorder="1" applyProtection="1">
      <protection hidden="1"/>
    </xf>
    <xf numFmtId="37" fontId="6" fillId="3" borderId="34" xfId="0" applyNumberFormat="1" applyFont="1" applyFill="1" applyBorder="1" applyProtection="1">
      <protection hidden="1"/>
    </xf>
    <xf numFmtId="37" fontId="6" fillId="3" borderId="16" xfId="0" applyNumberFormat="1" applyFont="1" applyFill="1" applyBorder="1" applyProtection="1">
      <protection hidden="1"/>
    </xf>
    <xf numFmtId="37" fontId="6" fillId="0" borderId="11" xfId="0" applyNumberFormat="1" applyFont="1" applyBorder="1" applyProtection="1">
      <protection hidden="1"/>
    </xf>
    <xf numFmtId="37" fontId="6" fillId="3" borderId="16" xfId="0" applyNumberFormat="1" applyFont="1" applyFill="1" applyBorder="1" applyProtection="1">
      <protection locked="0" hidden="1"/>
    </xf>
    <xf numFmtId="37" fontId="6" fillId="0" borderId="47" xfId="0" applyNumberFormat="1" applyFont="1" applyBorder="1" applyProtection="1">
      <protection hidden="1"/>
    </xf>
    <xf numFmtId="10" fontId="6" fillId="3" borderId="79" xfId="0" applyNumberFormat="1" applyFont="1" applyFill="1" applyBorder="1" applyProtection="1">
      <protection hidden="1"/>
    </xf>
    <xf numFmtId="10" fontId="6" fillId="3" borderId="103" xfId="0" applyNumberFormat="1" applyFont="1" applyFill="1" applyBorder="1" applyProtection="1">
      <protection hidden="1"/>
    </xf>
    <xf numFmtId="10" fontId="6" fillId="0" borderId="54" xfId="0" applyNumberFormat="1" applyFont="1" applyBorder="1" applyProtection="1">
      <protection hidden="1"/>
    </xf>
    <xf numFmtId="10" fontId="6" fillId="3" borderId="68" xfId="0" applyNumberFormat="1" applyFont="1" applyFill="1" applyBorder="1" applyProtection="1">
      <protection hidden="1"/>
    </xf>
    <xf numFmtId="10" fontId="6" fillId="0" borderId="9" xfId="0" applyNumberFormat="1" applyFont="1" applyBorder="1" applyProtection="1">
      <protection hidden="1"/>
    </xf>
    <xf numFmtId="10" fontId="6" fillId="3" borderId="22" xfId="0" applyNumberFormat="1" applyFont="1" applyFill="1" applyBorder="1" applyProtection="1">
      <protection hidden="1"/>
    </xf>
    <xf numFmtId="10" fontId="6" fillId="3" borderId="23" xfId="0" applyNumberFormat="1" applyFont="1" applyFill="1" applyBorder="1" applyProtection="1">
      <protection hidden="1"/>
    </xf>
    <xf numFmtId="10" fontId="6" fillId="3" borderId="1" xfId="0" applyNumberFormat="1" applyFont="1" applyFill="1" applyBorder="1" applyProtection="1">
      <protection hidden="1"/>
    </xf>
    <xf numFmtId="37" fontId="6" fillId="3" borderId="52" xfId="0" applyNumberFormat="1" applyFont="1" applyFill="1" applyBorder="1" applyProtection="1">
      <protection hidden="1"/>
    </xf>
    <xf numFmtId="10" fontId="6" fillId="3" borderId="9" xfId="0" applyNumberFormat="1" applyFont="1" applyFill="1" applyBorder="1" applyProtection="1">
      <protection hidden="1"/>
    </xf>
    <xf numFmtId="3" fontId="6" fillId="3" borderId="30" xfId="0" applyNumberFormat="1" applyFont="1" applyFill="1" applyBorder="1" applyProtection="1">
      <protection hidden="1"/>
    </xf>
    <xf numFmtId="3" fontId="6" fillId="5" borderId="16" xfId="0" applyNumberFormat="1" applyFont="1" applyFill="1" applyBorder="1" applyProtection="1">
      <protection hidden="1"/>
    </xf>
    <xf numFmtId="0" fontId="6" fillId="10" borderId="23" xfId="0" applyFont="1" applyFill="1" applyBorder="1"/>
    <xf numFmtId="0" fontId="0" fillId="0" borderId="101" xfId="0" applyBorder="1"/>
    <xf numFmtId="0" fontId="0" fillId="0" borderId="101" xfId="0" applyBorder="1" applyAlignment="1">
      <alignment horizontal="left" wrapText="1"/>
    </xf>
    <xf numFmtId="0" fontId="0" fillId="0" borderId="63" xfId="0" applyBorder="1" applyAlignment="1">
      <alignment horizontal="right"/>
    </xf>
    <xf numFmtId="0" fontId="0" fillId="0" borderId="63" xfId="0" applyBorder="1" applyAlignment="1">
      <alignment horizontal="left"/>
    </xf>
    <xf numFmtId="181" fontId="38" fillId="0" borderId="0" xfId="15" applyNumberFormat="1" applyFont="1"/>
    <xf numFmtId="181" fontId="7" fillId="0" borderId="0" xfId="15" applyNumberFormat="1" applyFont="1" applyProtection="1">
      <protection hidden="1"/>
    </xf>
    <xf numFmtId="181" fontId="37" fillId="0" borderId="0" xfId="15" applyNumberFormat="1" applyFont="1"/>
    <xf numFmtId="0" fontId="19" fillId="0" borderId="22" xfId="35" applyFont="1" applyBorder="1" applyAlignment="1" applyProtection="1">
      <protection hidden="1"/>
    </xf>
    <xf numFmtId="0" fontId="13" fillId="0" borderId="22" xfId="35" applyFont="1" applyBorder="1" applyAlignment="1" applyProtection="1">
      <protection hidden="1"/>
    </xf>
    <xf numFmtId="0" fontId="19" fillId="0" borderId="33" xfId="35" applyFont="1" applyBorder="1" applyAlignment="1" applyProtection="1">
      <alignment horizontal="left"/>
      <protection hidden="1"/>
    </xf>
    <xf numFmtId="49" fontId="19" fillId="0" borderId="33" xfId="35" applyNumberFormat="1" applyFont="1" applyBorder="1" applyAlignment="1" applyProtection="1">
      <protection hidden="1"/>
    </xf>
    <xf numFmtId="0" fontId="31" fillId="0" borderId="34" xfId="35" applyFont="1" applyBorder="1" applyAlignment="1" applyProtection="1">
      <protection hidden="1"/>
    </xf>
    <xf numFmtId="0" fontId="19" fillId="0" borderId="14" xfId="35" applyFont="1" applyBorder="1" applyAlignment="1" applyProtection="1">
      <protection hidden="1"/>
    </xf>
    <xf numFmtId="0" fontId="19" fillId="0" borderId="12" xfId="35" quotePrefix="1" applyFont="1" applyBorder="1" applyAlignment="1" applyProtection="1">
      <alignment horizontal="left"/>
      <protection hidden="1"/>
    </xf>
    <xf numFmtId="0" fontId="19" fillId="0" borderId="28" xfId="35" applyFont="1" applyBorder="1" applyAlignment="1" applyProtection="1">
      <protection hidden="1"/>
    </xf>
    <xf numFmtId="0" fontId="19" fillId="0" borderId="29" xfId="35" quotePrefix="1" applyFont="1" applyBorder="1" applyAlignment="1" applyProtection="1">
      <alignment horizontal="left"/>
      <protection hidden="1"/>
    </xf>
    <xf numFmtId="0" fontId="13" fillId="0" borderId="29" xfId="35" quotePrefix="1" applyFont="1" applyBorder="1" applyAlignment="1" applyProtection="1">
      <alignment horizontal="left"/>
      <protection hidden="1"/>
    </xf>
    <xf numFmtId="0" fontId="19" fillId="0" borderId="29" xfId="35" applyFont="1" applyBorder="1" applyAlignment="1" applyProtection="1">
      <alignment horizontal="left"/>
      <protection hidden="1"/>
    </xf>
    <xf numFmtId="0" fontId="19" fillId="0" borderId="23" xfId="35" applyFont="1" applyBorder="1" applyAlignment="1" applyProtection="1">
      <protection hidden="1"/>
    </xf>
    <xf numFmtId="0" fontId="19" fillId="0" borderId="23" xfId="35" applyFont="1" applyBorder="1" applyAlignment="1" applyProtection="1">
      <alignment horizontal="left"/>
      <protection hidden="1"/>
    </xf>
    <xf numFmtId="0" fontId="13" fillId="0" borderId="23" xfId="35" applyFont="1" applyBorder="1" applyAlignment="1" applyProtection="1">
      <protection hidden="1"/>
    </xf>
    <xf numFmtId="0" fontId="76" fillId="0" borderId="0" xfId="35" applyFont="1" applyAlignment="1" applyProtection="1">
      <alignment horizontal="centerContinuous"/>
    </xf>
    <xf numFmtId="0" fontId="52" fillId="0" borderId="0" xfId="35" applyAlignment="1" applyProtection="1">
      <alignment horizontal="centerContinuous"/>
      <protection hidden="1"/>
    </xf>
    <xf numFmtId="0" fontId="19" fillId="0" borderId="29" xfId="35" applyFont="1" applyBorder="1" applyAlignment="1" applyProtection="1">
      <protection hidden="1"/>
    </xf>
    <xf numFmtId="0" fontId="21" fillId="0" borderId="29" xfId="35" applyFont="1" applyBorder="1" applyAlignment="1" applyProtection="1">
      <protection hidden="1"/>
    </xf>
    <xf numFmtId="0" fontId="19" fillId="0" borderId="0" xfId="35" applyFont="1" applyAlignment="1" applyProtection="1">
      <protection hidden="1"/>
    </xf>
    <xf numFmtId="0" fontId="19" fillId="0" borderId="16" xfId="35" applyFont="1" applyBorder="1" applyAlignment="1" applyProtection="1">
      <protection hidden="1"/>
    </xf>
    <xf numFmtId="0" fontId="19" fillId="0" borderId="4" xfId="35" applyFont="1" applyBorder="1" applyAlignment="1" applyProtection="1">
      <protection hidden="1"/>
    </xf>
    <xf numFmtId="0" fontId="13" fillId="0" borderId="16" xfId="35" applyFont="1" applyBorder="1" applyAlignment="1" applyProtection="1">
      <protection hidden="1"/>
    </xf>
    <xf numFmtId="0" fontId="7" fillId="0" borderId="23" xfId="35" applyFont="1" applyBorder="1" applyAlignment="1" applyProtection="1">
      <protection hidden="1"/>
    </xf>
    <xf numFmtId="0" fontId="13" fillId="0" borderId="29" xfId="35" applyFont="1" applyBorder="1" applyAlignment="1" applyProtection="1">
      <protection hidden="1"/>
    </xf>
    <xf numFmtId="0" fontId="7" fillId="0" borderId="29" xfId="35" applyFont="1" applyBorder="1" applyAlignment="1" applyProtection="1">
      <protection hidden="1"/>
    </xf>
    <xf numFmtId="0" fontId="19" fillId="0" borderId="1" xfId="35" applyFont="1" applyBorder="1" applyAlignment="1" applyProtection="1">
      <protection hidden="1"/>
    </xf>
    <xf numFmtId="0" fontId="19" fillId="0" borderId="23" xfId="35" applyFont="1" applyBorder="1" applyAlignment="1" applyProtection="1">
      <alignment horizontal="left"/>
    </xf>
    <xf numFmtId="3" fontId="31" fillId="10" borderId="122" xfId="35" applyNumberFormat="1" applyFont="1" applyFill="1" applyBorder="1" applyAlignment="1">
      <protection locked="0"/>
    </xf>
    <xf numFmtId="0" fontId="19" fillId="0" borderId="23" xfId="35" applyFont="1" applyBorder="1" applyAlignment="1" applyProtection="1"/>
    <xf numFmtId="3" fontId="31" fillId="0" borderId="123" xfId="35" applyNumberFormat="1" applyFont="1" applyBorder="1" applyAlignment="1">
      <protection locked="0"/>
    </xf>
    <xf numFmtId="0" fontId="19" fillId="0" borderId="35" xfId="35" applyFont="1" applyBorder="1" applyAlignment="1" applyProtection="1">
      <protection hidden="1"/>
    </xf>
    <xf numFmtId="0" fontId="13" fillId="0" borderId="37" xfId="35" applyFont="1" applyBorder="1" applyAlignment="1" applyProtection="1">
      <protection hidden="1"/>
    </xf>
    <xf numFmtId="0" fontId="19" fillId="0" borderId="35" xfId="35" applyFont="1" applyBorder="1" applyAlignment="1" applyProtection="1">
      <alignment horizontal="left"/>
      <protection hidden="1"/>
    </xf>
    <xf numFmtId="0" fontId="25" fillId="0" borderId="2" xfId="35" applyFont="1" applyBorder="1" applyAlignment="1" applyProtection="1">
      <protection hidden="1"/>
    </xf>
    <xf numFmtId="0" fontId="64" fillId="0" borderId="23" xfId="35" applyFont="1" applyBorder="1" applyAlignment="1" applyProtection="1">
      <protection hidden="1"/>
    </xf>
    <xf numFmtId="0" fontId="64" fillId="0" borderId="23" xfId="35" applyFont="1" applyBorder="1" applyAlignment="1" applyProtection="1">
      <alignment horizontal="left"/>
      <protection hidden="1"/>
    </xf>
    <xf numFmtId="0" fontId="19" fillId="0" borderId="22" xfId="35" applyFont="1" applyBorder="1" applyAlignment="1" applyProtection="1"/>
    <xf numFmtId="0" fontId="7" fillId="0" borderId="22" xfId="35" applyFont="1" applyBorder="1" applyAlignment="1" applyProtection="1">
      <protection hidden="1"/>
    </xf>
    <xf numFmtId="0" fontId="7" fillId="0" borderId="34" xfId="35" applyFont="1" applyBorder="1" applyAlignment="1" applyProtection="1">
      <protection hidden="1"/>
    </xf>
    <xf numFmtId="0" fontId="7" fillId="0" borderId="16" xfId="35" applyFont="1" applyBorder="1" applyAlignment="1" applyProtection="1">
      <protection hidden="1"/>
    </xf>
    <xf numFmtId="0" fontId="25" fillId="0" borderId="23" xfId="35" applyFont="1" applyBorder="1" applyAlignment="1" applyProtection="1">
      <protection hidden="1"/>
    </xf>
    <xf numFmtId="0" fontId="7" fillId="0" borderId="0" xfId="35" applyFont="1" applyAlignment="1" applyProtection="1">
      <protection hidden="1"/>
    </xf>
    <xf numFmtId="0" fontId="7" fillId="0" borderId="7" xfId="35" applyFont="1" applyBorder="1" applyAlignment="1" applyProtection="1">
      <protection hidden="1"/>
    </xf>
    <xf numFmtId="37" fontId="7" fillId="0" borderId="29" xfId="35" applyNumberFormat="1" applyFont="1" applyBorder="1" applyAlignment="1" applyProtection="1">
      <protection hidden="1"/>
    </xf>
    <xf numFmtId="0" fontId="7" fillId="0" borderId="30" xfId="35" applyFont="1" applyBorder="1" applyAlignment="1" applyProtection="1">
      <protection hidden="1"/>
    </xf>
    <xf numFmtId="0" fontId="70" fillId="0" borderId="23" xfId="35" applyFont="1" applyBorder="1" applyAlignment="1" applyProtection="1">
      <protection hidden="1"/>
    </xf>
    <xf numFmtId="0" fontId="19" fillId="0" borderId="28" xfId="35" applyFont="1" applyBorder="1" applyAlignment="1" applyProtection="1"/>
    <xf numFmtId="0" fontId="19" fillId="0" borderId="5" xfId="35" applyFont="1" applyBorder="1" applyAlignment="1" applyProtection="1">
      <protection hidden="1"/>
    </xf>
    <xf numFmtId="0" fontId="13" fillId="0" borderId="0" xfId="35" applyFont="1" applyAlignment="1" applyProtection="1">
      <protection hidden="1"/>
    </xf>
    <xf numFmtId="0" fontId="13" fillId="0" borderId="49" xfId="35" applyFont="1" applyBorder="1" applyAlignment="1" applyProtection="1">
      <protection hidden="1"/>
    </xf>
    <xf numFmtId="0" fontId="32" fillId="2" borderId="65" xfId="35" applyFont="1" applyFill="1" applyBorder="1" applyAlignment="1" applyProtection="1">
      <alignment horizontal="center" vertical="center" wrapText="1"/>
      <protection hidden="1"/>
    </xf>
    <xf numFmtId="0" fontId="19" fillId="0" borderId="0" xfId="35" applyFont="1" applyAlignment="1" applyProtection="1"/>
    <xf numFmtId="0" fontId="62" fillId="5" borderId="43" xfId="35" applyFont="1" applyFill="1" applyBorder="1" applyAlignment="1" applyProtection="1">
      <alignment horizontal="center" vertical="center" wrapText="1"/>
      <protection hidden="1"/>
    </xf>
    <xf numFmtId="0" fontId="64" fillId="0" borderId="24" xfId="35" applyFont="1" applyBorder="1" applyAlignment="1" applyProtection="1">
      <alignment vertical="center" wrapText="1"/>
      <protection hidden="1"/>
    </xf>
    <xf numFmtId="0" fontId="25" fillId="0" borderId="24" xfId="35" applyFont="1" applyBorder="1" applyAlignment="1" applyProtection="1">
      <protection hidden="1"/>
    </xf>
    <xf numFmtId="166" fontId="7" fillId="0" borderId="0" xfId="35" applyNumberFormat="1" applyFont="1" applyAlignment="1" applyProtection="1">
      <protection hidden="1"/>
    </xf>
    <xf numFmtId="0" fontId="31" fillId="0" borderId="16" xfId="35" applyFont="1" applyBorder="1" applyAlignment="1" applyProtection="1">
      <protection hidden="1"/>
    </xf>
    <xf numFmtId="0" fontId="19" fillId="0" borderId="2" xfId="35" applyFont="1" applyBorder="1" applyAlignment="1" applyProtection="1">
      <protection hidden="1"/>
    </xf>
    <xf numFmtId="0" fontId="31" fillId="0" borderId="4" xfId="35" applyFont="1" applyBorder="1" applyAlignment="1" applyProtection="1">
      <protection hidden="1"/>
    </xf>
    <xf numFmtId="0" fontId="64" fillId="0" borderId="5" xfId="35" applyFont="1" applyBorder="1" applyAlignment="1" applyProtection="1">
      <protection hidden="1"/>
    </xf>
    <xf numFmtId="0" fontId="64" fillId="0" borderId="34" xfId="35" applyFont="1" applyBorder="1" applyAlignment="1" applyProtection="1">
      <protection hidden="1"/>
    </xf>
    <xf numFmtId="49" fontId="64" fillId="0" borderId="5" xfId="35" applyNumberFormat="1" applyFont="1" applyBorder="1" applyAlignment="1" applyProtection="1">
      <protection hidden="1"/>
    </xf>
    <xf numFmtId="0" fontId="64" fillId="0" borderId="42" xfId="35" applyFont="1" applyBorder="1" applyAlignment="1" applyProtection="1">
      <protection hidden="1"/>
    </xf>
    <xf numFmtId="0" fontId="64" fillId="0" borderId="16" xfId="35" applyFont="1" applyBorder="1" applyAlignment="1" applyProtection="1">
      <protection hidden="1"/>
    </xf>
    <xf numFmtId="0" fontId="64" fillId="0" borderId="48" xfId="35" applyFont="1" applyBorder="1" applyAlignment="1" applyProtection="1">
      <protection hidden="1"/>
    </xf>
    <xf numFmtId="0" fontId="64" fillId="0" borderId="0" xfId="35" applyFont="1" applyAlignment="1" applyProtection="1">
      <protection hidden="1"/>
    </xf>
    <xf numFmtId="0" fontId="31" fillId="0" borderId="0" xfId="35" applyFont="1" applyAlignment="1" applyProtection="1">
      <protection hidden="1"/>
    </xf>
    <xf numFmtId="0" fontId="19" fillId="0" borderId="34" xfId="35" applyFont="1" applyBorder="1" applyAlignment="1" applyProtection="1">
      <protection hidden="1"/>
    </xf>
    <xf numFmtId="0" fontId="19" fillId="0" borderId="42" xfId="35" applyFont="1" applyBorder="1" applyAlignment="1" applyProtection="1">
      <protection hidden="1"/>
    </xf>
    <xf numFmtId="0" fontId="19" fillId="0" borderId="33" xfId="35" applyFont="1" applyBorder="1" applyAlignment="1" applyProtection="1">
      <protection hidden="1"/>
    </xf>
    <xf numFmtId="0" fontId="64" fillId="0" borderId="33" xfId="35" applyFont="1" applyBorder="1" applyAlignment="1" applyProtection="1">
      <protection hidden="1"/>
    </xf>
    <xf numFmtId="49" fontId="64" fillId="0" borderId="33" xfId="35" applyNumberFormat="1" applyFont="1" applyBorder="1" applyAlignment="1" applyProtection="1">
      <protection hidden="1"/>
    </xf>
    <xf numFmtId="49" fontId="64" fillId="0" borderId="28" xfId="35" applyNumberFormat="1" applyFont="1" applyBorder="1" applyAlignment="1" applyProtection="1">
      <alignment horizontal="left"/>
      <protection hidden="1"/>
    </xf>
    <xf numFmtId="0" fontId="64" fillId="0" borderId="28" xfId="35" applyFont="1" applyBorder="1" applyAlignment="1" applyProtection="1">
      <alignment horizontal="left"/>
      <protection hidden="1"/>
    </xf>
    <xf numFmtId="0" fontId="64" fillId="0" borderId="5" xfId="35" applyFont="1" applyBorder="1" applyAlignment="1" applyProtection="1">
      <alignment horizontal="left"/>
      <protection hidden="1"/>
    </xf>
    <xf numFmtId="0" fontId="31" fillId="0" borderId="101" xfId="35" applyFont="1" applyBorder="1" applyAlignment="1" applyProtection="1">
      <protection hidden="1"/>
    </xf>
    <xf numFmtId="0" fontId="64" fillId="0" borderId="101" xfId="35" applyFont="1" applyBorder="1" applyAlignment="1" applyProtection="1">
      <protection hidden="1"/>
    </xf>
    <xf numFmtId="49" fontId="64" fillId="0" borderId="5" xfId="35" applyNumberFormat="1" applyFont="1" applyBorder="1" applyAlignment="1" applyProtection="1">
      <alignment horizontal="left"/>
      <protection hidden="1"/>
    </xf>
    <xf numFmtId="49" fontId="19" fillId="0" borderId="42" xfId="35" applyNumberFormat="1" applyFont="1" applyBorder="1" applyAlignment="1" applyProtection="1">
      <protection hidden="1"/>
    </xf>
    <xf numFmtId="0" fontId="25" fillId="0" borderId="42" xfId="35" applyFont="1" applyBorder="1" applyAlignment="1" applyProtection="1">
      <protection hidden="1"/>
    </xf>
    <xf numFmtId="0" fontId="19" fillId="0" borderId="59" xfId="35" applyFont="1" applyBorder="1" applyAlignment="1" applyProtection="1">
      <protection hidden="1"/>
    </xf>
    <xf numFmtId="0" fontId="19" fillId="0" borderId="42" xfId="35" quotePrefix="1" applyFont="1" applyBorder="1" applyAlignment="1" applyProtection="1">
      <alignment horizontal="left"/>
      <protection hidden="1"/>
    </xf>
    <xf numFmtId="0" fontId="19" fillId="0" borderId="30" xfId="35" applyFont="1" applyBorder="1" applyAlignment="1" applyProtection="1">
      <protection hidden="1"/>
    </xf>
    <xf numFmtId="0" fontId="19" fillId="0" borderId="28" xfId="35" applyFont="1" applyBorder="1" applyAlignment="1" applyProtection="1">
      <alignment horizontal="left"/>
      <protection hidden="1"/>
    </xf>
    <xf numFmtId="0" fontId="13" fillId="0" borderId="4" xfId="35" applyFont="1" applyBorder="1" applyAlignment="1" applyProtection="1">
      <protection hidden="1"/>
    </xf>
    <xf numFmtId="0" fontId="25" fillId="0" borderId="28" xfId="35" applyFont="1" applyBorder="1" applyAlignment="1" applyProtection="1">
      <protection hidden="1"/>
    </xf>
    <xf numFmtId="37" fontId="19" fillId="0" borderId="57" xfId="35" applyNumberFormat="1" applyFont="1" applyBorder="1" applyAlignment="1" applyProtection="1">
      <alignment horizontal="center"/>
      <protection hidden="1"/>
    </xf>
    <xf numFmtId="0" fontId="64" fillId="0" borderId="1" xfId="35" applyFont="1" applyBorder="1" applyAlignment="1" applyProtection="1">
      <alignment horizontal="center" vertical="center" wrapText="1"/>
      <protection hidden="1"/>
    </xf>
    <xf numFmtId="0" fontId="13" fillId="0" borderId="16" xfId="35" applyFont="1" applyBorder="1" applyAlignment="1" applyProtection="1">
      <alignment horizontal="center"/>
      <protection hidden="1"/>
    </xf>
    <xf numFmtId="0" fontId="21" fillId="2" borderId="38" xfId="0" applyFont="1" applyFill="1" applyBorder="1" applyAlignment="1" applyProtection="1">
      <alignment horizontal="center"/>
      <protection hidden="1"/>
    </xf>
    <xf numFmtId="0" fontId="64" fillId="0" borderId="24" xfId="35" applyFont="1" applyBorder="1" applyAlignment="1" applyProtection="1">
      <protection hidden="1"/>
    </xf>
    <xf numFmtId="0" fontId="64" fillId="0" borderId="20" xfId="35" applyFont="1" applyBorder="1" applyAlignment="1" applyProtection="1">
      <protection hidden="1"/>
    </xf>
    <xf numFmtId="0" fontId="25" fillId="0" borderId="19" xfId="35" applyFont="1" applyBorder="1" applyAlignment="1" applyProtection="1">
      <protection hidden="1"/>
    </xf>
    <xf numFmtId="0" fontId="25" fillId="0" borderId="3" xfId="35" applyFont="1" applyBorder="1" applyAlignment="1" applyProtection="1">
      <protection hidden="1"/>
    </xf>
    <xf numFmtId="0" fontId="19" fillId="0" borderId="19" xfId="35" applyFont="1" applyBorder="1" applyAlignment="1" applyProtection="1">
      <protection hidden="1"/>
    </xf>
    <xf numFmtId="0" fontId="19" fillId="0" borderId="24" xfId="35" applyFont="1" applyBorder="1" applyAlignment="1" applyProtection="1">
      <protection hidden="1"/>
    </xf>
    <xf numFmtId="0" fontId="19" fillId="0" borderId="3" xfId="35" applyFont="1" applyBorder="1" applyAlignment="1" applyProtection="1">
      <protection hidden="1"/>
    </xf>
    <xf numFmtId="0" fontId="64" fillId="0" borderId="3" xfId="35" applyFont="1" applyBorder="1" applyAlignment="1" applyProtection="1">
      <protection hidden="1"/>
    </xf>
    <xf numFmtId="0" fontId="29" fillId="0" borderId="33" xfId="35" applyFont="1" applyBorder="1" applyAlignment="1" applyProtection="1">
      <alignment horizontal="left"/>
      <protection hidden="1"/>
    </xf>
    <xf numFmtId="0" fontId="19" fillId="0" borderId="33" xfId="35" quotePrefix="1" applyFont="1" applyBorder="1" applyAlignment="1" applyProtection="1">
      <alignment horizontal="left"/>
      <protection hidden="1"/>
    </xf>
    <xf numFmtId="0" fontId="23" fillId="2" borderId="25" xfId="0" quotePrefix="1" applyFont="1" applyFill="1" applyBorder="1" applyAlignment="1" applyProtection="1">
      <alignment horizontal="left"/>
      <protection hidden="1"/>
    </xf>
    <xf numFmtId="0" fontId="23" fillId="2" borderId="10" xfId="0" applyFont="1" applyFill="1" applyBorder="1" applyAlignment="1" applyProtection="1">
      <alignment horizontal="left"/>
      <protection hidden="1"/>
    </xf>
    <xf numFmtId="0" fontId="19" fillId="0" borderId="24" xfId="35" applyFont="1" applyBorder="1" applyAlignment="1" applyProtection="1"/>
    <xf numFmtId="0" fontId="19" fillId="0" borderId="24" xfId="35" applyFont="1" applyBorder="1" applyAlignment="1" applyProtection="1">
      <alignment horizontal="left"/>
    </xf>
    <xf numFmtId="0" fontId="19" fillId="0" borderId="20" xfId="35" applyFont="1" applyBorder="1" applyAlignment="1" applyProtection="1">
      <protection hidden="1"/>
    </xf>
    <xf numFmtId="0" fontId="19" fillId="0" borderId="3" xfId="35" applyFont="1" applyBorder="1" applyAlignment="1" applyProtection="1"/>
    <xf numFmtId="0" fontId="19" fillId="0" borderId="20" xfId="35" applyFont="1" applyBorder="1" applyAlignment="1" applyProtection="1"/>
    <xf numFmtId="0" fontId="7" fillId="10" borderId="37" xfId="0" applyFont="1" applyFill="1" applyBorder="1" applyProtection="1">
      <protection hidden="1"/>
    </xf>
    <xf numFmtId="0" fontId="7" fillId="10" borderId="28" xfId="0" applyFont="1" applyFill="1" applyBorder="1" applyProtection="1">
      <protection hidden="1"/>
    </xf>
    <xf numFmtId="0" fontId="7" fillId="10" borderId="23" xfId="0" applyFont="1" applyFill="1" applyBorder="1" applyProtection="1">
      <protection hidden="1"/>
    </xf>
    <xf numFmtId="0" fontId="25" fillId="0" borderId="20" xfId="35" applyFont="1" applyBorder="1" applyAlignment="1" applyProtection="1"/>
    <xf numFmtId="0" fontId="64" fillId="0" borderId="28" xfId="35" applyFont="1" applyBorder="1" applyAlignment="1" applyProtection="1">
      <alignment vertical="center" wrapText="1"/>
      <protection hidden="1"/>
    </xf>
    <xf numFmtId="0" fontId="13" fillId="3" borderId="67" xfId="35" applyFont="1" applyFill="1" applyBorder="1" applyAlignment="1" applyProtection="1">
      <protection hidden="1"/>
    </xf>
    <xf numFmtId="0" fontId="13" fillId="3" borderId="65" xfId="35" applyFont="1" applyFill="1" applyBorder="1" applyAlignment="1" applyProtection="1">
      <protection hidden="1"/>
    </xf>
    <xf numFmtId="0" fontId="13" fillId="3" borderId="68" xfId="35" applyFont="1" applyFill="1" applyBorder="1" applyAlignment="1" applyProtection="1">
      <protection hidden="1"/>
    </xf>
    <xf numFmtId="0" fontId="13" fillId="3" borderId="29" xfId="35" applyFont="1" applyFill="1" applyBorder="1" applyAlignment="1" applyProtection="1">
      <protection hidden="1"/>
    </xf>
    <xf numFmtId="37" fontId="16" fillId="5" borderId="103" xfId="15" applyNumberFormat="1" applyFont="1" applyFill="1" applyBorder="1" applyProtection="1">
      <protection hidden="1"/>
    </xf>
    <xf numFmtId="0" fontId="13" fillId="0" borderId="29" xfId="35" applyFont="1" applyBorder="1" applyAlignment="1" applyProtection="1">
      <alignment horizontal="left"/>
      <protection hidden="1"/>
    </xf>
    <xf numFmtId="0" fontId="13" fillId="0" borderId="37" xfId="35" applyFont="1" applyBorder="1" applyAlignment="1" applyProtection="1">
      <alignment horizontal="left"/>
      <protection hidden="1"/>
    </xf>
    <xf numFmtId="0" fontId="25" fillId="0" borderId="33" xfId="35" applyFont="1" applyBorder="1" applyAlignment="1" applyProtection="1">
      <protection hidden="1"/>
    </xf>
    <xf numFmtId="0" fontId="12" fillId="0" borderId="28" xfId="35" applyFont="1" applyBorder="1" applyAlignment="1" applyProtection="1">
      <protection hidden="1"/>
    </xf>
    <xf numFmtId="0" fontId="13" fillId="0" borderId="64" xfId="35" applyFont="1" applyBorder="1" applyAlignment="1" applyProtection="1">
      <protection hidden="1"/>
    </xf>
    <xf numFmtId="0" fontId="19" fillId="0" borderId="28" xfId="35" quotePrefix="1" applyFont="1" applyBorder="1" applyAlignment="1" applyProtection="1">
      <alignment horizontal="left"/>
      <protection hidden="1"/>
    </xf>
    <xf numFmtId="0" fontId="13" fillId="0" borderId="23" xfId="35" quotePrefix="1" applyFont="1" applyBorder="1" applyAlignment="1" applyProtection="1">
      <alignment horizontal="left"/>
      <protection hidden="1"/>
    </xf>
    <xf numFmtId="0" fontId="13" fillId="0" borderId="67" xfId="35" applyFont="1" applyBorder="1" applyAlignment="1" applyProtection="1">
      <protection hidden="1"/>
    </xf>
    <xf numFmtId="0" fontId="13" fillId="0" borderId="71" xfId="35" applyFont="1" applyBorder="1" applyAlignment="1" applyProtection="1">
      <protection hidden="1"/>
    </xf>
    <xf numFmtId="0" fontId="64" fillId="0" borderId="10" xfId="35" applyFont="1" applyBorder="1" applyAlignment="1" applyProtection="1">
      <protection hidden="1"/>
    </xf>
    <xf numFmtId="0" fontId="19" fillId="0" borderId="27" xfId="35" applyFont="1" applyBorder="1" applyAlignment="1" applyProtection="1">
      <protection hidden="1"/>
    </xf>
    <xf numFmtId="22" fontId="29" fillId="0" borderId="0" xfId="0" applyNumberFormat="1" applyFont="1" applyAlignment="1" applyProtection="1">
      <alignment horizontal="right"/>
      <protection hidden="1"/>
    </xf>
    <xf numFmtId="3" fontId="13" fillId="10" borderId="0" xfId="34" applyFont="1" applyFill="1" applyProtection="1">
      <protection locked="0" hidden="1"/>
    </xf>
    <xf numFmtId="0" fontId="0" fillId="0" borderId="39" xfId="0" applyBorder="1" applyAlignment="1">
      <alignment vertical="top"/>
    </xf>
    <xf numFmtId="0" fontId="0" fillId="0" borderId="124" xfId="0" applyBorder="1" applyAlignment="1">
      <alignment vertical="top"/>
    </xf>
    <xf numFmtId="0" fontId="0" fillId="0" borderId="45" xfId="0" applyBorder="1" applyAlignment="1">
      <alignment vertical="top"/>
    </xf>
    <xf numFmtId="0" fontId="0" fillId="0" borderId="111" xfId="0" applyBorder="1" applyAlignment="1">
      <alignment horizontal="left" vertical="top"/>
    </xf>
    <xf numFmtId="0" fontId="0" fillId="0" borderId="44" xfId="0" applyBorder="1" applyAlignment="1">
      <alignment vertical="top"/>
    </xf>
    <xf numFmtId="0" fontId="0" fillId="0" borderId="81" xfId="0" applyBorder="1" applyAlignment="1">
      <alignment vertical="top"/>
    </xf>
    <xf numFmtId="0" fontId="0" fillId="0" borderId="63" xfId="0" applyBorder="1" applyAlignment="1">
      <alignment vertical="top"/>
    </xf>
    <xf numFmtId="0" fontId="0" fillId="0" borderId="58" xfId="0" applyBorder="1" applyAlignment="1">
      <alignment vertical="top"/>
    </xf>
    <xf numFmtId="0" fontId="0" fillId="0" borderId="57" xfId="0" applyBorder="1" applyAlignment="1">
      <alignment vertical="top"/>
    </xf>
    <xf numFmtId="0" fontId="0" fillId="0" borderId="0" xfId="0" applyAlignment="1">
      <alignment horizontal="right" vertical="top"/>
    </xf>
    <xf numFmtId="0" fontId="0" fillId="0" borderId="0" xfId="0" applyAlignment="1">
      <alignment horizontal="left" vertical="top"/>
    </xf>
    <xf numFmtId="0" fontId="0" fillId="0" borderId="81" xfId="0" applyBorder="1" applyAlignment="1">
      <alignment vertical="top" wrapText="1"/>
    </xf>
    <xf numFmtId="0" fontId="0" fillId="0" borderId="102" xfId="0" applyBorder="1" applyAlignment="1">
      <alignment vertical="top"/>
    </xf>
    <xf numFmtId="0" fontId="0" fillId="0" borderId="63" xfId="0" applyBorder="1" applyAlignment="1">
      <alignment vertical="top" wrapText="1"/>
    </xf>
    <xf numFmtId="0" fontId="0" fillId="0" borderId="49" xfId="0" applyBorder="1" applyAlignment="1">
      <alignment vertical="top"/>
    </xf>
    <xf numFmtId="49" fontId="0" fillId="0" borderId="49" xfId="0" applyNumberFormat="1" applyBorder="1" applyAlignment="1">
      <alignment vertical="top"/>
    </xf>
    <xf numFmtId="0" fontId="0" fillId="0" borderId="57" xfId="0" applyBorder="1" applyAlignment="1">
      <alignment vertical="top" wrapText="1"/>
    </xf>
    <xf numFmtId="49" fontId="0" fillId="0" borderId="64" xfId="0" applyNumberFormat="1" applyBorder="1" applyAlignment="1">
      <alignment vertical="top"/>
    </xf>
    <xf numFmtId="0" fontId="0" fillId="0" borderId="65" xfId="0" applyBorder="1" applyAlignment="1">
      <alignment horizontal="right" vertical="top"/>
    </xf>
    <xf numFmtId="0" fontId="0" fillId="0" borderId="65" xfId="0" applyBorder="1" applyAlignment="1">
      <alignment vertical="top"/>
    </xf>
    <xf numFmtId="0" fontId="0" fillId="0" borderId="74" xfId="0" applyBorder="1" applyAlignment="1">
      <alignment horizontal="right" vertical="top"/>
    </xf>
    <xf numFmtId="0" fontId="0" fillId="0" borderId="74" xfId="0" applyBorder="1" applyAlignment="1">
      <alignment vertical="top"/>
    </xf>
    <xf numFmtId="0" fontId="38" fillId="0" borderId="65" xfId="0" applyFont="1" applyBorder="1" applyAlignment="1">
      <alignment wrapText="1"/>
    </xf>
    <xf numFmtId="0" fontId="37" fillId="9" borderId="65" xfId="0" applyFont="1" applyFill="1" applyBorder="1"/>
    <xf numFmtId="0" fontId="0" fillId="0" borderId="39" xfId="0" applyBorder="1" applyAlignment="1">
      <alignment horizontal="right" vertical="top"/>
    </xf>
    <xf numFmtId="0" fontId="0" fillId="0" borderId="124" xfId="0" applyBorder="1" applyAlignment="1">
      <alignment horizontal="left" vertical="top"/>
    </xf>
    <xf numFmtId="3" fontId="13" fillId="0" borderId="81" xfId="99" applyNumberFormat="1" applyFont="1" applyBorder="1" applyProtection="1">
      <protection hidden="1"/>
    </xf>
    <xf numFmtId="3" fontId="13" fillId="0" borderId="63" xfId="99" applyNumberFormat="1" applyFont="1" applyBorder="1" applyProtection="1">
      <protection hidden="1"/>
    </xf>
    <xf numFmtId="3" fontId="13" fillId="0" borderId="58" xfId="99" applyNumberFormat="1" applyFont="1" applyBorder="1" applyProtection="1">
      <protection hidden="1"/>
    </xf>
    <xf numFmtId="3" fontId="13" fillId="0" borderId="74" xfId="99" applyNumberFormat="1" applyFont="1" applyBorder="1" applyProtection="1">
      <protection hidden="1"/>
    </xf>
    <xf numFmtId="3" fontId="13" fillId="0" borderId="3" xfId="99" applyNumberFormat="1" applyFont="1" applyBorder="1" applyProtection="1">
      <protection hidden="1"/>
    </xf>
    <xf numFmtId="3" fontId="13" fillId="0" borderId="106" xfId="99" applyNumberFormat="1" applyFont="1" applyBorder="1" applyProtection="1">
      <protection hidden="1"/>
    </xf>
    <xf numFmtId="3" fontId="13" fillId="0" borderId="101" xfId="99" applyNumberFormat="1" applyFont="1" applyBorder="1" applyProtection="1">
      <protection hidden="1"/>
    </xf>
    <xf numFmtId="0" fontId="62" fillId="0" borderId="66" xfId="0" applyFont="1" applyBorder="1" applyAlignment="1" applyProtection="1">
      <alignment horizontal="center" wrapText="1"/>
      <protection hidden="1"/>
    </xf>
    <xf numFmtId="3" fontId="16" fillId="0" borderId="56" xfId="15" applyNumberFormat="1" applyFont="1" applyBorder="1" applyProtection="1">
      <protection hidden="1"/>
    </xf>
    <xf numFmtId="49" fontId="15" fillId="0" borderId="0" xfId="0" applyNumberFormat="1" applyFont="1" applyAlignment="1">
      <alignment wrapText="1"/>
    </xf>
    <xf numFmtId="49" fontId="38" fillId="12" borderId="0" xfId="0" applyNumberFormat="1" applyFont="1" applyFill="1"/>
    <xf numFmtId="37" fontId="71" fillId="3" borderId="0" xfId="15" applyNumberFormat="1" applyFont="1" applyFill="1" applyProtection="1">
      <protection locked="0" hidden="1"/>
    </xf>
    <xf numFmtId="37" fontId="71" fillId="3" borderId="63" xfId="15" applyNumberFormat="1" applyFont="1" applyFill="1" applyBorder="1" applyProtection="1">
      <protection locked="0" hidden="1"/>
    </xf>
    <xf numFmtId="37" fontId="71" fillId="3" borderId="6" xfId="15" applyNumberFormat="1" applyFont="1" applyFill="1" applyBorder="1" applyProtection="1">
      <protection locked="0" hidden="1"/>
    </xf>
    <xf numFmtId="37" fontId="71" fillId="3" borderId="35" xfId="15" applyNumberFormat="1" applyFont="1" applyFill="1" applyBorder="1" applyProtection="1">
      <protection locked="0" hidden="1"/>
    </xf>
    <xf numFmtId="37" fontId="71" fillId="3" borderId="74" xfId="15" applyNumberFormat="1" applyFont="1" applyFill="1" applyBorder="1" applyProtection="1">
      <protection locked="0" hidden="1"/>
    </xf>
    <xf numFmtId="37" fontId="71" fillId="3" borderId="37" xfId="15" applyNumberFormat="1" applyFont="1" applyFill="1" applyBorder="1" applyProtection="1">
      <protection locked="0" hidden="1"/>
    </xf>
    <xf numFmtId="37" fontId="71" fillId="3" borderId="50" xfId="15" applyNumberFormat="1" applyFont="1" applyFill="1" applyBorder="1" applyProtection="1">
      <protection locked="0" hidden="1"/>
    </xf>
    <xf numFmtId="37" fontId="71" fillId="3" borderId="42" xfId="15" applyNumberFormat="1" applyFont="1" applyFill="1" applyBorder="1" applyProtection="1">
      <protection locked="0" hidden="1"/>
    </xf>
    <xf numFmtId="37" fontId="71" fillId="3" borderId="65" xfId="15" applyNumberFormat="1" applyFont="1" applyFill="1" applyBorder="1" applyProtection="1">
      <protection locked="0" hidden="1"/>
    </xf>
    <xf numFmtId="37" fontId="71" fillId="3" borderId="29" xfId="15" applyNumberFormat="1" applyFont="1" applyFill="1" applyBorder="1" applyProtection="1">
      <protection locked="0" hidden="1"/>
    </xf>
    <xf numFmtId="37" fontId="71" fillId="3" borderId="20" xfId="15" applyNumberFormat="1" applyFont="1" applyFill="1" applyBorder="1" applyProtection="1">
      <protection locked="0" hidden="1"/>
    </xf>
    <xf numFmtId="37" fontId="71" fillId="3" borderId="28" xfId="15" applyNumberFormat="1" applyFont="1" applyFill="1" applyBorder="1" applyProtection="1">
      <protection locked="0" hidden="1"/>
    </xf>
    <xf numFmtId="37" fontId="71" fillId="3" borderId="57" xfId="15" applyNumberFormat="1" applyFont="1" applyFill="1" applyBorder="1" applyProtection="1">
      <protection locked="0" hidden="1"/>
    </xf>
    <xf numFmtId="37" fontId="71" fillId="3" borderId="23" xfId="15" applyNumberFormat="1" applyFont="1" applyFill="1" applyBorder="1" applyProtection="1">
      <protection locked="0" hidden="1"/>
    </xf>
    <xf numFmtId="37" fontId="71" fillId="3" borderId="24" xfId="15" applyNumberFormat="1" applyFont="1" applyFill="1" applyBorder="1" applyProtection="1">
      <protection locked="0" hidden="1"/>
    </xf>
    <xf numFmtId="0" fontId="16" fillId="0" borderId="0" xfId="0" applyFont="1" applyAlignment="1">
      <alignment horizontal="left" indent="4"/>
    </xf>
    <xf numFmtId="3" fontId="16" fillId="6" borderId="125" xfId="15" applyNumberFormat="1" applyFont="1" applyFill="1" applyBorder="1" applyProtection="1">
      <protection hidden="1"/>
    </xf>
    <xf numFmtId="3" fontId="16" fillId="6" borderId="72" xfId="15" applyNumberFormat="1" applyFont="1" applyFill="1" applyBorder="1" applyProtection="1">
      <protection hidden="1"/>
    </xf>
    <xf numFmtId="3" fontId="40" fillId="6" borderId="110" xfId="15" applyNumberFormat="1" applyFont="1" applyFill="1" applyBorder="1" applyProtection="1">
      <protection hidden="1"/>
    </xf>
    <xf numFmtId="3" fontId="40" fillId="6" borderId="7" xfId="15" applyNumberFormat="1" applyFont="1" applyFill="1" applyBorder="1" applyProtection="1">
      <protection hidden="1"/>
    </xf>
    <xf numFmtId="3" fontId="40" fillId="6" borderId="16" xfId="15" applyNumberFormat="1" applyFont="1" applyFill="1" applyBorder="1" applyProtection="1">
      <protection hidden="1"/>
    </xf>
    <xf numFmtId="0" fontId="13" fillId="6" borderId="41" xfId="99" applyFont="1" applyFill="1" applyBorder="1" applyProtection="1">
      <protection hidden="1"/>
    </xf>
    <xf numFmtId="3" fontId="40" fillId="5" borderId="34" xfId="15" applyNumberFormat="1" applyFont="1" applyFill="1" applyBorder="1" applyProtection="1">
      <protection locked="0" hidden="1"/>
    </xf>
    <xf numFmtId="3" fontId="40" fillId="5" borderId="30" xfId="15" applyNumberFormat="1" applyFont="1" applyFill="1" applyBorder="1" applyProtection="1">
      <protection locked="0" hidden="1"/>
    </xf>
    <xf numFmtId="3" fontId="40" fillId="5" borderId="126" xfId="15" applyNumberFormat="1" applyFont="1" applyFill="1" applyBorder="1" applyProtection="1">
      <protection locked="0" hidden="1"/>
    </xf>
    <xf numFmtId="3" fontId="40" fillId="5" borderId="22" xfId="15" applyNumberFormat="1" applyFont="1" applyFill="1" applyBorder="1" applyProtection="1">
      <protection locked="0" hidden="1"/>
    </xf>
    <xf numFmtId="3" fontId="40" fillId="5" borderId="29" xfId="15" applyNumberFormat="1" applyFont="1" applyFill="1" applyBorder="1" applyProtection="1">
      <protection locked="0" hidden="1"/>
    </xf>
    <xf numFmtId="0" fontId="13" fillId="6" borderId="102" xfId="99" applyFont="1" applyFill="1" applyBorder="1" applyProtection="1">
      <protection hidden="1"/>
    </xf>
    <xf numFmtId="3" fontId="16" fillId="0" borderId="43" xfId="15" applyNumberFormat="1" applyFont="1" applyBorder="1" applyProtection="1">
      <protection hidden="1"/>
    </xf>
    <xf numFmtId="0" fontId="26" fillId="3" borderId="33" xfId="0" applyFont="1" applyFill="1" applyBorder="1" applyAlignment="1" applyProtection="1">
      <alignment horizontal="centerContinuous"/>
      <protection hidden="1"/>
    </xf>
    <xf numFmtId="0" fontId="16" fillId="3" borderId="22" xfId="0" applyFont="1" applyFill="1" applyBorder="1" applyAlignment="1" applyProtection="1">
      <alignment horizontal="centerContinuous"/>
      <protection hidden="1"/>
    </xf>
    <xf numFmtId="37" fontId="15" fillId="3" borderId="22" xfId="15" applyNumberFormat="1" applyFont="1" applyFill="1" applyBorder="1" applyAlignment="1" applyProtection="1">
      <alignment horizontal="centerContinuous"/>
      <protection locked="0" hidden="1"/>
    </xf>
    <xf numFmtId="0" fontId="13" fillId="3" borderId="5" xfId="100" applyFont="1" applyFill="1" applyBorder="1" applyProtection="1">
      <protection hidden="1"/>
    </xf>
    <xf numFmtId="0" fontId="13" fillId="3" borderId="2" xfId="1" applyFont="1" applyFill="1" applyBorder="1" applyProtection="1">
      <protection hidden="1"/>
    </xf>
    <xf numFmtId="0" fontId="13" fillId="3" borderId="4" xfId="4" applyFont="1" applyFill="1" applyAlignment="1" applyProtection="1">
      <alignment horizontal="center"/>
      <protection hidden="1"/>
    </xf>
    <xf numFmtId="0" fontId="77" fillId="0" borderId="0" xfId="0" applyFont="1" applyProtection="1">
      <protection hidden="1"/>
    </xf>
    <xf numFmtId="0" fontId="16" fillId="0" borderId="127" xfId="0" applyFont="1" applyBorder="1" applyProtection="1">
      <protection hidden="1"/>
    </xf>
    <xf numFmtId="0" fontId="16" fillId="0" borderId="128" xfId="0" applyFont="1" applyBorder="1" applyProtection="1">
      <protection hidden="1"/>
    </xf>
    <xf numFmtId="175" fontId="16" fillId="0" borderId="129" xfId="0" applyNumberFormat="1" applyFont="1" applyBorder="1" applyProtection="1">
      <protection hidden="1"/>
    </xf>
    <xf numFmtId="0" fontId="16" fillId="0" borderId="129" xfId="0" applyFont="1" applyBorder="1" applyProtection="1">
      <protection hidden="1"/>
    </xf>
    <xf numFmtId="0" fontId="16" fillId="0" borderId="130" xfId="0" applyFont="1" applyBorder="1" applyProtection="1">
      <protection hidden="1"/>
    </xf>
    <xf numFmtId="0" fontId="16" fillId="0" borderId="92" xfId="0" applyFont="1" applyBorder="1" applyProtection="1">
      <protection hidden="1"/>
    </xf>
    <xf numFmtId="0" fontId="77" fillId="0" borderId="78" xfId="0" quotePrefix="1" applyFont="1" applyBorder="1"/>
    <xf numFmtId="0" fontId="16" fillId="0" borderId="78" xfId="0" applyFont="1" applyBorder="1" applyProtection="1">
      <protection hidden="1"/>
    </xf>
    <xf numFmtId="0" fontId="16" fillId="0" borderId="93" xfId="0" applyFont="1" applyBorder="1" applyProtection="1">
      <protection hidden="1"/>
    </xf>
    <xf numFmtId="0" fontId="16" fillId="0" borderId="95" xfId="0" applyFont="1" applyBorder="1" applyProtection="1">
      <protection hidden="1"/>
    </xf>
    <xf numFmtId="0" fontId="77" fillId="0" borderId="0" xfId="0" applyFont="1"/>
    <xf numFmtId="0" fontId="77" fillId="0" borderId="91" xfId="0" applyFont="1" applyBorder="1"/>
    <xf numFmtId="0" fontId="16" fillId="0" borderId="91" xfId="0" applyFont="1" applyBorder="1" applyProtection="1">
      <protection hidden="1"/>
    </xf>
    <xf numFmtId="0" fontId="16" fillId="0" borderId="97" xfId="0" applyFont="1" applyBorder="1" applyProtection="1">
      <protection hidden="1"/>
    </xf>
    <xf numFmtId="37" fontId="13" fillId="5" borderId="0" xfId="0" quotePrefix="1" applyNumberFormat="1" applyFont="1" applyFill="1" applyProtection="1">
      <protection locked="0"/>
    </xf>
    <xf numFmtId="0" fontId="78" fillId="0" borderId="0" xfId="0" applyFont="1"/>
    <xf numFmtId="0" fontId="78" fillId="0" borderId="0" xfId="0" applyFont="1" applyProtection="1">
      <protection hidden="1"/>
    </xf>
    <xf numFmtId="0" fontId="0" fillId="0" borderId="0" xfId="35" applyFont="1" applyAlignment="1" applyProtection="1"/>
    <xf numFmtId="37" fontId="7" fillId="0" borderId="0" xfId="0" applyNumberFormat="1" applyFont="1"/>
    <xf numFmtId="0" fontId="23" fillId="2" borderId="19" xfId="0" applyFont="1" applyFill="1" applyBorder="1" applyAlignment="1">
      <alignment horizontal="center"/>
    </xf>
    <xf numFmtId="0" fontId="21" fillId="2" borderId="19" xfId="6" applyFont="1" applyFill="1" applyBorder="1" applyAlignment="1" applyProtection="1">
      <alignment horizontal="center"/>
      <protection hidden="1"/>
    </xf>
    <xf numFmtId="0" fontId="0" fillId="2" borderId="9" xfId="0" applyFill="1" applyBorder="1"/>
    <xf numFmtId="0" fontId="0" fillId="3" borderId="1" xfId="0" applyFill="1" applyBorder="1"/>
    <xf numFmtId="0" fontId="0" fillId="3" borderId="25" xfId="0" applyFill="1" applyBorder="1"/>
    <xf numFmtId="37" fontId="16" fillId="0" borderId="38" xfId="0" applyNumberFormat="1" applyFont="1" applyBorder="1"/>
    <xf numFmtId="0" fontId="0" fillId="0" borderId="34" xfId="35" applyFont="1" applyBorder="1" applyAlignment="1" applyProtection="1"/>
    <xf numFmtId="0" fontId="0" fillId="0" borderId="30" xfId="35" applyFont="1" applyBorder="1" applyAlignment="1" applyProtection="1"/>
    <xf numFmtId="0" fontId="0" fillId="0" borderId="110" xfId="35" applyFont="1" applyBorder="1" applyAlignment="1" applyProtection="1"/>
    <xf numFmtId="0" fontId="0" fillId="0" borderId="30" xfId="0" applyBorder="1"/>
    <xf numFmtId="37" fontId="7" fillId="0" borderId="34" xfId="0" applyNumberFormat="1" applyFont="1" applyBorder="1"/>
    <xf numFmtId="37" fontId="7" fillId="0" borderId="110" xfId="0" applyNumberFormat="1" applyFont="1" applyBorder="1"/>
    <xf numFmtId="37" fontId="7" fillId="0" borderId="30" xfId="35" applyNumberFormat="1" applyFont="1" applyBorder="1" applyAlignment="1" applyProtection="1"/>
    <xf numFmtId="37" fontId="7" fillId="0" borderId="30" xfId="0" applyNumberFormat="1" applyFont="1" applyBorder="1"/>
    <xf numFmtId="0" fontId="81" fillId="0" borderId="132" xfId="0" applyFont="1" applyBorder="1"/>
    <xf numFmtId="0" fontId="80" fillId="2" borderId="12" xfId="0" applyFont="1" applyFill="1" applyBorder="1" applyAlignment="1">
      <alignment horizontal="center"/>
    </xf>
    <xf numFmtId="0" fontId="22" fillId="2" borderId="24" xfId="6" applyFont="1" applyFill="1" applyBorder="1" applyAlignment="1" applyProtection="1">
      <alignment horizontal="center" vertical="center" wrapText="1"/>
      <protection hidden="1"/>
    </xf>
    <xf numFmtId="0" fontId="0" fillId="2" borderId="9" xfId="0" applyFill="1" applyBorder="1" applyAlignment="1">
      <alignment horizontal="centerContinuous"/>
    </xf>
    <xf numFmtId="0" fontId="79" fillId="0" borderId="29" xfId="0" applyFont="1" applyBorder="1"/>
    <xf numFmtId="0" fontId="79" fillId="0" borderId="30" xfId="0" applyFont="1" applyBorder="1"/>
    <xf numFmtId="37" fontId="0" fillId="0" borderId="15" xfId="0" applyNumberFormat="1" applyBorder="1"/>
    <xf numFmtId="37" fontId="63" fillId="3" borderId="42" xfId="0" applyNumberFormat="1" applyFont="1" applyFill="1" applyBorder="1" applyProtection="1">
      <protection hidden="1"/>
    </xf>
    <xf numFmtId="3" fontId="75" fillId="0" borderId="64" xfId="15" applyNumberFormat="1" applyFont="1" applyBorder="1" applyProtection="1">
      <protection locked="0" hidden="1"/>
    </xf>
    <xf numFmtId="0" fontId="13" fillId="0" borderId="1" xfId="35" applyFont="1" applyBorder="1" applyAlignment="1" applyProtection="1">
      <protection hidden="1"/>
    </xf>
    <xf numFmtId="0" fontId="0" fillId="0" borderId="40" xfId="0" applyBorder="1" applyAlignment="1">
      <alignment horizontal="right" wrapText="1"/>
    </xf>
    <xf numFmtId="0" fontId="0" fillId="0" borderId="47" xfId="0" applyBorder="1" applyAlignment="1">
      <alignment vertical="top"/>
    </xf>
    <xf numFmtId="0" fontId="0" fillId="0" borderId="15" xfId="0" applyBorder="1" applyAlignment="1">
      <alignment horizontal="right"/>
    </xf>
    <xf numFmtId="0" fontId="0" fillId="0" borderId="11" xfId="0" applyBorder="1"/>
    <xf numFmtId="49" fontId="54" fillId="9" borderId="0" xfId="0" applyNumberFormat="1" applyFont="1" applyFill="1"/>
    <xf numFmtId="0" fontId="16" fillId="0" borderId="96" xfId="0" applyFont="1" applyBorder="1" applyProtection="1">
      <protection hidden="1"/>
    </xf>
    <xf numFmtId="0" fontId="0" fillId="0" borderId="5" xfId="0" applyBorder="1" applyAlignment="1">
      <alignment horizontal="left" vertical="top"/>
    </xf>
    <xf numFmtId="0" fontId="0" fillId="0" borderId="111" xfId="0" applyBorder="1" applyAlignment="1">
      <alignment vertical="top"/>
    </xf>
    <xf numFmtId="0" fontId="0" fillId="0" borderId="5" xfId="0" applyBorder="1" applyAlignment="1">
      <alignment vertical="top"/>
    </xf>
    <xf numFmtId="0" fontId="0" fillId="0" borderId="2" xfId="0" applyBorder="1" applyAlignment="1">
      <alignment vertical="top"/>
    </xf>
    <xf numFmtId="0" fontId="0" fillId="0" borderId="56" xfId="0" applyBorder="1" applyAlignment="1">
      <alignment vertical="top"/>
    </xf>
    <xf numFmtId="49" fontId="15" fillId="0" borderId="0" xfId="0" applyNumberFormat="1" applyFont="1" applyProtection="1">
      <protection hidden="1"/>
    </xf>
    <xf numFmtId="49" fontId="15" fillId="0" borderId="0" xfId="0" applyNumberFormat="1" applyFont="1" applyAlignment="1" applyProtection="1">
      <alignment horizontal="centerContinuous"/>
      <protection hidden="1"/>
    </xf>
    <xf numFmtId="49" fontId="54" fillId="0" borderId="0" xfId="0" applyNumberFormat="1" applyFont="1" applyProtection="1">
      <protection hidden="1"/>
    </xf>
    <xf numFmtId="0" fontId="54" fillId="0" borderId="0" xfId="0" applyFont="1" applyAlignment="1" applyProtection="1">
      <alignment horizontal="center"/>
      <protection hidden="1"/>
    </xf>
    <xf numFmtId="49" fontId="73" fillId="0" borderId="0" xfId="0" applyNumberFormat="1" applyFont="1" applyAlignment="1" applyProtection="1">
      <alignment horizontal="center" vertical="center" textRotation="90"/>
      <protection hidden="1"/>
    </xf>
    <xf numFmtId="49" fontId="60" fillId="2" borderId="19" xfId="0" applyNumberFormat="1" applyFont="1" applyFill="1" applyBorder="1" applyAlignment="1" applyProtection="1">
      <alignment horizontal="center" vertical="center" wrapText="1"/>
      <protection hidden="1"/>
    </xf>
    <xf numFmtId="0" fontId="13" fillId="0" borderId="133" xfId="0" applyFont="1" applyBorder="1" applyAlignment="1" applyProtection="1">
      <alignment horizontal="center" vertical="center" wrapText="1"/>
      <protection hidden="1"/>
    </xf>
    <xf numFmtId="0" fontId="13" fillId="0" borderId="134" xfId="0" applyFont="1" applyBorder="1" applyAlignment="1" applyProtection="1">
      <alignment horizontal="center" vertical="center" wrapText="1"/>
      <protection hidden="1"/>
    </xf>
    <xf numFmtId="0" fontId="13" fillId="0" borderId="135" xfId="0" applyFont="1" applyBorder="1" applyAlignment="1" applyProtection="1">
      <alignment horizontal="center" vertical="center" wrapText="1"/>
      <protection hidden="1"/>
    </xf>
    <xf numFmtId="49" fontId="38" fillId="0" borderId="0" xfId="0" applyNumberFormat="1" applyFont="1" applyAlignment="1" applyProtection="1">
      <alignment horizontal="center" vertical="center" wrapText="1"/>
      <protection hidden="1"/>
    </xf>
    <xf numFmtId="0" fontId="60" fillId="2" borderId="20" xfId="0" applyFont="1" applyFill="1" applyBorder="1" applyAlignment="1" applyProtection="1">
      <alignment horizontal="center" vertical="center" wrapText="1"/>
      <protection hidden="1"/>
    </xf>
    <xf numFmtId="0" fontId="13" fillId="0" borderId="136" xfId="0" applyFont="1" applyBorder="1" applyAlignment="1" applyProtection="1">
      <alignment horizontal="center" vertical="center" wrapText="1"/>
      <protection hidden="1"/>
    </xf>
    <xf numFmtId="0" fontId="13" fillId="0" borderId="137" xfId="0" applyFont="1" applyBorder="1" applyAlignment="1" applyProtection="1">
      <alignment horizontal="center" vertical="center" wrapText="1"/>
      <protection hidden="1"/>
    </xf>
    <xf numFmtId="0" fontId="13" fillId="0" borderId="138" xfId="0" applyFont="1" applyBorder="1" applyAlignment="1" applyProtection="1">
      <alignment horizontal="center" vertical="center" wrapText="1"/>
      <protection hidden="1"/>
    </xf>
    <xf numFmtId="0" fontId="13" fillId="0" borderId="139" xfId="0" applyFont="1" applyBorder="1" applyAlignment="1" applyProtection="1">
      <alignment horizontal="center" vertical="center" wrapText="1"/>
      <protection hidden="1"/>
    </xf>
    <xf numFmtId="0" fontId="13" fillId="0" borderId="140" xfId="0" applyFont="1" applyBorder="1" applyAlignment="1" applyProtection="1">
      <alignment horizontal="center" vertical="center" wrapText="1"/>
      <protection hidden="1"/>
    </xf>
    <xf numFmtId="0" fontId="13" fillId="0" borderId="141" xfId="0" applyFont="1" applyBorder="1" applyAlignment="1" applyProtection="1">
      <alignment horizontal="center" vertical="center" wrapText="1"/>
      <protection hidden="1"/>
    </xf>
    <xf numFmtId="0" fontId="83" fillId="0" borderId="0" xfId="0" applyFont="1" applyAlignment="1" applyProtection="1">
      <alignment horizontal="centerContinuous" vertical="center"/>
      <protection hidden="1"/>
    </xf>
    <xf numFmtId="49" fontId="82" fillId="0" borderId="0" xfId="0" applyNumberFormat="1" applyFont="1" applyAlignment="1" applyProtection="1">
      <alignment horizontal="center"/>
      <protection hidden="1"/>
    </xf>
    <xf numFmtId="49" fontId="73" fillId="0" borderId="0" xfId="0" applyNumberFormat="1" applyFont="1" applyAlignment="1" applyProtection="1">
      <alignment vertical="center" textRotation="90"/>
      <protection hidden="1"/>
    </xf>
    <xf numFmtId="49" fontId="19" fillId="0" borderId="42" xfId="0" applyNumberFormat="1" applyFont="1" applyBorder="1" applyProtection="1">
      <protection hidden="1"/>
    </xf>
    <xf numFmtId="49" fontId="84" fillId="0" borderId="1" xfId="0" applyNumberFormat="1" applyFont="1" applyBorder="1" applyAlignment="1" applyProtection="1">
      <alignment horizontal="center"/>
      <protection hidden="1"/>
    </xf>
    <xf numFmtId="0" fontId="84" fillId="0" borderId="0" xfId="0" applyFont="1" applyAlignment="1" applyProtection="1">
      <alignment horizontal="center" vertical="center"/>
      <protection hidden="1"/>
    </xf>
    <xf numFmtId="49" fontId="84" fillId="0" borderId="0" xfId="0" applyNumberFormat="1" applyFont="1" applyAlignment="1" applyProtection="1">
      <alignment horizontal="center" vertical="center"/>
      <protection hidden="1"/>
    </xf>
    <xf numFmtId="49" fontId="54" fillId="0" borderId="0" xfId="0" applyNumberFormat="1" applyFont="1" applyAlignment="1" applyProtection="1">
      <alignment horizontal="centerContinuous" vertical="center"/>
      <protection hidden="1"/>
    </xf>
    <xf numFmtId="49" fontId="54" fillId="0" borderId="0" xfId="0" applyNumberFormat="1" applyFont="1" applyAlignment="1" applyProtection="1">
      <alignment horizontal="centerContinuous"/>
      <protection hidden="1"/>
    </xf>
    <xf numFmtId="49" fontId="15" fillId="9" borderId="0" xfId="0" applyNumberFormat="1" applyFont="1" applyFill="1" applyAlignment="1">
      <alignment horizontal="center"/>
    </xf>
    <xf numFmtId="3" fontId="9" fillId="9" borderId="0" xfId="34" applyFont="1" applyFill="1" applyProtection="1">
      <protection hidden="1"/>
    </xf>
    <xf numFmtId="181" fontId="38" fillId="9" borderId="0" xfId="15" applyNumberFormat="1" applyFont="1" applyFill="1"/>
    <xf numFmtId="167" fontId="38" fillId="9" borderId="0" xfId="0" applyNumberFormat="1" applyFont="1" applyFill="1"/>
    <xf numFmtId="49" fontId="15" fillId="12" borderId="0" xfId="0" applyNumberFormat="1" applyFont="1" applyFill="1" applyAlignment="1">
      <alignment horizontal="center"/>
    </xf>
    <xf numFmtId="3" fontId="9" fillId="12" borderId="0" xfId="34" applyFont="1" applyFill="1" applyProtection="1">
      <protection hidden="1"/>
    </xf>
    <xf numFmtId="181" fontId="38" fillId="12" borderId="0" xfId="15" applyNumberFormat="1" applyFont="1" applyFill="1"/>
    <xf numFmtId="167" fontId="38" fillId="12" borderId="0" xfId="0" applyNumberFormat="1" applyFont="1" applyFill="1"/>
    <xf numFmtId="0" fontId="0" fillId="0" borderId="5" xfId="0" applyBorder="1" applyAlignment="1">
      <alignment vertical="top" wrapText="1"/>
    </xf>
    <xf numFmtId="0" fontId="85" fillId="0" borderId="45" xfId="0" applyFont="1" applyBorder="1"/>
    <xf numFmtId="0" fontId="0" fillId="0" borderId="0" xfId="0" applyAlignment="1">
      <alignment vertical="top"/>
    </xf>
    <xf numFmtId="49" fontId="38" fillId="0" borderId="0" xfId="15" applyNumberFormat="1" applyFont="1"/>
    <xf numFmtId="14" fontId="38" fillId="0" borderId="0" xfId="0" applyNumberFormat="1" applyFont="1"/>
    <xf numFmtId="0" fontId="86" fillId="0" borderId="0" xfId="0" applyFont="1" applyAlignment="1" applyProtection="1">
      <alignment horizontal="left"/>
      <protection hidden="1"/>
    </xf>
    <xf numFmtId="0" fontId="38" fillId="0" borderId="0" xfId="0" quotePrefix="1" applyFont="1" applyAlignment="1">
      <alignment horizontal="left" wrapText="1"/>
    </xf>
    <xf numFmtId="37" fontId="16" fillId="3" borderId="19" xfId="0" applyNumberFormat="1" applyFont="1" applyFill="1" applyBorder="1" applyProtection="1">
      <protection hidden="1"/>
    </xf>
    <xf numFmtId="4" fontId="40" fillId="3" borderId="33" xfId="15" applyNumberFormat="1" applyFont="1" applyFill="1" applyBorder="1" applyProtection="1">
      <protection locked="0" hidden="1"/>
    </xf>
    <xf numFmtId="4" fontId="40" fillId="3" borderId="28" xfId="15" applyNumberFormat="1" applyFont="1" applyFill="1" applyBorder="1" applyProtection="1">
      <protection locked="0" hidden="1"/>
    </xf>
    <xf numFmtId="4" fontId="40" fillId="3" borderId="35" xfId="15" applyNumberFormat="1" applyFont="1" applyFill="1" applyBorder="1" applyProtection="1">
      <protection locked="0" hidden="1"/>
    </xf>
    <xf numFmtId="4" fontId="40" fillId="3" borderId="22" xfId="15" applyNumberFormat="1" applyFont="1" applyFill="1" applyBorder="1" applyProtection="1">
      <protection locked="0" hidden="1"/>
    </xf>
    <xf numFmtId="4" fontId="40" fillId="3" borderId="23" xfId="15" applyNumberFormat="1" applyFont="1" applyFill="1" applyBorder="1" applyProtection="1">
      <protection locked="0" hidden="1"/>
    </xf>
    <xf numFmtId="4" fontId="40" fillId="3" borderId="37" xfId="15" applyNumberFormat="1" applyFont="1" applyFill="1" applyBorder="1" applyProtection="1">
      <protection locked="0" hidden="1"/>
    </xf>
    <xf numFmtId="4" fontId="40" fillId="3" borderId="42" xfId="15" applyNumberFormat="1" applyFont="1" applyFill="1" applyBorder="1" applyProtection="1">
      <protection locked="0" hidden="1"/>
    </xf>
    <xf numFmtId="4" fontId="40" fillId="3" borderId="29" xfId="15" applyNumberFormat="1" applyFont="1" applyFill="1" applyBorder="1" applyProtection="1">
      <protection locked="0" hidden="1"/>
    </xf>
    <xf numFmtId="4" fontId="40" fillId="3" borderId="25" xfId="15" applyNumberFormat="1" applyFont="1" applyFill="1" applyBorder="1" applyProtection="1">
      <protection locked="0" hidden="1"/>
    </xf>
    <xf numFmtId="37" fontId="40" fillId="5" borderId="12" xfId="0" applyNumberFormat="1" applyFont="1" applyFill="1" applyBorder="1" applyProtection="1">
      <protection locked="0" hidden="1"/>
    </xf>
    <xf numFmtId="37" fontId="40" fillId="5" borderId="42" xfId="0" applyNumberFormat="1" applyFont="1" applyFill="1" applyBorder="1" applyProtection="1">
      <protection locked="0" hidden="1"/>
    </xf>
    <xf numFmtId="37" fontId="40" fillId="5" borderId="33" xfId="0" applyNumberFormat="1" applyFont="1" applyFill="1" applyBorder="1" applyProtection="1">
      <protection locked="0" hidden="1"/>
    </xf>
    <xf numFmtId="37" fontId="40" fillId="5" borderId="28" xfId="0" applyNumberFormat="1" applyFont="1" applyFill="1" applyBorder="1" applyProtection="1">
      <protection locked="0" hidden="1"/>
    </xf>
    <xf numFmtId="37" fontId="40" fillId="5" borderId="67" xfId="15" applyNumberFormat="1" applyFont="1" applyFill="1" applyBorder="1" applyProtection="1">
      <protection locked="0" hidden="1"/>
    </xf>
    <xf numFmtId="37" fontId="40" fillId="5" borderId="16" xfId="0" applyNumberFormat="1" applyFont="1" applyFill="1" applyBorder="1" applyProtection="1">
      <protection locked="0" hidden="1"/>
    </xf>
    <xf numFmtId="37" fontId="40" fillId="5" borderId="65" xfId="0" applyNumberFormat="1" applyFont="1" applyFill="1" applyBorder="1" applyProtection="1">
      <protection locked="0" hidden="1"/>
    </xf>
    <xf numFmtId="37" fontId="40" fillId="5" borderId="64" xfId="0" applyNumberFormat="1" applyFont="1" applyFill="1" applyBorder="1" applyProtection="1">
      <protection locked="0" hidden="1"/>
    </xf>
    <xf numFmtId="37" fontId="40" fillId="5" borderId="57" xfId="0" applyNumberFormat="1" applyFont="1" applyFill="1" applyBorder="1" applyProtection="1">
      <protection locked="0" hidden="1"/>
    </xf>
    <xf numFmtId="37" fontId="40" fillId="5" borderId="142" xfId="0" applyNumberFormat="1" applyFont="1" applyFill="1" applyBorder="1" applyProtection="1">
      <protection locked="0" hidden="1"/>
    </xf>
    <xf numFmtId="37" fontId="40" fillId="5" borderId="56" xfId="0" applyNumberFormat="1" applyFont="1" applyFill="1" applyBorder="1" applyProtection="1">
      <protection locked="0" hidden="1"/>
    </xf>
    <xf numFmtId="37" fontId="40" fillId="5" borderId="46" xfId="0" applyNumberFormat="1" applyFont="1" applyFill="1" applyBorder="1" applyProtection="1">
      <protection locked="0" hidden="1"/>
    </xf>
    <xf numFmtId="37" fontId="40" fillId="5" borderId="142" xfId="15" applyNumberFormat="1" applyFont="1" applyFill="1" applyBorder="1" applyProtection="1">
      <protection locked="0" hidden="1"/>
    </xf>
    <xf numFmtId="37" fontId="40" fillId="5" borderId="44" xfId="0" applyNumberFormat="1" applyFont="1" applyFill="1" applyBorder="1" applyProtection="1">
      <protection locked="0" hidden="1"/>
    </xf>
    <xf numFmtId="37" fontId="40" fillId="5" borderId="56" xfId="15" applyNumberFormat="1" applyFont="1" applyFill="1" applyBorder="1" applyProtection="1">
      <protection locked="0" hidden="1"/>
    </xf>
    <xf numFmtId="37" fontId="40" fillId="5" borderId="105" xfId="0" applyNumberFormat="1" applyFont="1" applyFill="1" applyBorder="1" applyProtection="1">
      <protection locked="0" hidden="1"/>
    </xf>
    <xf numFmtId="37" fontId="40" fillId="5" borderId="51" xfId="0" applyNumberFormat="1" applyFont="1" applyFill="1" applyBorder="1" applyProtection="1">
      <protection locked="0" hidden="1"/>
    </xf>
    <xf numFmtId="37" fontId="40" fillId="5" borderId="4" xfId="0" applyNumberFormat="1" applyFont="1" applyFill="1" applyBorder="1" applyProtection="1">
      <protection locked="0" hidden="1"/>
    </xf>
    <xf numFmtId="37" fontId="40" fillId="5" borderId="80" xfId="15" applyNumberFormat="1" applyFont="1" applyFill="1" applyBorder="1" applyProtection="1">
      <protection locked="0" hidden="1"/>
    </xf>
    <xf numFmtId="37" fontId="40" fillId="5" borderId="57" xfId="15" applyNumberFormat="1" applyFont="1" applyFill="1" applyBorder="1" applyProtection="1">
      <protection locked="0" hidden="1"/>
    </xf>
    <xf numFmtId="37" fontId="40" fillId="5" borderId="70" xfId="15" applyNumberFormat="1" applyFont="1" applyFill="1" applyBorder="1" applyProtection="1">
      <protection locked="0" hidden="1"/>
    </xf>
    <xf numFmtId="171" fontId="40" fillId="5" borderId="64" xfId="15" applyNumberFormat="1" applyFont="1" applyFill="1" applyBorder="1" applyProtection="1">
      <protection locked="0" hidden="1"/>
    </xf>
    <xf numFmtId="171" fontId="40" fillId="5" borderId="51" xfId="15" applyNumberFormat="1" applyFont="1" applyFill="1" applyBorder="1" applyProtection="1">
      <protection locked="0" hidden="1"/>
    </xf>
    <xf numFmtId="171" fontId="40" fillId="5" borderId="71" xfId="15" applyNumberFormat="1" applyFont="1" applyFill="1" applyBorder="1" applyProtection="1">
      <protection locked="0" hidden="1"/>
    </xf>
    <xf numFmtId="37" fontId="40" fillId="5" borderId="67" xfId="0" applyNumberFormat="1" applyFont="1" applyFill="1" applyBorder="1" applyProtection="1">
      <protection locked="0" hidden="1"/>
    </xf>
    <xf numFmtId="37" fontId="40" fillId="5" borderId="34" xfId="0" applyNumberFormat="1" applyFont="1" applyFill="1" applyBorder="1" applyProtection="1">
      <protection locked="0" hidden="1"/>
    </xf>
    <xf numFmtId="37" fontId="40" fillId="5" borderId="7" xfId="0" applyNumberFormat="1" applyFont="1" applyFill="1" applyBorder="1" applyProtection="1">
      <protection locked="0" hidden="1"/>
    </xf>
    <xf numFmtId="37" fontId="40" fillId="5" borderId="43" xfId="0" applyNumberFormat="1" applyFont="1" applyFill="1" applyBorder="1" applyProtection="1">
      <protection locked="0" hidden="1"/>
    </xf>
    <xf numFmtId="37" fontId="40" fillId="5" borderId="30" xfId="0" applyNumberFormat="1" applyFont="1" applyFill="1" applyBorder="1" applyProtection="1">
      <protection locked="0" hidden="1"/>
    </xf>
    <xf numFmtId="37" fontId="40" fillId="5" borderId="47" xfId="15" applyNumberFormat="1" applyFont="1" applyFill="1" applyBorder="1" applyProtection="1">
      <protection locked="0" hidden="1"/>
    </xf>
    <xf numFmtId="37" fontId="40" fillId="5" borderId="52" xfId="15" applyNumberFormat="1" applyFont="1" applyFill="1" applyBorder="1" applyProtection="1">
      <protection locked="0" hidden="1"/>
    </xf>
    <xf numFmtId="3" fontId="40" fillId="5" borderId="55" xfId="99" applyNumberFormat="1" applyFont="1" applyFill="1" applyBorder="1" applyProtection="1">
      <protection locked="0" hidden="1"/>
    </xf>
    <xf numFmtId="3" fontId="40" fillId="5" borderId="65" xfId="99" applyNumberFormat="1" applyFont="1" applyFill="1" applyBorder="1" applyProtection="1">
      <protection locked="0" hidden="1"/>
    </xf>
    <xf numFmtId="3" fontId="40" fillId="5" borderId="65" xfId="0" applyNumberFormat="1" applyFont="1" applyFill="1" applyBorder="1" applyProtection="1">
      <protection locked="0" hidden="1"/>
    </xf>
    <xf numFmtId="3" fontId="40" fillId="5" borderId="64" xfId="0" applyNumberFormat="1" applyFont="1" applyFill="1" applyBorder="1" applyProtection="1">
      <protection locked="0" hidden="1"/>
    </xf>
    <xf numFmtId="3" fontId="40" fillId="5" borderId="42" xfId="0" applyNumberFormat="1" applyFont="1" applyFill="1" applyBorder="1" applyProtection="1">
      <protection locked="0" hidden="1"/>
    </xf>
    <xf numFmtId="3" fontId="40" fillId="5" borderId="57" xfId="99" applyNumberFormat="1" applyFont="1" applyFill="1" applyBorder="1" applyProtection="1">
      <protection locked="0" hidden="1"/>
    </xf>
    <xf numFmtId="3" fontId="40" fillId="5" borderId="79" xfId="99" applyNumberFormat="1" applyFont="1" applyFill="1" applyBorder="1" applyProtection="1">
      <protection locked="0" hidden="1"/>
    </xf>
    <xf numFmtId="3" fontId="40" fillId="5" borderId="70" xfId="99" applyNumberFormat="1" applyFont="1" applyFill="1" applyBorder="1" applyProtection="1">
      <protection locked="0" hidden="1"/>
    </xf>
    <xf numFmtId="3" fontId="40" fillId="5" borderId="84" xfId="99" applyNumberFormat="1" applyFont="1" applyFill="1" applyBorder="1" applyProtection="1">
      <protection locked="0" hidden="1"/>
    </xf>
    <xf numFmtId="3" fontId="40" fillId="5" borderId="103" xfId="99" applyNumberFormat="1" applyFont="1" applyFill="1" applyBorder="1" applyProtection="1">
      <protection locked="0" hidden="1"/>
    </xf>
    <xf numFmtId="3" fontId="40" fillId="5" borderId="65" xfId="99" quotePrefix="1" applyNumberFormat="1" applyFont="1" applyFill="1" applyBorder="1" applyProtection="1">
      <protection locked="0" hidden="1"/>
    </xf>
    <xf numFmtId="3" fontId="40" fillId="5" borderId="70" xfId="99" quotePrefix="1" applyNumberFormat="1" applyFont="1" applyFill="1" applyBorder="1" applyProtection="1">
      <protection locked="0" hidden="1"/>
    </xf>
    <xf numFmtId="3" fontId="40" fillId="5" borderId="57" xfId="15" quotePrefix="1" applyNumberFormat="1" applyFont="1" applyFill="1" applyBorder="1" applyProtection="1">
      <protection locked="0" hidden="1"/>
    </xf>
    <xf numFmtId="3" fontId="40" fillId="5" borderId="65" xfId="15" quotePrefix="1" applyNumberFormat="1" applyFont="1" applyFill="1" applyBorder="1" applyProtection="1">
      <protection locked="0" hidden="1"/>
    </xf>
    <xf numFmtId="3" fontId="40" fillId="5" borderId="142" xfId="99" applyNumberFormat="1" applyFont="1" applyFill="1" applyBorder="1" applyProtection="1">
      <protection locked="0" hidden="1"/>
    </xf>
    <xf numFmtId="3" fontId="40" fillId="0" borderId="29" xfId="99" applyNumberFormat="1" applyFont="1" applyBorder="1" applyProtection="1">
      <protection locked="0" hidden="1"/>
    </xf>
    <xf numFmtId="3" fontId="40" fillId="0" borderId="65" xfId="15" quotePrefix="1" applyNumberFormat="1" applyFont="1" applyBorder="1" applyProtection="1">
      <protection locked="0" hidden="1"/>
    </xf>
    <xf numFmtId="3" fontId="40" fillId="5" borderId="52" xfId="99" applyNumberFormat="1" applyFont="1" applyFill="1" applyBorder="1" applyProtection="1">
      <protection locked="0" hidden="1"/>
    </xf>
    <xf numFmtId="3" fontId="40" fillId="10" borderId="70" xfId="0" applyNumberFormat="1" applyFont="1" applyFill="1" applyBorder="1" applyProtection="1">
      <protection locked="0" hidden="1"/>
    </xf>
    <xf numFmtId="0" fontId="7" fillId="0" borderId="0" xfId="0" applyFont="1" applyAlignment="1" applyProtection="1">
      <alignment horizontal="centerContinuous" shrinkToFit="1"/>
      <protection hidden="1"/>
    </xf>
    <xf numFmtId="0" fontId="13" fillId="3" borderId="22" xfId="0" applyFont="1" applyFill="1" applyBorder="1" applyAlignment="1" applyProtection="1">
      <alignment horizontal="centerContinuous" shrinkToFit="1"/>
      <protection hidden="1"/>
    </xf>
    <xf numFmtId="0" fontId="35" fillId="3" borderId="0" xfId="0" applyFont="1" applyFill="1" applyAlignment="1" applyProtection="1">
      <alignment horizontal="centerContinuous" shrinkToFit="1"/>
      <protection hidden="1"/>
    </xf>
    <xf numFmtId="37" fontId="35" fillId="3" borderId="143" xfId="15" applyNumberFormat="1" applyFont="1" applyFill="1" applyBorder="1" applyAlignment="1" applyProtection="1">
      <alignment horizontal="center" shrinkToFit="1"/>
      <protection hidden="1"/>
    </xf>
    <xf numFmtId="9" fontId="13" fillId="3" borderId="144" xfId="104" applyFont="1" applyFill="1" applyBorder="1" applyAlignment="1" applyProtection="1">
      <alignment shrinkToFit="1"/>
      <protection hidden="1"/>
    </xf>
    <xf numFmtId="166" fontId="7" fillId="10" borderId="8" xfId="15" applyNumberFormat="1" applyFont="1" applyFill="1" applyBorder="1" applyAlignment="1" applyProtection="1">
      <alignment shrinkToFit="1"/>
      <protection hidden="1"/>
    </xf>
    <xf numFmtId="166" fontId="7" fillId="10" borderId="0" xfId="15" applyNumberFormat="1" applyFont="1" applyFill="1" applyAlignment="1" applyProtection="1">
      <alignment shrinkToFit="1"/>
      <protection hidden="1"/>
    </xf>
    <xf numFmtId="166" fontId="13" fillId="10" borderId="0" xfId="15" applyNumberFormat="1" applyFont="1" applyFill="1" applyAlignment="1" applyProtection="1">
      <alignment shrinkToFit="1"/>
      <protection hidden="1"/>
    </xf>
    <xf numFmtId="37" fontId="13" fillId="3" borderId="70" xfId="15" applyNumberFormat="1" applyFont="1" applyFill="1" applyBorder="1" applyAlignment="1" applyProtection="1">
      <alignment horizontal="center" shrinkToFit="1"/>
      <protection hidden="1"/>
    </xf>
    <xf numFmtId="9" fontId="13" fillId="3" borderId="145" xfId="104" applyFont="1" applyFill="1" applyBorder="1" applyAlignment="1" applyProtection="1">
      <alignment shrinkToFit="1"/>
      <protection hidden="1"/>
    </xf>
    <xf numFmtId="9" fontId="13" fillId="3" borderId="146" xfId="104" applyFont="1" applyFill="1" applyBorder="1" applyAlignment="1" applyProtection="1">
      <alignment shrinkToFit="1"/>
      <protection hidden="1"/>
    </xf>
    <xf numFmtId="9" fontId="13" fillId="3" borderId="147" xfId="104" applyFont="1" applyFill="1" applyBorder="1" applyAlignment="1" applyProtection="1">
      <alignment shrinkToFit="1"/>
      <protection hidden="1"/>
    </xf>
    <xf numFmtId="9" fontId="13" fillId="3" borderId="148" xfId="104" applyFont="1" applyFill="1" applyBorder="1" applyAlignment="1" applyProtection="1">
      <alignment shrinkToFit="1"/>
      <protection hidden="1"/>
    </xf>
    <xf numFmtId="9" fontId="13" fillId="0" borderId="149" xfId="104" applyFont="1" applyBorder="1" applyAlignment="1" applyProtection="1">
      <alignment shrinkToFit="1"/>
      <protection hidden="1"/>
    </xf>
    <xf numFmtId="166" fontId="16" fillId="10" borderId="37" xfId="15" applyNumberFormat="1" applyFont="1" applyFill="1" applyBorder="1" applyAlignment="1" applyProtection="1">
      <alignment shrinkToFit="1"/>
      <protection hidden="1"/>
    </xf>
    <xf numFmtId="166" fontId="16" fillId="10" borderId="23" xfId="15" applyNumberFormat="1" applyFont="1" applyFill="1" applyBorder="1" applyAlignment="1" applyProtection="1">
      <alignment shrinkToFit="1"/>
      <protection hidden="1"/>
    </xf>
    <xf numFmtId="166" fontId="16" fillId="10" borderId="29" xfId="15" applyNumberFormat="1" applyFont="1" applyFill="1" applyBorder="1" applyAlignment="1" applyProtection="1">
      <alignment shrinkToFit="1"/>
      <protection hidden="1"/>
    </xf>
    <xf numFmtId="9" fontId="13" fillId="3" borderId="150" xfId="104" applyFont="1" applyFill="1" applyBorder="1" applyAlignment="1" applyProtection="1">
      <alignment shrinkToFit="1"/>
      <protection hidden="1"/>
    </xf>
    <xf numFmtId="9" fontId="13" fillId="3" borderId="149" xfId="104" applyFont="1" applyFill="1" applyBorder="1" applyAlignment="1" applyProtection="1">
      <alignment shrinkToFit="1"/>
      <protection hidden="1"/>
    </xf>
    <xf numFmtId="9" fontId="13" fillId="0" borderId="151" xfId="104" applyFont="1" applyBorder="1" applyAlignment="1" applyProtection="1">
      <alignment shrinkToFit="1"/>
      <protection hidden="1"/>
    </xf>
    <xf numFmtId="9" fontId="13" fillId="0" borderId="148" xfId="104" applyFont="1" applyBorder="1" applyAlignment="1" applyProtection="1">
      <alignment shrinkToFit="1"/>
      <protection hidden="1"/>
    </xf>
    <xf numFmtId="166" fontId="13" fillId="3" borderId="27" xfId="15" applyNumberFormat="1" applyFont="1" applyFill="1" applyBorder="1" applyAlignment="1" applyProtection="1">
      <alignment horizontal="centerContinuous" shrinkToFit="1"/>
      <protection hidden="1"/>
    </xf>
    <xf numFmtId="4" fontId="40" fillId="3" borderId="71" xfId="15" applyNumberFormat="1" applyFont="1" applyFill="1" applyBorder="1" applyAlignment="1">
      <alignment shrinkToFit="1"/>
    </xf>
    <xf numFmtId="4" fontId="40" fillId="3" borderId="64" xfId="15" applyNumberFormat="1" applyFont="1" applyFill="1" applyBorder="1" applyAlignment="1">
      <alignment shrinkToFit="1"/>
    </xf>
    <xf numFmtId="4" fontId="40" fillId="3" borderId="69" xfId="15" applyNumberFormat="1" applyFont="1" applyFill="1" applyBorder="1" applyAlignment="1">
      <alignment shrinkToFit="1"/>
    </xf>
    <xf numFmtId="166" fontId="19" fillId="10" borderId="9" xfId="15" applyNumberFormat="1" applyFont="1" applyFill="1" applyBorder="1" applyAlignment="1" applyProtection="1">
      <alignment shrinkToFit="1"/>
      <protection hidden="1"/>
    </xf>
    <xf numFmtId="0" fontId="57" fillId="0" borderId="0" xfId="0" applyFont="1" applyAlignment="1" applyProtection="1">
      <alignment shrinkToFit="1"/>
      <protection hidden="1"/>
    </xf>
    <xf numFmtId="166" fontId="6" fillId="0" borderId="0" xfId="0" applyNumberFormat="1" applyFont="1" applyAlignment="1" applyProtection="1">
      <alignment shrinkToFit="1"/>
      <protection hidden="1"/>
    </xf>
    <xf numFmtId="0" fontId="6" fillId="0" borderId="0" xfId="0" applyFont="1" applyAlignment="1" applyProtection="1">
      <alignment horizontal="right" shrinkToFit="1"/>
      <protection hidden="1"/>
    </xf>
    <xf numFmtId="37" fontId="57" fillId="0" borderId="0" xfId="0" applyNumberFormat="1" applyFont="1" applyAlignment="1" applyProtection="1">
      <alignment shrinkToFit="1"/>
      <protection hidden="1"/>
    </xf>
    <xf numFmtId="37" fontId="6" fillId="0" borderId="0" xfId="0" applyNumberFormat="1" applyFont="1" applyAlignment="1" applyProtection="1">
      <alignment shrinkToFit="1"/>
      <protection hidden="1"/>
    </xf>
    <xf numFmtId="0" fontId="5" fillId="0" borderId="0" xfId="0" applyFont="1" applyAlignment="1" applyProtection="1">
      <alignment horizontal="right" shrinkToFit="1"/>
      <protection hidden="1"/>
    </xf>
    <xf numFmtId="37" fontId="53" fillId="0" borderId="0" xfId="0" applyNumberFormat="1" applyFont="1" applyAlignment="1" applyProtection="1">
      <alignment shrinkToFit="1"/>
      <protection hidden="1"/>
    </xf>
    <xf numFmtId="0" fontId="57" fillId="0" borderId="0" xfId="0" applyFont="1" applyAlignment="1">
      <alignment shrinkToFit="1"/>
    </xf>
    <xf numFmtId="0" fontId="35" fillId="5" borderId="26" xfId="0" applyFont="1" applyFill="1" applyBorder="1" applyAlignment="1" applyProtection="1">
      <alignment horizontal="centerContinuous" shrinkToFit="1"/>
      <protection hidden="1"/>
    </xf>
    <xf numFmtId="37" fontId="35" fillId="5" borderId="143" xfId="15" applyNumberFormat="1" applyFont="1" applyFill="1" applyBorder="1" applyAlignment="1" applyProtection="1">
      <alignment horizontal="center" shrinkToFit="1"/>
      <protection hidden="1"/>
    </xf>
    <xf numFmtId="9" fontId="13" fillId="5" borderId="144" xfId="104" applyFont="1" applyFill="1" applyBorder="1" applyAlignment="1" applyProtection="1">
      <alignment shrinkToFit="1"/>
      <protection hidden="1"/>
    </xf>
    <xf numFmtId="37" fontId="13" fillId="5" borderId="70" xfId="15" applyNumberFormat="1" applyFont="1" applyFill="1" applyBorder="1" applyAlignment="1" applyProtection="1">
      <alignment horizontal="center" shrinkToFit="1"/>
      <protection hidden="1"/>
    </xf>
    <xf numFmtId="9" fontId="13" fillId="5" borderId="145" xfId="104" applyFont="1" applyFill="1" applyBorder="1" applyAlignment="1" applyProtection="1">
      <alignment shrinkToFit="1"/>
      <protection hidden="1"/>
    </xf>
    <xf numFmtId="9" fontId="13" fillId="5" borderId="146" xfId="104" applyFont="1" applyFill="1" applyBorder="1" applyAlignment="1" applyProtection="1">
      <alignment shrinkToFit="1"/>
      <protection hidden="1"/>
    </xf>
    <xf numFmtId="9" fontId="13" fillId="5" borderId="147" xfId="104" applyFont="1" applyFill="1" applyBorder="1" applyAlignment="1" applyProtection="1">
      <alignment shrinkToFit="1"/>
      <protection hidden="1"/>
    </xf>
    <xf numFmtId="9" fontId="13" fillId="5" borderId="148" xfId="104" applyFont="1" applyFill="1" applyBorder="1" applyAlignment="1" applyProtection="1">
      <alignment shrinkToFit="1"/>
      <protection hidden="1"/>
    </xf>
    <xf numFmtId="9" fontId="13" fillId="5" borderId="150" xfId="104" applyFont="1" applyFill="1" applyBorder="1" applyAlignment="1" applyProtection="1">
      <alignment shrinkToFit="1"/>
      <protection hidden="1"/>
    </xf>
    <xf numFmtId="9" fontId="13" fillId="5" borderId="149" xfId="104" applyFont="1" applyFill="1" applyBorder="1" applyAlignment="1" applyProtection="1">
      <alignment shrinkToFit="1"/>
      <protection hidden="1"/>
    </xf>
    <xf numFmtId="166" fontId="13" fillId="3" borderId="11" xfId="15" applyNumberFormat="1" applyFont="1" applyFill="1" applyBorder="1" applyAlignment="1" applyProtection="1">
      <alignment horizontal="centerContinuous" shrinkToFit="1"/>
      <protection hidden="1"/>
    </xf>
    <xf numFmtId="4" fontId="40" fillId="3" borderId="34" xfId="15" applyNumberFormat="1" applyFont="1" applyFill="1" applyBorder="1" applyAlignment="1">
      <alignment shrinkToFit="1"/>
    </xf>
    <xf numFmtId="4" fontId="40" fillId="3" borderId="16" xfId="15" applyNumberFormat="1" applyFont="1" applyFill="1" applyBorder="1" applyAlignment="1">
      <alignment shrinkToFit="1"/>
    </xf>
    <xf numFmtId="4" fontId="40" fillId="3" borderId="26" xfId="15" applyNumberFormat="1" applyFont="1" applyFill="1" applyBorder="1" applyAlignment="1">
      <alignment shrinkToFit="1"/>
    </xf>
    <xf numFmtId="166" fontId="19" fillId="10" borderId="1" xfId="15" applyNumberFormat="1" applyFont="1" applyFill="1" applyBorder="1" applyAlignment="1" applyProtection="1">
      <alignment shrinkToFit="1"/>
      <protection hidden="1"/>
    </xf>
    <xf numFmtId="9" fontId="13" fillId="5" borderId="152" xfId="104" applyFont="1" applyFill="1" applyBorder="1" applyAlignment="1" applyProtection="1">
      <alignment shrinkToFit="1"/>
      <protection hidden="1"/>
    </xf>
    <xf numFmtId="9" fontId="13" fillId="5" borderId="153" xfId="104" applyFont="1" applyFill="1" applyBorder="1" applyAlignment="1" applyProtection="1">
      <alignment shrinkToFit="1"/>
      <protection hidden="1"/>
    </xf>
    <xf numFmtId="9" fontId="13" fillId="5" borderId="154" xfId="104" applyFont="1" applyFill="1" applyBorder="1" applyAlignment="1" applyProtection="1">
      <alignment shrinkToFit="1"/>
      <protection hidden="1"/>
    </xf>
    <xf numFmtId="9" fontId="13" fillId="5" borderId="155" xfId="104" applyFont="1" applyFill="1" applyBorder="1" applyAlignment="1" applyProtection="1">
      <alignment shrinkToFit="1"/>
      <protection hidden="1"/>
    </xf>
    <xf numFmtId="9" fontId="13" fillId="5" borderId="156" xfId="104" applyFont="1" applyFill="1" applyBorder="1" applyAlignment="1" applyProtection="1">
      <alignment shrinkToFit="1"/>
      <protection hidden="1"/>
    </xf>
    <xf numFmtId="9" fontId="13" fillId="0" borderId="157" xfId="104" applyFont="1" applyBorder="1" applyAlignment="1" applyProtection="1">
      <alignment shrinkToFit="1"/>
      <protection hidden="1"/>
    </xf>
    <xf numFmtId="9" fontId="13" fillId="5" borderId="158" xfId="104" applyFont="1" applyFill="1" applyBorder="1" applyAlignment="1" applyProtection="1">
      <alignment shrinkToFit="1"/>
      <protection hidden="1"/>
    </xf>
    <xf numFmtId="9" fontId="13" fillId="5" borderId="157" xfId="104" applyFont="1" applyFill="1" applyBorder="1" applyAlignment="1" applyProtection="1">
      <alignment shrinkToFit="1"/>
      <protection hidden="1"/>
    </xf>
    <xf numFmtId="9" fontId="13" fillId="0" borderId="152" xfId="104" applyFont="1" applyBorder="1" applyAlignment="1" applyProtection="1">
      <alignment shrinkToFit="1"/>
      <protection hidden="1"/>
    </xf>
    <xf numFmtId="9" fontId="13" fillId="0" borderId="156" xfId="104" applyFont="1" applyBorder="1" applyAlignment="1" applyProtection="1">
      <alignment shrinkToFit="1"/>
      <protection hidden="1"/>
    </xf>
    <xf numFmtId="166" fontId="19" fillId="0" borderId="34" xfId="15" applyNumberFormat="1" applyFont="1" applyBorder="1" applyAlignment="1" applyProtection="1">
      <alignment shrinkToFit="1"/>
      <protection hidden="1"/>
    </xf>
    <xf numFmtId="166" fontId="19" fillId="0" borderId="16" xfId="15" applyNumberFormat="1" applyFont="1" applyBorder="1" applyAlignment="1" applyProtection="1">
      <alignment shrinkToFit="1"/>
      <protection hidden="1"/>
    </xf>
    <xf numFmtId="166" fontId="19" fillId="0" borderId="30" xfId="15" applyNumberFormat="1" applyFont="1" applyBorder="1" applyAlignment="1" applyProtection="1">
      <alignment shrinkToFit="1"/>
      <protection hidden="1"/>
    </xf>
    <xf numFmtId="166" fontId="19" fillId="0" borderId="4" xfId="15" applyNumberFormat="1" applyFont="1" applyBorder="1" applyAlignment="1" applyProtection="1">
      <alignment shrinkToFit="1"/>
      <protection hidden="1"/>
    </xf>
    <xf numFmtId="166" fontId="19" fillId="3" borderId="34" xfId="15" applyNumberFormat="1" applyFont="1" applyFill="1" applyBorder="1" applyAlignment="1" applyProtection="1">
      <alignment shrinkToFit="1"/>
      <protection hidden="1"/>
    </xf>
    <xf numFmtId="166" fontId="19" fillId="3" borderId="16" xfId="15" applyNumberFormat="1" applyFont="1" applyFill="1" applyBorder="1" applyAlignment="1" applyProtection="1">
      <alignment shrinkToFit="1"/>
      <protection hidden="1"/>
    </xf>
    <xf numFmtId="166" fontId="19" fillId="3" borderId="30" xfId="15" applyNumberFormat="1" applyFont="1" applyFill="1" applyBorder="1" applyAlignment="1" applyProtection="1">
      <alignment shrinkToFit="1"/>
      <protection hidden="1"/>
    </xf>
    <xf numFmtId="166" fontId="19" fillId="3" borderId="4" xfId="15" applyNumberFormat="1" applyFont="1" applyFill="1" applyBorder="1" applyAlignment="1" applyProtection="1">
      <alignment shrinkToFit="1"/>
      <protection hidden="1"/>
    </xf>
    <xf numFmtId="4" fontId="40" fillId="3" borderId="71" xfId="15" applyNumberFormat="1" applyFont="1" applyFill="1" applyBorder="1" applyAlignment="1" applyProtection="1">
      <alignment shrinkToFit="1"/>
      <protection hidden="1"/>
    </xf>
    <xf numFmtId="4" fontId="40" fillId="3" borderId="64" xfId="15" applyNumberFormat="1" applyFont="1" applyFill="1" applyBorder="1" applyAlignment="1" applyProtection="1">
      <alignment shrinkToFit="1"/>
      <protection hidden="1"/>
    </xf>
    <xf numFmtId="0" fontId="7" fillId="10" borderId="115" xfId="0" applyFont="1" applyFill="1" applyBorder="1" applyAlignment="1" applyProtection="1">
      <alignment shrinkToFit="1"/>
      <protection hidden="1"/>
    </xf>
    <xf numFmtId="0" fontId="7" fillId="10" borderId="51" xfId="0" applyFont="1" applyFill="1" applyBorder="1" applyAlignment="1" applyProtection="1">
      <alignment shrinkToFit="1"/>
      <protection hidden="1"/>
    </xf>
    <xf numFmtId="4" fontId="40" fillId="0" borderId="22" xfId="15" applyNumberFormat="1" applyFont="1" applyBorder="1" applyAlignment="1" applyProtection="1">
      <alignment shrinkToFit="1"/>
      <protection hidden="1"/>
    </xf>
    <xf numFmtId="4" fontId="40" fillId="0" borderId="23" xfId="15" applyNumberFormat="1" applyFont="1" applyBorder="1" applyAlignment="1" applyProtection="1">
      <alignment shrinkToFit="1"/>
      <protection hidden="1"/>
    </xf>
    <xf numFmtId="4" fontId="40" fillId="0" borderId="67" xfId="15" applyNumberFormat="1" applyFont="1" applyBorder="1" applyAlignment="1" applyProtection="1">
      <alignment shrinkToFit="1"/>
      <protection hidden="1"/>
    </xf>
    <xf numFmtId="166" fontId="19" fillId="0" borderId="1" xfId="15" applyNumberFormat="1" applyFont="1" applyBorder="1" applyAlignment="1" applyProtection="1">
      <alignment shrinkToFit="1"/>
      <protection hidden="1"/>
    </xf>
    <xf numFmtId="37" fontId="40" fillId="10" borderId="28" xfId="0" applyNumberFormat="1" applyFont="1" applyFill="1" applyBorder="1" applyProtection="1">
      <protection hidden="1"/>
    </xf>
    <xf numFmtId="0" fontId="55" fillId="0" borderId="0" xfId="0" applyFont="1" applyAlignment="1" applyProtection="1">
      <alignment horizontal="centerContinuous" shrinkToFit="1"/>
      <protection hidden="1"/>
    </xf>
    <xf numFmtId="0" fontId="13" fillId="3" borderId="82" xfId="0" applyFont="1" applyFill="1" applyBorder="1" applyAlignment="1" applyProtection="1">
      <alignment horizontal="centerContinuous" shrinkToFit="1"/>
      <protection hidden="1"/>
    </xf>
    <xf numFmtId="0" fontId="14" fillId="3" borderId="51" xfId="0" applyFont="1" applyFill="1" applyBorder="1" applyAlignment="1" applyProtection="1">
      <alignment horizontal="center" shrinkToFit="1"/>
      <protection hidden="1"/>
    </xf>
    <xf numFmtId="37" fontId="38" fillId="3" borderId="102" xfId="15" applyNumberFormat="1" applyFont="1" applyFill="1" applyBorder="1" applyAlignment="1" applyProtection="1">
      <alignment shrinkToFit="1"/>
      <protection hidden="1"/>
    </xf>
    <xf numFmtId="0" fontId="35" fillId="3" borderId="102" xfId="0" applyFont="1" applyFill="1" applyBorder="1" applyAlignment="1" applyProtection="1">
      <alignment horizontal="center" shrinkToFit="1"/>
      <protection hidden="1"/>
    </xf>
    <xf numFmtId="169" fontId="38" fillId="3" borderId="102" xfId="104" applyNumberFormat="1" applyFont="1" applyFill="1" applyBorder="1" applyAlignment="1" applyProtection="1">
      <alignment shrinkToFit="1"/>
      <protection hidden="1"/>
    </xf>
    <xf numFmtId="169" fontId="38" fillId="3" borderId="67" xfId="104" applyNumberFormat="1" applyFont="1" applyFill="1" applyBorder="1" applyAlignment="1" applyProtection="1">
      <alignment shrinkToFit="1"/>
      <protection hidden="1"/>
    </xf>
    <xf numFmtId="169" fontId="38" fillId="3" borderId="64" xfId="104" applyNumberFormat="1" applyFont="1" applyFill="1" applyBorder="1" applyAlignment="1" applyProtection="1">
      <alignment shrinkToFit="1"/>
      <protection hidden="1"/>
    </xf>
    <xf numFmtId="169" fontId="38" fillId="0" borderId="27" xfId="104" applyNumberFormat="1" applyFont="1" applyBorder="1" applyAlignment="1" applyProtection="1">
      <alignment shrinkToFit="1"/>
      <protection hidden="1"/>
    </xf>
    <xf numFmtId="169" fontId="38" fillId="3" borderId="71" xfId="0" applyNumberFormat="1" applyFont="1" applyFill="1" applyBorder="1" applyAlignment="1" applyProtection="1">
      <alignment shrinkToFit="1"/>
      <protection hidden="1"/>
    </xf>
    <xf numFmtId="169" fontId="38" fillId="3" borderId="64" xfId="0" applyNumberFormat="1" applyFont="1" applyFill="1" applyBorder="1" applyAlignment="1" applyProtection="1">
      <alignment shrinkToFit="1"/>
      <protection hidden="1"/>
    </xf>
    <xf numFmtId="169" fontId="38" fillId="0" borderId="27" xfId="0" applyNumberFormat="1" applyFont="1" applyBorder="1" applyAlignment="1" applyProtection="1">
      <alignment shrinkToFit="1"/>
      <protection hidden="1"/>
    </xf>
    <xf numFmtId="169" fontId="38" fillId="3" borderId="49" xfId="0" applyNumberFormat="1" applyFont="1" applyFill="1" applyBorder="1" applyAlignment="1" applyProtection="1">
      <alignment shrinkToFit="1"/>
      <protection hidden="1"/>
    </xf>
    <xf numFmtId="169" fontId="38" fillId="3" borderId="67" xfId="0" applyNumberFormat="1" applyFont="1" applyFill="1" applyBorder="1" applyAlignment="1" applyProtection="1">
      <alignment shrinkToFit="1"/>
      <protection hidden="1"/>
    </xf>
    <xf numFmtId="169" fontId="38" fillId="3" borderId="49" xfId="6" applyNumberFormat="1" applyFont="1" applyFill="1" applyBorder="1" applyAlignment="1" applyProtection="1">
      <alignment shrinkToFit="1"/>
      <protection hidden="1"/>
    </xf>
    <xf numFmtId="169" fontId="38" fillId="0" borderId="51" xfId="0" applyNumberFormat="1" applyFont="1" applyBorder="1" applyAlignment="1" applyProtection="1">
      <alignment shrinkToFit="1"/>
      <protection hidden="1"/>
    </xf>
    <xf numFmtId="0" fontId="0" fillId="0" borderId="0" xfId="0" applyAlignment="1">
      <alignment shrinkToFit="1"/>
    </xf>
    <xf numFmtId="37" fontId="0" fillId="0" borderId="0" xfId="0" applyNumberFormat="1" applyAlignment="1">
      <alignment shrinkToFit="1"/>
    </xf>
    <xf numFmtId="0" fontId="13" fillId="3" borderId="33" xfId="0" applyFont="1" applyFill="1" applyBorder="1" applyAlignment="1" applyProtection="1">
      <alignment horizontal="centerContinuous" shrinkToFit="1"/>
      <protection hidden="1"/>
    </xf>
    <xf numFmtId="0" fontId="14" fillId="3" borderId="1" xfId="0" applyFont="1" applyFill="1" applyBorder="1" applyAlignment="1" applyProtection="1">
      <alignment horizontal="center" shrinkToFit="1"/>
      <protection hidden="1"/>
    </xf>
    <xf numFmtId="0" fontId="7" fillId="10" borderId="8" xfId="0" applyFont="1" applyFill="1" applyBorder="1" applyAlignment="1" applyProtection="1">
      <alignment shrinkToFit="1"/>
      <protection hidden="1"/>
    </xf>
    <xf numFmtId="10" fontId="38" fillId="3" borderId="9" xfId="0" applyNumberFormat="1" applyFont="1" applyFill="1" applyBorder="1" applyAlignment="1" applyProtection="1">
      <alignment shrinkToFit="1"/>
      <protection hidden="1"/>
    </xf>
    <xf numFmtId="0" fontId="12" fillId="0" borderId="45" xfId="0" applyFont="1" applyBorder="1" applyAlignment="1" applyProtection="1">
      <alignment horizontal="center" shrinkToFit="1"/>
      <protection hidden="1"/>
    </xf>
    <xf numFmtId="37" fontId="38" fillId="3" borderId="22" xfId="0" applyNumberFormat="1" applyFont="1" applyFill="1" applyBorder="1" applyAlignment="1" applyProtection="1">
      <alignment shrinkToFit="1"/>
      <protection hidden="1"/>
    </xf>
    <xf numFmtId="37" fontId="38" fillId="3" borderId="29" xfId="0" applyNumberFormat="1" applyFont="1" applyFill="1" applyBorder="1" applyAlignment="1" applyProtection="1">
      <alignment shrinkToFit="1"/>
      <protection hidden="1"/>
    </xf>
    <xf numFmtId="37" fontId="38" fillId="3" borderId="1" xfId="0" applyNumberFormat="1" applyFont="1" applyFill="1" applyBorder="1" applyAlignment="1" applyProtection="1">
      <alignment shrinkToFit="1"/>
      <protection hidden="1"/>
    </xf>
    <xf numFmtId="37" fontId="38" fillId="0" borderId="0" xfId="0" applyNumberFormat="1" applyFont="1" applyAlignment="1" applyProtection="1">
      <alignment shrinkToFit="1"/>
      <protection hidden="1"/>
    </xf>
    <xf numFmtId="10" fontId="38" fillId="3" borderId="22" xfId="0" applyNumberFormat="1" applyFont="1" applyFill="1" applyBorder="1" applyAlignment="1" applyProtection="1">
      <alignment shrinkToFit="1"/>
      <protection hidden="1"/>
    </xf>
    <xf numFmtId="10" fontId="38" fillId="3" borderId="23" xfId="0" applyNumberFormat="1" applyFont="1" applyFill="1" applyBorder="1" applyAlignment="1" applyProtection="1">
      <alignment shrinkToFit="1"/>
      <protection hidden="1"/>
    </xf>
    <xf numFmtId="10" fontId="38" fillId="0" borderId="9" xfId="0" applyNumberFormat="1" applyFont="1" applyBorder="1" applyAlignment="1" applyProtection="1">
      <alignment shrinkToFit="1"/>
      <protection hidden="1"/>
    </xf>
    <xf numFmtId="10" fontId="38" fillId="3" borderId="23" xfId="104" applyNumberFormat="1" applyFont="1" applyFill="1" applyBorder="1" applyAlignment="1" applyProtection="1">
      <alignment shrinkToFit="1"/>
      <protection hidden="1"/>
    </xf>
    <xf numFmtId="10" fontId="38" fillId="3" borderId="0" xfId="0" applyNumberFormat="1" applyFont="1" applyFill="1" applyAlignment="1" applyProtection="1">
      <alignment shrinkToFit="1"/>
      <protection hidden="1"/>
    </xf>
    <xf numFmtId="10" fontId="38" fillId="3" borderId="29" xfId="0" applyNumberFormat="1" applyFont="1" applyFill="1" applyBorder="1" applyAlignment="1" applyProtection="1">
      <alignment shrinkToFit="1"/>
      <protection hidden="1"/>
    </xf>
    <xf numFmtId="10" fontId="38" fillId="3" borderId="0" xfId="6" applyNumberFormat="1" applyFont="1" applyFill="1" applyBorder="1" applyAlignment="1" applyProtection="1">
      <alignment shrinkToFit="1"/>
      <protection hidden="1"/>
    </xf>
    <xf numFmtId="10" fontId="38" fillId="0" borderId="1" xfId="0" applyNumberFormat="1" applyFont="1" applyBorder="1" applyAlignment="1" applyProtection="1">
      <alignment shrinkToFit="1"/>
      <protection hidden="1"/>
    </xf>
    <xf numFmtId="0" fontId="14" fillId="5" borderId="49" xfId="0" applyFont="1" applyFill="1" applyBorder="1" applyAlignment="1" applyProtection="1">
      <alignment horizontal="center" shrinkToFit="1"/>
      <protection hidden="1"/>
    </xf>
    <xf numFmtId="37" fontId="38" fillId="5" borderId="11" xfId="15" applyNumberFormat="1" applyFont="1" applyFill="1" applyBorder="1" applyAlignment="1" applyProtection="1">
      <alignment shrinkToFit="1"/>
      <protection hidden="1"/>
    </xf>
    <xf numFmtId="37" fontId="38" fillId="5" borderId="1" xfId="15" applyNumberFormat="1" applyFont="1" applyFill="1" applyBorder="1" applyAlignment="1" applyProtection="1">
      <alignment shrinkToFit="1"/>
      <protection hidden="1"/>
    </xf>
    <xf numFmtId="0" fontId="35" fillId="5" borderId="4" xfId="0" applyFont="1" applyFill="1" applyBorder="1" applyAlignment="1" applyProtection="1">
      <alignment horizontal="center" shrinkToFit="1"/>
      <protection hidden="1"/>
    </xf>
    <xf numFmtId="169" fontId="38" fillId="5" borderId="102" xfId="104" applyNumberFormat="1" applyFont="1" applyFill="1" applyBorder="1" applyAlignment="1" applyProtection="1">
      <alignment shrinkToFit="1"/>
      <protection hidden="1"/>
    </xf>
    <xf numFmtId="169" fontId="38" fillId="5" borderId="67" xfId="104" applyNumberFormat="1" applyFont="1" applyFill="1" applyBorder="1" applyAlignment="1" applyProtection="1">
      <alignment shrinkToFit="1"/>
      <protection hidden="1"/>
    </xf>
    <xf numFmtId="169" fontId="38" fillId="5" borderId="64" xfId="104" applyNumberFormat="1" applyFont="1" applyFill="1" applyBorder="1" applyAlignment="1" applyProtection="1">
      <alignment shrinkToFit="1"/>
      <protection hidden="1"/>
    </xf>
    <xf numFmtId="169" fontId="38" fillId="5" borderId="71" xfId="0" applyNumberFormat="1" applyFont="1" applyFill="1" applyBorder="1" applyAlignment="1" applyProtection="1">
      <alignment shrinkToFit="1"/>
      <protection hidden="1"/>
    </xf>
    <xf numFmtId="169" fontId="38" fillId="5" borderId="64" xfId="0" applyNumberFormat="1" applyFont="1" applyFill="1" applyBorder="1" applyAlignment="1" applyProtection="1">
      <alignment shrinkToFit="1"/>
      <protection hidden="1"/>
    </xf>
    <xf numFmtId="169" fontId="38" fillId="5" borderId="49" xfId="0" applyNumberFormat="1" applyFont="1" applyFill="1" applyBorder="1" applyAlignment="1" applyProtection="1">
      <alignment shrinkToFit="1"/>
      <protection hidden="1"/>
    </xf>
    <xf numFmtId="169" fontId="38" fillId="5" borderId="67" xfId="0" applyNumberFormat="1" applyFont="1" applyFill="1" applyBorder="1" applyAlignment="1" applyProtection="1">
      <alignment shrinkToFit="1"/>
      <protection hidden="1"/>
    </xf>
    <xf numFmtId="169" fontId="38" fillId="5" borderId="49" xfId="6" applyNumberFormat="1" applyFont="1" applyFill="1" applyBorder="1" applyAlignment="1" applyProtection="1">
      <alignment shrinkToFit="1"/>
      <protection hidden="1"/>
    </xf>
    <xf numFmtId="0" fontId="14" fillId="5" borderId="4" xfId="0" applyFont="1" applyFill="1" applyBorder="1" applyAlignment="1" applyProtection="1">
      <alignment horizontal="center" shrinkToFit="1"/>
      <protection hidden="1"/>
    </xf>
    <xf numFmtId="0" fontId="7" fillId="10" borderId="14" xfId="0" applyFont="1" applyFill="1" applyBorder="1" applyAlignment="1" applyProtection="1">
      <alignment shrinkToFit="1"/>
      <protection hidden="1"/>
    </xf>
    <xf numFmtId="10" fontId="38" fillId="5" borderId="47" xfId="0" applyNumberFormat="1" applyFont="1" applyFill="1" applyBorder="1" applyAlignment="1" applyProtection="1">
      <alignment shrinkToFit="1"/>
      <protection hidden="1"/>
    </xf>
    <xf numFmtId="37" fontId="38" fillId="5" borderId="71" xfId="0" applyNumberFormat="1" applyFont="1" applyFill="1" applyBorder="1" applyAlignment="1" applyProtection="1">
      <alignment shrinkToFit="1"/>
      <protection hidden="1"/>
    </xf>
    <xf numFmtId="37" fontId="38" fillId="5" borderId="67" xfId="0" applyNumberFormat="1" applyFont="1" applyFill="1" applyBorder="1" applyAlignment="1" applyProtection="1">
      <alignment shrinkToFit="1"/>
      <protection hidden="1"/>
    </xf>
    <xf numFmtId="37" fontId="38" fillId="5" borderId="51" xfId="0" applyNumberFormat="1" applyFont="1" applyFill="1" applyBorder="1" applyAlignment="1" applyProtection="1">
      <alignment shrinkToFit="1"/>
      <protection hidden="1"/>
    </xf>
    <xf numFmtId="37" fontId="38" fillId="0" borderId="47" xfId="0" applyNumberFormat="1" applyFont="1" applyBorder="1" applyAlignment="1" applyProtection="1">
      <alignment shrinkToFit="1"/>
      <protection hidden="1"/>
    </xf>
    <xf numFmtId="10" fontId="38" fillId="5" borderId="16" xfId="0" applyNumberFormat="1" applyFont="1" applyFill="1" applyBorder="1" applyAlignment="1" applyProtection="1">
      <alignment shrinkToFit="1"/>
      <protection hidden="1"/>
    </xf>
    <xf numFmtId="10" fontId="38" fillId="5" borderId="7" xfId="0" applyNumberFormat="1" applyFont="1" applyFill="1" applyBorder="1" applyAlignment="1" applyProtection="1">
      <alignment shrinkToFit="1"/>
      <protection hidden="1"/>
    </xf>
    <xf numFmtId="10" fontId="38" fillId="0" borderId="47" xfId="0" applyNumberFormat="1" applyFont="1" applyBorder="1" applyAlignment="1" applyProtection="1">
      <alignment shrinkToFit="1"/>
      <protection hidden="1"/>
    </xf>
    <xf numFmtId="10" fontId="38" fillId="5" borderId="7" xfId="104" applyNumberFormat="1" applyFont="1" applyFill="1" applyBorder="1" applyAlignment="1" applyProtection="1">
      <alignment shrinkToFit="1"/>
      <protection hidden="1"/>
    </xf>
    <xf numFmtId="10" fontId="38" fillId="5" borderId="30" xfId="0" applyNumberFormat="1" applyFont="1" applyFill="1" applyBorder="1" applyAlignment="1" applyProtection="1">
      <alignment shrinkToFit="1"/>
      <protection hidden="1"/>
    </xf>
    <xf numFmtId="10" fontId="38" fillId="5" borderId="7" xfId="6" applyNumberFormat="1" applyFont="1" applyFill="1" applyBorder="1" applyAlignment="1" applyProtection="1">
      <alignment shrinkToFit="1"/>
      <protection hidden="1"/>
    </xf>
    <xf numFmtId="10" fontId="38" fillId="0" borderId="105" xfId="0" applyNumberFormat="1" applyFont="1" applyBorder="1" applyAlignment="1" applyProtection="1">
      <alignment shrinkToFit="1"/>
      <protection hidden="1"/>
    </xf>
    <xf numFmtId="10" fontId="38" fillId="0" borderId="4" xfId="0" applyNumberFormat="1" applyFont="1" applyBorder="1" applyAlignment="1" applyProtection="1">
      <alignment shrinkToFit="1"/>
      <protection hidden="1"/>
    </xf>
    <xf numFmtId="0" fontId="56" fillId="0" borderId="0" xfId="0" applyFont="1" applyAlignment="1" applyProtection="1">
      <alignment horizontal="centerContinuous" shrinkToFit="1"/>
      <protection hidden="1"/>
    </xf>
    <xf numFmtId="0" fontId="13" fillId="3" borderId="9" xfId="0" applyFont="1" applyFill="1" applyBorder="1" applyAlignment="1" applyProtection="1">
      <alignment horizontal="centerContinuous" shrinkToFit="1"/>
      <protection hidden="1"/>
    </xf>
    <xf numFmtId="37" fontId="35" fillId="3" borderId="54" xfId="15" applyNumberFormat="1" applyFont="1" applyFill="1" applyBorder="1" applyAlignment="1" applyProtection="1">
      <alignment horizontal="center" shrinkToFit="1"/>
      <protection hidden="1"/>
    </xf>
    <xf numFmtId="9" fontId="13" fillId="3" borderId="54" xfId="104" applyFont="1" applyFill="1" applyBorder="1" applyAlignment="1" applyProtection="1">
      <alignment shrinkToFit="1"/>
      <protection hidden="1"/>
    </xf>
    <xf numFmtId="37" fontId="35" fillId="3" borderId="79" xfId="15" applyNumberFormat="1" applyFont="1" applyFill="1" applyBorder="1" applyAlignment="1" applyProtection="1">
      <alignment horizontal="center" shrinkToFit="1"/>
      <protection hidden="1"/>
    </xf>
    <xf numFmtId="9" fontId="13" fillId="3" borderId="159" xfId="104" applyFont="1" applyFill="1" applyBorder="1" applyAlignment="1" applyProtection="1">
      <alignment shrinkToFit="1"/>
      <protection hidden="1"/>
    </xf>
    <xf numFmtId="9" fontId="13" fillId="3" borderId="160" xfId="104" applyFont="1" applyFill="1" applyBorder="1" applyAlignment="1" applyProtection="1">
      <alignment shrinkToFit="1"/>
      <protection hidden="1"/>
    </xf>
    <xf numFmtId="9" fontId="13" fillId="0" borderId="161" xfId="104" applyFont="1" applyBorder="1" applyAlignment="1" applyProtection="1">
      <alignment shrinkToFit="1"/>
      <protection hidden="1"/>
    </xf>
    <xf numFmtId="0" fontId="7" fillId="10" borderId="29" xfId="0" applyFont="1" applyFill="1" applyBorder="1" applyAlignment="1" applyProtection="1">
      <alignment shrinkToFit="1"/>
      <protection hidden="1"/>
    </xf>
    <xf numFmtId="9" fontId="13" fillId="3" borderId="162" xfId="104" applyFont="1" applyFill="1" applyBorder="1" applyAlignment="1" applyProtection="1">
      <alignment shrinkToFit="1"/>
      <protection hidden="1"/>
    </xf>
    <xf numFmtId="37" fontId="6" fillId="10" borderId="0" xfId="0" applyNumberFormat="1" applyFont="1" applyFill="1" applyAlignment="1" applyProtection="1">
      <alignment shrinkToFit="1"/>
      <protection hidden="1"/>
    </xf>
    <xf numFmtId="37" fontId="6" fillId="10" borderId="1" xfId="0" applyNumberFormat="1" applyFont="1" applyFill="1" applyBorder="1" applyAlignment="1" applyProtection="1">
      <alignment shrinkToFit="1"/>
      <protection hidden="1"/>
    </xf>
    <xf numFmtId="0" fontId="13" fillId="5" borderId="11" xfId="0" applyFont="1" applyFill="1" applyBorder="1" applyAlignment="1" applyProtection="1">
      <alignment horizontal="centerContinuous" shrinkToFit="1"/>
      <protection hidden="1"/>
    </xf>
    <xf numFmtId="37" fontId="35" fillId="5" borderId="47" xfId="15" applyNumberFormat="1" applyFont="1" applyFill="1" applyBorder="1" applyAlignment="1" applyProtection="1">
      <alignment horizontal="center" shrinkToFit="1"/>
      <protection hidden="1"/>
    </xf>
    <xf numFmtId="9" fontId="13" fillId="5" borderId="47" xfId="104" applyFont="1" applyFill="1" applyBorder="1" applyAlignment="1" applyProtection="1">
      <alignment shrinkToFit="1"/>
      <protection hidden="1"/>
    </xf>
    <xf numFmtId="37" fontId="35" fillId="5" borderId="79" xfId="15" applyNumberFormat="1" applyFont="1" applyFill="1" applyBorder="1" applyAlignment="1" applyProtection="1">
      <alignment horizontal="center" shrinkToFit="1"/>
      <protection hidden="1"/>
    </xf>
    <xf numFmtId="0" fontId="7" fillId="10" borderId="30" xfId="0" applyFont="1" applyFill="1" applyBorder="1" applyAlignment="1" applyProtection="1">
      <alignment shrinkToFit="1"/>
      <protection hidden="1"/>
    </xf>
    <xf numFmtId="0" fontId="7" fillId="10" borderId="0" xfId="0" applyFont="1" applyFill="1" applyAlignment="1" applyProtection="1">
      <alignment shrinkToFit="1"/>
      <protection hidden="1"/>
    </xf>
    <xf numFmtId="37" fontId="13" fillId="3" borderId="82" xfId="15" applyNumberFormat="1" applyFont="1" applyFill="1" applyBorder="1" applyAlignment="1" applyProtection="1">
      <alignment horizontal="center" shrinkToFit="1"/>
      <protection hidden="1"/>
    </xf>
    <xf numFmtId="9" fontId="13" fillId="3" borderId="68" xfId="104" applyFont="1" applyFill="1" applyBorder="1" applyAlignment="1" applyProtection="1">
      <alignment shrinkToFit="1"/>
      <protection hidden="1"/>
    </xf>
    <xf numFmtId="0" fontId="7" fillId="10" borderId="37" xfId="0" applyFont="1" applyFill="1" applyBorder="1" applyAlignment="1" applyProtection="1">
      <alignment shrinkToFit="1"/>
      <protection hidden="1"/>
    </xf>
    <xf numFmtId="0" fontId="7" fillId="10" borderId="23" xfId="0" applyFont="1" applyFill="1" applyBorder="1" applyAlignment="1" applyProtection="1">
      <alignment shrinkToFit="1"/>
      <protection hidden="1"/>
    </xf>
    <xf numFmtId="0" fontId="7" fillId="10" borderId="7" xfId="0" applyFont="1" applyFill="1" applyBorder="1" applyAlignment="1" applyProtection="1">
      <alignment shrinkToFit="1"/>
      <protection hidden="1"/>
    </xf>
    <xf numFmtId="37" fontId="13" fillId="5" borderId="79" xfId="15" applyNumberFormat="1" applyFont="1" applyFill="1" applyBorder="1" applyAlignment="1" applyProtection="1">
      <alignment horizontal="center" shrinkToFit="1"/>
      <protection hidden="1"/>
    </xf>
    <xf numFmtId="0" fontId="7" fillId="10" borderId="110" xfId="0" applyFont="1" applyFill="1" applyBorder="1" applyAlignment="1" applyProtection="1">
      <alignment shrinkToFit="1"/>
      <protection hidden="1"/>
    </xf>
    <xf numFmtId="0" fontId="7" fillId="10" borderId="16" xfId="0" applyFont="1" applyFill="1" applyBorder="1" applyAlignment="1" applyProtection="1">
      <alignment shrinkToFit="1"/>
      <protection hidden="1"/>
    </xf>
    <xf numFmtId="37" fontId="6" fillId="10" borderId="14" xfId="0" applyNumberFormat="1" applyFont="1" applyFill="1" applyBorder="1" applyAlignment="1" applyProtection="1">
      <alignment shrinkToFit="1"/>
      <protection hidden="1"/>
    </xf>
    <xf numFmtId="37" fontId="6" fillId="10" borderId="7" xfId="0" applyNumberFormat="1" applyFont="1" applyFill="1" applyBorder="1" applyAlignment="1" applyProtection="1">
      <alignment shrinkToFit="1"/>
      <protection hidden="1"/>
    </xf>
    <xf numFmtId="37" fontId="6" fillId="10" borderId="4" xfId="0" applyNumberFormat="1" applyFont="1" applyFill="1" applyBorder="1" applyAlignment="1" applyProtection="1">
      <alignment shrinkToFit="1"/>
      <protection hidden="1"/>
    </xf>
    <xf numFmtId="0" fontId="35" fillId="3" borderId="22" xfId="0" applyFont="1" applyFill="1" applyBorder="1" applyAlignment="1" applyProtection="1">
      <alignment horizontal="centerContinuous" shrinkToFit="1"/>
      <protection hidden="1"/>
    </xf>
    <xf numFmtId="0" fontId="14" fillId="3" borderId="69" xfId="0" applyFont="1" applyFill="1" applyBorder="1" applyAlignment="1" applyProtection="1">
      <alignment horizontal="centerContinuous" shrinkToFit="1"/>
      <protection hidden="1"/>
    </xf>
    <xf numFmtId="37" fontId="13" fillId="3" borderId="143" xfId="15" applyNumberFormat="1" applyFont="1" applyFill="1" applyBorder="1" applyAlignment="1" applyProtection="1">
      <alignment horizontal="center" shrinkToFit="1"/>
      <protection hidden="1"/>
    </xf>
    <xf numFmtId="37" fontId="13" fillId="3" borderId="159" xfId="15" applyNumberFormat="1" applyFont="1" applyFill="1" applyBorder="1" applyAlignment="1" applyProtection="1">
      <alignment horizontal="center" shrinkToFit="1"/>
      <protection hidden="1"/>
    </xf>
    <xf numFmtId="37" fontId="13" fillId="10" borderId="29" xfId="15" applyNumberFormat="1" applyFont="1" applyFill="1" applyBorder="1" applyAlignment="1" applyProtection="1">
      <alignment shrinkToFit="1"/>
      <protection hidden="1"/>
    </xf>
    <xf numFmtId="9" fontId="13" fillId="3" borderId="161" xfId="104" applyFont="1" applyFill="1" applyBorder="1" applyAlignment="1" applyProtection="1">
      <alignment shrinkToFit="1"/>
      <protection hidden="1"/>
    </xf>
    <xf numFmtId="9" fontId="13" fillId="0" borderId="144" xfId="104" applyFont="1" applyBorder="1" applyAlignment="1" applyProtection="1">
      <alignment shrinkToFit="1"/>
      <protection hidden="1"/>
    </xf>
    <xf numFmtId="9" fontId="13" fillId="3" borderId="143" xfId="104" applyFont="1" applyFill="1" applyBorder="1" applyAlignment="1" applyProtection="1">
      <alignment shrinkToFit="1"/>
      <protection hidden="1"/>
    </xf>
    <xf numFmtId="3" fontId="13" fillId="0" borderId="11" xfId="15" applyNumberFormat="1" applyFont="1" applyBorder="1" applyAlignment="1" applyProtection="1">
      <alignment horizontal="centerContinuous" shrinkToFit="1"/>
      <protection hidden="1"/>
    </xf>
    <xf numFmtId="0" fontId="16" fillId="3" borderId="71" xfId="0" applyFont="1" applyFill="1" applyBorder="1" applyAlignment="1">
      <alignment shrinkToFit="1"/>
    </xf>
    <xf numFmtId="0" fontId="16" fillId="3" borderId="67" xfId="0" applyFont="1" applyFill="1" applyBorder="1" applyAlignment="1">
      <alignment shrinkToFit="1"/>
    </xf>
    <xf numFmtId="0" fontId="16" fillId="3" borderId="69" xfId="0" applyFont="1" applyFill="1" applyBorder="1" applyAlignment="1">
      <alignment shrinkToFit="1"/>
    </xf>
    <xf numFmtId="0" fontId="7" fillId="10" borderId="9" xfId="0" applyFont="1" applyFill="1" applyBorder="1" applyAlignment="1" applyProtection="1">
      <alignment shrinkToFit="1"/>
      <protection hidden="1"/>
    </xf>
    <xf numFmtId="166" fontId="16" fillId="0" borderId="0" xfId="0" applyNumberFormat="1" applyFont="1" applyAlignment="1">
      <alignment shrinkToFit="1"/>
    </xf>
    <xf numFmtId="0" fontId="5" fillId="0" borderId="0" xfId="0" applyFont="1" applyAlignment="1">
      <alignment shrinkToFit="1"/>
    </xf>
    <xf numFmtId="0" fontId="6" fillId="0" borderId="0" xfId="0" applyFont="1" applyAlignment="1">
      <alignment shrinkToFit="1"/>
    </xf>
    <xf numFmtId="0" fontId="14" fillId="5" borderId="26" xfId="0" applyFont="1" applyFill="1" applyBorder="1" applyAlignment="1" applyProtection="1">
      <alignment horizontal="centerContinuous" shrinkToFit="1"/>
      <protection hidden="1"/>
    </xf>
    <xf numFmtId="37" fontId="13" fillId="5" borderId="143" xfId="15" applyNumberFormat="1" applyFont="1" applyFill="1" applyBorder="1" applyAlignment="1" applyProtection="1">
      <alignment horizontal="center" shrinkToFit="1"/>
      <protection hidden="1"/>
    </xf>
    <xf numFmtId="37" fontId="13" fillId="5" borderId="159" xfId="15" applyNumberFormat="1" applyFont="1" applyFill="1" applyBorder="1" applyAlignment="1" applyProtection="1">
      <alignment horizontal="center" shrinkToFit="1"/>
      <protection hidden="1"/>
    </xf>
    <xf numFmtId="9" fontId="13" fillId="5" borderId="159" xfId="104" applyFont="1" applyFill="1" applyBorder="1" applyAlignment="1" applyProtection="1">
      <alignment shrinkToFit="1"/>
      <protection hidden="1"/>
    </xf>
    <xf numFmtId="9" fontId="13" fillId="5" borderId="160" xfId="104" applyFont="1" applyFill="1" applyBorder="1" applyAlignment="1" applyProtection="1">
      <alignment shrinkToFit="1"/>
      <protection hidden="1"/>
    </xf>
    <xf numFmtId="9" fontId="13" fillId="5" borderId="162" xfId="104" applyFont="1" applyFill="1" applyBorder="1" applyAlignment="1" applyProtection="1">
      <alignment shrinkToFit="1"/>
      <protection hidden="1"/>
    </xf>
    <xf numFmtId="9" fontId="13" fillId="5" borderId="161" xfId="104" applyFont="1" applyFill="1" applyBorder="1" applyAlignment="1" applyProtection="1">
      <alignment shrinkToFit="1"/>
      <protection hidden="1"/>
    </xf>
    <xf numFmtId="9" fontId="13" fillId="5" borderId="143" xfId="104" applyFont="1" applyFill="1" applyBorder="1" applyAlignment="1" applyProtection="1">
      <alignment shrinkToFit="1"/>
      <protection hidden="1"/>
    </xf>
    <xf numFmtId="0" fontId="57" fillId="5" borderId="34" xfId="0" applyFont="1" applyFill="1" applyBorder="1" applyAlignment="1" applyProtection="1">
      <alignment shrinkToFit="1"/>
      <protection hidden="1"/>
    </xf>
    <xf numFmtId="0" fontId="57" fillId="5" borderId="30" xfId="0" applyFont="1" applyFill="1" applyBorder="1" applyAlignment="1" applyProtection="1">
      <alignment shrinkToFit="1"/>
      <protection hidden="1"/>
    </xf>
    <xf numFmtId="0" fontId="57" fillId="5" borderId="26" xfId="0" applyFont="1" applyFill="1" applyBorder="1" applyAlignment="1" applyProtection="1">
      <alignment shrinkToFit="1"/>
      <protection hidden="1"/>
    </xf>
    <xf numFmtId="0" fontId="7" fillId="10" borderId="11" xfId="0" applyFont="1" applyFill="1" applyBorder="1" applyAlignment="1" applyProtection="1">
      <alignment shrinkToFit="1"/>
      <protection hidden="1"/>
    </xf>
    <xf numFmtId="37" fontId="7" fillId="10" borderId="29" xfId="15" applyNumberFormat="1" applyFont="1" applyFill="1" applyBorder="1" applyAlignment="1" applyProtection="1">
      <alignment shrinkToFit="1"/>
      <protection hidden="1"/>
    </xf>
    <xf numFmtId="3" fontId="13" fillId="0" borderId="9" xfId="15" applyNumberFormat="1" applyFont="1" applyBorder="1" applyAlignment="1" applyProtection="1">
      <alignment horizontal="centerContinuous" shrinkToFit="1"/>
      <protection hidden="1"/>
    </xf>
    <xf numFmtId="3" fontId="25" fillId="0" borderId="23" xfId="15" applyNumberFormat="1" applyFont="1" applyBorder="1" applyAlignment="1" applyProtection="1">
      <alignment shrinkToFit="1"/>
      <protection hidden="1"/>
    </xf>
    <xf numFmtId="3" fontId="64" fillId="0" borderId="29" xfId="35" applyNumberFormat="1" applyFont="1" applyBorder="1" applyAlignment="1" applyProtection="1">
      <alignment shrinkToFit="1"/>
      <protection locked="0" hidden="1"/>
    </xf>
    <xf numFmtId="3" fontId="25" fillId="0" borderId="23" xfId="35" applyNumberFormat="1" applyFont="1" applyBorder="1" applyAlignment="1" applyProtection="1">
      <alignment shrinkToFit="1"/>
      <protection hidden="1"/>
    </xf>
    <xf numFmtId="3" fontId="7" fillId="0" borderId="1" xfId="15" applyNumberFormat="1" applyFont="1" applyBorder="1" applyAlignment="1" applyProtection="1">
      <alignment shrinkToFit="1"/>
      <protection hidden="1"/>
    </xf>
    <xf numFmtId="3" fontId="11" fillId="0" borderId="1" xfId="0" applyNumberFormat="1" applyFont="1" applyBorder="1" applyAlignment="1" applyProtection="1">
      <alignment shrinkToFit="1"/>
      <protection hidden="1"/>
    </xf>
    <xf numFmtId="0" fontId="14" fillId="5" borderId="0" xfId="0" applyFont="1" applyFill="1" applyAlignment="1" applyProtection="1">
      <alignment horizontal="centerContinuous" shrinkToFit="1"/>
      <protection hidden="1"/>
    </xf>
    <xf numFmtId="3" fontId="21" fillId="2" borderId="34" xfId="15" quotePrefix="1" applyNumberFormat="1" applyFont="1" applyFill="1" applyBorder="1" applyAlignment="1" applyProtection="1">
      <alignment horizontal="center" shrinkToFit="1"/>
      <protection hidden="1"/>
    </xf>
    <xf numFmtId="3" fontId="21" fillId="2" borderId="28" xfId="15" quotePrefix="1" applyNumberFormat="1" applyFont="1" applyFill="1" applyBorder="1" applyAlignment="1" applyProtection="1">
      <alignment horizontal="center" shrinkToFit="1"/>
      <protection hidden="1"/>
    </xf>
    <xf numFmtId="3" fontId="7" fillId="0" borderId="4" xfId="15" applyNumberFormat="1" applyFont="1" applyBorder="1" applyAlignment="1" applyProtection="1">
      <alignment shrinkToFit="1"/>
      <protection hidden="1"/>
    </xf>
    <xf numFmtId="0" fontId="16" fillId="0" borderId="11" xfId="0" applyFont="1" applyBorder="1" applyAlignment="1">
      <alignment shrinkToFit="1"/>
    </xf>
    <xf numFmtId="0" fontId="57" fillId="0" borderId="0" xfId="0" applyFont="1" applyAlignment="1" applyProtection="1">
      <alignment horizontal="centerContinuous" shrinkToFit="1"/>
      <protection hidden="1"/>
    </xf>
    <xf numFmtId="0" fontId="14" fillId="3" borderId="0" xfId="0" applyFont="1" applyFill="1" applyAlignment="1" applyProtection="1">
      <alignment horizontal="centerContinuous" shrinkToFit="1"/>
      <protection hidden="1"/>
    </xf>
    <xf numFmtId="0" fontId="57" fillId="3" borderId="67" xfId="0" applyFont="1" applyFill="1" applyBorder="1" applyAlignment="1">
      <alignment shrinkToFit="1"/>
    </xf>
    <xf numFmtId="37" fontId="57" fillId="3" borderId="1" xfId="15" applyNumberFormat="1" applyFont="1" applyFill="1" applyBorder="1" applyAlignment="1" applyProtection="1">
      <alignment shrinkToFit="1"/>
      <protection hidden="1"/>
    </xf>
    <xf numFmtId="37" fontId="16" fillId="0" borderId="27" xfId="0" applyNumberFormat="1" applyFont="1" applyBorder="1" applyAlignment="1" applyProtection="1">
      <alignment shrinkToFit="1"/>
      <protection hidden="1"/>
    </xf>
    <xf numFmtId="37" fontId="13" fillId="5" borderId="153" xfId="15" applyNumberFormat="1" applyFont="1" applyFill="1" applyBorder="1" applyAlignment="1" applyProtection="1">
      <alignment horizontal="center" shrinkToFit="1"/>
      <protection hidden="1"/>
    </xf>
    <xf numFmtId="37" fontId="13" fillId="10" borderId="30" xfId="15" applyNumberFormat="1" applyFont="1" applyFill="1" applyBorder="1" applyAlignment="1" applyProtection="1">
      <alignment shrinkToFit="1"/>
      <protection hidden="1"/>
    </xf>
    <xf numFmtId="0" fontId="16" fillId="5" borderId="34" xfId="0" applyFont="1" applyFill="1" applyBorder="1" applyAlignment="1" applyProtection="1">
      <alignment shrinkToFit="1"/>
      <protection hidden="1"/>
    </xf>
    <xf numFmtId="37" fontId="16" fillId="0" borderId="11" xfId="0" applyNumberFormat="1" applyFont="1" applyBorder="1" applyAlignment="1" applyProtection="1">
      <alignment shrinkToFit="1"/>
      <protection hidden="1"/>
    </xf>
    <xf numFmtId="37" fontId="57" fillId="0" borderId="0" xfId="0" applyNumberFormat="1" applyFont="1" applyAlignment="1">
      <alignment shrinkToFit="1"/>
    </xf>
    <xf numFmtId="0" fontId="19" fillId="0" borderId="0" xfId="0" applyFont="1" applyAlignment="1" applyProtection="1">
      <alignment horizontal="centerContinuous" shrinkToFit="1"/>
      <protection hidden="1"/>
    </xf>
    <xf numFmtId="37" fontId="13" fillId="3" borderId="74" xfId="15" applyNumberFormat="1" applyFont="1" applyFill="1" applyBorder="1" applyAlignment="1" applyProtection="1">
      <alignment horizontal="center" shrinkToFit="1"/>
      <protection hidden="1"/>
    </xf>
    <xf numFmtId="37" fontId="13" fillId="3" borderId="58" xfId="15" applyNumberFormat="1" applyFont="1" applyFill="1" applyBorder="1" applyAlignment="1" applyProtection="1">
      <alignment horizontal="center" shrinkToFit="1"/>
      <protection hidden="1"/>
    </xf>
    <xf numFmtId="166" fontId="13" fillId="10" borderId="8" xfId="15" applyNumberFormat="1" applyFont="1" applyFill="1" applyBorder="1" applyAlignment="1" applyProtection="1">
      <alignment shrinkToFit="1"/>
      <protection hidden="1"/>
    </xf>
    <xf numFmtId="166" fontId="13" fillId="10" borderId="1" xfId="15" applyNumberFormat="1" applyFont="1" applyFill="1" applyBorder="1" applyAlignment="1" applyProtection="1">
      <alignment shrinkToFit="1"/>
      <protection hidden="1"/>
    </xf>
    <xf numFmtId="166" fontId="37" fillId="10" borderId="8" xfId="15" applyNumberFormat="1" applyFont="1" applyFill="1" applyBorder="1" applyAlignment="1" applyProtection="1">
      <alignment horizontal="centerContinuous" shrinkToFit="1"/>
      <protection hidden="1"/>
    </xf>
    <xf numFmtId="166" fontId="16" fillId="10" borderId="0" xfId="15" applyNumberFormat="1" applyFont="1" applyFill="1" applyAlignment="1" applyProtection="1">
      <alignment horizontal="right" shrinkToFit="1"/>
      <protection hidden="1"/>
    </xf>
    <xf numFmtId="0" fontId="25" fillId="10" borderId="0" xfId="0" applyFont="1" applyFill="1" applyAlignment="1" applyProtection="1">
      <alignment shrinkToFit="1"/>
      <protection hidden="1"/>
    </xf>
    <xf numFmtId="0" fontId="25" fillId="10" borderId="1" xfId="0" applyFont="1" applyFill="1" applyBorder="1" applyAlignment="1" applyProtection="1">
      <alignment shrinkToFit="1"/>
      <protection hidden="1"/>
    </xf>
    <xf numFmtId="0" fontId="6" fillId="0" borderId="0" xfId="0" applyFont="1" applyAlignment="1" applyProtection="1">
      <alignment shrinkToFit="1"/>
      <protection hidden="1"/>
    </xf>
    <xf numFmtId="0" fontId="5" fillId="0" borderId="0" xfId="0" applyFont="1" applyAlignment="1" applyProtection="1">
      <alignment shrinkToFit="1"/>
      <protection hidden="1"/>
    </xf>
    <xf numFmtId="0" fontId="13" fillId="3" borderId="19" xfId="0" applyFont="1" applyFill="1" applyBorder="1" applyAlignment="1" applyProtection="1">
      <alignment horizontal="centerContinuous" shrinkToFit="1"/>
      <protection hidden="1"/>
    </xf>
    <xf numFmtId="166" fontId="7" fillId="10" borderId="14" xfId="15" applyNumberFormat="1" applyFont="1" applyFill="1" applyBorder="1" applyAlignment="1" applyProtection="1">
      <alignment shrinkToFit="1"/>
      <protection hidden="1"/>
    </xf>
    <xf numFmtId="166" fontId="7" fillId="10" borderId="7" xfId="15" applyNumberFormat="1" applyFont="1" applyFill="1" applyBorder="1" applyAlignment="1" applyProtection="1">
      <alignment shrinkToFit="1"/>
      <protection hidden="1"/>
    </xf>
    <xf numFmtId="37" fontId="13" fillId="5" borderId="66" xfId="15" applyNumberFormat="1" applyFont="1" applyFill="1" applyBorder="1" applyAlignment="1" applyProtection="1">
      <alignment horizontal="center" shrinkToFit="1"/>
      <protection hidden="1"/>
    </xf>
    <xf numFmtId="37" fontId="13" fillId="5" borderId="56" xfId="15" applyNumberFormat="1" applyFont="1" applyFill="1" applyBorder="1" applyAlignment="1" applyProtection="1">
      <alignment horizontal="center" shrinkToFit="1"/>
      <protection hidden="1"/>
    </xf>
    <xf numFmtId="166" fontId="16" fillId="10" borderId="30" xfId="15" applyNumberFormat="1" applyFont="1" applyFill="1" applyBorder="1" applyAlignment="1" applyProtection="1">
      <alignment shrinkToFit="1"/>
      <protection hidden="1"/>
    </xf>
    <xf numFmtId="166" fontId="16" fillId="10" borderId="110" xfId="15" applyNumberFormat="1" applyFont="1" applyFill="1" applyBorder="1" applyAlignment="1" applyProtection="1">
      <alignment shrinkToFit="1"/>
      <protection hidden="1"/>
    </xf>
    <xf numFmtId="166" fontId="16" fillId="10" borderId="16" xfId="15" applyNumberFormat="1" applyFont="1" applyFill="1" applyBorder="1" applyAlignment="1" applyProtection="1">
      <alignment shrinkToFit="1"/>
      <protection hidden="1"/>
    </xf>
    <xf numFmtId="166" fontId="13" fillId="10" borderId="14" xfId="15" applyNumberFormat="1" applyFont="1" applyFill="1" applyBorder="1" applyAlignment="1" applyProtection="1">
      <alignment shrinkToFit="1"/>
      <protection hidden="1"/>
    </xf>
    <xf numFmtId="166" fontId="13" fillId="10" borderId="4" xfId="15" applyNumberFormat="1" applyFont="1" applyFill="1" applyBorder="1" applyAlignment="1" applyProtection="1">
      <alignment shrinkToFit="1"/>
      <protection hidden="1"/>
    </xf>
    <xf numFmtId="166" fontId="37" fillId="10" borderId="14" xfId="15" applyNumberFormat="1" applyFont="1" applyFill="1" applyBorder="1" applyAlignment="1" applyProtection="1">
      <alignment horizontal="centerContinuous" shrinkToFit="1"/>
      <protection hidden="1"/>
    </xf>
    <xf numFmtId="166" fontId="16" fillId="10" borderId="7" xfId="15" applyNumberFormat="1" applyFont="1" applyFill="1" applyBorder="1" applyAlignment="1" applyProtection="1">
      <alignment horizontal="right" shrinkToFit="1"/>
      <protection hidden="1"/>
    </xf>
    <xf numFmtId="0" fontId="25" fillId="10" borderId="7" xfId="0" applyFont="1" applyFill="1" applyBorder="1" applyAlignment="1" applyProtection="1">
      <alignment shrinkToFit="1"/>
      <protection hidden="1"/>
    </xf>
    <xf numFmtId="0" fontId="25" fillId="10" borderId="4" xfId="0" applyFont="1" applyFill="1" applyBorder="1" applyAlignment="1" applyProtection="1">
      <alignment shrinkToFit="1"/>
      <protection hidden="1"/>
    </xf>
    <xf numFmtId="37" fontId="16" fillId="3" borderId="70" xfId="0" applyNumberFormat="1" applyFont="1" applyFill="1" applyBorder="1" applyProtection="1">
      <protection hidden="1"/>
    </xf>
    <xf numFmtId="37" fontId="40" fillId="3" borderId="57" xfId="0" applyNumberFormat="1" applyFont="1" applyFill="1" applyBorder="1" applyProtection="1">
      <protection locked="0" hidden="1"/>
    </xf>
    <xf numFmtId="37" fontId="38" fillId="5" borderId="61" xfId="0" applyNumberFormat="1" applyFont="1" applyFill="1" applyBorder="1" applyAlignment="1" applyProtection="1">
      <alignment shrinkToFit="1"/>
      <protection hidden="1"/>
    </xf>
    <xf numFmtId="37" fontId="38" fillId="5" borderId="63" xfId="0" applyNumberFormat="1" applyFont="1" applyFill="1" applyBorder="1" applyAlignment="1" applyProtection="1">
      <alignment shrinkToFit="1"/>
      <protection hidden="1"/>
    </xf>
    <xf numFmtId="37" fontId="38" fillId="0" borderId="52" xfId="0" applyNumberFormat="1" applyFont="1" applyBorder="1" applyAlignment="1" applyProtection="1">
      <alignment shrinkToFit="1"/>
      <protection hidden="1"/>
    </xf>
    <xf numFmtId="37" fontId="15" fillId="5" borderId="61" xfId="0" applyNumberFormat="1" applyFont="1" applyFill="1" applyBorder="1" applyAlignment="1" applyProtection="1">
      <alignment shrinkToFit="1"/>
      <protection locked="0" hidden="1"/>
    </xf>
    <xf numFmtId="37" fontId="38" fillId="5" borderId="52" xfId="0" applyNumberFormat="1" applyFont="1" applyFill="1" applyBorder="1" applyAlignment="1" applyProtection="1">
      <alignment shrinkToFit="1"/>
      <protection hidden="1"/>
    </xf>
    <xf numFmtId="0" fontId="0" fillId="11" borderId="0" xfId="0" applyFill="1"/>
    <xf numFmtId="0" fontId="0" fillId="0" borderId="0" xfId="0" applyAlignment="1" applyProtection="1">
      <alignment vertical="top"/>
      <protection locked="0"/>
    </xf>
    <xf numFmtId="37" fontId="40" fillId="3" borderId="0" xfId="0" applyNumberFormat="1" applyFont="1" applyFill="1" applyProtection="1">
      <protection locked="0" hidden="1"/>
    </xf>
    <xf numFmtId="37" fontId="40" fillId="3" borderId="46" xfId="0" applyNumberFormat="1" applyFont="1" applyFill="1" applyBorder="1" applyProtection="1">
      <protection locked="0" hidden="1"/>
    </xf>
    <xf numFmtId="37" fontId="40" fillId="3" borderId="48" xfId="15" applyNumberFormat="1" applyFont="1" applyFill="1" applyBorder="1" applyProtection="1">
      <protection locked="0" hidden="1"/>
    </xf>
    <xf numFmtId="37" fontId="40" fillId="5" borderId="84" xfId="15" applyNumberFormat="1" applyFont="1" applyFill="1" applyBorder="1" applyProtection="1">
      <protection locked="0" hidden="1"/>
    </xf>
    <xf numFmtId="37" fontId="40" fillId="0" borderId="54" xfId="0" applyNumberFormat="1" applyFont="1" applyBorder="1" applyProtection="1">
      <protection locked="0" hidden="1"/>
    </xf>
    <xf numFmtId="37" fontId="40" fillId="3" borderId="58" xfId="0" applyNumberFormat="1" applyFont="1" applyFill="1" applyBorder="1" applyProtection="1">
      <protection locked="0" hidden="1"/>
    </xf>
    <xf numFmtId="37" fontId="40" fillId="5" borderId="58" xfId="0" applyNumberFormat="1" applyFont="1" applyFill="1" applyBorder="1" applyProtection="1">
      <protection locked="0" hidden="1"/>
    </xf>
    <xf numFmtId="37" fontId="40" fillId="3" borderId="65" xfId="15" applyNumberFormat="1" applyFont="1" applyFill="1" applyBorder="1" applyProtection="1">
      <protection locked="0" hidden="1"/>
    </xf>
    <xf numFmtId="3" fontId="16" fillId="0" borderId="0" xfId="34" applyFont="1" applyProtection="1">
      <protection hidden="1"/>
    </xf>
    <xf numFmtId="3" fontId="6" fillId="12" borderId="0" xfId="34" applyFill="1" applyAlignment="1" applyProtection="1">
      <alignment wrapText="1"/>
      <protection hidden="1"/>
    </xf>
    <xf numFmtId="0" fontId="5" fillId="3" borderId="174" xfId="100" applyFont="1" applyFill="1" applyBorder="1" applyProtection="1">
      <protection hidden="1"/>
    </xf>
    <xf numFmtId="0" fontId="7" fillId="3" borderId="22" xfId="100" applyFont="1" applyFill="1" applyBorder="1" applyProtection="1">
      <protection hidden="1"/>
    </xf>
    <xf numFmtId="0" fontId="6" fillId="0" borderId="63" xfId="0" applyFont="1" applyBorder="1" applyAlignment="1">
      <alignment vertical="top"/>
    </xf>
    <xf numFmtId="3" fontId="7" fillId="0" borderId="2" xfId="15" applyNumberFormat="1" applyFont="1" applyBorder="1" applyProtection="1">
      <protection locked="0" hidden="1"/>
    </xf>
    <xf numFmtId="3" fontId="7" fillId="0" borderId="1" xfId="15" applyNumberFormat="1" applyFont="1" applyBorder="1" applyProtection="1">
      <protection locked="0" hidden="1"/>
    </xf>
    <xf numFmtId="37" fontId="6" fillId="10" borderId="0" xfId="0" applyNumberFormat="1" applyFont="1" applyFill="1" applyProtection="1">
      <protection locked="0" hidden="1"/>
    </xf>
    <xf numFmtId="37" fontId="6" fillId="10" borderId="49" xfId="0" applyNumberFormat="1" applyFont="1" applyFill="1" applyBorder="1" applyProtection="1">
      <protection locked="0" hidden="1"/>
    </xf>
    <xf numFmtId="0" fontId="7" fillId="10" borderId="115" xfId="0" applyFont="1" applyFill="1" applyBorder="1" applyProtection="1">
      <protection locked="0" hidden="1"/>
    </xf>
    <xf numFmtId="0" fontId="7" fillId="10" borderId="51" xfId="0" applyFont="1" applyFill="1" applyBorder="1" applyProtection="1">
      <protection locked="0" hidden="1"/>
    </xf>
    <xf numFmtId="37" fontId="19" fillId="0" borderId="0" xfId="0" applyNumberFormat="1" applyFont="1"/>
    <xf numFmtId="10" fontId="0" fillId="0" borderId="0" xfId="0" applyNumberFormat="1"/>
    <xf numFmtId="49" fontId="38" fillId="0" borderId="0" xfId="0" applyNumberFormat="1" applyFont="1" applyAlignment="1">
      <alignment horizontal="right"/>
    </xf>
    <xf numFmtId="14" fontId="38" fillId="0" borderId="0" xfId="0" applyNumberFormat="1" applyFont="1" applyAlignment="1">
      <alignment horizontal="right"/>
    </xf>
    <xf numFmtId="0" fontId="6" fillId="3" borderId="67" xfId="0" applyFont="1" applyFill="1" applyBorder="1" applyAlignment="1">
      <alignment shrinkToFit="1"/>
    </xf>
    <xf numFmtId="0" fontId="6" fillId="5" borderId="30" xfId="0" applyFont="1" applyFill="1" applyBorder="1" applyAlignment="1" applyProtection="1">
      <alignment shrinkToFit="1"/>
      <protection hidden="1"/>
    </xf>
    <xf numFmtId="3" fontId="6" fillId="10" borderId="7" xfId="15" applyNumberFormat="1" applyFill="1" applyBorder="1" applyProtection="1">
      <protection hidden="1"/>
    </xf>
    <xf numFmtId="0" fontId="6" fillId="3" borderId="115" xfId="0" applyFont="1" applyFill="1" applyBorder="1" applyAlignment="1">
      <alignment shrinkToFit="1"/>
    </xf>
    <xf numFmtId="0" fontId="6" fillId="5" borderId="110" xfId="0" applyFont="1" applyFill="1" applyBorder="1" applyAlignment="1" applyProtection="1">
      <alignment shrinkToFit="1"/>
      <protection hidden="1"/>
    </xf>
    <xf numFmtId="3" fontId="25" fillId="0" borderId="0" xfId="35" applyNumberFormat="1" applyFont="1" applyAlignment="1" applyProtection="1">
      <alignment shrinkToFit="1"/>
      <protection hidden="1"/>
    </xf>
    <xf numFmtId="0" fontId="6" fillId="3" borderId="0" xfId="0" applyFont="1" applyFill="1" applyAlignment="1">
      <alignment shrinkToFit="1"/>
    </xf>
    <xf numFmtId="3" fontId="21" fillId="0" borderId="0" xfId="15" quotePrefix="1" applyNumberFormat="1" applyFont="1" applyAlignment="1" applyProtection="1">
      <alignment horizontal="center" shrinkToFit="1"/>
      <protection hidden="1"/>
    </xf>
    <xf numFmtId="37" fontId="57" fillId="5" borderId="4" xfId="15" applyNumberFormat="1" applyFont="1" applyFill="1" applyBorder="1" applyAlignment="1" applyProtection="1">
      <alignment shrinkToFit="1"/>
      <protection hidden="1"/>
    </xf>
    <xf numFmtId="49" fontId="6" fillId="14" borderId="0" xfId="0" quotePrefix="1" applyNumberFormat="1" applyFont="1" applyFill="1" applyAlignment="1">
      <alignment horizontal="left"/>
    </xf>
    <xf numFmtId="179" fontId="6" fillId="0" borderId="0" xfId="0" quotePrefix="1" applyNumberFormat="1" applyFont="1" applyAlignment="1">
      <alignment horizontal="left"/>
    </xf>
    <xf numFmtId="0" fontId="6" fillId="0" borderId="0" xfId="0" applyFont="1" applyAlignment="1">
      <alignment horizontal="left"/>
    </xf>
    <xf numFmtId="37" fontId="7" fillId="0" borderId="0" xfId="0" applyNumberFormat="1" applyFont="1" applyProtection="1">
      <protection hidden="1"/>
    </xf>
    <xf numFmtId="0" fontId="6" fillId="0" borderId="94" xfId="0" applyFont="1" applyBorder="1" applyProtection="1">
      <protection hidden="1"/>
    </xf>
    <xf numFmtId="0" fontId="6" fillId="0" borderId="95" xfId="0" applyFont="1" applyBorder="1" applyProtection="1">
      <protection hidden="1"/>
    </xf>
    <xf numFmtId="0" fontId="6" fillId="0" borderId="0" xfId="0" applyFont="1" applyAlignment="1">
      <alignment vertical="center"/>
    </xf>
    <xf numFmtId="14" fontId="6" fillId="0" borderId="0" xfId="0" applyNumberFormat="1" applyFont="1" applyAlignment="1">
      <alignment horizontal="right" vertical="center"/>
    </xf>
    <xf numFmtId="0" fontId="6" fillId="0" borderId="0" xfId="0" applyFont="1" applyAlignment="1">
      <alignment horizontal="right" vertical="center"/>
    </xf>
    <xf numFmtId="14" fontId="0" fillId="0" borderId="0" xfId="0" applyNumberFormat="1"/>
    <xf numFmtId="167" fontId="38" fillId="0" borderId="0" xfId="39" applyNumberFormat="1" applyFont="1"/>
    <xf numFmtId="49" fontId="38" fillId="0" borderId="0" xfId="39" applyNumberFormat="1" applyFont="1"/>
    <xf numFmtId="0" fontId="38" fillId="0" borderId="0" xfId="39" applyFont="1"/>
    <xf numFmtId="49" fontId="38" fillId="0" borderId="5" xfId="39" applyNumberFormat="1" applyFont="1" applyBorder="1"/>
    <xf numFmtId="49" fontId="54" fillId="0" borderId="10" xfId="39" applyNumberFormat="1" applyFont="1" applyBorder="1"/>
    <xf numFmtId="0" fontId="37" fillId="0" borderId="9" xfId="39" applyFont="1" applyBorder="1"/>
    <xf numFmtId="49" fontId="54" fillId="0" borderId="9" xfId="39" applyNumberFormat="1" applyFont="1" applyBorder="1" applyAlignment="1">
      <alignment horizontal="center"/>
    </xf>
    <xf numFmtId="49" fontId="54" fillId="0" borderId="11" xfId="39" applyNumberFormat="1" applyFont="1" applyBorder="1" applyAlignment="1">
      <alignment horizontal="center"/>
    </xf>
    <xf numFmtId="49" fontId="37" fillId="0" borderId="9" xfId="39" applyNumberFormat="1" applyFont="1" applyBorder="1" applyAlignment="1">
      <alignment horizontal="center"/>
    </xf>
    <xf numFmtId="49" fontId="37" fillId="0" borderId="11" xfId="39" applyNumberFormat="1" applyFont="1" applyBorder="1" applyAlignment="1">
      <alignment horizontal="center"/>
    </xf>
    <xf numFmtId="0" fontId="6" fillId="0" borderId="7" xfId="39" applyBorder="1"/>
    <xf numFmtId="49" fontId="37" fillId="0" borderId="10" xfId="39" applyNumberFormat="1" applyFont="1" applyBorder="1"/>
    <xf numFmtId="0" fontId="6" fillId="0" borderId="5" xfId="39" applyBorder="1"/>
    <xf numFmtId="49" fontId="38" fillId="0" borderId="7" xfId="39" applyNumberFormat="1" applyFont="1" applyBorder="1" applyAlignment="1">
      <alignment horizontal="center"/>
    </xf>
    <xf numFmtId="0" fontId="38" fillId="0" borderId="5" xfId="39" applyFont="1" applyBorder="1"/>
    <xf numFmtId="0" fontId="0" fillId="0" borderId="5" xfId="0" applyBorder="1"/>
    <xf numFmtId="0" fontId="0" fillId="0" borderId="7" xfId="0" applyBorder="1"/>
    <xf numFmtId="49" fontId="38" fillId="0" borderId="2" xfId="39" applyNumberFormat="1" applyFont="1" applyBorder="1"/>
    <xf numFmtId="0" fontId="38" fillId="0" borderId="1" xfId="39" applyFont="1" applyBorder="1"/>
    <xf numFmtId="167" fontId="38" fillId="0" borderId="1" xfId="39" applyNumberFormat="1" applyFont="1" applyBorder="1"/>
    <xf numFmtId="0" fontId="6" fillId="0" borderId="4" xfId="39" applyBorder="1"/>
    <xf numFmtId="0" fontId="89" fillId="0" borderId="1" xfId="0" applyFont="1" applyBorder="1" applyAlignment="1">
      <alignment vertical="center"/>
    </xf>
    <xf numFmtId="0" fontId="37" fillId="0" borderId="1" xfId="0" applyFont="1" applyBorder="1" applyAlignment="1">
      <alignment vertical="center"/>
    </xf>
    <xf numFmtId="0" fontId="89" fillId="0" borderId="1" xfId="0" applyFont="1" applyBorder="1" applyAlignment="1">
      <alignment horizontal="center" vertical="center"/>
    </xf>
    <xf numFmtId="0" fontId="89" fillId="0" borderId="4" xfId="0" applyFont="1" applyBorder="1" applyAlignment="1">
      <alignment horizontal="center" vertical="center"/>
    </xf>
    <xf numFmtId="0" fontId="90" fillId="0" borderId="0" xfId="0" applyFont="1" applyAlignment="1">
      <alignment vertical="center"/>
    </xf>
    <xf numFmtId="0" fontId="38" fillId="0" borderId="0" xfId="0" applyFont="1" applyAlignment="1">
      <alignment vertical="center"/>
    </xf>
    <xf numFmtId="164" fontId="90" fillId="0" borderId="0" xfId="0" applyNumberFormat="1" applyFont="1" applyAlignment="1">
      <alignment horizontal="right" vertical="center"/>
    </xf>
    <xf numFmtId="0" fontId="38" fillId="0" borderId="0" xfId="0" applyFont="1" applyAlignment="1">
      <alignment horizontal="center" vertical="center"/>
    </xf>
    <xf numFmtId="0" fontId="42" fillId="0" borderId="0" xfId="0" applyFont="1"/>
    <xf numFmtId="0" fontId="89" fillId="0" borderId="9" xfId="0" applyFont="1" applyBorder="1" applyAlignment="1">
      <alignment vertical="center"/>
    </xf>
    <xf numFmtId="0" fontId="37" fillId="0" borderId="9" xfId="0" applyFont="1" applyBorder="1" applyAlignment="1">
      <alignment vertical="center"/>
    </xf>
    <xf numFmtId="0" fontId="89" fillId="0" borderId="9" xfId="0" applyFont="1" applyBorder="1" applyAlignment="1">
      <alignment horizontal="center" vertical="center"/>
    </xf>
    <xf numFmtId="0" fontId="89" fillId="0" borderId="11" xfId="0" applyFont="1" applyBorder="1" applyAlignment="1">
      <alignment horizontal="center" vertical="center"/>
    </xf>
    <xf numFmtId="164" fontId="38" fillId="0" borderId="0" xfId="0" applyNumberFormat="1" applyFont="1" applyAlignment="1">
      <alignment horizontal="right" vertical="center"/>
    </xf>
    <xf numFmtId="14" fontId="0" fillId="0" borderId="0" xfId="0" applyNumberFormat="1" applyAlignment="1">
      <alignment horizontal="right"/>
    </xf>
    <xf numFmtId="0" fontId="6" fillId="0" borderId="0" xfId="0" applyFont="1" applyAlignment="1">
      <alignment wrapText="1"/>
    </xf>
    <xf numFmtId="0" fontId="91" fillId="0" borderId="0" xfId="0" applyFont="1"/>
    <xf numFmtId="49" fontId="92" fillId="0" borderId="1" xfId="0" applyNumberFormat="1" applyFont="1" applyBorder="1" applyAlignment="1" applyProtection="1">
      <alignment horizontal="center"/>
      <protection hidden="1"/>
    </xf>
    <xf numFmtId="0" fontId="7" fillId="17" borderId="0" xfId="0" applyFont="1" applyFill="1"/>
    <xf numFmtId="0" fontId="7" fillId="0" borderId="0" xfId="0" applyFont="1" applyAlignment="1">
      <alignment horizontal="left"/>
    </xf>
    <xf numFmtId="0" fontId="7" fillId="0" borderId="28" xfId="0" applyFont="1" applyBorder="1" applyProtection="1">
      <protection hidden="1"/>
    </xf>
    <xf numFmtId="37" fontId="6" fillId="0" borderId="7" xfId="0" applyNumberFormat="1" applyFont="1" applyBorder="1" applyProtection="1">
      <protection hidden="1"/>
    </xf>
    <xf numFmtId="0" fontId="6" fillId="10" borderId="6" xfId="0" applyFont="1" applyFill="1" applyBorder="1" applyProtection="1">
      <protection hidden="1"/>
    </xf>
    <xf numFmtId="0" fontId="9" fillId="0" borderId="6" xfId="0" applyFont="1" applyBorder="1" applyAlignment="1" applyProtection="1">
      <alignment horizontal="center"/>
      <protection hidden="1"/>
    </xf>
    <xf numFmtId="0" fontId="7" fillId="8" borderId="5" xfId="0" quotePrefix="1" applyFont="1" applyFill="1" applyBorder="1" applyAlignment="1" applyProtection="1">
      <alignment horizontal="left"/>
      <protection hidden="1"/>
    </xf>
    <xf numFmtId="171" fontId="6" fillId="10" borderId="49" xfId="15" applyNumberFormat="1" applyFill="1" applyBorder="1" applyProtection="1">
      <protection hidden="1"/>
    </xf>
    <xf numFmtId="171" fontId="6" fillId="5" borderId="24" xfId="15" applyNumberFormat="1" applyFill="1" applyBorder="1" applyProtection="1">
      <protection hidden="1"/>
    </xf>
    <xf numFmtId="49" fontId="6" fillId="14" borderId="0" xfId="0" applyNumberFormat="1" applyFont="1" applyFill="1" applyAlignment="1">
      <alignment horizontal="left"/>
    </xf>
    <xf numFmtId="0" fontId="6" fillId="0" borderId="0" xfId="0" applyFont="1" applyAlignment="1">
      <alignment horizontal="center"/>
    </xf>
    <xf numFmtId="0" fontId="6" fillId="10" borderId="0" xfId="0" applyFont="1" applyFill="1"/>
    <xf numFmtId="0" fontId="19" fillId="0" borderId="176" xfId="0" applyFont="1" applyBorder="1" applyProtection="1">
      <protection hidden="1"/>
    </xf>
    <xf numFmtId="37" fontId="38" fillId="3" borderId="176" xfId="0" applyNumberFormat="1" applyFont="1" applyFill="1" applyBorder="1" applyProtection="1">
      <protection hidden="1"/>
    </xf>
    <xf numFmtId="37" fontId="38" fillId="3" borderId="178" xfId="0" applyNumberFormat="1" applyFont="1" applyFill="1" applyBorder="1" applyProtection="1">
      <protection hidden="1"/>
    </xf>
    <xf numFmtId="37" fontId="38" fillId="5" borderId="178" xfId="0" applyNumberFormat="1" applyFont="1" applyFill="1" applyBorder="1" applyProtection="1">
      <protection hidden="1"/>
    </xf>
    <xf numFmtId="0" fontId="19" fillId="0" borderId="179" xfId="0" quotePrefix="1" applyFont="1" applyBorder="1" applyAlignment="1" applyProtection="1">
      <alignment horizontal="left"/>
      <protection hidden="1"/>
    </xf>
    <xf numFmtId="37" fontId="38" fillId="3" borderId="179" xfId="0" applyNumberFormat="1" applyFont="1" applyFill="1" applyBorder="1" applyProtection="1">
      <protection hidden="1"/>
    </xf>
    <xf numFmtId="37" fontId="38" fillId="3" borderId="181" xfId="0" applyNumberFormat="1" applyFont="1" applyFill="1" applyBorder="1" applyProtection="1">
      <protection hidden="1"/>
    </xf>
    <xf numFmtId="37" fontId="38" fillId="5" borderId="181" xfId="0" applyNumberFormat="1" applyFont="1" applyFill="1" applyBorder="1" applyProtection="1">
      <protection hidden="1"/>
    </xf>
    <xf numFmtId="37" fontId="38" fillId="5" borderId="181" xfId="0" applyNumberFormat="1" applyFont="1" applyFill="1" applyBorder="1" applyAlignment="1" applyProtection="1">
      <alignment shrinkToFit="1"/>
      <protection hidden="1"/>
    </xf>
    <xf numFmtId="37" fontId="38" fillId="5" borderId="182" xfId="0" applyNumberFormat="1" applyFont="1" applyFill="1" applyBorder="1" applyProtection="1">
      <protection hidden="1"/>
    </xf>
    <xf numFmtId="37" fontId="38" fillId="5" borderId="183" xfId="0" applyNumberFormat="1" applyFont="1" applyFill="1" applyBorder="1" applyProtection="1">
      <protection hidden="1"/>
    </xf>
    <xf numFmtId="37" fontId="38" fillId="5" borderId="184" xfId="0" applyNumberFormat="1" applyFont="1" applyFill="1" applyBorder="1" applyProtection="1">
      <protection hidden="1"/>
    </xf>
    <xf numFmtId="37" fontId="38" fillId="5" borderId="185" xfId="0" applyNumberFormat="1" applyFont="1" applyFill="1" applyBorder="1" applyProtection="1">
      <protection hidden="1"/>
    </xf>
    <xf numFmtId="37" fontId="38" fillId="3" borderId="186" xfId="0" applyNumberFormat="1" applyFont="1" applyFill="1" applyBorder="1" applyProtection="1">
      <protection hidden="1"/>
    </xf>
    <xf numFmtId="37" fontId="38" fillId="3" borderId="187" xfId="0" applyNumberFormat="1" applyFont="1" applyFill="1" applyBorder="1" applyProtection="1">
      <protection hidden="1"/>
    </xf>
    <xf numFmtId="37" fontId="38" fillId="3" borderId="185" xfId="0" applyNumberFormat="1" applyFont="1" applyFill="1" applyBorder="1" applyProtection="1">
      <protection hidden="1"/>
    </xf>
    <xf numFmtId="37" fontId="38" fillId="5" borderId="186" xfId="0" applyNumberFormat="1" applyFont="1" applyFill="1" applyBorder="1" applyProtection="1">
      <protection hidden="1"/>
    </xf>
    <xf numFmtId="37" fontId="38" fillId="5" borderId="187" xfId="0" applyNumberFormat="1" applyFont="1" applyFill="1" applyBorder="1" applyProtection="1">
      <protection hidden="1"/>
    </xf>
    <xf numFmtId="37" fontId="6" fillId="0" borderId="4" xfId="15" applyNumberFormat="1" applyBorder="1" applyProtection="1">
      <protection hidden="1"/>
    </xf>
    <xf numFmtId="37" fontId="6" fillId="0" borderId="56" xfId="15" applyNumberFormat="1" applyBorder="1" applyProtection="1">
      <protection hidden="1"/>
    </xf>
    <xf numFmtId="166" fontId="7" fillId="0" borderId="0" xfId="15" applyNumberFormat="1" applyFont="1" applyProtection="1">
      <protection hidden="1"/>
    </xf>
    <xf numFmtId="37" fontId="6" fillId="0" borderId="0" xfId="0" applyNumberFormat="1" applyFont="1" applyAlignment="1">
      <alignment shrinkToFit="1"/>
    </xf>
    <xf numFmtId="37" fontId="6" fillId="9" borderId="0" xfId="0" applyNumberFormat="1" applyFont="1" applyFill="1" applyProtection="1">
      <protection hidden="1"/>
    </xf>
    <xf numFmtId="37" fontId="6" fillId="3" borderId="44" xfId="15" applyNumberFormat="1" applyFill="1" applyBorder="1" applyProtection="1">
      <protection hidden="1"/>
    </xf>
    <xf numFmtId="37" fontId="6" fillId="5" borderId="4" xfId="15" applyNumberFormat="1" applyFill="1" applyBorder="1" applyProtection="1">
      <protection hidden="1"/>
    </xf>
    <xf numFmtId="37" fontId="6" fillId="3" borderId="47" xfId="15" applyNumberFormat="1" applyFill="1" applyBorder="1" applyProtection="1">
      <protection hidden="1"/>
    </xf>
    <xf numFmtId="0" fontId="0" fillId="0" borderId="0" xfId="0" applyAlignment="1">
      <alignment horizontal="left" wrapText="1"/>
    </xf>
    <xf numFmtId="0" fontId="6" fillId="0" borderId="0" xfId="0" applyFont="1" applyAlignment="1">
      <alignment horizontal="left" wrapText="1"/>
    </xf>
    <xf numFmtId="11" fontId="0" fillId="0" borderId="0" xfId="0" applyNumberFormat="1" applyAlignment="1">
      <alignment horizontal="left"/>
    </xf>
    <xf numFmtId="0" fontId="0" fillId="0" borderId="33" xfId="0" applyBorder="1" applyAlignment="1">
      <alignment horizontal="left"/>
    </xf>
    <xf numFmtId="0" fontId="0" fillId="0" borderId="22" xfId="0" applyBorder="1" applyAlignment="1">
      <alignment horizontal="left"/>
    </xf>
    <xf numFmtId="0" fontId="0" fillId="0" borderId="34" xfId="0" applyBorder="1" applyAlignment="1">
      <alignment horizontal="left"/>
    </xf>
    <xf numFmtId="0" fontId="0" fillId="0" borderId="5" xfId="0" applyBorder="1" applyAlignment="1">
      <alignment horizontal="left"/>
    </xf>
    <xf numFmtId="0" fontId="0" fillId="0" borderId="2" xfId="0" applyBorder="1" applyAlignment="1">
      <alignment horizontal="left"/>
    </xf>
    <xf numFmtId="0" fontId="0" fillId="0" borderId="1" xfId="0" applyBorder="1" applyAlignment="1">
      <alignment horizontal="left"/>
    </xf>
    <xf numFmtId="181" fontId="38" fillId="0" borderId="0" xfId="15" applyNumberFormat="1" applyFont="1" applyAlignment="1">
      <alignment horizontal="left"/>
    </xf>
    <xf numFmtId="181" fontId="6" fillId="0" borderId="0" xfId="15" applyNumberFormat="1" applyAlignment="1">
      <alignment horizontal="left"/>
    </xf>
    <xf numFmtId="0" fontId="0" fillId="0" borderId="0" xfId="0" quotePrefix="1" applyAlignment="1">
      <alignment horizontal="left"/>
    </xf>
    <xf numFmtId="0" fontId="84" fillId="0" borderId="0" xfId="0" applyFont="1" applyAlignment="1" applyProtection="1">
      <alignment horizontal="center"/>
      <protection hidden="1"/>
    </xf>
    <xf numFmtId="0" fontId="6" fillId="0" borderId="7" xfId="0" applyFont="1" applyBorder="1" applyAlignment="1">
      <alignment horizontal="left"/>
    </xf>
    <xf numFmtId="0" fontId="6" fillId="0" borderId="4" xfId="0" applyFont="1" applyBorder="1" applyAlignment="1">
      <alignment horizontal="left"/>
    </xf>
    <xf numFmtId="0" fontId="6" fillId="0" borderId="8" xfId="0" applyFont="1" applyBorder="1" applyAlignment="1">
      <alignment horizontal="left"/>
    </xf>
    <xf numFmtId="0" fontId="16" fillId="3" borderId="1" xfId="0" applyFont="1" applyFill="1" applyBorder="1" applyAlignment="1" applyProtection="1">
      <alignment horizontal="center"/>
      <protection hidden="1"/>
    </xf>
    <xf numFmtId="0" fontId="16" fillId="10" borderId="9" xfId="0" applyFont="1" applyFill="1" applyBorder="1" applyAlignment="1" applyProtection="1">
      <alignment horizontal="center"/>
      <protection hidden="1"/>
    </xf>
    <xf numFmtId="0" fontId="13" fillId="0" borderId="64" xfId="0" applyFont="1" applyBorder="1" applyAlignment="1" applyProtection="1">
      <alignment horizontal="center"/>
      <protection hidden="1"/>
    </xf>
    <xf numFmtId="0" fontId="7" fillId="0" borderId="64" xfId="0" applyFont="1" applyBorder="1" applyAlignment="1" applyProtection="1">
      <alignment horizontal="center"/>
      <protection hidden="1"/>
    </xf>
    <xf numFmtId="0" fontId="13" fillId="0" borderId="51" xfId="0" applyFont="1" applyBorder="1" applyAlignment="1" applyProtection="1">
      <alignment horizontal="center"/>
      <protection hidden="1"/>
    </xf>
    <xf numFmtId="0" fontId="13" fillId="0" borderId="71" xfId="0" applyFont="1" applyBorder="1" applyAlignment="1" applyProtection="1">
      <alignment horizontal="center"/>
      <protection hidden="1"/>
    </xf>
    <xf numFmtId="0" fontId="16" fillId="8" borderId="0" xfId="0" applyFont="1" applyFill="1" applyAlignment="1" applyProtection="1">
      <alignment horizontal="center"/>
      <protection hidden="1"/>
    </xf>
    <xf numFmtId="0" fontId="13" fillId="8" borderId="0" xfId="0" applyFont="1" applyFill="1" applyAlignment="1" applyProtection="1">
      <alignment horizontal="center"/>
      <protection hidden="1"/>
    </xf>
    <xf numFmtId="0" fontId="19" fillId="0" borderId="60" xfId="0" applyFont="1" applyBorder="1" applyAlignment="1" applyProtection="1">
      <alignment horizontal="center"/>
      <protection hidden="1"/>
    </xf>
    <xf numFmtId="0" fontId="19" fillId="0" borderId="177" xfId="0" applyFont="1" applyBorder="1" applyAlignment="1" applyProtection="1">
      <alignment horizontal="center"/>
      <protection hidden="1"/>
    </xf>
    <xf numFmtId="0" fontId="19" fillId="0" borderId="180" xfId="0" applyFont="1" applyBorder="1" applyAlignment="1" applyProtection="1">
      <alignment horizontal="center"/>
      <protection hidden="1"/>
    </xf>
    <xf numFmtId="0" fontId="19" fillId="0" borderId="9" xfId="0" applyFont="1" applyBorder="1" applyAlignment="1" applyProtection="1">
      <alignment horizontal="center"/>
      <protection hidden="1"/>
    </xf>
    <xf numFmtId="0" fontId="21" fillId="2" borderId="62" xfId="0" applyFont="1" applyFill="1" applyBorder="1" applyAlignment="1" applyProtection="1">
      <alignment horizontal="center"/>
      <protection hidden="1"/>
    </xf>
    <xf numFmtId="0" fontId="19" fillId="0" borderId="1" xfId="0" applyFont="1" applyBorder="1" applyAlignment="1" applyProtection="1">
      <alignment horizontal="center"/>
      <protection hidden="1"/>
    </xf>
    <xf numFmtId="0" fontId="28" fillId="0" borderId="9" xfId="0" applyFont="1" applyBorder="1" applyAlignment="1" applyProtection="1">
      <alignment horizontal="center"/>
      <protection hidden="1"/>
    </xf>
    <xf numFmtId="0" fontId="16" fillId="0" borderId="0" xfId="0" applyFont="1" applyAlignment="1" applyProtection="1">
      <alignment horizontal="center"/>
      <protection hidden="1"/>
    </xf>
    <xf numFmtId="0" fontId="6" fillId="0" borderId="0" xfId="0" applyFont="1" applyAlignment="1" applyProtection="1">
      <alignment horizontal="center"/>
      <protection hidden="1"/>
    </xf>
    <xf numFmtId="0" fontId="93" fillId="0" borderId="28" xfId="35" applyFont="1" applyBorder="1" applyAlignment="1" applyProtection="1">
      <alignment vertical="center" wrapText="1"/>
      <protection hidden="1"/>
    </xf>
    <xf numFmtId="0" fontId="32" fillId="2" borderId="48" xfId="0" applyFont="1" applyFill="1" applyBorder="1" applyAlignment="1" applyProtection="1">
      <alignment horizontal="left"/>
      <protection hidden="1"/>
    </xf>
    <xf numFmtId="0" fontId="23" fillId="2" borderId="2" xfId="0" applyFont="1" applyFill="1" applyBorder="1" applyAlignment="1" applyProtection="1">
      <alignment horizontal="centerContinuous"/>
      <protection hidden="1"/>
    </xf>
    <xf numFmtId="0" fontId="21" fillId="2" borderId="11" xfId="0" applyFont="1" applyFill="1" applyBorder="1" applyAlignment="1" applyProtection="1">
      <alignment horizontal="centerContinuous"/>
      <protection hidden="1"/>
    </xf>
    <xf numFmtId="0" fontId="19" fillId="0" borderId="59" xfId="0" applyFont="1" applyBorder="1" applyAlignment="1" applyProtection="1">
      <alignment horizontal="centerContinuous"/>
      <protection hidden="1"/>
    </xf>
    <xf numFmtId="0" fontId="19" fillId="0" borderId="60" xfId="0" applyFont="1" applyBorder="1" applyAlignment="1" applyProtection="1">
      <alignment horizontal="centerContinuous"/>
      <protection hidden="1"/>
    </xf>
    <xf numFmtId="37" fontId="6" fillId="3" borderId="57" xfId="0" applyNumberFormat="1" applyFont="1" applyFill="1" applyBorder="1" applyProtection="1">
      <protection hidden="1"/>
    </xf>
    <xf numFmtId="0" fontId="31" fillId="0" borderId="22" xfId="0" applyFont="1" applyBorder="1" applyProtection="1">
      <protection hidden="1"/>
    </xf>
    <xf numFmtId="0" fontId="31" fillId="0" borderId="23" xfId="0" applyFont="1" applyBorder="1" applyProtection="1">
      <protection hidden="1"/>
    </xf>
    <xf numFmtId="37" fontId="40" fillId="3" borderId="22" xfId="0" applyNumberFormat="1" applyFont="1" applyFill="1" applyBorder="1" applyProtection="1">
      <protection locked="0" hidden="1"/>
    </xf>
    <xf numFmtId="37" fontId="40" fillId="3" borderId="23" xfId="0" applyNumberFormat="1" applyFont="1" applyFill="1" applyBorder="1" applyProtection="1">
      <protection locked="0" hidden="1"/>
    </xf>
    <xf numFmtId="0" fontId="21" fillId="2" borderId="65" xfId="0" applyFont="1" applyFill="1" applyBorder="1" applyAlignment="1" applyProtection="1">
      <alignment horizontal="center"/>
      <protection hidden="1"/>
    </xf>
    <xf numFmtId="0" fontId="19" fillId="0" borderId="30" xfId="0" applyFont="1" applyBorder="1" applyAlignment="1" applyProtection="1">
      <alignment horizontal="center"/>
      <protection hidden="1"/>
    </xf>
    <xf numFmtId="37" fontId="6" fillId="3" borderId="65" xfId="0" applyNumberFormat="1" applyFont="1" applyFill="1" applyBorder="1" applyProtection="1">
      <protection hidden="1"/>
    </xf>
    <xf numFmtId="37" fontId="6" fillId="3" borderId="65" xfId="15" applyNumberFormat="1" applyFill="1" applyBorder="1" applyProtection="1">
      <protection hidden="1"/>
    </xf>
    <xf numFmtId="37" fontId="6" fillId="5" borderId="65" xfId="15" applyNumberFormat="1" applyFill="1" applyBorder="1" applyProtection="1">
      <protection hidden="1"/>
    </xf>
    <xf numFmtId="0" fontId="31" fillId="0" borderId="67" xfId="0" applyFont="1" applyBorder="1" applyProtection="1">
      <protection hidden="1"/>
    </xf>
    <xf numFmtId="0" fontId="31" fillId="0" borderId="0" xfId="0" applyFont="1" applyProtection="1">
      <protection hidden="1"/>
    </xf>
    <xf numFmtId="0" fontId="21" fillId="2" borderId="74" xfId="0" applyFont="1" applyFill="1" applyBorder="1" applyAlignment="1" applyProtection="1">
      <alignment horizontal="center"/>
      <protection hidden="1"/>
    </xf>
    <xf numFmtId="0" fontId="31" fillId="0" borderId="9" xfId="0" applyFont="1" applyBorder="1" applyProtection="1">
      <protection hidden="1"/>
    </xf>
    <xf numFmtId="0" fontId="2" fillId="8" borderId="0" xfId="42" applyFill="1" applyProtection="1">
      <protection hidden="1"/>
    </xf>
    <xf numFmtId="0" fontId="21" fillId="2" borderId="45" xfId="0" applyFont="1" applyFill="1" applyBorder="1" applyAlignment="1" applyProtection="1">
      <alignment horizontal="center"/>
      <protection hidden="1"/>
    </xf>
    <xf numFmtId="0" fontId="31" fillId="22" borderId="9" xfId="0" applyFont="1" applyFill="1" applyBorder="1" applyProtection="1">
      <protection hidden="1"/>
    </xf>
    <xf numFmtId="0" fontId="6" fillId="22" borderId="11" xfId="0" applyFont="1" applyFill="1" applyBorder="1"/>
    <xf numFmtId="0" fontId="19" fillId="23" borderId="29" xfId="0" applyFont="1" applyFill="1" applyBorder="1" applyProtection="1">
      <protection hidden="1"/>
    </xf>
    <xf numFmtId="0" fontId="19" fillId="0" borderId="29" xfId="0" applyFont="1" applyBorder="1" applyProtection="1">
      <protection hidden="1"/>
    </xf>
    <xf numFmtId="0" fontId="28" fillId="0" borderId="23" xfId="0" applyFont="1" applyBorder="1" applyProtection="1">
      <protection hidden="1"/>
    </xf>
    <xf numFmtId="0" fontId="23" fillId="2" borderId="6" xfId="0" applyFont="1" applyFill="1" applyBorder="1" applyProtection="1">
      <protection hidden="1"/>
    </xf>
    <xf numFmtId="37" fontId="6" fillId="23" borderId="63" xfId="0" applyNumberFormat="1" applyFont="1" applyFill="1" applyBorder="1" applyProtection="1">
      <protection hidden="1"/>
    </xf>
    <xf numFmtId="37" fontId="6" fillId="23" borderId="7" xfId="0" applyNumberFormat="1" applyFont="1" applyFill="1" applyBorder="1" applyProtection="1">
      <protection hidden="1"/>
    </xf>
    <xf numFmtId="37" fontId="40" fillId="3" borderId="80" xfId="15" applyNumberFormat="1" applyFont="1" applyFill="1" applyBorder="1" applyProtection="1">
      <protection locked="0" hidden="1"/>
    </xf>
    <xf numFmtId="37" fontId="6" fillId="3" borderId="80" xfId="15" applyNumberFormat="1" applyFill="1" applyBorder="1" applyProtection="1">
      <protection hidden="1"/>
    </xf>
    <xf numFmtId="37" fontId="6" fillId="5" borderId="80" xfId="15" applyNumberFormat="1" applyFill="1" applyBorder="1" applyProtection="1">
      <protection hidden="1"/>
    </xf>
    <xf numFmtId="0" fontId="21" fillId="23" borderId="29" xfId="0" applyFont="1" applyFill="1" applyBorder="1" applyAlignment="1" applyProtection="1">
      <alignment horizontal="center"/>
      <protection hidden="1"/>
    </xf>
    <xf numFmtId="37" fontId="40" fillId="3" borderId="41" xfId="0" applyNumberFormat="1" applyFont="1" applyFill="1" applyBorder="1" applyProtection="1">
      <protection locked="0" hidden="1"/>
    </xf>
    <xf numFmtId="37" fontId="6" fillId="3" borderId="80" xfId="0" applyNumberFormat="1" applyFont="1" applyFill="1" applyBorder="1" applyProtection="1">
      <protection hidden="1"/>
    </xf>
    <xf numFmtId="37" fontId="6" fillId="3" borderId="82" xfId="0" applyNumberFormat="1" applyFont="1" applyFill="1" applyBorder="1" applyProtection="1">
      <protection hidden="1"/>
    </xf>
    <xf numFmtId="37" fontId="40" fillId="3" borderId="43" xfId="0" applyNumberFormat="1" applyFont="1" applyFill="1" applyBorder="1" applyProtection="1">
      <protection locked="0" hidden="1"/>
    </xf>
    <xf numFmtId="37" fontId="6" fillId="3" borderId="55" xfId="0" applyNumberFormat="1" applyFont="1" applyFill="1" applyBorder="1" applyProtection="1">
      <protection hidden="1"/>
    </xf>
    <xf numFmtId="37" fontId="40" fillId="3" borderId="53" xfId="0" applyNumberFormat="1" applyFont="1" applyFill="1" applyBorder="1" applyProtection="1">
      <protection locked="0" hidden="1"/>
    </xf>
    <xf numFmtId="37" fontId="6" fillId="3" borderId="70" xfId="0" applyNumberFormat="1" applyFont="1" applyFill="1" applyBorder="1" applyProtection="1">
      <protection hidden="1"/>
    </xf>
    <xf numFmtId="37" fontId="40" fillId="5" borderId="41" xfId="0" applyNumberFormat="1" applyFont="1" applyFill="1" applyBorder="1" applyProtection="1">
      <protection locked="0" hidden="1"/>
    </xf>
    <xf numFmtId="37" fontId="6" fillId="5" borderId="82" xfId="0" applyNumberFormat="1" applyFont="1" applyFill="1" applyBorder="1" applyProtection="1">
      <protection hidden="1"/>
    </xf>
    <xf numFmtId="37" fontId="6" fillId="5" borderId="55" xfId="0" applyNumberFormat="1" applyFont="1" applyFill="1" applyBorder="1" applyProtection="1">
      <protection hidden="1"/>
    </xf>
    <xf numFmtId="37" fontId="40" fillId="5" borderId="53" xfId="0" applyNumberFormat="1" applyFont="1" applyFill="1" applyBorder="1" applyProtection="1">
      <protection locked="0" hidden="1"/>
    </xf>
    <xf numFmtId="37" fontId="6" fillId="5" borderId="70" xfId="0" applyNumberFormat="1" applyFont="1" applyFill="1" applyBorder="1" applyProtection="1">
      <protection hidden="1"/>
    </xf>
    <xf numFmtId="37" fontId="6" fillId="5" borderId="105" xfId="0" applyNumberFormat="1" applyFont="1" applyFill="1" applyBorder="1" applyProtection="1">
      <protection hidden="1"/>
    </xf>
    <xf numFmtId="37" fontId="6" fillId="3" borderId="41" xfId="0" applyNumberFormat="1" applyFont="1" applyFill="1" applyBorder="1" applyProtection="1">
      <protection locked="0" hidden="1"/>
    </xf>
    <xf numFmtId="37" fontId="6" fillId="3" borderId="43" xfId="0" applyNumberFormat="1" applyFont="1" applyFill="1" applyBorder="1" applyProtection="1">
      <protection locked="0" hidden="1"/>
    </xf>
    <xf numFmtId="0" fontId="19" fillId="0" borderId="20" xfId="0" applyFont="1" applyBorder="1" applyProtection="1">
      <protection hidden="1"/>
    </xf>
    <xf numFmtId="0" fontId="19" fillId="0" borderId="38" xfId="0" applyFont="1" applyBorder="1" applyProtection="1">
      <protection hidden="1"/>
    </xf>
    <xf numFmtId="0" fontId="6" fillId="0" borderId="0" xfId="0" quotePrefix="1" applyFont="1" applyAlignment="1">
      <alignment horizontal="center"/>
    </xf>
    <xf numFmtId="0" fontId="6" fillId="22" borderId="0" xfId="0" applyFont="1" applyFill="1"/>
    <xf numFmtId="0" fontId="31" fillId="23" borderId="9" xfId="0" applyFont="1" applyFill="1" applyBorder="1" applyProtection="1">
      <protection hidden="1"/>
    </xf>
    <xf numFmtId="0" fontId="6" fillId="23" borderId="9" xfId="0" applyFont="1" applyFill="1" applyBorder="1"/>
    <xf numFmtId="0" fontId="6" fillId="22" borderId="9" xfId="0" applyFont="1" applyFill="1" applyBorder="1"/>
    <xf numFmtId="0" fontId="6" fillId="22" borderId="13" xfId="0" applyFont="1" applyFill="1" applyBorder="1"/>
    <xf numFmtId="0" fontId="6" fillId="22" borderId="3" xfId="0" applyFont="1" applyFill="1" applyBorder="1"/>
    <xf numFmtId="0" fontId="31" fillId="23" borderId="67" xfId="0" applyFont="1" applyFill="1" applyBorder="1" applyProtection="1">
      <protection hidden="1"/>
    </xf>
    <xf numFmtId="0" fontId="21" fillId="2" borderId="103" xfId="0" applyFont="1" applyFill="1" applyBorder="1" applyAlignment="1" applyProtection="1">
      <alignment horizontal="center"/>
      <protection hidden="1"/>
    </xf>
    <xf numFmtId="0" fontId="21" fillId="2" borderId="68" xfId="0" applyFont="1" applyFill="1" applyBorder="1" applyAlignment="1" applyProtection="1">
      <alignment horizontal="center"/>
      <protection hidden="1"/>
    </xf>
    <xf numFmtId="0" fontId="21" fillId="2" borderId="106" xfId="0" applyFont="1" applyFill="1" applyBorder="1" applyAlignment="1" applyProtection="1">
      <alignment horizontal="center"/>
      <protection hidden="1"/>
    </xf>
    <xf numFmtId="37" fontId="40" fillId="3" borderId="70" xfId="15" applyNumberFormat="1" applyFont="1" applyFill="1" applyBorder="1" applyProtection="1">
      <protection locked="0" hidden="1"/>
    </xf>
    <xf numFmtId="37" fontId="6" fillId="3" borderId="70" xfId="15" applyNumberFormat="1" applyFill="1" applyBorder="1" applyProtection="1">
      <protection hidden="1"/>
    </xf>
    <xf numFmtId="37" fontId="6" fillId="5" borderId="70" xfId="15" applyNumberFormat="1" applyFill="1" applyBorder="1" applyProtection="1">
      <protection hidden="1"/>
    </xf>
    <xf numFmtId="37" fontId="6" fillId="23" borderId="52" xfId="0" applyNumberFormat="1" applyFont="1" applyFill="1" applyBorder="1" applyProtection="1">
      <protection hidden="1"/>
    </xf>
    <xf numFmtId="37" fontId="6" fillId="23" borderId="11" xfId="0" applyNumberFormat="1" applyFont="1" applyFill="1" applyBorder="1" applyProtection="1">
      <protection hidden="1"/>
    </xf>
    <xf numFmtId="49" fontId="19" fillId="0" borderId="35" xfId="0" applyNumberFormat="1" applyFont="1" applyBorder="1" applyProtection="1">
      <protection hidden="1"/>
    </xf>
    <xf numFmtId="0" fontId="31" fillId="0" borderId="11" xfId="0" applyFont="1" applyBorder="1" applyProtection="1">
      <protection hidden="1"/>
    </xf>
    <xf numFmtId="49" fontId="89" fillId="0" borderId="0" xfId="0" applyNumberFormat="1" applyFont="1" applyAlignment="1">
      <alignment horizontal="center"/>
    </xf>
    <xf numFmtId="49" fontId="89" fillId="0" borderId="0" xfId="0" applyNumberFormat="1" applyFont="1" applyAlignment="1">
      <alignment horizontal="left"/>
    </xf>
    <xf numFmtId="49" fontId="54" fillId="0" borderId="0" xfId="0" applyNumberFormat="1" applyFont="1" applyAlignment="1">
      <alignment horizontal="left"/>
    </xf>
    <xf numFmtId="49" fontId="19" fillId="23" borderId="68" xfId="0" applyNumberFormat="1" applyFont="1" applyFill="1" applyBorder="1" applyProtection="1">
      <protection hidden="1"/>
    </xf>
    <xf numFmtId="49" fontId="19" fillId="23" borderId="106" xfId="0" applyNumberFormat="1" applyFont="1" applyFill="1" applyBorder="1" applyProtection="1">
      <protection hidden="1"/>
    </xf>
    <xf numFmtId="0" fontId="31" fillId="23" borderId="115" xfId="0" applyFont="1" applyFill="1" applyBorder="1" applyProtection="1">
      <protection hidden="1"/>
    </xf>
    <xf numFmtId="49" fontId="19" fillId="23" borderId="103" xfId="0" applyNumberFormat="1" applyFont="1" applyFill="1" applyBorder="1" applyProtection="1">
      <protection hidden="1"/>
    </xf>
    <xf numFmtId="0" fontId="31" fillId="23" borderId="64" xfId="0" applyFont="1" applyFill="1" applyBorder="1" applyProtection="1">
      <protection hidden="1"/>
    </xf>
    <xf numFmtId="0" fontId="19" fillId="0" borderId="5" xfId="0" applyFont="1" applyBorder="1" applyProtection="1">
      <protection hidden="1"/>
    </xf>
    <xf numFmtId="37" fontId="40" fillId="3" borderId="43" xfId="15" applyNumberFormat="1" applyFont="1" applyFill="1" applyBorder="1" applyProtection="1">
      <protection locked="0" hidden="1"/>
    </xf>
    <xf numFmtId="37" fontId="40" fillId="5" borderId="43" xfId="15" applyNumberFormat="1" applyFont="1" applyFill="1" applyBorder="1" applyProtection="1">
      <protection locked="0" hidden="1"/>
    </xf>
    <xf numFmtId="0" fontId="13" fillId="24" borderId="0" xfId="0" applyFont="1" applyFill="1" applyAlignment="1">
      <alignment horizontal="right"/>
    </xf>
    <xf numFmtId="37" fontId="6" fillId="3" borderId="79" xfId="0" applyNumberFormat="1" applyFont="1" applyFill="1" applyBorder="1" applyProtection="1">
      <protection hidden="1"/>
    </xf>
    <xf numFmtId="37" fontId="6" fillId="3" borderId="68" xfId="0" applyNumberFormat="1" applyFont="1" applyFill="1" applyBorder="1" applyProtection="1">
      <protection hidden="1"/>
    </xf>
    <xf numFmtId="37" fontId="6" fillId="3" borderId="84" xfId="0" applyNumberFormat="1" applyFont="1" applyFill="1" applyBorder="1" applyProtection="1">
      <protection hidden="1"/>
    </xf>
    <xf numFmtId="37" fontId="6" fillId="23" borderId="40" xfId="0" applyNumberFormat="1" applyFont="1" applyFill="1" applyBorder="1" applyProtection="1">
      <protection hidden="1"/>
    </xf>
    <xf numFmtId="37" fontId="6" fillId="23" borderId="47" xfId="0" applyNumberFormat="1" applyFont="1" applyFill="1" applyBorder="1" applyProtection="1">
      <protection hidden="1"/>
    </xf>
    <xf numFmtId="37" fontId="6" fillId="23" borderId="53" xfId="0" applyNumberFormat="1" applyFont="1" applyFill="1" applyBorder="1" applyProtection="1">
      <protection hidden="1"/>
    </xf>
    <xf numFmtId="37" fontId="6" fillId="23" borderId="105" xfId="0" applyNumberFormat="1" applyFont="1" applyFill="1" applyBorder="1" applyProtection="1">
      <protection hidden="1"/>
    </xf>
    <xf numFmtId="37" fontId="6" fillId="23" borderId="70" xfId="0" applyNumberFormat="1" applyFont="1" applyFill="1" applyBorder="1" applyProtection="1">
      <protection hidden="1"/>
    </xf>
    <xf numFmtId="0" fontId="6" fillId="0" borderId="8" xfId="0" applyFont="1" applyBorder="1"/>
    <xf numFmtId="37" fontId="40" fillId="3" borderId="75" xfId="0" applyNumberFormat="1" applyFont="1" applyFill="1" applyBorder="1" applyProtection="1">
      <protection locked="0" hidden="1"/>
    </xf>
    <xf numFmtId="37" fontId="6" fillId="3" borderId="74" xfId="0" applyNumberFormat="1" applyFont="1" applyFill="1" applyBorder="1" applyProtection="1">
      <protection hidden="1"/>
    </xf>
    <xf numFmtId="37" fontId="6" fillId="3" borderId="106" xfId="0" applyNumberFormat="1" applyFont="1" applyFill="1" applyBorder="1" applyProtection="1">
      <protection hidden="1"/>
    </xf>
    <xf numFmtId="37" fontId="6" fillId="23" borderId="41" xfId="0" applyNumberFormat="1" applyFont="1" applyFill="1" applyBorder="1" applyProtection="1">
      <protection hidden="1"/>
    </xf>
    <xf numFmtId="37" fontId="6" fillId="23" borderId="80" xfId="0" applyNumberFormat="1" applyFont="1" applyFill="1" applyBorder="1" applyProtection="1">
      <protection hidden="1"/>
    </xf>
    <xf numFmtId="37" fontId="6" fillId="23" borderId="82" xfId="0" applyNumberFormat="1" applyFont="1" applyFill="1" applyBorder="1" applyProtection="1">
      <protection hidden="1"/>
    </xf>
    <xf numFmtId="37" fontId="6" fillId="23" borderId="79" xfId="0" applyNumberFormat="1" applyFont="1" applyFill="1" applyBorder="1" applyProtection="1">
      <protection hidden="1"/>
    </xf>
    <xf numFmtId="37" fontId="6" fillId="23" borderId="84" xfId="0" applyNumberFormat="1" applyFont="1" applyFill="1" applyBorder="1" applyProtection="1">
      <protection hidden="1"/>
    </xf>
    <xf numFmtId="37" fontId="40" fillId="5" borderId="75" xfId="0" applyNumberFormat="1" applyFont="1" applyFill="1" applyBorder="1" applyProtection="1">
      <protection locked="0" hidden="1"/>
    </xf>
    <xf numFmtId="37" fontId="6" fillId="5" borderId="74" xfId="0" applyNumberFormat="1" applyFont="1" applyFill="1" applyBorder="1" applyProtection="1">
      <protection hidden="1"/>
    </xf>
    <xf numFmtId="37" fontId="6" fillId="5" borderId="66" xfId="0" applyNumberFormat="1" applyFont="1" applyFill="1" applyBorder="1" applyProtection="1">
      <protection hidden="1"/>
    </xf>
    <xf numFmtId="37" fontId="6" fillId="23" borderId="27" xfId="0" applyNumberFormat="1" applyFont="1" applyFill="1" applyBorder="1" applyProtection="1">
      <protection hidden="1"/>
    </xf>
    <xf numFmtId="37" fontId="6" fillId="3" borderId="103" xfId="0" applyNumberFormat="1" applyFont="1" applyFill="1" applyBorder="1" applyProtection="1">
      <protection hidden="1"/>
    </xf>
    <xf numFmtId="0" fontId="21" fillId="22" borderId="3" xfId="0" applyFont="1" applyFill="1" applyBorder="1" applyAlignment="1" applyProtection="1">
      <alignment horizontal="center"/>
      <protection hidden="1"/>
    </xf>
    <xf numFmtId="49" fontId="19" fillId="0" borderId="28" xfId="0" applyNumberFormat="1" applyFont="1" applyBorder="1" applyProtection="1">
      <protection hidden="1"/>
    </xf>
    <xf numFmtId="0" fontId="31" fillId="0" borderId="115" xfId="0" applyFont="1" applyBorder="1" applyProtection="1">
      <protection hidden="1"/>
    </xf>
    <xf numFmtId="0" fontId="6" fillId="0" borderId="9" xfId="0" applyFont="1" applyBorder="1"/>
    <xf numFmtId="0" fontId="6" fillId="0" borderId="11" xfId="0" applyFont="1" applyBorder="1"/>
    <xf numFmtId="37" fontId="7" fillId="3" borderId="0" xfId="0" applyNumberFormat="1" applyFont="1" applyFill="1" applyProtection="1">
      <protection locked="0"/>
    </xf>
    <xf numFmtId="37" fontId="7" fillId="5" borderId="0" xfId="0" applyNumberFormat="1" applyFont="1" applyFill="1" applyProtection="1">
      <protection locked="0"/>
    </xf>
    <xf numFmtId="0" fontId="7" fillId="17" borderId="0" xfId="0" applyFont="1" applyFill="1" applyAlignment="1">
      <alignment horizontal="right"/>
    </xf>
    <xf numFmtId="0" fontId="7" fillId="24" borderId="0" xfId="0" applyFont="1" applyFill="1" applyAlignment="1">
      <alignment horizontal="right"/>
    </xf>
    <xf numFmtId="0" fontId="7" fillId="19" borderId="0" xfId="0" applyFont="1" applyFill="1" applyAlignment="1">
      <alignment horizontal="right"/>
    </xf>
    <xf numFmtId="0" fontId="7" fillId="25" borderId="0" xfId="0" applyFont="1" applyFill="1"/>
    <xf numFmtId="0" fontId="14" fillId="3" borderId="5" xfId="0" applyFont="1" applyFill="1" applyBorder="1" applyAlignment="1" applyProtection="1">
      <alignment horizontal="center" vertical="center" wrapText="1"/>
      <protection hidden="1"/>
    </xf>
    <xf numFmtId="0" fontId="14" fillId="3" borderId="63" xfId="0" applyFont="1" applyFill="1" applyBorder="1" applyAlignment="1" applyProtection="1">
      <alignment horizontal="center" vertical="center" wrapText="1"/>
      <protection hidden="1"/>
    </xf>
    <xf numFmtId="0" fontId="14" fillId="3" borderId="7" xfId="0" applyFont="1" applyFill="1" applyBorder="1" applyAlignment="1" applyProtection="1">
      <alignment horizontal="center" vertical="center" wrapText="1"/>
      <protection hidden="1"/>
    </xf>
    <xf numFmtId="0" fontId="19" fillId="0" borderId="34" xfId="0" applyFont="1" applyBorder="1" applyAlignment="1" applyProtection="1">
      <alignment horizontal="center"/>
      <protection hidden="1"/>
    </xf>
    <xf numFmtId="0" fontId="14" fillId="5" borderId="5" xfId="0" applyFont="1" applyFill="1" applyBorder="1" applyAlignment="1" applyProtection="1">
      <alignment horizontal="center" vertical="center" wrapText="1"/>
      <protection hidden="1"/>
    </xf>
    <xf numFmtId="0" fontId="14" fillId="5" borderId="63" xfId="0" applyFont="1" applyFill="1" applyBorder="1" applyAlignment="1" applyProtection="1">
      <alignment horizontal="center" vertical="center" wrapText="1"/>
      <protection hidden="1"/>
    </xf>
    <xf numFmtId="0" fontId="14" fillId="5" borderId="7" xfId="0" applyFont="1" applyFill="1" applyBorder="1" applyAlignment="1" applyProtection="1">
      <alignment horizontal="center" vertical="center" wrapText="1"/>
      <protection hidden="1"/>
    </xf>
    <xf numFmtId="37" fontId="6" fillId="23" borderId="52" xfId="15" applyNumberFormat="1" applyFill="1" applyBorder="1" applyProtection="1">
      <protection hidden="1"/>
    </xf>
    <xf numFmtId="37" fontId="40" fillId="5" borderId="71" xfId="0" applyNumberFormat="1" applyFont="1" applyFill="1" applyBorder="1" applyProtection="1">
      <protection locked="0" hidden="1"/>
    </xf>
    <xf numFmtId="37" fontId="6" fillId="23" borderId="63" xfId="15" applyNumberFormat="1" applyFill="1" applyBorder="1" applyProtection="1">
      <protection hidden="1"/>
    </xf>
    <xf numFmtId="37" fontId="6" fillId="23" borderId="111" xfId="0" applyNumberFormat="1" applyFont="1" applyFill="1" applyBorder="1" applyProtection="1">
      <protection hidden="1"/>
    </xf>
    <xf numFmtId="37" fontId="6" fillId="23" borderId="40" xfId="15" applyNumberFormat="1" applyFill="1" applyBorder="1" applyProtection="1">
      <protection hidden="1"/>
    </xf>
    <xf numFmtId="0" fontId="21" fillId="26" borderId="77" xfId="0" applyFont="1" applyFill="1" applyBorder="1" applyAlignment="1">
      <alignment horizontal="center"/>
    </xf>
    <xf numFmtId="0" fontId="23" fillId="2" borderId="5" xfId="0" applyFont="1" applyFill="1" applyBorder="1" applyProtection="1">
      <protection hidden="1"/>
    </xf>
    <xf numFmtId="0" fontId="96" fillId="0" borderId="0" xfId="0" applyFont="1"/>
    <xf numFmtId="0" fontId="97" fillId="0" borderId="0" xfId="0" applyFont="1"/>
    <xf numFmtId="0" fontId="21" fillId="26" borderId="99" xfId="0" applyFont="1" applyFill="1" applyBorder="1" applyAlignment="1">
      <alignment horizontal="center"/>
    </xf>
    <xf numFmtId="49" fontId="6" fillId="0" borderId="0" xfId="0" applyNumberFormat="1" applyFont="1" applyAlignment="1">
      <alignment horizontal="left"/>
    </xf>
    <xf numFmtId="179" fontId="6" fillId="0" borderId="0" xfId="0" applyNumberFormat="1" applyFont="1" applyAlignment="1">
      <alignment horizontal="left"/>
    </xf>
    <xf numFmtId="0" fontId="96" fillId="23" borderId="29" xfId="0" applyFont="1" applyFill="1" applyBorder="1" applyProtection="1">
      <protection hidden="1"/>
    </xf>
    <xf numFmtId="0" fontId="31" fillId="23" borderId="29" xfId="0" applyFont="1" applyFill="1" applyBorder="1" applyProtection="1">
      <protection hidden="1"/>
    </xf>
    <xf numFmtId="0" fontId="7" fillId="3" borderId="5" xfId="0" applyFont="1" applyFill="1" applyBorder="1" applyAlignment="1" applyProtection="1">
      <alignment horizontal="center"/>
      <protection hidden="1"/>
    </xf>
    <xf numFmtId="0" fontId="21" fillId="4" borderId="4" xfId="0" applyFont="1" applyFill="1" applyBorder="1" applyAlignment="1" applyProtection="1">
      <alignment horizontal="center"/>
      <protection hidden="1"/>
    </xf>
    <xf numFmtId="37" fontId="6" fillId="3" borderId="58" xfId="0" applyNumberFormat="1" applyFont="1" applyFill="1" applyBorder="1" applyProtection="1">
      <protection hidden="1"/>
    </xf>
    <xf numFmtId="37" fontId="6" fillId="5" borderId="58" xfId="0" applyNumberFormat="1" applyFont="1" applyFill="1" applyBorder="1" applyProtection="1">
      <protection hidden="1"/>
    </xf>
    <xf numFmtId="0" fontId="35" fillId="3" borderId="12" xfId="0" applyFont="1" applyFill="1" applyBorder="1" applyAlignment="1" applyProtection="1">
      <alignment horizontal="center"/>
      <protection hidden="1"/>
    </xf>
    <xf numFmtId="0" fontId="35" fillId="3" borderId="81" xfId="0" applyFont="1" applyFill="1" applyBorder="1" applyAlignment="1" applyProtection="1">
      <alignment horizontal="center"/>
      <protection hidden="1"/>
    </xf>
    <xf numFmtId="0" fontId="35" fillId="3" borderId="8" xfId="0" applyFont="1" applyFill="1" applyBorder="1" applyAlignment="1" applyProtection="1">
      <alignment horizontal="center"/>
      <protection hidden="1"/>
    </xf>
    <xf numFmtId="0" fontId="35" fillId="5" borderId="12" xfId="0" applyFont="1" applyFill="1" applyBorder="1" applyAlignment="1" applyProtection="1">
      <alignment horizontal="center"/>
      <protection hidden="1"/>
    </xf>
    <xf numFmtId="0" fontId="35" fillId="5" borderId="81" xfId="0" applyFont="1" applyFill="1" applyBorder="1" applyAlignment="1" applyProtection="1">
      <alignment horizontal="center"/>
      <protection hidden="1"/>
    </xf>
    <xf numFmtId="0" fontId="35" fillId="5" borderId="8" xfId="0" applyFont="1" applyFill="1" applyBorder="1" applyAlignment="1" applyProtection="1">
      <alignment horizontal="center"/>
      <protection hidden="1"/>
    </xf>
    <xf numFmtId="0" fontId="7" fillId="10" borderId="51" xfId="0" applyFont="1" applyFill="1" applyBorder="1" applyProtection="1">
      <protection hidden="1"/>
    </xf>
    <xf numFmtId="37" fontId="40" fillId="3" borderId="41" xfId="15" applyNumberFormat="1" applyFont="1" applyFill="1" applyBorder="1" applyProtection="1">
      <protection locked="0" hidden="1"/>
    </xf>
    <xf numFmtId="10" fontId="6" fillId="3" borderId="82" xfId="0" applyNumberFormat="1" applyFont="1" applyFill="1" applyBorder="1" applyProtection="1">
      <protection hidden="1"/>
    </xf>
    <xf numFmtId="10" fontId="6" fillId="3" borderId="55" xfId="0" applyNumberFormat="1" applyFont="1" applyFill="1" applyBorder="1" applyProtection="1">
      <protection hidden="1"/>
    </xf>
    <xf numFmtId="37" fontId="40" fillId="3" borderId="53" xfId="15" applyNumberFormat="1" applyFont="1" applyFill="1" applyBorder="1" applyProtection="1">
      <protection locked="0" hidden="1"/>
    </xf>
    <xf numFmtId="10" fontId="6" fillId="3" borderId="105" xfId="0" applyNumberFormat="1" applyFont="1" applyFill="1" applyBorder="1" applyProtection="1">
      <protection hidden="1"/>
    </xf>
    <xf numFmtId="37" fontId="40" fillId="5" borderId="41" xfId="15" applyNumberFormat="1" applyFont="1" applyFill="1" applyBorder="1" applyProtection="1">
      <protection locked="0" hidden="1"/>
    </xf>
    <xf numFmtId="37" fontId="40" fillId="5" borderId="53" xfId="15" applyNumberFormat="1" applyFont="1" applyFill="1" applyBorder="1" applyProtection="1">
      <protection locked="0" hidden="1"/>
    </xf>
    <xf numFmtId="0" fontId="7" fillId="10" borderId="49" xfId="0" applyFont="1" applyFill="1" applyBorder="1" applyProtection="1">
      <protection locked="0" hidden="1"/>
    </xf>
    <xf numFmtId="0" fontId="7" fillId="10" borderId="101" xfId="0" applyFont="1" applyFill="1" applyBorder="1" applyProtection="1">
      <protection hidden="1"/>
    </xf>
    <xf numFmtId="0" fontId="7" fillId="10" borderId="56" xfId="0" applyFont="1" applyFill="1" applyBorder="1" applyProtection="1">
      <protection hidden="1"/>
    </xf>
    <xf numFmtId="3" fontId="7" fillId="23" borderId="0" xfId="34" applyFont="1" applyFill="1" applyProtection="1">
      <protection locked="0" hidden="1"/>
    </xf>
    <xf numFmtId="0" fontId="19" fillId="0" borderId="24" xfId="0" applyFont="1" applyBorder="1" applyProtection="1">
      <protection hidden="1"/>
    </xf>
    <xf numFmtId="0" fontId="64" fillId="0" borderId="19" xfId="35" applyFont="1" applyBorder="1" applyAlignment="1" applyProtection="1">
      <protection hidden="1"/>
    </xf>
    <xf numFmtId="0" fontId="7" fillId="0" borderId="6" xfId="0" applyFont="1" applyBorder="1" applyAlignment="1" applyProtection="1">
      <alignment horizontal="right"/>
      <protection hidden="1"/>
    </xf>
    <xf numFmtId="37" fontId="6" fillId="28" borderId="41" xfId="0" applyNumberFormat="1" applyFont="1" applyFill="1" applyBorder="1" applyProtection="1">
      <protection locked="0" hidden="1"/>
    </xf>
    <xf numFmtId="0" fontId="19" fillId="23" borderId="33" xfId="0" applyFont="1" applyFill="1" applyBorder="1" applyProtection="1">
      <protection hidden="1"/>
    </xf>
    <xf numFmtId="0" fontId="31" fillId="23" borderId="22" xfId="0" applyFont="1" applyFill="1" applyBorder="1" applyProtection="1">
      <protection hidden="1"/>
    </xf>
    <xf numFmtId="0" fontId="19" fillId="23" borderId="42" xfId="0" applyFont="1" applyFill="1" applyBorder="1" applyProtection="1">
      <protection hidden="1"/>
    </xf>
    <xf numFmtId="0" fontId="19" fillId="23" borderId="48" xfId="0" applyFont="1" applyFill="1" applyBorder="1" applyProtection="1">
      <protection hidden="1"/>
    </xf>
    <xf numFmtId="0" fontId="31" fillId="23" borderId="25" xfId="0" applyFont="1" applyFill="1" applyBorder="1" applyProtection="1">
      <protection hidden="1"/>
    </xf>
    <xf numFmtId="0" fontId="96" fillId="23" borderId="33" xfId="0" applyFont="1" applyFill="1" applyBorder="1" applyProtection="1">
      <protection hidden="1"/>
    </xf>
    <xf numFmtId="0" fontId="96" fillId="23" borderId="22" xfId="0" applyFont="1" applyFill="1" applyBorder="1" applyProtection="1">
      <protection hidden="1"/>
    </xf>
    <xf numFmtId="0" fontId="96" fillId="23" borderId="48" xfId="0" applyFont="1" applyFill="1" applyBorder="1" applyProtection="1">
      <protection hidden="1"/>
    </xf>
    <xf numFmtId="0" fontId="96" fillId="23" borderId="25" xfId="0" applyFont="1" applyFill="1" applyBorder="1" applyProtection="1">
      <protection hidden="1"/>
    </xf>
    <xf numFmtId="37" fontId="6" fillId="28" borderId="43" xfId="0" applyNumberFormat="1" applyFont="1" applyFill="1" applyBorder="1" applyProtection="1">
      <protection locked="0" hidden="1"/>
    </xf>
    <xf numFmtId="37" fontId="6" fillId="28" borderId="41" xfId="0" applyNumberFormat="1" applyFont="1" applyFill="1" applyBorder="1" applyProtection="1">
      <protection hidden="1"/>
    </xf>
    <xf numFmtId="37" fontId="6" fillId="28" borderId="43" xfId="0" applyNumberFormat="1" applyFont="1" applyFill="1" applyBorder="1" applyProtection="1">
      <protection hidden="1"/>
    </xf>
    <xf numFmtId="37" fontId="6" fillId="27" borderId="79" xfId="0" applyNumberFormat="1" applyFont="1" applyFill="1" applyBorder="1" applyProtection="1">
      <protection hidden="1"/>
    </xf>
    <xf numFmtId="37" fontId="6" fillId="27" borderId="68" xfId="0" applyNumberFormat="1" applyFont="1" applyFill="1" applyBorder="1" applyProtection="1">
      <protection hidden="1"/>
    </xf>
    <xf numFmtId="37" fontId="6" fillId="27" borderId="84" xfId="0" applyNumberFormat="1" applyFont="1" applyFill="1" applyBorder="1" applyProtection="1">
      <protection hidden="1"/>
    </xf>
    <xf numFmtId="0" fontId="21" fillId="23" borderId="22" xfId="0" applyFont="1" applyFill="1" applyBorder="1" applyAlignment="1" applyProtection="1">
      <alignment horizontal="center"/>
      <protection hidden="1"/>
    </xf>
    <xf numFmtId="0" fontId="21" fillId="23" borderId="25" xfId="0" applyFont="1" applyFill="1" applyBorder="1" applyAlignment="1" applyProtection="1">
      <alignment horizontal="center"/>
      <protection hidden="1"/>
    </xf>
    <xf numFmtId="37" fontId="6" fillId="3" borderId="53" xfId="0" applyNumberFormat="1" applyFont="1" applyFill="1" applyBorder="1" applyProtection="1">
      <protection hidden="1"/>
    </xf>
    <xf numFmtId="37" fontId="6" fillId="28" borderId="53" xfId="0" applyNumberFormat="1" applyFont="1" applyFill="1" applyBorder="1" applyProtection="1">
      <protection hidden="1"/>
    </xf>
    <xf numFmtId="0" fontId="96" fillId="23" borderId="22" xfId="0" applyFont="1" applyFill="1" applyBorder="1" applyAlignment="1" applyProtection="1">
      <alignment horizontal="center"/>
      <protection hidden="1"/>
    </xf>
    <xf numFmtId="0" fontId="96" fillId="23" borderId="25" xfId="0" applyFont="1" applyFill="1" applyBorder="1" applyAlignment="1" applyProtection="1">
      <alignment horizontal="center"/>
      <protection hidden="1"/>
    </xf>
    <xf numFmtId="0" fontId="23" fillId="2" borderId="1" xfId="0" applyFont="1" applyFill="1" applyBorder="1" applyProtection="1">
      <protection hidden="1"/>
    </xf>
    <xf numFmtId="0" fontId="23" fillId="2" borderId="4" xfId="0" applyFont="1" applyFill="1" applyBorder="1" applyProtection="1">
      <protection hidden="1"/>
    </xf>
    <xf numFmtId="37" fontId="6" fillId="5" borderId="41" xfId="0" applyNumberFormat="1" applyFont="1" applyFill="1" applyBorder="1" applyProtection="1">
      <protection locked="0" hidden="1"/>
    </xf>
    <xf numFmtId="37" fontId="6" fillId="3" borderId="53" xfId="0" applyNumberFormat="1" applyFont="1" applyFill="1" applyBorder="1" applyProtection="1">
      <protection locked="0" hidden="1"/>
    </xf>
    <xf numFmtId="37" fontId="6" fillId="28" borderId="53" xfId="0" applyNumberFormat="1" applyFont="1" applyFill="1" applyBorder="1" applyProtection="1">
      <protection locked="0" hidden="1"/>
    </xf>
    <xf numFmtId="0" fontId="9" fillId="0" borderId="63" xfId="0" applyFont="1" applyBorder="1"/>
    <xf numFmtId="0" fontId="9" fillId="0" borderId="0" xfId="0" applyFont="1"/>
    <xf numFmtId="49" fontId="38" fillId="23" borderId="0" xfId="0" applyNumberFormat="1" applyFont="1" applyFill="1"/>
    <xf numFmtId="0" fontId="100" fillId="0" borderId="20" xfId="35" applyFont="1" applyBorder="1" applyAlignment="1" applyProtection="1">
      <protection hidden="1"/>
    </xf>
    <xf numFmtId="0" fontId="21" fillId="4" borderId="14" xfId="0" applyFont="1" applyFill="1" applyBorder="1" applyProtection="1">
      <protection hidden="1"/>
    </xf>
    <xf numFmtId="0" fontId="100" fillId="0" borderId="20" xfId="0" applyFont="1" applyBorder="1"/>
    <xf numFmtId="0" fontId="64" fillId="0" borderId="38" xfId="35" applyFont="1" applyBorder="1" applyAlignment="1" applyProtection="1">
      <protection hidden="1"/>
    </xf>
    <xf numFmtId="0" fontId="102" fillId="0" borderId="10" xfId="0" applyFont="1" applyBorder="1"/>
    <xf numFmtId="49" fontId="28" fillId="0" borderId="10" xfId="0" applyNumberFormat="1" applyFont="1" applyBorder="1" applyProtection="1">
      <protection hidden="1"/>
    </xf>
    <xf numFmtId="0" fontId="95" fillId="22" borderId="10" xfId="0" applyFont="1" applyFill="1" applyBorder="1" applyProtection="1">
      <protection hidden="1"/>
    </xf>
    <xf numFmtId="49" fontId="97" fillId="23" borderId="10" xfId="0" applyNumberFormat="1" applyFont="1" applyFill="1" applyBorder="1" applyProtection="1">
      <protection hidden="1"/>
    </xf>
    <xf numFmtId="0" fontId="28" fillId="23" borderId="10" xfId="0" applyFont="1" applyFill="1" applyBorder="1" applyProtection="1">
      <protection hidden="1"/>
    </xf>
    <xf numFmtId="37" fontId="6" fillId="5" borderId="8" xfId="0" applyNumberFormat="1" applyFont="1" applyFill="1" applyBorder="1" applyProtection="1">
      <protection hidden="1"/>
    </xf>
    <xf numFmtId="37" fontId="6" fillId="5" borderId="29" xfId="0" applyNumberFormat="1" applyFont="1" applyFill="1" applyBorder="1" applyProtection="1">
      <protection hidden="1"/>
    </xf>
    <xf numFmtId="37" fontId="6" fillId="5" borderId="22" xfId="0" applyNumberFormat="1" applyFont="1" applyFill="1" applyBorder="1" applyProtection="1">
      <protection hidden="1"/>
    </xf>
    <xf numFmtId="37" fontId="6" fillId="5" borderId="23" xfId="0" applyNumberFormat="1" applyFont="1" applyFill="1" applyBorder="1" applyProtection="1">
      <protection hidden="1"/>
    </xf>
    <xf numFmtId="37" fontId="6" fillId="0" borderId="9" xfId="0" applyNumberFormat="1" applyFont="1" applyBorder="1" applyProtection="1">
      <protection hidden="1"/>
    </xf>
    <xf numFmtId="37" fontId="16" fillId="5" borderId="1" xfId="0" applyNumberFormat="1" applyFont="1" applyFill="1" applyBorder="1" applyProtection="1">
      <protection hidden="1"/>
    </xf>
    <xf numFmtId="37" fontId="6" fillId="5" borderId="54" xfId="15" applyNumberFormat="1" applyFill="1" applyBorder="1" applyProtection="1">
      <protection hidden="1"/>
    </xf>
    <xf numFmtId="0" fontId="12" fillId="0" borderId="54" xfId="0" applyFont="1" applyBorder="1" applyAlignment="1" applyProtection="1">
      <alignment horizontal="center"/>
      <protection hidden="1"/>
    </xf>
    <xf numFmtId="10" fontId="6" fillId="5" borderId="79" xfId="0" applyNumberFormat="1" applyFont="1" applyFill="1" applyBorder="1" applyProtection="1">
      <protection hidden="1"/>
    </xf>
    <xf numFmtId="10" fontId="6" fillId="5" borderId="68" xfId="0" applyNumberFormat="1" applyFont="1" applyFill="1" applyBorder="1" applyProtection="1">
      <protection hidden="1"/>
    </xf>
    <xf numFmtId="10" fontId="6" fillId="5" borderId="84" xfId="0" applyNumberFormat="1" applyFont="1" applyFill="1" applyBorder="1" applyProtection="1">
      <protection hidden="1"/>
    </xf>
    <xf numFmtId="10" fontId="6" fillId="5" borderId="103" xfId="0" applyNumberFormat="1" applyFont="1" applyFill="1" applyBorder="1" applyProtection="1">
      <protection hidden="1"/>
    </xf>
    <xf numFmtId="10" fontId="16" fillId="0" borderId="84" xfId="0" applyNumberFormat="1" applyFont="1" applyBorder="1" applyProtection="1">
      <protection hidden="1"/>
    </xf>
    <xf numFmtId="10" fontId="6" fillId="5" borderId="22" xfId="0" applyNumberFormat="1" applyFont="1" applyFill="1" applyBorder="1" applyProtection="1">
      <protection hidden="1"/>
    </xf>
    <xf numFmtId="10" fontId="6" fillId="5" borderId="1" xfId="0" applyNumberFormat="1" applyFont="1" applyFill="1" applyBorder="1" applyProtection="1">
      <protection hidden="1"/>
    </xf>
    <xf numFmtId="10" fontId="6" fillId="5" borderId="23" xfId="0" applyNumberFormat="1" applyFont="1" applyFill="1" applyBorder="1" applyProtection="1">
      <protection hidden="1"/>
    </xf>
    <xf numFmtId="10" fontId="6" fillId="5" borderId="9" xfId="0" applyNumberFormat="1" applyFont="1" applyFill="1" applyBorder="1" applyProtection="1">
      <protection hidden="1"/>
    </xf>
    <xf numFmtId="0" fontId="19" fillId="0" borderId="6" xfId="0" applyFont="1" applyBorder="1" applyAlignment="1" applyProtection="1">
      <alignment horizontal="center"/>
      <protection hidden="1"/>
    </xf>
    <xf numFmtId="37" fontId="57" fillId="9" borderId="8" xfId="0" applyNumberFormat="1" applyFont="1" applyFill="1" applyBorder="1" applyProtection="1">
      <protection hidden="1"/>
    </xf>
    <xf numFmtId="0" fontId="57" fillId="0" borderId="8" xfId="0" applyFont="1" applyBorder="1" applyProtection="1">
      <protection hidden="1"/>
    </xf>
    <xf numFmtId="0" fontId="57" fillId="0" borderId="8" xfId="0" applyFont="1" applyBorder="1"/>
    <xf numFmtId="165" fontId="57" fillId="0" borderId="0" xfId="0" applyNumberFormat="1" applyFont="1" applyProtection="1">
      <protection hidden="1"/>
    </xf>
    <xf numFmtId="3" fontId="16" fillId="0" borderId="0" xfId="0" applyNumberFormat="1" applyFont="1"/>
    <xf numFmtId="3" fontId="6" fillId="0" borderId="0" xfId="0" applyNumberFormat="1" applyFont="1" applyProtection="1">
      <protection hidden="1"/>
    </xf>
    <xf numFmtId="3" fontId="6" fillId="0" borderId="0" xfId="0" applyNumberFormat="1" applyFont="1"/>
    <xf numFmtId="0" fontId="57" fillId="0" borderId="1" xfId="0" applyFont="1" applyBorder="1" applyProtection="1">
      <protection hidden="1"/>
    </xf>
    <xf numFmtId="0" fontId="16" fillId="0" borderId="1" xfId="0" applyFont="1" applyBorder="1" applyProtection="1">
      <protection hidden="1"/>
    </xf>
    <xf numFmtId="0" fontId="16" fillId="0" borderId="1" xfId="0" applyFont="1" applyBorder="1"/>
    <xf numFmtId="0" fontId="57" fillId="0" borderId="1" xfId="0" applyFont="1" applyBorder="1"/>
    <xf numFmtId="0" fontId="5" fillId="0" borderId="6" xfId="0" applyFont="1" applyBorder="1"/>
    <xf numFmtId="0" fontId="6" fillId="0" borderId="6" xfId="0" applyFont="1" applyBorder="1"/>
    <xf numFmtId="0" fontId="95" fillId="22" borderId="9" xfId="0" applyFont="1" applyFill="1" applyBorder="1" applyProtection="1">
      <protection hidden="1"/>
    </xf>
    <xf numFmtId="49" fontId="32" fillId="2" borderId="23" xfId="0" applyNumberFormat="1" applyFont="1" applyFill="1" applyBorder="1" applyAlignment="1" applyProtection="1">
      <alignment horizontal="center" wrapText="1"/>
      <protection hidden="1"/>
    </xf>
    <xf numFmtId="0" fontId="32" fillId="2" borderId="23" xfId="0" applyFont="1" applyFill="1" applyBorder="1" applyAlignment="1" applyProtection="1">
      <alignment horizontal="center" wrapText="1"/>
      <protection hidden="1"/>
    </xf>
    <xf numFmtId="37" fontId="40" fillId="3" borderId="22" xfId="15" applyNumberFormat="1" applyFont="1" applyFill="1" applyBorder="1" applyProtection="1">
      <protection locked="0" hidden="1"/>
    </xf>
    <xf numFmtId="37" fontId="6" fillId="3" borderId="22" xfId="15" applyNumberFormat="1" applyFill="1" applyBorder="1" applyProtection="1">
      <protection hidden="1"/>
    </xf>
    <xf numFmtId="37" fontId="40" fillId="5" borderId="22" xfId="15" applyNumberFormat="1" applyFont="1" applyFill="1" applyBorder="1" applyProtection="1">
      <protection locked="0" hidden="1"/>
    </xf>
    <xf numFmtId="37" fontId="6" fillId="5" borderId="22" xfId="15" applyNumberFormat="1" applyFill="1" applyBorder="1" applyProtection="1">
      <protection hidden="1"/>
    </xf>
    <xf numFmtId="37" fontId="6" fillId="5" borderId="34" xfId="0" applyNumberFormat="1" applyFont="1" applyFill="1" applyBorder="1" applyProtection="1">
      <protection hidden="1"/>
    </xf>
    <xf numFmtId="37" fontId="6" fillId="27" borderId="82" xfId="0" applyNumberFormat="1" applyFont="1" applyFill="1" applyBorder="1" applyProtection="1">
      <protection hidden="1"/>
    </xf>
    <xf numFmtId="37" fontId="6" fillId="27" borderId="105" xfId="0" applyNumberFormat="1" applyFont="1" applyFill="1" applyBorder="1" applyProtection="1">
      <protection hidden="1"/>
    </xf>
    <xf numFmtId="37" fontId="6" fillId="28" borderId="71" xfId="0" applyNumberFormat="1" applyFont="1" applyFill="1" applyBorder="1" applyProtection="1">
      <protection hidden="1"/>
    </xf>
    <xf numFmtId="37" fontId="6" fillId="28" borderId="69" xfId="0" applyNumberFormat="1" applyFont="1" applyFill="1" applyBorder="1" applyProtection="1">
      <protection hidden="1"/>
    </xf>
    <xf numFmtId="0" fontId="7" fillId="24" borderId="0" xfId="0" applyFont="1" applyFill="1" applyAlignment="1">
      <alignment horizontal="left"/>
    </xf>
    <xf numFmtId="37" fontId="40" fillId="3" borderId="74" xfId="15" applyNumberFormat="1" applyFont="1" applyFill="1" applyBorder="1" applyProtection="1">
      <protection locked="0" hidden="1"/>
    </xf>
    <xf numFmtId="37" fontId="6" fillId="3" borderId="74" xfId="15" applyNumberFormat="1" applyFill="1" applyBorder="1" applyProtection="1">
      <protection hidden="1"/>
    </xf>
    <xf numFmtId="37" fontId="6" fillId="3" borderId="66" xfId="0" applyNumberFormat="1" applyFont="1" applyFill="1" applyBorder="1" applyProtection="1">
      <protection hidden="1"/>
    </xf>
    <xf numFmtId="37" fontId="6" fillId="23" borderId="65" xfId="15" applyNumberFormat="1" applyFill="1" applyBorder="1" applyProtection="1">
      <protection hidden="1"/>
    </xf>
    <xf numFmtId="37" fontId="6" fillId="23" borderId="41" xfId="15" applyNumberFormat="1" applyFill="1" applyBorder="1" applyProtection="1">
      <protection hidden="1"/>
    </xf>
    <xf numFmtId="37" fontId="6" fillId="23" borderId="80" xfId="15" applyNumberFormat="1" applyFill="1" applyBorder="1" applyProtection="1">
      <protection hidden="1"/>
    </xf>
    <xf numFmtId="37" fontId="6" fillId="23" borderId="43" xfId="15" applyNumberFormat="1" applyFill="1" applyBorder="1" applyProtection="1">
      <protection hidden="1"/>
    </xf>
    <xf numFmtId="37" fontId="6" fillId="23" borderId="55" xfId="0" applyNumberFormat="1" applyFont="1" applyFill="1" applyBorder="1" applyProtection="1">
      <protection hidden="1"/>
    </xf>
    <xf numFmtId="37" fontId="6" fillId="23" borderId="53" xfId="15" applyNumberFormat="1" applyFill="1" applyBorder="1" applyProtection="1">
      <protection hidden="1"/>
    </xf>
    <xf numFmtId="37" fontId="6" fillId="23" borderId="70" xfId="15" applyNumberFormat="1" applyFill="1" applyBorder="1" applyProtection="1">
      <protection hidden="1"/>
    </xf>
    <xf numFmtId="37" fontId="6" fillId="23" borderId="68" xfId="0" applyNumberFormat="1" applyFont="1" applyFill="1" applyBorder="1" applyProtection="1">
      <protection hidden="1"/>
    </xf>
    <xf numFmtId="37" fontId="40" fillId="5" borderId="115" xfId="0" applyNumberFormat="1" applyFont="1" applyFill="1" applyBorder="1" applyProtection="1">
      <protection locked="0" hidden="1"/>
    </xf>
    <xf numFmtId="37" fontId="6" fillId="5" borderId="74" xfId="15" applyNumberFormat="1" applyFill="1" applyBorder="1" applyProtection="1">
      <protection hidden="1"/>
    </xf>
    <xf numFmtId="0" fontId="21" fillId="4" borderId="14" xfId="0" applyFont="1" applyFill="1" applyBorder="1" applyAlignment="1" applyProtection="1">
      <alignment horizontal="center"/>
      <protection hidden="1"/>
    </xf>
    <xf numFmtId="0" fontId="25" fillId="0" borderId="68" xfId="35" applyFont="1" applyBorder="1" applyAlignment="1" applyProtection="1">
      <protection hidden="1"/>
    </xf>
    <xf numFmtId="0" fontId="101" fillId="0" borderId="68" xfId="0" applyFont="1" applyBorder="1"/>
    <xf numFmtId="0" fontId="101" fillId="0" borderId="68" xfId="35" applyFont="1" applyBorder="1" applyAlignment="1" applyProtection="1">
      <protection hidden="1"/>
    </xf>
    <xf numFmtId="0" fontId="25" fillId="0" borderId="68" xfId="35" applyFont="1" applyBorder="1" applyAlignment="1" applyProtection="1">
      <alignment horizontal="left"/>
      <protection hidden="1"/>
    </xf>
    <xf numFmtId="0" fontId="21" fillId="4" borderId="38" xfId="0" applyFont="1" applyFill="1" applyBorder="1" applyAlignment="1" applyProtection="1">
      <alignment horizontal="center"/>
      <protection hidden="1"/>
    </xf>
    <xf numFmtId="0" fontId="103" fillId="29" borderId="0" xfId="43" applyFont="1" applyFill="1" applyAlignment="1">
      <alignment horizontal="left" vertical="top" wrapText="1"/>
    </xf>
    <xf numFmtId="37" fontId="6" fillId="0" borderId="3" xfId="0" applyNumberFormat="1" applyFont="1" applyBorder="1" applyProtection="1">
      <protection hidden="1"/>
    </xf>
    <xf numFmtId="0" fontId="13" fillId="0" borderId="0" xfId="0" applyFont="1" applyAlignment="1">
      <alignment wrapText="1"/>
    </xf>
    <xf numFmtId="3" fontId="6" fillId="9" borderId="0" xfId="34" applyFill="1" applyAlignment="1" applyProtection="1">
      <alignment wrapText="1"/>
      <protection hidden="1"/>
    </xf>
    <xf numFmtId="0" fontId="104" fillId="0" borderId="0" xfId="0" applyFont="1" applyAlignment="1">
      <alignment vertical="center"/>
    </xf>
    <xf numFmtId="0" fontId="6" fillId="0" borderId="0" xfId="0" applyFont="1" applyAlignment="1">
      <alignment horizontal="right"/>
    </xf>
    <xf numFmtId="0" fontId="16" fillId="0" borderId="0" xfId="0" applyFont="1" applyAlignment="1">
      <alignment wrapText="1"/>
    </xf>
    <xf numFmtId="37" fontId="63" fillId="3" borderId="20" xfId="0" applyNumberFormat="1" applyFont="1" applyFill="1" applyBorder="1" applyProtection="1">
      <protection hidden="1"/>
    </xf>
    <xf numFmtId="37" fontId="63" fillId="3" borderId="48" xfId="0" applyNumberFormat="1" applyFont="1" applyFill="1" applyBorder="1" applyProtection="1">
      <protection hidden="1"/>
    </xf>
    <xf numFmtId="37" fontId="63" fillId="3" borderId="33" xfId="0" applyNumberFormat="1" applyFont="1" applyFill="1" applyBorder="1" applyProtection="1">
      <protection hidden="1"/>
    </xf>
    <xf numFmtId="37" fontId="63" fillId="3" borderId="42" xfId="5" applyNumberFormat="1" applyFont="1" applyFill="1" applyBorder="1" applyProtection="1">
      <protection hidden="1"/>
    </xf>
    <xf numFmtId="37" fontId="75" fillId="5" borderId="35" xfId="5" applyNumberFormat="1" applyFont="1" applyFill="1" applyBorder="1" applyProtection="1">
      <protection hidden="1"/>
    </xf>
    <xf numFmtId="37" fontId="75" fillId="5" borderId="20" xfId="5" applyNumberFormat="1" applyFont="1" applyFill="1" applyBorder="1" applyProtection="1">
      <protection hidden="1"/>
    </xf>
    <xf numFmtId="37" fontId="63" fillId="3" borderId="48" xfId="5" applyNumberFormat="1" applyFont="1" applyFill="1" applyBorder="1" applyProtection="1">
      <protection hidden="1"/>
    </xf>
    <xf numFmtId="37" fontId="75" fillId="5" borderId="3" xfId="5" applyNumberFormat="1" applyFont="1" applyFill="1" applyBorder="1" applyProtection="1">
      <protection hidden="1"/>
    </xf>
    <xf numFmtId="37" fontId="63" fillId="3" borderId="0" xfId="0" applyNumberFormat="1" applyFont="1" applyFill="1" applyProtection="1">
      <protection hidden="1"/>
    </xf>
    <xf numFmtId="37" fontId="63" fillId="5" borderId="36" xfId="0" applyNumberFormat="1" applyFont="1" applyFill="1" applyBorder="1" applyProtection="1">
      <protection hidden="1"/>
    </xf>
    <xf numFmtId="37" fontId="63" fillId="5" borderId="88" xfId="0" applyNumberFormat="1" applyFont="1" applyFill="1" applyBorder="1" applyProtection="1">
      <protection hidden="1"/>
    </xf>
    <xf numFmtId="37" fontId="63" fillId="3" borderId="46" xfId="0" applyNumberFormat="1" applyFont="1" applyFill="1" applyBorder="1" applyProtection="1">
      <protection hidden="1"/>
    </xf>
    <xf numFmtId="37" fontId="63" fillId="5" borderId="57" xfId="0" applyNumberFormat="1" applyFont="1" applyFill="1" applyBorder="1" applyProtection="1">
      <protection hidden="1"/>
    </xf>
    <xf numFmtId="37" fontId="63" fillId="3" borderId="28" xfId="15" applyNumberFormat="1" applyFont="1" applyFill="1" applyBorder="1" applyProtection="1">
      <protection hidden="1"/>
    </xf>
    <xf numFmtId="37" fontId="63" fillId="3" borderId="5" xfId="15" applyNumberFormat="1" applyFont="1" applyFill="1" applyBorder="1" applyProtection="1">
      <protection hidden="1"/>
    </xf>
    <xf numFmtId="37" fontId="63" fillId="3" borderId="42" xfId="15" applyNumberFormat="1" applyFont="1" applyFill="1" applyBorder="1" applyProtection="1">
      <protection hidden="1"/>
    </xf>
    <xf numFmtId="37" fontId="63" fillId="3" borderId="33" xfId="15" applyNumberFormat="1" applyFont="1" applyFill="1" applyBorder="1" applyProtection="1">
      <protection hidden="1"/>
    </xf>
    <xf numFmtId="37" fontId="63" fillId="3" borderId="35" xfId="15" applyNumberFormat="1" applyFont="1" applyFill="1" applyBorder="1" applyProtection="1">
      <protection hidden="1"/>
    </xf>
    <xf numFmtId="37" fontId="63" fillId="5" borderId="103" xfId="15" applyNumberFormat="1" applyFont="1" applyFill="1" applyBorder="1" applyProtection="1">
      <protection hidden="1"/>
    </xf>
    <xf numFmtId="37" fontId="63" fillId="5" borderId="101" xfId="15" applyNumberFormat="1" applyFont="1" applyFill="1" applyBorder="1" applyProtection="1">
      <protection hidden="1"/>
    </xf>
    <xf numFmtId="37" fontId="63" fillId="5" borderId="68" xfId="15" applyNumberFormat="1" applyFont="1" applyFill="1" applyBorder="1" applyProtection="1">
      <protection hidden="1"/>
    </xf>
    <xf numFmtId="37" fontId="63" fillId="5" borderId="79" xfId="15" applyNumberFormat="1" applyFont="1" applyFill="1" applyBorder="1" applyProtection="1">
      <protection hidden="1"/>
    </xf>
    <xf numFmtId="37" fontId="63" fillId="5" borderId="106" xfId="15" applyNumberFormat="1" applyFont="1" applyFill="1" applyBorder="1" applyProtection="1">
      <protection hidden="1"/>
    </xf>
    <xf numFmtId="3" fontId="112" fillId="0" borderId="28" xfId="15" applyNumberFormat="1" applyFont="1" applyBorder="1" applyProtection="1">
      <protection hidden="1"/>
    </xf>
    <xf numFmtId="3" fontId="112" fillId="0" borderId="42" xfId="35" applyNumberFormat="1" applyFont="1" applyBorder="1" applyAlignment="1" applyProtection="1">
      <protection hidden="1"/>
    </xf>
    <xf numFmtId="3" fontId="112" fillId="0" borderId="28" xfId="35" applyNumberFormat="1" applyFont="1" applyBorder="1" applyAlignment="1" applyProtection="1">
      <protection hidden="1"/>
    </xf>
    <xf numFmtId="3" fontId="112" fillId="0" borderId="5" xfId="35" applyNumberFormat="1" applyFont="1" applyBorder="1" applyAlignment="1" applyProtection="1">
      <protection hidden="1"/>
    </xf>
    <xf numFmtId="37" fontId="63" fillId="5" borderId="84" xfId="15" applyNumberFormat="1" applyFont="1" applyFill="1" applyBorder="1" applyProtection="1">
      <protection hidden="1"/>
    </xf>
    <xf numFmtId="3" fontId="113" fillId="0" borderId="30" xfId="35" applyNumberFormat="1" applyFont="1" applyBorder="1" applyAlignment="1" applyProtection="1">
      <protection hidden="1"/>
    </xf>
    <xf numFmtId="3" fontId="112" fillId="0" borderId="23" xfId="35" applyNumberFormat="1" applyFont="1" applyBorder="1" applyAlignment="1" applyProtection="1">
      <protection hidden="1"/>
    </xf>
    <xf numFmtId="3" fontId="112" fillId="0" borderId="0" xfId="35" applyNumberFormat="1" applyFont="1" applyAlignment="1" applyProtection="1">
      <protection hidden="1"/>
    </xf>
    <xf numFmtId="37" fontId="3" fillId="3" borderId="2" xfId="15" applyNumberFormat="1" applyFont="1" applyFill="1" applyBorder="1" applyProtection="1">
      <protection hidden="1"/>
    </xf>
    <xf numFmtId="37" fontId="63" fillId="5" borderId="104" xfId="15" applyNumberFormat="1" applyFont="1" applyFill="1" applyBorder="1" applyProtection="1">
      <protection hidden="1"/>
    </xf>
    <xf numFmtId="37" fontId="3" fillId="5" borderId="83" xfId="15" applyNumberFormat="1" applyFont="1" applyFill="1" applyBorder="1" applyProtection="1">
      <protection hidden="1"/>
    </xf>
    <xf numFmtId="166" fontId="3" fillId="10" borderId="42" xfId="15" applyNumberFormat="1" applyFont="1" applyFill="1" applyBorder="1" applyProtection="1">
      <protection hidden="1"/>
    </xf>
    <xf numFmtId="166" fontId="56" fillId="10" borderId="29" xfId="15" applyNumberFormat="1" applyFont="1" applyFill="1" applyBorder="1" applyProtection="1">
      <protection hidden="1"/>
    </xf>
    <xf numFmtId="37" fontId="63" fillId="3" borderId="80" xfId="0" applyNumberFormat="1" applyFont="1" applyFill="1" applyBorder="1" applyProtection="1">
      <protection hidden="1"/>
    </xf>
    <xf numFmtId="37" fontId="63" fillId="3" borderId="57" xfId="0" applyNumberFormat="1" applyFont="1" applyFill="1" applyBorder="1" applyProtection="1">
      <protection hidden="1"/>
    </xf>
    <xf numFmtId="37" fontId="63" fillId="3" borderId="63" xfId="0" applyNumberFormat="1" applyFont="1" applyFill="1" applyBorder="1" applyProtection="1">
      <protection hidden="1"/>
    </xf>
    <xf numFmtId="37" fontId="63" fillId="3" borderId="57" xfId="15" applyNumberFormat="1" applyFont="1" applyFill="1" applyBorder="1" applyProtection="1">
      <protection hidden="1"/>
    </xf>
    <xf numFmtId="37" fontId="63" fillId="5" borderId="80" xfId="0" applyNumberFormat="1" applyFont="1" applyFill="1" applyBorder="1" applyProtection="1">
      <protection hidden="1"/>
    </xf>
    <xf numFmtId="37" fontId="63" fillId="5" borderId="63" xfId="0" applyNumberFormat="1" applyFont="1" applyFill="1" applyBorder="1" applyProtection="1">
      <protection hidden="1"/>
    </xf>
    <xf numFmtId="37" fontId="63" fillId="5" borderId="57" xfId="15" applyNumberFormat="1" applyFont="1" applyFill="1" applyBorder="1" applyProtection="1">
      <protection hidden="1"/>
    </xf>
    <xf numFmtId="37" fontId="3" fillId="3" borderId="80" xfId="0" applyNumberFormat="1" applyFont="1" applyFill="1" applyBorder="1" applyProtection="1">
      <protection hidden="1"/>
    </xf>
    <xf numFmtId="37" fontId="3" fillId="3" borderId="65" xfId="0" applyNumberFormat="1" applyFont="1" applyFill="1" applyBorder="1" applyProtection="1">
      <protection hidden="1"/>
    </xf>
    <xf numFmtId="37" fontId="3" fillId="3" borderId="70" xfId="0" applyNumberFormat="1" applyFont="1" applyFill="1" applyBorder="1" applyProtection="1">
      <protection hidden="1"/>
    </xf>
    <xf numFmtId="37" fontId="3" fillId="10" borderId="49" xfId="0" applyNumberFormat="1" applyFont="1" applyFill="1" applyBorder="1" applyProtection="1">
      <protection hidden="1"/>
    </xf>
    <xf numFmtId="37" fontId="3" fillId="28" borderId="80" xfId="0" applyNumberFormat="1" applyFont="1" applyFill="1" applyBorder="1" applyProtection="1">
      <protection hidden="1"/>
    </xf>
    <xf numFmtId="37" fontId="3" fillId="28" borderId="65" xfId="0" applyNumberFormat="1" applyFont="1" applyFill="1" applyBorder="1" applyProtection="1">
      <protection hidden="1"/>
    </xf>
    <xf numFmtId="37" fontId="3" fillId="28" borderId="70" xfId="0" applyNumberFormat="1" applyFont="1" applyFill="1" applyBorder="1" applyProtection="1">
      <protection hidden="1"/>
    </xf>
    <xf numFmtId="37" fontId="3" fillId="5" borderId="57" xfId="0" applyNumberFormat="1" applyFont="1" applyFill="1" applyBorder="1" applyProtection="1">
      <protection hidden="1"/>
    </xf>
    <xf numFmtId="37" fontId="63" fillId="3" borderId="65" xfId="0" applyNumberFormat="1" applyFont="1" applyFill="1" applyBorder="1" applyProtection="1">
      <protection hidden="1"/>
    </xf>
    <xf numFmtId="37" fontId="63" fillId="3" borderId="74" xfId="0" applyNumberFormat="1" applyFont="1" applyFill="1" applyBorder="1" applyProtection="1">
      <protection hidden="1"/>
    </xf>
    <xf numFmtId="37" fontId="63" fillId="5" borderId="65" xfId="0" applyNumberFormat="1" applyFont="1" applyFill="1" applyBorder="1" applyProtection="1">
      <protection hidden="1"/>
    </xf>
    <xf numFmtId="37" fontId="63" fillId="5" borderId="74" xfId="0" applyNumberFormat="1" applyFont="1" applyFill="1" applyBorder="1" applyProtection="1">
      <protection hidden="1"/>
    </xf>
    <xf numFmtId="37" fontId="3" fillId="5" borderId="80" xfId="0" applyNumberFormat="1" applyFont="1" applyFill="1" applyBorder="1" applyProtection="1">
      <protection hidden="1"/>
    </xf>
    <xf numFmtId="37" fontId="63" fillId="3" borderId="70" xfId="0" applyNumberFormat="1" applyFont="1" applyFill="1" applyBorder="1" applyProtection="1">
      <protection hidden="1"/>
    </xf>
    <xf numFmtId="37" fontId="63" fillId="5" borderId="70" xfId="0" applyNumberFormat="1" applyFont="1" applyFill="1" applyBorder="1" applyProtection="1">
      <protection hidden="1"/>
    </xf>
    <xf numFmtId="37" fontId="63" fillId="5" borderId="80" xfId="15" applyNumberFormat="1" applyFont="1" applyFill="1" applyBorder="1" applyProtection="1">
      <protection hidden="1"/>
    </xf>
    <xf numFmtId="37" fontId="63" fillId="5" borderId="65" xfId="15" applyNumberFormat="1" applyFont="1" applyFill="1" applyBorder="1" applyProtection="1">
      <protection hidden="1"/>
    </xf>
    <xf numFmtId="37" fontId="63" fillId="5" borderId="70" xfId="15" applyNumberFormat="1" applyFont="1" applyFill="1" applyBorder="1" applyProtection="1">
      <protection hidden="1"/>
    </xf>
    <xf numFmtId="37" fontId="63" fillId="5" borderId="74" xfId="15" applyNumberFormat="1" applyFont="1" applyFill="1" applyBorder="1" applyProtection="1">
      <protection hidden="1"/>
    </xf>
    <xf numFmtId="37" fontId="3" fillId="0" borderId="52" xfId="0" applyNumberFormat="1" applyFont="1" applyBorder="1" applyProtection="1">
      <protection hidden="1"/>
    </xf>
    <xf numFmtId="37" fontId="63" fillId="3" borderId="81" xfId="0" applyNumberFormat="1" applyFont="1" applyFill="1" applyBorder="1" applyProtection="1">
      <protection hidden="1"/>
    </xf>
    <xf numFmtId="37" fontId="63" fillId="3" borderId="58" xfId="0" applyNumberFormat="1" applyFont="1" applyFill="1" applyBorder="1" applyProtection="1">
      <protection hidden="1"/>
    </xf>
    <xf numFmtId="37" fontId="63" fillId="3" borderId="58" xfId="15" applyNumberFormat="1" applyFont="1" applyFill="1" applyBorder="1" applyProtection="1">
      <protection hidden="1"/>
    </xf>
    <xf numFmtId="37" fontId="63" fillId="0" borderId="52" xfId="0" applyNumberFormat="1" applyFont="1" applyBorder="1" applyProtection="1">
      <protection hidden="1"/>
    </xf>
    <xf numFmtId="37" fontId="63" fillId="0" borderId="63" xfId="0" applyNumberFormat="1" applyFont="1" applyBorder="1" applyProtection="1">
      <protection hidden="1"/>
    </xf>
    <xf numFmtId="37" fontId="63" fillId="0" borderId="58" xfId="0" applyNumberFormat="1" applyFont="1" applyBorder="1" applyProtection="1">
      <protection hidden="1"/>
    </xf>
    <xf numFmtId="37" fontId="63" fillId="5" borderId="81" xfId="0" applyNumberFormat="1" applyFont="1" applyFill="1" applyBorder="1" applyProtection="1">
      <protection hidden="1"/>
    </xf>
    <xf numFmtId="37" fontId="63" fillId="5" borderId="58" xfId="0" applyNumberFormat="1" applyFont="1" applyFill="1" applyBorder="1" applyProtection="1">
      <protection hidden="1"/>
    </xf>
    <xf numFmtId="37" fontId="3" fillId="10" borderId="102" xfId="0" applyNumberFormat="1" applyFont="1" applyFill="1" applyBorder="1" applyProtection="1">
      <protection hidden="1"/>
    </xf>
    <xf numFmtId="37" fontId="3" fillId="3" borderId="57" xfId="0" applyNumberFormat="1" applyFont="1" applyFill="1" applyBorder="1" applyProtection="1">
      <protection hidden="1"/>
    </xf>
    <xf numFmtId="37" fontId="3" fillId="10" borderId="23" xfId="0" applyNumberFormat="1" applyFont="1" applyFill="1" applyBorder="1" applyProtection="1">
      <protection hidden="1"/>
    </xf>
    <xf numFmtId="37" fontId="3" fillId="10" borderId="37" xfId="0" applyNumberFormat="1" applyFont="1" applyFill="1" applyBorder="1" applyProtection="1">
      <protection hidden="1"/>
    </xf>
    <xf numFmtId="37" fontId="63" fillId="3" borderId="65" xfId="15" applyNumberFormat="1" applyFont="1" applyFill="1" applyBorder="1" applyProtection="1">
      <protection hidden="1"/>
    </xf>
    <xf numFmtId="0" fontId="3" fillId="10" borderId="23" xfId="0" applyFont="1" applyFill="1" applyBorder="1" applyProtection="1">
      <protection hidden="1"/>
    </xf>
    <xf numFmtId="37" fontId="3" fillId="0" borderId="84" xfId="0" applyNumberFormat="1" applyFont="1" applyBorder="1" applyProtection="1">
      <protection hidden="1"/>
    </xf>
    <xf numFmtId="37" fontId="3" fillId="0" borderId="70" xfId="0" applyNumberFormat="1" applyFont="1" applyBorder="1" applyProtection="1">
      <protection hidden="1"/>
    </xf>
    <xf numFmtId="37" fontId="56" fillId="10" borderId="23" xfId="0" applyNumberFormat="1" applyFont="1" applyFill="1" applyBorder="1" applyProtection="1">
      <protection hidden="1"/>
    </xf>
    <xf numFmtId="37" fontId="56" fillId="10" borderId="0" xfId="0" applyNumberFormat="1" applyFont="1" applyFill="1" applyProtection="1">
      <protection hidden="1"/>
    </xf>
    <xf numFmtId="0" fontId="56" fillId="10" borderId="0" xfId="0" applyFont="1" applyFill="1" applyProtection="1">
      <protection hidden="1"/>
    </xf>
    <xf numFmtId="37" fontId="3" fillId="0" borderId="25" xfId="0" applyNumberFormat="1" applyFont="1" applyBorder="1" applyProtection="1">
      <protection hidden="1"/>
    </xf>
    <xf numFmtId="37" fontId="3" fillId="0" borderId="58" xfId="0" applyNumberFormat="1" applyFont="1" applyBorder="1" applyProtection="1">
      <protection hidden="1"/>
    </xf>
    <xf numFmtId="37" fontId="56" fillId="10" borderId="37" xfId="0" applyNumberFormat="1" applyFont="1" applyFill="1" applyBorder="1" applyProtection="1">
      <protection hidden="1"/>
    </xf>
    <xf numFmtId="0" fontId="56" fillId="10" borderId="23" xfId="0" applyFont="1" applyFill="1" applyBorder="1" applyProtection="1">
      <protection hidden="1"/>
    </xf>
    <xf numFmtId="3" fontId="63" fillId="3" borderId="68" xfId="0" applyNumberFormat="1" applyFont="1" applyFill="1" applyBorder="1" applyProtection="1">
      <protection hidden="1"/>
    </xf>
    <xf numFmtId="3" fontId="63" fillId="3" borderId="65" xfId="99" applyNumberFormat="1" applyFont="1" applyFill="1" applyBorder="1" applyProtection="1">
      <protection hidden="1"/>
    </xf>
    <xf numFmtId="3" fontId="63" fillId="5" borderId="55" xfId="99" applyNumberFormat="1" applyFont="1" applyFill="1" applyBorder="1" applyProtection="1">
      <protection hidden="1"/>
    </xf>
    <xf numFmtId="3" fontId="69" fillId="10" borderId="0" xfId="99" applyNumberFormat="1" applyFont="1" applyFill="1" applyProtection="1">
      <protection hidden="1"/>
    </xf>
    <xf numFmtId="3" fontId="63" fillId="5" borderId="65" xfId="99" applyNumberFormat="1" applyFont="1" applyFill="1" applyBorder="1" applyProtection="1">
      <protection hidden="1"/>
    </xf>
    <xf numFmtId="3" fontId="63" fillId="10" borderId="42" xfId="99" applyNumberFormat="1" applyFont="1" applyFill="1" applyBorder="1" applyProtection="1">
      <protection hidden="1"/>
    </xf>
    <xf numFmtId="3" fontId="63" fillId="10" borderId="30" xfId="99" applyNumberFormat="1" applyFont="1" applyFill="1" applyBorder="1" applyProtection="1">
      <protection hidden="1"/>
    </xf>
    <xf numFmtId="3" fontId="63" fillId="3" borderId="67" xfId="99" applyNumberFormat="1" applyFont="1" applyFill="1" applyBorder="1" applyProtection="1">
      <protection hidden="1"/>
    </xf>
    <xf numFmtId="3" fontId="63" fillId="10" borderId="0" xfId="99" applyNumberFormat="1" applyFont="1" applyFill="1" applyProtection="1">
      <protection hidden="1"/>
    </xf>
    <xf numFmtId="3" fontId="63" fillId="5" borderId="68" xfId="0" applyNumberFormat="1" applyFont="1" applyFill="1" applyBorder="1" applyProtection="1">
      <protection hidden="1"/>
    </xf>
    <xf numFmtId="3" fontId="63" fillId="5" borderId="65" xfId="0" applyNumberFormat="1" applyFont="1" applyFill="1" applyBorder="1" applyProtection="1">
      <protection hidden="1"/>
    </xf>
    <xf numFmtId="3" fontId="41" fillId="0" borderId="9" xfId="15" applyNumberFormat="1" applyFont="1" applyBorder="1" applyProtection="1">
      <protection locked="0" hidden="1"/>
    </xf>
    <xf numFmtId="3" fontId="41" fillId="0" borderId="11" xfId="15" applyNumberFormat="1" applyFont="1" applyBorder="1" applyAlignment="1" applyProtection="1">
      <alignment horizontal="center"/>
      <protection locked="0" hidden="1"/>
    </xf>
    <xf numFmtId="0" fontId="6" fillId="0" borderId="118" xfId="0" applyFont="1" applyBorder="1" applyAlignment="1" applyProtection="1">
      <alignment horizontal="right"/>
      <protection hidden="1"/>
    </xf>
    <xf numFmtId="0" fontId="6" fillId="0" borderId="121" xfId="0" applyFont="1" applyBorder="1" applyAlignment="1" applyProtection="1">
      <alignment horizontal="right"/>
      <protection hidden="1"/>
    </xf>
    <xf numFmtId="165" fontId="7" fillId="3" borderId="1" xfId="15" applyFont="1" applyFill="1" applyBorder="1" applyAlignment="1" applyProtection="1">
      <alignment horizontal="center"/>
      <protection hidden="1"/>
    </xf>
    <xf numFmtId="0" fontId="6" fillId="0" borderId="131" xfId="0" applyFont="1" applyBorder="1"/>
    <xf numFmtId="0" fontId="6" fillId="0" borderId="120" xfId="0" applyFont="1" applyBorder="1" applyProtection="1">
      <protection hidden="1"/>
    </xf>
    <xf numFmtId="0" fontId="6" fillId="0" borderId="121" xfId="0" applyFont="1" applyBorder="1" applyProtection="1">
      <protection hidden="1"/>
    </xf>
    <xf numFmtId="37" fontId="40" fillId="3" borderId="42" xfId="0" applyNumberFormat="1" applyFont="1" applyFill="1" applyBorder="1" applyProtection="1">
      <protection hidden="1"/>
    </xf>
    <xf numFmtId="37" fontId="6" fillId="3" borderId="38" xfId="0" applyNumberFormat="1" applyFont="1" applyFill="1" applyBorder="1" applyProtection="1">
      <protection hidden="1"/>
    </xf>
    <xf numFmtId="37" fontId="6" fillId="10" borderId="15" xfId="0" applyNumberFormat="1" applyFont="1" applyFill="1" applyBorder="1" applyProtection="1">
      <protection hidden="1"/>
    </xf>
    <xf numFmtId="37" fontId="40" fillId="0" borderId="15" xfId="0" applyNumberFormat="1" applyFont="1" applyBorder="1" applyProtection="1">
      <protection hidden="1"/>
    </xf>
    <xf numFmtId="37" fontId="40" fillId="5" borderId="88" xfId="0" applyNumberFormat="1" applyFont="1" applyFill="1" applyBorder="1" applyProtection="1">
      <protection hidden="1"/>
    </xf>
    <xf numFmtId="37" fontId="40" fillId="10" borderId="90" xfId="0" applyNumberFormat="1" applyFont="1" applyFill="1" applyBorder="1" applyProtection="1">
      <protection hidden="1"/>
    </xf>
    <xf numFmtId="37" fontId="6" fillId="5" borderId="39" xfId="0" applyNumberFormat="1" applyFont="1" applyFill="1" applyBorder="1" applyProtection="1">
      <protection hidden="1"/>
    </xf>
    <xf numFmtId="37" fontId="40" fillId="0" borderId="10" xfId="15" applyNumberFormat="1" applyFont="1" applyBorder="1" applyProtection="1">
      <protection hidden="1"/>
    </xf>
    <xf numFmtId="37" fontId="3" fillId="3" borderId="10" xfId="15" applyNumberFormat="1" applyFont="1" applyFill="1" applyBorder="1" applyProtection="1">
      <protection hidden="1"/>
    </xf>
    <xf numFmtId="37" fontId="40" fillId="0" borderId="54" xfId="15" applyNumberFormat="1" applyFont="1" applyBorder="1" applyProtection="1">
      <protection hidden="1"/>
    </xf>
    <xf numFmtId="37" fontId="3" fillId="5" borderId="54" xfId="15" applyNumberFormat="1" applyFont="1" applyFill="1" applyBorder="1" applyProtection="1">
      <protection hidden="1"/>
    </xf>
    <xf numFmtId="37" fontId="40" fillId="5" borderId="28" xfId="0" applyNumberFormat="1" applyFont="1" applyFill="1" applyBorder="1" applyProtection="1">
      <protection hidden="1"/>
    </xf>
    <xf numFmtId="37" fontId="40" fillId="5" borderId="57" xfId="0" applyNumberFormat="1" applyFont="1" applyFill="1" applyBorder="1" applyProtection="1">
      <protection hidden="1"/>
    </xf>
    <xf numFmtId="37" fontId="6" fillId="0" borderId="28" xfId="0" applyNumberFormat="1" applyFont="1" applyBorder="1" applyProtection="1">
      <protection hidden="1"/>
    </xf>
    <xf numFmtId="37" fontId="6" fillId="0" borderId="63" xfId="0" applyNumberFormat="1" applyFont="1" applyBorder="1" applyProtection="1">
      <protection hidden="1"/>
    </xf>
    <xf numFmtId="0" fontId="41" fillId="0" borderId="2" xfId="0" applyFont="1" applyBorder="1" applyProtection="1">
      <protection hidden="1"/>
    </xf>
    <xf numFmtId="37" fontId="6" fillId="0" borderId="70" xfId="0" applyNumberFormat="1" applyFont="1" applyBorder="1" applyProtection="1">
      <protection hidden="1"/>
    </xf>
    <xf numFmtId="37" fontId="6" fillId="5" borderId="64" xfId="0" applyNumberFormat="1" applyFont="1" applyFill="1" applyBorder="1" applyProtection="1">
      <protection locked="0" hidden="1"/>
    </xf>
    <xf numFmtId="37" fontId="114" fillId="9" borderId="57" xfId="15" applyNumberFormat="1" applyFont="1" applyFill="1" applyBorder="1" applyProtection="1">
      <protection hidden="1"/>
    </xf>
    <xf numFmtId="37" fontId="40" fillId="5" borderId="58" xfId="15" applyNumberFormat="1" applyFont="1" applyFill="1" applyBorder="1" applyProtection="1">
      <protection hidden="1"/>
    </xf>
    <xf numFmtId="37" fontId="6" fillId="5" borderId="46" xfId="0" applyNumberFormat="1" applyFont="1" applyFill="1" applyBorder="1" applyProtection="1">
      <protection hidden="1"/>
    </xf>
    <xf numFmtId="37" fontId="6" fillId="5" borderId="64" xfId="0" applyNumberFormat="1" applyFont="1" applyFill="1" applyBorder="1" applyProtection="1">
      <protection hidden="1"/>
    </xf>
    <xf numFmtId="37" fontId="6" fillId="5" borderId="16" xfId="0" applyNumberFormat="1" applyFont="1" applyFill="1" applyBorder="1" applyProtection="1">
      <protection hidden="1"/>
    </xf>
    <xf numFmtId="3" fontId="40" fillId="10" borderId="54" xfId="15" applyNumberFormat="1" applyFont="1" applyFill="1" applyBorder="1" applyProtection="1">
      <protection locked="0" hidden="1"/>
    </xf>
    <xf numFmtId="3" fontId="40" fillId="10" borderId="16" xfId="15" applyNumberFormat="1" applyFont="1" applyFill="1" applyBorder="1" applyProtection="1">
      <protection hidden="1"/>
    </xf>
    <xf numFmtId="3" fontId="6" fillId="0" borderId="10" xfId="99" applyNumberFormat="1" applyFont="1" applyBorder="1" applyProtection="1">
      <protection hidden="1"/>
    </xf>
    <xf numFmtId="3" fontId="6" fillId="0" borderId="15" xfId="99" applyNumberFormat="1" applyFont="1" applyBorder="1" applyProtection="1">
      <protection hidden="1"/>
    </xf>
    <xf numFmtId="37" fontId="116" fillId="9" borderId="42" xfId="0" applyNumberFormat="1" applyFont="1" applyFill="1" applyBorder="1" applyProtection="1">
      <protection hidden="1"/>
    </xf>
    <xf numFmtId="37" fontId="116" fillId="9" borderId="88" xfId="0" applyNumberFormat="1" applyFont="1" applyFill="1" applyBorder="1" applyProtection="1">
      <protection hidden="1"/>
    </xf>
    <xf numFmtId="37" fontId="116" fillId="9" borderId="31" xfId="0" applyNumberFormat="1" applyFont="1" applyFill="1" applyBorder="1" applyProtection="1">
      <protection hidden="1"/>
    </xf>
    <xf numFmtId="37" fontId="116" fillId="9" borderId="88" xfId="15" applyNumberFormat="1" applyFont="1" applyFill="1" applyBorder="1" applyProtection="1">
      <protection hidden="1"/>
    </xf>
    <xf numFmtId="37" fontId="63" fillId="5" borderId="57" xfId="0" applyNumberFormat="1" applyFont="1" applyFill="1" applyBorder="1"/>
    <xf numFmtId="37" fontId="63" fillId="5" borderId="57" xfId="15" applyNumberFormat="1" applyFont="1" applyFill="1" applyBorder="1"/>
    <xf numFmtId="37" fontId="3" fillId="0" borderId="57" xfId="0" applyNumberFormat="1" applyFont="1" applyBorder="1"/>
    <xf numFmtId="37" fontId="3" fillId="0" borderId="57" xfId="15" applyNumberFormat="1" applyFont="1" applyBorder="1"/>
    <xf numFmtId="37" fontId="3" fillId="10" borderId="49" xfId="0" applyNumberFormat="1" applyFont="1" applyFill="1" applyBorder="1"/>
    <xf numFmtId="0" fontId="56" fillId="0" borderId="0" xfId="99" applyFont="1"/>
    <xf numFmtId="3" fontId="63" fillId="10" borderId="67" xfId="0" applyNumberFormat="1" applyFont="1" applyFill="1" applyBorder="1"/>
    <xf numFmtId="37" fontId="3" fillId="10" borderId="0" xfId="0" applyNumberFormat="1" applyFont="1" applyFill="1"/>
    <xf numFmtId="0" fontId="56" fillId="10" borderId="0" xfId="0" applyFont="1" applyFill="1"/>
    <xf numFmtId="166" fontId="6" fillId="0" borderId="119" xfId="15" applyNumberFormat="1" applyBorder="1" applyAlignment="1" applyProtection="1">
      <alignment horizontal="right"/>
      <protection hidden="1"/>
    </xf>
    <xf numFmtId="37" fontId="6" fillId="0" borderId="5" xfId="15" applyNumberFormat="1" applyBorder="1" applyProtection="1">
      <protection hidden="1"/>
    </xf>
    <xf numFmtId="37" fontId="6" fillId="0" borderId="101" xfId="15" applyNumberFormat="1" applyBorder="1" applyProtection="1">
      <protection hidden="1"/>
    </xf>
    <xf numFmtId="37" fontId="6" fillId="0" borderId="84" xfId="15" applyNumberFormat="1" applyBorder="1" applyProtection="1">
      <protection hidden="1"/>
    </xf>
    <xf numFmtId="37" fontId="6" fillId="0" borderId="54" xfId="15" applyNumberFormat="1" applyBorder="1" applyProtection="1">
      <protection hidden="1"/>
    </xf>
    <xf numFmtId="0" fontId="64" fillId="0" borderId="42" xfId="35" applyFont="1" applyBorder="1" applyAlignment="1" applyProtection="1">
      <alignment horizontal="left" vertical="center" wrapText="1"/>
      <protection hidden="1"/>
    </xf>
    <xf numFmtId="0" fontId="64" fillId="0" borderId="29" xfId="35" applyFont="1" applyBorder="1" applyAlignment="1" applyProtection="1">
      <alignment horizontal="left" vertical="center" wrapText="1"/>
      <protection hidden="1"/>
    </xf>
    <xf numFmtId="0" fontId="64" fillId="0" borderId="30" xfId="35" applyFont="1" applyBorder="1" applyAlignment="1" applyProtection="1">
      <alignment horizontal="left" vertical="center" wrapText="1"/>
      <protection hidden="1"/>
    </xf>
    <xf numFmtId="0" fontId="12" fillId="5" borderId="12" xfId="0" applyFont="1" applyFill="1" applyBorder="1" applyAlignment="1" applyProtection="1">
      <alignment horizontal="center" vertical="center" textRotation="255" wrapText="1"/>
      <protection hidden="1"/>
    </xf>
    <xf numFmtId="0" fontId="12" fillId="5" borderId="5" xfId="0" applyFont="1" applyFill="1" applyBorder="1" applyAlignment="1" applyProtection="1">
      <alignment horizontal="center" vertical="center" textRotation="255" wrapText="1"/>
      <protection hidden="1"/>
    </xf>
    <xf numFmtId="0" fontId="64" fillId="0" borderId="50" xfId="35" applyFont="1" applyBorder="1" applyAlignment="1" applyProtection="1">
      <alignment wrapText="1"/>
      <protection hidden="1"/>
    </xf>
    <xf numFmtId="0" fontId="64" fillId="0" borderId="24" xfId="35" applyFont="1" applyBorder="1" applyAlignment="1" applyProtection="1">
      <alignment wrapText="1"/>
      <protection hidden="1"/>
    </xf>
    <xf numFmtId="0" fontId="32" fillId="4" borderId="13" xfId="0" applyFont="1" applyFill="1" applyBorder="1" applyAlignment="1" applyProtection="1">
      <alignment horizontal="center" textRotation="255"/>
      <protection hidden="1"/>
    </xf>
    <xf numFmtId="0" fontId="32" fillId="4" borderId="6" xfId="0" applyFont="1" applyFill="1" applyBorder="1" applyAlignment="1" applyProtection="1">
      <alignment horizontal="center" textRotation="255"/>
      <protection hidden="1"/>
    </xf>
    <xf numFmtId="0" fontId="32" fillId="4" borderId="3" xfId="0" applyFont="1" applyFill="1" applyBorder="1" applyAlignment="1" applyProtection="1">
      <alignment horizontal="center" textRotation="255"/>
      <protection hidden="1"/>
    </xf>
    <xf numFmtId="37" fontId="40" fillId="10" borderId="23" xfId="0" applyNumberFormat="1" applyFont="1" applyFill="1" applyBorder="1" applyAlignment="1" applyProtection="1">
      <alignment horizontal="left"/>
      <protection locked="0" hidden="1"/>
    </xf>
    <xf numFmtId="37" fontId="40" fillId="10" borderId="16" xfId="0" applyNumberFormat="1" applyFont="1" applyFill="1" applyBorder="1" applyAlignment="1" applyProtection="1">
      <alignment horizontal="left"/>
      <protection locked="0" hidden="1"/>
    </xf>
    <xf numFmtId="37" fontId="63" fillId="5" borderId="22" xfId="0" applyNumberFormat="1" applyFont="1" applyFill="1" applyBorder="1" applyProtection="1">
      <protection hidden="1"/>
    </xf>
    <xf numFmtId="37" fontId="63" fillId="0" borderId="34" xfId="0" applyNumberFormat="1" applyFont="1" applyBorder="1" applyProtection="1">
      <protection hidden="1"/>
    </xf>
    <xf numFmtId="0" fontId="7" fillId="0" borderId="167" xfId="0" applyFont="1" applyBorder="1" applyAlignment="1" applyProtection="1">
      <alignment horizontal="center"/>
      <protection locked="0" hidden="1"/>
    </xf>
    <xf numFmtId="0" fontId="40" fillId="0" borderId="168" xfId="0" applyFont="1" applyBorder="1" applyAlignment="1" applyProtection="1">
      <alignment horizontal="center"/>
      <protection locked="0"/>
    </xf>
    <xf numFmtId="0" fontId="0" fillId="0" borderId="168" xfId="0" applyBorder="1" applyAlignment="1" applyProtection="1">
      <alignment horizontal="center"/>
      <protection locked="0"/>
    </xf>
    <xf numFmtId="0" fontId="6" fillId="0" borderId="169" xfId="0" applyFont="1" applyBorder="1" applyAlignment="1" applyProtection="1">
      <alignment horizontal="center"/>
      <protection hidden="1"/>
    </xf>
    <xf numFmtId="0" fontId="16" fillId="0" borderId="164" xfId="0" applyFont="1" applyBorder="1" applyAlignment="1" applyProtection="1">
      <alignment horizontal="center"/>
      <protection hidden="1"/>
    </xf>
    <xf numFmtId="0" fontId="12" fillId="5" borderId="5" xfId="0" applyFont="1" applyFill="1" applyBorder="1" applyAlignment="1" applyProtection="1">
      <alignment horizontal="center" vertical="top" textRotation="255"/>
      <protection hidden="1"/>
    </xf>
    <xf numFmtId="37" fontId="15" fillId="0" borderId="25" xfId="0" applyNumberFormat="1" applyFont="1" applyBorder="1" applyProtection="1">
      <protection hidden="1"/>
    </xf>
    <xf numFmtId="37" fontId="38" fillId="0" borderId="26" xfId="0" applyNumberFormat="1" applyFont="1" applyBorder="1" applyProtection="1">
      <protection hidden="1"/>
    </xf>
    <xf numFmtId="37" fontId="38" fillId="0" borderId="170" xfId="0" applyNumberFormat="1" applyFont="1" applyBorder="1" applyAlignment="1" applyProtection="1">
      <alignment horizontal="left"/>
      <protection hidden="1"/>
    </xf>
    <xf numFmtId="37" fontId="38" fillId="0" borderId="171" xfId="0" applyNumberFormat="1" applyFont="1" applyBorder="1" applyAlignment="1" applyProtection="1">
      <alignment horizontal="left"/>
      <protection hidden="1"/>
    </xf>
    <xf numFmtId="37" fontId="38" fillId="0" borderId="172" xfId="0" applyNumberFormat="1" applyFont="1" applyBorder="1" applyAlignment="1" applyProtection="1">
      <alignment horizontal="left"/>
      <protection hidden="1"/>
    </xf>
    <xf numFmtId="0" fontId="13" fillId="3" borderId="12" xfId="12" applyFont="1" applyFill="1" applyAlignment="1" applyProtection="1">
      <alignment horizontal="center" vertical="center" textRotation="255"/>
      <protection hidden="1"/>
    </xf>
    <xf numFmtId="0" fontId="13" fillId="3" borderId="5" xfId="12" applyFont="1" applyFill="1" applyBorder="1" applyAlignment="1" applyProtection="1">
      <alignment horizontal="center" vertical="center" textRotation="255"/>
      <protection hidden="1"/>
    </xf>
    <xf numFmtId="0" fontId="13" fillId="3" borderId="2" xfId="12" applyFont="1" applyFill="1" applyBorder="1" applyAlignment="1" applyProtection="1">
      <alignment horizontal="center" vertical="center" textRotation="255"/>
      <protection hidden="1"/>
    </xf>
    <xf numFmtId="37" fontId="38" fillId="0" borderId="118" xfId="0" applyNumberFormat="1" applyFont="1" applyBorder="1" applyAlignment="1" applyProtection="1">
      <alignment horizontal="left"/>
      <protection hidden="1"/>
    </xf>
    <xf numFmtId="37" fontId="38" fillId="0" borderId="86" xfId="0" applyNumberFormat="1" applyFont="1" applyBorder="1" applyAlignment="1" applyProtection="1">
      <alignment horizontal="left"/>
      <protection hidden="1"/>
    </xf>
    <xf numFmtId="37" fontId="38" fillId="0" borderId="119" xfId="0" applyNumberFormat="1" applyFont="1" applyBorder="1" applyAlignment="1" applyProtection="1">
      <alignment horizontal="left"/>
      <protection hidden="1"/>
    </xf>
    <xf numFmtId="37" fontId="38" fillId="0" borderId="163" xfId="0" applyNumberFormat="1" applyFont="1" applyBorder="1" applyProtection="1">
      <protection hidden="1"/>
    </xf>
    <xf numFmtId="37" fontId="38" fillId="0" borderId="164" xfId="0" applyNumberFormat="1" applyFont="1" applyBorder="1" applyProtection="1">
      <protection hidden="1"/>
    </xf>
    <xf numFmtId="37" fontId="38" fillId="0" borderId="165" xfId="0" applyNumberFormat="1" applyFont="1" applyBorder="1" applyProtection="1">
      <protection hidden="1"/>
    </xf>
    <xf numFmtId="37" fontId="63" fillId="5" borderId="166" xfId="0" applyNumberFormat="1" applyFont="1" applyFill="1" applyBorder="1" applyProtection="1">
      <protection hidden="1"/>
    </xf>
    <xf numFmtId="37" fontId="63" fillId="5" borderId="88" xfId="0" applyNumberFormat="1" applyFont="1" applyFill="1" applyBorder="1" applyProtection="1">
      <protection hidden="1"/>
    </xf>
    <xf numFmtId="37" fontId="16" fillId="0" borderId="29" xfId="0" applyNumberFormat="1" applyFont="1" applyBorder="1" applyProtection="1">
      <protection hidden="1"/>
    </xf>
    <xf numFmtId="37" fontId="16" fillId="0" borderId="30" xfId="0" applyNumberFormat="1" applyFont="1" applyBorder="1" applyProtection="1">
      <protection hidden="1"/>
    </xf>
    <xf numFmtId="37" fontId="16" fillId="0" borderId="25" xfId="0" applyNumberFormat="1" applyFont="1" applyBorder="1" applyProtection="1">
      <protection hidden="1"/>
    </xf>
    <xf numFmtId="37" fontId="16" fillId="0" borderId="26" xfId="0" applyNumberFormat="1" applyFont="1" applyBorder="1" applyProtection="1">
      <protection hidden="1"/>
    </xf>
    <xf numFmtId="0" fontId="15" fillId="0" borderId="1" xfId="0" applyFont="1" applyBorder="1" applyAlignment="1" applyProtection="1">
      <alignment horizontal="center"/>
      <protection hidden="1"/>
    </xf>
    <xf numFmtId="0" fontId="15" fillId="0" borderId="21" xfId="0" applyFont="1" applyBorder="1" applyAlignment="1" applyProtection="1">
      <alignment horizontal="center"/>
      <protection hidden="1"/>
    </xf>
    <xf numFmtId="0" fontId="32" fillId="4" borderId="13" xfId="0" applyFont="1" applyFill="1" applyBorder="1" applyAlignment="1" applyProtection="1">
      <alignment horizontal="center" vertical="center" textRotation="255"/>
      <protection hidden="1"/>
    </xf>
    <xf numFmtId="0" fontId="32" fillId="4" borderId="6" xfId="0" applyFont="1" applyFill="1" applyBorder="1" applyAlignment="1" applyProtection="1">
      <alignment horizontal="center" vertical="center" textRotation="255"/>
      <protection hidden="1"/>
    </xf>
    <xf numFmtId="0" fontId="32" fillId="4" borderId="3" xfId="0" applyFont="1" applyFill="1" applyBorder="1" applyAlignment="1" applyProtection="1">
      <alignment horizontal="center" vertical="center" textRotation="255"/>
      <protection hidden="1"/>
    </xf>
    <xf numFmtId="37" fontId="15" fillId="3" borderId="8" xfId="15" applyNumberFormat="1" applyFont="1" applyFill="1" applyBorder="1" applyAlignment="1" applyProtection="1">
      <alignment horizontal="center"/>
      <protection locked="0" hidden="1"/>
    </xf>
    <xf numFmtId="37" fontId="15" fillId="3" borderId="0" xfId="15" applyNumberFormat="1" applyFont="1" applyFill="1" applyAlignment="1" applyProtection="1">
      <alignment horizontal="center"/>
      <protection locked="0" hidden="1"/>
    </xf>
    <xf numFmtId="0" fontId="13" fillId="0" borderId="13" xfId="0" applyFont="1" applyBorder="1" applyAlignment="1" applyProtection="1">
      <alignment horizontal="center" wrapText="1"/>
      <protection hidden="1"/>
    </xf>
    <xf numFmtId="0" fontId="13" fillId="0" borderId="3" xfId="0" applyFont="1" applyBorder="1" applyAlignment="1" applyProtection="1">
      <alignment horizontal="center" wrapText="1"/>
      <protection hidden="1"/>
    </xf>
    <xf numFmtId="37" fontId="15" fillId="3" borderId="1" xfId="15" applyNumberFormat="1" applyFont="1" applyFill="1" applyBorder="1" applyAlignment="1" applyProtection="1">
      <alignment horizontal="center"/>
      <protection locked="0" hidden="1"/>
    </xf>
    <xf numFmtId="49" fontId="49" fillId="0" borderId="1" xfId="0" applyNumberFormat="1" applyFont="1" applyBorder="1" applyAlignment="1" applyProtection="1">
      <alignment horizontal="center"/>
      <protection hidden="1"/>
    </xf>
    <xf numFmtId="0" fontId="12" fillId="0" borderId="1" xfId="0" applyFont="1" applyBorder="1" applyAlignment="1" applyProtection="1">
      <alignment horizontal="center" wrapText="1"/>
      <protection hidden="1"/>
    </xf>
    <xf numFmtId="0" fontId="23" fillId="2" borderId="12" xfId="0" applyFont="1" applyFill="1" applyBorder="1" applyAlignment="1" applyProtection="1">
      <alignment horizontal="center" vertical="center"/>
      <protection hidden="1"/>
    </xf>
    <xf numFmtId="0" fontId="23" fillId="2" borderId="14" xfId="0" applyFont="1" applyFill="1" applyBorder="1" applyAlignment="1" applyProtection="1">
      <alignment horizontal="center" vertical="center"/>
      <protection hidden="1"/>
    </xf>
    <xf numFmtId="0" fontId="23" fillId="2" borderId="2" xfId="0" applyFont="1" applyFill="1" applyBorder="1" applyAlignment="1" applyProtection="1">
      <alignment horizontal="center" vertical="center"/>
      <protection hidden="1"/>
    </xf>
    <xf numFmtId="0" fontId="23" fillId="2" borderId="4" xfId="0" applyFont="1" applyFill="1" applyBorder="1" applyAlignment="1" applyProtection="1">
      <alignment horizontal="center" vertical="center"/>
      <protection hidden="1"/>
    </xf>
    <xf numFmtId="0" fontId="95" fillId="22" borderId="12" xfId="0" applyFont="1" applyFill="1" applyBorder="1" applyAlignment="1" applyProtection="1">
      <alignment horizontal="center" vertical="center"/>
      <protection hidden="1"/>
    </xf>
    <xf numFmtId="0" fontId="28" fillId="22" borderId="14" xfId="0" applyFont="1" applyFill="1" applyBorder="1" applyAlignment="1" applyProtection="1">
      <alignment horizontal="center" vertical="center"/>
      <protection hidden="1"/>
    </xf>
    <xf numFmtId="0" fontId="28" fillId="22" borderId="28" xfId="0" applyFont="1" applyFill="1" applyBorder="1" applyAlignment="1" applyProtection="1">
      <alignment horizontal="center" vertical="center"/>
      <protection hidden="1"/>
    </xf>
    <xf numFmtId="0" fontId="28" fillId="22" borderId="16" xfId="0" applyFont="1" applyFill="1" applyBorder="1" applyAlignment="1" applyProtection="1">
      <alignment horizontal="center" vertical="center"/>
      <protection hidden="1"/>
    </xf>
    <xf numFmtId="0" fontId="95" fillId="22" borderId="29" xfId="0" applyFont="1" applyFill="1" applyBorder="1" applyAlignment="1" applyProtection="1">
      <alignment horizontal="center"/>
      <protection hidden="1"/>
    </xf>
    <xf numFmtId="0" fontId="98" fillId="22" borderId="8" xfId="0" applyFont="1" applyFill="1" applyBorder="1" applyAlignment="1" applyProtection="1">
      <alignment horizontal="center" wrapText="1"/>
      <protection hidden="1"/>
    </xf>
    <xf numFmtId="0" fontId="99" fillId="22" borderId="8" xfId="0" applyFont="1" applyFill="1" applyBorder="1" applyAlignment="1" applyProtection="1">
      <alignment horizontal="center" wrapText="1"/>
      <protection hidden="1"/>
    </xf>
    <xf numFmtId="0" fontId="99" fillId="22" borderId="0" xfId="0" applyFont="1" applyFill="1" applyAlignment="1" applyProtection="1">
      <alignment horizontal="center" wrapText="1"/>
      <protection hidden="1"/>
    </xf>
    <xf numFmtId="37" fontId="40" fillId="5" borderId="39" xfId="15" applyNumberFormat="1" applyFont="1" applyFill="1" applyBorder="1" applyAlignment="1" applyProtection="1">
      <alignment vertical="center"/>
      <protection locked="0" hidden="1"/>
    </xf>
    <xf numFmtId="37" fontId="40" fillId="5" borderId="46" xfId="15" applyNumberFormat="1" applyFont="1" applyFill="1" applyBorder="1" applyAlignment="1" applyProtection="1">
      <alignment vertical="center"/>
      <protection locked="0" hidden="1"/>
    </xf>
    <xf numFmtId="0" fontId="13" fillId="3" borderId="12" xfId="0" applyFont="1" applyFill="1" applyBorder="1" applyAlignment="1" applyProtection="1">
      <alignment horizontal="center" vertical="center" textRotation="255"/>
      <protection hidden="1"/>
    </xf>
    <xf numFmtId="0" fontId="13" fillId="3" borderId="5" xfId="0" applyFont="1" applyFill="1" applyBorder="1" applyAlignment="1" applyProtection="1">
      <alignment horizontal="center" vertical="center" textRotation="255"/>
      <protection hidden="1"/>
    </xf>
    <xf numFmtId="0" fontId="13" fillId="3" borderId="2" xfId="0" applyFont="1" applyFill="1" applyBorder="1" applyAlignment="1" applyProtection="1">
      <alignment horizontal="center" vertical="center" textRotation="255"/>
      <protection hidden="1"/>
    </xf>
    <xf numFmtId="0" fontId="21" fillId="4" borderId="12" xfId="0" applyFont="1" applyFill="1" applyBorder="1" applyAlignment="1" applyProtection="1">
      <alignment horizontal="center" vertical="center" textRotation="255"/>
      <protection hidden="1"/>
    </xf>
    <xf numFmtId="0" fontId="21" fillId="4" borderId="5" xfId="0" applyFont="1" applyFill="1" applyBorder="1" applyAlignment="1" applyProtection="1">
      <alignment horizontal="center" vertical="center" textRotation="255"/>
      <protection hidden="1"/>
    </xf>
    <xf numFmtId="0" fontId="21" fillId="4" borderId="2" xfId="0" applyFont="1" applyFill="1" applyBorder="1" applyAlignment="1" applyProtection="1">
      <alignment horizontal="center" vertical="center" textRotation="255"/>
      <protection hidden="1"/>
    </xf>
    <xf numFmtId="0" fontId="23" fillId="2" borderId="12" xfId="0" applyFont="1" applyFill="1" applyBorder="1" applyAlignment="1" applyProtection="1">
      <alignment horizontal="center"/>
      <protection hidden="1"/>
    </xf>
    <xf numFmtId="0" fontId="23" fillId="2" borderId="14" xfId="0" applyFont="1" applyFill="1" applyBorder="1" applyAlignment="1" applyProtection="1">
      <alignment horizontal="center"/>
      <protection hidden="1"/>
    </xf>
    <xf numFmtId="0" fontId="23" fillId="2" borderId="2" xfId="0" applyFont="1" applyFill="1" applyBorder="1" applyAlignment="1" applyProtection="1">
      <alignment horizontal="center"/>
      <protection hidden="1"/>
    </xf>
    <xf numFmtId="0" fontId="23" fillId="2" borderId="4" xfId="0" applyFont="1" applyFill="1" applyBorder="1" applyAlignment="1" applyProtection="1">
      <alignment horizontal="center"/>
      <protection hidden="1"/>
    </xf>
    <xf numFmtId="0" fontId="25" fillId="0" borderId="33" xfId="35" quotePrefix="1" applyFont="1" applyBorder="1" applyAlignment="1" applyProtection="1">
      <alignment horizontal="left" vertical="center" wrapText="1"/>
      <protection hidden="1"/>
    </xf>
    <xf numFmtId="0" fontId="25" fillId="0" borderId="34" xfId="35" quotePrefix="1" applyFont="1" applyBorder="1" applyAlignment="1" applyProtection="1">
      <alignment horizontal="left" vertical="center" wrapText="1"/>
      <protection hidden="1"/>
    </xf>
    <xf numFmtId="37" fontId="40" fillId="3" borderId="39" xfId="15" applyNumberFormat="1" applyFont="1" applyFill="1" applyBorder="1" applyAlignment="1" applyProtection="1">
      <alignment vertical="center"/>
      <protection locked="0" hidden="1"/>
    </xf>
    <xf numFmtId="37" fontId="40" fillId="3" borderId="46" xfId="15" applyNumberFormat="1" applyFont="1" applyFill="1" applyBorder="1" applyAlignment="1" applyProtection="1">
      <alignment vertical="center"/>
      <protection locked="0" hidden="1"/>
    </xf>
    <xf numFmtId="0" fontId="19" fillId="0" borderId="42" xfId="35" applyFont="1" applyBorder="1" applyAlignment="1" applyProtection="1">
      <alignment horizontal="left"/>
    </xf>
    <xf numFmtId="0" fontId="19" fillId="0" borderId="30" xfId="35" applyFont="1" applyBorder="1" applyAlignment="1" applyProtection="1">
      <alignment horizontal="left"/>
    </xf>
    <xf numFmtId="0" fontId="19" fillId="0" borderId="48" xfId="35" applyFont="1" applyBorder="1" applyAlignment="1" applyProtection="1">
      <alignment horizontal="left"/>
      <protection hidden="1"/>
    </xf>
    <xf numFmtId="0" fontId="19" fillId="0" borderId="26" xfId="35" applyFont="1" applyBorder="1" applyAlignment="1" applyProtection="1">
      <alignment horizontal="left"/>
      <protection hidden="1"/>
    </xf>
    <xf numFmtId="0" fontId="13" fillId="5" borderId="10" xfId="0" applyFont="1" applyFill="1" applyBorder="1" applyAlignment="1" applyProtection="1">
      <alignment horizontal="center"/>
      <protection hidden="1"/>
    </xf>
    <xf numFmtId="0" fontId="13" fillId="5" borderId="11" xfId="0" applyFont="1" applyFill="1" applyBorder="1" applyAlignment="1" applyProtection="1">
      <alignment horizontal="center"/>
      <protection hidden="1"/>
    </xf>
    <xf numFmtId="37" fontId="40" fillId="0" borderId="9" xfId="15" applyNumberFormat="1" applyFont="1" applyBorder="1" applyProtection="1">
      <protection hidden="1"/>
    </xf>
    <xf numFmtId="37" fontId="40" fillId="5" borderId="54" xfId="0" applyNumberFormat="1" applyFont="1" applyFill="1" applyBorder="1" applyProtection="1">
      <protection locked="0" hidden="1"/>
    </xf>
    <xf numFmtId="37" fontId="40" fillId="5" borderId="11" xfId="0" applyNumberFormat="1" applyFont="1" applyFill="1" applyBorder="1" applyProtection="1">
      <protection locked="0" hidden="1"/>
    </xf>
    <xf numFmtId="0" fontId="21" fillId="2" borderId="13" xfId="0" applyFont="1" applyFill="1" applyBorder="1" applyAlignment="1" applyProtection="1">
      <alignment horizontal="center" textRotation="255"/>
      <protection hidden="1"/>
    </xf>
    <xf numFmtId="0" fontId="21" fillId="2" borderId="6" xfId="0" applyFont="1" applyFill="1" applyBorder="1" applyAlignment="1" applyProtection="1">
      <alignment horizontal="center" textRotation="255"/>
      <protection hidden="1"/>
    </xf>
    <xf numFmtId="0" fontId="19" fillId="0" borderId="42" xfId="35" applyFont="1" applyBorder="1" applyAlignment="1" applyProtection="1">
      <alignment horizontal="left"/>
      <protection hidden="1"/>
    </xf>
    <xf numFmtId="0" fontId="19" fillId="0" borderId="30" xfId="35" applyFont="1" applyBorder="1" applyAlignment="1" applyProtection="1">
      <alignment horizontal="left"/>
      <protection hidden="1"/>
    </xf>
    <xf numFmtId="0" fontId="19" fillId="0" borderId="10" xfId="35" applyFont="1" applyBorder="1" applyAlignment="1" applyProtection="1">
      <alignment horizontal="left"/>
      <protection hidden="1"/>
    </xf>
    <xf numFmtId="0" fontId="19" fillId="0" borderId="9" xfId="35" applyFont="1" applyBorder="1" applyAlignment="1" applyProtection="1">
      <alignment horizontal="left"/>
      <protection hidden="1"/>
    </xf>
    <xf numFmtId="0" fontId="19" fillId="0" borderId="27" xfId="35" applyFont="1" applyBorder="1" applyAlignment="1" applyProtection="1">
      <alignment horizontal="left"/>
      <protection hidden="1"/>
    </xf>
    <xf numFmtId="0" fontId="19" fillId="10" borderId="10" xfId="35" applyFont="1" applyFill="1" applyBorder="1" applyAlignment="1" applyProtection="1">
      <alignment horizontal="left"/>
      <protection hidden="1"/>
    </xf>
    <xf numFmtId="0" fontId="19" fillId="10" borderId="9" xfId="35" applyFont="1" applyFill="1" applyBorder="1" applyAlignment="1" applyProtection="1">
      <alignment horizontal="left"/>
      <protection hidden="1"/>
    </xf>
    <xf numFmtId="0" fontId="19" fillId="10" borderId="27" xfId="35" applyFont="1" applyFill="1" applyBorder="1" applyAlignment="1" applyProtection="1">
      <alignment horizontal="left"/>
      <protection hidden="1"/>
    </xf>
    <xf numFmtId="3" fontId="16" fillId="0" borderId="84" xfId="0" applyNumberFormat="1" applyFont="1" applyBorder="1" applyProtection="1">
      <protection hidden="1"/>
    </xf>
    <xf numFmtId="3" fontId="16" fillId="0" borderId="69" xfId="0" applyNumberFormat="1" applyFont="1" applyBorder="1" applyProtection="1">
      <protection hidden="1"/>
    </xf>
    <xf numFmtId="0" fontId="14" fillId="3" borderId="84" xfId="0" applyFont="1" applyFill="1" applyBorder="1" applyAlignment="1" applyProtection="1">
      <alignment horizontal="center" vertical="center"/>
      <protection hidden="1"/>
    </xf>
    <xf numFmtId="0" fontId="14" fillId="3" borderId="69" xfId="0" applyFont="1" applyFill="1" applyBorder="1" applyAlignment="1" applyProtection="1">
      <alignment horizontal="center" vertical="center"/>
      <protection hidden="1"/>
    </xf>
    <xf numFmtId="3" fontId="63" fillId="3" borderId="68" xfId="0" applyNumberFormat="1" applyFont="1" applyFill="1" applyBorder="1" applyProtection="1">
      <protection hidden="1"/>
    </xf>
    <xf numFmtId="3" fontId="63" fillId="3" borderId="67" xfId="0" applyNumberFormat="1" applyFont="1" applyFill="1" applyBorder="1" applyProtection="1">
      <protection hidden="1"/>
    </xf>
    <xf numFmtId="0" fontId="21" fillId="2" borderId="10" xfId="99" applyFont="1" applyFill="1" applyBorder="1" applyAlignment="1" applyProtection="1">
      <alignment horizontal="center"/>
      <protection hidden="1"/>
    </xf>
    <xf numFmtId="0" fontId="21" fillId="2" borderId="11" xfId="99" applyFont="1" applyFill="1" applyBorder="1" applyAlignment="1" applyProtection="1">
      <alignment horizontal="center"/>
      <protection hidden="1"/>
    </xf>
    <xf numFmtId="3" fontId="40" fillId="10" borderId="84" xfId="0" applyNumberFormat="1" applyFont="1" applyFill="1" applyBorder="1" applyProtection="1">
      <protection locked="0" hidden="1"/>
    </xf>
    <xf numFmtId="3" fontId="40" fillId="10" borderId="69" xfId="0" applyNumberFormat="1" applyFont="1" applyFill="1" applyBorder="1" applyProtection="1">
      <protection locked="0" hidden="1"/>
    </xf>
    <xf numFmtId="3" fontId="16" fillId="3" borderId="68" xfId="0" applyNumberFormat="1" applyFont="1" applyFill="1" applyBorder="1" applyProtection="1">
      <protection locked="0" hidden="1"/>
    </xf>
    <xf numFmtId="3" fontId="16" fillId="3" borderId="67" xfId="0" applyNumberFormat="1" applyFont="1" applyFill="1" applyBorder="1" applyProtection="1">
      <protection locked="0" hidden="1"/>
    </xf>
    <xf numFmtId="0" fontId="32" fillId="2" borderId="48" xfId="0" applyFont="1" applyFill="1" applyBorder="1" applyAlignment="1" applyProtection="1">
      <alignment horizontal="center" wrapText="1"/>
      <protection hidden="1"/>
    </xf>
    <xf numFmtId="0" fontId="32" fillId="2" borderId="25" xfId="0" applyFont="1" applyFill="1" applyBorder="1" applyAlignment="1" applyProtection="1">
      <alignment horizontal="center" wrapText="1"/>
      <protection hidden="1"/>
    </xf>
    <xf numFmtId="0" fontId="32" fillId="2" borderId="26" xfId="0" applyFont="1" applyFill="1" applyBorder="1" applyAlignment="1" applyProtection="1">
      <alignment horizontal="center" wrapText="1"/>
      <protection hidden="1"/>
    </xf>
    <xf numFmtId="3" fontId="40" fillId="10" borderId="22" xfId="15" applyNumberFormat="1" applyFont="1" applyFill="1" applyBorder="1" applyProtection="1">
      <protection locked="0" hidden="1"/>
    </xf>
    <xf numFmtId="3" fontId="40" fillId="10" borderId="34" xfId="15" applyNumberFormat="1" applyFont="1" applyFill="1" applyBorder="1" applyProtection="1">
      <protection locked="0" hidden="1"/>
    </xf>
    <xf numFmtId="3" fontId="40" fillId="6" borderId="37" xfId="15" applyNumberFormat="1" applyFont="1" applyFill="1" applyBorder="1" applyProtection="1">
      <protection hidden="1"/>
    </xf>
    <xf numFmtId="3" fontId="40" fillId="6" borderId="110" xfId="15" applyNumberFormat="1" applyFont="1" applyFill="1" applyBorder="1" applyProtection="1">
      <protection hidden="1"/>
    </xf>
    <xf numFmtId="3" fontId="40" fillId="6" borderId="79" xfId="15" applyNumberFormat="1" applyFont="1" applyFill="1" applyBorder="1" applyProtection="1">
      <protection hidden="1"/>
    </xf>
    <xf numFmtId="3" fontId="40" fillId="6" borderId="71" xfId="15" applyNumberFormat="1" applyFont="1" applyFill="1" applyBorder="1" applyProtection="1">
      <protection hidden="1"/>
    </xf>
    <xf numFmtId="3" fontId="40" fillId="10" borderId="29" xfId="15" applyNumberFormat="1" applyFont="1" applyFill="1" applyBorder="1" applyProtection="1">
      <protection locked="0" hidden="1"/>
    </xf>
    <xf numFmtId="3" fontId="40" fillId="10" borderId="67" xfId="15" applyNumberFormat="1" applyFont="1" applyFill="1" applyBorder="1" applyProtection="1">
      <protection locked="0" hidden="1"/>
    </xf>
    <xf numFmtId="3" fontId="40" fillId="6" borderId="0" xfId="15" applyNumberFormat="1" applyFont="1" applyFill="1" applyProtection="1">
      <protection hidden="1"/>
    </xf>
    <xf numFmtId="3" fontId="40" fillId="6" borderId="7" xfId="15" applyNumberFormat="1" applyFont="1" applyFill="1" applyBorder="1" applyProtection="1">
      <protection hidden="1"/>
    </xf>
    <xf numFmtId="3" fontId="40" fillId="10" borderId="103" xfId="15" applyNumberFormat="1" applyFont="1" applyFill="1" applyBorder="1" applyProtection="1">
      <protection locked="0" hidden="1"/>
    </xf>
    <xf numFmtId="3" fontId="40" fillId="10" borderId="64" xfId="15" applyNumberFormat="1" applyFont="1" applyFill="1" applyBorder="1" applyProtection="1">
      <protection locked="0" hidden="1"/>
    </xf>
    <xf numFmtId="3" fontId="40" fillId="10" borderId="173" xfId="15" applyNumberFormat="1" applyFont="1" applyFill="1" applyBorder="1" applyProtection="1">
      <protection locked="0" hidden="1"/>
    </xf>
    <xf numFmtId="3" fontId="40" fillId="10" borderId="73" xfId="15" applyNumberFormat="1" applyFont="1" applyFill="1" applyBorder="1" applyProtection="1">
      <protection locked="0" hidden="1"/>
    </xf>
    <xf numFmtId="3" fontId="40" fillId="10" borderId="68" xfId="15" applyNumberFormat="1" applyFont="1" applyFill="1" applyBorder="1" applyProtection="1">
      <protection locked="0" hidden="1"/>
    </xf>
    <xf numFmtId="3" fontId="40" fillId="10" borderId="106" xfId="15" applyNumberFormat="1" applyFont="1" applyFill="1" applyBorder="1" applyProtection="1">
      <protection locked="0" hidden="1"/>
    </xf>
    <xf numFmtId="3" fontId="40" fillId="10" borderId="115" xfId="15" applyNumberFormat="1" applyFont="1" applyFill="1" applyBorder="1" applyProtection="1">
      <protection locked="0" hidden="1"/>
    </xf>
    <xf numFmtId="3" fontId="40" fillId="10" borderId="30" xfId="15" applyNumberFormat="1" applyFont="1" applyFill="1" applyBorder="1" applyProtection="1">
      <protection locked="0" hidden="1"/>
    </xf>
    <xf numFmtId="0" fontId="14" fillId="3" borderId="84" xfId="0" applyFont="1" applyFill="1" applyBorder="1" applyAlignment="1" applyProtection="1">
      <alignment horizontal="center" vertical="center" wrapText="1"/>
      <protection hidden="1"/>
    </xf>
    <xf numFmtId="0" fontId="14" fillId="3" borderId="69" xfId="0" applyFont="1" applyFill="1" applyBorder="1" applyAlignment="1" applyProtection="1">
      <alignment horizontal="center" vertical="center" wrapText="1"/>
      <protection hidden="1"/>
    </xf>
    <xf numFmtId="3" fontId="16" fillId="3" borderId="79" xfId="0" applyNumberFormat="1" applyFont="1" applyFill="1" applyBorder="1" applyProtection="1">
      <protection locked="0" hidden="1"/>
    </xf>
    <xf numFmtId="3" fontId="16" fillId="3" borderId="71" xfId="0" applyNumberFormat="1" applyFont="1" applyFill="1" applyBorder="1" applyProtection="1">
      <protection locked="0" hidden="1"/>
    </xf>
    <xf numFmtId="3" fontId="46" fillId="6" borderId="23" xfId="15" quotePrefix="1" applyNumberFormat="1" applyFont="1" applyFill="1" applyBorder="1" applyAlignment="1" applyProtection="1">
      <alignment horizontal="right"/>
      <protection hidden="1"/>
    </xf>
    <xf numFmtId="0" fontId="25" fillId="0" borderId="10" xfId="102" applyFont="1" applyBorder="1" applyAlignment="1" applyProtection="1">
      <alignment horizontal="left" vertical="center" wrapText="1"/>
      <protection hidden="1"/>
    </xf>
    <xf numFmtId="0" fontId="25" fillId="0" borderId="27" xfId="102" applyFont="1" applyBorder="1" applyAlignment="1" applyProtection="1">
      <alignment horizontal="left" vertical="center" wrapText="1"/>
      <protection hidden="1"/>
    </xf>
    <xf numFmtId="3" fontId="40" fillId="10" borderId="72" xfId="15" applyNumberFormat="1" applyFont="1" applyFill="1" applyBorder="1" applyProtection="1">
      <protection locked="0" hidden="1"/>
    </xf>
    <xf numFmtId="3" fontId="40" fillId="10" borderId="126" xfId="15" applyNumberFormat="1" applyFont="1" applyFill="1" applyBorder="1" applyProtection="1">
      <protection locked="0" hidden="1"/>
    </xf>
    <xf numFmtId="49" fontId="73" fillId="0" borderId="0" xfId="0" applyNumberFormat="1" applyFont="1" applyAlignment="1" applyProtection="1">
      <alignment horizontal="center" vertical="center" textRotation="90"/>
      <protection hidden="1"/>
    </xf>
    <xf numFmtId="49" fontId="73" fillId="0" borderId="7" xfId="0" applyNumberFormat="1" applyFont="1" applyBorder="1" applyAlignment="1" applyProtection="1">
      <alignment horizontal="center" vertical="center" textRotation="90"/>
      <protection hidden="1"/>
    </xf>
    <xf numFmtId="0" fontId="17" fillId="0" borderId="68" xfId="0" applyFont="1" applyBorder="1" applyAlignment="1">
      <alignment horizontal="center" wrapText="1"/>
    </xf>
    <xf numFmtId="0" fontId="17" fillId="0" borderId="67" xfId="0" applyFont="1" applyBorder="1" applyAlignment="1">
      <alignment horizontal="center" wrapText="1"/>
    </xf>
    <xf numFmtId="0" fontId="17" fillId="0" borderId="10" xfId="0" applyFont="1" applyBorder="1" applyAlignment="1">
      <alignment horizontal="center" vertical="top"/>
    </xf>
    <xf numFmtId="0" fontId="17" fillId="0" borderId="11" xfId="0" applyFont="1" applyBorder="1" applyAlignment="1">
      <alignment horizontal="center" vertical="top"/>
    </xf>
    <xf numFmtId="49" fontId="37" fillId="20" borderId="10" xfId="39" applyNumberFormat="1" applyFont="1" applyFill="1" applyBorder="1" applyAlignment="1">
      <alignment horizontal="center"/>
    </xf>
    <xf numFmtId="49" fontId="37" fillId="20" borderId="9" xfId="39" applyNumberFormat="1" applyFont="1" applyFill="1" applyBorder="1" applyAlignment="1">
      <alignment horizontal="center"/>
    </xf>
    <xf numFmtId="49" fontId="37" fillId="20" borderId="11" xfId="39" applyNumberFormat="1" applyFont="1" applyFill="1" applyBorder="1" applyAlignment="1">
      <alignment horizontal="center"/>
    </xf>
    <xf numFmtId="0" fontId="37" fillId="21" borderId="10" xfId="0" applyFont="1" applyFill="1" applyBorder="1" applyAlignment="1">
      <alignment horizontal="center" vertical="center"/>
    </xf>
    <xf numFmtId="0" fontId="37" fillId="21" borderId="9" xfId="0" applyFont="1" applyFill="1" applyBorder="1" applyAlignment="1">
      <alignment horizontal="center" vertical="center"/>
    </xf>
    <xf numFmtId="0" fontId="37" fillId="21" borderId="175" xfId="0" applyFont="1" applyFill="1" applyBorder="1" applyAlignment="1">
      <alignment horizontal="center" vertical="center"/>
    </xf>
  </cellXfs>
  <cellStyles count="125">
    <cellStyle name="BOLD_B" xfId="1" xr:uid="{00000000-0005-0000-0000-000000000000}"/>
    <cellStyle name="BOLD_B_L" xfId="2" xr:uid="{00000000-0005-0000-0000-000001000000}"/>
    <cellStyle name="BOLD_B_L_R" xfId="3" xr:uid="{00000000-0005-0000-0000-000002000000}"/>
    <cellStyle name="BOLD_B_R" xfId="4" xr:uid="{00000000-0005-0000-0000-000003000000}"/>
    <cellStyle name="BOLD_L" xfId="5" xr:uid="{00000000-0005-0000-0000-000004000000}"/>
    <cellStyle name="BOLD_L_R" xfId="6" xr:uid="{00000000-0005-0000-0000-000005000000}"/>
    <cellStyle name="BOLD_R" xfId="7" xr:uid="{00000000-0005-0000-0000-000006000000}"/>
    <cellStyle name="BOLD_T" xfId="8" xr:uid="{00000000-0005-0000-0000-000007000000}"/>
    <cellStyle name="BOLD_T_B" xfId="9" xr:uid="{00000000-0005-0000-0000-000008000000}"/>
    <cellStyle name="BOLD_T_B_L" xfId="10" xr:uid="{00000000-0005-0000-0000-000009000000}"/>
    <cellStyle name="BOLD_T_B_R" xfId="11" xr:uid="{00000000-0005-0000-0000-00000A000000}"/>
    <cellStyle name="BOLD_T_L" xfId="12" xr:uid="{00000000-0005-0000-0000-00000B000000}"/>
    <cellStyle name="BOLD_T_L_R" xfId="13" xr:uid="{00000000-0005-0000-0000-00000C000000}"/>
    <cellStyle name="BOLD_T_R" xfId="14" xr:uid="{00000000-0005-0000-0000-00000D000000}"/>
    <cellStyle name="Comma 2" xfId="16" xr:uid="{00000000-0005-0000-0000-00000F000000}"/>
    <cellStyle name="Comma 2 2" xfId="17" xr:uid="{00000000-0005-0000-0000-000010000000}"/>
    <cellStyle name="Comma 2 3" xfId="18" xr:uid="{00000000-0005-0000-0000-000011000000}"/>
    <cellStyle name="Comma 2 4" xfId="19" xr:uid="{00000000-0005-0000-0000-000012000000}"/>
    <cellStyle name="Comma 2 5" xfId="20" xr:uid="{00000000-0005-0000-0000-000013000000}"/>
    <cellStyle name="Comma 2 6" xfId="21" xr:uid="{00000000-0005-0000-0000-000014000000}"/>
    <cellStyle name="Comma 2 7" xfId="22" xr:uid="{00000000-0005-0000-0000-000015000000}"/>
    <cellStyle name="Comma 2 8" xfId="23" xr:uid="{00000000-0005-0000-0000-000016000000}"/>
    <cellStyle name="Comma 2 9" xfId="24" xr:uid="{00000000-0005-0000-0000-000017000000}"/>
    <cellStyle name="Comma 3" xfId="25" xr:uid="{00000000-0005-0000-0000-000018000000}"/>
    <cellStyle name="Comma 3 2" xfId="26" xr:uid="{00000000-0005-0000-0000-000019000000}"/>
    <cellStyle name="Comma 3 3" xfId="27" xr:uid="{00000000-0005-0000-0000-00001A000000}"/>
    <cellStyle name="Comma 3 4" xfId="28" xr:uid="{00000000-0005-0000-0000-00001B000000}"/>
    <cellStyle name="Comma 3 5" xfId="29" xr:uid="{00000000-0005-0000-0000-00001C000000}"/>
    <cellStyle name="Comma 3 6" xfId="30" xr:uid="{00000000-0005-0000-0000-00001D000000}"/>
    <cellStyle name="Comma 3 7" xfId="31" xr:uid="{00000000-0005-0000-0000-00001E000000}"/>
    <cellStyle name="Comma 3 8" xfId="32" xr:uid="{00000000-0005-0000-0000-00001F000000}"/>
    <cellStyle name="Comma 3 9" xfId="33" xr:uid="{00000000-0005-0000-0000-000020000000}"/>
    <cellStyle name="Comma_Current OR Edit YTD final b" xfId="34" xr:uid="{00000000-0005-0000-0000-000021000000}"/>
    <cellStyle name="Hyperlink 2" xfId="36" xr:uid="{00000000-0005-0000-0000-000023000000}"/>
    <cellStyle name="Hyperlink 3" xfId="37" xr:uid="{00000000-0005-0000-0000-000024000000}"/>
    <cellStyle name="Lien hypertexte" xfId="35" builtinId="8"/>
    <cellStyle name="Milliers" xfId="15" builtinId="3"/>
    <cellStyle name="Normal" xfId="0" builtinId="0"/>
    <cellStyle name="Normal 10" xfId="38" xr:uid="{00000000-0005-0000-0000-000026000000}"/>
    <cellStyle name="Normal 11" xfId="39" xr:uid="{00000000-0005-0000-0000-000027000000}"/>
    <cellStyle name="Normal 11 2" xfId="40" xr:uid="{00000000-0005-0000-0000-000028000000}"/>
    <cellStyle name="Normal 12" xfId="41" xr:uid="{00000000-0005-0000-0000-000029000000}"/>
    <cellStyle name="Normal 13" xfId="42" xr:uid="{00000000-0005-0000-0000-00002A000000}"/>
    <cellStyle name="Normal 14" xfId="43" xr:uid="{00000000-0005-0000-0000-00002B000000}"/>
    <cellStyle name="Normal 16" xfId="44" xr:uid="{00000000-0005-0000-0000-00002C000000}"/>
    <cellStyle name="Normal 16 2" xfId="45" xr:uid="{00000000-0005-0000-0000-00002D000000}"/>
    <cellStyle name="Normal 2" xfId="46" xr:uid="{00000000-0005-0000-0000-00002E000000}"/>
    <cellStyle name="Normal 2 10" xfId="47" xr:uid="{00000000-0005-0000-0000-00002F000000}"/>
    <cellStyle name="Normal 2 11" xfId="48" xr:uid="{00000000-0005-0000-0000-000030000000}"/>
    <cellStyle name="Normal 2 2" xfId="49" xr:uid="{00000000-0005-0000-0000-000031000000}"/>
    <cellStyle name="Normal 2 2 2" xfId="50" xr:uid="{00000000-0005-0000-0000-000032000000}"/>
    <cellStyle name="Normal 2 2 2 2" xfId="51" xr:uid="{00000000-0005-0000-0000-000033000000}"/>
    <cellStyle name="Normal 2 2 2 3" xfId="52" xr:uid="{00000000-0005-0000-0000-000034000000}"/>
    <cellStyle name="Normal 2 2 3" xfId="53" xr:uid="{00000000-0005-0000-0000-000035000000}"/>
    <cellStyle name="Normal 2 2 4" xfId="54" xr:uid="{00000000-0005-0000-0000-000036000000}"/>
    <cellStyle name="Normal 2 2 5" xfId="55" xr:uid="{00000000-0005-0000-0000-000037000000}"/>
    <cellStyle name="Normal 2 2 6" xfId="56" xr:uid="{00000000-0005-0000-0000-000038000000}"/>
    <cellStyle name="Normal 2 2 7" xfId="57" xr:uid="{00000000-0005-0000-0000-000039000000}"/>
    <cellStyle name="Normal 2 2 8" xfId="58" xr:uid="{00000000-0005-0000-0000-00003A000000}"/>
    <cellStyle name="Normal 2 3" xfId="59" xr:uid="{00000000-0005-0000-0000-00003B000000}"/>
    <cellStyle name="Normal 2 3 2" xfId="60" xr:uid="{00000000-0005-0000-0000-00003C000000}"/>
    <cellStyle name="Normal 2 4" xfId="61" xr:uid="{00000000-0005-0000-0000-00003D000000}"/>
    <cellStyle name="Normal 2 4 2" xfId="62" xr:uid="{00000000-0005-0000-0000-00003E000000}"/>
    <cellStyle name="Normal 2 5" xfId="63" xr:uid="{00000000-0005-0000-0000-00003F000000}"/>
    <cellStyle name="Normal 2 5 2" xfId="64" xr:uid="{00000000-0005-0000-0000-000040000000}"/>
    <cellStyle name="Normal 2 6" xfId="65" xr:uid="{00000000-0005-0000-0000-000041000000}"/>
    <cellStyle name="Normal 2 6 2" xfId="66" xr:uid="{00000000-0005-0000-0000-000042000000}"/>
    <cellStyle name="Normal 2 7" xfId="67" xr:uid="{00000000-0005-0000-0000-000043000000}"/>
    <cellStyle name="Normal 2 7 2" xfId="68" xr:uid="{00000000-0005-0000-0000-000044000000}"/>
    <cellStyle name="Normal 2 8" xfId="69" xr:uid="{00000000-0005-0000-0000-000045000000}"/>
    <cellStyle name="Normal 2 8 2" xfId="70" xr:uid="{00000000-0005-0000-0000-000046000000}"/>
    <cellStyle name="Normal 2 9" xfId="71" xr:uid="{00000000-0005-0000-0000-000047000000}"/>
    <cellStyle name="Normal 2 9 2" xfId="72" xr:uid="{00000000-0005-0000-0000-000048000000}"/>
    <cellStyle name="Normal 3" xfId="73" xr:uid="{00000000-0005-0000-0000-000049000000}"/>
    <cellStyle name="Normal 3 2" xfId="74" xr:uid="{00000000-0005-0000-0000-00004A000000}"/>
    <cellStyle name="Normal 3 2 2" xfId="75" xr:uid="{00000000-0005-0000-0000-00004B000000}"/>
    <cellStyle name="Normal 3 3" xfId="76" xr:uid="{00000000-0005-0000-0000-00004C000000}"/>
    <cellStyle name="Normal 3 4" xfId="77" xr:uid="{00000000-0005-0000-0000-00004D000000}"/>
    <cellStyle name="Normal 3 5" xfId="78" xr:uid="{00000000-0005-0000-0000-00004E000000}"/>
    <cellStyle name="Normal 4" xfId="79" xr:uid="{00000000-0005-0000-0000-00004F000000}"/>
    <cellStyle name="Normal 4 2" xfId="80" xr:uid="{00000000-0005-0000-0000-000050000000}"/>
    <cellStyle name="Normal 4 2 2" xfId="81" xr:uid="{00000000-0005-0000-0000-000051000000}"/>
    <cellStyle name="Normal 5" xfId="82" xr:uid="{00000000-0005-0000-0000-000052000000}"/>
    <cellStyle name="Normal 5 2" xfId="83" xr:uid="{00000000-0005-0000-0000-000053000000}"/>
    <cellStyle name="Normal 5 2 2" xfId="84" xr:uid="{00000000-0005-0000-0000-000054000000}"/>
    <cellStyle name="Normal 5 2 3" xfId="85" xr:uid="{00000000-0005-0000-0000-000055000000}"/>
    <cellStyle name="Normal 5 3" xfId="86" xr:uid="{00000000-0005-0000-0000-000056000000}"/>
    <cellStyle name="Normal 6" xfId="87" xr:uid="{00000000-0005-0000-0000-000057000000}"/>
    <cellStyle name="Normal 6 2" xfId="88" xr:uid="{00000000-0005-0000-0000-000058000000}"/>
    <cellStyle name="Normal 6 2 2" xfId="89" xr:uid="{00000000-0005-0000-0000-000059000000}"/>
    <cellStyle name="Normal 6 2 3" xfId="90" xr:uid="{00000000-0005-0000-0000-00005A000000}"/>
    <cellStyle name="Normal 6 3" xfId="91" xr:uid="{00000000-0005-0000-0000-00005B000000}"/>
    <cellStyle name="Normal 7" xfId="92" xr:uid="{00000000-0005-0000-0000-00005C000000}"/>
    <cellStyle name="Normal 7 2" xfId="93" xr:uid="{00000000-0005-0000-0000-00005D000000}"/>
    <cellStyle name="Normal 7 3" xfId="94" xr:uid="{00000000-0005-0000-0000-00005E000000}"/>
    <cellStyle name="Normal 8" xfId="95" xr:uid="{00000000-0005-0000-0000-00005F000000}"/>
    <cellStyle name="Normal 8 2" xfId="96" xr:uid="{00000000-0005-0000-0000-000060000000}"/>
    <cellStyle name="Normal 9" xfId="97" xr:uid="{00000000-0005-0000-0000-000061000000}"/>
    <cellStyle name="Normal 9 2" xfId="98" xr:uid="{00000000-0005-0000-0000-000062000000}"/>
    <cellStyle name="Normal_L&amp;R Income and Expense" xfId="99" xr:uid="{00000000-0005-0000-0000-000063000000}"/>
    <cellStyle name="Normal_Page 1 L" xfId="100" xr:uid="{00000000-0005-0000-0000-000064000000}"/>
    <cellStyle name="Normal_Page 1 R" xfId="101" xr:uid="{00000000-0005-0000-0000-000065000000}"/>
    <cellStyle name="Normal_SALES AND GROSS" xfId="102" xr:uid="{00000000-0005-0000-0000-000066000000}"/>
    <cellStyle name="Normal_SUMMARY" xfId="103" xr:uid="{00000000-0005-0000-0000-000067000000}"/>
    <cellStyle name="Percent 2" xfId="105" xr:uid="{00000000-0005-0000-0000-000069000000}"/>
    <cellStyle name="Percent 2 2" xfId="106" xr:uid="{00000000-0005-0000-0000-00006A000000}"/>
    <cellStyle name="Percent 2 3" xfId="107" xr:uid="{00000000-0005-0000-0000-00006B000000}"/>
    <cellStyle name="Percent 2 4" xfId="108" xr:uid="{00000000-0005-0000-0000-00006C000000}"/>
    <cellStyle name="Percent 2 5" xfId="109" xr:uid="{00000000-0005-0000-0000-00006D000000}"/>
    <cellStyle name="Percent 2 6" xfId="110" xr:uid="{00000000-0005-0000-0000-00006E000000}"/>
    <cellStyle name="Percent 2 7" xfId="111" xr:uid="{00000000-0005-0000-0000-00006F000000}"/>
    <cellStyle name="Percent 2 8" xfId="112" xr:uid="{00000000-0005-0000-0000-000070000000}"/>
    <cellStyle name="Percent 2 9" xfId="113" xr:uid="{00000000-0005-0000-0000-000071000000}"/>
    <cellStyle name="Percent 3" xfId="114" xr:uid="{00000000-0005-0000-0000-000072000000}"/>
    <cellStyle name="Percent 3 2" xfId="115" xr:uid="{00000000-0005-0000-0000-000073000000}"/>
    <cellStyle name="Percent 3 3" xfId="116" xr:uid="{00000000-0005-0000-0000-000074000000}"/>
    <cellStyle name="Percent 3 4" xfId="117" xr:uid="{00000000-0005-0000-0000-000075000000}"/>
    <cellStyle name="Percent 3 5" xfId="118" xr:uid="{00000000-0005-0000-0000-000076000000}"/>
    <cellStyle name="Percent 3 6" xfId="119" xr:uid="{00000000-0005-0000-0000-000077000000}"/>
    <cellStyle name="Percent 3 7" xfId="120" xr:uid="{00000000-0005-0000-0000-000078000000}"/>
    <cellStyle name="Percent 3 8" xfId="121" xr:uid="{00000000-0005-0000-0000-000079000000}"/>
    <cellStyle name="Percent 3 9" xfId="122" xr:uid="{00000000-0005-0000-0000-00007A000000}"/>
    <cellStyle name="Percent 4" xfId="123" xr:uid="{00000000-0005-0000-0000-00007B000000}"/>
    <cellStyle name="Percent_Page 1 L" xfId="124" xr:uid="{00000000-0005-0000-0000-00007C000000}"/>
    <cellStyle name="Pourcentage" xfId="104" builtinId="5"/>
  </cellStyles>
  <dxfs count="8">
    <dxf>
      <fill>
        <patternFill>
          <bgColor indexed="34"/>
        </patternFill>
      </fill>
    </dxf>
    <dxf>
      <fill>
        <patternFill>
          <bgColor indexed="34"/>
        </patternFill>
      </fill>
    </dxf>
    <dxf>
      <fill>
        <patternFill>
          <bgColor indexed="34"/>
        </patternFill>
      </fill>
    </dxf>
    <dxf>
      <fill>
        <patternFill>
          <bgColor indexed="13"/>
        </patternFill>
      </fill>
    </dxf>
    <dxf>
      <fill>
        <patternFill>
          <bgColor indexed="13"/>
        </patternFill>
      </fill>
    </dxf>
    <dxf>
      <font>
        <condense val="0"/>
        <extend val="0"/>
        <color auto="1"/>
      </font>
      <fill>
        <patternFill>
          <bgColor indexed="13"/>
        </patternFill>
      </fill>
    </dxf>
    <dxf>
      <font>
        <condense val="0"/>
        <extend val="0"/>
        <color auto="1"/>
      </font>
      <fill>
        <patternFill>
          <bgColor indexed="13"/>
        </patternFill>
      </fill>
    </dxf>
    <dxf>
      <font>
        <condense val="0"/>
        <extend val="0"/>
        <color indexed="9"/>
      </font>
      <fill>
        <patternFill>
          <bgColor indexed="10"/>
        </patternFill>
      </fill>
    </dxf>
  </dxfs>
  <tableStyles count="0" defaultTableStyle="TableStyleMedium9" defaultPivotStyle="PivotStyleLight16"/>
  <colors>
    <mruColors>
      <color rgb="FF008000"/>
      <color rgb="FFFFCC99"/>
      <color rgb="FFCCFFCC"/>
      <color rgb="FFCCFF99"/>
      <color rgb="FFFF00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microsoft.com/office/2006/relationships/vbaProject" Target="vbaProject.bin"/><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14</xdr:col>
      <xdr:colOff>11430</xdr:colOff>
      <xdr:row>0</xdr:row>
      <xdr:rowOff>257175</xdr:rowOff>
    </xdr:from>
    <xdr:to>
      <xdr:col>17</xdr:col>
      <xdr:colOff>954992</xdr:colOff>
      <xdr:row>5</xdr:row>
      <xdr:rowOff>3175</xdr:rowOff>
    </xdr:to>
    <xdr:sp macro="" textlink="">
      <xdr:nvSpPr>
        <xdr:cNvPr id="5124" name="Text Box 4">
          <a:extLst>
            <a:ext uri="{FF2B5EF4-FFF2-40B4-BE49-F238E27FC236}">
              <a16:creationId xmlns:a16="http://schemas.microsoft.com/office/drawing/2014/main" id="{00000000-0008-0000-0000-000004140000}"/>
            </a:ext>
          </a:extLst>
        </xdr:cNvPr>
        <xdr:cNvSpPr txBox="1">
          <a:spLocks noChangeArrowheads="1"/>
        </xdr:cNvSpPr>
      </xdr:nvSpPr>
      <xdr:spPr bwMode="auto">
        <a:xfrm>
          <a:off x="6591300" y="257175"/>
          <a:ext cx="2190750" cy="819150"/>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800" b="0" i="0" strike="noStrike">
              <a:solidFill>
                <a:srgbClr val="000000"/>
              </a:solidFill>
              <a:latin typeface="Arial"/>
              <a:cs typeface="Arial"/>
            </a:rPr>
            <a:t>L'information fournie par le concessionnaire est réservée uniquement à l'usage de la GM et pour aucun autre usage. La GM décline toute responsabilité quant à la validité des données contenues dans le présent rapport.</a:t>
          </a:r>
        </a:p>
      </xdr:txBody>
    </xdr:sp>
    <xdr:clientData/>
  </xdr:twoCellAnchor>
  <xdr:twoCellAnchor editAs="oneCell">
    <xdr:from>
      <xdr:col>15</xdr:col>
      <xdr:colOff>0</xdr:colOff>
      <xdr:row>2</xdr:row>
      <xdr:rowOff>66675</xdr:rowOff>
    </xdr:from>
    <xdr:to>
      <xdr:col>15</xdr:col>
      <xdr:colOff>76200</xdr:colOff>
      <xdr:row>3</xdr:row>
      <xdr:rowOff>66675</xdr:rowOff>
    </xdr:to>
    <xdr:sp macro="" textlink="">
      <xdr:nvSpPr>
        <xdr:cNvPr id="39949" name="Text Box 3">
          <a:extLst>
            <a:ext uri="{FF2B5EF4-FFF2-40B4-BE49-F238E27FC236}">
              <a16:creationId xmlns:a16="http://schemas.microsoft.com/office/drawing/2014/main" id="{00000000-0008-0000-0000-00000D9C0000}"/>
            </a:ext>
          </a:extLst>
        </xdr:cNvPr>
        <xdr:cNvSpPr txBox="1">
          <a:spLocks noChangeArrowheads="1"/>
        </xdr:cNvSpPr>
      </xdr:nvSpPr>
      <xdr:spPr bwMode="auto">
        <a:xfrm>
          <a:off x="6734175" y="5334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73025</xdr:colOff>
      <xdr:row>7</xdr:row>
      <xdr:rowOff>180975</xdr:rowOff>
    </xdr:from>
    <xdr:to>
      <xdr:col>21</xdr:col>
      <xdr:colOff>363804</xdr:colOff>
      <xdr:row>18</xdr:row>
      <xdr:rowOff>104775</xdr:rowOff>
    </xdr:to>
    <xdr:sp macro="" textlink="">
      <xdr:nvSpPr>
        <xdr:cNvPr id="6053" name="Text Box 933">
          <a:extLst>
            <a:ext uri="{FF2B5EF4-FFF2-40B4-BE49-F238E27FC236}">
              <a16:creationId xmlns:a16="http://schemas.microsoft.com/office/drawing/2014/main" id="{00000000-0008-0000-0000-0000A5170000}"/>
            </a:ext>
          </a:extLst>
        </xdr:cNvPr>
        <xdr:cNvSpPr txBox="1">
          <a:spLocks noChangeArrowheads="1"/>
        </xdr:cNvSpPr>
      </xdr:nvSpPr>
      <xdr:spPr bwMode="auto">
        <a:xfrm>
          <a:off x="9153525" y="1647825"/>
          <a:ext cx="1743075" cy="21240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FF"/>
              </a:solidFill>
              <a:latin typeface="Arial"/>
              <a:cs typeface="Arial"/>
            </a:rPr>
            <a:t>Vous avez des questions ?  Il est possible que la réponse se trouve dans le Manuel des méthodes comptables pour concessionnaires de la General Motors.  Si vous êtes présentement relié à Internet, cliquez sur la liaison ci-dessous et vous serez dirigé sur le Manuel de méthodes comptables de GM sur le web.  Consultez-le, il pourra vous épargner du temps !</a:t>
          </a:r>
        </a:p>
      </xdr:txBody>
    </xdr:sp>
    <xdr:clientData/>
  </xdr:twoCellAnchor>
  <xdr:twoCellAnchor editAs="oneCell">
    <xdr:from>
      <xdr:col>9</xdr:col>
      <xdr:colOff>39821</xdr:colOff>
      <xdr:row>1</xdr:row>
      <xdr:rowOff>9525</xdr:rowOff>
    </xdr:from>
    <xdr:to>
      <xdr:col>11</xdr:col>
      <xdr:colOff>188778</xdr:colOff>
      <xdr:row>5</xdr:row>
      <xdr:rowOff>0</xdr:rowOff>
    </xdr:to>
    <xdr:pic>
      <xdr:nvPicPr>
        <xdr:cNvPr id="39951" name="Picture 5">
          <a:extLst>
            <a:ext uri="{FF2B5EF4-FFF2-40B4-BE49-F238E27FC236}">
              <a16:creationId xmlns:a16="http://schemas.microsoft.com/office/drawing/2014/main" id="{00000000-0008-0000-0000-00000F9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662621" y="276225"/>
          <a:ext cx="803007" cy="803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11</xdr:col>
          <xdr:colOff>298450</xdr:colOff>
          <xdr:row>0</xdr:row>
          <xdr:rowOff>260350</xdr:rowOff>
        </xdr:from>
        <xdr:to>
          <xdr:col>13</xdr:col>
          <xdr:colOff>698500</xdr:colOff>
          <xdr:row>3</xdr:row>
          <xdr:rowOff>19050</xdr:rowOff>
        </xdr:to>
        <xdr:sp macro="" textlink="">
          <xdr:nvSpPr>
            <xdr:cNvPr id="5150" name="EditButton" hidden="1">
              <a:extLst>
                <a:ext uri="{63B3BB69-23CF-44E3-9099-C40C66FF867C}">
                  <a14:compatExt spid="_x0000_s5150"/>
                </a:ext>
                <a:ext uri="{FF2B5EF4-FFF2-40B4-BE49-F238E27FC236}">
                  <a16:creationId xmlns:a16="http://schemas.microsoft.com/office/drawing/2014/main" id="{00000000-0008-0000-0000-00001E1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12700</xdr:colOff>
          <xdr:row>5</xdr:row>
          <xdr:rowOff>12700</xdr:rowOff>
        </xdr:from>
        <xdr:to>
          <xdr:col>17</xdr:col>
          <xdr:colOff>952500</xdr:colOff>
          <xdr:row>8</xdr:row>
          <xdr:rowOff>88900</xdr:rowOff>
        </xdr:to>
        <xdr:sp macro="" textlink="">
          <xdr:nvSpPr>
            <xdr:cNvPr id="6054" name="cmdHideUnHide" hidden="1">
              <a:extLst>
                <a:ext uri="{63B3BB69-23CF-44E3-9099-C40C66FF867C}">
                  <a14:compatExt spid="_x0000_s6054"/>
                </a:ext>
                <a:ext uri="{FF2B5EF4-FFF2-40B4-BE49-F238E27FC236}">
                  <a16:creationId xmlns:a16="http://schemas.microsoft.com/office/drawing/2014/main" id="{00000000-0008-0000-0000-0000A617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317500</xdr:colOff>
          <xdr:row>3</xdr:row>
          <xdr:rowOff>38100</xdr:rowOff>
        </xdr:from>
        <xdr:to>
          <xdr:col>13</xdr:col>
          <xdr:colOff>692150</xdr:colOff>
          <xdr:row>5</xdr:row>
          <xdr:rowOff>12700</xdr:rowOff>
        </xdr:to>
        <xdr:sp macro="" textlink="">
          <xdr:nvSpPr>
            <xdr:cNvPr id="6055" name="cmdPrintSubLog" hidden="1">
              <a:extLst>
                <a:ext uri="{63B3BB69-23CF-44E3-9099-C40C66FF867C}">
                  <a14:compatExt spid="_x0000_s6055"/>
                </a:ext>
                <a:ext uri="{FF2B5EF4-FFF2-40B4-BE49-F238E27FC236}">
                  <a16:creationId xmlns:a16="http://schemas.microsoft.com/office/drawing/2014/main" id="{00000000-0008-0000-0000-0000A717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412750</xdr:colOff>
          <xdr:row>0</xdr:row>
          <xdr:rowOff>228600</xdr:rowOff>
        </xdr:from>
        <xdr:to>
          <xdr:col>5</xdr:col>
          <xdr:colOff>139700</xdr:colOff>
          <xdr:row>2</xdr:row>
          <xdr:rowOff>0</xdr:rowOff>
        </xdr:to>
        <xdr:sp macro="" textlink="">
          <xdr:nvSpPr>
            <xdr:cNvPr id="7173" name="CommandButton1" hidden="1">
              <a:extLst>
                <a:ext uri="{63B3BB69-23CF-44E3-9099-C40C66FF867C}">
                  <a14:compatExt spid="_x0000_s7173"/>
                </a:ext>
                <a:ext uri="{FF2B5EF4-FFF2-40B4-BE49-F238E27FC236}">
                  <a16:creationId xmlns:a16="http://schemas.microsoft.com/office/drawing/2014/main" id="{00000000-0008-0000-0100-0000051C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146050</xdr:colOff>
          <xdr:row>1</xdr:row>
          <xdr:rowOff>31750</xdr:rowOff>
        </xdr:from>
        <xdr:to>
          <xdr:col>1</xdr:col>
          <xdr:colOff>2228850</xdr:colOff>
          <xdr:row>2</xdr:row>
          <xdr:rowOff>95250</xdr:rowOff>
        </xdr:to>
        <xdr:sp macro="" textlink="">
          <xdr:nvSpPr>
            <xdr:cNvPr id="8205" name="CommandButton2" hidden="1">
              <a:extLst>
                <a:ext uri="{63B3BB69-23CF-44E3-9099-C40C66FF867C}">
                  <a14:compatExt spid="_x0000_s8205"/>
                </a:ext>
                <a:ext uri="{FF2B5EF4-FFF2-40B4-BE49-F238E27FC236}">
                  <a16:creationId xmlns:a16="http://schemas.microsoft.com/office/drawing/2014/main" id="{00000000-0008-0000-0200-00000D20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146050</xdr:colOff>
          <xdr:row>1</xdr:row>
          <xdr:rowOff>31750</xdr:rowOff>
        </xdr:from>
        <xdr:to>
          <xdr:col>1</xdr:col>
          <xdr:colOff>2095500</xdr:colOff>
          <xdr:row>2</xdr:row>
          <xdr:rowOff>88900</xdr:rowOff>
        </xdr:to>
        <xdr:sp macro="" textlink="">
          <xdr:nvSpPr>
            <xdr:cNvPr id="9222" name="CommandButton3" hidden="1">
              <a:extLst>
                <a:ext uri="{63B3BB69-23CF-44E3-9099-C40C66FF867C}">
                  <a14:compatExt spid="_x0000_s9222"/>
                </a:ext>
                <a:ext uri="{FF2B5EF4-FFF2-40B4-BE49-F238E27FC236}">
                  <a16:creationId xmlns:a16="http://schemas.microsoft.com/office/drawing/2014/main" id="{00000000-0008-0000-0300-00000624000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11</xdr:col>
          <xdr:colOff>184150</xdr:colOff>
          <xdr:row>0</xdr:row>
          <xdr:rowOff>0</xdr:rowOff>
        </xdr:from>
        <xdr:to>
          <xdr:col>12</xdr:col>
          <xdr:colOff>615950</xdr:colOff>
          <xdr:row>1</xdr:row>
          <xdr:rowOff>19050</xdr:rowOff>
        </xdr:to>
        <xdr:sp macro="" textlink="">
          <xdr:nvSpPr>
            <xdr:cNvPr id="12340" name="CommandButton5a" hidden="1">
              <a:extLst>
                <a:ext uri="{63B3BB69-23CF-44E3-9099-C40C66FF867C}">
                  <a14:compatExt spid="_x0000_s12340"/>
                </a:ext>
                <a:ext uri="{FF2B5EF4-FFF2-40B4-BE49-F238E27FC236}">
                  <a16:creationId xmlns:a16="http://schemas.microsoft.com/office/drawing/2014/main" id="{00000000-0008-0000-0400-0000343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11</xdr:col>
          <xdr:colOff>152400</xdr:colOff>
          <xdr:row>0</xdr:row>
          <xdr:rowOff>0</xdr:rowOff>
        </xdr:from>
        <xdr:to>
          <xdr:col>12</xdr:col>
          <xdr:colOff>584200</xdr:colOff>
          <xdr:row>1</xdr:row>
          <xdr:rowOff>19050</xdr:rowOff>
        </xdr:to>
        <xdr:sp macro="" textlink="">
          <xdr:nvSpPr>
            <xdr:cNvPr id="1043" name="CommandButton5b" hidden="1">
              <a:extLst>
                <a:ext uri="{63B3BB69-23CF-44E3-9099-C40C66FF867C}">
                  <a14:compatExt spid="_x0000_s1043"/>
                </a:ext>
                <a:ext uri="{FF2B5EF4-FFF2-40B4-BE49-F238E27FC236}">
                  <a16:creationId xmlns:a16="http://schemas.microsoft.com/office/drawing/2014/main" id="{00000000-0008-0000-0500-00001304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374650</xdr:colOff>
          <xdr:row>0</xdr:row>
          <xdr:rowOff>0</xdr:rowOff>
        </xdr:from>
        <xdr:to>
          <xdr:col>12</xdr:col>
          <xdr:colOff>806450</xdr:colOff>
          <xdr:row>1</xdr:row>
          <xdr:rowOff>19050</xdr:rowOff>
        </xdr:to>
        <xdr:sp macro="" textlink="">
          <xdr:nvSpPr>
            <xdr:cNvPr id="3087" name="CommandButton5d" hidden="1">
              <a:extLst>
                <a:ext uri="{63B3BB69-23CF-44E3-9099-C40C66FF867C}">
                  <a14:compatExt spid="_x0000_s3087"/>
                </a:ext>
                <a:ext uri="{FF2B5EF4-FFF2-40B4-BE49-F238E27FC236}">
                  <a16:creationId xmlns:a16="http://schemas.microsoft.com/office/drawing/2014/main" id="{00000000-0008-0000-0600-00000F0C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184150</xdr:colOff>
          <xdr:row>0</xdr:row>
          <xdr:rowOff>0</xdr:rowOff>
        </xdr:from>
        <xdr:to>
          <xdr:col>12</xdr:col>
          <xdr:colOff>615950</xdr:colOff>
          <xdr:row>1</xdr:row>
          <xdr:rowOff>19050</xdr:rowOff>
        </xdr:to>
        <xdr:sp macro="" textlink="">
          <xdr:nvSpPr>
            <xdr:cNvPr id="13322" name="CommandButton5c" hidden="1">
              <a:extLst>
                <a:ext uri="{63B3BB69-23CF-44E3-9099-C40C66FF867C}">
                  <a14:compatExt spid="_x0000_s13322"/>
                </a:ext>
                <a:ext uri="{FF2B5EF4-FFF2-40B4-BE49-F238E27FC236}">
                  <a16:creationId xmlns:a16="http://schemas.microsoft.com/office/drawing/2014/main" id="{00000000-0008-0000-0700-00000A34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450850</xdr:colOff>
          <xdr:row>0</xdr:row>
          <xdr:rowOff>0</xdr:rowOff>
        </xdr:from>
        <xdr:to>
          <xdr:col>12</xdr:col>
          <xdr:colOff>882650</xdr:colOff>
          <xdr:row>1</xdr:row>
          <xdr:rowOff>19050</xdr:rowOff>
        </xdr:to>
        <xdr:sp macro="" textlink="">
          <xdr:nvSpPr>
            <xdr:cNvPr id="15370" name="CommandButton5f" hidden="1">
              <a:extLst>
                <a:ext uri="{63B3BB69-23CF-44E3-9099-C40C66FF867C}">
                  <a14:compatExt spid="_x0000_s15370"/>
                </a:ext>
                <a:ext uri="{FF2B5EF4-FFF2-40B4-BE49-F238E27FC236}">
                  <a16:creationId xmlns:a16="http://schemas.microsoft.com/office/drawing/2014/main" id="{00000000-0008-0000-0800-00000A3C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393700</xdr:colOff>
          <xdr:row>0</xdr:row>
          <xdr:rowOff>0</xdr:rowOff>
        </xdr:from>
        <xdr:to>
          <xdr:col>12</xdr:col>
          <xdr:colOff>825500</xdr:colOff>
          <xdr:row>1</xdr:row>
          <xdr:rowOff>19050</xdr:rowOff>
        </xdr:to>
        <xdr:sp macro="" textlink="">
          <xdr:nvSpPr>
            <xdr:cNvPr id="22529" name="CommandButton5h" hidden="1">
              <a:extLst>
                <a:ext uri="{63B3BB69-23CF-44E3-9099-C40C66FF867C}">
                  <a14:compatExt spid="_x0000_s22529"/>
                </a:ext>
                <a:ext uri="{FF2B5EF4-FFF2-40B4-BE49-F238E27FC236}">
                  <a16:creationId xmlns:a16="http://schemas.microsoft.com/office/drawing/2014/main" id="{00000000-0008-0000-0900-00000158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419100</xdr:colOff>
          <xdr:row>0</xdr:row>
          <xdr:rowOff>0</xdr:rowOff>
        </xdr:from>
        <xdr:to>
          <xdr:col>12</xdr:col>
          <xdr:colOff>850900</xdr:colOff>
          <xdr:row>1</xdr:row>
          <xdr:rowOff>19050</xdr:rowOff>
        </xdr:to>
        <xdr:sp macro="" textlink="">
          <xdr:nvSpPr>
            <xdr:cNvPr id="14346" name="CommandButton5e" hidden="1">
              <a:extLst>
                <a:ext uri="{63B3BB69-23CF-44E3-9099-C40C66FF867C}">
                  <a14:compatExt spid="_x0000_s14346"/>
                </a:ext>
                <a:ext uri="{FF2B5EF4-FFF2-40B4-BE49-F238E27FC236}">
                  <a16:creationId xmlns:a16="http://schemas.microsoft.com/office/drawing/2014/main" id="{00000000-0008-0000-0A00-00000A38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381000</xdr:colOff>
          <xdr:row>0</xdr:row>
          <xdr:rowOff>12700</xdr:rowOff>
        </xdr:from>
        <xdr:to>
          <xdr:col>12</xdr:col>
          <xdr:colOff>812800</xdr:colOff>
          <xdr:row>1</xdr:row>
          <xdr:rowOff>31750</xdr:rowOff>
        </xdr:to>
        <xdr:sp macro="" textlink="">
          <xdr:nvSpPr>
            <xdr:cNvPr id="16395" name="CommandButton5g" hidden="1">
              <a:extLst>
                <a:ext uri="{63B3BB69-23CF-44E3-9099-C40C66FF867C}">
                  <a14:compatExt spid="_x0000_s16395"/>
                </a:ext>
                <a:ext uri="{FF2B5EF4-FFF2-40B4-BE49-F238E27FC236}">
                  <a16:creationId xmlns:a16="http://schemas.microsoft.com/office/drawing/2014/main" id="{00000000-0008-0000-0B00-00000B4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717550</xdr:colOff>
          <xdr:row>0</xdr:row>
          <xdr:rowOff>0</xdr:rowOff>
        </xdr:from>
        <xdr:to>
          <xdr:col>13</xdr:col>
          <xdr:colOff>114300</xdr:colOff>
          <xdr:row>0</xdr:row>
          <xdr:rowOff>285750</xdr:rowOff>
        </xdr:to>
        <xdr:sp macro="" textlink="">
          <xdr:nvSpPr>
            <xdr:cNvPr id="40961" name="CommandButton5l" hidden="1">
              <a:extLst>
                <a:ext uri="{63B3BB69-23CF-44E3-9099-C40C66FF867C}">
                  <a14:compatExt spid="_x0000_s40961"/>
                </a:ext>
                <a:ext uri="{FF2B5EF4-FFF2-40B4-BE49-F238E27FC236}">
                  <a16:creationId xmlns:a16="http://schemas.microsoft.com/office/drawing/2014/main" id="{00000000-0008-0000-0C00-000001A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717550</xdr:colOff>
          <xdr:row>0</xdr:row>
          <xdr:rowOff>0</xdr:rowOff>
        </xdr:from>
        <xdr:to>
          <xdr:col>13</xdr:col>
          <xdr:colOff>114300</xdr:colOff>
          <xdr:row>0</xdr:row>
          <xdr:rowOff>285750</xdr:rowOff>
        </xdr:to>
        <xdr:sp macro="" textlink="">
          <xdr:nvSpPr>
            <xdr:cNvPr id="10266" name="CommandButton5k" hidden="1">
              <a:extLst>
                <a:ext uri="{63B3BB69-23CF-44E3-9099-C40C66FF867C}">
                  <a14:compatExt spid="_x0000_s10266"/>
                </a:ext>
                <a:ext uri="{FF2B5EF4-FFF2-40B4-BE49-F238E27FC236}">
                  <a16:creationId xmlns:a16="http://schemas.microsoft.com/office/drawing/2014/main" id="{00000000-0008-0000-0D00-00001A28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381000</xdr:colOff>
          <xdr:row>0</xdr:row>
          <xdr:rowOff>0</xdr:rowOff>
        </xdr:from>
        <xdr:to>
          <xdr:col>12</xdr:col>
          <xdr:colOff>812800</xdr:colOff>
          <xdr:row>1</xdr:row>
          <xdr:rowOff>19050</xdr:rowOff>
        </xdr:to>
        <xdr:sp macro="" textlink="">
          <xdr:nvSpPr>
            <xdr:cNvPr id="23553" name="CommandButton5i" hidden="1">
              <a:extLst>
                <a:ext uri="{63B3BB69-23CF-44E3-9099-C40C66FF867C}">
                  <a14:compatExt spid="_x0000_s23553"/>
                </a:ext>
                <a:ext uri="{FF2B5EF4-FFF2-40B4-BE49-F238E27FC236}">
                  <a16:creationId xmlns:a16="http://schemas.microsoft.com/office/drawing/2014/main" id="{00000000-0008-0000-0E00-0000015C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431800</xdr:colOff>
          <xdr:row>0</xdr:row>
          <xdr:rowOff>12700</xdr:rowOff>
        </xdr:from>
        <xdr:to>
          <xdr:col>12</xdr:col>
          <xdr:colOff>863600</xdr:colOff>
          <xdr:row>1</xdr:row>
          <xdr:rowOff>31750</xdr:rowOff>
        </xdr:to>
        <xdr:sp macro="" textlink="">
          <xdr:nvSpPr>
            <xdr:cNvPr id="17418" name="CommandButton5j" hidden="1">
              <a:extLst>
                <a:ext uri="{63B3BB69-23CF-44E3-9099-C40C66FF867C}">
                  <a14:compatExt spid="_x0000_s17418"/>
                </a:ext>
                <a:ext uri="{FF2B5EF4-FFF2-40B4-BE49-F238E27FC236}">
                  <a16:creationId xmlns:a16="http://schemas.microsoft.com/office/drawing/2014/main" id="{00000000-0008-0000-0F00-00000A44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660400</xdr:colOff>
          <xdr:row>0</xdr:row>
          <xdr:rowOff>260350</xdr:rowOff>
        </xdr:from>
        <xdr:to>
          <xdr:col>10</xdr:col>
          <xdr:colOff>406400</xdr:colOff>
          <xdr:row>2</xdr:row>
          <xdr:rowOff>76200</xdr:rowOff>
        </xdr:to>
        <xdr:sp macro="" textlink="">
          <xdr:nvSpPr>
            <xdr:cNvPr id="2095" name="CommandButton6" hidden="1">
              <a:extLst>
                <a:ext uri="{63B3BB69-23CF-44E3-9099-C40C66FF867C}">
                  <a14:compatExt spid="_x0000_s2095"/>
                </a:ext>
                <a:ext uri="{FF2B5EF4-FFF2-40B4-BE49-F238E27FC236}">
                  <a16:creationId xmlns:a16="http://schemas.microsoft.com/office/drawing/2014/main" id="{00000000-0008-0000-1000-00002F08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793750</xdr:colOff>
          <xdr:row>0</xdr:row>
          <xdr:rowOff>0</xdr:rowOff>
        </xdr:from>
        <xdr:to>
          <xdr:col>12</xdr:col>
          <xdr:colOff>596900</xdr:colOff>
          <xdr:row>0</xdr:row>
          <xdr:rowOff>234950</xdr:rowOff>
        </xdr:to>
        <xdr:sp macro="" textlink="">
          <xdr:nvSpPr>
            <xdr:cNvPr id="6209" name="CommandButton7" hidden="1">
              <a:extLst>
                <a:ext uri="{63B3BB69-23CF-44E3-9099-C40C66FF867C}">
                  <a14:compatExt spid="_x0000_s6209"/>
                </a:ext>
                <a:ext uri="{FF2B5EF4-FFF2-40B4-BE49-F238E27FC236}">
                  <a16:creationId xmlns:a16="http://schemas.microsoft.com/office/drawing/2014/main" id="{00000000-0008-0000-1100-00004118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000000"/>
                    </a:outerShdw>
                  </a:effectLst>
                </a14:hiddenEffects>
              </a:ext>
              <a:ext uri="{53640926-AAD7-44D8-BBD7-CCE9431645EC}">
                <a14:shadowObscured val="1"/>
              </a:ext>
            </a:extLst>
          </xdr:spPr>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turbansci19\Det_gm3\CVI\Databases\FACTS\Development\DBI\US\EN\TB%20Edit%20Application%20v151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RBANSCIEnce.net\projects\Users\nkrywy\Source\Workspaces\GeneralMotors_Global_BMI\GMDBI\CVI%20Production%20Files\Utility%20Server\Production\Templates\CA\FR\TB%20Edit%20Application%20v147r1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Page2"/>
      <sheetName val="Page3"/>
      <sheetName val="Page4"/>
      <sheetName val="Page5a"/>
      <sheetName val="Page5b"/>
      <sheetName val="Page5c"/>
      <sheetName val="Page5d"/>
      <sheetName val="Page5e"/>
      <sheetName val="Page5f"/>
      <sheetName val="Page5g"/>
      <sheetName val="Page5h"/>
      <sheetName val="Page5i"/>
      <sheetName val="Page5j"/>
      <sheetName val="Page5k"/>
      <sheetName val="Page6"/>
      <sheetName val="Page7"/>
      <sheetName val="Page8"/>
      <sheetName val="Verify"/>
      <sheetName val="Comments"/>
      <sheetName val="OR_VEH"/>
      <sheetName val="TBIn"/>
      <sheetName val="TB Out"/>
      <sheetName val="VML Audit Ranges"/>
      <sheetName val="Log"/>
      <sheetName val="DBI Data"/>
    </sheetNames>
    <sheetDataSet>
      <sheetData sheetId="0">
        <row r="10">
          <cell r="I10">
            <v>0</v>
          </cell>
          <cell r="R10">
            <v>0</v>
          </cell>
        </row>
        <row r="11">
          <cell r="I11">
            <v>0</v>
          </cell>
          <cell r="R11">
            <v>0</v>
          </cell>
        </row>
        <row r="12">
          <cell r="I12">
            <v>0</v>
          </cell>
          <cell r="R12">
            <v>0</v>
          </cell>
        </row>
        <row r="13">
          <cell r="I13">
            <v>0</v>
          </cell>
          <cell r="R13">
            <v>0</v>
          </cell>
        </row>
        <row r="14">
          <cell r="R14">
            <v>0</v>
          </cell>
        </row>
        <row r="15">
          <cell r="R15">
            <v>0</v>
          </cell>
        </row>
        <row r="17">
          <cell r="I17">
            <v>0</v>
          </cell>
        </row>
        <row r="18">
          <cell r="I18">
            <v>0</v>
          </cell>
          <cell r="R18">
            <v>0</v>
          </cell>
        </row>
        <row r="19">
          <cell r="I19">
            <v>0</v>
          </cell>
          <cell r="R19">
            <v>0</v>
          </cell>
        </row>
        <row r="20">
          <cell r="I20">
            <v>0</v>
          </cell>
          <cell r="R20">
            <v>0</v>
          </cell>
        </row>
        <row r="22">
          <cell r="R22">
            <v>0</v>
          </cell>
        </row>
        <row r="23">
          <cell r="R23">
            <v>0</v>
          </cell>
        </row>
        <row r="24">
          <cell r="R24">
            <v>0</v>
          </cell>
        </row>
        <row r="25">
          <cell r="R25">
            <v>0</v>
          </cell>
        </row>
        <row r="26">
          <cell r="R26">
            <v>0</v>
          </cell>
        </row>
        <row r="27">
          <cell r="R27">
            <v>0</v>
          </cell>
        </row>
        <row r="28">
          <cell r="R28">
            <v>0</v>
          </cell>
        </row>
        <row r="29">
          <cell r="R29">
            <v>0</v>
          </cell>
        </row>
        <row r="30">
          <cell r="I30">
            <v>0</v>
          </cell>
          <cell r="R30">
            <v>0</v>
          </cell>
        </row>
        <row r="31">
          <cell r="I31">
            <v>0</v>
          </cell>
          <cell r="R31">
            <v>0</v>
          </cell>
        </row>
        <row r="32">
          <cell r="I32">
            <v>0</v>
          </cell>
          <cell r="R32">
            <v>0</v>
          </cell>
        </row>
        <row r="33">
          <cell r="I33">
            <v>0</v>
          </cell>
        </row>
        <row r="34">
          <cell r="I34">
            <v>0</v>
          </cell>
        </row>
        <row r="35">
          <cell r="I35">
            <v>0</v>
          </cell>
          <cell r="R35">
            <v>0</v>
          </cell>
        </row>
        <row r="36">
          <cell r="I36">
            <v>0</v>
          </cell>
        </row>
        <row r="37">
          <cell r="I37">
            <v>0</v>
          </cell>
          <cell r="R37">
            <v>0</v>
          </cell>
        </row>
        <row r="39">
          <cell r="R39">
            <v>0</v>
          </cell>
        </row>
        <row r="40">
          <cell r="I40">
            <v>0</v>
          </cell>
        </row>
        <row r="41">
          <cell r="I41">
            <v>0</v>
          </cell>
        </row>
        <row r="42">
          <cell r="I42">
            <v>0</v>
          </cell>
          <cell r="R42">
            <v>0</v>
          </cell>
        </row>
        <row r="44">
          <cell r="I44">
            <v>0</v>
          </cell>
        </row>
        <row r="50">
          <cell r="F50">
            <v>0</v>
          </cell>
        </row>
        <row r="51">
          <cell r="F51">
            <v>0</v>
          </cell>
          <cell r="G51">
            <v>0</v>
          </cell>
        </row>
        <row r="52">
          <cell r="F52">
            <v>0</v>
          </cell>
          <cell r="G52">
            <v>0</v>
          </cell>
          <cell r="R52">
            <v>0</v>
          </cell>
        </row>
        <row r="53">
          <cell r="F53">
            <v>0</v>
          </cell>
          <cell r="G53">
            <v>0</v>
          </cell>
        </row>
        <row r="54">
          <cell r="F54">
            <v>0</v>
          </cell>
          <cell r="G54">
            <v>0</v>
          </cell>
        </row>
        <row r="55">
          <cell r="F55">
            <v>0</v>
          </cell>
          <cell r="G55">
            <v>0</v>
          </cell>
          <cell r="R55">
            <v>0</v>
          </cell>
        </row>
        <row r="56">
          <cell r="F56">
            <v>0</v>
          </cell>
          <cell r="G56">
            <v>0</v>
          </cell>
        </row>
        <row r="57">
          <cell r="F57">
            <v>0</v>
          </cell>
          <cell r="G57">
            <v>0</v>
          </cell>
          <cell r="R57">
            <v>0</v>
          </cell>
        </row>
        <row r="58">
          <cell r="F58">
            <v>0</v>
          </cell>
          <cell r="G58">
            <v>0</v>
          </cell>
        </row>
        <row r="59">
          <cell r="F59">
            <v>0</v>
          </cell>
          <cell r="G59">
            <v>0</v>
          </cell>
          <cell r="R59">
            <v>0</v>
          </cell>
        </row>
        <row r="62">
          <cell r="I62">
            <v>0</v>
          </cell>
        </row>
        <row r="63">
          <cell r="I63">
            <v>0</v>
          </cell>
          <cell r="R63">
            <v>0</v>
          </cell>
        </row>
        <row r="64">
          <cell r="I64">
            <v>0</v>
          </cell>
          <cell r="R64">
            <v>0</v>
          </cell>
        </row>
        <row r="65">
          <cell r="I65">
            <v>0</v>
          </cell>
        </row>
        <row r="92">
          <cell r="I92" t="b">
            <v>0</v>
          </cell>
        </row>
      </sheetData>
      <sheetData sheetId="1">
        <row r="64">
          <cell r="G64">
            <v>0</v>
          </cell>
          <cell r="J64">
            <v>0</v>
          </cell>
        </row>
        <row r="65">
          <cell r="G65">
            <v>0</v>
          </cell>
          <cell r="J65">
            <v>0</v>
          </cell>
        </row>
        <row r="67">
          <cell r="G67">
            <v>0</v>
          </cell>
          <cell r="J67">
            <v>0</v>
          </cell>
        </row>
      </sheetData>
      <sheetData sheetId="2">
        <row r="7">
          <cell r="D7">
            <v>0</v>
          </cell>
          <cell r="F7">
            <v>0</v>
          </cell>
          <cell r="H7">
            <v>0</v>
          </cell>
          <cell r="J7">
            <v>0</v>
          </cell>
          <cell r="L7">
            <v>0</v>
          </cell>
          <cell r="N7">
            <v>0</v>
          </cell>
        </row>
        <row r="8">
          <cell r="D8">
            <v>0</v>
          </cell>
          <cell r="F8">
            <v>0</v>
          </cell>
          <cell r="H8">
            <v>0</v>
          </cell>
          <cell r="J8">
            <v>0</v>
          </cell>
          <cell r="L8">
            <v>0</v>
          </cell>
          <cell r="N8">
            <v>0</v>
          </cell>
        </row>
        <row r="9">
          <cell r="D9">
            <v>0</v>
          </cell>
          <cell r="F9">
            <v>0</v>
          </cell>
          <cell r="H9">
            <v>0</v>
          </cell>
          <cell r="J9">
            <v>0</v>
          </cell>
          <cell r="L9">
            <v>0</v>
          </cell>
          <cell r="N9">
            <v>0</v>
          </cell>
        </row>
        <row r="11">
          <cell r="D11">
            <v>0</v>
          </cell>
          <cell r="F11">
            <v>0</v>
          </cell>
          <cell r="H11">
            <v>0</v>
          </cell>
          <cell r="J11">
            <v>0</v>
          </cell>
          <cell r="L11">
            <v>0</v>
          </cell>
          <cell r="N11">
            <v>0</v>
          </cell>
        </row>
        <row r="12">
          <cell r="D12">
            <v>0</v>
          </cell>
          <cell r="F12">
            <v>0</v>
          </cell>
          <cell r="H12">
            <v>0</v>
          </cell>
          <cell r="J12">
            <v>0</v>
          </cell>
          <cell r="L12">
            <v>0</v>
          </cell>
          <cell r="N12">
            <v>0</v>
          </cell>
        </row>
        <row r="13">
          <cell r="D13">
            <v>0</v>
          </cell>
          <cell r="F13">
            <v>0</v>
          </cell>
          <cell r="H13">
            <v>0</v>
          </cell>
          <cell r="J13">
            <v>0</v>
          </cell>
          <cell r="L13">
            <v>0</v>
          </cell>
          <cell r="N13">
            <v>0</v>
          </cell>
        </row>
        <row r="14">
          <cell r="D14">
            <v>0</v>
          </cell>
          <cell r="F14">
            <v>0</v>
          </cell>
          <cell r="H14">
            <v>0</v>
          </cell>
          <cell r="J14">
            <v>0</v>
          </cell>
          <cell r="L14">
            <v>0</v>
          </cell>
          <cell r="N14">
            <v>0</v>
          </cell>
        </row>
        <row r="15">
          <cell r="D15">
            <v>0</v>
          </cell>
          <cell r="F15">
            <v>0</v>
          </cell>
          <cell r="H15">
            <v>0</v>
          </cell>
          <cell r="J15">
            <v>0</v>
          </cell>
          <cell r="L15">
            <v>0</v>
          </cell>
          <cell r="N15">
            <v>0</v>
          </cell>
        </row>
        <row r="16">
          <cell r="D16">
            <v>0</v>
          </cell>
          <cell r="F16">
            <v>0</v>
          </cell>
          <cell r="H16">
            <v>0</v>
          </cell>
          <cell r="J16">
            <v>0</v>
          </cell>
          <cell r="L16">
            <v>0</v>
          </cell>
          <cell r="N16">
            <v>0</v>
          </cell>
        </row>
        <row r="17">
          <cell r="D17">
            <v>0</v>
          </cell>
          <cell r="F17">
            <v>0</v>
          </cell>
          <cell r="H17">
            <v>0</v>
          </cell>
          <cell r="J17">
            <v>0</v>
          </cell>
          <cell r="L17">
            <v>0</v>
          </cell>
          <cell r="N17">
            <v>0</v>
          </cell>
        </row>
        <row r="18">
          <cell r="D18">
            <v>0</v>
          </cell>
          <cell r="F18">
            <v>0</v>
          </cell>
          <cell r="H18">
            <v>0</v>
          </cell>
          <cell r="J18">
            <v>0</v>
          </cell>
          <cell r="L18">
            <v>0</v>
          </cell>
          <cell r="N18">
            <v>0</v>
          </cell>
        </row>
        <row r="19">
          <cell r="D19">
            <v>0</v>
          </cell>
          <cell r="F19">
            <v>0</v>
          </cell>
          <cell r="H19">
            <v>0</v>
          </cell>
          <cell r="J19">
            <v>0</v>
          </cell>
          <cell r="L19">
            <v>0</v>
          </cell>
          <cell r="N19">
            <v>0</v>
          </cell>
        </row>
        <row r="21">
          <cell r="D21">
            <v>0</v>
          </cell>
          <cell r="F21">
            <v>0</v>
          </cell>
          <cell r="H21">
            <v>0</v>
          </cell>
          <cell r="J21">
            <v>0</v>
          </cell>
          <cell r="L21">
            <v>0</v>
          </cell>
          <cell r="N21">
            <v>0</v>
          </cell>
        </row>
        <row r="22">
          <cell r="D22">
            <v>0</v>
          </cell>
          <cell r="F22">
            <v>0</v>
          </cell>
          <cell r="H22">
            <v>0</v>
          </cell>
          <cell r="J22">
            <v>0</v>
          </cell>
          <cell r="L22">
            <v>0</v>
          </cell>
          <cell r="N22">
            <v>0</v>
          </cell>
        </row>
        <row r="23">
          <cell r="D23">
            <v>0</v>
          </cell>
          <cell r="F23">
            <v>0</v>
          </cell>
          <cell r="H23">
            <v>0</v>
          </cell>
          <cell r="J23">
            <v>0</v>
          </cell>
          <cell r="L23">
            <v>0</v>
          </cell>
          <cell r="N23">
            <v>0</v>
          </cell>
        </row>
        <row r="24">
          <cell r="D24">
            <v>0</v>
          </cell>
          <cell r="F24">
            <v>0</v>
          </cell>
          <cell r="H24">
            <v>0</v>
          </cell>
          <cell r="J24">
            <v>0</v>
          </cell>
          <cell r="L24">
            <v>0</v>
          </cell>
          <cell r="N24">
            <v>0</v>
          </cell>
        </row>
        <row r="25">
          <cell r="D25">
            <v>0</v>
          </cell>
          <cell r="F25">
            <v>0</v>
          </cell>
          <cell r="H25">
            <v>0</v>
          </cell>
          <cell r="J25">
            <v>0</v>
          </cell>
          <cell r="L25">
            <v>0</v>
          </cell>
          <cell r="N25">
            <v>0</v>
          </cell>
        </row>
        <row r="26">
          <cell r="D26">
            <v>0</v>
          </cell>
          <cell r="F26">
            <v>0</v>
          </cell>
          <cell r="H26">
            <v>0</v>
          </cell>
          <cell r="J26">
            <v>0</v>
          </cell>
          <cell r="L26">
            <v>0</v>
          </cell>
          <cell r="N26">
            <v>0</v>
          </cell>
        </row>
        <row r="27">
          <cell r="D27">
            <v>0</v>
          </cell>
          <cell r="F27">
            <v>0</v>
          </cell>
          <cell r="H27">
            <v>0</v>
          </cell>
          <cell r="J27">
            <v>0</v>
          </cell>
          <cell r="L27">
            <v>0</v>
          </cell>
          <cell r="N27">
            <v>0</v>
          </cell>
        </row>
        <row r="29">
          <cell r="D29">
            <v>0</v>
          </cell>
          <cell r="F29">
            <v>0</v>
          </cell>
          <cell r="H29">
            <v>0</v>
          </cell>
          <cell r="J29">
            <v>0</v>
          </cell>
          <cell r="L29">
            <v>0</v>
          </cell>
          <cell r="N29">
            <v>0</v>
          </cell>
        </row>
        <row r="30">
          <cell r="D30">
            <v>0</v>
          </cell>
          <cell r="F30">
            <v>0</v>
          </cell>
          <cell r="H30">
            <v>0</v>
          </cell>
          <cell r="J30">
            <v>0</v>
          </cell>
          <cell r="L30">
            <v>0</v>
          </cell>
          <cell r="N30">
            <v>0</v>
          </cell>
        </row>
        <row r="31">
          <cell r="D31">
            <v>0</v>
          </cell>
          <cell r="F31">
            <v>0</v>
          </cell>
          <cell r="H31">
            <v>0</v>
          </cell>
          <cell r="J31">
            <v>0</v>
          </cell>
          <cell r="L31">
            <v>0</v>
          </cell>
          <cell r="N31">
            <v>0</v>
          </cell>
        </row>
        <row r="32">
          <cell r="D32">
            <v>0</v>
          </cell>
          <cell r="F32">
            <v>0</v>
          </cell>
          <cell r="H32">
            <v>0</v>
          </cell>
          <cell r="J32">
            <v>0</v>
          </cell>
          <cell r="L32">
            <v>0</v>
          </cell>
          <cell r="N32">
            <v>0</v>
          </cell>
        </row>
        <row r="33">
          <cell r="D33">
            <v>0</v>
          </cell>
          <cell r="F33">
            <v>0</v>
          </cell>
          <cell r="H33">
            <v>0</v>
          </cell>
          <cell r="J33">
            <v>0</v>
          </cell>
          <cell r="L33">
            <v>0</v>
          </cell>
          <cell r="N33">
            <v>0</v>
          </cell>
        </row>
        <row r="34">
          <cell r="D34">
            <v>0</v>
          </cell>
          <cell r="F34">
            <v>0</v>
          </cell>
          <cell r="H34">
            <v>0</v>
          </cell>
          <cell r="J34">
            <v>0</v>
          </cell>
          <cell r="L34">
            <v>0</v>
          </cell>
          <cell r="N34">
            <v>0</v>
          </cell>
        </row>
        <row r="35">
          <cell r="D35">
            <v>0</v>
          </cell>
          <cell r="F35">
            <v>0</v>
          </cell>
          <cell r="H35">
            <v>0</v>
          </cell>
          <cell r="J35">
            <v>0</v>
          </cell>
          <cell r="L35">
            <v>0</v>
          </cell>
          <cell r="N35">
            <v>0</v>
          </cell>
        </row>
        <row r="36">
          <cell r="D36">
            <v>0</v>
          </cell>
          <cell r="F36">
            <v>0</v>
          </cell>
          <cell r="H36">
            <v>0</v>
          </cell>
          <cell r="J36">
            <v>0</v>
          </cell>
          <cell r="L36">
            <v>0</v>
          </cell>
          <cell r="N36">
            <v>0</v>
          </cell>
        </row>
        <row r="37">
          <cell r="D37">
            <v>0</v>
          </cell>
          <cell r="F37">
            <v>0</v>
          </cell>
          <cell r="H37">
            <v>0</v>
          </cell>
          <cell r="J37">
            <v>0</v>
          </cell>
          <cell r="L37">
            <v>0</v>
          </cell>
          <cell r="N37">
            <v>0</v>
          </cell>
        </row>
        <row r="38">
          <cell r="D38">
            <v>0</v>
          </cell>
          <cell r="F38">
            <v>0</v>
          </cell>
          <cell r="H38">
            <v>0</v>
          </cell>
          <cell r="J38">
            <v>0</v>
          </cell>
          <cell r="L38">
            <v>0</v>
          </cell>
          <cell r="N38">
            <v>0</v>
          </cell>
        </row>
        <row r="39">
          <cell r="D39">
            <v>0</v>
          </cell>
          <cell r="F39">
            <v>0</v>
          </cell>
          <cell r="H39">
            <v>0</v>
          </cell>
          <cell r="J39">
            <v>0</v>
          </cell>
          <cell r="L39">
            <v>0</v>
          </cell>
          <cell r="N39">
            <v>0</v>
          </cell>
        </row>
        <row r="40">
          <cell r="D40">
            <v>0</v>
          </cell>
          <cell r="F40">
            <v>0</v>
          </cell>
          <cell r="H40">
            <v>0</v>
          </cell>
          <cell r="J40">
            <v>0</v>
          </cell>
          <cell r="L40">
            <v>0</v>
          </cell>
          <cell r="N40">
            <v>0</v>
          </cell>
        </row>
        <row r="41">
          <cell r="D41">
            <v>0</v>
          </cell>
          <cell r="F41">
            <v>0</v>
          </cell>
          <cell r="H41">
            <v>0</v>
          </cell>
          <cell r="J41">
            <v>0</v>
          </cell>
          <cell r="L41">
            <v>0</v>
          </cell>
          <cell r="N41">
            <v>0</v>
          </cell>
        </row>
        <row r="42">
          <cell r="D42">
            <v>0</v>
          </cell>
          <cell r="F42">
            <v>0</v>
          </cell>
          <cell r="H42">
            <v>0</v>
          </cell>
          <cell r="J42">
            <v>0</v>
          </cell>
          <cell r="L42">
            <v>0</v>
          </cell>
          <cell r="N42">
            <v>0</v>
          </cell>
        </row>
        <row r="44">
          <cell r="D44">
            <v>0</v>
          </cell>
          <cell r="F44">
            <v>0</v>
          </cell>
          <cell r="H44">
            <v>0</v>
          </cell>
          <cell r="J44">
            <v>0</v>
          </cell>
          <cell r="L44">
            <v>0</v>
          </cell>
          <cell r="N44">
            <v>0</v>
          </cell>
        </row>
        <row r="45">
          <cell r="D45">
            <v>0</v>
          </cell>
          <cell r="F45">
            <v>0</v>
          </cell>
          <cell r="H45">
            <v>0</v>
          </cell>
          <cell r="J45">
            <v>0</v>
          </cell>
          <cell r="L45">
            <v>0</v>
          </cell>
          <cell r="N45">
            <v>0</v>
          </cell>
        </row>
        <row r="46">
          <cell r="D46">
            <v>0</v>
          </cell>
          <cell r="F46">
            <v>0</v>
          </cell>
          <cell r="H46">
            <v>0</v>
          </cell>
          <cell r="J46">
            <v>0</v>
          </cell>
          <cell r="L46">
            <v>0</v>
          </cell>
          <cell r="N46">
            <v>0</v>
          </cell>
        </row>
        <row r="47">
          <cell r="D47">
            <v>0</v>
          </cell>
          <cell r="F47">
            <v>0</v>
          </cell>
          <cell r="H47">
            <v>0</v>
          </cell>
          <cell r="J47">
            <v>0</v>
          </cell>
          <cell r="L47">
            <v>0</v>
          </cell>
          <cell r="N47">
            <v>0</v>
          </cell>
        </row>
        <row r="48">
          <cell r="D48">
            <v>0</v>
          </cell>
          <cell r="F48">
            <v>0</v>
          </cell>
          <cell r="H48">
            <v>0</v>
          </cell>
          <cell r="J48">
            <v>0</v>
          </cell>
          <cell r="L48">
            <v>0</v>
          </cell>
          <cell r="N48">
            <v>0</v>
          </cell>
        </row>
        <row r="49">
          <cell r="D49">
            <v>0</v>
          </cell>
          <cell r="F49">
            <v>0</v>
          </cell>
          <cell r="H49">
            <v>0</v>
          </cell>
          <cell r="J49">
            <v>0</v>
          </cell>
          <cell r="L49">
            <v>0</v>
          </cell>
          <cell r="N49">
            <v>0</v>
          </cell>
        </row>
        <row r="50">
          <cell r="D50">
            <v>0</v>
          </cell>
          <cell r="F50">
            <v>0</v>
          </cell>
          <cell r="H50">
            <v>0</v>
          </cell>
          <cell r="J50">
            <v>0</v>
          </cell>
          <cell r="L50">
            <v>0</v>
          </cell>
          <cell r="N50">
            <v>0</v>
          </cell>
        </row>
        <row r="51">
          <cell r="D51">
            <v>0</v>
          </cell>
          <cell r="F51">
            <v>0</v>
          </cell>
          <cell r="H51">
            <v>0</v>
          </cell>
          <cell r="J51">
            <v>0</v>
          </cell>
          <cell r="L51">
            <v>0</v>
          </cell>
          <cell r="N51">
            <v>0</v>
          </cell>
        </row>
        <row r="53">
          <cell r="D53">
            <v>0</v>
          </cell>
          <cell r="F53">
            <v>0</v>
          </cell>
          <cell r="H53">
            <v>0</v>
          </cell>
          <cell r="J53">
            <v>0</v>
          </cell>
          <cell r="L53">
            <v>0</v>
          </cell>
          <cell r="N53">
            <v>0</v>
          </cell>
        </row>
        <row r="54">
          <cell r="D54">
            <v>0</v>
          </cell>
          <cell r="F54">
            <v>0</v>
          </cell>
          <cell r="H54">
            <v>0</v>
          </cell>
          <cell r="J54">
            <v>0</v>
          </cell>
          <cell r="L54">
            <v>0</v>
          </cell>
          <cell r="N54">
            <v>0</v>
          </cell>
        </row>
        <row r="55">
          <cell r="D55">
            <v>0</v>
          </cell>
          <cell r="F55">
            <v>0</v>
          </cell>
          <cell r="H55">
            <v>0</v>
          </cell>
          <cell r="J55">
            <v>0</v>
          </cell>
          <cell r="L55">
            <v>0</v>
          </cell>
          <cell r="N55">
            <v>0</v>
          </cell>
        </row>
        <row r="56">
          <cell r="D56">
            <v>0</v>
          </cell>
          <cell r="F56">
            <v>0</v>
          </cell>
          <cell r="H56">
            <v>0</v>
          </cell>
          <cell r="J56">
            <v>0</v>
          </cell>
          <cell r="L56">
            <v>0</v>
          </cell>
          <cell r="N56">
            <v>0</v>
          </cell>
        </row>
        <row r="57">
          <cell r="D57">
            <v>0</v>
          </cell>
          <cell r="F57">
            <v>0</v>
          </cell>
          <cell r="H57">
            <v>0</v>
          </cell>
          <cell r="J57">
            <v>0</v>
          </cell>
          <cell r="L57">
            <v>0</v>
          </cell>
          <cell r="N57">
            <v>0</v>
          </cell>
        </row>
        <row r="66">
          <cell r="D66">
            <v>0</v>
          </cell>
          <cell r="F66">
            <v>0</v>
          </cell>
          <cell r="L66">
            <v>0</v>
          </cell>
          <cell r="N66">
            <v>0</v>
          </cell>
        </row>
        <row r="67">
          <cell r="D67">
            <v>0</v>
          </cell>
          <cell r="F67">
            <v>0</v>
          </cell>
          <cell r="L67">
            <v>0</v>
          </cell>
          <cell r="N67">
            <v>0</v>
          </cell>
        </row>
        <row r="68">
          <cell r="D68">
            <v>0</v>
          </cell>
          <cell r="F68">
            <v>0</v>
          </cell>
          <cell r="L68">
            <v>0</v>
          </cell>
          <cell r="N68">
            <v>0</v>
          </cell>
        </row>
        <row r="69">
          <cell r="D69">
            <v>0</v>
          </cell>
          <cell r="F69">
            <v>0</v>
          </cell>
        </row>
        <row r="70">
          <cell r="D70">
            <v>0</v>
          </cell>
          <cell r="F70">
            <v>0</v>
          </cell>
        </row>
        <row r="71">
          <cell r="D71">
            <v>0</v>
          </cell>
          <cell r="F71">
            <v>0</v>
          </cell>
        </row>
        <row r="72">
          <cell r="L72">
            <v>0</v>
          </cell>
          <cell r="N72">
            <v>0</v>
          </cell>
        </row>
      </sheetData>
      <sheetData sheetId="3">
        <row r="11">
          <cell r="D11">
            <v>0</v>
          </cell>
          <cell r="F11">
            <v>0</v>
          </cell>
          <cell r="H11">
            <v>0</v>
          </cell>
          <cell r="J11">
            <v>0</v>
          </cell>
          <cell r="L11">
            <v>0</v>
          </cell>
          <cell r="N11">
            <v>0</v>
          </cell>
          <cell r="P11">
            <v>0</v>
          </cell>
          <cell r="R11">
            <v>0</v>
          </cell>
        </row>
        <row r="12">
          <cell r="D12">
            <v>0</v>
          </cell>
          <cell r="F12">
            <v>0</v>
          </cell>
          <cell r="H12">
            <v>0</v>
          </cell>
          <cell r="J12">
            <v>0</v>
          </cell>
          <cell r="L12">
            <v>0</v>
          </cell>
          <cell r="N12">
            <v>0</v>
          </cell>
          <cell r="P12">
            <v>0</v>
          </cell>
          <cell r="R12">
            <v>0</v>
          </cell>
        </row>
        <row r="13">
          <cell r="D13">
            <v>0</v>
          </cell>
          <cell r="F13">
            <v>0</v>
          </cell>
          <cell r="H13">
            <v>0</v>
          </cell>
          <cell r="J13">
            <v>0</v>
          </cell>
          <cell r="L13">
            <v>0</v>
          </cell>
          <cell r="N13">
            <v>0</v>
          </cell>
          <cell r="P13">
            <v>0</v>
          </cell>
          <cell r="R13">
            <v>0</v>
          </cell>
        </row>
        <row r="14">
          <cell r="D14">
            <v>0</v>
          </cell>
          <cell r="F14">
            <v>0</v>
          </cell>
          <cell r="H14">
            <v>0</v>
          </cell>
          <cell r="J14">
            <v>0</v>
          </cell>
          <cell r="L14">
            <v>0</v>
          </cell>
          <cell r="N14">
            <v>0</v>
          </cell>
          <cell r="P14">
            <v>0</v>
          </cell>
          <cell r="R14">
            <v>0</v>
          </cell>
        </row>
        <row r="15">
          <cell r="D15">
            <v>0</v>
          </cell>
          <cell r="F15">
            <v>0</v>
          </cell>
          <cell r="H15">
            <v>0</v>
          </cell>
          <cell r="J15">
            <v>0</v>
          </cell>
          <cell r="L15">
            <v>0</v>
          </cell>
          <cell r="N15">
            <v>0</v>
          </cell>
          <cell r="P15">
            <v>0</v>
          </cell>
          <cell r="R15">
            <v>0</v>
          </cell>
        </row>
        <row r="16">
          <cell r="D16">
            <v>0</v>
          </cell>
          <cell r="F16">
            <v>0</v>
          </cell>
          <cell r="H16">
            <v>0</v>
          </cell>
          <cell r="J16">
            <v>0</v>
          </cell>
          <cell r="L16">
            <v>0</v>
          </cell>
          <cell r="N16">
            <v>0</v>
          </cell>
          <cell r="P16">
            <v>0</v>
          </cell>
          <cell r="R16">
            <v>0</v>
          </cell>
        </row>
        <row r="17">
          <cell r="D17">
            <v>0</v>
          </cell>
          <cell r="F17">
            <v>0</v>
          </cell>
          <cell r="H17">
            <v>0</v>
          </cell>
          <cell r="J17">
            <v>0</v>
          </cell>
          <cell r="L17">
            <v>0</v>
          </cell>
          <cell r="N17">
            <v>0</v>
          </cell>
          <cell r="P17">
            <v>0</v>
          </cell>
          <cell r="R17">
            <v>0</v>
          </cell>
        </row>
        <row r="18">
          <cell r="D18">
            <v>0</v>
          </cell>
          <cell r="F18">
            <v>0</v>
          </cell>
          <cell r="H18">
            <v>0</v>
          </cell>
          <cell r="J18">
            <v>0</v>
          </cell>
          <cell r="L18">
            <v>0</v>
          </cell>
          <cell r="N18">
            <v>0</v>
          </cell>
          <cell r="P18">
            <v>0</v>
          </cell>
          <cell r="R18">
            <v>0</v>
          </cell>
        </row>
        <row r="19">
          <cell r="D19">
            <v>0</v>
          </cell>
          <cell r="F19">
            <v>0</v>
          </cell>
          <cell r="H19">
            <v>0</v>
          </cell>
          <cell r="J19">
            <v>0</v>
          </cell>
          <cell r="L19">
            <v>0</v>
          </cell>
          <cell r="N19">
            <v>0</v>
          </cell>
          <cell r="P19">
            <v>0</v>
          </cell>
          <cell r="R19">
            <v>0</v>
          </cell>
        </row>
        <row r="21">
          <cell r="D21">
            <v>0</v>
          </cell>
          <cell r="F21">
            <v>0</v>
          </cell>
          <cell r="H21">
            <v>0</v>
          </cell>
          <cell r="J21">
            <v>0</v>
          </cell>
          <cell r="L21">
            <v>0</v>
          </cell>
          <cell r="N21">
            <v>0</v>
          </cell>
          <cell r="P21">
            <v>0</v>
          </cell>
          <cell r="R21">
            <v>0</v>
          </cell>
        </row>
        <row r="22">
          <cell r="D22">
            <v>0</v>
          </cell>
          <cell r="F22">
            <v>0</v>
          </cell>
          <cell r="H22">
            <v>0</v>
          </cell>
          <cell r="J22">
            <v>0</v>
          </cell>
          <cell r="L22">
            <v>0</v>
          </cell>
          <cell r="N22">
            <v>0</v>
          </cell>
          <cell r="P22">
            <v>0</v>
          </cell>
          <cell r="R22">
            <v>0</v>
          </cell>
        </row>
        <row r="23">
          <cell r="D23">
            <v>0</v>
          </cell>
          <cell r="F23">
            <v>0</v>
          </cell>
          <cell r="H23">
            <v>0</v>
          </cell>
          <cell r="J23">
            <v>0</v>
          </cell>
          <cell r="L23">
            <v>0</v>
          </cell>
          <cell r="N23">
            <v>0</v>
          </cell>
          <cell r="P23">
            <v>0</v>
          </cell>
          <cell r="R23">
            <v>0</v>
          </cell>
        </row>
        <row r="24">
          <cell r="D24">
            <v>0</v>
          </cell>
          <cell r="F24">
            <v>0</v>
          </cell>
          <cell r="H24">
            <v>0</v>
          </cell>
          <cell r="J24">
            <v>0</v>
          </cell>
          <cell r="L24">
            <v>0</v>
          </cell>
          <cell r="N24">
            <v>0</v>
          </cell>
          <cell r="P24">
            <v>0</v>
          </cell>
          <cell r="R24">
            <v>0</v>
          </cell>
        </row>
        <row r="25">
          <cell r="D25">
            <v>0</v>
          </cell>
          <cell r="F25">
            <v>0</v>
          </cell>
          <cell r="H25">
            <v>0</v>
          </cell>
          <cell r="J25">
            <v>0</v>
          </cell>
          <cell r="L25">
            <v>0</v>
          </cell>
          <cell r="N25">
            <v>0</v>
          </cell>
          <cell r="P25">
            <v>0</v>
          </cell>
          <cell r="R25">
            <v>0</v>
          </cell>
        </row>
        <row r="26">
          <cell r="D26">
            <v>0</v>
          </cell>
          <cell r="F26">
            <v>0</v>
          </cell>
          <cell r="H26">
            <v>0</v>
          </cell>
          <cell r="J26">
            <v>0</v>
          </cell>
          <cell r="L26">
            <v>0</v>
          </cell>
          <cell r="N26">
            <v>0</v>
          </cell>
          <cell r="P26">
            <v>0</v>
          </cell>
          <cell r="R26">
            <v>0</v>
          </cell>
        </row>
        <row r="27">
          <cell r="D27">
            <v>0</v>
          </cell>
          <cell r="F27">
            <v>0</v>
          </cell>
          <cell r="H27">
            <v>0</v>
          </cell>
          <cell r="J27">
            <v>0</v>
          </cell>
          <cell r="L27">
            <v>0</v>
          </cell>
          <cell r="N27">
            <v>0</v>
          </cell>
          <cell r="P27">
            <v>0</v>
          </cell>
          <cell r="R27">
            <v>0</v>
          </cell>
        </row>
        <row r="28">
          <cell r="D28">
            <v>0</v>
          </cell>
          <cell r="F28">
            <v>0</v>
          </cell>
          <cell r="H28">
            <v>0</v>
          </cell>
          <cell r="J28">
            <v>0</v>
          </cell>
          <cell r="L28">
            <v>0</v>
          </cell>
          <cell r="N28">
            <v>0</v>
          </cell>
        </row>
        <row r="29">
          <cell r="D29">
            <v>0</v>
          </cell>
          <cell r="F29">
            <v>0</v>
          </cell>
          <cell r="H29">
            <v>0</v>
          </cell>
          <cell r="J29">
            <v>0</v>
          </cell>
          <cell r="L29">
            <v>0</v>
          </cell>
          <cell r="N29">
            <v>0</v>
          </cell>
          <cell r="P29">
            <v>0</v>
          </cell>
          <cell r="R29">
            <v>0</v>
          </cell>
        </row>
        <row r="30">
          <cell r="D30">
            <v>0</v>
          </cell>
          <cell r="F30">
            <v>0</v>
          </cell>
          <cell r="H30">
            <v>0</v>
          </cell>
          <cell r="J30">
            <v>0</v>
          </cell>
          <cell r="L30">
            <v>0</v>
          </cell>
          <cell r="N30">
            <v>0</v>
          </cell>
          <cell r="P30">
            <v>0</v>
          </cell>
          <cell r="R30">
            <v>0</v>
          </cell>
        </row>
        <row r="31">
          <cell r="D31">
            <v>0</v>
          </cell>
          <cell r="F31">
            <v>0</v>
          </cell>
          <cell r="H31">
            <v>0</v>
          </cell>
          <cell r="J31">
            <v>0</v>
          </cell>
          <cell r="L31">
            <v>0</v>
          </cell>
          <cell r="N31">
            <v>0</v>
          </cell>
          <cell r="P31">
            <v>0</v>
          </cell>
          <cell r="R31">
            <v>0</v>
          </cell>
        </row>
        <row r="32">
          <cell r="D32">
            <v>0</v>
          </cell>
          <cell r="F32">
            <v>0</v>
          </cell>
          <cell r="H32">
            <v>0</v>
          </cell>
          <cell r="J32">
            <v>0</v>
          </cell>
          <cell r="L32">
            <v>0</v>
          </cell>
          <cell r="N32">
            <v>0</v>
          </cell>
          <cell r="P32">
            <v>0</v>
          </cell>
          <cell r="R32">
            <v>0</v>
          </cell>
        </row>
        <row r="33">
          <cell r="D33">
            <v>0</v>
          </cell>
          <cell r="F33">
            <v>0</v>
          </cell>
          <cell r="H33">
            <v>0</v>
          </cell>
          <cell r="J33">
            <v>0</v>
          </cell>
          <cell r="L33">
            <v>0</v>
          </cell>
          <cell r="N33">
            <v>0</v>
          </cell>
          <cell r="P33">
            <v>0</v>
          </cell>
          <cell r="R33">
            <v>0</v>
          </cell>
        </row>
        <row r="34">
          <cell r="D34">
            <v>0</v>
          </cell>
          <cell r="F34">
            <v>0</v>
          </cell>
          <cell r="H34">
            <v>0</v>
          </cell>
          <cell r="J34">
            <v>0</v>
          </cell>
          <cell r="L34">
            <v>0</v>
          </cell>
          <cell r="N34">
            <v>0</v>
          </cell>
          <cell r="P34">
            <v>0</v>
          </cell>
          <cell r="R34">
            <v>0</v>
          </cell>
        </row>
        <row r="35">
          <cell r="D35">
            <v>0</v>
          </cell>
          <cell r="F35">
            <v>0</v>
          </cell>
          <cell r="H35">
            <v>0</v>
          </cell>
          <cell r="J35">
            <v>0</v>
          </cell>
          <cell r="L35">
            <v>0</v>
          </cell>
          <cell r="N35">
            <v>0</v>
          </cell>
          <cell r="P35">
            <v>0</v>
          </cell>
          <cell r="R35">
            <v>0</v>
          </cell>
        </row>
        <row r="38">
          <cell r="D38">
            <v>0</v>
          </cell>
          <cell r="F38">
            <v>0</v>
          </cell>
          <cell r="H38">
            <v>0</v>
          </cell>
          <cell r="J38">
            <v>0</v>
          </cell>
          <cell r="L38">
            <v>0</v>
          </cell>
          <cell r="N38">
            <v>0</v>
          </cell>
          <cell r="P38">
            <v>0</v>
          </cell>
          <cell r="R38">
            <v>0</v>
          </cell>
        </row>
        <row r="40">
          <cell r="D40">
            <v>0</v>
          </cell>
          <cell r="F40">
            <v>0</v>
          </cell>
          <cell r="H40">
            <v>0</v>
          </cell>
          <cell r="J40">
            <v>0</v>
          </cell>
          <cell r="L40">
            <v>0</v>
          </cell>
          <cell r="N40">
            <v>0</v>
          </cell>
          <cell r="P40">
            <v>0</v>
          </cell>
          <cell r="R40">
            <v>0</v>
          </cell>
        </row>
        <row r="41">
          <cell r="D41">
            <v>0</v>
          </cell>
          <cell r="F41">
            <v>0</v>
          </cell>
          <cell r="H41">
            <v>0</v>
          </cell>
          <cell r="J41">
            <v>0</v>
          </cell>
          <cell r="L41">
            <v>0</v>
          </cell>
          <cell r="N41">
            <v>0</v>
          </cell>
          <cell r="P41">
            <v>0</v>
          </cell>
          <cell r="R41">
            <v>0</v>
          </cell>
        </row>
        <row r="42">
          <cell r="D42">
            <v>0</v>
          </cell>
          <cell r="F42">
            <v>0</v>
          </cell>
          <cell r="H42">
            <v>0</v>
          </cell>
          <cell r="J42">
            <v>0</v>
          </cell>
          <cell r="L42">
            <v>0</v>
          </cell>
          <cell r="N42">
            <v>0</v>
          </cell>
          <cell r="P42">
            <v>0</v>
          </cell>
          <cell r="R42">
            <v>0</v>
          </cell>
        </row>
        <row r="44">
          <cell r="D44">
            <v>0</v>
          </cell>
          <cell r="F44">
            <v>0</v>
          </cell>
          <cell r="H44">
            <v>0</v>
          </cell>
          <cell r="J44">
            <v>0</v>
          </cell>
          <cell r="L44">
            <v>0</v>
          </cell>
          <cell r="N44">
            <v>0</v>
          </cell>
          <cell r="P44">
            <v>0</v>
          </cell>
          <cell r="R44">
            <v>0</v>
          </cell>
        </row>
        <row r="45">
          <cell r="D45">
            <v>0</v>
          </cell>
          <cell r="F45">
            <v>0</v>
          </cell>
          <cell r="H45">
            <v>0</v>
          </cell>
          <cell r="J45">
            <v>0</v>
          </cell>
          <cell r="L45">
            <v>0</v>
          </cell>
          <cell r="N45">
            <v>0</v>
          </cell>
          <cell r="P45">
            <v>0</v>
          </cell>
          <cell r="R45">
            <v>0</v>
          </cell>
        </row>
        <row r="46">
          <cell r="D46">
            <v>0</v>
          </cell>
          <cell r="F46">
            <v>0</v>
          </cell>
          <cell r="H46">
            <v>0</v>
          </cell>
          <cell r="J46">
            <v>0</v>
          </cell>
          <cell r="L46">
            <v>0</v>
          </cell>
          <cell r="N46">
            <v>0</v>
          </cell>
          <cell r="P46">
            <v>0</v>
          </cell>
          <cell r="R46">
            <v>0</v>
          </cell>
        </row>
        <row r="47">
          <cell r="D47">
            <v>0</v>
          </cell>
          <cell r="F47">
            <v>0</v>
          </cell>
          <cell r="H47">
            <v>0</v>
          </cell>
          <cell r="J47">
            <v>0</v>
          </cell>
          <cell r="L47">
            <v>0</v>
          </cell>
          <cell r="N47">
            <v>0</v>
          </cell>
          <cell r="P47">
            <v>0</v>
          </cell>
          <cell r="R47">
            <v>0</v>
          </cell>
        </row>
        <row r="48">
          <cell r="D48">
            <v>0</v>
          </cell>
          <cell r="F48">
            <v>0</v>
          </cell>
          <cell r="H48">
            <v>0</v>
          </cell>
          <cell r="J48">
            <v>0</v>
          </cell>
          <cell r="L48">
            <v>0</v>
          </cell>
          <cell r="N48">
            <v>0</v>
          </cell>
          <cell r="P48">
            <v>0</v>
          </cell>
          <cell r="R48">
            <v>0</v>
          </cell>
        </row>
        <row r="49">
          <cell r="D49">
            <v>0</v>
          </cell>
          <cell r="F49">
            <v>0</v>
          </cell>
          <cell r="H49">
            <v>0</v>
          </cell>
          <cell r="J49">
            <v>0</v>
          </cell>
          <cell r="L49">
            <v>0</v>
          </cell>
          <cell r="N49">
            <v>0</v>
          </cell>
          <cell r="P49">
            <v>0</v>
          </cell>
          <cell r="R49">
            <v>0</v>
          </cell>
        </row>
        <row r="50">
          <cell r="D50">
            <v>0</v>
          </cell>
          <cell r="F50">
            <v>0</v>
          </cell>
          <cell r="H50">
            <v>0</v>
          </cell>
          <cell r="J50">
            <v>0</v>
          </cell>
          <cell r="L50">
            <v>0</v>
          </cell>
          <cell r="N50">
            <v>0</v>
          </cell>
          <cell r="P50">
            <v>0</v>
          </cell>
          <cell r="R50">
            <v>0</v>
          </cell>
        </row>
        <row r="51">
          <cell r="D51">
            <v>0</v>
          </cell>
          <cell r="F51">
            <v>0</v>
          </cell>
          <cell r="H51">
            <v>0</v>
          </cell>
          <cell r="J51">
            <v>0</v>
          </cell>
          <cell r="L51">
            <v>0</v>
          </cell>
          <cell r="N51">
            <v>0</v>
          </cell>
          <cell r="P51">
            <v>0</v>
          </cell>
          <cell r="R51">
            <v>0</v>
          </cell>
        </row>
        <row r="53">
          <cell r="D53">
            <v>0</v>
          </cell>
          <cell r="F53">
            <v>0</v>
          </cell>
          <cell r="H53">
            <v>0</v>
          </cell>
          <cell r="J53">
            <v>0</v>
          </cell>
          <cell r="L53">
            <v>0</v>
          </cell>
          <cell r="N53">
            <v>0</v>
          </cell>
          <cell r="P53">
            <v>0</v>
          </cell>
          <cell r="R53">
            <v>0</v>
          </cell>
        </row>
        <row r="54">
          <cell r="D54">
            <v>0</v>
          </cell>
          <cell r="F54">
            <v>0</v>
          </cell>
          <cell r="H54">
            <v>0</v>
          </cell>
          <cell r="J54">
            <v>0</v>
          </cell>
          <cell r="L54">
            <v>0</v>
          </cell>
          <cell r="N54">
            <v>0</v>
          </cell>
          <cell r="P54">
            <v>0</v>
          </cell>
          <cell r="R54">
            <v>0</v>
          </cell>
        </row>
        <row r="55">
          <cell r="D55">
            <v>0</v>
          </cell>
          <cell r="F55">
            <v>0</v>
          </cell>
          <cell r="H55">
            <v>0</v>
          </cell>
          <cell r="J55">
            <v>0</v>
          </cell>
          <cell r="L55">
            <v>0</v>
          </cell>
          <cell r="N55">
            <v>0</v>
          </cell>
          <cell r="P55">
            <v>0</v>
          </cell>
          <cell r="R55">
            <v>0</v>
          </cell>
        </row>
        <row r="56">
          <cell r="D56">
            <v>0</v>
          </cell>
          <cell r="F56">
            <v>0</v>
          </cell>
          <cell r="H56">
            <v>0</v>
          </cell>
          <cell r="J56">
            <v>0</v>
          </cell>
          <cell r="L56">
            <v>0</v>
          </cell>
          <cell r="N56">
            <v>0</v>
          </cell>
          <cell r="P56">
            <v>0</v>
          </cell>
          <cell r="R56">
            <v>0</v>
          </cell>
        </row>
        <row r="57">
          <cell r="D57">
            <v>0</v>
          </cell>
          <cell r="F57">
            <v>0</v>
          </cell>
          <cell r="H57">
            <v>0</v>
          </cell>
          <cell r="J57">
            <v>0</v>
          </cell>
          <cell r="L57">
            <v>0</v>
          </cell>
          <cell r="N57">
            <v>0</v>
          </cell>
          <cell r="P57">
            <v>0</v>
          </cell>
          <cell r="R57">
            <v>0</v>
          </cell>
        </row>
        <row r="60">
          <cell r="P60">
            <v>0</v>
          </cell>
          <cell r="R60">
            <v>0</v>
          </cell>
        </row>
      </sheetData>
      <sheetData sheetId="4">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5">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6">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7">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8">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9">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0">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1">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2">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3">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4">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1">
          <cell r="G21">
            <v>0</v>
          </cell>
          <cell r="H21">
            <v>0</v>
          </cell>
          <cell r="L21">
            <v>0</v>
          </cell>
          <cell r="M21">
            <v>0</v>
          </cell>
        </row>
        <row r="22">
          <cell r="G22">
            <v>0</v>
          </cell>
          <cell r="H22">
            <v>0</v>
          </cell>
          <cell r="L22">
            <v>0</v>
          </cell>
          <cell r="M22">
            <v>0</v>
          </cell>
        </row>
        <row r="23">
          <cell r="G23">
            <v>0</v>
          </cell>
          <cell r="H23">
            <v>0</v>
          </cell>
          <cell r="L23">
            <v>0</v>
          </cell>
          <cell r="M23">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7">
          <cell r="G27">
            <v>0</v>
          </cell>
          <cell r="H27">
            <v>0</v>
          </cell>
          <cell r="L27">
            <v>0</v>
          </cell>
          <cell r="M27">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4">
          <cell r="H44">
            <v>0</v>
          </cell>
          <cell r="M44">
            <v>0</v>
          </cell>
        </row>
        <row r="45">
          <cell r="G45">
            <v>0</v>
          </cell>
          <cell r="H45">
            <v>0</v>
          </cell>
          <cell r="L45">
            <v>0</v>
          </cell>
          <cell r="M45">
            <v>0</v>
          </cell>
        </row>
        <row r="48">
          <cell r="I48">
            <v>0</v>
          </cell>
          <cell r="N48">
            <v>0</v>
          </cell>
        </row>
        <row r="49">
          <cell r="I49">
            <v>0</v>
          </cell>
          <cell r="N49">
            <v>0</v>
          </cell>
        </row>
        <row r="50">
          <cell r="I50">
            <v>0</v>
          </cell>
          <cell r="N50">
            <v>0</v>
          </cell>
        </row>
        <row r="53">
          <cell r="I53">
            <v>0</v>
          </cell>
          <cell r="N53">
            <v>0</v>
          </cell>
        </row>
      </sheetData>
      <sheetData sheetId="15">
        <row r="4">
          <cell r="G4">
            <v>0</v>
          </cell>
          <cell r="H4">
            <v>0</v>
          </cell>
          <cell r="L4">
            <v>0</v>
          </cell>
          <cell r="M4">
            <v>0</v>
          </cell>
        </row>
        <row r="5">
          <cell r="G5">
            <v>0</v>
          </cell>
          <cell r="H5">
            <v>0</v>
          </cell>
          <cell r="L5">
            <v>0</v>
          </cell>
          <cell r="M5">
            <v>0</v>
          </cell>
        </row>
        <row r="6">
          <cell r="G6">
            <v>0</v>
          </cell>
          <cell r="J6">
            <v>0</v>
          </cell>
          <cell r="L6">
            <v>0</v>
          </cell>
          <cell r="O6">
            <v>0</v>
          </cell>
        </row>
        <row r="7">
          <cell r="G7">
            <v>0</v>
          </cell>
          <cell r="H7">
            <v>0</v>
          </cell>
          <cell r="L7">
            <v>0</v>
          </cell>
          <cell r="M7">
            <v>0</v>
          </cell>
        </row>
        <row r="8">
          <cell r="G8">
            <v>0</v>
          </cell>
          <cell r="H8">
            <v>0</v>
          </cell>
          <cell r="L8">
            <v>0</v>
          </cell>
          <cell r="M8">
            <v>0</v>
          </cell>
        </row>
        <row r="9">
          <cell r="G9">
            <v>0</v>
          </cell>
          <cell r="J9">
            <v>0</v>
          </cell>
          <cell r="L9">
            <v>0</v>
          </cell>
          <cell r="O9">
            <v>0</v>
          </cell>
        </row>
        <row r="11">
          <cell r="G11">
            <v>0</v>
          </cell>
          <cell r="H11">
            <v>0</v>
          </cell>
          <cell r="L11">
            <v>0</v>
          </cell>
          <cell r="M11">
            <v>0</v>
          </cell>
        </row>
        <row r="12">
          <cell r="H12">
            <v>0</v>
          </cell>
          <cell r="M12">
            <v>0</v>
          </cell>
        </row>
        <row r="13">
          <cell r="G13">
            <v>0</v>
          </cell>
          <cell r="H13">
            <v>0</v>
          </cell>
          <cell r="L13">
            <v>0</v>
          </cell>
          <cell r="M13">
            <v>0</v>
          </cell>
        </row>
        <row r="14">
          <cell r="H14">
            <v>0</v>
          </cell>
          <cell r="M14">
            <v>0</v>
          </cell>
        </row>
        <row r="16">
          <cell r="G16">
            <v>0</v>
          </cell>
          <cell r="H16">
            <v>0</v>
          </cell>
          <cell r="L16">
            <v>0</v>
          </cell>
          <cell r="M16">
            <v>0</v>
          </cell>
        </row>
        <row r="17">
          <cell r="I17">
            <v>0</v>
          </cell>
          <cell r="N17">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7">
          <cell r="G27">
            <v>0</v>
          </cell>
          <cell r="H27">
            <v>0</v>
          </cell>
          <cell r="L27">
            <v>0</v>
          </cell>
          <cell r="M27">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H33">
            <v>0</v>
          </cell>
          <cell r="M33">
            <v>0</v>
          </cell>
        </row>
        <row r="35">
          <cell r="G35">
            <v>0</v>
          </cell>
          <cell r="H35">
            <v>0</v>
          </cell>
          <cell r="L35">
            <v>0</v>
          </cell>
          <cell r="M35">
            <v>0</v>
          </cell>
        </row>
        <row r="36">
          <cell r="G36">
            <v>0</v>
          </cell>
          <cell r="H36">
            <v>0</v>
          </cell>
          <cell r="L36">
            <v>0</v>
          </cell>
          <cell r="M36">
            <v>0</v>
          </cell>
        </row>
        <row r="37">
          <cell r="I37">
            <v>0</v>
          </cell>
          <cell r="N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H42">
            <v>0</v>
          </cell>
          <cell r="M42">
            <v>0</v>
          </cell>
        </row>
        <row r="44">
          <cell r="G44">
            <v>0</v>
          </cell>
          <cell r="H44">
            <v>0</v>
          </cell>
          <cell r="L44">
            <v>0</v>
          </cell>
          <cell r="M44">
            <v>0</v>
          </cell>
        </row>
        <row r="45">
          <cell r="G45">
            <v>0</v>
          </cell>
          <cell r="H45">
            <v>0</v>
          </cell>
          <cell r="L45">
            <v>0</v>
          </cell>
          <cell r="M45">
            <v>0</v>
          </cell>
        </row>
        <row r="46">
          <cell r="I46">
            <v>0</v>
          </cell>
          <cell r="N46">
            <v>0</v>
          </cell>
        </row>
        <row r="48">
          <cell r="G48">
            <v>0</v>
          </cell>
          <cell r="H48">
            <v>0</v>
          </cell>
          <cell r="L48">
            <v>0</v>
          </cell>
          <cell r="M48">
            <v>0</v>
          </cell>
        </row>
        <row r="49">
          <cell r="G49">
            <v>0</v>
          </cell>
          <cell r="H49">
            <v>0</v>
          </cell>
          <cell r="L49">
            <v>0</v>
          </cell>
          <cell r="M49">
            <v>0</v>
          </cell>
        </row>
        <row r="50">
          <cell r="G50">
            <v>0</v>
          </cell>
          <cell r="H50">
            <v>0</v>
          </cell>
          <cell r="L50">
            <v>0</v>
          </cell>
          <cell r="M50">
            <v>0</v>
          </cell>
        </row>
        <row r="51">
          <cell r="G51">
            <v>0</v>
          </cell>
          <cell r="H51">
            <v>0</v>
          </cell>
          <cell r="L51">
            <v>0</v>
          </cell>
          <cell r="M51">
            <v>0</v>
          </cell>
        </row>
        <row r="52">
          <cell r="G52">
            <v>0</v>
          </cell>
          <cell r="H52">
            <v>0</v>
          </cell>
          <cell r="L52">
            <v>0</v>
          </cell>
          <cell r="M52">
            <v>0</v>
          </cell>
        </row>
        <row r="53">
          <cell r="G53">
            <v>0</v>
          </cell>
          <cell r="H53">
            <v>0</v>
          </cell>
          <cell r="L53">
            <v>0</v>
          </cell>
          <cell r="M53">
            <v>0</v>
          </cell>
        </row>
        <row r="54">
          <cell r="G54">
            <v>0</v>
          </cell>
          <cell r="H54">
            <v>0</v>
          </cell>
          <cell r="L54">
            <v>0</v>
          </cell>
          <cell r="M54">
            <v>0</v>
          </cell>
        </row>
        <row r="55">
          <cell r="G55">
            <v>0</v>
          </cell>
          <cell r="H55">
            <v>0</v>
          </cell>
          <cell r="L55">
            <v>0</v>
          </cell>
          <cell r="M55">
            <v>0</v>
          </cell>
        </row>
        <row r="56">
          <cell r="G56">
            <v>0</v>
          </cell>
          <cell r="H56">
            <v>0</v>
          </cell>
          <cell r="L56">
            <v>0</v>
          </cell>
          <cell r="M56">
            <v>0</v>
          </cell>
        </row>
        <row r="57">
          <cell r="H57">
            <v>0</v>
          </cell>
          <cell r="M57">
            <v>0</v>
          </cell>
        </row>
        <row r="58">
          <cell r="H58">
            <v>0</v>
          </cell>
          <cell r="M58">
            <v>0</v>
          </cell>
        </row>
        <row r="60">
          <cell r="G60">
            <v>0</v>
          </cell>
          <cell r="H60">
            <v>0</v>
          </cell>
          <cell r="L60">
            <v>0</v>
          </cell>
          <cell r="M60">
            <v>0</v>
          </cell>
        </row>
        <row r="61">
          <cell r="G61">
            <v>0</v>
          </cell>
          <cell r="H61">
            <v>0</v>
          </cell>
          <cell r="L61">
            <v>0</v>
          </cell>
          <cell r="M61">
            <v>0</v>
          </cell>
        </row>
        <row r="62">
          <cell r="G62">
            <v>0</v>
          </cell>
          <cell r="H62">
            <v>0</v>
          </cell>
          <cell r="L62">
            <v>0</v>
          </cell>
          <cell r="M62">
            <v>0</v>
          </cell>
        </row>
        <row r="64">
          <cell r="G64">
            <v>0</v>
          </cell>
          <cell r="I64">
            <v>0</v>
          </cell>
          <cell r="L64">
            <v>0</v>
          </cell>
          <cell r="N64">
            <v>0</v>
          </cell>
        </row>
      </sheetData>
      <sheetData sheetId="16">
        <row r="4">
          <cell r="F4">
            <v>0</v>
          </cell>
          <cell r="K4">
            <v>0</v>
          </cell>
        </row>
        <row r="5">
          <cell r="F5">
            <v>0</v>
          </cell>
          <cell r="K5">
            <v>0</v>
          </cell>
        </row>
        <row r="6">
          <cell r="G6">
            <v>0</v>
          </cell>
          <cell r="L6">
            <v>0</v>
          </cell>
        </row>
        <row r="7">
          <cell r="F7">
            <v>0</v>
          </cell>
          <cell r="G7">
            <v>0</v>
          </cell>
          <cell r="K7">
            <v>0</v>
          </cell>
          <cell r="L7">
            <v>0</v>
          </cell>
        </row>
        <row r="8">
          <cell r="F8">
            <v>0</v>
          </cell>
          <cell r="G8">
            <v>0</v>
          </cell>
          <cell r="K8">
            <v>0</v>
          </cell>
          <cell r="L8">
            <v>0</v>
          </cell>
        </row>
        <row r="9">
          <cell r="F9">
            <v>0</v>
          </cell>
          <cell r="G9">
            <v>0</v>
          </cell>
          <cell r="K9">
            <v>0</v>
          </cell>
          <cell r="L9">
            <v>0</v>
          </cell>
        </row>
        <row r="10">
          <cell r="G10">
            <v>0</v>
          </cell>
          <cell r="L10">
            <v>0</v>
          </cell>
        </row>
        <row r="11">
          <cell r="G11">
            <v>0</v>
          </cell>
          <cell r="L11">
            <v>0</v>
          </cell>
        </row>
        <row r="13">
          <cell r="F13">
            <v>0</v>
          </cell>
          <cell r="K13">
            <v>0</v>
          </cell>
        </row>
        <row r="14">
          <cell r="F14">
            <v>0</v>
          </cell>
          <cell r="K14">
            <v>0</v>
          </cell>
        </row>
        <row r="15">
          <cell r="G15">
            <v>0</v>
          </cell>
          <cell r="L15">
            <v>0</v>
          </cell>
        </row>
        <row r="16">
          <cell r="F16">
            <v>0</v>
          </cell>
          <cell r="G16">
            <v>0</v>
          </cell>
          <cell r="K16">
            <v>0</v>
          </cell>
          <cell r="L16">
            <v>0</v>
          </cell>
        </row>
        <row r="17">
          <cell r="F17">
            <v>0</v>
          </cell>
          <cell r="G17">
            <v>0</v>
          </cell>
          <cell r="K17">
            <v>0</v>
          </cell>
          <cell r="L17">
            <v>0</v>
          </cell>
        </row>
        <row r="18">
          <cell r="F18">
            <v>0</v>
          </cell>
          <cell r="G18">
            <v>0</v>
          </cell>
          <cell r="K18">
            <v>0</v>
          </cell>
          <cell r="L18">
            <v>0</v>
          </cell>
        </row>
        <row r="19">
          <cell r="G19">
            <v>0</v>
          </cell>
          <cell r="L19">
            <v>0</v>
          </cell>
        </row>
        <row r="20">
          <cell r="G20">
            <v>0</v>
          </cell>
          <cell r="L20">
            <v>0</v>
          </cell>
        </row>
        <row r="22">
          <cell r="H22">
            <v>0</v>
          </cell>
          <cell r="M22">
            <v>0</v>
          </cell>
        </row>
      </sheetData>
      <sheetData sheetId="17">
        <row r="5">
          <cell r="M5">
            <v>0</v>
          </cell>
          <cell r="N5">
            <v>0</v>
          </cell>
          <cell r="O5">
            <v>0</v>
          </cell>
          <cell r="P5">
            <v>0</v>
          </cell>
        </row>
        <row r="6">
          <cell r="M6">
            <v>0</v>
          </cell>
          <cell r="N6">
            <v>0</v>
          </cell>
          <cell r="O6">
            <v>0</v>
          </cell>
          <cell r="P6">
            <v>0</v>
          </cell>
        </row>
        <row r="7">
          <cell r="M7">
            <v>0</v>
          </cell>
          <cell r="N7">
            <v>0</v>
          </cell>
          <cell r="O7">
            <v>0</v>
          </cell>
          <cell r="P7">
            <v>0</v>
          </cell>
        </row>
        <row r="8">
          <cell r="M8">
            <v>0</v>
          </cell>
          <cell r="N8">
            <v>0</v>
          </cell>
          <cell r="O8">
            <v>0</v>
          </cell>
          <cell r="P8">
            <v>0</v>
          </cell>
          <cell r="Q8">
            <v>0</v>
          </cell>
          <cell r="R8">
            <v>0</v>
          </cell>
        </row>
        <row r="9">
          <cell r="Q9">
            <v>0</v>
          </cell>
          <cell r="R9">
            <v>0</v>
          </cell>
        </row>
        <row r="10">
          <cell r="M10">
            <v>0</v>
          </cell>
          <cell r="N10">
            <v>0</v>
          </cell>
          <cell r="O10">
            <v>0</v>
          </cell>
          <cell r="P10">
            <v>0</v>
          </cell>
          <cell r="Q10">
            <v>0</v>
          </cell>
          <cell r="R10">
            <v>0</v>
          </cell>
        </row>
        <row r="11">
          <cell r="M11">
            <v>0</v>
          </cell>
          <cell r="N11">
            <v>0</v>
          </cell>
          <cell r="O11">
            <v>0</v>
          </cell>
          <cell r="P11">
            <v>0</v>
          </cell>
        </row>
        <row r="14">
          <cell r="M14">
            <v>0</v>
          </cell>
          <cell r="N14">
            <v>0</v>
          </cell>
          <cell r="O14">
            <v>0</v>
          </cell>
          <cell r="P14">
            <v>0</v>
          </cell>
          <cell r="Q14">
            <v>0</v>
          </cell>
          <cell r="R14">
            <v>0</v>
          </cell>
        </row>
        <row r="15">
          <cell r="M15">
            <v>0</v>
          </cell>
          <cell r="N15">
            <v>0</v>
          </cell>
          <cell r="O15">
            <v>0</v>
          </cell>
          <cell r="P15">
            <v>0</v>
          </cell>
          <cell r="Q15">
            <v>0</v>
          </cell>
          <cell r="R15">
            <v>0</v>
          </cell>
        </row>
        <row r="16">
          <cell r="M16">
            <v>0</v>
          </cell>
          <cell r="N16">
            <v>0</v>
          </cell>
          <cell r="O16">
            <v>0</v>
          </cell>
          <cell r="P16">
            <v>0</v>
          </cell>
          <cell r="Q16">
            <v>0</v>
          </cell>
          <cell r="R16">
            <v>0</v>
          </cell>
        </row>
        <row r="17">
          <cell r="M17">
            <v>0</v>
          </cell>
          <cell r="N17">
            <v>0</v>
          </cell>
          <cell r="O17">
            <v>0</v>
          </cell>
          <cell r="P17">
            <v>0</v>
          </cell>
          <cell r="Q17">
            <v>0</v>
          </cell>
          <cell r="R17">
            <v>0</v>
          </cell>
        </row>
        <row r="18">
          <cell r="M18">
            <v>0</v>
          </cell>
          <cell r="N18">
            <v>0</v>
          </cell>
          <cell r="O18">
            <v>0</v>
          </cell>
          <cell r="P18">
            <v>0</v>
          </cell>
          <cell r="Q18">
            <v>0</v>
          </cell>
          <cell r="R18">
            <v>0</v>
          </cell>
        </row>
        <row r="19">
          <cell r="M19">
            <v>0</v>
          </cell>
          <cell r="N19">
            <v>0</v>
          </cell>
          <cell r="O19">
            <v>0</v>
          </cell>
          <cell r="P19">
            <v>0</v>
          </cell>
          <cell r="Q19">
            <v>0</v>
          </cell>
          <cell r="R19">
            <v>0</v>
          </cell>
        </row>
        <row r="20">
          <cell r="M20">
            <v>0</v>
          </cell>
          <cell r="N20">
            <v>0</v>
          </cell>
          <cell r="O20">
            <v>0</v>
          </cell>
          <cell r="P20">
            <v>0</v>
          </cell>
          <cell r="Q20">
            <v>0</v>
          </cell>
          <cell r="R20">
            <v>0</v>
          </cell>
        </row>
        <row r="21">
          <cell r="M21">
            <v>0</v>
          </cell>
          <cell r="N21">
            <v>0</v>
          </cell>
          <cell r="O21">
            <v>0</v>
          </cell>
          <cell r="P21">
            <v>0</v>
          </cell>
          <cell r="Q21">
            <v>0</v>
          </cell>
          <cell r="R21">
            <v>0</v>
          </cell>
        </row>
        <row r="25">
          <cell r="M25">
            <v>0</v>
          </cell>
          <cell r="N25">
            <v>0</v>
          </cell>
          <cell r="O25">
            <v>0</v>
          </cell>
          <cell r="P25">
            <v>0</v>
          </cell>
          <cell r="Q25">
            <v>0</v>
          </cell>
          <cell r="R25">
            <v>0</v>
          </cell>
        </row>
        <row r="26">
          <cell r="M26">
            <v>0</v>
          </cell>
          <cell r="N26">
            <v>0</v>
          </cell>
          <cell r="O26">
            <v>0</v>
          </cell>
          <cell r="P26">
            <v>0</v>
          </cell>
          <cell r="Q26">
            <v>0</v>
          </cell>
          <cell r="R26">
            <v>0</v>
          </cell>
        </row>
        <row r="48">
          <cell r="H48">
            <v>0</v>
          </cell>
          <cell r="O48">
            <v>0</v>
          </cell>
        </row>
        <row r="49">
          <cell r="J49">
            <v>0</v>
          </cell>
          <cell r="P49">
            <v>0</v>
          </cell>
        </row>
        <row r="50">
          <cell r="H50">
            <v>0</v>
          </cell>
          <cell r="J50">
            <v>0</v>
          </cell>
          <cell r="O50">
            <v>0</v>
          </cell>
          <cell r="P50">
            <v>0</v>
          </cell>
        </row>
        <row r="51">
          <cell r="H51">
            <v>0</v>
          </cell>
          <cell r="J51">
            <v>0</v>
          </cell>
          <cell r="O51">
            <v>0</v>
          </cell>
          <cell r="P51">
            <v>0</v>
          </cell>
        </row>
        <row r="52">
          <cell r="H52">
            <v>0</v>
          </cell>
          <cell r="J52">
            <v>0</v>
          </cell>
          <cell r="O52">
            <v>0</v>
          </cell>
          <cell r="P52">
            <v>0</v>
          </cell>
        </row>
        <row r="53">
          <cell r="J53">
            <v>0</v>
          </cell>
          <cell r="P53">
            <v>0</v>
          </cell>
        </row>
        <row r="54">
          <cell r="K54">
            <v>0</v>
          </cell>
          <cell r="Q54">
            <v>0</v>
          </cell>
        </row>
      </sheetData>
      <sheetData sheetId="18">
        <row r="2488">
          <cell r="R2488">
            <v>0</v>
          </cell>
        </row>
        <row r="2489">
          <cell r="C2489">
            <v>6</v>
          </cell>
          <cell r="E2489">
            <v>1</v>
          </cell>
        </row>
      </sheetData>
      <sheetData sheetId="19"/>
      <sheetData sheetId="20">
        <row r="1">
          <cell r="E1" t="str">
            <v>Min_Table</v>
          </cell>
          <cell r="F1" t="str">
            <v>Max_Table</v>
          </cell>
        </row>
        <row r="2">
          <cell r="E2" t="str">
            <v>MIN</v>
          </cell>
          <cell r="F2" t="str">
            <v>MAX</v>
          </cell>
        </row>
        <row r="3">
          <cell r="E3">
            <v>16000</v>
          </cell>
          <cell r="F3">
            <v>45000</v>
          </cell>
        </row>
        <row r="4">
          <cell r="E4">
            <v>10</v>
          </cell>
          <cell r="F4">
            <v>100</v>
          </cell>
        </row>
        <row r="5">
          <cell r="E5">
            <v>10</v>
          </cell>
          <cell r="F5">
            <v>100</v>
          </cell>
        </row>
        <row r="6">
          <cell r="E6">
            <v>10</v>
          </cell>
          <cell r="F6">
            <v>100</v>
          </cell>
        </row>
        <row r="7">
          <cell r="E7">
            <v>12000</v>
          </cell>
          <cell r="F7">
            <v>45000</v>
          </cell>
        </row>
        <row r="8">
          <cell r="E8">
            <v>14000</v>
          </cell>
          <cell r="F8">
            <v>50000</v>
          </cell>
        </row>
        <row r="9">
          <cell r="E9">
            <v>10</v>
          </cell>
          <cell r="F9">
            <v>100</v>
          </cell>
        </row>
        <row r="10">
          <cell r="E10">
            <v>29000</v>
          </cell>
          <cell r="F10">
            <v>125000</v>
          </cell>
        </row>
        <row r="11">
          <cell r="E11">
            <v>8000</v>
          </cell>
          <cell r="F11">
            <v>30000</v>
          </cell>
        </row>
        <row r="12">
          <cell r="E12">
            <v>8500</v>
          </cell>
          <cell r="F12">
            <v>30000</v>
          </cell>
        </row>
        <row r="13">
          <cell r="E13">
            <v>12000</v>
          </cell>
          <cell r="F13">
            <v>40000</v>
          </cell>
        </row>
        <row r="14">
          <cell r="E14">
            <v>9000</v>
          </cell>
          <cell r="F14">
            <v>45000</v>
          </cell>
        </row>
        <row r="15">
          <cell r="E15">
            <v>10000</v>
          </cell>
          <cell r="F15">
            <v>65000</v>
          </cell>
        </row>
        <row r="16">
          <cell r="E16">
            <v>10</v>
          </cell>
          <cell r="F16">
            <v>100</v>
          </cell>
        </row>
        <row r="17">
          <cell r="E17">
            <v>10</v>
          </cell>
          <cell r="F17">
            <v>100</v>
          </cell>
        </row>
        <row r="18">
          <cell r="E18">
            <v>10</v>
          </cell>
          <cell r="F18">
            <v>100</v>
          </cell>
        </row>
        <row r="19">
          <cell r="E19">
            <v>10</v>
          </cell>
          <cell r="F19">
            <v>100</v>
          </cell>
        </row>
        <row r="20">
          <cell r="E20">
            <v>7000</v>
          </cell>
          <cell r="F20">
            <v>300000</v>
          </cell>
        </row>
        <row r="21">
          <cell r="E21">
            <v>7000</v>
          </cell>
          <cell r="F21">
            <v>300000</v>
          </cell>
        </row>
        <row r="23">
          <cell r="E23">
            <v>10</v>
          </cell>
          <cell r="F23">
            <v>300000</v>
          </cell>
        </row>
        <row r="24">
          <cell r="E24">
            <v>10</v>
          </cell>
          <cell r="F24">
            <v>300000</v>
          </cell>
        </row>
        <row r="25">
          <cell r="E25">
            <v>10</v>
          </cell>
          <cell r="F25">
            <v>300000</v>
          </cell>
        </row>
        <row r="27">
          <cell r="E27">
            <v>10</v>
          </cell>
          <cell r="F27">
            <v>100</v>
          </cell>
        </row>
        <row r="28">
          <cell r="E28">
            <v>10</v>
          </cell>
          <cell r="F28">
            <v>100</v>
          </cell>
        </row>
        <row r="29">
          <cell r="E29">
            <v>11000</v>
          </cell>
          <cell r="F29">
            <v>75000</v>
          </cell>
        </row>
        <row r="30">
          <cell r="E30">
            <v>10</v>
          </cell>
          <cell r="F30">
            <v>100</v>
          </cell>
        </row>
        <row r="31">
          <cell r="E31">
            <v>16000</v>
          </cell>
          <cell r="F31">
            <v>65000</v>
          </cell>
        </row>
        <row r="32">
          <cell r="E32">
            <v>10000</v>
          </cell>
          <cell r="F32">
            <v>50000</v>
          </cell>
        </row>
        <row r="33">
          <cell r="E33">
            <v>12000</v>
          </cell>
          <cell r="F33">
            <v>75000</v>
          </cell>
        </row>
        <row r="34">
          <cell r="E34">
            <v>20000</v>
          </cell>
          <cell r="F34">
            <v>60000</v>
          </cell>
        </row>
        <row r="35">
          <cell r="E35">
            <v>19000</v>
          </cell>
          <cell r="F35">
            <v>75000</v>
          </cell>
        </row>
        <row r="36">
          <cell r="E36">
            <v>20000</v>
          </cell>
          <cell r="F36">
            <v>75000</v>
          </cell>
        </row>
        <row r="37">
          <cell r="E37">
            <v>10000</v>
          </cell>
          <cell r="F37">
            <v>55000</v>
          </cell>
        </row>
        <row r="38">
          <cell r="E38">
            <v>15000</v>
          </cell>
          <cell r="F38">
            <v>60000</v>
          </cell>
        </row>
        <row r="39">
          <cell r="E39">
            <v>12000</v>
          </cell>
          <cell r="F39">
            <v>45000</v>
          </cell>
        </row>
        <row r="40">
          <cell r="E40">
            <v>10000</v>
          </cell>
          <cell r="F40">
            <v>60000</v>
          </cell>
        </row>
        <row r="41">
          <cell r="E41">
            <v>9000</v>
          </cell>
          <cell r="F41">
            <v>300000</v>
          </cell>
        </row>
        <row r="42">
          <cell r="E42">
            <v>9000</v>
          </cell>
          <cell r="F42">
            <v>300000</v>
          </cell>
        </row>
        <row r="44">
          <cell r="E44">
            <v>10</v>
          </cell>
          <cell r="F44">
            <v>300000</v>
          </cell>
        </row>
        <row r="45">
          <cell r="E45">
            <v>10</v>
          </cell>
          <cell r="F45">
            <v>300000</v>
          </cell>
        </row>
        <row r="46">
          <cell r="E46">
            <v>10</v>
          </cell>
          <cell r="F46">
            <v>300000</v>
          </cell>
        </row>
        <row r="52">
          <cell r="E52" t="str">
            <v>MIN</v>
          </cell>
          <cell r="F52" t="str">
            <v>MAX</v>
          </cell>
        </row>
        <row r="53">
          <cell r="E53">
            <v>13000</v>
          </cell>
          <cell r="F53">
            <v>35000</v>
          </cell>
        </row>
        <row r="54">
          <cell r="E54">
            <v>10</v>
          </cell>
          <cell r="F54">
            <v>100</v>
          </cell>
        </row>
        <row r="55">
          <cell r="E55">
            <v>10</v>
          </cell>
          <cell r="F55">
            <v>100</v>
          </cell>
        </row>
        <row r="56">
          <cell r="E56">
            <v>10</v>
          </cell>
          <cell r="F56">
            <v>100</v>
          </cell>
        </row>
        <row r="57">
          <cell r="E57">
            <v>10</v>
          </cell>
          <cell r="F57">
            <v>100</v>
          </cell>
        </row>
        <row r="58">
          <cell r="E58">
            <v>10000</v>
          </cell>
          <cell r="F58">
            <v>45000</v>
          </cell>
        </row>
        <row r="59">
          <cell r="E59">
            <v>13000</v>
          </cell>
          <cell r="F59">
            <v>45000</v>
          </cell>
        </row>
        <row r="60">
          <cell r="E60">
            <v>16000</v>
          </cell>
          <cell r="F60">
            <v>45000</v>
          </cell>
        </row>
        <row r="61">
          <cell r="E61">
            <v>13000</v>
          </cell>
          <cell r="F61">
            <v>45000</v>
          </cell>
        </row>
        <row r="62">
          <cell r="E62">
            <v>11000</v>
          </cell>
          <cell r="F62">
            <v>45000</v>
          </cell>
        </row>
        <row r="63">
          <cell r="E63">
            <v>15000</v>
          </cell>
          <cell r="F63">
            <v>45000</v>
          </cell>
        </row>
        <row r="64">
          <cell r="E64">
            <v>10</v>
          </cell>
          <cell r="F64">
            <v>100</v>
          </cell>
        </row>
        <row r="65">
          <cell r="E65">
            <v>10</v>
          </cell>
          <cell r="F65">
            <v>100</v>
          </cell>
        </row>
        <row r="66">
          <cell r="E66">
            <v>10</v>
          </cell>
          <cell r="F66">
            <v>100</v>
          </cell>
        </row>
        <row r="67">
          <cell r="E67">
            <v>10</v>
          </cell>
          <cell r="F67">
            <v>100</v>
          </cell>
        </row>
        <row r="68">
          <cell r="E68">
            <v>10</v>
          </cell>
          <cell r="F68">
            <v>100</v>
          </cell>
        </row>
        <row r="69">
          <cell r="E69">
            <v>10</v>
          </cell>
          <cell r="F69">
            <v>100</v>
          </cell>
        </row>
        <row r="70">
          <cell r="E70">
            <v>10</v>
          </cell>
          <cell r="F70">
            <v>100</v>
          </cell>
        </row>
        <row r="71">
          <cell r="E71">
            <v>7000</v>
          </cell>
          <cell r="F71">
            <v>300000</v>
          </cell>
        </row>
        <row r="73">
          <cell r="E73">
            <v>10</v>
          </cell>
          <cell r="F73">
            <v>300000</v>
          </cell>
        </row>
        <row r="74">
          <cell r="E74">
            <v>10</v>
          </cell>
          <cell r="F74">
            <v>300000</v>
          </cell>
        </row>
        <row r="75">
          <cell r="E75">
            <v>10</v>
          </cell>
          <cell r="F75">
            <v>300000</v>
          </cell>
        </row>
        <row r="77">
          <cell r="E77">
            <v>10</v>
          </cell>
          <cell r="F77">
            <v>100</v>
          </cell>
        </row>
        <row r="78">
          <cell r="E78">
            <v>10</v>
          </cell>
          <cell r="F78">
            <v>100</v>
          </cell>
        </row>
        <row r="79">
          <cell r="E79">
            <v>18000</v>
          </cell>
          <cell r="F79">
            <v>50000</v>
          </cell>
        </row>
        <row r="80">
          <cell r="E80">
            <v>10</v>
          </cell>
          <cell r="F80">
            <v>100</v>
          </cell>
        </row>
        <row r="81">
          <cell r="E81">
            <v>10</v>
          </cell>
          <cell r="F81">
            <v>100</v>
          </cell>
        </row>
        <row r="82">
          <cell r="E82">
            <v>10</v>
          </cell>
          <cell r="F82">
            <v>100</v>
          </cell>
        </row>
        <row r="83">
          <cell r="E83">
            <v>10</v>
          </cell>
          <cell r="F83">
            <v>100</v>
          </cell>
        </row>
        <row r="84">
          <cell r="E84">
            <v>10</v>
          </cell>
          <cell r="F84">
            <v>100</v>
          </cell>
        </row>
        <row r="85">
          <cell r="E85">
            <v>10</v>
          </cell>
          <cell r="F85">
            <v>100</v>
          </cell>
        </row>
        <row r="86">
          <cell r="E86">
            <v>10</v>
          </cell>
          <cell r="F86">
            <v>100</v>
          </cell>
        </row>
        <row r="87">
          <cell r="E87">
            <v>10</v>
          </cell>
          <cell r="F87">
            <v>100</v>
          </cell>
        </row>
        <row r="88">
          <cell r="E88">
            <v>10</v>
          </cell>
          <cell r="F88">
            <v>100</v>
          </cell>
        </row>
        <row r="89">
          <cell r="E89">
            <v>10</v>
          </cell>
          <cell r="F89">
            <v>100</v>
          </cell>
        </row>
        <row r="90">
          <cell r="E90">
            <v>10</v>
          </cell>
          <cell r="F90">
            <v>100</v>
          </cell>
        </row>
        <row r="91">
          <cell r="E91">
            <v>10</v>
          </cell>
          <cell r="F91">
            <v>100</v>
          </cell>
        </row>
        <row r="92">
          <cell r="E92">
            <v>11000</v>
          </cell>
          <cell r="F92">
            <v>81000</v>
          </cell>
        </row>
        <row r="94">
          <cell r="E94">
            <v>10</v>
          </cell>
          <cell r="F94">
            <v>81000</v>
          </cell>
        </row>
        <row r="95">
          <cell r="E95">
            <v>10</v>
          </cell>
          <cell r="F95">
            <v>81000</v>
          </cell>
        </row>
        <row r="96">
          <cell r="E96">
            <v>10</v>
          </cell>
          <cell r="F96">
            <v>81000</v>
          </cell>
        </row>
        <row r="102">
          <cell r="E102" t="str">
            <v>MIN</v>
          </cell>
          <cell r="F102" t="str">
            <v>MAX</v>
          </cell>
        </row>
        <row r="103">
          <cell r="E103">
            <v>12000</v>
          </cell>
          <cell r="F103">
            <v>24000</v>
          </cell>
        </row>
        <row r="104">
          <cell r="E104">
            <v>15000</v>
          </cell>
          <cell r="F104">
            <v>31000</v>
          </cell>
        </row>
        <row r="105">
          <cell r="E105">
            <v>26000</v>
          </cell>
          <cell r="F105">
            <v>40000</v>
          </cell>
        </row>
        <row r="106">
          <cell r="E106">
            <v>10</v>
          </cell>
          <cell r="F106">
            <v>100</v>
          </cell>
        </row>
        <row r="107">
          <cell r="E107">
            <v>10</v>
          </cell>
          <cell r="F107">
            <v>100</v>
          </cell>
        </row>
        <row r="108">
          <cell r="E108">
            <v>10</v>
          </cell>
          <cell r="F108">
            <v>100</v>
          </cell>
        </row>
        <row r="109">
          <cell r="E109">
            <v>10</v>
          </cell>
          <cell r="F109">
            <v>100</v>
          </cell>
        </row>
        <row r="110">
          <cell r="E110">
            <v>10</v>
          </cell>
          <cell r="F110">
            <v>100</v>
          </cell>
        </row>
        <row r="111">
          <cell r="E111">
            <v>10</v>
          </cell>
          <cell r="F111">
            <v>100</v>
          </cell>
        </row>
        <row r="112">
          <cell r="E112">
            <v>10</v>
          </cell>
          <cell r="F112">
            <v>100</v>
          </cell>
        </row>
        <row r="113">
          <cell r="E113">
            <v>10</v>
          </cell>
          <cell r="F113">
            <v>100</v>
          </cell>
        </row>
        <row r="114">
          <cell r="E114">
            <v>10</v>
          </cell>
          <cell r="F114">
            <v>100</v>
          </cell>
        </row>
        <row r="115">
          <cell r="E115">
            <v>10</v>
          </cell>
          <cell r="F115">
            <v>100</v>
          </cell>
        </row>
        <row r="116">
          <cell r="E116">
            <v>10</v>
          </cell>
          <cell r="F116">
            <v>100</v>
          </cell>
        </row>
        <row r="117">
          <cell r="E117">
            <v>10</v>
          </cell>
          <cell r="F117">
            <v>100</v>
          </cell>
        </row>
        <row r="118">
          <cell r="E118">
            <v>10</v>
          </cell>
          <cell r="F118">
            <v>100</v>
          </cell>
        </row>
        <row r="119">
          <cell r="E119">
            <v>10</v>
          </cell>
          <cell r="F119">
            <v>100</v>
          </cell>
        </row>
        <row r="120">
          <cell r="E120">
            <v>10</v>
          </cell>
          <cell r="F120">
            <v>100</v>
          </cell>
        </row>
        <row r="121">
          <cell r="E121">
            <v>7000</v>
          </cell>
          <cell r="F121">
            <v>300000</v>
          </cell>
        </row>
        <row r="123">
          <cell r="E123">
            <v>10</v>
          </cell>
          <cell r="F123">
            <v>300000</v>
          </cell>
        </row>
        <row r="124">
          <cell r="E124">
            <v>10</v>
          </cell>
          <cell r="F124">
            <v>300000</v>
          </cell>
        </row>
        <row r="125">
          <cell r="E125">
            <v>10</v>
          </cell>
          <cell r="F125">
            <v>300000</v>
          </cell>
        </row>
        <row r="127">
          <cell r="E127">
            <v>18000</v>
          </cell>
          <cell r="F127">
            <v>35000</v>
          </cell>
        </row>
        <row r="128">
          <cell r="E128">
            <v>10</v>
          </cell>
          <cell r="F128">
            <v>100</v>
          </cell>
        </row>
        <row r="129">
          <cell r="E129">
            <v>10</v>
          </cell>
          <cell r="F129">
            <v>100</v>
          </cell>
        </row>
        <row r="130">
          <cell r="E130">
            <v>10</v>
          </cell>
          <cell r="F130">
            <v>100</v>
          </cell>
        </row>
        <row r="131">
          <cell r="E131">
            <v>18000</v>
          </cell>
          <cell r="F131">
            <v>40000</v>
          </cell>
        </row>
        <row r="132">
          <cell r="E132">
            <v>10</v>
          </cell>
          <cell r="F132">
            <v>100</v>
          </cell>
        </row>
        <row r="133">
          <cell r="E133">
            <v>10</v>
          </cell>
          <cell r="F133">
            <v>100</v>
          </cell>
        </row>
        <row r="134">
          <cell r="E134">
            <v>10</v>
          </cell>
          <cell r="F134">
            <v>100</v>
          </cell>
        </row>
        <row r="135">
          <cell r="E135">
            <v>10</v>
          </cell>
          <cell r="F135">
            <v>100</v>
          </cell>
        </row>
        <row r="136">
          <cell r="E136">
            <v>10</v>
          </cell>
          <cell r="F136">
            <v>100</v>
          </cell>
        </row>
        <row r="137">
          <cell r="E137">
            <v>10</v>
          </cell>
          <cell r="F137">
            <v>100</v>
          </cell>
        </row>
        <row r="138">
          <cell r="E138">
            <v>10</v>
          </cell>
          <cell r="F138">
            <v>100</v>
          </cell>
        </row>
        <row r="139">
          <cell r="E139">
            <v>10</v>
          </cell>
          <cell r="F139">
            <v>100</v>
          </cell>
        </row>
        <row r="140">
          <cell r="E140">
            <v>10</v>
          </cell>
          <cell r="F140">
            <v>100</v>
          </cell>
        </row>
        <row r="141">
          <cell r="E141">
            <v>10</v>
          </cell>
          <cell r="F141">
            <v>100</v>
          </cell>
        </row>
        <row r="142">
          <cell r="E142">
            <v>17000</v>
          </cell>
          <cell r="F142">
            <v>81000</v>
          </cell>
        </row>
        <row r="144">
          <cell r="E144">
            <v>10</v>
          </cell>
          <cell r="F144">
            <v>81000</v>
          </cell>
        </row>
        <row r="145">
          <cell r="E145">
            <v>10</v>
          </cell>
          <cell r="F145">
            <v>81000</v>
          </cell>
        </row>
        <row r="146">
          <cell r="E146">
            <v>10</v>
          </cell>
          <cell r="F146">
            <v>81000</v>
          </cell>
        </row>
        <row r="152">
          <cell r="E152" t="str">
            <v>MIN</v>
          </cell>
          <cell r="F152" t="str">
            <v>MAX</v>
          </cell>
        </row>
        <row r="153">
          <cell r="E153">
            <v>10</v>
          </cell>
          <cell r="F153">
            <v>100</v>
          </cell>
        </row>
        <row r="154">
          <cell r="E154">
            <v>10</v>
          </cell>
          <cell r="F154">
            <v>100</v>
          </cell>
        </row>
        <row r="155">
          <cell r="E155">
            <v>15000</v>
          </cell>
          <cell r="F155">
            <v>60000</v>
          </cell>
        </row>
        <row r="156">
          <cell r="E156">
            <v>10</v>
          </cell>
          <cell r="F156">
            <v>100</v>
          </cell>
        </row>
        <row r="157">
          <cell r="E157">
            <v>22000</v>
          </cell>
          <cell r="F157">
            <v>60000</v>
          </cell>
        </row>
        <row r="158">
          <cell r="E158">
            <v>10</v>
          </cell>
          <cell r="F158">
            <v>100</v>
          </cell>
        </row>
        <row r="159">
          <cell r="E159">
            <v>18000</v>
          </cell>
          <cell r="F159">
            <v>60000</v>
          </cell>
        </row>
        <row r="160">
          <cell r="E160">
            <v>10</v>
          </cell>
          <cell r="F160">
            <v>100</v>
          </cell>
        </row>
        <row r="161">
          <cell r="E161">
            <v>10</v>
          </cell>
          <cell r="F161">
            <v>100</v>
          </cell>
        </row>
        <row r="162">
          <cell r="E162">
            <v>10</v>
          </cell>
          <cell r="F162">
            <v>100</v>
          </cell>
        </row>
        <row r="163">
          <cell r="E163">
            <v>10</v>
          </cell>
          <cell r="F163">
            <v>100</v>
          </cell>
        </row>
        <row r="164">
          <cell r="E164">
            <v>10</v>
          </cell>
          <cell r="F164">
            <v>100</v>
          </cell>
        </row>
        <row r="165">
          <cell r="E165">
            <v>10</v>
          </cell>
          <cell r="F165">
            <v>100</v>
          </cell>
        </row>
        <row r="166">
          <cell r="E166">
            <v>10</v>
          </cell>
          <cell r="F166">
            <v>100</v>
          </cell>
        </row>
        <row r="167">
          <cell r="E167">
            <v>10</v>
          </cell>
          <cell r="F167">
            <v>100</v>
          </cell>
        </row>
        <row r="168">
          <cell r="E168">
            <v>10</v>
          </cell>
          <cell r="F168">
            <v>100</v>
          </cell>
        </row>
        <row r="169">
          <cell r="E169">
            <v>10</v>
          </cell>
          <cell r="F169">
            <v>100</v>
          </cell>
        </row>
        <row r="170">
          <cell r="E170">
            <v>10</v>
          </cell>
          <cell r="F170">
            <v>100</v>
          </cell>
        </row>
        <row r="171">
          <cell r="E171">
            <v>7000</v>
          </cell>
          <cell r="F171">
            <v>300000</v>
          </cell>
        </row>
        <row r="173">
          <cell r="E173">
            <v>10</v>
          </cell>
          <cell r="F173">
            <v>300000</v>
          </cell>
        </row>
        <row r="174">
          <cell r="E174">
            <v>10</v>
          </cell>
          <cell r="F174">
            <v>300000</v>
          </cell>
        </row>
        <row r="175">
          <cell r="E175">
            <v>10</v>
          </cell>
          <cell r="F175">
            <v>300000</v>
          </cell>
        </row>
        <row r="177">
          <cell r="E177">
            <v>10</v>
          </cell>
          <cell r="F177">
            <v>100</v>
          </cell>
        </row>
        <row r="178">
          <cell r="E178">
            <v>10</v>
          </cell>
          <cell r="F178">
            <v>100</v>
          </cell>
        </row>
        <row r="179">
          <cell r="E179">
            <v>20000</v>
          </cell>
          <cell r="F179">
            <v>60000</v>
          </cell>
        </row>
        <row r="180">
          <cell r="E180">
            <v>10</v>
          </cell>
          <cell r="F180">
            <v>100</v>
          </cell>
        </row>
        <row r="181">
          <cell r="E181">
            <v>10</v>
          </cell>
          <cell r="F181">
            <v>100</v>
          </cell>
        </row>
        <row r="182">
          <cell r="E182">
            <v>10</v>
          </cell>
          <cell r="F182">
            <v>100</v>
          </cell>
        </row>
        <row r="183">
          <cell r="E183">
            <v>10</v>
          </cell>
          <cell r="F183">
            <v>100</v>
          </cell>
        </row>
        <row r="184">
          <cell r="E184">
            <v>10</v>
          </cell>
          <cell r="F184">
            <v>100</v>
          </cell>
        </row>
        <row r="185">
          <cell r="E185">
            <v>10</v>
          </cell>
          <cell r="F185">
            <v>100</v>
          </cell>
        </row>
        <row r="186">
          <cell r="E186">
            <v>10</v>
          </cell>
          <cell r="F186">
            <v>100</v>
          </cell>
        </row>
        <row r="187">
          <cell r="E187">
            <v>10</v>
          </cell>
          <cell r="F187">
            <v>100</v>
          </cell>
        </row>
        <row r="188">
          <cell r="E188">
            <v>10</v>
          </cell>
          <cell r="F188">
            <v>100</v>
          </cell>
        </row>
        <row r="189">
          <cell r="E189">
            <v>10</v>
          </cell>
          <cell r="F189">
            <v>100</v>
          </cell>
        </row>
        <row r="190">
          <cell r="E190">
            <v>10</v>
          </cell>
          <cell r="F190">
            <v>100</v>
          </cell>
        </row>
        <row r="191">
          <cell r="E191">
            <v>10</v>
          </cell>
          <cell r="F191">
            <v>100</v>
          </cell>
        </row>
        <row r="192">
          <cell r="E192">
            <v>17000</v>
          </cell>
          <cell r="F192">
            <v>81000</v>
          </cell>
        </row>
        <row r="194">
          <cell r="E194">
            <v>10</v>
          </cell>
          <cell r="F194">
            <v>81000</v>
          </cell>
        </row>
        <row r="195">
          <cell r="E195">
            <v>10</v>
          </cell>
          <cell r="F195">
            <v>81000</v>
          </cell>
        </row>
        <row r="196">
          <cell r="E196">
            <v>10</v>
          </cell>
          <cell r="F196">
            <v>81000</v>
          </cell>
        </row>
        <row r="202">
          <cell r="E202" t="str">
            <v>MIN</v>
          </cell>
          <cell r="F202" t="str">
            <v>MAX</v>
          </cell>
        </row>
        <row r="203">
          <cell r="E203">
            <v>20000</v>
          </cell>
          <cell r="F203">
            <v>150000</v>
          </cell>
        </row>
        <row r="204">
          <cell r="E204">
            <v>20000</v>
          </cell>
          <cell r="F204">
            <v>125000</v>
          </cell>
        </row>
        <row r="205">
          <cell r="E205">
            <v>20000</v>
          </cell>
          <cell r="F205">
            <v>150000</v>
          </cell>
        </row>
        <row r="206">
          <cell r="E206">
            <v>20000</v>
          </cell>
          <cell r="F206">
            <v>300000</v>
          </cell>
        </row>
        <row r="207">
          <cell r="E207">
            <v>20000</v>
          </cell>
          <cell r="F207">
            <v>150000</v>
          </cell>
        </row>
        <row r="208">
          <cell r="E208">
            <v>20000</v>
          </cell>
          <cell r="F208">
            <v>125000</v>
          </cell>
        </row>
        <row r="209">
          <cell r="E209">
            <v>20000</v>
          </cell>
          <cell r="F209">
            <v>125000</v>
          </cell>
        </row>
        <row r="210">
          <cell r="E210">
            <v>20000</v>
          </cell>
          <cell r="F210">
            <v>150000</v>
          </cell>
        </row>
        <row r="211">
          <cell r="E211">
            <v>20000</v>
          </cell>
          <cell r="F211">
            <v>125000</v>
          </cell>
        </row>
        <row r="212">
          <cell r="E212">
            <v>20000</v>
          </cell>
          <cell r="F212">
            <v>150000</v>
          </cell>
        </row>
        <row r="213">
          <cell r="E213">
            <v>20000</v>
          </cell>
          <cell r="F213">
            <v>150000</v>
          </cell>
        </row>
        <row r="214">
          <cell r="E214">
            <v>20000</v>
          </cell>
          <cell r="F214">
            <v>125000</v>
          </cell>
        </row>
        <row r="215">
          <cell r="E215">
            <v>10</v>
          </cell>
          <cell r="F215">
            <v>100</v>
          </cell>
        </row>
        <row r="216">
          <cell r="E216">
            <v>10</v>
          </cell>
          <cell r="F216">
            <v>100</v>
          </cell>
        </row>
        <row r="217">
          <cell r="E217">
            <v>10</v>
          </cell>
          <cell r="F217">
            <v>100</v>
          </cell>
        </row>
        <row r="218">
          <cell r="E218">
            <v>10</v>
          </cell>
          <cell r="F218">
            <v>100</v>
          </cell>
        </row>
        <row r="219">
          <cell r="E219">
            <v>10</v>
          </cell>
          <cell r="F219">
            <v>100</v>
          </cell>
        </row>
        <row r="220">
          <cell r="E220">
            <v>10</v>
          </cell>
          <cell r="F220">
            <v>100</v>
          </cell>
        </row>
        <row r="221">
          <cell r="E221">
            <v>7000</v>
          </cell>
          <cell r="F221">
            <v>300000</v>
          </cell>
        </row>
        <row r="223">
          <cell r="E223">
            <v>10</v>
          </cell>
          <cell r="F223">
            <v>300000</v>
          </cell>
        </row>
        <row r="224">
          <cell r="E224">
            <v>10</v>
          </cell>
          <cell r="F224">
            <v>300000</v>
          </cell>
        </row>
        <row r="225">
          <cell r="E225">
            <v>10</v>
          </cell>
          <cell r="F225">
            <v>300000</v>
          </cell>
        </row>
        <row r="227">
          <cell r="E227">
            <v>10</v>
          </cell>
          <cell r="F227">
            <v>100</v>
          </cell>
        </row>
        <row r="228">
          <cell r="E228">
            <v>10</v>
          </cell>
          <cell r="F228">
            <v>100</v>
          </cell>
        </row>
        <row r="229">
          <cell r="E229">
            <v>10</v>
          </cell>
          <cell r="F229">
            <v>100</v>
          </cell>
        </row>
        <row r="230">
          <cell r="E230">
            <v>10</v>
          </cell>
          <cell r="F230">
            <v>100</v>
          </cell>
        </row>
        <row r="231">
          <cell r="E231">
            <v>10</v>
          </cell>
          <cell r="F231">
            <v>100</v>
          </cell>
        </row>
        <row r="232">
          <cell r="E232">
            <v>10</v>
          </cell>
          <cell r="F232">
            <v>100</v>
          </cell>
        </row>
        <row r="233">
          <cell r="E233">
            <v>20000</v>
          </cell>
          <cell r="F233">
            <v>150000</v>
          </cell>
        </row>
        <row r="234">
          <cell r="E234">
            <v>20000</v>
          </cell>
          <cell r="F234">
            <v>150000</v>
          </cell>
        </row>
        <row r="235">
          <cell r="E235">
            <v>19000</v>
          </cell>
          <cell r="F235">
            <v>150000</v>
          </cell>
        </row>
        <row r="236">
          <cell r="E236">
            <v>20000</v>
          </cell>
          <cell r="F236">
            <v>150000</v>
          </cell>
        </row>
        <row r="237">
          <cell r="E237">
            <v>20000</v>
          </cell>
          <cell r="F237">
            <v>150000</v>
          </cell>
        </row>
        <row r="238">
          <cell r="E238">
            <v>10</v>
          </cell>
          <cell r="F238">
            <v>100</v>
          </cell>
        </row>
        <row r="239">
          <cell r="E239">
            <v>10</v>
          </cell>
          <cell r="F239">
            <v>100</v>
          </cell>
        </row>
        <row r="240">
          <cell r="E240">
            <v>10</v>
          </cell>
          <cell r="F240">
            <v>100</v>
          </cell>
        </row>
        <row r="241">
          <cell r="E241">
            <v>10</v>
          </cell>
          <cell r="F241">
            <v>100</v>
          </cell>
        </row>
        <row r="242">
          <cell r="E242">
            <v>17000</v>
          </cell>
          <cell r="F242">
            <v>300000</v>
          </cell>
        </row>
        <row r="244">
          <cell r="E244">
            <v>10</v>
          </cell>
          <cell r="F244">
            <v>300000</v>
          </cell>
        </row>
        <row r="245">
          <cell r="E245">
            <v>10</v>
          </cell>
          <cell r="F245">
            <v>300000</v>
          </cell>
        </row>
        <row r="246">
          <cell r="E246">
            <v>10</v>
          </cell>
          <cell r="F246">
            <v>300000</v>
          </cell>
        </row>
        <row r="252">
          <cell r="E252" t="str">
            <v>MIN</v>
          </cell>
          <cell r="F252" t="str">
            <v>MAX</v>
          </cell>
        </row>
        <row r="253">
          <cell r="E253">
            <v>10</v>
          </cell>
          <cell r="F253">
            <v>100</v>
          </cell>
        </row>
        <row r="254">
          <cell r="E254">
            <v>10</v>
          </cell>
          <cell r="F254">
            <v>100</v>
          </cell>
        </row>
        <row r="255">
          <cell r="E255">
            <v>10</v>
          </cell>
          <cell r="F255">
            <v>100</v>
          </cell>
        </row>
        <row r="256">
          <cell r="E256">
            <v>10</v>
          </cell>
          <cell r="F256">
            <v>100</v>
          </cell>
        </row>
        <row r="257">
          <cell r="E257">
            <v>10</v>
          </cell>
          <cell r="F257">
            <v>100</v>
          </cell>
        </row>
        <row r="258">
          <cell r="E258">
            <v>10</v>
          </cell>
          <cell r="F258">
            <v>100</v>
          </cell>
        </row>
        <row r="259">
          <cell r="E259">
            <v>10</v>
          </cell>
          <cell r="F259">
            <v>100</v>
          </cell>
        </row>
        <row r="260">
          <cell r="E260">
            <v>10</v>
          </cell>
          <cell r="F260">
            <v>100</v>
          </cell>
        </row>
        <row r="261">
          <cell r="E261">
            <v>10</v>
          </cell>
          <cell r="F261">
            <v>100</v>
          </cell>
        </row>
        <row r="262">
          <cell r="E262">
            <v>10</v>
          </cell>
          <cell r="F262">
            <v>100</v>
          </cell>
        </row>
        <row r="263">
          <cell r="E263">
            <v>10</v>
          </cell>
          <cell r="F263">
            <v>100</v>
          </cell>
        </row>
        <row r="264">
          <cell r="E264">
            <v>10</v>
          </cell>
          <cell r="F264">
            <v>100</v>
          </cell>
        </row>
        <row r="265">
          <cell r="E265">
            <v>10</v>
          </cell>
          <cell r="F265">
            <v>100</v>
          </cell>
        </row>
        <row r="266">
          <cell r="E266">
            <v>10</v>
          </cell>
          <cell r="F266">
            <v>100</v>
          </cell>
        </row>
        <row r="267">
          <cell r="E267">
            <v>10</v>
          </cell>
          <cell r="F267">
            <v>100</v>
          </cell>
        </row>
        <row r="268">
          <cell r="E268">
            <v>10</v>
          </cell>
          <cell r="F268">
            <v>100</v>
          </cell>
        </row>
        <row r="269">
          <cell r="E269">
            <v>10</v>
          </cell>
          <cell r="F269">
            <v>100</v>
          </cell>
        </row>
        <row r="270">
          <cell r="E270">
            <v>10</v>
          </cell>
          <cell r="F270">
            <v>100</v>
          </cell>
        </row>
        <row r="271">
          <cell r="E271">
            <v>10</v>
          </cell>
          <cell r="F271">
            <v>100</v>
          </cell>
        </row>
        <row r="273">
          <cell r="E273">
            <v>10</v>
          </cell>
          <cell r="F273">
            <v>100</v>
          </cell>
        </row>
        <row r="274">
          <cell r="E274">
            <v>10</v>
          </cell>
          <cell r="F274">
            <v>100</v>
          </cell>
        </row>
        <row r="275">
          <cell r="E275">
            <v>10</v>
          </cell>
          <cell r="F275">
            <v>100</v>
          </cell>
        </row>
        <row r="277">
          <cell r="E277">
            <v>20000</v>
          </cell>
          <cell r="F277">
            <v>60000</v>
          </cell>
        </row>
        <row r="278">
          <cell r="E278">
            <v>20000</v>
          </cell>
          <cell r="F278">
            <v>60000</v>
          </cell>
        </row>
        <row r="279">
          <cell r="E279">
            <v>11000</v>
          </cell>
          <cell r="F279">
            <v>50000</v>
          </cell>
        </row>
        <row r="280">
          <cell r="E280">
            <v>10</v>
          </cell>
          <cell r="F280">
            <v>100</v>
          </cell>
        </row>
        <row r="281">
          <cell r="E281">
            <v>10</v>
          </cell>
          <cell r="F281">
            <v>100</v>
          </cell>
        </row>
        <row r="282">
          <cell r="E282">
            <v>10000</v>
          </cell>
          <cell r="F282">
            <v>50000</v>
          </cell>
        </row>
        <row r="283">
          <cell r="E283">
            <v>12000</v>
          </cell>
          <cell r="F283">
            <v>75000</v>
          </cell>
        </row>
        <row r="284">
          <cell r="E284">
            <v>10</v>
          </cell>
          <cell r="F284">
            <v>100</v>
          </cell>
        </row>
        <row r="285">
          <cell r="E285">
            <v>19000</v>
          </cell>
          <cell r="F285">
            <v>75000</v>
          </cell>
        </row>
        <row r="286">
          <cell r="E286">
            <v>20000</v>
          </cell>
          <cell r="F286">
            <v>75000</v>
          </cell>
        </row>
        <row r="287">
          <cell r="E287">
            <v>10</v>
          </cell>
          <cell r="F287">
            <v>100</v>
          </cell>
        </row>
        <row r="288">
          <cell r="E288">
            <v>10</v>
          </cell>
          <cell r="F288">
            <v>100</v>
          </cell>
        </row>
        <row r="289">
          <cell r="E289">
            <v>10</v>
          </cell>
          <cell r="F289">
            <v>100</v>
          </cell>
        </row>
        <row r="290">
          <cell r="E290">
            <v>10</v>
          </cell>
          <cell r="F290">
            <v>100</v>
          </cell>
        </row>
        <row r="291">
          <cell r="E291">
            <v>20000</v>
          </cell>
          <cell r="F291">
            <v>75000</v>
          </cell>
        </row>
        <row r="292">
          <cell r="E292">
            <v>10</v>
          </cell>
          <cell r="F292">
            <v>999999</v>
          </cell>
        </row>
        <row r="294">
          <cell r="E294">
            <v>10</v>
          </cell>
          <cell r="F294">
            <v>999999</v>
          </cell>
        </row>
        <row r="295">
          <cell r="E295">
            <v>10</v>
          </cell>
          <cell r="F295">
            <v>999999</v>
          </cell>
        </row>
        <row r="296">
          <cell r="E296">
            <v>10</v>
          </cell>
          <cell r="F296">
            <v>999999</v>
          </cell>
        </row>
        <row r="302">
          <cell r="E302" t="str">
            <v>MIN</v>
          </cell>
          <cell r="F302" t="str">
            <v>MAX</v>
          </cell>
        </row>
        <row r="303">
          <cell r="E303">
            <v>10</v>
          </cell>
          <cell r="F303">
            <v>100</v>
          </cell>
        </row>
        <row r="304">
          <cell r="E304">
            <v>10</v>
          </cell>
          <cell r="F304">
            <v>100</v>
          </cell>
        </row>
        <row r="305">
          <cell r="E305">
            <v>10</v>
          </cell>
          <cell r="F305">
            <v>100</v>
          </cell>
        </row>
        <row r="306">
          <cell r="E306">
            <v>10</v>
          </cell>
          <cell r="F306">
            <v>100</v>
          </cell>
        </row>
        <row r="307">
          <cell r="E307">
            <v>10</v>
          </cell>
          <cell r="F307">
            <v>100</v>
          </cell>
        </row>
        <row r="308">
          <cell r="E308">
            <v>10</v>
          </cell>
          <cell r="F308">
            <v>100</v>
          </cell>
        </row>
        <row r="309">
          <cell r="E309">
            <v>10</v>
          </cell>
          <cell r="F309">
            <v>100</v>
          </cell>
        </row>
        <row r="310">
          <cell r="E310">
            <v>10</v>
          </cell>
          <cell r="F310">
            <v>100</v>
          </cell>
        </row>
        <row r="311">
          <cell r="E311">
            <v>10</v>
          </cell>
          <cell r="F311">
            <v>100</v>
          </cell>
        </row>
        <row r="312">
          <cell r="E312">
            <v>10</v>
          </cell>
          <cell r="F312">
            <v>100</v>
          </cell>
        </row>
        <row r="313">
          <cell r="E313">
            <v>10</v>
          </cell>
          <cell r="F313">
            <v>100</v>
          </cell>
        </row>
        <row r="314">
          <cell r="E314">
            <v>10</v>
          </cell>
          <cell r="F314">
            <v>100</v>
          </cell>
        </row>
        <row r="315">
          <cell r="E315">
            <v>10</v>
          </cell>
          <cell r="F315">
            <v>100</v>
          </cell>
        </row>
        <row r="316">
          <cell r="E316">
            <v>10</v>
          </cell>
          <cell r="F316">
            <v>100</v>
          </cell>
        </row>
        <row r="317">
          <cell r="E317">
            <v>10</v>
          </cell>
          <cell r="F317">
            <v>100</v>
          </cell>
        </row>
        <row r="318">
          <cell r="E318">
            <v>10</v>
          </cell>
          <cell r="F318">
            <v>100</v>
          </cell>
        </row>
        <row r="319">
          <cell r="E319">
            <v>10</v>
          </cell>
          <cell r="F319">
            <v>100</v>
          </cell>
        </row>
        <row r="320">
          <cell r="E320">
            <v>10</v>
          </cell>
          <cell r="F320">
            <v>100</v>
          </cell>
        </row>
        <row r="321">
          <cell r="E321">
            <v>10</v>
          </cell>
          <cell r="F321">
            <v>100</v>
          </cell>
        </row>
        <row r="323">
          <cell r="E323">
            <v>10</v>
          </cell>
          <cell r="F323">
            <v>100</v>
          </cell>
        </row>
        <row r="324">
          <cell r="E324">
            <v>10</v>
          </cell>
          <cell r="F324">
            <v>100</v>
          </cell>
        </row>
        <row r="325">
          <cell r="E325">
            <v>10</v>
          </cell>
          <cell r="F325">
            <v>100</v>
          </cell>
        </row>
        <row r="327">
          <cell r="E327">
            <v>17000</v>
          </cell>
          <cell r="F327">
            <v>200000</v>
          </cell>
        </row>
        <row r="328">
          <cell r="E328">
            <v>17000</v>
          </cell>
          <cell r="F328">
            <v>200000</v>
          </cell>
        </row>
        <row r="329">
          <cell r="E329">
            <v>17000</v>
          </cell>
          <cell r="F329">
            <v>200000</v>
          </cell>
        </row>
        <row r="330">
          <cell r="E330">
            <v>17000</v>
          </cell>
          <cell r="F330">
            <v>200000</v>
          </cell>
        </row>
        <row r="331">
          <cell r="E331">
            <v>17000</v>
          </cell>
          <cell r="F331">
            <v>200000</v>
          </cell>
        </row>
        <row r="332">
          <cell r="E332">
            <v>17000</v>
          </cell>
          <cell r="F332">
            <v>200000</v>
          </cell>
        </row>
        <row r="333">
          <cell r="E333">
            <v>17000</v>
          </cell>
          <cell r="F333">
            <v>200000</v>
          </cell>
        </row>
        <row r="334">
          <cell r="E334">
            <v>17000</v>
          </cell>
          <cell r="F334">
            <v>200000</v>
          </cell>
        </row>
        <row r="335">
          <cell r="E335">
            <v>17000</v>
          </cell>
          <cell r="F335">
            <v>200000</v>
          </cell>
        </row>
        <row r="336">
          <cell r="E336">
            <v>10</v>
          </cell>
          <cell r="F336">
            <v>100</v>
          </cell>
        </row>
        <row r="337">
          <cell r="E337">
            <v>10</v>
          </cell>
          <cell r="F337">
            <v>100</v>
          </cell>
        </row>
        <row r="338">
          <cell r="E338">
            <v>10</v>
          </cell>
          <cell r="F338">
            <v>100</v>
          </cell>
        </row>
        <row r="339">
          <cell r="E339">
            <v>10</v>
          </cell>
          <cell r="F339">
            <v>100</v>
          </cell>
        </row>
        <row r="340">
          <cell r="E340">
            <v>10</v>
          </cell>
          <cell r="F340">
            <v>100</v>
          </cell>
        </row>
        <row r="341">
          <cell r="E341">
            <v>10</v>
          </cell>
          <cell r="F341">
            <v>100</v>
          </cell>
        </row>
        <row r="342">
          <cell r="E342">
            <v>17000</v>
          </cell>
          <cell r="F342">
            <v>200000</v>
          </cell>
        </row>
        <row r="344">
          <cell r="E344">
            <v>10</v>
          </cell>
          <cell r="F344">
            <v>200000</v>
          </cell>
        </row>
        <row r="345">
          <cell r="E345">
            <v>10</v>
          </cell>
          <cell r="F345">
            <v>200000</v>
          </cell>
        </row>
        <row r="346">
          <cell r="E346">
            <v>10</v>
          </cell>
          <cell r="F346">
            <v>200000</v>
          </cell>
        </row>
        <row r="352">
          <cell r="E352" t="str">
            <v>MIN</v>
          </cell>
          <cell r="F352" t="str">
            <v>MAX</v>
          </cell>
        </row>
        <row r="353">
          <cell r="E353">
            <v>10</v>
          </cell>
          <cell r="F353">
            <v>100</v>
          </cell>
        </row>
        <row r="354">
          <cell r="E354">
            <v>10</v>
          </cell>
          <cell r="F354">
            <v>100</v>
          </cell>
        </row>
        <row r="355">
          <cell r="E355">
            <v>10</v>
          </cell>
          <cell r="F355">
            <v>100</v>
          </cell>
        </row>
        <row r="356">
          <cell r="E356">
            <v>10</v>
          </cell>
          <cell r="F356">
            <v>100</v>
          </cell>
        </row>
        <row r="357">
          <cell r="E357">
            <v>10</v>
          </cell>
          <cell r="F357">
            <v>100</v>
          </cell>
        </row>
        <row r="358">
          <cell r="E358">
            <v>10</v>
          </cell>
          <cell r="F358">
            <v>100</v>
          </cell>
        </row>
        <row r="359">
          <cell r="E359">
            <v>10</v>
          </cell>
          <cell r="F359">
            <v>100</v>
          </cell>
        </row>
        <row r="360">
          <cell r="E360">
            <v>10</v>
          </cell>
          <cell r="F360">
            <v>100</v>
          </cell>
        </row>
        <row r="361">
          <cell r="E361">
            <v>10</v>
          </cell>
          <cell r="F361">
            <v>100</v>
          </cell>
        </row>
        <row r="362">
          <cell r="E362">
            <v>10</v>
          </cell>
          <cell r="F362">
            <v>100</v>
          </cell>
        </row>
        <row r="363">
          <cell r="E363">
            <v>10</v>
          </cell>
          <cell r="F363">
            <v>100</v>
          </cell>
        </row>
        <row r="364">
          <cell r="E364">
            <v>10000</v>
          </cell>
          <cell r="F364">
            <v>40000</v>
          </cell>
        </row>
        <row r="365">
          <cell r="E365">
            <v>17500</v>
          </cell>
          <cell r="F365">
            <v>40000</v>
          </cell>
        </row>
        <row r="366">
          <cell r="E366">
            <v>10000</v>
          </cell>
          <cell r="F366">
            <v>45000</v>
          </cell>
        </row>
        <row r="367">
          <cell r="E367">
            <v>10</v>
          </cell>
          <cell r="F367">
            <v>100</v>
          </cell>
        </row>
        <row r="368">
          <cell r="E368">
            <v>10</v>
          </cell>
          <cell r="F368">
            <v>100</v>
          </cell>
        </row>
        <row r="369">
          <cell r="E369">
            <v>10</v>
          </cell>
          <cell r="F369">
            <v>100</v>
          </cell>
        </row>
        <row r="370">
          <cell r="E370">
            <v>10</v>
          </cell>
          <cell r="F370">
            <v>100</v>
          </cell>
        </row>
        <row r="371">
          <cell r="E371">
            <v>7000</v>
          </cell>
          <cell r="F371">
            <v>50000</v>
          </cell>
        </row>
        <row r="373">
          <cell r="E373">
            <v>10</v>
          </cell>
          <cell r="F373">
            <v>50000</v>
          </cell>
        </row>
        <row r="374">
          <cell r="E374">
            <v>10</v>
          </cell>
          <cell r="F374">
            <v>50000</v>
          </cell>
        </row>
        <row r="375">
          <cell r="E375">
            <v>10</v>
          </cell>
          <cell r="F375">
            <v>50000</v>
          </cell>
        </row>
        <row r="377">
          <cell r="E377">
            <v>10</v>
          </cell>
          <cell r="F377">
            <v>100</v>
          </cell>
        </row>
        <row r="378">
          <cell r="E378">
            <v>15000</v>
          </cell>
          <cell r="F378">
            <v>40000</v>
          </cell>
        </row>
        <row r="379">
          <cell r="E379">
            <v>20000</v>
          </cell>
          <cell r="F379">
            <v>45000</v>
          </cell>
        </row>
        <row r="380">
          <cell r="E380">
            <v>20000</v>
          </cell>
          <cell r="F380">
            <v>55000</v>
          </cell>
        </row>
        <row r="381">
          <cell r="E381">
            <v>10</v>
          </cell>
          <cell r="F381">
            <v>100</v>
          </cell>
        </row>
        <row r="382">
          <cell r="E382">
            <v>10</v>
          </cell>
          <cell r="F382">
            <v>100</v>
          </cell>
        </row>
        <row r="383">
          <cell r="E383">
            <v>10</v>
          </cell>
          <cell r="F383">
            <v>100</v>
          </cell>
        </row>
        <row r="384">
          <cell r="E384">
            <v>10</v>
          </cell>
          <cell r="F384">
            <v>100</v>
          </cell>
        </row>
        <row r="385">
          <cell r="E385">
            <v>10</v>
          </cell>
          <cell r="F385">
            <v>100</v>
          </cell>
        </row>
        <row r="386">
          <cell r="E386">
            <v>10</v>
          </cell>
          <cell r="F386">
            <v>100</v>
          </cell>
        </row>
        <row r="387">
          <cell r="E387">
            <v>10</v>
          </cell>
          <cell r="F387">
            <v>100</v>
          </cell>
        </row>
        <row r="388">
          <cell r="E388">
            <v>10</v>
          </cell>
          <cell r="F388">
            <v>100</v>
          </cell>
        </row>
        <row r="389">
          <cell r="E389">
            <v>10</v>
          </cell>
          <cell r="F389">
            <v>100</v>
          </cell>
        </row>
        <row r="390">
          <cell r="E390">
            <v>10</v>
          </cell>
          <cell r="F390">
            <v>100</v>
          </cell>
        </row>
        <row r="391">
          <cell r="E391">
            <v>10</v>
          </cell>
          <cell r="F391">
            <v>100</v>
          </cell>
        </row>
        <row r="392">
          <cell r="E392">
            <v>17000</v>
          </cell>
          <cell r="F392">
            <v>81000</v>
          </cell>
        </row>
        <row r="394">
          <cell r="E394">
            <v>10</v>
          </cell>
          <cell r="F394">
            <v>81000</v>
          </cell>
        </row>
        <row r="395">
          <cell r="E395">
            <v>10</v>
          </cell>
          <cell r="F395">
            <v>81000</v>
          </cell>
        </row>
        <row r="396">
          <cell r="E396">
            <v>10</v>
          </cell>
          <cell r="F396">
            <v>81000</v>
          </cell>
        </row>
        <row r="402">
          <cell r="E402" t="str">
            <v>MIN</v>
          </cell>
          <cell r="F402" t="str">
            <v>MAX</v>
          </cell>
        </row>
        <row r="403">
          <cell r="E403">
            <v>18920</v>
          </cell>
          <cell r="F403">
            <v>40000</v>
          </cell>
        </row>
        <row r="404">
          <cell r="E404">
            <v>24981</v>
          </cell>
          <cell r="F404">
            <v>45000</v>
          </cell>
        </row>
        <row r="405">
          <cell r="E405">
            <v>20000</v>
          </cell>
          <cell r="F405">
            <v>55000</v>
          </cell>
        </row>
        <row r="406">
          <cell r="E406">
            <v>21387</v>
          </cell>
          <cell r="F406">
            <v>45000</v>
          </cell>
        </row>
        <row r="407">
          <cell r="E407">
            <v>22290</v>
          </cell>
          <cell r="F407">
            <v>45000</v>
          </cell>
        </row>
        <row r="408">
          <cell r="E408">
            <v>26805</v>
          </cell>
          <cell r="F408">
            <v>50000</v>
          </cell>
        </row>
        <row r="409">
          <cell r="E409">
            <v>27708</v>
          </cell>
          <cell r="F409">
            <v>50000</v>
          </cell>
        </row>
        <row r="410">
          <cell r="E410">
            <v>30959</v>
          </cell>
          <cell r="F410">
            <v>60000</v>
          </cell>
        </row>
        <row r="411">
          <cell r="E411">
            <v>35835</v>
          </cell>
          <cell r="F411">
            <v>60000</v>
          </cell>
        </row>
        <row r="412">
          <cell r="E412">
            <v>20000</v>
          </cell>
          <cell r="F412">
            <v>65000</v>
          </cell>
        </row>
        <row r="413">
          <cell r="E413">
            <v>20000</v>
          </cell>
          <cell r="F413">
            <v>60000</v>
          </cell>
        </row>
        <row r="414">
          <cell r="E414">
            <v>10</v>
          </cell>
          <cell r="F414">
            <v>100</v>
          </cell>
        </row>
        <row r="415">
          <cell r="E415">
            <v>20000</v>
          </cell>
          <cell r="F415">
            <v>55000</v>
          </cell>
        </row>
        <row r="416">
          <cell r="E416">
            <v>20000</v>
          </cell>
          <cell r="F416">
            <v>55000</v>
          </cell>
        </row>
        <row r="417">
          <cell r="E417">
            <v>20000</v>
          </cell>
          <cell r="F417">
            <v>55000</v>
          </cell>
        </row>
        <row r="418">
          <cell r="E418">
            <v>20000</v>
          </cell>
          <cell r="F418">
            <v>60000</v>
          </cell>
        </row>
        <row r="419">
          <cell r="E419">
            <v>20000</v>
          </cell>
          <cell r="F419">
            <v>60000</v>
          </cell>
        </row>
        <row r="420">
          <cell r="E420">
            <v>20000</v>
          </cell>
          <cell r="F420">
            <v>65000</v>
          </cell>
        </row>
        <row r="421">
          <cell r="E421">
            <v>10</v>
          </cell>
          <cell r="F421">
            <v>65000</v>
          </cell>
        </row>
        <row r="423">
          <cell r="E423">
            <v>18920</v>
          </cell>
          <cell r="F423">
            <v>65000</v>
          </cell>
        </row>
        <row r="424">
          <cell r="E424">
            <v>18920</v>
          </cell>
          <cell r="F424">
            <v>65000</v>
          </cell>
        </row>
        <row r="425">
          <cell r="E425">
            <v>18920</v>
          </cell>
          <cell r="F425">
            <v>65000</v>
          </cell>
        </row>
        <row r="427">
          <cell r="E427">
            <v>31897</v>
          </cell>
          <cell r="F427">
            <v>60000</v>
          </cell>
        </row>
        <row r="428">
          <cell r="E428">
            <v>33657</v>
          </cell>
          <cell r="F428">
            <v>60000</v>
          </cell>
        </row>
        <row r="429">
          <cell r="E429">
            <v>30000</v>
          </cell>
          <cell r="F429">
            <v>60000</v>
          </cell>
        </row>
        <row r="430">
          <cell r="E430">
            <v>30000</v>
          </cell>
          <cell r="F430">
            <v>60000</v>
          </cell>
        </row>
        <row r="431">
          <cell r="E431">
            <v>30000</v>
          </cell>
          <cell r="F431">
            <v>60000</v>
          </cell>
        </row>
        <row r="432">
          <cell r="E432">
            <v>10</v>
          </cell>
          <cell r="F432">
            <v>100</v>
          </cell>
        </row>
        <row r="433">
          <cell r="E433">
            <v>10</v>
          </cell>
          <cell r="F433">
            <v>100</v>
          </cell>
        </row>
        <row r="434">
          <cell r="E434">
            <v>10</v>
          </cell>
          <cell r="F434">
            <v>100</v>
          </cell>
        </row>
        <row r="435">
          <cell r="E435">
            <v>10</v>
          </cell>
          <cell r="F435">
            <v>100</v>
          </cell>
        </row>
        <row r="436">
          <cell r="E436">
            <v>10</v>
          </cell>
          <cell r="F436">
            <v>100</v>
          </cell>
        </row>
        <row r="437">
          <cell r="E437">
            <v>10</v>
          </cell>
          <cell r="F437">
            <v>100</v>
          </cell>
        </row>
        <row r="438">
          <cell r="E438">
            <v>10</v>
          </cell>
          <cell r="F438">
            <v>100</v>
          </cell>
        </row>
        <row r="439">
          <cell r="E439">
            <v>10</v>
          </cell>
          <cell r="F439">
            <v>100</v>
          </cell>
        </row>
        <row r="440">
          <cell r="E440">
            <v>10</v>
          </cell>
          <cell r="F440">
            <v>100</v>
          </cell>
        </row>
        <row r="441">
          <cell r="E441">
            <v>10</v>
          </cell>
          <cell r="F441">
            <v>100</v>
          </cell>
        </row>
        <row r="442">
          <cell r="E442">
            <v>18000</v>
          </cell>
          <cell r="F442">
            <v>65000</v>
          </cell>
        </row>
        <row r="444">
          <cell r="E444">
            <v>10</v>
          </cell>
          <cell r="F444">
            <v>65000</v>
          </cell>
        </row>
        <row r="445">
          <cell r="E445">
            <v>10</v>
          </cell>
          <cell r="F445">
            <v>65000</v>
          </cell>
        </row>
        <row r="446">
          <cell r="E446">
            <v>10</v>
          </cell>
          <cell r="F446">
            <v>65000</v>
          </cell>
        </row>
        <row r="452">
          <cell r="E452" t="str">
            <v>MIN</v>
          </cell>
          <cell r="F452" t="str">
            <v>MAX</v>
          </cell>
        </row>
        <row r="453">
          <cell r="E453">
            <v>10</v>
          </cell>
          <cell r="F453">
            <v>999999</v>
          </cell>
        </row>
        <row r="454">
          <cell r="E454">
            <v>10</v>
          </cell>
          <cell r="F454">
            <v>999999</v>
          </cell>
        </row>
        <row r="455">
          <cell r="E455">
            <v>10</v>
          </cell>
          <cell r="F455">
            <v>999999</v>
          </cell>
        </row>
        <row r="456">
          <cell r="E456">
            <v>10</v>
          </cell>
          <cell r="F456">
            <v>999999</v>
          </cell>
        </row>
        <row r="457">
          <cell r="E457">
            <v>10</v>
          </cell>
          <cell r="F457">
            <v>999999</v>
          </cell>
        </row>
        <row r="458">
          <cell r="E458">
            <v>10</v>
          </cell>
          <cell r="F458">
            <v>999999</v>
          </cell>
        </row>
        <row r="459">
          <cell r="E459">
            <v>10</v>
          </cell>
          <cell r="F459">
            <v>999999</v>
          </cell>
        </row>
        <row r="460">
          <cell r="E460">
            <v>10</v>
          </cell>
          <cell r="F460">
            <v>999999</v>
          </cell>
        </row>
        <row r="461">
          <cell r="E461">
            <v>10</v>
          </cell>
          <cell r="F461">
            <v>999999</v>
          </cell>
        </row>
        <row r="462">
          <cell r="E462">
            <v>10</v>
          </cell>
          <cell r="F462">
            <v>999999</v>
          </cell>
        </row>
        <row r="463">
          <cell r="E463">
            <v>10</v>
          </cell>
          <cell r="F463">
            <v>999999</v>
          </cell>
        </row>
        <row r="464">
          <cell r="E464">
            <v>10</v>
          </cell>
          <cell r="F464">
            <v>999999</v>
          </cell>
        </row>
        <row r="465">
          <cell r="E465">
            <v>10</v>
          </cell>
          <cell r="F465">
            <v>999999</v>
          </cell>
        </row>
        <row r="466">
          <cell r="E466">
            <v>10</v>
          </cell>
          <cell r="F466">
            <v>999999</v>
          </cell>
        </row>
        <row r="467">
          <cell r="E467">
            <v>10</v>
          </cell>
          <cell r="F467">
            <v>999999</v>
          </cell>
        </row>
        <row r="468">
          <cell r="E468">
            <v>10</v>
          </cell>
          <cell r="F468">
            <v>999999</v>
          </cell>
        </row>
        <row r="469">
          <cell r="E469">
            <v>10</v>
          </cell>
          <cell r="F469">
            <v>999999</v>
          </cell>
        </row>
        <row r="470">
          <cell r="E470">
            <v>10</v>
          </cell>
          <cell r="F470">
            <v>999999</v>
          </cell>
        </row>
        <row r="471">
          <cell r="E471">
            <v>10</v>
          </cell>
          <cell r="F471">
            <v>999999</v>
          </cell>
        </row>
        <row r="473">
          <cell r="E473">
            <v>10</v>
          </cell>
          <cell r="F473">
            <v>999999</v>
          </cell>
        </row>
        <row r="474">
          <cell r="E474">
            <v>10</v>
          </cell>
          <cell r="F474">
            <v>999999</v>
          </cell>
        </row>
        <row r="475">
          <cell r="E475">
            <v>10</v>
          </cell>
          <cell r="F475">
            <v>999999</v>
          </cell>
        </row>
        <row r="477">
          <cell r="E477">
            <v>10</v>
          </cell>
          <cell r="F477">
            <v>999999</v>
          </cell>
        </row>
        <row r="478">
          <cell r="E478">
            <v>10</v>
          </cell>
          <cell r="F478">
            <v>999999</v>
          </cell>
        </row>
        <row r="479">
          <cell r="E479">
            <v>10</v>
          </cell>
          <cell r="F479">
            <v>999999</v>
          </cell>
        </row>
        <row r="480">
          <cell r="E480">
            <v>10</v>
          </cell>
          <cell r="F480">
            <v>999999</v>
          </cell>
        </row>
        <row r="481">
          <cell r="E481">
            <v>10</v>
          </cell>
          <cell r="F481">
            <v>999999</v>
          </cell>
        </row>
        <row r="482">
          <cell r="E482">
            <v>10</v>
          </cell>
          <cell r="F482">
            <v>999999</v>
          </cell>
        </row>
        <row r="483">
          <cell r="E483">
            <v>10</v>
          </cell>
          <cell r="F483">
            <v>999999</v>
          </cell>
        </row>
        <row r="484">
          <cell r="E484">
            <v>10</v>
          </cell>
          <cell r="F484">
            <v>999999</v>
          </cell>
        </row>
        <row r="485">
          <cell r="E485">
            <v>10</v>
          </cell>
          <cell r="F485">
            <v>999999</v>
          </cell>
        </row>
        <row r="486">
          <cell r="E486">
            <v>10</v>
          </cell>
          <cell r="F486">
            <v>999999</v>
          </cell>
        </row>
        <row r="487">
          <cell r="E487">
            <v>10</v>
          </cell>
          <cell r="F487">
            <v>999999</v>
          </cell>
        </row>
        <row r="488">
          <cell r="E488">
            <v>10</v>
          </cell>
          <cell r="F488">
            <v>999999</v>
          </cell>
        </row>
        <row r="489">
          <cell r="E489">
            <v>10</v>
          </cell>
          <cell r="F489">
            <v>999999</v>
          </cell>
        </row>
        <row r="490">
          <cell r="E490">
            <v>10</v>
          </cell>
          <cell r="F490">
            <v>999999</v>
          </cell>
        </row>
        <row r="491">
          <cell r="E491">
            <v>10</v>
          </cell>
          <cell r="F491">
            <v>999999</v>
          </cell>
        </row>
        <row r="492">
          <cell r="E492">
            <v>10</v>
          </cell>
          <cell r="F492">
            <v>999999</v>
          </cell>
        </row>
        <row r="494">
          <cell r="E494">
            <v>10</v>
          </cell>
          <cell r="F494">
            <v>999999</v>
          </cell>
        </row>
        <row r="495">
          <cell r="E495">
            <v>10</v>
          </cell>
          <cell r="F495">
            <v>999999</v>
          </cell>
        </row>
        <row r="496">
          <cell r="E496">
            <v>10</v>
          </cell>
          <cell r="F496">
            <v>999999</v>
          </cell>
        </row>
        <row r="501">
          <cell r="E501" t="str">
            <v>MIN</v>
          </cell>
          <cell r="F501" t="str">
            <v>MAX</v>
          </cell>
        </row>
        <row r="502">
          <cell r="E502">
            <v>10000</v>
          </cell>
          <cell r="F502">
            <v>45000</v>
          </cell>
        </row>
        <row r="503">
          <cell r="E503">
            <v>9000</v>
          </cell>
          <cell r="F503">
            <v>45000</v>
          </cell>
        </row>
        <row r="504">
          <cell r="E504">
            <v>12000</v>
          </cell>
          <cell r="F504">
            <v>45000</v>
          </cell>
        </row>
        <row r="505">
          <cell r="E505">
            <v>10000</v>
          </cell>
          <cell r="F505">
            <v>60000</v>
          </cell>
        </row>
        <row r="506">
          <cell r="E506">
            <v>10</v>
          </cell>
          <cell r="F506">
            <v>50000</v>
          </cell>
        </row>
        <row r="507">
          <cell r="E507">
            <v>10</v>
          </cell>
          <cell r="F507">
            <v>125000</v>
          </cell>
        </row>
        <row r="508">
          <cell r="E508">
            <v>8500</v>
          </cell>
          <cell r="F508">
            <v>30000</v>
          </cell>
        </row>
        <row r="509">
          <cell r="E509">
            <v>10</v>
          </cell>
          <cell r="F509">
            <v>50000</v>
          </cell>
        </row>
        <row r="510">
          <cell r="E510">
            <v>10</v>
          </cell>
          <cell r="F510">
            <v>40000</v>
          </cell>
        </row>
        <row r="511">
          <cell r="E511">
            <v>7000</v>
          </cell>
          <cell r="F511">
            <v>300000</v>
          </cell>
        </row>
        <row r="512">
          <cell r="E512">
            <v>10</v>
          </cell>
          <cell r="F512">
            <v>55000</v>
          </cell>
        </row>
        <row r="513">
          <cell r="E513">
            <v>8000</v>
          </cell>
          <cell r="F513">
            <v>300000</v>
          </cell>
        </row>
        <row r="515">
          <cell r="E515">
            <v>8000</v>
          </cell>
          <cell r="F515">
            <v>300000</v>
          </cell>
        </row>
        <row r="516">
          <cell r="E516">
            <v>8000</v>
          </cell>
          <cell r="F516">
            <v>300000</v>
          </cell>
        </row>
        <row r="517">
          <cell r="E517">
            <v>8000</v>
          </cell>
          <cell r="F517">
            <v>300000</v>
          </cell>
        </row>
        <row r="519">
          <cell r="E519">
            <v>10</v>
          </cell>
          <cell r="F519">
            <v>35000</v>
          </cell>
        </row>
        <row r="520">
          <cell r="E520">
            <v>20000</v>
          </cell>
          <cell r="F520">
            <v>60000</v>
          </cell>
        </row>
        <row r="521">
          <cell r="E521">
            <v>11000</v>
          </cell>
          <cell r="F521">
            <v>75000</v>
          </cell>
        </row>
        <row r="522">
          <cell r="E522">
            <v>10000</v>
          </cell>
          <cell r="F522">
            <v>55000</v>
          </cell>
        </row>
        <row r="523">
          <cell r="E523">
            <v>10</v>
          </cell>
          <cell r="F523">
            <v>100</v>
          </cell>
        </row>
        <row r="524">
          <cell r="E524">
            <v>10</v>
          </cell>
          <cell r="F524">
            <v>65000</v>
          </cell>
        </row>
        <row r="525">
          <cell r="E525">
            <v>19000</v>
          </cell>
          <cell r="F525">
            <v>125000</v>
          </cell>
        </row>
        <row r="526">
          <cell r="E526">
            <v>17000</v>
          </cell>
          <cell r="F526">
            <v>200000</v>
          </cell>
        </row>
        <row r="527">
          <cell r="E527">
            <v>10000</v>
          </cell>
          <cell r="F527">
            <v>50000</v>
          </cell>
        </row>
        <row r="528">
          <cell r="E528">
            <v>12000</v>
          </cell>
          <cell r="F528">
            <v>75000</v>
          </cell>
        </row>
        <row r="529">
          <cell r="E529">
            <v>12000</v>
          </cell>
          <cell r="F529">
            <v>75000</v>
          </cell>
        </row>
        <row r="530">
          <cell r="E530">
            <v>12000</v>
          </cell>
          <cell r="F530">
            <v>75000</v>
          </cell>
        </row>
        <row r="531">
          <cell r="E531">
            <v>12000</v>
          </cell>
          <cell r="F531">
            <v>75000</v>
          </cell>
        </row>
        <row r="532">
          <cell r="E532">
            <v>12000</v>
          </cell>
          <cell r="F532">
            <v>75000</v>
          </cell>
        </row>
        <row r="533">
          <cell r="E533">
            <v>12000</v>
          </cell>
          <cell r="F533">
            <v>75000</v>
          </cell>
        </row>
        <row r="534">
          <cell r="E534">
            <v>9000</v>
          </cell>
          <cell r="F534">
            <v>300000</v>
          </cell>
        </row>
        <row r="535">
          <cell r="E535">
            <v>9000</v>
          </cell>
          <cell r="F535">
            <v>300000</v>
          </cell>
        </row>
        <row r="536">
          <cell r="E536">
            <v>8000</v>
          </cell>
          <cell r="F536">
            <v>300000</v>
          </cell>
        </row>
        <row r="538">
          <cell r="E538">
            <v>8000</v>
          </cell>
          <cell r="F538">
            <v>300000</v>
          </cell>
        </row>
        <row r="539">
          <cell r="E539">
            <v>8000</v>
          </cell>
          <cell r="F539">
            <v>300000</v>
          </cell>
        </row>
        <row r="540">
          <cell r="E540">
            <v>8000</v>
          </cell>
          <cell r="F540">
            <v>300000</v>
          </cell>
        </row>
        <row r="543">
          <cell r="E543">
            <v>500</v>
          </cell>
          <cell r="F543">
            <v>300000</v>
          </cell>
        </row>
        <row r="544">
          <cell r="E544">
            <v>500</v>
          </cell>
          <cell r="F544">
            <v>300000</v>
          </cell>
        </row>
        <row r="545">
          <cell r="E545">
            <v>50</v>
          </cell>
          <cell r="F545">
            <v>7000</v>
          </cell>
        </row>
        <row r="546">
          <cell r="E546">
            <v>10</v>
          </cell>
          <cell r="F546">
            <v>5000</v>
          </cell>
        </row>
        <row r="547">
          <cell r="E547">
            <v>100</v>
          </cell>
          <cell r="F547">
            <v>300000</v>
          </cell>
        </row>
        <row r="548">
          <cell r="E548">
            <v>500</v>
          </cell>
          <cell r="F548">
            <v>300000</v>
          </cell>
        </row>
        <row r="549">
          <cell r="E549">
            <v>500</v>
          </cell>
          <cell r="F549">
            <v>300000</v>
          </cell>
        </row>
        <row r="550">
          <cell r="E550">
            <v>75</v>
          </cell>
          <cell r="F550">
            <v>9000</v>
          </cell>
        </row>
        <row r="551">
          <cell r="E551">
            <v>10</v>
          </cell>
          <cell r="F551">
            <v>6000</v>
          </cell>
        </row>
        <row r="552">
          <cell r="E552">
            <v>100</v>
          </cell>
          <cell r="F552">
            <v>300000</v>
          </cell>
        </row>
        <row r="554">
          <cell r="E554">
            <v>10</v>
          </cell>
          <cell r="F554">
            <v>2000</v>
          </cell>
        </row>
        <row r="555">
          <cell r="E555">
            <v>10</v>
          </cell>
          <cell r="F555">
            <v>2000</v>
          </cell>
        </row>
        <row r="556">
          <cell r="E556">
            <v>3</v>
          </cell>
          <cell r="F556">
            <v>2000</v>
          </cell>
        </row>
        <row r="557">
          <cell r="E557">
            <v>10</v>
          </cell>
          <cell r="F557">
            <v>2000</v>
          </cell>
        </row>
        <row r="558">
          <cell r="E558">
            <v>10</v>
          </cell>
          <cell r="F558">
            <v>2000</v>
          </cell>
        </row>
        <row r="559">
          <cell r="E559">
            <v>3</v>
          </cell>
          <cell r="F559">
            <v>2000</v>
          </cell>
        </row>
        <row r="560">
          <cell r="E560">
            <v>10</v>
          </cell>
          <cell r="F560">
            <v>2000</v>
          </cell>
        </row>
        <row r="561">
          <cell r="E561">
            <v>7</v>
          </cell>
          <cell r="F561">
            <v>2000</v>
          </cell>
        </row>
        <row r="562">
          <cell r="E562">
            <v>10</v>
          </cell>
          <cell r="F562">
            <v>2000</v>
          </cell>
        </row>
        <row r="564">
          <cell r="E564">
            <v>10</v>
          </cell>
          <cell r="F564">
            <v>4000</v>
          </cell>
        </row>
        <row r="565">
          <cell r="E565">
            <v>10</v>
          </cell>
          <cell r="F565">
            <v>4000</v>
          </cell>
        </row>
        <row r="566">
          <cell r="E566">
            <v>3</v>
          </cell>
          <cell r="F566">
            <v>4000</v>
          </cell>
        </row>
        <row r="567">
          <cell r="E567">
            <v>10</v>
          </cell>
          <cell r="F567">
            <v>4000</v>
          </cell>
        </row>
        <row r="569">
          <cell r="E569">
            <v>7000</v>
          </cell>
          <cell r="F569">
            <v>100000</v>
          </cell>
        </row>
        <row r="570">
          <cell r="E570">
            <v>5000</v>
          </cell>
          <cell r="F570">
            <v>300000</v>
          </cell>
        </row>
        <row r="571">
          <cell r="E571">
            <v>7000</v>
          </cell>
          <cell r="F571">
            <v>999999</v>
          </cell>
        </row>
        <row r="572">
          <cell r="E572">
            <v>5000</v>
          </cell>
          <cell r="F572">
            <v>999999</v>
          </cell>
        </row>
        <row r="573">
          <cell r="E573">
            <v>7000</v>
          </cell>
          <cell r="F573">
            <v>100000</v>
          </cell>
        </row>
        <row r="574">
          <cell r="E574">
            <v>5000</v>
          </cell>
          <cell r="F574">
            <v>300000</v>
          </cell>
        </row>
        <row r="575">
          <cell r="E575">
            <v>7000</v>
          </cell>
          <cell r="F575">
            <v>999999</v>
          </cell>
        </row>
        <row r="576">
          <cell r="E576">
            <v>3000</v>
          </cell>
          <cell r="F576">
            <v>999999</v>
          </cell>
        </row>
        <row r="577">
          <cell r="E577">
            <v>9000</v>
          </cell>
          <cell r="F577">
            <v>150000</v>
          </cell>
        </row>
        <row r="578">
          <cell r="E578">
            <v>5000</v>
          </cell>
          <cell r="F578">
            <v>400000</v>
          </cell>
        </row>
        <row r="579">
          <cell r="E579">
            <v>9000</v>
          </cell>
          <cell r="F579">
            <v>999999</v>
          </cell>
        </row>
        <row r="580">
          <cell r="E580">
            <v>5000</v>
          </cell>
          <cell r="F580">
            <v>999999</v>
          </cell>
        </row>
        <row r="581">
          <cell r="E581">
            <v>9000</v>
          </cell>
          <cell r="F581">
            <v>200000</v>
          </cell>
        </row>
        <row r="582">
          <cell r="E582">
            <v>3000</v>
          </cell>
          <cell r="F582">
            <v>400000</v>
          </cell>
        </row>
        <row r="583">
          <cell r="E583">
            <v>9000</v>
          </cell>
          <cell r="F583">
            <v>999999</v>
          </cell>
        </row>
        <row r="584">
          <cell r="E584">
            <v>5000</v>
          </cell>
          <cell r="F584">
            <v>999999</v>
          </cell>
        </row>
        <row r="585">
          <cell r="E585">
            <v>100</v>
          </cell>
          <cell r="F585">
            <v>300000</v>
          </cell>
        </row>
        <row r="586">
          <cell r="E586">
            <v>50</v>
          </cell>
          <cell r="F586">
            <v>400000</v>
          </cell>
        </row>
        <row r="587">
          <cell r="E587">
            <v>100</v>
          </cell>
          <cell r="F587">
            <v>300000</v>
          </cell>
        </row>
        <row r="588">
          <cell r="E588">
            <v>50</v>
          </cell>
          <cell r="F588">
            <v>400000</v>
          </cell>
        </row>
        <row r="589">
          <cell r="E589">
            <v>500</v>
          </cell>
          <cell r="F589">
            <v>300000</v>
          </cell>
        </row>
        <row r="590">
          <cell r="E590">
            <v>100</v>
          </cell>
          <cell r="F590">
            <v>400000</v>
          </cell>
        </row>
        <row r="591">
          <cell r="E591">
            <v>500</v>
          </cell>
          <cell r="F591">
            <v>300000</v>
          </cell>
        </row>
        <row r="592">
          <cell r="E592">
            <v>100</v>
          </cell>
          <cell r="F592">
            <v>400000</v>
          </cell>
        </row>
        <row r="593">
          <cell r="E593">
            <v>500</v>
          </cell>
          <cell r="F593">
            <v>300000</v>
          </cell>
        </row>
        <row r="594">
          <cell r="E594">
            <v>10</v>
          </cell>
          <cell r="F594">
            <v>500000</v>
          </cell>
        </row>
        <row r="596">
          <cell r="E596">
            <v>10</v>
          </cell>
          <cell r="F596">
            <v>2000</v>
          </cell>
        </row>
        <row r="597">
          <cell r="E597">
            <v>10</v>
          </cell>
          <cell r="F597">
            <v>2000</v>
          </cell>
        </row>
        <row r="598">
          <cell r="E598">
            <v>10</v>
          </cell>
          <cell r="F598">
            <v>2000</v>
          </cell>
        </row>
        <row r="600">
          <cell r="E600">
            <v>10</v>
          </cell>
          <cell r="F600">
            <v>3000</v>
          </cell>
        </row>
        <row r="601">
          <cell r="E601">
            <v>0</v>
          </cell>
          <cell r="F601">
            <v>5000</v>
          </cell>
        </row>
        <row r="602">
          <cell r="E602">
            <v>10</v>
          </cell>
          <cell r="F602">
            <v>3000</v>
          </cell>
        </row>
        <row r="603">
          <cell r="E603">
            <v>0</v>
          </cell>
          <cell r="F603">
            <v>5000</v>
          </cell>
        </row>
        <row r="604">
          <cell r="E604">
            <v>100</v>
          </cell>
          <cell r="F604">
            <v>4000</v>
          </cell>
        </row>
        <row r="605">
          <cell r="E605">
            <v>10</v>
          </cell>
          <cell r="F605">
            <v>6000</v>
          </cell>
        </row>
        <row r="606">
          <cell r="E606">
            <v>100</v>
          </cell>
          <cell r="F606">
            <v>4000</v>
          </cell>
        </row>
        <row r="607">
          <cell r="E607">
            <v>10</v>
          </cell>
          <cell r="F607">
            <v>6000</v>
          </cell>
        </row>
        <row r="608">
          <cell r="E608">
            <v>10</v>
          </cell>
          <cell r="F608">
            <v>3000</v>
          </cell>
        </row>
        <row r="609">
          <cell r="E609">
            <v>0</v>
          </cell>
          <cell r="F609">
            <v>5000</v>
          </cell>
        </row>
        <row r="610">
          <cell r="E610">
            <v>10</v>
          </cell>
          <cell r="F610">
            <v>3000</v>
          </cell>
        </row>
        <row r="611">
          <cell r="E611">
            <v>0</v>
          </cell>
          <cell r="F611">
            <v>5000</v>
          </cell>
        </row>
        <row r="612">
          <cell r="E612">
            <v>100</v>
          </cell>
          <cell r="F612">
            <v>4000</v>
          </cell>
        </row>
        <row r="613">
          <cell r="E613">
            <v>10</v>
          </cell>
          <cell r="F613">
            <v>6000</v>
          </cell>
        </row>
        <row r="614">
          <cell r="E614">
            <v>100</v>
          </cell>
          <cell r="F614">
            <v>4000</v>
          </cell>
        </row>
        <row r="615">
          <cell r="E615">
            <v>10</v>
          </cell>
          <cell r="F615">
            <v>6000</v>
          </cell>
        </row>
        <row r="617">
          <cell r="E617">
            <v>0.18</v>
          </cell>
          <cell r="F617">
            <v>0.55000000000000004</v>
          </cell>
        </row>
        <row r="619">
          <cell r="E619">
            <v>10</v>
          </cell>
          <cell r="F619">
            <v>999999</v>
          </cell>
        </row>
        <row r="620">
          <cell r="E620">
            <v>0</v>
          </cell>
          <cell r="F620">
            <v>999999</v>
          </cell>
        </row>
        <row r="621">
          <cell r="E621">
            <v>0</v>
          </cell>
          <cell r="F621">
            <v>5000</v>
          </cell>
        </row>
        <row r="622">
          <cell r="E622">
            <v>25</v>
          </cell>
          <cell r="F622">
            <v>300000</v>
          </cell>
        </row>
        <row r="623">
          <cell r="E623">
            <v>0</v>
          </cell>
          <cell r="F623">
            <v>999</v>
          </cell>
        </row>
        <row r="626">
          <cell r="E626">
            <v>5</v>
          </cell>
          <cell r="F626">
            <v>200</v>
          </cell>
        </row>
        <row r="627">
          <cell r="E627">
            <v>1</v>
          </cell>
          <cell r="F627">
            <v>500</v>
          </cell>
        </row>
        <row r="628">
          <cell r="E628">
            <v>5</v>
          </cell>
          <cell r="F628">
            <v>200</v>
          </cell>
        </row>
        <row r="629">
          <cell r="E629">
            <v>1</v>
          </cell>
          <cell r="F629">
            <v>500</v>
          </cell>
        </row>
        <row r="630">
          <cell r="E630">
            <v>5</v>
          </cell>
          <cell r="F630">
            <v>200</v>
          </cell>
        </row>
        <row r="631">
          <cell r="E631">
            <v>1</v>
          </cell>
          <cell r="F631">
            <v>500</v>
          </cell>
        </row>
        <row r="632">
          <cell r="E632">
            <v>5</v>
          </cell>
          <cell r="F632">
            <v>200</v>
          </cell>
        </row>
        <row r="633">
          <cell r="E633">
            <v>1</v>
          </cell>
          <cell r="F633">
            <v>500</v>
          </cell>
        </row>
        <row r="634">
          <cell r="E634">
            <v>5</v>
          </cell>
          <cell r="F634">
            <v>200</v>
          </cell>
        </row>
        <row r="635">
          <cell r="E635">
            <v>1</v>
          </cell>
          <cell r="F635">
            <v>500</v>
          </cell>
        </row>
        <row r="636">
          <cell r="E636">
            <v>5</v>
          </cell>
          <cell r="F636">
            <v>200</v>
          </cell>
        </row>
        <row r="637">
          <cell r="E637">
            <v>1</v>
          </cell>
          <cell r="F637">
            <v>500</v>
          </cell>
        </row>
        <row r="638">
          <cell r="E638">
            <v>10</v>
          </cell>
          <cell r="F638">
            <v>150</v>
          </cell>
        </row>
        <row r="639">
          <cell r="E639">
            <v>1</v>
          </cell>
          <cell r="F639">
            <v>250</v>
          </cell>
        </row>
        <row r="640">
          <cell r="E640">
            <v>5</v>
          </cell>
          <cell r="F640">
            <v>200</v>
          </cell>
        </row>
        <row r="641">
          <cell r="E641">
            <v>1</v>
          </cell>
          <cell r="F641">
            <v>500</v>
          </cell>
        </row>
        <row r="642">
          <cell r="E642">
            <v>5</v>
          </cell>
          <cell r="F642">
            <v>200</v>
          </cell>
        </row>
        <row r="643">
          <cell r="E643">
            <v>1</v>
          </cell>
          <cell r="F643">
            <v>500</v>
          </cell>
        </row>
        <row r="644">
          <cell r="E644">
            <v>5</v>
          </cell>
          <cell r="F644">
            <v>200</v>
          </cell>
        </row>
        <row r="645">
          <cell r="E645">
            <v>1</v>
          </cell>
          <cell r="F645">
            <v>500</v>
          </cell>
        </row>
        <row r="646">
          <cell r="E646">
            <v>10</v>
          </cell>
          <cell r="F646">
            <v>150</v>
          </cell>
        </row>
        <row r="647">
          <cell r="E647">
            <v>1</v>
          </cell>
          <cell r="F647">
            <v>250</v>
          </cell>
        </row>
        <row r="648">
          <cell r="E648">
            <v>5</v>
          </cell>
          <cell r="F648">
            <v>200</v>
          </cell>
        </row>
        <row r="649">
          <cell r="E649">
            <v>1</v>
          </cell>
          <cell r="F649">
            <v>500</v>
          </cell>
        </row>
      </sheetData>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Page2"/>
      <sheetName val="Page3"/>
      <sheetName val="Page4"/>
      <sheetName val="Page5a"/>
      <sheetName val="Page5b"/>
      <sheetName val="Page5c"/>
      <sheetName val="Page5d"/>
      <sheetName val="Page5e"/>
      <sheetName val="Page5f"/>
      <sheetName val="Page5g"/>
      <sheetName val="Page5h"/>
      <sheetName val="Page5i"/>
      <sheetName val="Page5j"/>
      <sheetName val="Page5k"/>
      <sheetName val="Page6"/>
      <sheetName val="Page7"/>
      <sheetName val="Page8"/>
      <sheetName val="VML Audit Ranges"/>
      <sheetName val="Verify"/>
      <sheetName val="Comments"/>
      <sheetName val="OR_VEH"/>
      <sheetName val="TBIn"/>
      <sheetName val="TB Out"/>
      <sheetName val="Log"/>
    </sheetNames>
    <sheetDataSet>
      <sheetData sheetId="0">
        <row r="10">
          <cell r="I10">
            <v>0</v>
          </cell>
          <cell r="R10">
            <v>0</v>
          </cell>
        </row>
        <row r="11">
          <cell r="I11">
            <v>0</v>
          </cell>
          <cell r="R11">
            <v>0</v>
          </cell>
        </row>
        <row r="12">
          <cell r="I12">
            <v>0</v>
          </cell>
          <cell r="R12">
            <v>0</v>
          </cell>
        </row>
        <row r="13">
          <cell r="I13">
            <v>0</v>
          </cell>
          <cell r="R13">
            <v>0</v>
          </cell>
        </row>
        <row r="14">
          <cell r="R14">
            <v>0</v>
          </cell>
        </row>
        <row r="15">
          <cell r="R15">
            <v>0</v>
          </cell>
        </row>
        <row r="17">
          <cell r="I17">
            <v>0</v>
          </cell>
        </row>
        <row r="18">
          <cell r="I18">
            <v>0</v>
          </cell>
          <cell r="R18">
            <v>0</v>
          </cell>
        </row>
        <row r="19">
          <cell r="I19">
            <v>0</v>
          </cell>
          <cell r="R19">
            <v>0</v>
          </cell>
        </row>
        <row r="20">
          <cell r="I20">
            <v>0</v>
          </cell>
          <cell r="R20">
            <v>0</v>
          </cell>
        </row>
        <row r="22">
          <cell r="R22">
            <v>0</v>
          </cell>
        </row>
        <row r="23">
          <cell r="R23">
            <v>0</v>
          </cell>
        </row>
        <row r="24">
          <cell r="R24">
            <v>0</v>
          </cell>
        </row>
        <row r="25">
          <cell r="R25">
            <v>0</v>
          </cell>
        </row>
        <row r="26">
          <cell r="R26">
            <v>0</v>
          </cell>
        </row>
        <row r="27">
          <cell r="R27">
            <v>0</v>
          </cell>
        </row>
        <row r="28">
          <cell r="R28">
            <v>0</v>
          </cell>
        </row>
        <row r="29">
          <cell r="R29">
            <v>0</v>
          </cell>
        </row>
        <row r="30">
          <cell r="I30">
            <v>0</v>
          </cell>
          <cell r="R30">
            <v>0</v>
          </cell>
        </row>
        <row r="31">
          <cell r="I31">
            <v>0</v>
          </cell>
          <cell r="R31">
            <v>0</v>
          </cell>
        </row>
        <row r="32">
          <cell r="I32">
            <v>0</v>
          </cell>
          <cell r="R32">
            <v>0</v>
          </cell>
        </row>
        <row r="33">
          <cell r="I33">
            <v>0</v>
          </cell>
        </row>
        <row r="34">
          <cell r="I34">
            <v>0</v>
          </cell>
        </row>
        <row r="35">
          <cell r="I35">
            <v>0</v>
          </cell>
          <cell r="R35">
            <v>0</v>
          </cell>
        </row>
        <row r="36">
          <cell r="I36">
            <v>0</v>
          </cell>
        </row>
        <row r="37">
          <cell r="I37">
            <v>0</v>
          </cell>
          <cell r="R37">
            <v>0</v>
          </cell>
        </row>
        <row r="39">
          <cell r="R39">
            <v>0</v>
          </cell>
        </row>
        <row r="40">
          <cell r="I40">
            <v>0</v>
          </cell>
        </row>
        <row r="41">
          <cell r="I41">
            <v>0</v>
          </cell>
        </row>
        <row r="42">
          <cell r="I42">
            <v>0</v>
          </cell>
          <cell r="R42">
            <v>0</v>
          </cell>
        </row>
        <row r="44">
          <cell r="I44">
            <v>0</v>
          </cell>
        </row>
        <row r="50">
          <cell r="F50">
            <v>0</v>
          </cell>
        </row>
        <row r="51">
          <cell r="F51">
            <v>0</v>
          </cell>
          <cell r="G51">
            <v>0</v>
          </cell>
        </row>
        <row r="52">
          <cell r="F52">
            <v>0</v>
          </cell>
          <cell r="G52">
            <v>0</v>
          </cell>
          <cell r="R52">
            <v>0</v>
          </cell>
        </row>
        <row r="53">
          <cell r="F53">
            <v>0</v>
          </cell>
          <cell r="G53">
            <v>0</v>
          </cell>
        </row>
        <row r="54">
          <cell r="F54">
            <v>0</v>
          </cell>
          <cell r="G54">
            <v>0</v>
          </cell>
        </row>
        <row r="55">
          <cell r="F55">
            <v>0</v>
          </cell>
          <cell r="G55">
            <v>0</v>
          </cell>
          <cell r="R55">
            <v>0</v>
          </cell>
        </row>
        <row r="56">
          <cell r="F56">
            <v>0</v>
          </cell>
          <cell r="G56">
            <v>0</v>
          </cell>
        </row>
        <row r="57">
          <cell r="F57">
            <v>0</v>
          </cell>
          <cell r="G57">
            <v>0</v>
          </cell>
          <cell r="R57">
            <v>0</v>
          </cell>
        </row>
        <row r="58">
          <cell r="F58">
            <v>0</v>
          </cell>
          <cell r="G58">
            <v>0</v>
          </cell>
        </row>
        <row r="59">
          <cell r="F59">
            <v>0</v>
          </cell>
          <cell r="G59">
            <v>0</v>
          </cell>
          <cell r="R59">
            <v>0</v>
          </cell>
        </row>
        <row r="62">
          <cell r="I62">
            <v>0</v>
          </cell>
        </row>
        <row r="63">
          <cell r="I63">
            <v>0</v>
          </cell>
          <cell r="R63">
            <v>0</v>
          </cell>
        </row>
        <row r="64">
          <cell r="I64">
            <v>0</v>
          </cell>
          <cell r="R64">
            <v>0</v>
          </cell>
        </row>
        <row r="65">
          <cell r="I65">
            <v>0</v>
          </cell>
        </row>
      </sheetData>
      <sheetData sheetId="1">
        <row r="64">
          <cell r="G64">
            <v>0</v>
          </cell>
          <cell r="J64">
            <v>0</v>
          </cell>
        </row>
        <row r="65">
          <cell r="G65">
            <v>0</v>
          </cell>
          <cell r="J65">
            <v>0</v>
          </cell>
        </row>
        <row r="67">
          <cell r="G67">
            <v>0</v>
          </cell>
          <cell r="J67">
            <v>0</v>
          </cell>
        </row>
      </sheetData>
      <sheetData sheetId="2">
        <row r="7">
          <cell r="D7">
            <v>0</v>
          </cell>
          <cell r="F7">
            <v>0</v>
          </cell>
          <cell r="H7">
            <v>0</v>
          </cell>
          <cell r="J7">
            <v>0</v>
          </cell>
          <cell r="L7">
            <v>0</v>
          </cell>
          <cell r="N7">
            <v>0</v>
          </cell>
        </row>
        <row r="8">
          <cell r="D8">
            <v>0</v>
          </cell>
          <cell r="F8">
            <v>0</v>
          </cell>
          <cell r="H8">
            <v>0</v>
          </cell>
          <cell r="J8">
            <v>0</v>
          </cell>
          <cell r="L8">
            <v>0</v>
          </cell>
          <cell r="N8">
            <v>0</v>
          </cell>
        </row>
        <row r="9">
          <cell r="D9">
            <v>0</v>
          </cell>
          <cell r="F9">
            <v>0</v>
          </cell>
          <cell r="H9">
            <v>0</v>
          </cell>
          <cell r="J9">
            <v>0</v>
          </cell>
          <cell r="L9">
            <v>0</v>
          </cell>
          <cell r="N9">
            <v>0</v>
          </cell>
        </row>
        <row r="11">
          <cell r="D11">
            <v>0</v>
          </cell>
          <cell r="F11">
            <v>0</v>
          </cell>
          <cell r="H11">
            <v>0</v>
          </cell>
          <cell r="J11">
            <v>0</v>
          </cell>
          <cell r="L11">
            <v>0</v>
          </cell>
          <cell r="N11">
            <v>0</v>
          </cell>
        </row>
        <row r="12">
          <cell r="D12">
            <v>0</v>
          </cell>
          <cell r="F12">
            <v>0</v>
          </cell>
          <cell r="H12">
            <v>0</v>
          </cell>
          <cell r="J12">
            <v>0</v>
          </cell>
          <cell r="L12">
            <v>0</v>
          </cell>
          <cell r="N12">
            <v>0</v>
          </cell>
        </row>
        <row r="13">
          <cell r="D13">
            <v>0</v>
          </cell>
          <cell r="F13">
            <v>0</v>
          </cell>
          <cell r="H13">
            <v>0</v>
          </cell>
          <cell r="J13">
            <v>0</v>
          </cell>
          <cell r="L13">
            <v>0</v>
          </cell>
          <cell r="N13">
            <v>0</v>
          </cell>
        </row>
        <row r="14">
          <cell r="D14">
            <v>0</v>
          </cell>
          <cell r="F14">
            <v>0</v>
          </cell>
          <cell r="H14">
            <v>0</v>
          </cell>
          <cell r="J14">
            <v>0</v>
          </cell>
          <cell r="L14">
            <v>0</v>
          </cell>
          <cell r="N14">
            <v>0</v>
          </cell>
        </row>
        <row r="15">
          <cell r="D15">
            <v>0</v>
          </cell>
          <cell r="F15">
            <v>0</v>
          </cell>
          <cell r="H15">
            <v>0</v>
          </cell>
          <cell r="J15">
            <v>0</v>
          </cell>
          <cell r="L15">
            <v>0</v>
          </cell>
          <cell r="N15">
            <v>0</v>
          </cell>
        </row>
        <row r="16">
          <cell r="D16">
            <v>0</v>
          </cell>
          <cell r="F16">
            <v>0</v>
          </cell>
          <cell r="H16">
            <v>0</v>
          </cell>
          <cell r="J16">
            <v>0</v>
          </cell>
          <cell r="L16">
            <v>0</v>
          </cell>
          <cell r="N16">
            <v>0</v>
          </cell>
        </row>
        <row r="17">
          <cell r="D17">
            <v>0</v>
          </cell>
          <cell r="F17">
            <v>0</v>
          </cell>
          <cell r="H17">
            <v>0</v>
          </cell>
          <cell r="J17">
            <v>0</v>
          </cell>
          <cell r="L17">
            <v>0</v>
          </cell>
          <cell r="N17">
            <v>0</v>
          </cell>
        </row>
        <row r="18">
          <cell r="D18">
            <v>0</v>
          </cell>
          <cell r="F18">
            <v>0</v>
          </cell>
          <cell r="H18">
            <v>0</v>
          </cell>
          <cell r="J18">
            <v>0</v>
          </cell>
          <cell r="L18">
            <v>0</v>
          </cell>
          <cell r="N18">
            <v>0</v>
          </cell>
        </row>
        <row r="19">
          <cell r="D19">
            <v>0</v>
          </cell>
          <cell r="F19">
            <v>0</v>
          </cell>
          <cell r="H19">
            <v>0</v>
          </cell>
          <cell r="J19">
            <v>0</v>
          </cell>
          <cell r="L19">
            <v>0</v>
          </cell>
          <cell r="N19">
            <v>0</v>
          </cell>
        </row>
        <row r="21">
          <cell r="D21">
            <v>0</v>
          </cell>
          <cell r="F21">
            <v>0</v>
          </cell>
          <cell r="H21">
            <v>0</v>
          </cell>
          <cell r="J21">
            <v>0</v>
          </cell>
          <cell r="L21">
            <v>0</v>
          </cell>
          <cell r="N21">
            <v>0</v>
          </cell>
        </row>
        <row r="22">
          <cell r="D22">
            <v>0</v>
          </cell>
          <cell r="F22">
            <v>0</v>
          </cell>
          <cell r="H22">
            <v>0</v>
          </cell>
          <cell r="J22">
            <v>0</v>
          </cell>
          <cell r="L22">
            <v>0</v>
          </cell>
          <cell r="N22">
            <v>0</v>
          </cell>
        </row>
        <row r="23">
          <cell r="D23">
            <v>0</v>
          </cell>
          <cell r="F23">
            <v>0</v>
          </cell>
          <cell r="H23">
            <v>0</v>
          </cell>
          <cell r="J23">
            <v>0</v>
          </cell>
          <cell r="L23">
            <v>0</v>
          </cell>
          <cell r="N23">
            <v>0</v>
          </cell>
        </row>
        <row r="24">
          <cell r="D24">
            <v>0</v>
          </cell>
          <cell r="F24">
            <v>0</v>
          </cell>
          <cell r="H24">
            <v>0</v>
          </cell>
          <cell r="J24">
            <v>0</v>
          </cell>
          <cell r="L24">
            <v>0</v>
          </cell>
          <cell r="N24">
            <v>0</v>
          </cell>
        </row>
        <row r="25">
          <cell r="D25">
            <v>0</v>
          </cell>
          <cell r="F25">
            <v>0</v>
          </cell>
          <cell r="H25">
            <v>0</v>
          </cell>
          <cell r="J25">
            <v>0</v>
          </cell>
          <cell r="L25">
            <v>0</v>
          </cell>
          <cell r="N25">
            <v>0</v>
          </cell>
        </row>
        <row r="26">
          <cell r="D26">
            <v>0</v>
          </cell>
          <cell r="F26">
            <v>0</v>
          </cell>
          <cell r="H26">
            <v>0</v>
          </cell>
          <cell r="J26">
            <v>0</v>
          </cell>
          <cell r="L26">
            <v>0</v>
          </cell>
          <cell r="N26">
            <v>0</v>
          </cell>
        </row>
        <row r="27">
          <cell r="D27">
            <v>0</v>
          </cell>
          <cell r="F27">
            <v>0</v>
          </cell>
          <cell r="H27">
            <v>0</v>
          </cell>
          <cell r="J27">
            <v>0</v>
          </cell>
          <cell r="L27">
            <v>0</v>
          </cell>
          <cell r="N27">
            <v>0</v>
          </cell>
        </row>
        <row r="29">
          <cell r="D29">
            <v>0</v>
          </cell>
          <cell r="F29">
            <v>0</v>
          </cell>
          <cell r="H29">
            <v>0</v>
          </cell>
          <cell r="J29">
            <v>0</v>
          </cell>
          <cell r="L29">
            <v>0</v>
          </cell>
          <cell r="N29">
            <v>0</v>
          </cell>
        </row>
        <row r="30">
          <cell r="D30">
            <v>0</v>
          </cell>
          <cell r="F30">
            <v>0</v>
          </cell>
          <cell r="H30">
            <v>0</v>
          </cell>
          <cell r="J30">
            <v>0</v>
          </cell>
          <cell r="L30">
            <v>0</v>
          </cell>
          <cell r="N30">
            <v>0</v>
          </cell>
        </row>
        <row r="31">
          <cell r="D31">
            <v>0</v>
          </cell>
          <cell r="F31">
            <v>0</v>
          </cell>
          <cell r="H31">
            <v>0</v>
          </cell>
          <cell r="J31">
            <v>0</v>
          </cell>
          <cell r="L31">
            <v>0</v>
          </cell>
          <cell r="N31">
            <v>0</v>
          </cell>
        </row>
        <row r="32">
          <cell r="D32">
            <v>0</v>
          </cell>
          <cell r="F32">
            <v>0</v>
          </cell>
          <cell r="H32">
            <v>0</v>
          </cell>
          <cell r="J32">
            <v>0</v>
          </cell>
          <cell r="L32">
            <v>0</v>
          </cell>
          <cell r="N32">
            <v>0</v>
          </cell>
        </row>
        <row r="33">
          <cell r="D33">
            <v>0</v>
          </cell>
          <cell r="F33">
            <v>0</v>
          </cell>
          <cell r="H33">
            <v>0</v>
          </cell>
          <cell r="J33">
            <v>0</v>
          </cell>
          <cell r="L33">
            <v>0</v>
          </cell>
          <cell r="N33">
            <v>0</v>
          </cell>
        </row>
        <row r="34">
          <cell r="D34">
            <v>0</v>
          </cell>
          <cell r="F34">
            <v>0</v>
          </cell>
          <cell r="H34">
            <v>0</v>
          </cell>
          <cell r="J34">
            <v>0</v>
          </cell>
          <cell r="L34">
            <v>0</v>
          </cell>
          <cell r="N34">
            <v>0</v>
          </cell>
        </row>
        <row r="35">
          <cell r="D35">
            <v>0</v>
          </cell>
          <cell r="F35">
            <v>0</v>
          </cell>
          <cell r="H35">
            <v>0</v>
          </cell>
          <cell r="J35">
            <v>0</v>
          </cell>
          <cell r="L35">
            <v>0</v>
          </cell>
          <cell r="N35">
            <v>0</v>
          </cell>
        </row>
        <row r="36">
          <cell r="D36">
            <v>0</v>
          </cell>
          <cell r="F36">
            <v>0</v>
          </cell>
          <cell r="H36">
            <v>0</v>
          </cell>
          <cell r="J36">
            <v>0</v>
          </cell>
          <cell r="L36">
            <v>0</v>
          </cell>
          <cell r="N36">
            <v>0</v>
          </cell>
        </row>
        <row r="37">
          <cell r="D37">
            <v>0</v>
          </cell>
          <cell r="F37">
            <v>0</v>
          </cell>
          <cell r="H37">
            <v>0</v>
          </cell>
          <cell r="J37">
            <v>0</v>
          </cell>
          <cell r="L37">
            <v>0</v>
          </cell>
          <cell r="N37">
            <v>0</v>
          </cell>
        </row>
        <row r="38">
          <cell r="D38">
            <v>0</v>
          </cell>
          <cell r="F38">
            <v>0</v>
          </cell>
          <cell r="H38">
            <v>0</v>
          </cell>
          <cell r="J38">
            <v>0</v>
          </cell>
          <cell r="L38">
            <v>0</v>
          </cell>
          <cell r="N38">
            <v>0</v>
          </cell>
        </row>
        <row r="39">
          <cell r="D39">
            <v>0</v>
          </cell>
          <cell r="F39">
            <v>0</v>
          </cell>
          <cell r="H39">
            <v>0</v>
          </cell>
          <cell r="J39">
            <v>0</v>
          </cell>
          <cell r="L39">
            <v>0</v>
          </cell>
          <cell r="N39">
            <v>0</v>
          </cell>
        </row>
        <row r="40">
          <cell r="D40">
            <v>0</v>
          </cell>
          <cell r="F40">
            <v>0</v>
          </cell>
          <cell r="H40">
            <v>0</v>
          </cell>
          <cell r="J40">
            <v>0</v>
          </cell>
          <cell r="L40">
            <v>0</v>
          </cell>
          <cell r="N40">
            <v>0</v>
          </cell>
        </row>
        <row r="41">
          <cell r="D41">
            <v>0</v>
          </cell>
          <cell r="F41">
            <v>0</v>
          </cell>
          <cell r="H41">
            <v>0</v>
          </cell>
          <cell r="J41">
            <v>0</v>
          </cell>
          <cell r="L41">
            <v>0</v>
          </cell>
          <cell r="N41">
            <v>0</v>
          </cell>
        </row>
        <row r="42">
          <cell r="D42">
            <v>0</v>
          </cell>
          <cell r="F42">
            <v>0</v>
          </cell>
          <cell r="H42">
            <v>0</v>
          </cell>
          <cell r="J42">
            <v>0</v>
          </cell>
          <cell r="L42">
            <v>0</v>
          </cell>
          <cell r="N42">
            <v>0</v>
          </cell>
        </row>
        <row r="44">
          <cell r="D44">
            <v>0</v>
          </cell>
          <cell r="F44">
            <v>0</v>
          </cell>
          <cell r="H44">
            <v>0</v>
          </cell>
          <cell r="J44">
            <v>0</v>
          </cell>
          <cell r="L44">
            <v>0</v>
          </cell>
          <cell r="N44">
            <v>0</v>
          </cell>
        </row>
        <row r="45">
          <cell r="D45">
            <v>0</v>
          </cell>
          <cell r="F45">
            <v>0</v>
          </cell>
          <cell r="H45">
            <v>0</v>
          </cell>
          <cell r="J45">
            <v>0</v>
          </cell>
          <cell r="L45">
            <v>0</v>
          </cell>
          <cell r="N45">
            <v>0</v>
          </cell>
        </row>
        <row r="46">
          <cell r="D46">
            <v>0</v>
          </cell>
          <cell r="F46">
            <v>0</v>
          </cell>
          <cell r="H46">
            <v>0</v>
          </cell>
          <cell r="J46">
            <v>0</v>
          </cell>
          <cell r="L46">
            <v>0</v>
          </cell>
          <cell r="N46">
            <v>0</v>
          </cell>
        </row>
        <row r="47">
          <cell r="D47">
            <v>0</v>
          </cell>
          <cell r="F47">
            <v>0</v>
          </cell>
          <cell r="H47">
            <v>0</v>
          </cell>
          <cell r="J47">
            <v>0</v>
          </cell>
          <cell r="L47">
            <v>0</v>
          </cell>
          <cell r="N47">
            <v>0</v>
          </cell>
        </row>
        <row r="48">
          <cell r="D48">
            <v>0</v>
          </cell>
          <cell r="F48">
            <v>0</v>
          </cell>
          <cell r="H48">
            <v>0</v>
          </cell>
          <cell r="J48">
            <v>0</v>
          </cell>
          <cell r="L48">
            <v>0</v>
          </cell>
          <cell r="N48">
            <v>0</v>
          </cell>
        </row>
        <row r="49">
          <cell r="D49">
            <v>0</v>
          </cell>
          <cell r="F49">
            <v>0</v>
          </cell>
          <cell r="H49">
            <v>0</v>
          </cell>
          <cell r="J49">
            <v>0</v>
          </cell>
          <cell r="L49">
            <v>0</v>
          </cell>
          <cell r="N49">
            <v>0</v>
          </cell>
        </row>
        <row r="50">
          <cell r="D50">
            <v>0</v>
          </cell>
          <cell r="F50">
            <v>0</v>
          </cell>
          <cell r="H50">
            <v>0</v>
          </cell>
          <cell r="J50">
            <v>0</v>
          </cell>
          <cell r="L50">
            <v>0</v>
          </cell>
          <cell r="N50">
            <v>0</v>
          </cell>
        </row>
        <row r="51">
          <cell r="D51">
            <v>0</v>
          </cell>
          <cell r="F51">
            <v>0</v>
          </cell>
          <cell r="H51">
            <v>0</v>
          </cell>
          <cell r="J51">
            <v>0</v>
          </cell>
          <cell r="L51">
            <v>0</v>
          </cell>
          <cell r="N51">
            <v>0</v>
          </cell>
        </row>
        <row r="53">
          <cell r="D53">
            <v>0</v>
          </cell>
          <cell r="F53">
            <v>0</v>
          </cell>
          <cell r="H53">
            <v>0</v>
          </cell>
          <cell r="J53">
            <v>0</v>
          </cell>
          <cell r="L53">
            <v>0</v>
          </cell>
          <cell r="N53">
            <v>0</v>
          </cell>
        </row>
        <row r="54">
          <cell r="D54">
            <v>0</v>
          </cell>
          <cell r="F54">
            <v>0</v>
          </cell>
          <cell r="H54">
            <v>0</v>
          </cell>
          <cell r="J54">
            <v>0</v>
          </cell>
          <cell r="L54">
            <v>0</v>
          </cell>
          <cell r="N54">
            <v>0</v>
          </cell>
        </row>
        <row r="55">
          <cell r="D55">
            <v>0</v>
          </cell>
          <cell r="F55">
            <v>0</v>
          </cell>
          <cell r="H55">
            <v>0</v>
          </cell>
          <cell r="J55">
            <v>0</v>
          </cell>
          <cell r="L55">
            <v>0</v>
          </cell>
          <cell r="N55">
            <v>0</v>
          </cell>
        </row>
        <row r="56">
          <cell r="D56">
            <v>0</v>
          </cell>
          <cell r="F56">
            <v>0</v>
          </cell>
          <cell r="H56">
            <v>0</v>
          </cell>
          <cell r="J56">
            <v>0</v>
          </cell>
          <cell r="L56">
            <v>0</v>
          </cell>
          <cell r="N56">
            <v>0</v>
          </cell>
        </row>
        <row r="57">
          <cell r="D57">
            <v>0</v>
          </cell>
          <cell r="F57">
            <v>0</v>
          </cell>
          <cell r="H57">
            <v>0</v>
          </cell>
          <cell r="J57">
            <v>0</v>
          </cell>
          <cell r="L57">
            <v>0</v>
          </cell>
          <cell r="N57">
            <v>0</v>
          </cell>
        </row>
        <row r="66">
          <cell r="D66">
            <v>0</v>
          </cell>
          <cell r="F66">
            <v>0</v>
          </cell>
          <cell r="L66">
            <v>0</v>
          </cell>
          <cell r="N66">
            <v>0</v>
          </cell>
        </row>
        <row r="67">
          <cell r="D67">
            <v>0</v>
          </cell>
          <cell r="F67">
            <v>0</v>
          </cell>
          <cell r="L67">
            <v>0</v>
          </cell>
          <cell r="N67">
            <v>0</v>
          </cell>
        </row>
        <row r="68">
          <cell r="D68">
            <v>0</v>
          </cell>
          <cell r="F68">
            <v>0</v>
          </cell>
          <cell r="L68">
            <v>0</v>
          </cell>
          <cell r="N68">
            <v>0</v>
          </cell>
        </row>
        <row r="69">
          <cell r="D69">
            <v>0</v>
          </cell>
          <cell r="F69">
            <v>0</v>
          </cell>
        </row>
        <row r="70">
          <cell r="L70">
            <v>0</v>
          </cell>
          <cell r="N70">
            <v>0</v>
          </cell>
        </row>
      </sheetData>
      <sheetData sheetId="3">
        <row r="11">
          <cell r="D11">
            <v>0</v>
          </cell>
          <cell r="F11">
            <v>0</v>
          </cell>
          <cell r="H11">
            <v>0</v>
          </cell>
          <cell r="J11">
            <v>0</v>
          </cell>
          <cell r="L11">
            <v>0</v>
          </cell>
          <cell r="N11">
            <v>0</v>
          </cell>
          <cell r="P11">
            <v>0</v>
          </cell>
          <cell r="R11">
            <v>0</v>
          </cell>
        </row>
        <row r="12">
          <cell r="D12">
            <v>0</v>
          </cell>
          <cell r="F12">
            <v>0</v>
          </cell>
          <cell r="H12">
            <v>0</v>
          </cell>
          <cell r="J12">
            <v>0</v>
          </cell>
          <cell r="L12">
            <v>0</v>
          </cell>
          <cell r="N12">
            <v>0</v>
          </cell>
          <cell r="P12">
            <v>0</v>
          </cell>
          <cell r="R12">
            <v>0</v>
          </cell>
        </row>
        <row r="13">
          <cell r="D13">
            <v>0</v>
          </cell>
          <cell r="F13">
            <v>0</v>
          </cell>
          <cell r="H13">
            <v>0</v>
          </cell>
          <cell r="J13">
            <v>0</v>
          </cell>
          <cell r="L13">
            <v>0</v>
          </cell>
          <cell r="N13">
            <v>0</v>
          </cell>
          <cell r="P13">
            <v>0</v>
          </cell>
          <cell r="R13">
            <v>0</v>
          </cell>
        </row>
        <row r="14">
          <cell r="D14">
            <v>0</v>
          </cell>
          <cell r="F14">
            <v>0</v>
          </cell>
          <cell r="H14">
            <v>0</v>
          </cell>
          <cell r="J14">
            <v>0</v>
          </cell>
          <cell r="L14">
            <v>0</v>
          </cell>
          <cell r="N14">
            <v>0</v>
          </cell>
          <cell r="P14">
            <v>0</v>
          </cell>
          <cell r="R14">
            <v>0</v>
          </cell>
        </row>
        <row r="15">
          <cell r="D15">
            <v>0</v>
          </cell>
          <cell r="F15">
            <v>0</v>
          </cell>
          <cell r="H15">
            <v>0</v>
          </cell>
          <cell r="J15">
            <v>0</v>
          </cell>
          <cell r="L15">
            <v>0</v>
          </cell>
          <cell r="N15">
            <v>0</v>
          </cell>
          <cell r="P15">
            <v>0</v>
          </cell>
          <cell r="R15">
            <v>0</v>
          </cell>
        </row>
        <row r="16">
          <cell r="D16">
            <v>0</v>
          </cell>
          <cell r="F16">
            <v>0</v>
          </cell>
          <cell r="H16">
            <v>0</v>
          </cell>
          <cell r="J16">
            <v>0</v>
          </cell>
          <cell r="L16">
            <v>0</v>
          </cell>
          <cell r="N16">
            <v>0</v>
          </cell>
          <cell r="P16">
            <v>0</v>
          </cell>
          <cell r="R16">
            <v>0</v>
          </cell>
        </row>
        <row r="17">
          <cell r="D17">
            <v>0</v>
          </cell>
          <cell r="F17">
            <v>0</v>
          </cell>
          <cell r="H17">
            <v>0</v>
          </cell>
          <cell r="J17">
            <v>0</v>
          </cell>
          <cell r="L17">
            <v>0</v>
          </cell>
          <cell r="N17">
            <v>0</v>
          </cell>
          <cell r="P17">
            <v>0</v>
          </cell>
          <cell r="R17">
            <v>0</v>
          </cell>
        </row>
        <row r="18">
          <cell r="D18">
            <v>0</v>
          </cell>
          <cell r="F18">
            <v>0</v>
          </cell>
          <cell r="H18">
            <v>0</v>
          </cell>
          <cell r="J18">
            <v>0</v>
          </cell>
          <cell r="L18">
            <v>0</v>
          </cell>
          <cell r="N18">
            <v>0</v>
          </cell>
          <cell r="P18">
            <v>0</v>
          </cell>
          <cell r="R18">
            <v>0</v>
          </cell>
        </row>
        <row r="19">
          <cell r="D19">
            <v>0</v>
          </cell>
          <cell r="F19">
            <v>0</v>
          </cell>
          <cell r="H19">
            <v>0</v>
          </cell>
          <cell r="J19">
            <v>0</v>
          </cell>
          <cell r="L19">
            <v>0</v>
          </cell>
          <cell r="N19">
            <v>0</v>
          </cell>
          <cell r="P19">
            <v>0</v>
          </cell>
          <cell r="R19">
            <v>0</v>
          </cell>
        </row>
        <row r="21">
          <cell r="D21">
            <v>0</v>
          </cell>
          <cell r="F21">
            <v>0</v>
          </cell>
          <cell r="H21">
            <v>0</v>
          </cell>
          <cell r="J21">
            <v>0</v>
          </cell>
          <cell r="L21">
            <v>0</v>
          </cell>
          <cell r="N21">
            <v>0</v>
          </cell>
          <cell r="P21">
            <v>0</v>
          </cell>
          <cell r="R21">
            <v>0</v>
          </cell>
        </row>
        <row r="22">
          <cell r="D22">
            <v>0</v>
          </cell>
          <cell r="F22">
            <v>0</v>
          </cell>
          <cell r="H22">
            <v>0</v>
          </cell>
          <cell r="J22">
            <v>0</v>
          </cell>
          <cell r="L22">
            <v>0</v>
          </cell>
          <cell r="N22">
            <v>0</v>
          </cell>
          <cell r="P22">
            <v>0</v>
          </cell>
          <cell r="R22">
            <v>0</v>
          </cell>
        </row>
        <row r="23">
          <cell r="D23">
            <v>0</v>
          </cell>
          <cell r="F23">
            <v>0</v>
          </cell>
          <cell r="H23">
            <v>0</v>
          </cell>
          <cell r="J23">
            <v>0</v>
          </cell>
          <cell r="L23">
            <v>0</v>
          </cell>
          <cell r="N23">
            <v>0</v>
          </cell>
          <cell r="P23">
            <v>0</v>
          </cell>
          <cell r="R23">
            <v>0</v>
          </cell>
        </row>
        <row r="24">
          <cell r="D24">
            <v>0</v>
          </cell>
          <cell r="F24">
            <v>0</v>
          </cell>
          <cell r="H24">
            <v>0</v>
          </cell>
          <cell r="J24">
            <v>0</v>
          </cell>
          <cell r="L24">
            <v>0</v>
          </cell>
          <cell r="N24">
            <v>0</v>
          </cell>
          <cell r="P24">
            <v>0</v>
          </cell>
          <cell r="R24">
            <v>0</v>
          </cell>
        </row>
        <row r="25">
          <cell r="D25">
            <v>0</v>
          </cell>
          <cell r="F25">
            <v>0</v>
          </cell>
          <cell r="H25">
            <v>0</v>
          </cell>
          <cell r="J25">
            <v>0</v>
          </cell>
          <cell r="L25">
            <v>0</v>
          </cell>
          <cell r="N25">
            <v>0</v>
          </cell>
          <cell r="P25">
            <v>0</v>
          </cell>
          <cell r="R25">
            <v>0</v>
          </cell>
        </row>
        <row r="26">
          <cell r="D26">
            <v>0</v>
          </cell>
          <cell r="F26">
            <v>0</v>
          </cell>
          <cell r="H26">
            <v>0</v>
          </cell>
          <cell r="J26">
            <v>0</v>
          </cell>
          <cell r="L26">
            <v>0</v>
          </cell>
          <cell r="N26">
            <v>0</v>
          </cell>
          <cell r="P26">
            <v>0</v>
          </cell>
          <cell r="R26">
            <v>0</v>
          </cell>
        </row>
        <row r="27">
          <cell r="D27">
            <v>0</v>
          </cell>
          <cell r="F27">
            <v>0</v>
          </cell>
          <cell r="H27">
            <v>0</v>
          </cell>
          <cell r="J27">
            <v>0</v>
          </cell>
          <cell r="L27">
            <v>0</v>
          </cell>
          <cell r="N27">
            <v>0</v>
          </cell>
          <cell r="P27">
            <v>0</v>
          </cell>
          <cell r="R27">
            <v>0</v>
          </cell>
        </row>
        <row r="28">
          <cell r="D28">
            <v>0</v>
          </cell>
          <cell r="F28">
            <v>0</v>
          </cell>
          <cell r="H28">
            <v>0</v>
          </cell>
          <cell r="J28">
            <v>0</v>
          </cell>
          <cell r="L28">
            <v>0</v>
          </cell>
          <cell r="N28">
            <v>0</v>
          </cell>
        </row>
        <row r="29">
          <cell r="D29">
            <v>0</v>
          </cell>
          <cell r="F29">
            <v>0</v>
          </cell>
          <cell r="H29">
            <v>0</v>
          </cell>
          <cell r="J29">
            <v>0</v>
          </cell>
          <cell r="L29">
            <v>0</v>
          </cell>
          <cell r="N29">
            <v>0</v>
          </cell>
          <cell r="P29">
            <v>0</v>
          </cell>
          <cell r="R29">
            <v>0</v>
          </cell>
        </row>
        <row r="30">
          <cell r="D30">
            <v>0</v>
          </cell>
          <cell r="F30">
            <v>0</v>
          </cell>
          <cell r="H30">
            <v>0</v>
          </cell>
          <cell r="J30">
            <v>0</v>
          </cell>
          <cell r="L30">
            <v>0</v>
          </cell>
          <cell r="N30">
            <v>0</v>
          </cell>
          <cell r="P30">
            <v>0</v>
          </cell>
          <cell r="R30">
            <v>0</v>
          </cell>
        </row>
        <row r="31">
          <cell r="D31">
            <v>0</v>
          </cell>
          <cell r="F31">
            <v>0</v>
          </cell>
          <cell r="H31">
            <v>0</v>
          </cell>
          <cell r="J31">
            <v>0</v>
          </cell>
          <cell r="L31">
            <v>0</v>
          </cell>
          <cell r="N31">
            <v>0</v>
          </cell>
          <cell r="P31">
            <v>0</v>
          </cell>
          <cell r="R31">
            <v>0</v>
          </cell>
        </row>
        <row r="32">
          <cell r="D32">
            <v>0</v>
          </cell>
          <cell r="F32">
            <v>0</v>
          </cell>
          <cell r="H32">
            <v>0</v>
          </cell>
          <cell r="J32">
            <v>0</v>
          </cell>
          <cell r="L32">
            <v>0</v>
          </cell>
          <cell r="N32">
            <v>0</v>
          </cell>
          <cell r="P32">
            <v>0</v>
          </cell>
          <cell r="R32">
            <v>0</v>
          </cell>
        </row>
        <row r="33">
          <cell r="D33">
            <v>0</v>
          </cell>
          <cell r="F33">
            <v>0</v>
          </cell>
          <cell r="H33">
            <v>0</v>
          </cell>
          <cell r="J33">
            <v>0</v>
          </cell>
          <cell r="L33">
            <v>0</v>
          </cell>
          <cell r="N33">
            <v>0</v>
          </cell>
          <cell r="P33">
            <v>0</v>
          </cell>
          <cell r="R33">
            <v>0</v>
          </cell>
        </row>
        <row r="34">
          <cell r="D34">
            <v>0</v>
          </cell>
          <cell r="F34">
            <v>0</v>
          </cell>
          <cell r="H34">
            <v>0</v>
          </cell>
          <cell r="J34">
            <v>0</v>
          </cell>
          <cell r="L34">
            <v>0</v>
          </cell>
          <cell r="N34">
            <v>0</v>
          </cell>
          <cell r="P34">
            <v>0</v>
          </cell>
          <cell r="R34">
            <v>0</v>
          </cell>
        </row>
        <row r="35">
          <cell r="D35">
            <v>0</v>
          </cell>
          <cell r="F35">
            <v>0</v>
          </cell>
          <cell r="H35">
            <v>0</v>
          </cell>
          <cell r="J35">
            <v>0</v>
          </cell>
          <cell r="L35">
            <v>0</v>
          </cell>
          <cell r="N35">
            <v>0</v>
          </cell>
          <cell r="P35">
            <v>0</v>
          </cell>
          <cell r="R35">
            <v>0</v>
          </cell>
        </row>
        <row r="38">
          <cell r="D38">
            <v>0</v>
          </cell>
          <cell r="F38">
            <v>0</v>
          </cell>
          <cell r="H38">
            <v>0</v>
          </cell>
          <cell r="J38">
            <v>0</v>
          </cell>
          <cell r="L38">
            <v>0</v>
          </cell>
          <cell r="N38">
            <v>0</v>
          </cell>
          <cell r="P38">
            <v>0</v>
          </cell>
          <cell r="R38">
            <v>0</v>
          </cell>
        </row>
        <row r="40">
          <cell r="D40">
            <v>0</v>
          </cell>
          <cell r="F40">
            <v>0</v>
          </cell>
          <cell r="H40">
            <v>0</v>
          </cell>
          <cell r="J40">
            <v>0</v>
          </cell>
          <cell r="L40">
            <v>0</v>
          </cell>
          <cell r="N40">
            <v>0</v>
          </cell>
          <cell r="P40">
            <v>0</v>
          </cell>
          <cell r="R40">
            <v>0</v>
          </cell>
        </row>
        <row r="41">
          <cell r="D41">
            <v>0</v>
          </cell>
          <cell r="F41">
            <v>0</v>
          </cell>
          <cell r="H41">
            <v>0</v>
          </cell>
          <cell r="J41">
            <v>0</v>
          </cell>
          <cell r="L41">
            <v>0</v>
          </cell>
          <cell r="N41">
            <v>0</v>
          </cell>
          <cell r="P41">
            <v>0</v>
          </cell>
          <cell r="R41">
            <v>0</v>
          </cell>
        </row>
        <row r="42">
          <cell r="D42">
            <v>0</v>
          </cell>
          <cell r="F42">
            <v>0</v>
          </cell>
          <cell r="H42">
            <v>0</v>
          </cell>
          <cell r="J42">
            <v>0</v>
          </cell>
          <cell r="L42">
            <v>0</v>
          </cell>
          <cell r="N42">
            <v>0</v>
          </cell>
          <cell r="P42">
            <v>0</v>
          </cell>
          <cell r="R42">
            <v>0</v>
          </cell>
        </row>
        <row r="44">
          <cell r="D44">
            <v>0</v>
          </cell>
          <cell r="F44">
            <v>0</v>
          </cell>
          <cell r="H44">
            <v>0</v>
          </cell>
          <cell r="J44">
            <v>0</v>
          </cell>
          <cell r="L44">
            <v>0</v>
          </cell>
          <cell r="N44">
            <v>0</v>
          </cell>
          <cell r="P44">
            <v>0</v>
          </cell>
          <cell r="R44">
            <v>0</v>
          </cell>
        </row>
        <row r="45">
          <cell r="D45">
            <v>0</v>
          </cell>
          <cell r="F45">
            <v>0</v>
          </cell>
          <cell r="H45">
            <v>0</v>
          </cell>
          <cell r="J45">
            <v>0</v>
          </cell>
          <cell r="L45">
            <v>0</v>
          </cell>
          <cell r="N45">
            <v>0</v>
          </cell>
          <cell r="P45">
            <v>0</v>
          </cell>
          <cell r="R45">
            <v>0</v>
          </cell>
        </row>
        <row r="46">
          <cell r="D46">
            <v>0</v>
          </cell>
          <cell r="F46">
            <v>0</v>
          </cell>
          <cell r="H46">
            <v>0</v>
          </cell>
          <cell r="J46">
            <v>0</v>
          </cell>
          <cell r="L46">
            <v>0</v>
          </cell>
          <cell r="N46">
            <v>0</v>
          </cell>
          <cell r="P46">
            <v>0</v>
          </cell>
          <cell r="R46">
            <v>0</v>
          </cell>
        </row>
        <row r="47">
          <cell r="D47">
            <v>0</v>
          </cell>
          <cell r="F47">
            <v>0</v>
          </cell>
          <cell r="H47">
            <v>0</v>
          </cell>
          <cell r="J47">
            <v>0</v>
          </cell>
          <cell r="L47">
            <v>0</v>
          </cell>
          <cell r="N47">
            <v>0</v>
          </cell>
          <cell r="P47">
            <v>0</v>
          </cell>
          <cell r="R47">
            <v>0</v>
          </cell>
        </row>
        <row r="48">
          <cell r="D48">
            <v>0</v>
          </cell>
          <cell r="F48">
            <v>0</v>
          </cell>
          <cell r="H48">
            <v>0</v>
          </cell>
          <cell r="J48">
            <v>0</v>
          </cell>
          <cell r="L48">
            <v>0</v>
          </cell>
          <cell r="N48">
            <v>0</v>
          </cell>
          <cell r="P48">
            <v>0</v>
          </cell>
          <cell r="R48">
            <v>0</v>
          </cell>
        </row>
        <row r="49">
          <cell r="D49">
            <v>0</v>
          </cell>
          <cell r="F49">
            <v>0</v>
          </cell>
          <cell r="H49">
            <v>0</v>
          </cell>
          <cell r="J49">
            <v>0</v>
          </cell>
          <cell r="L49">
            <v>0</v>
          </cell>
          <cell r="N49">
            <v>0</v>
          </cell>
          <cell r="P49">
            <v>0</v>
          </cell>
          <cell r="R49">
            <v>0</v>
          </cell>
        </row>
        <row r="50">
          <cell r="D50">
            <v>0</v>
          </cell>
          <cell r="F50">
            <v>0</v>
          </cell>
          <cell r="H50">
            <v>0</v>
          </cell>
          <cell r="J50">
            <v>0</v>
          </cell>
          <cell r="L50">
            <v>0</v>
          </cell>
          <cell r="N50">
            <v>0</v>
          </cell>
          <cell r="P50">
            <v>0</v>
          </cell>
          <cell r="R50">
            <v>0</v>
          </cell>
        </row>
        <row r="51">
          <cell r="D51">
            <v>0</v>
          </cell>
          <cell r="F51">
            <v>0</v>
          </cell>
          <cell r="H51">
            <v>0</v>
          </cell>
          <cell r="J51">
            <v>0</v>
          </cell>
          <cell r="L51">
            <v>0</v>
          </cell>
          <cell r="N51">
            <v>0</v>
          </cell>
          <cell r="P51">
            <v>0</v>
          </cell>
          <cell r="R51">
            <v>0</v>
          </cell>
        </row>
        <row r="53">
          <cell r="D53">
            <v>0</v>
          </cell>
          <cell r="F53">
            <v>0</v>
          </cell>
          <cell r="H53">
            <v>0</v>
          </cell>
          <cell r="J53">
            <v>0</v>
          </cell>
          <cell r="L53">
            <v>0</v>
          </cell>
          <cell r="N53">
            <v>0</v>
          </cell>
          <cell r="P53">
            <v>0</v>
          </cell>
          <cell r="R53">
            <v>0</v>
          </cell>
        </row>
        <row r="54">
          <cell r="D54">
            <v>0</v>
          </cell>
          <cell r="F54">
            <v>0</v>
          </cell>
          <cell r="H54">
            <v>0</v>
          </cell>
          <cell r="J54">
            <v>0</v>
          </cell>
          <cell r="L54">
            <v>0</v>
          </cell>
          <cell r="N54">
            <v>0</v>
          </cell>
          <cell r="P54">
            <v>0</v>
          </cell>
          <cell r="R54">
            <v>0</v>
          </cell>
        </row>
        <row r="55">
          <cell r="D55">
            <v>0</v>
          </cell>
          <cell r="F55">
            <v>0</v>
          </cell>
          <cell r="H55">
            <v>0</v>
          </cell>
          <cell r="J55">
            <v>0</v>
          </cell>
          <cell r="L55">
            <v>0</v>
          </cell>
          <cell r="N55">
            <v>0</v>
          </cell>
          <cell r="P55">
            <v>0</v>
          </cell>
          <cell r="R55">
            <v>0</v>
          </cell>
        </row>
        <row r="56">
          <cell r="D56">
            <v>0</v>
          </cell>
          <cell r="F56">
            <v>0</v>
          </cell>
          <cell r="H56">
            <v>0</v>
          </cell>
          <cell r="J56">
            <v>0</v>
          </cell>
          <cell r="L56">
            <v>0</v>
          </cell>
          <cell r="N56">
            <v>0</v>
          </cell>
          <cell r="P56">
            <v>0</v>
          </cell>
          <cell r="R56">
            <v>0</v>
          </cell>
        </row>
        <row r="57">
          <cell r="D57">
            <v>0</v>
          </cell>
          <cell r="F57">
            <v>0</v>
          </cell>
          <cell r="H57">
            <v>0</v>
          </cell>
          <cell r="J57">
            <v>0</v>
          </cell>
          <cell r="L57">
            <v>0</v>
          </cell>
          <cell r="N57">
            <v>0</v>
          </cell>
          <cell r="P57">
            <v>0</v>
          </cell>
          <cell r="R57">
            <v>0</v>
          </cell>
        </row>
        <row r="60">
          <cell r="P60">
            <v>0</v>
          </cell>
          <cell r="R60">
            <v>0</v>
          </cell>
        </row>
      </sheetData>
      <sheetData sheetId="4">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5">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6">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7">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8">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9">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0">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1">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2">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3">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6">
          <cell r="G16">
            <v>0</v>
          </cell>
          <cell r="H16">
            <v>0</v>
          </cell>
          <cell r="L16">
            <v>0</v>
          </cell>
          <cell r="M16">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0">
          <cell r="G20">
            <v>0</v>
          </cell>
          <cell r="H20">
            <v>0</v>
          </cell>
          <cell r="L20">
            <v>0</v>
          </cell>
          <cell r="M20">
            <v>0</v>
          </cell>
        </row>
        <row r="21">
          <cell r="G21">
            <v>0</v>
          </cell>
          <cell r="H21">
            <v>0</v>
          </cell>
          <cell r="L21">
            <v>0</v>
          </cell>
          <cell r="M21">
            <v>0</v>
          </cell>
        </row>
        <row r="22">
          <cell r="G22">
            <v>0</v>
          </cell>
          <cell r="H22">
            <v>0</v>
          </cell>
          <cell r="L22">
            <v>0</v>
          </cell>
          <cell r="M22">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3">
          <cell r="G43">
            <v>0</v>
          </cell>
          <cell r="H43">
            <v>0</v>
          </cell>
          <cell r="L43">
            <v>0</v>
          </cell>
          <cell r="M43">
            <v>0</v>
          </cell>
        </row>
        <row r="45">
          <cell r="G45">
            <v>0</v>
          </cell>
          <cell r="H45">
            <v>0</v>
          </cell>
          <cell r="L45">
            <v>0</v>
          </cell>
          <cell r="M45">
            <v>0</v>
          </cell>
        </row>
        <row r="46">
          <cell r="G46">
            <v>0</v>
          </cell>
          <cell r="H46">
            <v>0</v>
          </cell>
          <cell r="L46">
            <v>0</v>
          </cell>
          <cell r="M46">
            <v>0</v>
          </cell>
        </row>
        <row r="47">
          <cell r="G47">
            <v>0</v>
          </cell>
          <cell r="H47">
            <v>0</v>
          </cell>
          <cell r="L47">
            <v>0</v>
          </cell>
          <cell r="M47">
            <v>0</v>
          </cell>
        </row>
        <row r="50">
          <cell r="G50">
            <v>0</v>
          </cell>
          <cell r="H50">
            <v>0</v>
          </cell>
          <cell r="L50">
            <v>0</v>
          </cell>
          <cell r="M50">
            <v>0</v>
          </cell>
        </row>
        <row r="51">
          <cell r="I51">
            <v>0</v>
          </cell>
          <cell r="N51">
            <v>0</v>
          </cell>
        </row>
      </sheetData>
      <sheetData sheetId="14">
        <row r="4">
          <cell r="G4">
            <v>0</v>
          </cell>
          <cell r="H4">
            <v>0</v>
          </cell>
          <cell r="L4">
            <v>0</v>
          </cell>
          <cell r="M4">
            <v>0</v>
          </cell>
        </row>
        <row r="5">
          <cell r="G5">
            <v>0</v>
          </cell>
          <cell r="H5">
            <v>0</v>
          </cell>
          <cell r="L5">
            <v>0</v>
          </cell>
          <cell r="M5">
            <v>0</v>
          </cell>
        </row>
        <row r="6">
          <cell r="G6">
            <v>0</v>
          </cell>
          <cell r="H6">
            <v>0</v>
          </cell>
          <cell r="L6">
            <v>0</v>
          </cell>
          <cell r="M6">
            <v>0</v>
          </cell>
        </row>
        <row r="7">
          <cell r="G7">
            <v>0</v>
          </cell>
          <cell r="H7">
            <v>0</v>
          </cell>
          <cell r="L7">
            <v>0</v>
          </cell>
          <cell r="M7">
            <v>0</v>
          </cell>
        </row>
        <row r="8">
          <cell r="G8">
            <v>0</v>
          </cell>
          <cell r="H8">
            <v>0</v>
          </cell>
          <cell r="L8">
            <v>0</v>
          </cell>
          <cell r="M8">
            <v>0</v>
          </cell>
        </row>
        <row r="9">
          <cell r="G9">
            <v>0</v>
          </cell>
          <cell r="H9">
            <v>0</v>
          </cell>
          <cell r="L9">
            <v>0</v>
          </cell>
          <cell r="M9">
            <v>0</v>
          </cell>
        </row>
        <row r="10">
          <cell r="G10">
            <v>0</v>
          </cell>
          <cell r="H10">
            <v>0</v>
          </cell>
          <cell r="L10">
            <v>0</v>
          </cell>
          <cell r="M10">
            <v>0</v>
          </cell>
        </row>
        <row r="11">
          <cell r="G11">
            <v>0</v>
          </cell>
          <cell r="H11">
            <v>0</v>
          </cell>
          <cell r="L11">
            <v>0</v>
          </cell>
          <cell r="M11">
            <v>0</v>
          </cell>
        </row>
        <row r="12">
          <cell r="G12">
            <v>0</v>
          </cell>
          <cell r="H12">
            <v>0</v>
          </cell>
          <cell r="L12">
            <v>0</v>
          </cell>
          <cell r="M12">
            <v>0</v>
          </cell>
        </row>
        <row r="13">
          <cell r="G13">
            <v>0</v>
          </cell>
          <cell r="H13">
            <v>0</v>
          </cell>
          <cell r="L13">
            <v>0</v>
          </cell>
          <cell r="M13">
            <v>0</v>
          </cell>
        </row>
        <row r="14">
          <cell r="G14">
            <v>0</v>
          </cell>
          <cell r="H14">
            <v>0</v>
          </cell>
          <cell r="L14">
            <v>0</v>
          </cell>
          <cell r="M14">
            <v>0</v>
          </cell>
        </row>
        <row r="15">
          <cell r="G15">
            <v>0</v>
          </cell>
          <cell r="H15">
            <v>0</v>
          </cell>
          <cell r="L15">
            <v>0</v>
          </cell>
          <cell r="M15">
            <v>0</v>
          </cell>
        </row>
        <row r="17">
          <cell r="G17">
            <v>0</v>
          </cell>
          <cell r="H17">
            <v>0</v>
          </cell>
          <cell r="L17">
            <v>0</v>
          </cell>
          <cell r="M17">
            <v>0</v>
          </cell>
        </row>
        <row r="18">
          <cell r="G18">
            <v>0</v>
          </cell>
          <cell r="H18">
            <v>0</v>
          </cell>
          <cell r="L18">
            <v>0</v>
          </cell>
          <cell r="M18">
            <v>0</v>
          </cell>
        </row>
        <row r="19">
          <cell r="G19">
            <v>0</v>
          </cell>
          <cell r="H19">
            <v>0</v>
          </cell>
          <cell r="L19">
            <v>0</v>
          </cell>
          <cell r="M19">
            <v>0</v>
          </cell>
        </row>
        <row r="21">
          <cell r="G21">
            <v>0</v>
          </cell>
          <cell r="H21">
            <v>0</v>
          </cell>
          <cell r="L21">
            <v>0</v>
          </cell>
          <cell r="M21">
            <v>0</v>
          </cell>
        </row>
        <row r="22">
          <cell r="G22">
            <v>0</v>
          </cell>
          <cell r="H22">
            <v>0</v>
          </cell>
          <cell r="L22">
            <v>0</v>
          </cell>
          <cell r="M22">
            <v>0</v>
          </cell>
        </row>
        <row r="23">
          <cell r="G23">
            <v>0</v>
          </cell>
          <cell r="H23">
            <v>0</v>
          </cell>
          <cell r="L23">
            <v>0</v>
          </cell>
          <cell r="M23">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7">
          <cell r="G27">
            <v>0</v>
          </cell>
          <cell r="H27">
            <v>0</v>
          </cell>
          <cell r="L27">
            <v>0</v>
          </cell>
          <cell r="M27">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G33">
            <v>0</v>
          </cell>
          <cell r="H33">
            <v>0</v>
          </cell>
          <cell r="L33">
            <v>0</v>
          </cell>
          <cell r="M33">
            <v>0</v>
          </cell>
        </row>
        <row r="34">
          <cell r="G34">
            <v>0</v>
          </cell>
          <cell r="H34">
            <v>0</v>
          </cell>
          <cell r="L34">
            <v>0</v>
          </cell>
          <cell r="M34">
            <v>0</v>
          </cell>
        </row>
        <row r="35">
          <cell r="G35">
            <v>0</v>
          </cell>
          <cell r="H35">
            <v>0</v>
          </cell>
          <cell r="L35">
            <v>0</v>
          </cell>
          <cell r="M35">
            <v>0</v>
          </cell>
        </row>
        <row r="36">
          <cell r="G36">
            <v>0</v>
          </cell>
          <cell r="H36">
            <v>0</v>
          </cell>
          <cell r="L36">
            <v>0</v>
          </cell>
          <cell r="M36">
            <v>0</v>
          </cell>
        </row>
        <row r="37">
          <cell r="G37">
            <v>0</v>
          </cell>
          <cell r="H37">
            <v>0</v>
          </cell>
          <cell r="L37">
            <v>0</v>
          </cell>
          <cell r="M37">
            <v>0</v>
          </cell>
        </row>
        <row r="38">
          <cell r="G38">
            <v>0</v>
          </cell>
          <cell r="H38">
            <v>0</v>
          </cell>
          <cell r="L38">
            <v>0</v>
          </cell>
          <cell r="M38">
            <v>0</v>
          </cell>
        </row>
        <row r="40">
          <cell r="G40">
            <v>0</v>
          </cell>
          <cell r="H40">
            <v>0</v>
          </cell>
          <cell r="L40">
            <v>0</v>
          </cell>
          <cell r="M40">
            <v>0</v>
          </cell>
        </row>
        <row r="41">
          <cell r="G41">
            <v>0</v>
          </cell>
          <cell r="H41">
            <v>0</v>
          </cell>
          <cell r="L41">
            <v>0</v>
          </cell>
          <cell r="M41">
            <v>0</v>
          </cell>
        </row>
        <row r="42">
          <cell r="G42">
            <v>0</v>
          </cell>
          <cell r="H42">
            <v>0</v>
          </cell>
          <cell r="L42">
            <v>0</v>
          </cell>
          <cell r="M42">
            <v>0</v>
          </cell>
        </row>
        <row r="44">
          <cell r="H44">
            <v>0</v>
          </cell>
          <cell r="M44">
            <v>0</v>
          </cell>
        </row>
        <row r="45">
          <cell r="G45">
            <v>0</v>
          </cell>
          <cell r="H45">
            <v>0</v>
          </cell>
          <cell r="L45">
            <v>0</v>
          </cell>
          <cell r="M45">
            <v>0</v>
          </cell>
        </row>
        <row r="48">
          <cell r="I48">
            <v>0</v>
          </cell>
          <cell r="N48">
            <v>0</v>
          </cell>
        </row>
        <row r="49">
          <cell r="I49">
            <v>0</v>
          </cell>
          <cell r="N49">
            <v>0</v>
          </cell>
        </row>
        <row r="50">
          <cell r="I50">
            <v>0</v>
          </cell>
          <cell r="N50">
            <v>0</v>
          </cell>
        </row>
        <row r="53">
          <cell r="I53">
            <v>0</v>
          </cell>
          <cell r="N53">
            <v>0</v>
          </cell>
        </row>
      </sheetData>
      <sheetData sheetId="15">
        <row r="4">
          <cell r="G4">
            <v>0</v>
          </cell>
          <cell r="H4">
            <v>0</v>
          </cell>
          <cell r="L4">
            <v>0</v>
          </cell>
          <cell r="M4">
            <v>0</v>
          </cell>
        </row>
        <row r="5">
          <cell r="G5">
            <v>0</v>
          </cell>
          <cell r="H5">
            <v>0</v>
          </cell>
          <cell r="L5">
            <v>0</v>
          </cell>
          <cell r="M5">
            <v>0</v>
          </cell>
        </row>
        <row r="6">
          <cell r="G6">
            <v>0</v>
          </cell>
          <cell r="J6">
            <v>0</v>
          </cell>
          <cell r="L6">
            <v>0</v>
          </cell>
          <cell r="O6">
            <v>0</v>
          </cell>
        </row>
        <row r="7">
          <cell r="G7">
            <v>0</v>
          </cell>
          <cell r="H7">
            <v>0</v>
          </cell>
          <cell r="L7">
            <v>0</v>
          </cell>
          <cell r="M7">
            <v>0</v>
          </cell>
        </row>
        <row r="8">
          <cell r="G8">
            <v>0</v>
          </cell>
          <cell r="H8">
            <v>0</v>
          </cell>
          <cell r="L8">
            <v>0</v>
          </cell>
          <cell r="M8">
            <v>0</v>
          </cell>
        </row>
        <row r="9">
          <cell r="G9">
            <v>0</v>
          </cell>
          <cell r="J9">
            <v>0</v>
          </cell>
          <cell r="L9">
            <v>0</v>
          </cell>
          <cell r="O9">
            <v>0</v>
          </cell>
        </row>
        <row r="11">
          <cell r="G11">
            <v>0</v>
          </cell>
          <cell r="H11">
            <v>0</v>
          </cell>
          <cell r="L11">
            <v>0</v>
          </cell>
          <cell r="M11">
            <v>0</v>
          </cell>
        </row>
        <row r="12">
          <cell r="H12">
            <v>0</v>
          </cell>
          <cell r="M12">
            <v>0</v>
          </cell>
        </row>
        <row r="13">
          <cell r="G13">
            <v>0</v>
          </cell>
          <cell r="H13">
            <v>0</v>
          </cell>
          <cell r="L13">
            <v>0</v>
          </cell>
          <cell r="M13">
            <v>0</v>
          </cell>
        </row>
        <row r="14">
          <cell r="H14">
            <v>0</v>
          </cell>
          <cell r="M14">
            <v>0</v>
          </cell>
        </row>
        <row r="16">
          <cell r="G16">
            <v>0</v>
          </cell>
          <cell r="H16">
            <v>0</v>
          </cell>
          <cell r="L16">
            <v>0</v>
          </cell>
          <cell r="M16">
            <v>0</v>
          </cell>
        </row>
        <row r="17">
          <cell r="I17">
            <v>0</v>
          </cell>
          <cell r="N17">
            <v>0</v>
          </cell>
        </row>
        <row r="24">
          <cell r="G24">
            <v>0</v>
          </cell>
          <cell r="H24">
            <v>0</v>
          </cell>
          <cell r="L24">
            <v>0</v>
          </cell>
          <cell r="M24">
            <v>0</v>
          </cell>
        </row>
        <row r="25">
          <cell r="G25">
            <v>0</v>
          </cell>
          <cell r="H25">
            <v>0</v>
          </cell>
          <cell r="L25">
            <v>0</v>
          </cell>
          <cell r="M25">
            <v>0</v>
          </cell>
        </row>
        <row r="26">
          <cell r="G26">
            <v>0</v>
          </cell>
          <cell r="H26">
            <v>0</v>
          </cell>
          <cell r="L26">
            <v>0</v>
          </cell>
          <cell r="M26">
            <v>0</v>
          </cell>
        </row>
        <row r="27">
          <cell r="G27">
            <v>0</v>
          </cell>
          <cell r="H27">
            <v>0</v>
          </cell>
          <cell r="L27">
            <v>0</v>
          </cell>
          <cell r="M27">
            <v>0</v>
          </cell>
        </row>
        <row r="28">
          <cell r="G28">
            <v>0</v>
          </cell>
          <cell r="H28">
            <v>0</v>
          </cell>
          <cell r="L28">
            <v>0</v>
          </cell>
          <cell r="M28">
            <v>0</v>
          </cell>
        </row>
        <row r="29">
          <cell r="G29">
            <v>0</v>
          </cell>
          <cell r="H29">
            <v>0</v>
          </cell>
          <cell r="L29">
            <v>0</v>
          </cell>
          <cell r="M29">
            <v>0</v>
          </cell>
        </row>
        <row r="30">
          <cell r="G30">
            <v>0</v>
          </cell>
          <cell r="H30">
            <v>0</v>
          </cell>
          <cell r="L30">
            <v>0</v>
          </cell>
          <cell r="M30">
            <v>0</v>
          </cell>
        </row>
        <row r="31">
          <cell r="G31">
            <v>0</v>
          </cell>
          <cell r="H31">
            <v>0</v>
          </cell>
          <cell r="L31">
            <v>0</v>
          </cell>
          <cell r="M31">
            <v>0</v>
          </cell>
        </row>
        <row r="32">
          <cell r="G32">
            <v>0</v>
          </cell>
          <cell r="H32">
            <v>0</v>
          </cell>
          <cell r="L32">
            <v>0</v>
          </cell>
          <cell r="M32">
            <v>0</v>
          </cell>
        </row>
        <row r="33">
          <cell r="H33">
            <v>0</v>
          </cell>
          <cell r="M33">
            <v>0</v>
          </cell>
        </row>
        <row r="35">
          <cell r="G35">
            <v>0</v>
          </cell>
          <cell r="H35">
            <v>0</v>
          </cell>
          <cell r="L35">
            <v>0</v>
          </cell>
          <cell r="M35">
            <v>0</v>
          </cell>
        </row>
        <row r="36">
          <cell r="G36">
            <v>0</v>
          </cell>
          <cell r="H36">
            <v>0</v>
          </cell>
          <cell r="L36">
            <v>0</v>
          </cell>
          <cell r="M36">
            <v>0</v>
          </cell>
        </row>
        <row r="37">
          <cell r="I37">
            <v>0</v>
          </cell>
          <cell r="N37">
            <v>0</v>
          </cell>
        </row>
        <row r="38">
          <cell r="G38">
            <v>0</v>
          </cell>
          <cell r="H38">
            <v>0</v>
          </cell>
          <cell r="L38">
            <v>0</v>
          </cell>
          <cell r="M38">
            <v>0</v>
          </cell>
        </row>
        <row r="39">
          <cell r="G39">
            <v>0</v>
          </cell>
          <cell r="H39">
            <v>0</v>
          </cell>
          <cell r="L39">
            <v>0</v>
          </cell>
          <cell r="M39">
            <v>0</v>
          </cell>
        </row>
        <row r="40">
          <cell r="G40">
            <v>0</v>
          </cell>
          <cell r="H40">
            <v>0</v>
          </cell>
          <cell r="L40">
            <v>0</v>
          </cell>
          <cell r="M40">
            <v>0</v>
          </cell>
        </row>
        <row r="41">
          <cell r="G41">
            <v>0</v>
          </cell>
          <cell r="H41">
            <v>0</v>
          </cell>
          <cell r="L41">
            <v>0</v>
          </cell>
          <cell r="M41">
            <v>0</v>
          </cell>
        </row>
        <row r="42">
          <cell r="H42">
            <v>0</v>
          </cell>
          <cell r="M42">
            <v>0</v>
          </cell>
        </row>
        <row r="44">
          <cell r="G44">
            <v>0</v>
          </cell>
          <cell r="H44">
            <v>0</v>
          </cell>
          <cell r="L44">
            <v>0</v>
          </cell>
          <cell r="M44">
            <v>0</v>
          </cell>
        </row>
        <row r="45">
          <cell r="G45">
            <v>0</v>
          </cell>
          <cell r="H45">
            <v>0</v>
          </cell>
          <cell r="L45">
            <v>0</v>
          </cell>
          <cell r="M45">
            <v>0</v>
          </cell>
        </row>
        <row r="46">
          <cell r="I46">
            <v>0</v>
          </cell>
          <cell r="N46">
            <v>0</v>
          </cell>
        </row>
        <row r="48">
          <cell r="G48">
            <v>0</v>
          </cell>
          <cell r="H48">
            <v>0</v>
          </cell>
          <cell r="L48">
            <v>0</v>
          </cell>
          <cell r="M48">
            <v>0</v>
          </cell>
        </row>
        <row r="49">
          <cell r="G49">
            <v>0</v>
          </cell>
          <cell r="H49">
            <v>0</v>
          </cell>
          <cell r="L49">
            <v>0</v>
          </cell>
          <cell r="M49">
            <v>0</v>
          </cell>
        </row>
        <row r="50">
          <cell r="G50">
            <v>0</v>
          </cell>
          <cell r="H50">
            <v>0</v>
          </cell>
          <cell r="L50">
            <v>0</v>
          </cell>
          <cell r="M50">
            <v>0</v>
          </cell>
        </row>
        <row r="51">
          <cell r="G51">
            <v>0</v>
          </cell>
          <cell r="H51">
            <v>0</v>
          </cell>
          <cell r="L51">
            <v>0</v>
          </cell>
          <cell r="M51">
            <v>0</v>
          </cell>
        </row>
        <row r="52">
          <cell r="G52">
            <v>0</v>
          </cell>
          <cell r="H52">
            <v>0</v>
          </cell>
          <cell r="L52">
            <v>0</v>
          </cell>
          <cell r="M52">
            <v>0</v>
          </cell>
        </row>
        <row r="53">
          <cell r="G53">
            <v>0</v>
          </cell>
          <cell r="H53">
            <v>0</v>
          </cell>
          <cell r="L53">
            <v>0</v>
          </cell>
          <cell r="M53">
            <v>0</v>
          </cell>
        </row>
        <row r="54">
          <cell r="G54">
            <v>0</v>
          </cell>
          <cell r="H54">
            <v>0</v>
          </cell>
          <cell r="L54">
            <v>0</v>
          </cell>
          <cell r="M54">
            <v>0</v>
          </cell>
        </row>
        <row r="55">
          <cell r="G55">
            <v>0</v>
          </cell>
          <cell r="H55">
            <v>0</v>
          </cell>
          <cell r="L55">
            <v>0</v>
          </cell>
          <cell r="M55">
            <v>0</v>
          </cell>
        </row>
        <row r="56">
          <cell r="G56">
            <v>0</v>
          </cell>
          <cell r="H56">
            <v>0</v>
          </cell>
          <cell r="L56">
            <v>0</v>
          </cell>
          <cell r="M56">
            <v>0</v>
          </cell>
        </row>
        <row r="57">
          <cell r="H57">
            <v>0</v>
          </cell>
          <cell r="M57">
            <v>0</v>
          </cell>
        </row>
        <row r="58">
          <cell r="H58">
            <v>0</v>
          </cell>
          <cell r="M58">
            <v>0</v>
          </cell>
        </row>
        <row r="60">
          <cell r="G60">
            <v>0</v>
          </cell>
          <cell r="H60">
            <v>0</v>
          </cell>
          <cell r="L60">
            <v>0</v>
          </cell>
          <cell r="M60">
            <v>0</v>
          </cell>
        </row>
        <row r="61">
          <cell r="G61">
            <v>0</v>
          </cell>
          <cell r="H61">
            <v>0</v>
          </cell>
          <cell r="L61">
            <v>0</v>
          </cell>
          <cell r="M61">
            <v>0</v>
          </cell>
        </row>
        <row r="62">
          <cell r="G62">
            <v>0</v>
          </cell>
          <cell r="H62">
            <v>0</v>
          </cell>
          <cell r="L62">
            <v>0</v>
          </cell>
          <cell r="M62">
            <v>0</v>
          </cell>
        </row>
        <row r="64">
          <cell r="G64">
            <v>0</v>
          </cell>
          <cell r="I64">
            <v>0</v>
          </cell>
          <cell r="L64">
            <v>0</v>
          </cell>
          <cell r="N64">
            <v>0</v>
          </cell>
        </row>
      </sheetData>
      <sheetData sheetId="16">
        <row r="4">
          <cell r="F4">
            <v>0</v>
          </cell>
          <cell r="K4">
            <v>0</v>
          </cell>
        </row>
        <row r="5">
          <cell r="F5">
            <v>0</v>
          </cell>
          <cell r="K5">
            <v>0</v>
          </cell>
        </row>
        <row r="6">
          <cell r="G6">
            <v>0</v>
          </cell>
          <cell r="L6">
            <v>0</v>
          </cell>
        </row>
        <row r="7">
          <cell r="F7">
            <v>0</v>
          </cell>
          <cell r="G7">
            <v>0</v>
          </cell>
          <cell r="K7">
            <v>0</v>
          </cell>
          <cell r="L7">
            <v>0</v>
          </cell>
        </row>
        <row r="8">
          <cell r="F8">
            <v>0</v>
          </cell>
          <cell r="G8">
            <v>0</v>
          </cell>
          <cell r="K8">
            <v>0</v>
          </cell>
          <cell r="L8">
            <v>0</v>
          </cell>
        </row>
        <row r="9">
          <cell r="F9">
            <v>0</v>
          </cell>
          <cell r="G9">
            <v>0</v>
          </cell>
          <cell r="K9">
            <v>0</v>
          </cell>
          <cell r="L9">
            <v>0</v>
          </cell>
        </row>
        <row r="10">
          <cell r="G10">
            <v>0</v>
          </cell>
          <cell r="L10">
            <v>0</v>
          </cell>
        </row>
        <row r="11">
          <cell r="G11">
            <v>0</v>
          </cell>
          <cell r="L11">
            <v>0</v>
          </cell>
        </row>
        <row r="13">
          <cell r="F13">
            <v>0</v>
          </cell>
          <cell r="K13">
            <v>0</v>
          </cell>
        </row>
        <row r="14">
          <cell r="F14">
            <v>0</v>
          </cell>
          <cell r="K14">
            <v>0</v>
          </cell>
        </row>
        <row r="15">
          <cell r="G15">
            <v>0</v>
          </cell>
          <cell r="L15">
            <v>0</v>
          </cell>
        </row>
        <row r="16">
          <cell r="F16">
            <v>0</v>
          </cell>
          <cell r="G16">
            <v>0</v>
          </cell>
          <cell r="K16">
            <v>0</v>
          </cell>
          <cell r="L16">
            <v>0</v>
          </cell>
        </row>
        <row r="17">
          <cell r="F17">
            <v>0</v>
          </cell>
          <cell r="G17">
            <v>0</v>
          </cell>
          <cell r="K17">
            <v>0</v>
          </cell>
          <cell r="L17">
            <v>0</v>
          </cell>
        </row>
        <row r="18">
          <cell r="F18">
            <v>0</v>
          </cell>
          <cell r="G18">
            <v>0</v>
          </cell>
          <cell r="K18">
            <v>0</v>
          </cell>
          <cell r="L18">
            <v>0</v>
          </cell>
        </row>
        <row r="19">
          <cell r="G19">
            <v>0</v>
          </cell>
          <cell r="L19">
            <v>0</v>
          </cell>
        </row>
        <row r="20">
          <cell r="G20">
            <v>0</v>
          </cell>
          <cell r="L20">
            <v>0</v>
          </cell>
        </row>
        <row r="22">
          <cell r="H22">
            <v>0</v>
          </cell>
          <cell r="M22">
            <v>0</v>
          </cell>
        </row>
      </sheetData>
      <sheetData sheetId="17">
        <row r="5">
          <cell r="M5">
            <v>0</v>
          </cell>
          <cell r="N5">
            <v>0</v>
          </cell>
          <cell r="O5">
            <v>0</v>
          </cell>
          <cell r="P5">
            <v>0</v>
          </cell>
        </row>
        <row r="6">
          <cell r="M6">
            <v>0</v>
          </cell>
          <cell r="N6">
            <v>0</v>
          </cell>
          <cell r="O6">
            <v>0</v>
          </cell>
          <cell r="P6">
            <v>0</v>
          </cell>
        </row>
        <row r="7">
          <cell r="M7">
            <v>0</v>
          </cell>
          <cell r="N7">
            <v>0</v>
          </cell>
          <cell r="O7">
            <v>0</v>
          </cell>
          <cell r="P7">
            <v>0</v>
          </cell>
        </row>
        <row r="8">
          <cell r="M8">
            <v>0</v>
          </cell>
          <cell r="N8">
            <v>0</v>
          </cell>
          <cell r="O8">
            <v>0</v>
          </cell>
          <cell r="P8">
            <v>0</v>
          </cell>
          <cell r="Q8">
            <v>0</v>
          </cell>
          <cell r="R8">
            <v>0</v>
          </cell>
        </row>
        <row r="9">
          <cell r="Q9">
            <v>0</v>
          </cell>
          <cell r="R9">
            <v>0</v>
          </cell>
        </row>
        <row r="10">
          <cell r="M10">
            <v>0</v>
          </cell>
          <cell r="N10">
            <v>0</v>
          </cell>
          <cell r="O10">
            <v>0</v>
          </cell>
          <cell r="P10">
            <v>0</v>
          </cell>
          <cell r="Q10">
            <v>0</v>
          </cell>
          <cell r="R10">
            <v>0</v>
          </cell>
        </row>
        <row r="11">
          <cell r="M11">
            <v>0</v>
          </cell>
          <cell r="N11">
            <v>0</v>
          </cell>
          <cell r="O11">
            <v>0</v>
          </cell>
          <cell r="P11">
            <v>0</v>
          </cell>
        </row>
        <row r="14">
          <cell r="M14">
            <v>0</v>
          </cell>
          <cell r="N14">
            <v>0</v>
          </cell>
          <cell r="O14">
            <v>0</v>
          </cell>
          <cell r="P14">
            <v>0</v>
          </cell>
          <cell r="Q14">
            <v>0</v>
          </cell>
          <cell r="R14">
            <v>0</v>
          </cell>
        </row>
        <row r="15">
          <cell r="M15">
            <v>0</v>
          </cell>
          <cell r="N15">
            <v>0</v>
          </cell>
          <cell r="O15">
            <v>0</v>
          </cell>
          <cell r="P15">
            <v>0</v>
          </cell>
          <cell r="Q15">
            <v>0</v>
          </cell>
          <cell r="R15">
            <v>0</v>
          </cell>
        </row>
        <row r="16">
          <cell r="M16">
            <v>0</v>
          </cell>
          <cell r="N16">
            <v>0</v>
          </cell>
          <cell r="O16">
            <v>0</v>
          </cell>
          <cell r="P16">
            <v>0</v>
          </cell>
          <cell r="Q16">
            <v>0</v>
          </cell>
          <cell r="R16">
            <v>0</v>
          </cell>
        </row>
        <row r="17">
          <cell r="M17">
            <v>0</v>
          </cell>
          <cell r="N17">
            <v>0</v>
          </cell>
          <cell r="O17">
            <v>0</v>
          </cell>
          <cell r="P17">
            <v>0</v>
          </cell>
          <cell r="Q17">
            <v>0</v>
          </cell>
          <cell r="R17">
            <v>0</v>
          </cell>
        </row>
        <row r="18">
          <cell r="M18">
            <v>0</v>
          </cell>
          <cell r="N18">
            <v>0</v>
          </cell>
          <cell r="O18">
            <v>0</v>
          </cell>
          <cell r="P18">
            <v>0</v>
          </cell>
          <cell r="Q18">
            <v>0</v>
          </cell>
          <cell r="R18">
            <v>0</v>
          </cell>
        </row>
        <row r="19">
          <cell r="M19">
            <v>0</v>
          </cell>
          <cell r="N19">
            <v>0</v>
          </cell>
          <cell r="O19">
            <v>0</v>
          </cell>
          <cell r="P19">
            <v>0</v>
          </cell>
          <cell r="Q19">
            <v>0</v>
          </cell>
          <cell r="R19">
            <v>0</v>
          </cell>
        </row>
        <row r="20">
          <cell r="M20">
            <v>0</v>
          </cell>
          <cell r="N20">
            <v>0</v>
          </cell>
          <cell r="O20">
            <v>0</v>
          </cell>
          <cell r="P20">
            <v>0</v>
          </cell>
          <cell r="Q20">
            <v>0</v>
          </cell>
          <cell r="R20">
            <v>0</v>
          </cell>
        </row>
        <row r="21">
          <cell r="M21">
            <v>0</v>
          </cell>
          <cell r="N21">
            <v>0</v>
          </cell>
          <cell r="O21">
            <v>0</v>
          </cell>
          <cell r="P21">
            <v>0</v>
          </cell>
          <cell r="Q21">
            <v>0</v>
          </cell>
          <cell r="R21">
            <v>0</v>
          </cell>
        </row>
        <row r="25">
          <cell r="M25">
            <v>0</v>
          </cell>
          <cell r="N25">
            <v>0</v>
          </cell>
          <cell r="O25">
            <v>0</v>
          </cell>
          <cell r="P25">
            <v>0</v>
          </cell>
          <cell r="Q25">
            <v>0</v>
          </cell>
          <cell r="R25">
            <v>0</v>
          </cell>
        </row>
        <row r="26">
          <cell r="M26">
            <v>0</v>
          </cell>
          <cell r="N26">
            <v>0</v>
          </cell>
          <cell r="O26">
            <v>0</v>
          </cell>
          <cell r="P26">
            <v>0</v>
          </cell>
          <cell r="Q26">
            <v>0</v>
          </cell>
          <cell r="R26">
            <v>0</v>
          </cell>
        </row>
        <row r="48">
          <cell r="H48">
            <v>0</v>
          </cell>
          <cell r="O48">
            <v>0</v>
          </cell>
        </row>
        <row r="49">
          <cell r="J49">
            <v>0</v>
          </cell>
          <cell r="P49">
            <v>0</v>
          </cell>
        </row>
        <row r="50">
          <cell r="H50">
            <v>0</v>
          </cell>
          <cell r="J50">
            <v>0</v>
          </cell>
          <cell r="O50">
            <v>0</v>
          </cell>
          <cell r="P50">
            <v>0</v>
          </cell>
        </row>
        <row r="51">
          <cell r="H51">
            <v>0</v>
          </cell>
          <cell r="J51">
            <v>0</v>
          </cell>
          <cell r="O51">
            <v>0</v>
          </cell>
          <cell r="P51">
            <v>0</v>
          </cell>
        </row>
        <row r="52">
          <cell r="H52">
            <v>0</v>
          </cell>
          <cell r="J52">
            <v>0</v>
          </cell>
          <cell r="O52">
            <v>0</v>
          </cell>
          <cell r="P52">
            <v>0</v>
          </cell>
        </row>
        <row r="53">
          <cell r="J53">
            <v>0</v>
          </cell>
          <cell r="P53">
            <v>0</v>
          </cell>
        </row>
        <row r="54">
          <cell r="K54">
            <v>0</v>
          </cell>
          <cell r="Q54">
            <v>0</v>
          </cell>
        </row>
      </sheetData>
      <sheetData sheetId="18" refreshError="1"/>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gm-ca-fr.acctmanual.com/Assets/235_Camions_poids_moyen.htm" TargetMode="External"/><Relationship Id="rId21" Type="http://schemas.openxmlformats.org/officeDocument/2006/relationships/hyperlink" Target="http://gm-ca-fr.acctmanual.com/Liabilities/321_Salaires_et_commissions_payer.htm" TargetMode="External"/><Relationship Id="rId42" Type="http://schemas.openxmlformats.org/officeDocument/2006/relationships/hyperlink" Target="http://gm-ca-fr.acctmanual.com/Assets/247_Travaux_en_cours_Main-d_uvre.htm" TargetMode="External"/><Relationship Id="rId47" Type="http://schemas.openxmlformats.org/officeDocument/2006/relationships/hyperlink" Target="http://gm-ca-fr.acctmanual.com/Assets/230_V_hicules_de_d_monstration.htm" TargetMode="External"/><Relationship Id="rId63" Type="http://schemas.openxmlformats.org/officeDocument/2006/relationships/hyperlink" Target="http://gm-ca-fr.acctmanual.com/Assets/241_Camions_d_occasion.htm" TargetMode="External"/><Relationship Id="rId68" Type="http://schemas.openxmlformats.org/officeDocument/2006/relationships/hyperlink" Target="http://gm-ca-fr.acctmanual.com/Assets/289_Autres_immobilisations.htm" TargetMode="External"/><Relationship Id="rId84" Type="http://schemas.openxmlformats.org/officeDocument/2006/relationships/image" Target="../media/image3.emf"/><Relationship Id="rId16" Type="http://schemas.openxmlformats.org/officeDocument/2006/relationships/hyperlink" Target="http://gm-ca-fr.acctmanual.com/gm_acct_manual.htm" TargetMode="External"/><Relationship Id="rId11" Type="http://schemas.openxmlformats.org/officeDocument/2006/relationships/hyperlink" Target="http://gm-ca-fr.acctmanual.com/Liabilities/311_Effets_payer_V_hicules_d_occasion.htm" TargetMode="External"/><Relationship Id="rId32" Type="http://schemas.openxmlformats.org/officeDocument/2006/relationships/hyperlink" Target="http://gm-ca-fr.acctmanual.com/Assets/241_Camions_d_occasion.htm" TargetMode="External"/><Relationship Id="rId37" Type="http://schemas.openxmlformats.org/officeDocument/2006/relationships/hyperlink" Target="http://gm-ca-fr.acctmanual.com/Assets/201_Encaisse.htm" TargetMode="External"/><Relationship Id="rId53" Type="http://schemas.openxmlformats.org/officeDocument/2006/relationships/hyperlink" Target="http://gm-ca-fr.acctmanual.com/Assets/277_V_hicules_de_location_court_et_long_terme.htm" TargetMode="External"/><Relationship Id="rId58" Type="http://schemas.openxmlformats.org/officeDocument/2006/relationships/hyperlink" Target="http://gm-ca-fr.acctmanual.com/Assets/286_Propri_t_s_lou_es_bail.htm" TargetMode="External"/><Relationship Id="rId74" Type="http://schemas.openxmlformats.org/officeDocument/2006/relationships/hyperlink" Target="http://gm-ca-fr.acctmanual.com/Assets/296_Autres_placements_et_biens_divers.htm" TargetMode="External"/><Relationship Id="rId79" Type="http://schemas.openxmlformats.org/officeDocument/2006/relationships/control" Target="../activeX/activeX1.xml"/><Relationship Id="rId5" Type="http://schemas.openxmlformats.org/officeDocument/2006/relationships/hyperlink" Target="http://gm-ca-fr.acctmanual.com/Liabilities/300_Comptes_payer_Fournisseurs.htm" TargetMode="External"/><Relationship Id="rId19" Type="http://schemas.openxmlformats.org/officeDocument/2006/relationships/hyperlink" Target="http://gm-ca-fr.acctmanual.com/Liabilities/320_Int_r_ts_payer.htm" TargetMode="External"/><Relationship Id="rId14" Type="http://schemas.openxmlformats.org/officeDocument/2006/relationships/hyperlink" Target="http://gm-ca-fr.acctmanual.com/Assets/264_Commissions_sur_assurances.htm" TargetMode="External"/><Relationship Id="rId22" Type="http://schemas.openxmlformats.org/officeDocument/2006/relationships/hyperlink" Target="http://gm-ca-fr.acctmanual.com/Assets/231_Voitures_neuves.htm" TargetMode="External"/><Relationship Id="rId27" Type="http://schemas.openxmlformats.org/officeDocument/2006/relationships/hyperlink" Target="http://gm-ca-fr.acctmanual.com/Liabilities/324_Taxes_de_vente_payer.htm" TargetMode="External"/><Relationship Id="rId30" Type="http://schemas.openxmlformats.org/officeDocument/2006/relationships/hyperlink" Target="http://gm-ca-fr.acctmanual.com/Assets/240_Voitures_d_occasion.htm" TargetMode="External"/><Relationship Id="rId35" Type="http://schemas.openxmlformats.org/officeDocument/2006/relationships/hyperlink" Target="http://gm-ca-fr.acctmanual.com/Liabilities/329_Primes_payer_aux_propri_taires.htm" TargetMode="External"/><Relationship Id="rId43" Type="http://schemas.openxmlformats.org/officeDocument/2006/relationships/hyperlink" Target="http://gm-ca-fr.acctmanual.com/Assets/205_Contrats_en_attente.htm" TargetMode="External"/><Relationship Id="rId48" Type="http://schemas.openxmlformats.org/officeDocument/2006/relationships/hyperlink" Target="http://gm-ca-fr.acctmanual.com/Assets/270_Imp_ts_pay_s_d_avance.htm" TargetMode="External"/><Relationship Id="rId56" Type="http://schemas.openxmlformats.org/officeDocument/2006/relationships/hyperlink" Target="http://gm-ca-fr.acctmanual.com/Assets/280_Terrain_(servant_exclusivement_au_commerce_de_l_automobile).htm" TargetMode="External"/><Relationship Id="rId64" Type="http://schemas.openxmlformats.org/officeDocument/2006/relationships/hyperlink" Target="http://gm-ca-fr.acctmanual.com/Assets/283_Mat_riel_du_service_pi_ces_et_accessoires.htm" TargetMode="External"/><Relationship Id="rId69" Type="http://schemas.openxmlformats.org/officeDocument/2006/relationships/hyperlink" Target="http://gm-ca-fr.acctmanual.com/Assets/243_Pneus.htm" TargetMode="External"/><Relationship Id="rId77" Type="http://schemas.openxmlformats.org/officeDocument/2006/relationships/drawing" Target="../drawings/drawing1.xml"/><Relationship Id="rId8" Type="http://schemas.openxmlformats.org/officeDocument/2006/relationships/hyperlink" Target="http://gm-ca-fr.acctmanual.com/Liabilities/310_Effets_payer_V_hicules_neufs_et_de_d_monstration.htm" TargetMode="External"/><Relationship Id="rId51" Type="http://schemas.openxmlformats.org/officeDocument/2006/relationships/hyperlink" Target="http://gm-ca-fr.acctmanual.com/Assets/235_Camions_poids_moyen.htm" TargetMode="External"/><Relationship Id="rId72" Type="http://schemas.openxmlformats.org/officeDocument/2006/relationships/hyperlink" Target="http://gm-ca-fr.acctmanual.com/Assets/244_Essence,_huile_et_graisse.htm" TargetMode="External"/><Relationship Id="rId80" Type="http://schemas.openxmlformats.org/officeDocument/2006/relationships/image" Target="../media/image1.emf"/><Relationship Id="rId85" Type="http://schemas.openxmlformats.org/officeDocument/2006/relationships/comments" Target="../comments1.xml"/><Relationship Id="rId3" Type="http://schemas.openxmlformats.org/officeDocument/2006/relationships/hyperlink" Target="http://gm-ca-fr.acctmanual.com/Assets/200_Encaisse_(Petite_caisse).htm" TargetMode="External"/><Relationship Id="rId12" Type="http://schemas.openxmlformats.org/officeDocument/2006/relationships/hyperlink" Target="http://gm-ca-fr.acctmanual.com/Assets/263_R_clamations_au_titre_de_la_garantie.htm" TargetMode="External"/><Relationship Id="rId17" Type="http://schemas.openxmlformats.org/officeDocument/2006/relationships/hyperlink" Target="http://gm-ca-fr.acctmanual.com/Assets/265_T.P.S._T.V.P._T.V.H._recevoir.htm" TargetMode="External"/><Relationship Id="rId25" Type="http://schemas.openxmlformats.org/officeDocument/2006/relationships/hyperlink" Target="http://gm-ca-fr.acctmanual.com/Liabilities/323_Charges_sociales_payer.htm" TargetMode="External"/><Relationship Id="rId33" Type="http://schemas.openxmlformats.org/officeDocument/2006/relationships/hyperlink" Target="http://gm-ca-fr.acctmanual.com/Liabilities/328_Primes_bonis_payer_aux_employ_s.htm" TargetMode="External"/><Relationship Id="rId38" Type="http://schemas.openxmlformats.org/officeDocument/2006/relationships/hyperlink" Target="http://gm-ca-fr.acctmanual.com/Assets/244_Essence,_huile_et_graisse.htm" TargetMode="External"/><Relationship Id="rId46" Type="http://schemas.openxmlformats.org/officeDocument/2006/relationships/hyperlink" Target="http://gm-ca-fr.acctmanual.com/Assets/231_Voitures_neuves.htm" TargetMode="External"/><Relationship Id="rId59" Type="http://schemas.openxmlformats.org/officeDocument/2006/relationships/hyperlink" Target="http://gm-ca-fr.acctmanual.com/Assets/240_Voitures_d_occasion.htm" TargetMode="External"/><Relationship Id="rId67" Type="http://schemas.openxmlformats.org/officeDocument/2006/relationships/hyperlink" Target="http://gm-ca-fr.acctmanual.com/Assets/285_V_hicules_de_servitude.htm" TargetMode="External"/><Relationship Id="rId20" Type="http://schemas.openxmlformats.org/officeDocument/2006/relationships/hyperlink" Target="http://gm-ca-fr.acctmanual.com/Assets/230_V_hicules_de_d_monstration.htm" TargetMode="External"/><Relationship Id="rId41" Type="http://schemas.openxmlformats.org/officeDocument/2006/relationships/hyperlink" Target="http://gm-ca-fr.acctmanual.com/Assets/246_R_parations_sous-trait_es.htm" TargetMode="External"/><Relationship Id="rId54" Type="http://schemas.openxmlformats.org/officeDocument/2006/relationships/hyperlink" Target="http://gm-ca-fr.acctmanual.com/Liabilities/347_L_amortissement_cumul_des_v_hicules_de_location_court_et_long_terme.htm" TargetMode="External"/><Relationship Id="rId62" Type="http://schemas.openxmlformats.org/officeDocument/2006/relationships/hyperlink" Target="http://gm-ca-fr.acctmanual.com/Assets/282_Machines_et_quipement_d_atelier.htm" TargetMode="External"/><Relationship Id="rId70" Type="http://schemas.openxmlformats.org/officeDocument/2006/relationships/hyperlink" Target="http://gm-ca-fr.acctmanual.com/Assets/291_Assurance_vie_Valeurs_de_rachat.htm" TargetMode="External"/><Relationship Id="rId75" Type="http://schemas.openxmlformats.org/officeDocument/2006/relationships/hyperlink" Target="http://gm-ca-fr.acctmanual.com/Assets/245_Mat_riel_pour_l_atelier_de_carrosserie_et_de_peinture.htm" TargetMode="External"/><Relationship Id="rId83" Type="http://schemas.openxmlformats.org/officeDocument/2006/relationships/control" Target="../activeX/activeX3.xml"/><Relationship Id="rId1" Type="http://schemas.openxmlformats.org/officeDocument/2006/relationships/printerSettings" Target="../printerSettings/printerSettings1.bin"/><Relationship Id="rId6" Type="http://schemas.openxmlformats.org/officeDocument/2006/relationships/hyperlink" Target="http://gm-ca-fr.acctmanual.com/Assets/205_Contrats_en_attente.htm" TargetMode="External"/><Relationship Id="rId15" Type="http://schemas.openxmlformats.org/officeDocument/2006/relationships/hyperlink" Target="http://gm-ca-fr.acctmanual.com/Liabilities/314_Effets_payer_Autres.htm" TargetMode="External"/><Relationship Id="rId23" Type="http://schemas.openxmlformats.org/officeDocument/2006/relationships/hyperlink" Target="http://gm-ca-fr.acctmanual.com/Liabilities/322_Assurance_payer.htm" TargetMode="External"/><Relationship Id="rId28" Type="http://schemas.openxmlformats.org/officeDocument/2006/relationships/hyperlink" Target="http://gm-ca-fr.acctmanual.com/Assets/238_Autres_v_hicules.htm" TargetMode="External"/><Relationship Id="rId36" Type="http://schemas.openxmlformats.org/officeDocument/2006/relationships/hyperlink" Target="http://gm-ca-fr.acctmanual.com/Assets/243_Pneus.htm" TargetMode="External"/><Relationship Id="rId49" Type="http://schemas.openxmlformats.org/officeDocument/2006/relationships/hyperlink" Target="http://gm-ca-fr.acctmanual.com/Assets/271_Assurances_pay_es_d_avance.htm" TargetMode="External"/><Relationship Id="rId57" Type="http://schemas.openxmlformats.org/officeDocument/2006/relationships/hyperlink" Target="http://gm-ca-fr.acctmanual.com/Assets/281_B_timent_et_am_liorations_(servant_exclusivement_au_commerce_de_l_automobile).htm" TargetMode="External"/><Relationship Id="rId10" Type="http://schemas.openxmlformats.org/officeDocument/2006/relationships/hyperlink" Target="http://gm-ca-fr.acctmanual.com/Assets/262_Recettes_en_provenance_des_organismes_de_financement.htm" TargetMode="External"/><Relationship Id="rId31" Type="http://schemas.openxmlformats.org/officeDocument/2006/relationships/hyperlink" Target="http://gm-ca-fr.acctmanual.com/Liabilities/327_Imp_t_sur_le_revenu_payer.htm" TargetMode="External"/><Relationship Id="rId44" Type="http://schemas.openxmlformats.org/officeDocument/2006/relationships/hyperlink" Target="http://gm-ca-fr.acctmanual.com/Assets/252_Autres_(stocks).htm" TargetMode="External"/><Relationship Id="rId52" Type="http://schemas.openxmlformats.org/officeDocument/2006/relationships/hyperlink" Target="http://gm-ca-fr.acctmanual.com/Assets/275_V_hicules_d_ducation_routi_re.htm" TargetMode="External"/><Relationship Id="rId60" Type="http://schemas.openxmlformats.org/officeDocument/2006/relationships/hyperlink" Target="http://gm-ca-fr.acctmanual.com/Assets/287_Mat_riel_informatique.htm" TargetMode="External"/><Relationship Id="rId65" Type="http://schemas.openxmlformats.org/officeDocument/2006/relationships/hyperlink" Target="http://gm-ca-fr.acctmanual.com/Assets/284_Mobilier_et_quipement_de_bureau.htm" TargetMode="External"/><Relationship Id="rId73" Type="http://schemas.openxmlformats.org/officeDocument/2006/relationships/hyperlink" Target="http://gm-ca-fr.acctmanual.com/Assets/294_Effets_et_comptes_recevoir_-_Autres.htm" TargetMode="External"/><Relationship Id="rId78" Type="http://schemas.openxmlformats.org/officeDocument/2006/relationships/vmlDrawing" Target="../drawings/vmlDrawing1.vml"/><Relationship Id="rId81" Type="http://schemas.openxmlformats.org/officeDocument/2006/relationships/control" Target="../activeX/activeX2.xml"/><Relationship Id="rId4" Type="http://schemas.openxmlformats.org/officeDocument/2006/relationships/hyperlink" Target="http://gm-ca-fr.acctmanual.com/Assets/202_Banque.htm" TargetMode="External"/><Relationship Id="rId9" Type="http://schemas.openxmlformats.org/officeDocument/2006/relationships/hyperlink" Target="http://gm-ca-fr.acctmanual.com/Assets/261_recevoir_de_l_usine.htm" TargetMode="External"/><Relationship Id="rId13" Type="http://schemas.openxmlformats.org/officeDocument/2006/relationships/hyperlink" Target="http://gm-ca-fr.acctmanual.com/Liabilities/312_Effets_payer_V_hicules_affect_s_la_location_court_et_long_terme.htm" TargetMode="External"/><Relationship Id="rId18" Type="http://schemas.openxmlformats.org/officeDocument/2006/relationships/hyperlink" Target="http://gm-ca-fr.acctmanual.com/Liabilities/315_T.P.S._T.V.H._payer.htm" TargetMode="External"/><Relationship Id="rId39" Type="http://schemas.openxmlformats.org/officeDocument/2006/relationships/hyperlink" Target="http://gm-ca-fr.acctmanual.com/Assets/202_Banque.htm" TargetMode="External"/><Relationship Id="rId34" Type="http://schemas.openxmlformats.org/officeDocument/2006/relationships/hyperlink" Target="http://gm-ca-fr.acctmanual.com/Assets/242_Pi_ces_et_accessoires.htm" TargetMode="External"/><Relationship Id="rId50" Type="http://schemas.openxmlformats.org/officeDocument/2006/relationships/hyperlink" Target="http://gm-ca-fr.acctmanual.com/Assets/274_Autres_frais_pay_s_d_avance.htm" TargetMode="External"/><Relationship Id="rId55" Type="http://schemas.openxmlformats.org/officeDocument/2006/relationships/hyperlink" Target="http://gm-ca-fr.acctmanual.com/Assets/238_Autres_v_hicules.htm" TargetMode="External"/><Relationship Id="rId76" Type="http://schemas.openxmlformats.org/officeDocument/2006/relationships/printerSettings" Target="../printerSettings/printerSettings3.bin"/><Relationship Id="rId7" Type="http://schemas.openxmlformats.org/officeDocument/2006/relationships/hyperlink" Target="http://gm-ca-fr.acctmanual.com/Assets/260_Portefeuille.htm" TargetMode="External"/><Relationship Id="rId71" Type="http://schemas.openxmlformats.org/officeDocument/2006/relationships/hyperlink" Target="http://gm-ca-fr.acctmanual.com/Assets/293_Billets_et_comptes_recevoir_-_Administrateurs.htm" TargetMode="External"/><Relationship Id="rId2" Type="http://schemas.openxmlformats.org/officeDocument/2006/relationships/printerSettings" Target="../printerSettings/printerSettings2.bin"/><Relationship Id="rId29" Type="http://schemas.openxmlformats.org/officeDocument/2006/relationships/hyperlink" Target="http://gm-ca-fr.acctmanual.com/Liabilities/325_Autres_taxes_payer.htm" TargetMode="External"/><Relationship Id="rId24" Type="http://schemas.openxmlformats.org/officeDocument/2006/relationships/hyperlink" Target="http://gm-ca-fr.acctmanual.com/Assets/237_Camions_neufs.htm" TargetMode="External"/><Relationship Id="rId40" Type="http://schemas.openxmlformats.org/officeDocument/2006/relationships/hyperlink" Target="http://gm-ca-fr.acctmanual.com/Assets/245_Mat_riel_pour_l_atelier_de_carrosserie_et_de_peinture.htm" TargetMode="External"/><Relationship Id="rId45" Type="http://schemas.openxmlformats.org/officeDocument/2006/relationships/hyperlink" Target="http://gm-ca-fr.acctmanual.com/Assets/258_Actif_divers_re_u_en_change_(stocks).htm" TargetMode="External"/><Relationship Id="rId66" Type="http://schemas.openxmlformats.org/officeDocument/2006/relationships/hyperlink" Target="http://gm-ca-fr.acctmanual.com/Assets/242_Pi_ces_et_accessoires.htm" TargetMode="External"/><Relationship Id="rId61" Type="http://schemas.openxmlformats.org/officeDocument/2006/relationships/hyperlink" Target="http://gm-ca-fr.acctmanual.com/Assets/288_Logiciel_informatique.htm" TargetMode="External"/><Relationship Id="rId82" Type="http://schemas.openxmlformats.org/officeDocument/2006/relationships/image" Target="../media/image2.emf"/></Relationships>
</file>

<file path=xl/worksheets/_rels/sheet2.xml.rels><?xml version="1.0" encoding="UTF-8" standalone="yes"?>
<Relationships xmlns="http://schemas.openxmlformats.org/package/2006/relationships"><Relationship Id="rId13" Type="http://schemas.openxmlformats.org/officeDocument/2006/relationships/hyperlink" Target="http://gm-ca-fr.acctmanual.com/Expenses/027_Avantages_sociaux.htm" TargetMode="External"/><Relationship Id="rId18" Type="http://schemas.openxmlformats.org/officeDocument/2006/relationships/hyperlink" Target="http://gm-ca-fr.acctmanual.com/Expenses/063_Commerce_lectronique_frais_publicit_.htm" TargetMode="External"/><Relationship Id="rId26" Type="http://schemas.openxmlformats.org/officeDocument/2006/relationships/hyperlink" Target="http://gm-ca-fr.acctmanual.com/Expenses/071_Cotisations,_publications_et_abonnements.htm" TargetMode="External"/><Relationship Id="rId39" Type="http://schemas.openxmlformats.org/officeDocument/2006/relationships/hyperlink" Target="http://gm-ca-fr.acctmanual.com/Expenses/082_R_parations_aux_immeubles.htm" TargetMode="External"/><Relationship Id="rId21" Type="http://schemas.openxmlformats.org/officeDocument/2006/relationships/hyperlink" Target="http://gm-ca-fr.acctmanual.com/Expenses/066_Contributions.htm" TargetMode="External"/><Relationship Id="rId34" Type="http://schemas.openxmlformats.org/officeDocument/2006/relationships/hyperlink" Target="http://gm-ca-fr.acctmanual.com/Expenses/057_Frais_de_mauvaises_cr_ances.htm" TargetMode="External"/><Relationship Id="rId42" Type="http://schemas.openxmlformats.org/officeDocument/2006/relationships/hyperlink" Target="http://gm-ca-fr.acctmanual.com/Expenses/085_Assurance_B_timents_et_am_liorations.htm" TargetMode="External"/><Relationship Id="rId47" Type="http://schemas.openxmlformats.org/officeDocument/2006/relationships/hyperlink" Target="http://gm-ca-fr.acctmanual.com/Expenses/090_R_parations_l_quipement.htm" TargetMode="External"/><Relationship Id="rId50" Type="http://schemas.openxmlformats.org/officeDocument/2006/relationships/hyperlink" Target="http://gm-ca-fr.acctmanual.com/Adjustments/097_Bonis_aux_employ_s.htm" TargetMode="External"/><Relationship Id="rId55" Type="http://schemas.openxmlformats.org/officeDocument/2006/relationships/vmlDrawing" Target="../drawings/vmlDrawing2.vml"/><Relationship Id="rId7" Type="http://schemas.openxmlformats.org/officeDocument/2006/relationships/hyperlink" Target="http://gm-ca-fr.acctmanual.com/Expenses/021_Salaires_Cadres.htm" TargetMode="External"/><Relationship Id="rId2" Type="http://schemas.openxmlformats.org/officeDocument/2006/relationships/printerSettings" Target="../printerSettings/printerSettings5.bin"/><Relationship Id="rId16" Type="http://schemas.openxmlformats.org/officeDocument/2006/relationships/hyperlink" Target="http://gm-ca-fr.acctmanual.com/Expenses/060_Fournitures_et_d_penses_de_bureau.htm" TargetMode="External"/><Relationship Id="rId29" Type="http://schemas.openxmlformats.org/officeDocument/2006/relationships/hyperlink" Target="http://gm-ca-fr.acctmanual.com/Expenses/075_Formation_et_perfectionnement.htm" TargetMode="External"/><Relationship Id="rId11" Type="http://schemas.openxmlformats.org/officeDocument/2006/relationships/hyperlink" Target="http://gm-ca-fr.acctmanual.com/Expenses/026_Primes_de_rendement_-_Cadres.htm" TargetMode="External"/><Relationship Id="rId24" Type="http://schemas.openxmlformats.org/officeDocument/2006/relationships/hyperlink" Target="http://gm-ca-fr.acctmanual.com/Expenses/069_Services_ext_rieurs_-_Autres.htm" TargetMode="External"/><Relationship Id="rId32" Type="http://schemas.openxmlformats.org/officeDocument/2006/relationships/hyperlink" Target="http://gm-ca-fr.acctmanual.com/Expenses/079_Int_r_t_Billets_payer_(autres).htm" TargetMode="External"/><Relationship Id="rId37" Type="http://schemas.openxmlformats.org/officeDocument/2006/relationships/hyperlink" Target="http://gm-ca-fr.acctmanual.com/Expenses/080_Loyer.htm" TargetMode="External"/><Relationship Id="rId40" Type="http://schemas.openxmlformats.org/officeDocument/2006/relationships/hyperlink" Target="http://gm-ca-fr.acctmanual.com/Expenses/083_Amortissement_B_timents_et_am_liorations.htm" TargetMode="External"/><Relationship Id="rId45" Type="http://schemas.openxmlformats.org/officeDocument/2006/relationships/hyperlink" Target="http://gm-ca-fr.acctmanual.com/Expenses/088_Autres_assurances.htm" TargetMode="External"/><Relationship Id="rId53" Type="http://schemas.openxmlformats.org/officeDocument/2006/relationships/printerSettings" Target="../printerSettings/printerSettings6.bin"/><Relationship Id="rId5" Type="http://schemas.openxmlformats.org/officeDocument/2006/relationships/hyperlink" Target="http://gm-ca-fr.acctmanual.com/Expenses/015_Travaux_titre_gracieux_V_hicules.htm" TargetMode="External"/><Relationship Id="rId19" Type="http://schemas.openxmlformats.org/officeDocument/2006/relationships/hyperlink" Target="http://gm-ca-fr.acctmanual.com/Expenses/065_Publicit_.htm" TargetMode="External"/><Relationship Id="rId4" Type="http://schemas.openxmlformats.org/officeDocument/2006/relationships/hyperlink" Target="http://gm-ca-fr.acctmanual.com/Expenses/013_Frais_de_livraison.htm" TargetMode="External"/><Relationship Id="rId9" Type="http://schemas.openxmlformats.org/officeDocument/2006/relationships/hyperlink" Target="http://gm-ca-fr.acctmanual.com/Expenses/023_Autres_salaires.htm" TargetMode="External"/><Relationship Id="rId14" Type="http://schemas.openxmlformats.org/officeDocument/2006/relationships/hyperlink" Target="http://gm-ca-fr.acctmanual.com/Expenses/029_Caisse_de_retraite.htm" TargetMode="External"/><Relationship Id="rId22" Type="http://schemas.openxmlformats.org/officeDocument/2006/relationships/hyperlink" Target="http://gm-ca-fr.acctmanual.com/Expenses/067_Travaux_titre_gracieux_Pi_ces_et_main-d_oeuvre.htm" TargetMode="External"/><Relationship Id="rId27" Type="http://schemas.openxmlformats.org/officeDocument/2006/relationships/hyperlink" Target="http://gm-ca-fr.acctmanual.com/Expenses/072_Frais_de_contentieux_et_de_v_rification.htm" TargetMode="External"/><Relationship Id="rId30" Type="http://schemas.openxmlformats.org/officeDocument/2006/relationships/hyperlink" Target="http://gm-ca-fr.acctmanual.com/Expenses/076_Int_r_t_Financement_des_stocks.htm" TargetMode="External"/><Relationship Id="rId35" Type="http://schemas.openxmlformats.org/officeDocument/2006/relationships/hyperlink" Target="http://gm-ca-fr.acctmanual.com/Expenses/033_Frais_de_poste_et_de_transport.htm" TargetMode="External"/><Relationship Id="rId43" Type="http://schemas.openxmlformats.org/officeDocument/2006/relationships/hyperlink" Target="http://gm-ca-fr.acctmanual.com/Expenses/086_Int_r_t_-_Hypoth_ques.htm" TargetMode="External"/><Relationship Id="rId48" Type="http://schemas.openxmlformats.org/officeDocument/2006/relationships/hyperlink" Target="http://gm-ca-fr.acctmanual.com/Expenses/091_Amortissement_de_l_quipement.htm" TargetMode="External"/><Relationship Id="rId56" Type="http://schemas.openxmlformats.org/officeDocument/2006/relationships/control" Target="../activeX/activeX4.xml"/><Relationship Id="rId8" Type="http://schemas.openxmlformats.org/officeDocument/2006/relationships/hyperlink" Target="http://gm-ca-fr.acctmanual.com/Expenses/022_Salaires_Employ_s_de_bureau.htm" TargetMode="External"/><Relationship Id="rId51" Type="http://schemas.openxmlformats.org/officeDocument/2006/relationships/hyperlink" Target="http://gm-ca-fr.acctmanual.com/Adjustments/098_Bonis_aux_propri_taires.htm" TargetMode="External"/><Relationship Id="rId3" Type="http://schemas.openxmlformats.org/officeDocument/2006/relationships/hyperlink" Target="http://gm-ca-fr.acctmanual.com/Expenses/011_Vendeurs_de_v_hicules_R_mun_ration_et_autre.htm" TargetMode="External"/><Relationship Id="rId12" Type="http://schemas.openxmlformats.org/officeDocument/2006/relationships/hyperlink" Target="http://gm-ca-fr.acctmanual.com/Expenses/025_Imp_ts_retenus_la_source.htm" TargetMode="External"/><Relationship Id="rId17" Type="http://schemas.openxmlformats.org/officeDocument/2006/relationships/hyperlink" Target="http://gm-ca-fr.acctmanual.com/Expenses/061_Fournitures_-_autres.htm" TargetMode="External"/><Relationship Id="rId25" Type="http://schemas.openxmlformats.org/officeDocument/2006/relationships/hyperlink" Target="http://gm-ca-fr.acctmanual.com/Expenses/070_Voyages_et_repr_sentation.htm" TargetMode="External"/><Relationship Id="rId33" Type="http://schemas.openxmlformats.org/officeDocument/2006/relationships/hyperlink" Target="http://gm-ca-fr.acctmanual.com/Expenses/056_Assurance_Stock_de_v_hicules.htm" TargetMode="External"/><Relationship Id="rId38" Type="http://schemas.openxmlformats.org/officeDocument/2006/relationships/hyperlink" Target="http://gm-ca-fr.acctmanual.com/Expenses/081_Amortissement_Am_liorations_locatives.htm" TargetMode="External"/><Relationship Id="rId46" Type="http://schemas.openxmlformats.org/officeDocument/2006/relationships/hyperlink" Target="http://gm-ca-fr.acctmanual.com/Expenses/089_Autres_taxes.htm" TargetMode="External"/><Relationship Id="rId20" Type="http://schemas.openxmlformats.org/officeDocument/2006/relationships/hyperlink" Target="http://gm-ca-fr.acctmanual.com/Expenses/064_Ristournes_de_publicit_.htm" TargetMode="External"/><Relationship Id="rId41" Type="http://schemas.openxmlformats.org/officeDocument/2006/relationships/hyperlink" Target="http://gm-ca-fr.acctmanual.com/Expenses/084_Imp_ts_fonciers_et_immobiliers.htm" TargetMode="External"/><Relationship Id="rId54"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hyperlink" Target="http://gm-ca-fr.acctmanual.com/Expenses/020_Salaires_Propri_taire_Directeur_g_n_ral.htm" TargetMode="External"/><Relationship Id="rId15" Type="http://schemas.openxmlformats.org/officeDocument/2006/relationships/hyperlink" Target="http://gm-ca-fr.acctmanual.com/Expenses/051_D_penses_aff_rentes_aux_v_hicules_de_servitude.htm" TargetMode="External"/><Relationship Id="rId23" Type="http://schemas.openxmlformats.org/officeDocument/2006/relationships/hyperlink" Target="http://gm-ca-fr.acctmanual.com/Expenses/068_Services_ext_rieurs_-_Informatique.htm" TargetMode="External"/><Relationship Id="rId28" Type="http://schemas.openxmlformats.org/officeDocument/2006/relationships/hyperlink" Target="http://gm-ca-fr.acctmanual.com/Expenses/074_T_l_phone.htm" TargetMode="External"/><Relationship Id="rId36" Type="http://schemas.openxmlformats.org/officeDocument/2006/relationships/hyperlink" Target="http://gm-ca-fr.acctmanual.com/Expenses/077_Frais_divers.htm" TargetMode="External"/><Relationship Id="rId49" Type="http://schemas.openxmlformats.org/officeDocument/2006/relationships/hyperlink" Target="http://gm-ca-fr.acctmanual.com/Expenses/092_Location_d_quipement.htm" TargetMode="External"/><Relationship Id="rId57" Type="http://schemas.openxmlformats.org/officeDocument/2006/relationships/image" Target="../media/image5.emf"/><Relationship Id="rId10" Type="http://schemas.openxmlformats.org/officeDocument/2006/relationships/hyperlink" Target="http://gm-ca-fr.acctmanual.com/Expenses/024_Absences_r_mun_r_es.htm" TargetMode="External"/><Relationship Id="rId31" Type="http://schemas.openxmlformats.org/officeDocument/2006/relationships/hyperlink" Target="http://gm-ca-fr.acctmanual.com/Expenses/078_Int_r_t_Cr_dit_financement_des_stocks.htm" TargetMode="External"/><Relationship Id="rId44" Type="http://schemas.openxmlformats.org/officeDocument/2006/relationships/hyperlink" Target="http://gm-ca-fr.acctmanual.com/Expenses/087_Chauffage,_clairage,_lectricit_et_eau.htm" TargetMode="External"/><Relationship Id="rId52" Type="http://schemas.openxmlformats.org/officeDocument/2006/relationships/hyperlink" Target="http://gm-ca-fr.acctmanual.com/Adjustments/099_Imp_ts_sur_le_revenu_l_exercice_courant.ht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gm-ca-fr.acctmanual.com/Expenses/027_Avantages_sociaux.htm" TargetMode="External"/><Relationship Id="rId18" Type="http://schemas.openxmlformats.org/officeDocument/2006/relationships/hyperlink" Target="http://gm-ca-fr.acctmanual.com/Expenses/063_Commerce_lectronique_frais_publicit_.htm" TargetMode="External"/><Relationship Id="rId26" Type="http://schemas.openxmlformats.org/officeDocument/2006/relationships/hyperlink" Target="http://gm-ca-fr.acctmanual.com/Expenses/072_Frais_de_contentieux_et_de_v_rification.htm" TargetMode="External"/><Relationship Id="rId39" Type="http://schemas.openxmlformats.org/officeDocument/2006/relationships/hyperlink" Target="http://gm-ca-fr.acctmanual.com/Expenses/083_Amortissement_B_timents_et_am_liorations.htm" TargetMode="External"/><Relationship Id="rId21" Type="http://schemas.openxmlformats.org/officeDocument/2006/relationships/hyperlink" Target="http://gm-ca-fr.acctmanual.com/Expenses/066_Contributions.htm" TargetMode="External"/><Relationship Id="rId34" Type="http://schemas.openxmlformats.org/officeDocument/2006/relationships/hyperlink" Target="http://gm-ca-fr.acctmanual.com/Expenses/033_Frais_de_poste_et_de_transport.htm" TargetMode="External"/><Relationship Id="rId42" Type="http://schemas.openxmlformats.org/officeDocument/2006/relationships/hyperlink" Target="http://gm-ca-fr.acctmanual.com/Expenses/086_Int_r_t_-_Hypoth_ques.htm" TargetMode="External"/><Relationship Id="rId47" Type="http://schemas.openxmlformats.org/officeDocument/2006/relationships/hyperlink" Target="http://gm-ca-fr.acctmanual.com/Expenses/091_Amortissement_de_l_quipement.htm" TargetMode="External"/><Relationship Id="rId50" Type="http://schemas.openxmlformats.org/officeDocument/2006/relationships/hyperlink" Target="http://gm-ca-fr.acctmanual.com/AddDed/902_Rentr_es_sur_cr_ances_radi_es.htm" TargetMode="External"/><Relationship Id="rId55" Type="http://schemas.openxmlformats.org/officeDocument/2006/relationships/hyperlink" Target="http://gm-ca-fr.acctmanual.com/AddDed/905_Autre_revenu.htm" TargetMode="External"/><Relationship Id="rId7" Type="http://schemas.openxmlformats.org/officeDocument/2006/relationships/hyperlink" Target="http://gm-ca-fr.acctmanual.com/Expenses/021_Salaires_Cadres.htm" TargetMode="External"/><Relationship Id="rId2" Type="http://schemas.openxmlformats.org/officeDocument/2006/relationships/printerSettings" Target="../printerSettings/printerSettings8.bin"/><Relationship Id="rId16" Type="http://schemas.openxmlformats.org/officeDocument/2006/relationships/hyperlink" Target="http://gm-ca-fr.acctmanual.com/Expenses/060_Fournitures_et_d_penses_de_bureau.htm" TargetMode="External"/><Relationship Id="rId29" Type="http://schemas.openxmlformats.org/officeDocument/2006/relationships/hyperlink" Target="http://gm-ca-fr.acctmanual.com/Expenses/076_Int_r_t_Financement_des_stocks.htm" TargetMode="External"/><Relationship Id="rId11" Type="http://schemas.openxmlformats.org/officeDocument/2006/relationships/hyperlink" Target="http://gm-ca-fr.acctmanual.com/Expenses/026_Primes_de_rendement_-_Cadres.htm" TargetMode="External"/><Relationship Id="rId24" Type="http://schemas.openxmlformats.org/officeDocument/2006/relationships/hyperlink" Target="http://gm-ca-fr.acctmanual.com/Expenses/070_Voyages_et_repr_sentation.htm" TargetMode="External"/><Relationship Id="rId32" Type="http://schemas.openxmlformats.org/officeDocument/2006/relationships/hyperlink" Target="http://gm-ca-fr.acctmanual.com/Expenses/056_Assurance_Stock_de_v_hicules.htm" TargetMode="External"/><Relationship Id="rId37" Type="http://schemas.openxmlformats.org/officeDocument/2006/relationships/hyperlink" Target="http://gm-ca-fr.acctmanual.com/Expenses/081_Amortissement_Am_liorations_locatives.htm" TargetMode="External"/><Relationship Id="rId40" Type="http://schemas.openxmlformats.org/officeDocument/2006/relationships/hyperlink" Target="http://gm-ca-fr.acctmanual.com/Expenses/084_Imp_ts_fonciers_et_immobiliers.htm" TargetMode="External"/><Relationship Id="rId45" Type="http://schemas.openxmlformats.org/officeDocument/2006/relationships/hyperlink" Target="http://gm-ca-fr.acctmanual.com/Expenses/089_Autres_taxes.htm" TargetMode="External"/><Relationship Id="rId53" Type="http://schemas.openxmlformats.org/officeDocument/2006/relationships/hyperlink" Target="http://gm-ca-fr.acctmanual.com/AddDed/953_Escomptes_de_caisse.htm" TargetMode="External"/><Relationship Id="rId58" Type="http://schemas.openxmlformats.org/officeDocument/2006/relationships/printerSettings" Target="../printerSettings/printerSettings9.bin"/><Relationship Id="rId5" Type="http://schemas.openxmlformats.org/officeDocument/2006/relationships/hyperlink" Target="http://gm-ca-fr.acctmanual.com/Expenses/015_Travaux_titre_gracieux_V_hicules.htm" TargetMode="External"/><Relationship Id="rId61" Type="http://schemas.openxmlformats.org/officeDocument/2006/relationships/control" Target="../activeX/activeX5.xml"/><Relationship Id="rId19" Type="http://schemas.openxmlformats.org/officeDocument/2006/relationships/hyperlink" Target="http://gm-ca-fr.acctmanual.com/Expenses/065_Publicit_.htm" TargetMode="External"/><Relationship Id="rId14" Type="http://schemas.openxmlformats.org/officeDocument/2006/relationships/hyperlink" Target="http://gm-ca-fr.acctmanual.com/Expenses/029_Caisse_de_retraite.htm" TargetMode="External"/><Relationship Id="rId22" Type="http://schemas.openxmlformats.org/officeDocument/2006/relationships/hyperlink" Target="http://gm-ca-fr.acctmanual.com/Expenses/068_Services_ext_rieurs_-_Informatique.htm" TargetMode="External"/><Relationship Id="rId27" Type="http://schemas.openxmlformats.org/officeDocument/2006/relationships/hyperlink" Target="http://gm-ca-fr.acctmanual.com/Expenses/074_T_l_phone.htm" TargetMode="External"/><Relationship Id="rId30" Type="http://schemas.openxmlformats.org/officeDocument/2006/relationships/hyperlink" Target="http://gm-ca-fr.acctmanual.com/Expenses/078_Int_r_t_Cr_dit_financement_des_stocks.htm" TargetMode="External"/><Relationship Id="rId35" Type="http://schemas.openxmlformats.org/officeDocument/2006/relationships/hyperlink" Target="http://gm-ca-fr.acctmanual.com/Expenses/077_Frais_divers.htm" TargetMode="External"/><Relationship Id="rId43" Type="http://schemas.openxmlformats.org/officeDocument/2006/relationships/hyperlink" Target="http://gm-ca-fr.acctmanual.com/Expenses/087_Chauffage,_clairage,_lectricit_et_eau.htm" TargetMode="External"/><Relationship Id="rId48" Type="http://schemas.openxmlformats.org/officeDocument/2006/relationships/hyperlink" Target="http://gm-ca-fr.acctmanual.com/Expenses/092_Location_d_quipement.htm" TargetMode="External"/><Relationship Id="rId56" Type="http://schemas.openxmlformats.org/officeDocument/2006/relationships/hyperlink" Target="http://gm-ca-fr.acctmanual.com/AddDed/955_Autres_d_ductions.htm" TargetMode="External"/><Relationship Id="rId8" Type="http://schemas.openxmlformats.org/officeDocument/2006/relationships/hyperlink" Target="http://gm-ca-fr.acctmanual.com/Expenses/022_Salaires_Employ_s_de_bureau.htm" TargetMode="External"/><Relationship Id="rId51" Type="http://schemas.openxmlformats.org/officeDocument/2006/relationships/hyperlink" Target="http://gm-ca-fr.acctmanual.com/AddDed/953_Escomptes_de_caisse.htm" TargetMode="External"/><Relationship Id="rId3" Type="http://schemas.openxmlformats.org/officeDocument/2006/relationships/hyperlink" Target="http://gm-ca-fr.acctmanual.com/Expenses/011_Vendeurs_de_v_hicules_R_mun_ration_et_autre.htm" TargetMode="External"/><Relationship Id="rId12" Type="http://schemas.openxmlformats.org/officeDocument/2006/relationships/hyperlink" Target="http://gm-ca-fr.acctmanual.com/Expenses/025_Imp_ts_retenus_la_source.htm" TargetMode="External"/><Relationship Id="rId17" Type="http://schemas.openxmlformats.org/officeDocument/2006/relationships/hyperlink" Target="http://gm-ca-fr.acctmanual.com/Expenses/061_Fournitures_-_autres.htm" TargetMode="External"/><Relationship Id="rId25" Type="http://schemas.openxmlformats.org/officeDocument/2006/relationships/hyperlink" Target="http://gm-ca-fr.acctmanual.com/Expenses/071_Cotisations,_publications_et_abonnements.htm" TargetMode="External"/><Relationship Id="rId33" Type="http://schemas.openxmlformats.org/officeDocument/2006/relationships/hyperlink" Target="http://gm-ca-fr.acctmanual.com/Expenses/057_Frais_de_mauvaises_cr_ances.htm" TargetMode="External"/><Relationship Id="rId38" Type="http://schemas.openxmlformats.org/officeDocument/2006/relationships/hyperlink" Target="http://gm-ca-fr.acctmanual.com/Expenses/082_R_parations_aux_immeubles.htm" TargetMode="External"/><Relationship Id="rId46" Type="http://schemas.openxmlformats.org/officeDocument/2006/relationships/hyperlink" Target="http://gm-ca-fr.acctmanual.com/Expenses/090_R_parations_l_quipement.htm" TargetMode="External"/><Relationship Id="rId59" Type="http://schemas.openxmlformats.org/officeDocument/2006/relationships/drawing" Target="../drawings/drawing3.xml"/><Relationship Id="rId20" Type="http://schemas.openxmlformats.org/officeDocument/2006/relationships/hyperlink" Target="http://gm-ca-fr.acctmanual.com/Expenses/064_Ristournes_de_publicit_.htm" TargetMode="External"/><Relationship Id="rId41" Type="http://schemas.openxmlformats.org/officeDocument/2006/relationships/hyperlink" Target="http://gm-ca-fr.acctmanual.com/Expenses/085_Assurance_B_timents_et_am_liorations.htm" TargetMode="External"/><Relationship Id="rId54" Type="http://schemas.openxmlformats.org/officeDocument/2006/relationships/hyperlink" Target="http://gm-ca-fr.acctmanual.com/AddDed/953_Escomptes_de_caisse.htm" TargetMode="External"/><Relationship Id="rId62" Type="http://schemas.openxmlformats.org/officeDocument/2006/relationships/image" Target="../media/image6.emf"/><Relationship Id="rId1" Type="http://schemas.openxmlformats.org/officeDocument/2006/relationships/printerSettings" Target="../printerSettings/printerSettings7.bin"/><Relationship Id="rId6" Type="http://schemas.openxmlformats.org/officeDocument/2006/relationships/hyperlink" Target="http://gm-ca-fr.acctmanual.com/Expenses/020_Salaires_Propri_taire_Directeur_g_n_ral.htm" TargetMode="External"/><Relationship Id="rId15" Type="http://schemas.openxmlformats.org/officeDocument/2006/relationships/hyperlink" Target="http://gm-ca-fr.acctmanual.com/Expenses/051_D_penses_aff_rentes_aux_v_hicules_de_servitude.htm" TargetMode="External"/><Relationship Id="rId23" Type="http://schemas.openxmlformats.org/officeDocument/2006/relationships/hyperlink" Target="http://gm-ca-fr.acctmanual.com/Expenses/069_Services_ext_rieurs_-_Autres.htm" TargetMode="External"/><Relationship Id="rId28" Type="http://schemas.openxmlformats.org/officeDocument/2006/relationships/hyperlink" Target="http://gm-ca-fr.acctmanual.com/Expenses/075_Formation_et_perfectionnement.htm" TargetMode="External"/><Relationship Id="rId36" Type="http://schemas.openxmlformats.org/officeDocument/2006/relationships/hyperlink" Target="http://gm-ca-fr.acctmanual.com/Expenses/080_Loyer.htm" TargetMode="External"/><Relationship Id="rId49" Type="http://schemas.openxmlformats.org/officeDocument/2006/relationships/hyperlink" Target="http://gm-ca-fr.acctmanual.com/Expenses/Exemples_de_ventilation_.htm" TargetMode="External"/><Relationship Id="rId57" Type="http://schemas.openxmlformats.org/officeDocument/2006/relationships/hyperlink" Target="http://gm-ca-fr.acctmanual.com/AddDed/955_Autres_d_ductions.htm" TargetMode="External"/><Relationship Id="rId10" Type="http://schemas.openxmlformats.org/officeDocument/2006/relationships/hyperlink" Target="http://gm-ca-fr.acctmanual.com/Expenses/024_Absences_r_mun_r_es.htm" TargetMode="External"/><Relationship Id="rId31" Type="http://schemas.openxmlformats.org/officeDocument/2006/relationships/hyperlink" Target="http://gm-ca-fr.acctmanual.com/Expenses/079_Int_r_t_Billets_payer_(autres).htm" TargetMode="External"/><Relationship Id="rId44" Type="http://schemas.openxmlformats.org/officeDocument/2006/relationships/hyperlink" Target="http://gm-ca-fr.acctmanual.com/Expenses/088_Autres_assurances.htm" TargetMode="External"/><Relationship Id="rId52" Type="http://schemas.openxmlformats.org/officeDocument/2006/relationships/hyperlink" Target="http://gm-ca-fr.acctmanual.com/AddDed/903_Gains_d_escomptes_de_caisse.htm" TargetMode="External"/><Relationship Id="rId60" Type="http://schemas.openxmlformats.org/officeDocument/2006/relationships/vmlDrawing" Target="../drawings/vmlDrawing3.vml"/><Relationship Id="rId4" Type="http://schemas.openxmlformats.org/officeDocument/2006/relationships/hyperlink" Target="http://gm-ca-fr.acctmanual.com/Expenses/013_Frais_de_livraison.htm" TargetMode="External"/><Relationship Id="rId9" Type="http://schemas.openxmlformats.org/officeDocument/2006/relationships/hyperlink" Target="http://gm-ca-fr.acctmanual.com/Expenses/023_Autres_salaires.ht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gm-ca-fr.acctmanual.com/Expenses/060_Fournitures_et_d_penses_de_bureau.htm" TargetMode="External"/><Relationship Id="rId18" Type="http://schemas.openxmlformats.org/officeDocument/2006/relationships/hyperlink" Target="http://gm-ca-fr.acctmanual.com/Expenses/066_Contributions.htm" TargetMode="External"/><Relationship Id="rId26" Type="http://schemas.openxmlformats.org/officeDocument/2006/relationships/hyperlink" Target="http://gm-ca-fr.acctmanual.com/Expenses/075_Formation_et_perfectionnement.htm" TargetMode="External"/><Relationship Id="rId39" Type="http://schemas.openxmlformats.org/officeDocument/2006/relationships/hyperlink" Target="http://gm-ca-fr.acctmanual.com/Expenses/088_Autres_assurances.htm" TargetMode="External"/><Relationship Id="rId21" Type="http://schemas.openxmlformats.org/officeDocument/2006/relationships/hyperlink" Target="http://gm-ca-fr.acctmanual.com/Expenses/069_Services_ext_rieurs_-_Autres.htm" TargetMode="External"/><Relationship Id="rId34" Type="http://schemas.openxmlformats.org/officeDocument/2006/relationships/hyperlink" Target="http://gm-ca-fr.acctmanual.com/Expenses/083_Amortissement_B_timents_et_am_liorations.htm" TargetMode="External"/><Relationship Id="rId42" Type="http://schemas.openxmlformats.org/officeDocument/2006/relationships/hyperlink" Target="http://gm-ca-fr.acctmanual.com/Expenses/091_Amortissement_de_l_quipement.htm" TargetMode="External"/><Relationship Id="rId47" Type="http://schemas.openxmlformats.org/officeDocument/2006/relationships/vmlDrawing" Target="../drawings/vmlDrawing4.vml"/><Relationship Id="rId7" Type="http://schemas.openxmlformats.org/officeDocument/2006/relationships/hyperlink" Target="http://gm-ca-fr.acctmanual.com/Expenses/024_Absences_r_mun_r_es.htm" TargetMode="External"/><Relationship Id="rId2" Type="http://schemas.openxmlformats.org/officeDocument/2006/relationships/printerSettings" Target="../printerSettings/printerSettings11.bin"/><Relationship Id="rId16" Type="http://schemas.openxmlformats.org/officeDocument/2006/relationships/hyperlink" Target="http://gm-ca-fr.acctmanual.com/Expenses/065_Publicit_.htm" TargetMode="External"/><Relationship Id="rId29" Type="http://schemas.openxmlformats.org/officeDocument/2006/relationships/hyperlink" Target="http://gm-ca-fr.acctmanual.com/Expenses/033_Frais_de_poste_et_de_transport.htm" TargetMode="External"/><Relationship Id="rId11" Type="http://schemas.openxmlformats.org/officeDocument/2006/relationships/hyperlink" Target="http://gm-ca-fr.acctmanual.com/Expenses/029_Caisse_de_retraite.htm" TargetMode="External"/><Relationship Id="rId24" Type="http://schemas.openxmlformats.org/officeDocument/2006/relationships/hyperlink" Target="http://gm-ca-fr.acctmanual.com/Expenses/072_Frais_de_contentieux_et_de_v_rification.htm" TargetMode="External"/><Relationship Id="rId32" Type="http://schemas.openxmlformats.org/officeDocument/2006/relationships/hyperlink" Target="http://gm-ca-fr.acctmanual.com/Expenses/081_Amortissement_Am_liorations_locatives.htm" TargetMode="External"/><Relationship Id="rId37" Type="http://schemas.openxmlformats.org/officeDocument/2006/relationships/hyperlink" Target="http://gm-ca-fr.acctmanual.com/Expenses/086_Int_r_t_-_Hypoth_ques.htm" TargetMode="External"/><Relationship Id="rId40" Type="http://schemas.openxmlformats.org/officeDocument/2006/relationships/hyperlink" Target="http://gm-ca-fr.acctmanual.com/Expenses/089_Autres_taxes.htm" TargetMode="External"/><Relationship Id="rId45" Type="http://schemas.openxmlformats.org/officeDocument/2006/relationships/printerSettings" Target="../printerSettings/printerSettings12.bin"/><Relationship Id="rId5" Type="http://schemas.openxmlformats.org/officeDocument/2006/relationships/hyperlink" Target="http://gm-ca-fr.acctmanual.com/Expenses/022_Salaires_Employ_s_de_bureau.htm" TargetMode="External"/><Relationship Id="rId15" Type="http://schemas.openxmlformats.org/officeDocument/2006/relationships/hyperlink" Target="http://gm-ca-fr.acctmanual.com/Expenses/063_Commerce_lectronique_frais_publicit_.htm" TargetMode="External"/><Relationship Id="rId23" Type="http://schemas.openxmlformats.org/officeDocument/2006/relationships/hyperlink" Target="http://gm-ca-fr.acctmanual.com/Expenses/071_Cotisations,_publications_et_abonnements.htm" TargetMode="External"/><Relationship Id="rId28" Type="http://schemas.openxmlformats.org/officeDocument/2006/relationships/hyperlink" Target="http://gm-ca-fr.acctmanual.com/Expenses/057_Frais_de_mauvaises_cr_ances.htm" TargetMode="External"/><Relationship Id="rId36" Type="http://schemas.openxmlformats.org/officeDocument/2006/relationships/hyperlink" Target="http://gm-ca-fr.acctmanual.com/Expenses/085_Assurance_B_timents_et_am_liorations.htm" TargetMode="External"/><Relationship Id="rId49" Type="http://schemas.openxmlformats.org/officeDocument/2006/relationships/image" Target="../media/image7.emf"/><Relationship Id="rId10" Type="http://schemas.openxmlformats.org/officeDocument/2006/relationships/hyperlink" Target="http://gm-ca-fr.acctmanual.com/Expenses/027_Avantages_sociaux.htm" TargetMode="External"/><Relationship Id="rId19" Type="http://schemas.openxmlformats.org/officeDocument/2006/relationships/hyperlink" Target="http://gm-ca-fr.acctmanual.com/Expenses/067_Travaux_titre_gracieux_Pi_ces_et_main-d_oeuvre.htm" TargetMode="External"/><Relationship Id="rId31" Type="http://schemas.openxmlformats.org/officeDocument/2006/relationships/hyperlink" Target="http://gm-ca-fr.acctmanual.com/Expenses/080_Loyer.htm" TargetMode="External"/><Relationship Id="rId44" Type="http://schemas.openxmlformats.org/officeDocument/2006/relationships/hyperlink" Target="http://gm-ca-fr.acctmanual.com/Expenses/Exemples_de_ventilation_.htm" TargetMode="External"/><Relationship Id="rId4" Type="http://schemas.openxmlformats.org/officeDocument/2006/relationships/hyperlink" Target="http://gm-ca-fr.acctmanual.com/Expenses/021_Salaires_Cadres.htm" TargetMode="External"/><Relationship Id="rId9" Type="http://schemas.openxmlformats.org/officeDocument/2006/relationships/hyperlink" Target="http://gm-ca-fr.acctmanual.com/Expenses/025_Imp_ts_retenus_la_source.htm" TargetMode="External"/><Relationship Id="rId14" Type="http://schemas.openxmlformats.org/officeDocument/2006/relationships/hyperlink" Target="http://gm-ca-fr.acctmanual.com/Expenses/061_Fournitures_-_autres.htm" TargetMode="External"/><Relationship Id="rId22" Type="http://schemas.openxmlformats.org/officeDocument/2006/relationships/hyperlink" Target="http://gm-ca-fr.acctmanual.com/Expenses/070_Voyages_et_repr_sentation.htm" TargetMode="External"/><Relationship Id="rId27" Type="http://schemas.openxmlformats.org/officeDocument/2006/relationships/hyperlink" Target="http://gm-ca-fr.acctmanual.com/Expenses/079_Int_r_t_Billets_payer_(autres).htm" TargetMode="External"/><Relationship Id="rId30" Type="http://schemas.openxmlformats.org/officeDocument/2006/relationships/hyperlink" Target="http://gm-ca-fr.acctmanual.com/Expenses/077_Frais_divers.htm" TargetMode="External"/><Relationship Id="rId35" Type="http://schemas.openxmlformats.org/officeDocument/2006/relationships/hyperlink" Target="http://gm-ca-fr.acctmanual.com/Expenses/084_Imp_ts_fonciers_et_immobiliers.htm" TargetMode="External"/><Relationship Id="rId43" Type="http://schemas.openxmlformats.org/officeDocument/2006/relationships/hyperlink" Target="http://gm-ca-fr.acctmanual.com/Expenses/092_Location_d_quipement.htm" TargetMode="External"/><Relationship Id="rId48" Type="http://schemas.openxmlformats.org/officeDocument/2006/relationships/control" Target="../activeX/activeX6.xml"/><Relationship Id="rId8" Type="http://schemas.openxmlformats.org/officeDocument/2006/relationships/hyperlink" Target="http://gm-ca-fr.acctmanual.com/Expenses/026_Primes_de_rendement_-_Cadres.htm" TargetMode="External"/><Relationship Id="rId3" Type="http://schemas.openxmlformats.org/officeDocument/2006/relationships/hyperlink" Target="http://gm-ca-fr.acctmanual.com/Expenses/020_Salaires_Propri_taire_Directeur_g_n_ral.htm" TargetMode="External"/><Relationship Id="rId12" Type="http://schemas.openxmlformats.org/officeDocument/2006/relationships/hyperlink" Target="http://gm-ca-fr.acctmanual.com/Expenses/051_D_penses_aff_rentes_aux_v_hicules_de_servitude.htm" TargetMode="External"/><Relationship Id="rId17" Type="http://schemas.openxmlformats.org/officeDocument/2006/relationships/hyperlink" Target="http://gm-ca-fr.acctmanual.com/Expenses/064_Ristournes_de_publicit_.htm" TargetMode="External"/><Relationship Id="rId25" Type="http://schemas.openxmlformats.org/officeDocument/2006/relationships/hyperlink" Target="http://gm-ca-fr.acctmanual.com/Expenses/074_T_l_phone.htm" TargetMode="External"/><Relationship Id="rId33" Type="http://schemas.openxmlformats.org/officeDocument/2006/relationships/hyperlink" Target="http://gm-ca-fr.acctmanual.com/Expenses/082_R_parations_aux_immeubles.htm" TargetMode="External"/><Relationship Id="rId38" Type="http://schemas.openxmlformats.org/officeDocument/2006/relationships/hyperlink" Target="http://gm-ca-fr.acctmanual.com/Expenses/087_Chauffage,_clairage,_lectricit_et_eau.htm" TargetMode="External"/><Relationship Id="rId46" Type="http://schemas.openxmlformats.org/officeDocument/2006/relationships/drawing" Target="../drawings/drawing4.xml"/><Relationship Id="rId20" Type="http://schemas.openxmlformats.org/officeDocument/2006/relationships/hyperlink" Target="http://gm-ca-fr.acctmanual.com/Expenses/068_Services_ext_rieurs_-_Informatique.htm" TargetMode="External"/><Relationship Id="rId41" Type="http://schemas.openxmlformats.org/officeDocument/2006/relationships/hyperlink" Target="http://gm-ca-fr.acctmanual.com/Expenses/090_R_parations_l_quipement.htm" TargetMode="External"/><Relationship Id="rId1" Type="http://schemas.openxmlformats.org/officeDocument/2006/relationships/printerSettings" Target="../printerSettings/printerSettings10.bin"/><Relationship Id="rId6" Type="http://schemas.openxmlformats.org/officeDocument/2006/relationships/hyperlink" Target="http://gm-ca-fr.acctmanual.com/Expenses/023_Autres_salaires.ht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5.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6" Type="http://schemas.openxmlformats.org/officeDocument/2006/relationships/image" Target="../media/image8.emf"/><Relationship Id="rId1" Type="http://schemas.openxmlformats.org/officeDocument/2006/relationships/printerSettings" Target="../printerSettings/printerSettings13.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7.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6.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6" Type="http://schemas.openxmlformats.org/officeDocument/2006/relationships/image" Target="../media/image8.emf"/><Relationship Id="rId1" Type="http://schemas.openxmlformats.org/officeDocument/2006/relationships/printerSettings" Target="../printerSettings/printerSettings16.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8.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7.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6" Type="http://schemas.openxmlformats.org/officeDocument/2006/relationships/image" Target="../media/image8.emf"/><Relationship Id="rId1" Type="http://schemas.openxmlformats.org/officeDocument/2006/relationships/printerSettings" Target="../printerSettings/printerSettings19.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9.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8.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6" Type="http://schemas.openxmlformats.org/officeDocument/2006/relationships/image" Target="../media/image8.emf"/><Relationship Id="rId1" Type="http://schemas.openxmlformats.org/officeDocument/2006/relationships/printerSettings" Target="../printerSettings/printerSettings22.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10.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9.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6" Type="http://schemas.openxmlformats.org/officeDocument/2006/relationships/image" Target="../media/image8.emf"/><Relationship Id="rId1" Type="http://schemas.openxmlformats.org/officeDocument/2006/relationships/printerSettings" Target="../printerSettings/printerSettings25.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11.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8" Type="http://schemas.openxmlformats.org/officeDocument/2006/relationships/hyperlink" Target="http://gm-ca-fr.acctmanual.com/New_Vehicle/441_Camions_neufs_-_Interne.htm" TargetMode="External"/><Relationship Id="rId13" Type="http://schemas.openxmlformats.org/officeDocument/2006/relationships/image" Target="../media/image8.emf"/><Relationship Id="rId3" Type="http://schemas.openxmlformats.org/officeDocument/2006/relationships/hyperlink" Target="http://gm-ca-fr.acctmanual.com/New_Vehicle/420_Voitures_neuves_-_Parcs.htm" TargetMode="External"/><Relationship Id="rId7" Type="http://schemas.openxmlformats.org/officeDocument/2006/relationships/hyperlink" Target="http://gm-ca-fr.acctmanual.com/New_Vehicle/440_Camions_neufs_-_Parcs.htm" TargetMode="External"/><Relationship Id="rId12" Type="http://schemas.openxmlformats.org/officeDocument/2006/relationships/control" Target="../activeX/activeX12.xml"/><Relationship Id="rId2" Type="http://schemas.openxmlformats.org/officeDocument/2006/relationships/hyperlink" Target="http://gm-ca-fr.acctmanual.com/New_Vehicle/419_Voitures_neuves_Internet_(compte_m_mo).htm" TargetMode="External"/><Relationship Id="rId1" Type="http://schemas.openxmlformats.org/officeDocument/2006/relationships/hyperlink" Target="http://gm-ca-fr.acctmanual.com/New_Vehicle/400-418_Voitures_neuves_au_d_tail.htm" TargetMode="External"/><Relationship Id="rId6" Type="http://schemas.openxmlformats.org/officeDocument/2006/relationships/hyperlink" Target="http://gm-ca-fr.acctmanual.com/New_Vehicle/439_Camions_neufs_Internet_(compte_m_mo).htm" TargetMode="External"/><Relationship Id="rId11" Type="http://schemas.openxmlformats.org/officeDocument/2006/relationships/vmlDrawing" Target="../drawings/vmlDrawing10.vml"/><Relationship Id="rId5" Type="http://schemas.openxmlformats.org/officeDocument/2006/relationships/hyperlink" Target="http://gm-ca-fr.acctmanual.com/New_Vehicle/423-438_Camions_neufs_-_au_d_tail.htm" TargetMode="External"/><Relationship Id="rId10" Type="http://schemas.openxmlformats.org/officeDocument/2006/relationships/drawing" Target="../drawings/drawing10.xml"/><Relationship Id="rId4" Type="http://schemas.openxmlformats.org/officeDocument/2006/relationships/hyperlink" Target="http://gm-ca-fr.acctmanual.com/New_Vehicle/421_Voitures_neuves_-_Interne.htm" TargetMode="External"/><Relationship Id="rId9" Type="http://schemas.openxmlformats.org/officeDocument/2006/relationships/hyperlink" Target="http://gm-ca-fr.acctmanual.com/New_Vehicle/457_Accessoires.ht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11.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6" Type="http://schemas.openxmlformats.org/officeDocument/2006/relationships/image" Target="../media/image8.emf"/><Relationship Id="rId1" Type="http://schemas.openxmlformats.org/officeDocument/2006/relationships/printerSettings" Target="../printerSettings/printerSettings28.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13.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12.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6" Type="http://schemas.openxmlformats.org/officeDocument/2006/relationships/image" Target="../media/image9.emf"/><Relationship Id="rId1" Type="http://schemas.openxmlformats.org/officeDocument/2006/relationships/printerSettings" Target="../printerSettings/printerSettings31.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14.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3" Type="http://schemas.openxmlformats.org/officeDocument/2006/relationships/control" Target="../activeX/activeX15.xml"/><Relationship Id="rId2" Type="http://schemas.openxmlformats.org/officeDocument/2006/relationships/vmlDrawing" Target="../drawings/vmlDrawing13.vml"/><Relationship Id="rId1" Type="http://schemas.openxmlformats.org/officeDocument/2006/relationships/drawing" Target="../drawings/drawing13.xml"/><Relationship Id="rId4" Type="http://schemas.openxmlformats.org/officeDocument/2006/relationships/image" Target="../media/image8.emf"/></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7" Type="http://schemas.openxmlformats.org/officeDocument/2006/relationships/image" Target="../media/image9.emf"/><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6" Type="http://schemas.openxmlformats.org/officeDocument/2006/relationships/control" Target="../activeX/activeX16.xm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8" Type="http://schemas.openxmlformats.org/officeDocument/2006/relationships/hyperlink" Target="http://gm-ca-fr.acctmanual.com/New_Vehicle/441_Camions_neufs_-_Interne.htm" TargetMode="External"/><Relationship Id="rId13" Type="http://schemas.openxmlformats.org/officeDocument/2006/relationships/image" Target="../media/image8.emf"/><Relationship Id="rId3" Type="http://schemas.openxmlformats.org/officeDocument/2006/relationships/hyperlink" Target="http://gm-ca-fr.acctmanual.com/New_Vehicle/420_Voitures_neuves_-_Parcs.htm" TargetMode="External"/><Relationship Id="rId7" Type="http://schemas.openxmlformats.org/officeDocument/2006/relationships/hyperlink" Target="http://gm-ca-fr.acctmanual.com/New_Vehicle/440_Camions_neufs_-_Parcs.htm" TargetMode="External"/><Relationship Id="rId12" Type="http://schemas.openxmlformats.org/officeDocument/2006/relationships/control" Target="../activeX/activeX17.xml"/><Relationship Id="rId2" Type="http://schemas.openxmlformats.org/officeDocument/2006/relationships/hyperlink" Target="http://gm-ca-fr.acctmanual.com/New_Vehicle/419_Voitures_neuves_Internet_(compte_m_mo).htm" TargetMode="External"/><Relationship Id="rId1" Type="http://schemas.openxmlformats.org/officeDocument/2006/relationships/hyperlink" Target="http://gm-ca-fr.acctmanual.com/New_Vehicle/400-418_Voitures_neuves_au_d_tail.htm" TargetMode="External"/><Relationship Id="rId6" Type="http://schemas.openxmlformats.org/officeDocument/2006/relationships/hyperlink" Target="http://gm-ca-fr.acctmanual.com/New_Vehicle/439_Camions_neufs_Internet_(compte_m_mo).htm" TargetMode="External"/><Relationship Id="rId11" Type="http://schemas.openxmlformats.org/officeDocument/2006/relationships/vmlDrawing" Target="../drawings/vmlDrawing15.vml"/><Relationship Id="rId5" Type="http://schemas.openxmlformats.org/officeDocument/2006/relationships/hyperlink" Target="http://gm-ca-fr.acctmanual.com/New_Vehicle/423-438_Camions_neufs_-_au_d_tail.htm" TargetMode="External"/><Relationship Id="rId10" Type="http://schemas.openxmlformats.org/officeDocument/2006/relationships/drawing" Target="../drawings/drawing15.xml"/><Relationship Id="rId4" Type="http://schemas.openxmlformats.org/officeDocument/2006/relationships/hyperlink" Target="http://gm-ca-fr.acctmanual.com/New_Vehicle/421_Voitures_neuves_-_Interne.htm" TargetMode="External"/><Relationship Id="rId9" Type="http://schemas.openxmlformats.org/officeDocument/2006/relationships/hyperlink" Target="http://gm-ca-fr.acctmanual.com/New_Vehicle/457_Accessoires.ht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gm-ca-fr.acctmanual.com/New_Vehicle/439_Camions_neufs_Internet_(compte_m_mo).htm" TargetMode="External"/><Relationship Id="rId13" Type="http://schemas.openxmlformats.org/officeDocument/2006/relationships/drawing" Target="../drawings/drawing16.xml"/><Relationship Id="rId3" Type="http://schemas.openxmlformats.org/officeDocument/2006/relationships/hyperlink" Target="http://gm-ca-fr.acctmanual.com/New_Vehicle/400-418_Voitures_neuves_au_d_tail.htm" TargetMode="External"/><Relationship Id="rId7" Type="http://schemas.openxmlformats.org/officeDocument/2006/relationships/hyperlink" Target="http://gm-ca-fr.acctmanual.com/New_Vehicle/423-438_Camions_neufs_-_au_d_tail.htm" TargetMode="External"/><Relationship Id="rId12"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6" Type="http://schemas.openxmlformats.org/officeDocument/2006/relationships/image" Target="../media/image8.emf"/><Relationship Id="rId1" Type="http://schemas.openxmlformats.org/officeDocument/2006/relationships/printerSettings" Target="../printerSettings/printerSettings37.bin"/><Relationship Id="rId6" Type="http://schemas.openxmlformats.org/officeDocument/2006/relationships/hyperlink" Target="http://gm-ca-fr.acctmanual.com/New_Vehicle/421_Voitures_neuves_-_Interne.htm" TargetMode="External"/><Relationship Id="rId11" Type="http://schemas.openxmlformats.org/officeDocument/2006/relationships/hyperlink" Target="http://gm-ca-fr.acctmanual.com/New_Vehicle/457_Accessoires.htm" TargetMode="External"/><Relationship Id="rId5" Type="http://schemas.openxmlformats.org/officeDocument/2006/relationships/hyperlink" Target="http://gm-ca-fr.acctmanual.com/New_Vehicle/420_Voitures_neuves_-_Parcs.htm" TargetMode="External"/><Relationship Id="rId15" Type="http://schemas.openxmlformats.org/officeDocument/2006/relationships/control" Target="../activeX/activeX18.xml"/><Relationship Id="rId10" Type="http://schemas.openxmlformats.org/officeDocument/2006/relationships/hyperlink" Target="http://gm-ca-fr.acctmanual.com/New_Vehicle/441_Camions_neufs_-_Interne.htm" TargetMode="External"/><Relationship Id="rId4" Type="http://schemas.openxmlformats.org/officeDocument/2006/relationships/hyperlink" Target="http://gm-ca-fr.acctmanual.com/New_Vehicle/419_Voitures_neuves_Internet_(compte_m_mo).htm" TargetMode="External"/><Relationship Id="rId9" Type="http://schemas.openxmlformats.org/officeDocument/2006/relationships/hyperlink" Target="http://gm-ca-fr.acctmanual.com/New_Vehicle/440_Camions_neufs_-_Parcs.htm" TargetMode="External"/><Relationship Id="rId14"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3" Type="http://schemas.openxmlformats.org/officeDocument/2006/relationships/hyperlink" Target="http://gm-ca-fr.acctmanual.com/Used_Vehicle/649_Rectification_au_stock_des_voitures_d_occasion.htm" TargetMode="External"/><Relationship Id="rId18" Type="http://schemas.openxmlformats.org/officeDocument/2006/relationships/hyperlink" Target="http://gm-ca-fr.acctmanual.com/Fixed_Operations/460A_Main-d_uvre_client_voitures_et_camions_l_gers.htm" TargetMode="External"/><Relationship Id="rId26" Type="http://schemas.openxmlformats.org/officeDocument/2006/relationships/hyperlink" Target="http://gm-ca-fr.acctmanual.com/Fixed_Operations/464_Main-d_uvre_inspection_des_v_hicules_neufs.htm" TargetMode="External"/><Relationship Id="rId39" Type="http://schemas.openxmlformats.org/officeDocument/2006/relationships/hyperlink" Target="http://gm-ca-fr.acctmanual.com/Fixed_Operations/467_Pi_ces_et_accessoires_bons_de_r_parations_des_clients_atelier_m_canique_voitures_et_camions.htm" TargetMode="External"/><Relationship Id="rId21" Type="http://schemas.openxmlformats.org/officeDocument/2006/relationships/hyperlink" Target="http://gm-ca-fr.acctmanual.com/Fixed_Operations/460A_Main-d_uvre_client_voitures_et_camions_l_gers.htm" TargetMode="External"/><Relationship Id="rId34" Type="http://schemas.openxmlformats.org/officeDocument/2006/relationships/hyperlink" Target="http://gm-ca-fr.acctmanual.com/Fixed_Operations/675_Rectification_au_co_t_de_main-d_uvre_ventes_carrosserie.htm" TargetMode="External"/><Relationship Id="rId42" Type="http://schemas.openxmlformats.org/officeDocument/2006/relationships/hyperlink" Target="http://gm-ca-fr.acctmanual.com/Fixed_Operations/481_Pi_ces_interne.htm" TargetMode="External"/><Relationship Id="rId47" Type="http://schemas.openxmlformats.org/officeDocument/2006/relationships/hyperlink" Target="http://gm-ca-fr.acctmanual.com/Fixed_Operations/688_Rectification_au_stock_des_pi_ces_et_accessoires.htm" TargetMode="External"/><Relationship Id="rId50" Type="http://schemas.openxmlformats.org/officeDocument/2006/relationships/hyperlink" Target="http://gm-ca-fr.acctmanual.com/Fixed_Operations/492_Divers.htm" TargetMode="External"/><Relationship Id="rId55" Type="http://schemas.openxmlformats.org/officeDocument/2006/relationships/image" Target="../media/image8.emf"/><Relationship Id="rId7" Type="http://schemas.openxmlformats.org/officeDocument/2006/relationships/hyperlink" Target="http://gm-ca-fr.acctmanual.com/Used_Vehicle/450A_Camions_d_occasion_au_d_tail_Optimum_Camions_d_occasion_de_Saturn.htm" TargetMode="External"/><Relationship Id="rId2" Type="http://schemas.openxmlformats.org/officeDocument/2006/relationships/printerSettings" Target="../printerSettings/printerSettings41.bin"/><Relationship Id="rId16" Type="http://schemas.openxmlformats.org/officeDocument/2006/relationships/hyperlink" Target="http://gm-ca-fr.acctmanual.com/Used_Vehicle/653_Rectification_au_stock_des_camions_d_occasion.htm" TargetMode="External"/><Relationship Id="rId29" Type="http://schemas.openxmlformats.org/officeDocument/2006/relationships/hyperlink" Target="http://gm-ca-fr.acctmanual.com/Fixed_Operations/466_R_parations_sous-trait_es_atelier_m_canique.htm" TargetMode="External"/><Relationship Id="rId11" Type="http://schemas.openxmlformats.org/officeDocument/2006/relationships/hyperlink" Target="http://gm-ca-fr.acctmanual.com/Used_Vehicle/448_Voitures_d_occasion_en_gros.htm" TargetMode="External"/><Relationship Id="rId24" Type="http://schemas.openxmlformats.org/officeDocument/2006/relationships/hyperlink" Target="http://gm-ca-fr.acctmanual.com/Fixed_Operations/462_Main-d_uvre_r_clamation_garantie_atelier_m_canique.htm" TargetMode="External"/><Relationship Id="rId32" Type="http://schemas.openxmlformats.org/officeDocument/2006/relationships/hyperlink" Target="http://gm-ca-fr.acctmanual.com/Fixed_Operations/472_Main-d_uvre_r_clamation_garantie_carrosserie.htm" TargetMode="External"/><Relationship Id="rId37" Type="http://schemas.openxmlformats.org/officeDocument/2006/relationships/hyperlink" Target="http://gm-ca-fr.acctmanual.com/Fixed_Operations/480_Pi_ces_r_clamations_sur_garantie.htm" TargetMode="External"/><Relationship Id="rId40" Type="http://schemas.openxmlformats.org/officeDocument/2006/relationships/hyperlink" Target="http://gm-ca-fr.acctmanual.com/Fixed_Operations/478_Pi_ces_Bons_de_r_parations_pour_service_rapide.htm" TargetMode="External"/><Relationship Id="rId45" Type="http://schemas.openxmlformats.org/officeDocument/2006/relationships/hyperlink" Target="http://gm-ca-fr.acctmanual.com/Fixed_Operations/484_Accessoires.htm" TargetMode="External"/><Relationship Id="rId53" Type="http://schemas.openxmlformats.org/officeDocument/2006/relationships/vmlDrawing" Target="../drawings/vmlDrawing17.vml"/><Relationship Id="rId5" Type="http://schemas.openxmlformats.org/officeDocument/2006/relationships/hyperlink" Target="http://gm-ca-fr.acctmanual.com/Used_Vehicle/647A_Remise_neuf_Optimum_Voitures_d_occasion_de_Saturn.htm" TargetMode="External"/><Relationship Id="rId10" Type="http://schemas.openxmlformats.org/officeDocument/2006/relationships/hyperlink" Target="http://gm-ca-fr.acctmanual.com/Used_Vehicle/651B_Remise_neuf_Autres_camions_d_occasion.htm" TargetMode="External"/><Relationship Id="rId19" Type="http://schemas.openxmlformats.org/officeDocument/2006/relationships/hyperlink" Target="http://gm-ca-fr.acctmanual.com/Fixed_Operations/460B_Main-d_uvre_client_contrats_d_entretien_voitures_et_camions_l_gers461B_Main-d_uvre_client.htm" TargetMode="External"/><Relationship Id="rId31" Type="http://schemas.openxmlformats.org/officeDocument/2006/relationships/hyperlink" Target="http://gm-ca-fr.acctmanual.com/Fixed_Operations/471_Main-d_uvre_client_carrosserie_voitures_et_camions.htm" TargetMode="External"/><Relationship Id="rId44" Type="http://schemas.openxmlformats.org/officeDocument/2006/relationships/hyperlink" Target="http://gm-ca-fr.acctmanual.com/Fixed_Operations/483_Pi_ces_en_gros.htm" TargetMode="External"/><Relationship Id="rId52" Type="http://schemas.openxmlformats.org/officeDocument/2006/relationships/drawing" Target="../drawings/drawing17.xml"/><Relationship Id="rId4" Type="http://schemas.openxmlformats.org/officeDocument/2006/relationships/hyperlink" Target="http://gm-ca-fr.acctmanual.com/Used_Vehicle/446B_Voitures_d_occasion_au_d_tail_autres.htm" TargetMode="External"/><Relationship Id="rId9" Type="http://schemas.openxmlformats.org/officeDocument/2006/relationships/hyperlink" Target="http://gm-ca-fr.acctmanual.com/Used_Vehicle/651A_Remise_neuf_Camions_d_occasion_Optimum_Camions_d_occasion_de_Saturn.htm" TargetMode="External"/><Relationship Id="rId14" Type="http://schemas.openxmlformats.org/officeDocument/2006/relationships/hyperlink" Target="http://gm-ca-fr.acctmanual.com/Used_Vehicle/452_Camions_d_occasion_en_gros.htm" TargetMode="External"/><Relationship Id="rId22" Type="http://schemas.openxmlformats.org/officeDocument/2006/relationships/hyperlink" Target="http://gm-ca-fr.acctmanual.com/Fixed_Operations/460B_Main-d_uvre_client_contrats_d_entretien_voitures_et_camions_l_gers461B_Main-d_uvre_client.htm" TargetMode="External"/><Relationship Id="rId27" Type="http://schemas.openxmlformats.org/officeDocument/2006/relationships/hyperlink" Target="http://gm-ca-fr.acctmanual.com/Fixed_Operations/665_Rectification_au_co_t_de_main-d_uvre_ventes_m_caniques.htm" TargetMode="External"/><Relationship Id="rId30" Type="http://schemas.openxmlformats.org/officeDocument/2006/relationships/hyperlink" Target="http://gm-ca-fr.acctmanual.com/Fixed_Operations/470_Main-d_uvre_client_peinture_voitures_et_camions.htm" TargetMode="External"/><Relationship Id="rId35" Type="http://schemas.openxmlformats.org/officeDocument/2006/relationships/hyperlink" Target="http://gm-ca-fr.acctmanual.com/Fixed_Operations/476_R_parations_sous-trait_es_carrosserie.htm" TargetMode="External"/><Relationship Id="rId43" Type="http://schemas.openxmlformats.org/officeDocument/2006/relationships/hyperlink" Target="http://gm-ca-fr.acctmanual.com/Fixed_Operations/482_Pi_ces_comptoir_d_tail.htm" TargetMode="External"/><Relationship Id="rId48" Type="http://schemas.openxmlformats.org/officeDocument/2006/relationships/hyperlink" Target="http://gm-ca-fr.acctmanual.com/Fixed_Operations/490_Pneus.htm" TargetMode="External"/><Relationship Id="rId8" Type="http://schemas.openxmlformats.org/officeDocument/2006/relationships/hyperlink" Target="http://gm-ca-fr.acctmanual.com/Used_Vehicle/450B_Camions_d_occasion_au_d_tail_autres.htm" TargetMode="External"/><Relationship Id="rId51" Type="http://schemas.openxmlformats.org/officeDocument/2006/relationships/printerSettings" Target="../printerSettings/printerSettings42.bin"/><Relationship Id="rId3" Type="http://schemas.openxmlformats.org/officeDocument/2006/relationships/hyperlink" Target="http://gm-ca-fr.acctmanual.com/Used_Vehicle/446A_Voitures_d_occasion_au_d_tail_Optimum_Voitures_d_occasion_de_Saturn.htm" TargetMode="External"/><Relationship Id="rId12" Type="http://schemas.openxmlformats.org/officeDocument/2006/relationships/hyperlink" Target="http://gm-ca-fr.acctmanual.com/Used_Vehicle/649_Rectification_au_stock_des_voitures_d_occasion.htm" TargetMode="External"/><Relationship Id="rId17" Type="http://schemas.openxmlformats.org/officeDocument/2006/relationships/hyperlink" Target="http://gm-ca-fr.acctmanual.com/Used_Vehicle/456_Autres_v_hicules_d_occasion_et_mat_riel_divers.htm" TargetMode="External"/><Relationship Id="rId25" Type="http://schemas.openxmlformats.org/officeDocument/2006/relationships/hyperlink" Target="http://gm-ca-fr.acctmanual.com/Fixed_Operations/463_Main-d_uvre_interne_atelier_m_canique.htm" TargetMode="External"/><Relationship Id="rId33" Type="http://schemas.openxmlformats.org/officeDocument/2006/relationships/hyperlink" Target="http://gm-ca-fr.acctmanual.com/Fixed_Operations/473_Main-d_uvre_interne_carrosserie.htm" TargetMode="External"/><Relationship Id="rId38" Type="http://schemas.openxmlformats.org/officeDocument/2006/relationships/hyperlink" Target="http://gm-ca-fr.acctmanual.com/Fixed_Operations/467_Pi_ces_et_accessoires_bons_de_r_parations_des_clients_atelier_m_canique_voitures_et_camions.htm" TargetMode="External"/><Relationship Id="rId46" Type="http://schemas.openxmlformats.org/officeDocument/2006/relationships/hyperlink" Target="http://gm-ca.acctmanual.com/Fixed_Operations/687_Purchase_Allowances.htm" TargetMode="External"/><Relationship Id="rId20" Type="http://schemas.openxmlformats.org/officeDocument/2006/relationships/hyperlink" Target="http://gm-ca-fr.acctmanual.com/Fixed_Operations/460C_Main-d_uvre_service_rapide_voitures_et_camions_l_gers.htm" TargetMode="External"/><Relationship Id="rId41" Type="http://schemas.openxmlformats.org/officeDocument/2006/relationships/hyperlink" Target="http://gm-ca-fr.acctmanual.com/Fixed_Operations/477_Pi_ces_et_accessoires_bons_de_r_parations_des_clients_atelier_carrosserie_voitures_et.htm" TargetMode="External"/><Relationship Id="rId54" Type="http://schemas.openxmlformats.org/officeDocument/2006/relationships/control" Target="../activeX/activeX19.xml"/><Relationship Id="rId1" Type="http://schemas.openxmlformats.org/officeDocument/2006/relationships/printerSettings" Target="../printerSettings/printerSettings40.bin"/><Relationship Id="rId6" Type="http://schemas.openxmlformats.org/officeDocument/2006/relationships/hyperlink" Target="http://gm-ca-fr.acctmanual.com/Used_Vehicle/647B_Remise_neuf_autres_voitures_d_occasion.htm" TargetMode="External"/><Relationship Id="rId15" Type="http://schemas.openxmlformats.org/officeDocument/2006/relationships/hyperlink" Target="http://gm-ca-fr.acctmanual.com/Used_Vehicle/653_Rectification_au_stock_des_camions_d_occasion.htm" TargetMode="External"/><Relationship Id="rId23" Type="http://schemas.openxmlformats.org/officeDocument/2006/relationships/hyperlink" Target="http://gm-ca-fr.acctmanual.com/Fixed_Operations/460C_Main-d_uvre_service_rapide_voitures_et_camions_l_gers.htm" TargetMode="External"/><Relationship Id="rId28" Type="http://schemas.openxmlformats.org/officeDocument/2006/relationships/hyperlink" Target="http://gm-ca-fr.acctmanual.com/Fixed_Operations/469_Fournitures_d_atelier.htm" TargetMode="External"/><Relationship Id="rId36" Type="http://schemas.openxmlformats.org/officeDocument/2006/relationships/hyperlink" Target="http://gm-ca-fr.acctmanual.com/Fixed_Operations/479_Peinture_et_mat_riaux_d_atelier.htm" TargetMode="External"/><Relationship Id="rId49" Type="http://schemas.openxmlformats.org/officeDocument/2006/relationships/hyperlink" Target="http://gm-ca-fr.acctmanual.com/Fixed_Operations/491_Essence,_huile_et_graisse.htm"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gm-ca-fr.acctmanual.com/Finance_Insurnace/809_Commissions_encaiss_es_sur_assurance_V_hicules_d_occasion.htm" TargetMode="External"/><Relationship Id="rId18" Type="http://schemas.openxmlformats.org/officeDocument/2006/relationships/hyperlink" Target="http://gm-ca-fr.acctmanual.com/Finance_Insurnace/455_Autres_plans_de_protection_(ventes).htm" TargetMode="External"/><Relationship Id="rId26" Type="http://schemas.openxmlformats.org/officeDocument/2006/relationships/hyperlink" Target="http://gm-ca-fr.acctmanual.com/Assets/240_Voitures_d_occasion.htm" TargetMode="External"/><Relationship Id="rId39" Type="http://schemas.openxmlformats.org/officeDocument/2006/relationships/hyperlink" Target="http://gm-ca-fr.acctmanual.com/Liabilities/340_R_serve_pour_cr_ances_douteuses.htm" TargetMode="External"/><Relationship Id="rId21" Type="http://schemas.openxmlformats.org/officeDocument/2006/relationships/hyperlink" Target="http://gm-ca-fr.acctmanual.com/Assets/230_V_hicules_de_d_monstration.htm" TargetMode="External"/><Relationship Id="rId34" Type="http://schemas.openxmlformats.org/officeDocument/2006/relationships/hyperlink" Target="http://gm-ca-fr.acctmanual.com/Assets/220_Comptes_recevoir_-_Clients.htm" TargetMode="External"/><Relationship Id="rId42" Type="http://schemas.openxmlformats.org/officeDocument/2006/relationships/printerSettings" Target="../printerSettings/printerSettings45.bin"/><Relationship Id="rId47" Type="http://schemas.openxmlformats.org/officeDocument/2006/relationships/comments" Target="../comments2.xml"/><Relationship Id="rId7" Type="http://schemas.openxmlformats.org/officeDocument/2006/relationships/hyperlink" Target="http://gm-ca-fr.acctmanual.com/Finance_Insurnace/822_Autres_revenus_V_hicules_neufs_(ventes).htm" TargetMode="External"/><Relationship Id="rId2" Type="http://schemas.openxmlformats.org/officeDocument/2006/relationships/printerSettings" Target="../printerSettings/printerSettings44.bin"/><Relationship Id="rId16" Type="http://schemas.openxmlformats.org/officeDocument/2006/relationships/hyperlink" Target="http://gm-ca-fr.acctmanual.com/Finance_Insurnace/823_Autres_revenus_v_hicules_neufs_(ventes).htm" TargetMode="External"/><Relationship Id="rId29" Type="http://schemas.openxmlformats.org/officeDocument/2006/relationships/hyperlink" Target="http://gm-ca-fr.acctmanual.com/Assets/242_Pi_ces_et_accessoires.htm" TargetMode="External"/><Relationship Id="rId1" Type="http://schemas.openxmlformats.org/officeDocument/2006/relationships/printerSettings" Target="../printerSettings/printerSettings43.bin"/><Relationship Id="rId6" Type="http://schemas.openxmlformats.org/officeDocument/2006/relationships/hyperlink" Target="http://gm-ca-fr.acctmanual.com/Finance_Insurnace/810_Accessoires_V_hicules_neufs_(ventes).htm" TargetMode="External"/><Relationship Id="rId11" Type="http://schemas.openxmlformats.org/officeDocument/2006/relationships/hyperlink" Target="http://gm-ca-fr.acctmanual.com/Finance_Insurnace/855_R_mun_ration_F_&amp;_A_V_hicules_neufs.htm" TargetMode="External"/><Relationship Id="rId24" Type="http://schemas.openxmlformats.org/officeDocument/2006/relationships/hyperlink" Target="http://gm-ca-fr.acctmanual.com/Assets/235_Camions_poids_moyen.htm" TargetMode="External"/><Relationship Id="rId32" Type="http://schemas.openxmlformats.org/officeDocument/2006/relationships/hyperlink" Target="http://gm-ca-fr.acctmanual.com/Assets/210_Effets_encaisser_-_Clients.htm" TargetMode="External"/><Relationship Id="rId37" Type="http://schemas.openxmlformats.org/officeDocument/2006/relationships/hyperlink" Target="http://gm-ca-fr.acctmanual.com/Assets/220_Comptes_recevoir_-_Clients.htm" TargetMode="External"/><Relationship Id="rId40" Type="http://schemas.openxmlformats.org/officeDocument/2006/relationships/hyperlink" Target="http://gm-ca-fr.acctmanual.com/Assets/225_Ventes_au_comptant.htm" TargetMode="External"/><Relationship Id="rId45" Type="http://schemas.openxmlformats.org/officeDocument/2006/relationships/control" Target="../activeX/activeX20.xml"/><Relationship Id="rId5" Type="http://schemas.openxmlformats.org/officeDocument/2006/relationships/hyperlink" Target="http://gm-ca-fr.acctmanual.com/Finance_Insurnace/850_R_trofacturation_de_finance_et_assurances.htm" TargetMode="External"/><Relationship Id="rId15" Type="http://schemas.openxmlformats.org/officeDocument/2006/relationships/hyperlink" Target="http://gm-ca-fr.acctmanual.com/Finance_Insurnace/811_Accessoires_V_hicules_d_occasion_(ventes).htm" TargetMode="External"/><Relationship Id="rId23" Type="http://schemas.openxmlformats.org/officeDocument/2006/relationships/hyperlink" Target="http://gm-ca-fr.acctmanual.com/Assets/237_Camions_neufs.htm" TargetMode="External"/><Relationship Id="rId28" Type="http://schemas.openxmlformats.org/officeDocument/2006/relationships/hyperlink" Target="http://gm-ca-fr.acctmanual.com/Assets/242_Pi_ces_et_accessoires.htm" TargetMode="External"/><Relationship Id="rId36" Type="http://schemas.openxmlformats.org/officeDocument/2006/relationships/hyperlink" Target="http://gm-ca-fr.acctmanual.com/Assets/220_Comptes_recevoir_-_Clients.htm" TargetMode="External"/><Relationship Id="rId10" Type="http://schemas.openxmlformats.org/officeDocument/2006/relationships/hyperlink" Target="http://gm-ca-fr.acctmanual.com/Finance_Insurnace/853_Pertes_de_reprise_de_possession_V_hicules_neufs.htm" TargetMode="External"/><Relationship Id="rId19" Type="http://schemas.openxmlformats.org/officeDocument/2006/relationships/hyperlink" Target="http://gm-ca-fr.acctmanual.com/Finance_Insurnace/854_Pertes_de_reprise_de_possession_V_hicules_d_occasion.htm" TargetMode="External"/><Relationship Id="rId31" Type="http://schemas.openxmlformats.org/officeDocument/2006/relationships/hyperlink" Target="http://gm-ca-fr.acctmanual.com/Assets/247_Travaux_en_cours_Main-d_uvre.htm" TargetMode="External"/><Relationship Id="rId44" Type="http://schemas.openxmlformats.org/officeDocument/2006/relationships/vmlDrawing" Target="../drawings/vmlDrawing18.vml"/><Relationship Id="rId4" Type="http://schemas.openxmlformats.org/officeDocument/2006/relationships/hyperlink" Target="http://gm-ca-fr.acctmanual.com/Finance_Insurnace/807_Commissions_encaiss_es_sur_assurance_V_hicules_neufs.htm" TargetMode="External"/><Relationship Id="rId9" Type="http://schemas.openxmlformats.org/officeDocument/2006/relationships/hyperlink" Target="http://gm-ca-fr.acctmanual.com/Finance_Insurnace/444_Autres_plans_de_protection_sur_v_hicules_neufs_(Ventes).htm" TargetMode="External"/><Relationship Id="rId14" Type="http://schemas.openxmlformats.org/officeDocument/2006/relationships/hyperlink" Target="http://gm-ca-fr.acctmanual.com/Finance_Insurnace/851_R_trofacturation_de_finance_et_assurances.htm" TargetMode="External"/><Relationship Id="rId22" Type="http://schemas.openxmlformats.org/officeDocument/2006/relationships/hyperlink" Target="http://gm-ca-fr.acctmanual.com/Assets/231_Voitures_neuves.htm" TargetMode="External"/><Relationship Id="rId27" Type="http://schemas.openxmlformats.org/officeDocument/2006/relationships/hyperlink" Target="http://gm-ca-fr.acctmanual.com/Assets/241_Camions_d_occasion.htm" TargetMode="External"/><Relationship Id="rId30" Type="http://schemas.openxmlformats.org/officeDocument/2006/relationships/hyperlink" Target="http://gm-ca-fr.acctmanual.com/Assets/247_Travaux_en_cours_Main-d_uvre.htm" TargetMode="External"/><Relationship Id="rId35" Type="http://schemas.openxmlformats.org/officeDocument/2006/relationships/hyperlink" Target="http://gm-ca-fr.acctmanual.com/Assets/220_Comptes_recevoir_-_Clients.htm" TargetMode="External"/><Relationship Id="rId43" Type="http://schemas.openxmlformats.org/officeDocument/2006/relationships/drawing" Target="../drawings/drawing18.xml"/><Relationship Id="rId8" Type="http://schemas.openxmlformats.org/officeDocument/2006/relationships/hyperlink" Target="http://gm-ca-fr.acctmanual.com/Finance_Insurnace/443_Plans_de_protection_GM_sur_v_hicules_neufs_(Ventes).htm" TargetMode="External"/><Relationship Id="rId3" Type="http://schemas.openxmlformats.org/officeDocument/2006/relationships/hyperlink" Target="http://gm-ca-fr.acctmanual.com/Finance_Insurnace/806_Revenu_de_financement_V_hicules_neufs.htm" TargetMode="External"/><Relationship Id="rId12" Type="http://schemas.openxmlformats.org/officeDocument/2006/relationships/hyperlink" Target="http://gm-ca-fr.acctmanual.com/Finance_Insurnace/808_Revenu_de_financement_V_hicules_d_occasion.htm" TargetMode="External"/><Relationship Id="rId17" Type="http://schemas.openxmlformats.org/officeDocument/2006/relationships/hyperlink" Target="http://gm-ca-fr.acctmanual.com/Finance_Insurnace/454_Plans_de_protection_GM_V_hicules_d_occasions_(Ventes).htm" TargetMode="External"/><Relationship Id="rId25" Type="http://schemas.openxmlformats.org/officeDocument/2006/relationships/hyperlink" Target="http://gm-ca-fr.acctmanual.com/Assets/238_Autres_v_hicules.htm" TargetMode="External"/><Relationship Id="rId33" Type="http://schemas.openxmlformats.org/officeDocument/2006/relationships/hyperlink" Target="http://gm-ca-fr.acctmanual.com/Assets/210_Effets_encaisser_-_Clients.htm" TargetMode="External"/><Relationship Id="rId38" Type="http://schemas.openxmlformats.org/officeDocument/2006/relationships/hyperlink" Target="http://gm-ca-fr.acctmanual.com/Liabilities/300_Comptes_payer_Fournisseurs.htm" TargetMode="External"/><Relationship Id="rId46" Type="http://schemas.openxmlformats.org/officeDocument/2006/relationships/image" Target="../media/image10.emf"/><Relationship Id="rId20" Type="http://schemas.openxmlformats.org/officeDocument/2006/relationships/hyperlink" Target="http://gm-ca-fr.acctmanual.com/Finance_Insurnace/856_R_mun_ration_F_&amp;_A_V_hicules_d_occasion.htm" TargetMode="External"/><Relationship Id="rId41" Type="http://schemas.openxmlformats.org/officeDocument/2006/relationships/hyperlink" Target="http://gm-ca-fr.acctmanual.com/New_Vehicle/445_Autres_v_hicules_et_mat_riel_divers_neufs.ht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gm-ca-fr.acctmanual.com/Lease_Rental/516_Frais_d_administration_(Cr_dit-bail_simple).htm" TargetMode="External"/><Relationship Id="rId13" Type="http://schemas.openxmlformats.org/officeDocument/2006/relationships/hyperlink" Target="http://gm-ca-fr.acctmanual.com/Lease_Rental/714_Plaques,_titres_et_taxes_(Cr_dit-bail_simple).htm" TargetMode="External"/><Relationship Id="rId18" Type="http://schemas.openxmlformats.org/officeDocument/2006/relationships/hyperlink" Target="http://gm-ca-fr.acctmanual.com/Lease_Rental/510_Prix_de_vente_des_v_hicules_c_d_s_(Cr_dit-bail_simple).htm" TargetMode="External"/><Relationship Id="rId26" Type="http://schemas.openxmlformats.org/officeDocument/2006/relationships/printerSettings" Target="../printerSettings/printerSettings48.bin"/><Relationship Id="rId3" Type="http://schemas.openxmlformats.org/officeDocument/2006/relationships/hyperlink" Target="http://gm-ca-fr.acctmanual.com/Lease_Rental/511_Paiements_p_riodiques_de_location_bail_(Cr_dit-bail_simple).htm" TargetMode="External"/><Relationship Id="rId21" Type="http://schemas.openxmlformats.org/officeDocument/2006/relationships/hyperlink" Target="http://gm-ca-fr.acctmanual.com/Lease_Rental/741_R_trofacturations_assurances.htm" TargetMode="External"/><Relationship Id="rId7" Type="http://schemas.openxmlformats.org/officeDocument/2006/relationships/hyperlink" Target="http://gm-ca-fr.acctmanual.com/Lease_Rental/535_Revenu_de_location_court_terme.htm" TargetMode="External"/><Relationship Id="rId12" Type="http://schemas.openxmlformats.org/officeDocument/2006/relationships/hyperlink" Target="http://gm-ca-fr.acctmanual.com/Lease_Rental/713_Assurance_(Cr_dit-bail_simple_V_hicules_en_service).htm" TargetMode="External"/><Relationship Id="rId17" Type="http://schemas.openxmlformats.org/officeDocument/2006/relationships/hyperlink" Target="http://gm-ca-fr.acctmanual.com/Lease_Rental/718_Autres_(Cr_dit-bail_simple).htm" TargetMode="External"/><Relationship Id="rId25" Type="http://schemas.openxmlformats.org/officeDocument/2006/relationships/hyperlink" Target="http://gm-ca-fr.acctmanual.com/Lease_Rental/740_Commissions_du_chef_de_service_F_&amp;_A.htm" TargetMode="External"/><Relationship Id="rId2" Type="http://schemas.openxmlformats.org/officeDocument/2006/relationships/printerSettings" Target="../printerSettings/printerSettings47.bin"/><Relationship Id="rId16" Type="http://schemas.openxmlformats.org/officeDocument/2006/relationships/hyperlink" Target="http://gm-ca-fr.acctmanual.com/Lease_Rental/717_Prix_locatif_des_unit_s_sous_lou_es_(Cr_dit-bail_simple).htm" TargetMode="External"/><Relationship Id="rId20" Type="http://schemas.openxmlformats.org/officeDocument/2006/relationships/hyperlink" Target="http://gm-ca-fr.acctmanual.com/Lease_Rental/541_Commissions_encaiss_es_sur_assurances.htm" TargetMode="External"/><Relationship Id="rId1" Type="http://schemas.openxmlformats.org/officeDocument/2006/relationships/printerSettings" Target="../printerSettings/printerSettings46.bin"/><Relationship Id="rId6" Type="http://schemas.openxmlformats.org/officeDocument/2006/relationships/hyperlink" Target="http://gm-ca-fr.acctmanual.com/Lease_Rental/514_Frais_de_paiement_tardif_(Cr_dit-bail_simple).htm" TargetMode="External"/><Relationship Id="rId11" Type="http://schemas.openxmlformats.org/officeDocument/2006/relationships/hyperlink" Target="http://gm-ca-fr.acctmanual.com/Lease_Rental/712_Amortissement_(Cr_dit-bail_simple).htm" TargetMode="External"/><Relationship Id="rId24" Type="http://schemas.openxmlformats.org/officeDocument/2006/relationships/hyperlink" Target="http://gm-ca-fr.acctmanual.com/Lease_Rental/544_Autres_plans_de_protection_(Ventes).htm" TargetMode="External"/><Relationship Id="rId5" Type="http://schemas.openxmlformats.org/officeDocument/2006/relationships/hyperlink" Target="http://gm-ca-fr.acctmanual.com/Lease_Rental/513_Revenu_partiel_mois_(Prorata)_(Cr_dit-bail_simple).htm" TargetMode="External"/><Relationship Id="rId15" Type="http://schemas.openxmlformats.org/officeDocument/2006/relationships/hyperlink" Target="http://gm-ca-fr.acctmanual.com/Lease_Rental/716_Entretien_et_r_parations_(Cr_dit-bail_simple).htm" TargetMode="External"/><Relationship Id="rId23" Type="http://schemas.openxmlformats.org/officeDocument/2006/relationships/hyperlink" Target="http://gm-ca-fr.acctmanual.com/Lease_Rental/543_Plans_de_protection_GM_(Ventes).htm" TargetMode="External"/><Relationship Id="rId10" Type="http://schemas.openxmlformats.org/officeDocument/2006/relationships/hyperlink" Target="http://gm-ca-fr.acctmanual.com/Lease_Rental/711_Int_r_t_(Cr_dit-bail_simple).htm" TargetMode="External"/><Relationship Id="rId19" Type="http://schemas.openxmlformats.org/officeDocument/2006/relationships/hyperlink" Target="http://gm-ca-fr.acctmanual.com/Liabilities/347_L_amortissement_cumul_des_v_hicules_de_location_court_et_long_terme.htm" TargetMode="External"/><Relationship Id="rId4" Type="http://schemas.openxmlformats.org/officeDocument/2006/relationships/hyperlink" Target="http://gm-ca-fr.acctmanual.com/Lease_Rental/512_Revenu_d_entretien_(Cr_dit-bail_simple).htm" TargetMode="External"/><Relationship Id="rId9" Type="http://schemas.openxmlformats.org/officeDocument/2006/relationships/hyperlink" Target="http://gm-ca-fr.acctmanual.com/Lease_Rental/517_Autre_revenu_de_location_(Cr_dit-bail_simple).htm" TargetMode="External"/><Relationship Id="rId14" Type="http://schemas.openxmlformats.org/officeDocument/2006/relationships/hyperlink" Target="http://gm-ca-fr.acctmanual.com/Lease_Rental/715_Travaux_titre_gracieux_v_hicules_(Cr_dit-bail_simple).htm" TargetMode="External"/><Relationship Id="rId22" Type="http://schemas.openxmlformats.org/officeDocument/2006/relationships/hyperlink" Target="http://gm-ca-fr.acctmanual.com/Lease_Rental/542_Accessoires_(Location_court_et_long_terme)_(Ventes).htm"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pageSetUpPr fitToPage="1"/>
  </sheetPr>
  <dimension ref="A1:AF162"/>
  <sheetViews>
    <sheetView showGridLines="0" showRowColHeaders="0" topLeftCell="A35" workbookViewId="0"/>
  </sheetViews>
  <sheetFormatPr baseColWidth="10" defaultColWidth="0" defaultRowHeight="15.75" customHeight="1" zeroHeight="1"/>
  <cols>
    <col min="1" max="1" width="4.1796875" style="568" customWidth="1"/>
    <col min="2" max="2" width="3.81640625" style="568" customWidth="1"/>
    <col min="3" max="4" width="3.1796875" style="568" customWidth="1"/>
    <col min="5" max="5" width="9.81640625" style="568" customWidth="1"/>
    <col min="6" max="6" width="11.81640625" style="568" customWidth="1"/>
    <col min="7" max="7" width="10.81640625" style="568" customWidth="1"/>
    <col min="8" max="8" width="5.1796875" style="568" customWidth="1"/>
    <col min="9" max="9" width="14.1796875" style="568" customWidth="1"/>
    <col min="10" max="10" width="3.1796875" style="568" customWidth="1"/>
    <col min="11" max="13" width="6.1796875" style="568" customWidth="1"/>
    <col min="14" max="14" width="10.453125" style="568" bestFit="1" customWidth="1"/>
    <col min="15" max="15" width="2.81640625" style="568" customWidth="1"/>
    <col min="16" max="16" width="12.1796875" style="568" customWidth="1"/>
    <col min="17" max="17" width="3.81640625" style="568" customWidth="1"/>
    <col min="18" max="18" width="14.81640625" style="568" customWidth="1"/>
    <col min="19" max="19" width="3.81640625" style="568" customWidth="1"/>
    <col min="20" max="20" width="11.54296875" style="568" customWidth="1"/>
    <col min="21" max="21" width="10.1796875" style="568" customWidth="1"/>
    <col min="22" max="22" width="10.453125" style="568" customWidth="1"/>
    <col min="23" max="23" width="9.81640625" style="568" hidden="1" customWidth="1"/>
    <col min="24" max="24" width="10.1796875" style="568" hidden="1" customWidth="1"/>
    <col min="25" max="25" width="10.81640625" style="568" hidden="1" customWidth="1"/>
    <col min="26" max="26" width="9.1796875" style="568" hidden="1" customWidth="1"/>
    <col min="27" max="27" width="10.81640625" style="568" hidden="1" customWidth="1"/>
    <col min="28" max="28" width="10.1796875" style="568" hidden="1" customWidth="1"/>
    <col min="29" max="29" width="9.54296875" style="568" hidden="1" customWidth="1"/>
    <col min="30" max="30" width="9.1796875" style="568" hidden="1" customWidth="1"/>
    <col min="31" max="16384" width="9.1796875" style="568" hidden="1"/>
  </cols>
  <sheetData>
    <row r="1" spans="1:22" ht="21" customHeight="1">
      <c r="A1" s="58"/>
      <c r="B1" s="677"/>
      <c r="C1" s="1828" t="str">
        <f>"GMCL - APPLICATION D'ÉDITION DE LA BALANCE DE VÉRIFICATION "&amp;OR_VEH!C709</f>
        <v>GMCL - APPLICATION D'ÉDITION DE LA BALANCE DE VÉRIFICATION v222r0</v>
      </c>
      <c r="D1" s="1487"/>
      <c r="E1" s="1487"/>
      <c r="F1" s="1487"/>
      <c r="G1" s="1488"/>
      <c r="H1" s="1487"/>
      <c r="I1" s="1487"/>
      <c r="J1" s="1487"/>
      <c r="K1" s="1487"/>
      <c r="L1" s="1487"/>
      <c r="M1" s="1487"/>
      <c r="N1" s="1487"/>
      <c r="O1" s="1487"/>
      <c r="P1" s="1487"/>
      <c r="Q1" s="1487"/>
      <c r="R1" s="1487"/>
      <c r="S1" s="1660" t="str">
        <f>TBIn!$E$2458&amp;" - "&amp;TBIn!$AH$10&amp;" - PAGE 1"</f>
        <v>319719 - 202504 - PAGE 1</v>
      </c>
    </row>
    <row r="2" spans="1:22" ht="16" customHeight="1">
      <c r="A2" s="58"/>
      <c r="B2" s="63" t="s">
        <v>1</v>
      </c>
      <c r="C2" s="1728" t="s">
        <v>15533</v>
      </c>
      <c r="D2" s="1729"/>
      <c r="E2" s="1729"/>
      <c r="F2" s="1729"/>
      <c r="G2" s="1729"/>
      <c r="H2" s="1730"/>
      <c r="I2" s="2152"/>
      <c r="J2" s="2757"/>
      <c r="K2" s="2757"/>
      <c r="L2" s="520"/>
      <c r="M2" s="520"/>
      <c r="N2" s="521"/>
      <c r="O2" s="64"/>
      <c r="P2" s="65"/>
      <c r="Q2" s="65"/>
      <c r="R2" s="66"/>
      <c r="S2" s="67" t="s">
        <v>1</v>
      </c>
    </row>
    <row r="3" spans="1:22" ht="16" customHeight="1">
      <c r="A3" s="58"/>
      <c r="B3" s="68" t="s">
        <v>6</v>
      </c>
      <c r="C3" s="2726" t="str">
        <f>O93</f>
        <v>Autre DSP</v>
      </c>
      <c r="D3" s="2727"/>
      <c r="E3" s="2727"/>
      <c r="F3" s="2727"/>
      <c r="G3" s="2727"/>
      <c r="H3" s="2728"/>
      <c r="I3" s="523"/>
      <c r="J3" s="2758"/>
      <c r="K3" s="2758"/>
      <c r="L3" s="523"/>
      <c r="M3" s="523"/>
      <c r="N3" s="524"/>
      <c r="O3" s="69"/>
      <c r="P3" s="60"/>
      <c r="Q3" s="60"/>
      <c r="R3" s="70"/>
      <c r="S3" s="71" t="s">
        <v>6</v>
      </c>
    </row>
    <row r="4" spans="1:22" ht="16" customHeight="1">
      <c r="A4" s="58"/>
      <c r="B4" s="72">
        <v>1</v>
      </c>
      <c r="C4" s="1123"/>
      <c r="D4" s="1124"/>
      <c r="E4" s="478"/>
      <c r="F4" s="2663"/>
      <c r="G4" s="753"/>
      <c r="H4" s="522"/>
      <c r="I4" s="2151"/>
      <c r="J4" s="2758"/>
      <c r="K4" s="2758"/>
      <c r="L4" s="523"/>
      <c r="M4" s="523"/>
      <c r="N4" s="525"/>
      <c r="O4" s="73"/>
      <c r="P4" s="60"/>
      <c r="Q4" s="60"/>
      <c r="R4" s="70"/>
      <c r="S4" s="74">
        <v>1</v>
      </c>
    </row>
    <row r="5" spans="1:22" ht="16" customHeight="1">
      <c r="A5" s="58"/>
      <c r="B5" s="75">
        <v>2</v>
      </c>
      <c r="C5" s="1119" t="s">
        <v>1087</v>
      </c>
      <c r="D5" s="685"/>
      <c r="E5" s="686"/>
      <c r="F5" s="687"/>
      <c r="G5" s="1731"/>
      <c r="H5" s="522"/>
      <c r="I5" s="526"/>
      <c r="J5" s="2761"/>
      <c r="K5" s="2761"/>
      <c r="L5" s="527"/>
      <c r="M5" s="527"/>
      <c r="N5" s="528"/>
      <c r="O5" s="77"/>
      <c r="P5" s="78"/>
      <c r="Q5" s="78"/>
      <c r="R5" s="79"/>
      <c r="S5" s="80">
        <v>2</v>
      </c>
      <c r="T5" s="652"/>
      <c r="U5" s="598"/>
    </row>
    <row r="6" spans="1:22" ht="12.5">
      <c r="A6" s="58"/>
      <c r="B6" s="75">
        <v>3</v>
      </c>
      <c r="C6" s="2729" t="str">
        <f>TBIn!E2458</f>
        <v>319719</v>
      </c>
      <c r="D6" s="2730"/>
      <c r="E6" s="2730"/>
      <c r="F6" s="2730"/>
      <c r="G6" s="1732"/>
      <c r="H6" s="1733"/>
      <c r="I6" s="1120" t="s">
        <v>1154</v>
      </c>
      <c r="J6" s="2740" t="str">
        <f>TBIn!E2462</f>
        <v>HAWKESBURY CHEV CADILLAC BUICK GMC</v>
      </c>
      <c r="K6" s="2741"/>
      <c r="L6" s="2741"/>
      <c r="M6" s="2741"/>
      <c r="N6" s="2741"/>
      <c r="O6" s="2741"/>
      <c r="P6" s="2742"/>
      <c r="Q6" s="82"/>
      <c r="R6" s="83"/>
      <c r="S6" s="80">
        <v>3</v>
      </c>
      <c r="U6" s="688"/>
      <c r="V6" s="688"/>
    </row>
    <row r="7" spans="1:22" ht="12.5">
      <c r="A7" s="58"/>
      <c r="B7" s="75">
        <v>4</v>
      </c>
      <c r="C7" s="84" t="s">
        <v>15534</v>
      </c>
      <c r="D7" s="76"/>
      <c r="E7" s="2661" t="str">
        <f>VLOOKUP(TBIn!E4,D95:E106,2,FALSE)</f>
        <v>Janvier</v>
      </c>
      <c r="F7" s="2707">
        <f>TBIn!E3</f>
        <v>1</v>
      </c>
      <c r="G7" s="2665">
        <f>TBIn!E5</f>
        <v>2025</v>
      </c>
      <c r="H7" s="85"/>
      <c r="I7" s="1121" t="s">
        <v>1155</v>
      </c>
      <c r="J7" s="2734" t="str">
        <f>TBIn!E2463</f>
        <v>640 MAIN STREET WEST</v>
      </c>
      <c r="K7" s="2735"/>
      <c r="L7" s="2735"/>
      <c r="M7" s="2735"/>
      <c r="N7" s="2735"/>
      <c r="O7" s="2735"/>
      <c r="P7" s="2736"/>
      <c r="Q7" s="76"/>
      <c r="R7" s="86"/>
      <c r="S7" s="80">
        <v>4</v>
      </c>
      <c r="U7" s="1166"/>
      <c r="V7" s="688"/>
    </row>
    <row r="8" spans="1:22" ht="12.5">
      <c r="A8" s="58"/>
      <c r="B8" s="75">
        <v>5</v>
      </c>
      <c r="C8" s="87" t="s">
        <v>15535</v>
      </c>
      <c r="D8" s="81"/>
      <c r="E8" s="2662" t="str">
        <f>IF(ISERROR(VLOOKUP(TBIn!E2460,D95:E106,2,FALSE))=TRUE,0,VLOOKUP(TBIn!E2460,D95:E106,2,FALSE))</f>
        <v>Avril</v>
      </c>
      <c r="F8" s="2664">
        <f>TBIn!E2459</f>
        <v>30</v>
      </c>
      <c r="G8" s="2666">
        <f>TBIn!E2461</f>
        <v>2025</v>
      </c>
      <c r="H8" s="1118"/>
      <c r="I8" s="1768" t="s">
        <v>15536</v>
      </c>
      <c r="J8" s="2743" t="str">
        <f>TBIn!E2465</f>
        <v>HAWKESBURY</v>
      </c>
      <c r="K8" s="2744"/>
      <c r="L8" s="2745"/>
      <c r="M8" s="2743" t="str">
        <f>TBIn!E2466</f>
        <v>ON</v>
      </c>
      <c r="N8" s="2744"/>
      <c r="O8" s="2745"/>
      <c r="P8" s="1479" t="str">
        <f>IFERROR(IF(ISNUMBER(VALUE(TBIn!E2467))=TRUE,LEFT(TBIn!E2467,5)&amp;"-"&amp;RIGHT(TBIn!E2467,4),LEFT(TBIn!E2467,3)&amp;" "&amp;RIGHT(TBIn!E2467,3)),"")</f>
        <v>K6A 2J3</v>
      </c>
      <c r="Q8" s="89"/>
      <c r="R8" s="90"/>
      <c r="S8" s="80">
        <v>5</v>
      </c>
      <c r="U8" s="688"/>
      <c r="V8" s="688"/>
    </row>
    <row r="9" spans="1:22" ht="12.5">
      <c r="A9" s="58"/>
      <c r="B9" s="75">
        <v>6</v>
      </c>
      <c r="C9" s="91" t="s">
        <v>15537</v>
      </c>
      <c r="D9" s="91"/>
      <c r="E9" s="91"/>
      <c r="F9" s="1771"/>
      <c r="G9" s="1771"/>
      <c r="H9" s="1769" t="s">
        <v>15538</v>
      </c>
      <c r="I9" s="1754" t="s">
        <v>1009</v>
      </c>
      <c r="J9" s="94"/>
      <c r="K9" s="93"/>
      <c r="L9" s="93"/>
      <c r="M9" s="93"/>
      <c r="N9" s="93" t="s">
        <v>15539</v>
      </c>
      <c r="O9" s="93"/>
      <c r="P9" s="93"/>
      <c r="Q9" s="95" t="s">
        <v>15538</v>
      </c>
      <c r="R9" s="1164" t="s">
        <v>1009</v>
      </c>
      <c r="S9" s="80">
        <v>6</v>
      </c>
      <c r="U9" s="688"/>
      <c r="V9" s="689"/>
    </row>
    <row r="10" spans="1:22" ht="13">
      <c r="A10" s="58"/>
      <c r="B10" s="75">
        <v>7</v>
      </c>
      <c r="C10" s="101"/>
      <c r="D10" s="2737" t="s">
        <v>15540</v>
      </c>
      <c r="E10" s="1532" t="s">
        <v>1117</v>
      </c>
      <c r="F10" s="1533"/>
      <c r="G10" s="1760"/>
      <c r="H10" s="1755">
        <v>200</v>
      </c>
      <c r="I10" s="2694">
        <f>TBIn!E1039</f>
        <v>-2762</v>
      </c>
      <c r="J10" s="98"/>
      <c r="K10" s="2715" t="s">
        <v>15541</v>
      </c>
      <c r="L10" s="1568" t="s">
        <v>1161</v>
      </c>
      <c r="M10" s="1569"/>
      <c r="N10" s="1569"/>
      <c r="O10" s="1569"/>
      <c r="P10" s="1570"/>
      <c r="Q10" s="100">
        <v>202</v>
      </c>
      <c r="R10" s="2571">
        <f>TBIn!E1103</f>
        <v>0</v>
      </c>
      <c r="S10" s="80">
        <v>7</v>
      </c>
      <c r="U10" s="1166"/>
      <c r="V10" s="688"/>
    </row>
    <row r="11" spans="1:22" ht="13">
      <c r="A11" s="58"/>
      <c r="B11" s="75">
        <v>8</v>
      </c>
      <c r="C11" s="101"/>
      <c r="D11" s="2738"/>
      <c r="E11" s="1543" t="s">
        <v>1118</v>
      </c>
      <c r="F11" s="1545"/>
      <c r="G11" s="1761"/>
      <c r="H11" s="105">
        <v>202</v>
      </c>
      <c r="I11" s="1775">
        <f>TBIn!E1040</f>
        <v>983368</v>
      </c>
      <c r="J11" s="106" t="s">
        <v>738</v>
      </c>
      <c r="K11" s="2716"/>
      <c r="L11" s="1543" t="s">
        <v>1162</v>
      </c>
      <c r="M11" s="1554"/>
      <c r="N11" s="1554"/>
      <c r="O11" s="1554"/>
      <c r="P11" s="1571"/>
      <c r="Q11" s="108">
        <v>300</v>
      </c>
      <c r="R11" s="2695">
        <f>TBIn!E1104</f>
        <v>-37952</v>
      </c>
      <c r="S11" s="80">
        <v>8</v>
      </c>
      <c r="T11" s="690"/>
      <c r="U11" s="576"/>
    </row>
    <row r="12" spans="1:22" ht="13">
      <c r="A12" s="58"/>
      <c r="B12" s="75">
        <v>9</v>
      </c>
      <c r="C12" s="101"/>
      <c r="D12" s="2738"/>
      <c r="E12" s="1544" t="s">
        <v>1119</v>
      </c>
      <c r="F12" s="1545"/>
      <c r="G12" s="1752"/>
      <c r="H12" s="105">
        <v>205</v>
      </c>
      <c r="I12" s="1775">
        <f>TBIn!E1041</f>
        <v>714323</v>
      </c>
      <c r="J12" s="106" t="s">
        <v>145</v>
      </c>
      <c r="K12" s="2716"/>
      <c r="L12" s="1543" t="s">
        <v>1163</v>
      </c>
      <c r="M12" s="1554"/>
      <c r="N12" s="1554"/>
      <c r="O12" s="1554"/>
      <c r="P12" s="1571"/>
      <c r="Q12" s="108">
        <v>220</v>
      </c>
      <c r="R12" s="2572">
        <f>IF(Flag=TRUE,TBIn!E1105*-1,TBIn!E1105)</f>
        <v>0</v>
      </c>
      <c r="S12" s="80">
        <v>9</v>
      </c>
      <c r="T12" s="690"/>
    </row>
    <row r="13" spans="1:22" ht="13">
      <c r="A13" s="58"/>
      <c r="B13" s="75">
        <v>10</v>
      </c>
      <c r="C13" s="1122"/>
      <c r="D13" s="2738"/>
      <c r="E13" s="1544" t="s">
        <v>1120</v>
      </c>
      <c r="F13" s="1545"/>
      <c r="G13" s="1762"/>
      <c r="H13" s="105">
        <v>260</v>
      </c>
      <c r="I13" s="1775">
        <f>TBIn!E1042</f>
        <v>0</v>
      </c>
      <c r="J13" s="106" t="s">
        <v>124</v>
      </c>
      <c r="K13" s="2716"/>
      <c r="L13" s="1543" t="s">
        <v>1164</v>
      </c>
      <c r="M13" s="1554"/>
      <c r="N13" s="1554"/>
      <c r="O13" s="1554"/>
      <c r="P13" s="1571"/>
      <c r="Q13" s="108">
        <v>220</v>
      </c>
      <c r="R13" s="2572">
        <f>IF(Flag=TRUE,TBIn!E1106*-1,TBIn!E1106)</f>
        <v>0</v>
      </c>
      <c r="S13" s="80">
        <v>10</v>
      </c>
      <c r="T13" s="690"/>
    </row>
    <row r="14" spans="1:22" ht="13">
      <c r="A14" s="58"/>
      <c r="B14" s="75">
        <v>11</v>
      </c>
      <c r="C14" s="101" t="s">
        <v>145</v>
      </c>
      <c r="D14" s="2738"/>
      <c r="E14" s="625"/>
      <c r="F14" s="622"/>
      <c r="G14" s="1763"/>
      <c r="H14" s="105"/>
      <c r="I14" s="1775"/>
      <c r="J14" s="106" t="s">
        <v>124</v>
      </c>
      <c r="K14" s="2716"/>
      <c r="L14" s="1772" t="s">
        <v>1165</v>
      </c>
      <c r="M14" s="1772"/>
      <c r="N14" s="1772"/>
      <c r="O14" s="1772"/>
      <c r="P14" s="1773"/>
      <c r="Q14" s="108">
        <v>305</v>
      </c>
      <c r="R14" s="2572">
        <f>TBIn!E1107</f>
        <v>0</v>
      </c>
      <c r="S14" s="80">
        <v>11</v>
      </c>
      <c r="T14" s="690"/>
    </row>
    <row r="15" spans="1:22" ht="13">
      <c r="A15" s="58"/>
      <c r="B15" s="75">
        <v>12</v>
      </c>
      <c r="C15" s="1122" t="s">
        <v>143</v>
      </c>
      <c r="D15" s="2739"/>
      <c r="E15" s="1123" t="s">
        <v>15542</v>
      </c>
      <c r="F15" s="1124"/>
      <c r="G15" s="1757"/>
      <c r="H15" s="1758"/>
      <c r="I15" s="1759">
        <f>SUM(I10:I14)</f>
        <v>1694929</v>
      </c>
      <c r="J15" s="106" t="s">
        <v>114</v>
      </c>
      <c r="K15" s="2716"/>
      <c r="L15" s="1572" t="s">
        <v>1166</v>
      </c>
      <c r="M15" s="1554"/>
      <c r="N15" s="1554"/>
      <c r="O15" s="1554"/>
      <c r="P15" s="1571"/>
      <c r="Q15" s="108">
        <v>310</v>
      </c>
      <c r="R15" s="2572">
        <f>TBIn!E1108</f>
        <v>14283351</v>
      </c>
      <c r="S15" s="80">
        <v>12</v>
      </c>
      <c r="T15" s="690"/>
    </row>
    <row r="16" spans="1:22" ht="16">
      <c r="A16" s="58"/>
      <c r="B16" s="75">
        <v>13</v>
      </c>
      <c r="C16" s="101" t="s">
        <v>116</v>
      </c>
      <c r="D16" s="1125"/>
      <c r="E16" s="1532" t="s">
        <v>15543</v>
      </c>
      <c r="F16" s="1533"/>
      <c r="G16" s="1760"/>
      <c r="H16" s="1770" t="s">
        <v>15544</v>
      </c>
      <c r="I16" s="1830">
        <f>Page7!I68</f>
        <v>2640613</v>
      </c>
      <c r="J16" s="106" t="s">
        <v>157</v>
      </c>
      <c r="K16" s="2716"/>
      <c r="L16" s="1550" t="s">
        <v>15545</v>
      </c>
      <c r="M16" s="1573"/>
      <c r="N16" s="1573"/>
      <c r="O16" s="1573"/>
      <c r="P16" s="1574"/>
      <c r="Q16" s="111"/>
      <c r="R16" s="1317"/>
      <c r="S16" s="80">
        <v>13</v>
      </c>
      <c r="T16" s="690"/>
    </row>
    <row r="17" spans="1:22" ht="13">
      <c r="A17" s="58"/>
      <c r="B17" s="75">
        <v>14</v>
      </c>
      <c r="C17" s="101" t="s">
        <v>114</v>
      </c>
      <c r="D17" s="1126" t="s">
        <v>15535</v>
      </c>
      <c r="E17" s="1544" t="s">
        <v>1121</v>
      </c>
      <c r="F17" s="1545"/>
      <c r="G17" s="1752"/>
      <c r="H17" s="105">
        <v>261</v>
      </c>
      <c r="I17" s="1775">
        <f>TBIn!E1052</f>
        <v>329064</v>
      </c>
      <c r="J17" s="106"/>
      <c r="K17" s="2716"/>
      <c r="L17" s="622"/>
      <c r="M17" s="104"/>
      <c r="N17" s="113" t="s">
        <v>15546</v>
      </c>
      <c r="O17" s="2722">
        <f>TBIn!E130</f>
        <v>0</v>
      </c>
      <c r="P17" s="2723"/>
      <c r="Q17" s="108"/>
      <c r="R17" s="1318"/>
      <c r="S17" s="80">
        <v>14</v>
      </c>
      <c r="T17" s="690"/>
    </row>
    <row r="18" spans="1:22" ht="13">
      <c r="A18" s="58"/>
      <c r="B18" s="75">
        <v>15</v>
      </c>
      <c r="C18" s="101" t="s">
        <v>157</v>
      </c>
      <c r="D18" s="1126"/>
      <c r="E18" s="1544" t="s">
        <v>1122</v>
      </c>
      <c r="F18" s="1545"/>
      <c r="G18" s="1762"/>
      <c r="H18" s="105">
        <v>262</v>
      </c>
      <c r="I18" s="1775">
        <f>TBIn!E1053</f>
        <v>0</v>
      </c>
      <c r="J18" s="106" t="s">
        <v>15535</v>
      </c>
      <c r="K18" s="2716"/>
      <c r="L18" s="1543" t="s">
        <v>1167</v>
      </c>
      <c r="M18" s="1554"/>
      <c r="N18" s="1554"/>
      <c r="O18" s="1554"/>
      <c r="P18" s="1571"/>
      <c r="Q18" s="108">
        <v>311</v>
      </c>
      <c r="R18" s="2572">
        <f>TBIn!E1109</f>
        <v>10642333</v>
      </c>
      <c r="S18" s="80">
        <v>15</v>
      </c>
      <c r="T18" s="690"/>
    </row>
    <row r="19" spans="1:22" ht="16" customHeight="1">
      <c r="A19" s="58"/>
      <c r="B19" s="75">
        <v>16</v>
      </c>
      <c r="C19" s="101"/>
      <c r="D19" s="1126" t="s">
        <v>120</v>
      </c>
      <c r="E19" s="1544" t="s">
        <v>1123</v>
      </c>
      <c r="F19" s="1545"/>
      <c r="G19" s="1761"/>
      <c r="H19" s="105">
        <v>263</v>
      </c>
      <c r="I19" s="1775">
        <f>TBIn!E1054</f>
        <v>10933</v>
      </c>
      <c r="J19" s="106"/>
      <c r="K19" s="2716"/>
      <c r="L19" s="1560" t="s">
        <v>15547</v>
      </c>
      <c r="M19" s="1554"/>
      <c r="N19" s="1554"/>
      <c r="O19" s="1554"/>
      <c r="P19" s="1571"/>
      <c r="Q19" s="108">
        <v>312</v>
      </c>
      <c r="R19" s="2572">
        <f>TBIn!E1110</f>
        <v>0</v>
      </c>
      <c r="S19" s="80">
        <v>16</v>
      </c>
      <c r="T19" s="690"/>
    </row>
    <row r="20" spans="1:22" ht="16" customHeight="1">
      <c r="A20" s="58"/>
      <c r="B20" s="75">
        <v>17</v>
      </c>
      <c r="C20" s="101" t="s">
        <v>15535</v>
      </c>
      <c r="D20" s="1126" t="s">
        <v>122</v>
      </c>
      <c r="E20" s="1544" t="s">
        <v>1124</v>
      </c>
      <c r="F20" s="1545"/>
      <c r="G20" s="1761"/>
      <c r="H20" s="105">
        <v>264</v>
      </c>
      <c r="I20" s="1775">
        <f>TBIn!E1055</f>
        <v>132</v>
      </c>
      <c r="J20" s="106" t="s">
        <v>143</v>
      </c>
      <c r="K20" s="2716"/>
      <c r="L20" s="1543" t="s">
        <v>1169</v>
      </c>
      <c r="M20" s="1554"/>
      <c r="N20" s="1545"/>
      <c r="O20" s="1554"/>
      <c r="P20" s="1571"/>
      <c r="Q20" s="108">
        <v>314</v>
      </c>
      <c r="R20" s="2572">
        <f>TBIn!E1111</f>
        <v>0</v>
      </c>
      <c r="S20" s="80">
        <v>17</v>
      </c>
      <c r="T20" s="1546" t="s">
        <v>15548</v>
      </c>
      <c r="U20" s="1547"/>
      <c r="V20" s="1547"/>
    </row>
    <row r="21" spans="1:22" ht="16" customHeight="1">
      <c r="A21" s="58"/>
      <c r="B21" s="75">
        <v>18</v>
      </c>
      <c r="C21" s="1122"/>
      <c r="D21" s="1126" t="s">
        <v>143</v>
      </c>
      <c r="E21" s="1548" t="s">
        <v>15549</v>
      </c>
      <c r="F21" s="1549"/>
      <c r="G21" s="1761"/>
      <c r="H21" s="105">
        <v>265</v>
      </c>
      <c r="I21" s="1775">
        <f>TBIn!E1056</f>
        <v>349581</v>
      </c>
      <c r="J21" s="106" t="s">
        <v>112</v>
      </c>
      <c r="K21" s="2716"/>
      <c r="L21" s="1548" t="s">
        <v>15550</v>
      </c>
      <c r="M21" s="1556"/>
      <c r="N21" s="1575"/>
      <c r="O21" s="1556"/>
      <c r="P21" s="1576"/>
      <c r="Q21" s="1419">
        <v>315</v>
      </c>
      <c r="R21" s="2696">
        <f>TBIn!E1112</f>
        <v>-211927</v>
      </c>
      <c r="S21" s="80">
        <v>18</v>
      </c>
      <c r="T21" s="1546" t="s">
        <v>15551</v>
      </c>
      <c r="U21" s="1547"/>
      <c r="V21" s="1547"/>
    </row>
    <row r="22" spans="1:22" ht="16" customHeight="1">
      <c r="A22" s="58"/>
      <c r="B22" s="75">
        <v>19</v>
      </c>
      <c r="C22" s="101" t="s">
        <v>143</v>
      </c>
      <c r="D22" s="1127"/>
      <c r="E22" s="1128" t="s">
        <v>15552</v>
      </c>
      <c r="F22" s="1129"/>
      <c r="G22" s="1757"/>
      <c r="H22" s="1758"/>
      <c r="I22" s="1759">
        <f>SUM(I16:I21)</f>
        <v>3330323</v>
      </c>
      <c r="J22" s="106" t="s">
        <v>118</v>
      </c>
      <c r="K22" s="112" t="s">
        <v>960</v>
      </c>
      <c r="L22" s="1543" t="s">
        <v>1171</v>
      </c>
      <c r="M22" s="1577"/>
      <c r="N22" s="1545"/>
      <c r="O22" s="1554"/>
      <c r="P22" s="1571"/>
      <c r="Q22" s="108">
        <v>320</v>
      </c>
      <c r="R22" s="2572">
        <f>TBIn!E1113</f>
        <v>0</v>
      </c>
      <c r="S22" s="80">
        <v>19</v>
      </c>
      <c r="T22" s="1546" t="s">
        <v>15553</v>
      </c>
      <c r="U22" s="1547"/>
      <c r="V22" s="1547"/>
    </row>
    <row r="23" spans="1:22" ht="16" customHeight="1">
      <c r="A23" s="58"/>
      <c r="B23" s="75">
        <v>20</v>
      </c>
      <c r="C23" s="101" t="s">
        <v>112</v>
      </c>
      <c r="D23" s="102"/>
      <c r="E23" s="1544" t="s">
        <v>827</v>
      </c>
      <c r="F23" s="1545"/>
      <c r="G23" s="1764">
        <f>Page7!E28</f>
        <v>0</v>
      </c>
      <c r="H23" s="105">
        <v>230</v>
      </c>
      <c r="I23" s="1830">
        <f>IF(Flag=TRUE,Page7!F28,TBIn!E1057)</f>
        <v>0</v>
      </c>
      <c r="J23" s="106" t="s">
        <v>120</v>
      </c>
      <c r="K23" s="112"/>
      <c r="L23" s="1543" t="s">
        <v>1172</v>
      </c>
      <c r="M23" s="1554"/>
      <c r="N23" s="1554"/>
      <c r="O23" s="1554"/>
      <c r="P23" s="1571"/>
      <c r="Q23" s="108">
        <v>321</v>
      </c>
      <c r="R23" s="2572">
        <f>TBIn!E1114</f>
        <v>-15384</v>
      </c>
      <c r="S23" s="80">
        <v>20</v>
      </c>
      <c r="T23" s="690"/>
    </row>
    <row r="24" spans="1:22" ht="16" customHeight="1">
      <c r="A24" s="58"/>
      <c r="B24" s="75">
        <v>21</v>
      </c>
      <c r="C24" s="101" t="s">
        <v>118</v>
      </c>
      <c r="D24" s="500"/>
      <c r="E24" s="1544" t="s">
        <v>15554</v>
      </c>
      <c r="F24" s="1545"/>
      <c r="G24" s="1753">
        <f>Page7!E29+Page7!E30</f>
        <v>3</v>
      </c>
      <c r="H24" s="105">
        <v>231</v>
      </c>
      <c r="I24" s="508">
        <f>IF(Flag=TRUE,Page7!F29+Page7!F30,TBIn!E1058)</f>
        <v>101989</v>
      </c>
      <c r="J24" s="106" t="s">
        <v>116</v>
      </c>
      <c r="K24" s="2731" t="s">
        <v>15555</v>
      </c>
      <c r="L24" s="1543" t="s">
        <v>1173</v>
      </c>
      <c r="M24" s="1554"/>
      <c r="N24" s="1554"/>
      <c r="O24" s="1554"/>
      <c r="P24" s="1571"/>
      <c r="Q24" s="108">
        <v>322</v>
      </c>
      <c r="R24" s="2572">
        <f>TBIn!E1115</f>
        <v>0</v>
      </c>
      <c r="S24" s="80">
        <v>21</v>
      </c>
      <c r="T24" s="690"/>
    </row>
    <row r="25" spans="1:22" ht="16" customHeight="1">
      <c r="A25" s="58"/>
      <c r="B25" s="75">
        <v>22</v>
      </c>
      <c r="C25" s="101" t="s">
        <v>120</v>
      </c>
      <c r="D25" s="500"/>
      <c r="E25" s="1544" t="s">
        <v>15556</v>
      </c>
      <c r="F25" s="1545"/>
      <c r="G25" s="1765">
        <f>Page7!E31+Page7!E32</f>
        <v>58</v>
      </c>
      <c r="H25" s="105">
        <v>237</v>
      </c>
      <c r="I25" s="508">
        <f>IF(Flag=TRUE,Page7!F31+Page7!F32,TBIn!E1059)</f>
        <v>10026181</v>
      </c>
      <c r="J25" s="106"/>
      <c r="K25" s="2731"/>
      <c r="L25" s="1543" t="s">
        <v>1174</v>
      </c>
      <c r="M25" s="1554"/>
      <c r="N25" s="1577"/>
      <c r="O25" s="1554"/>
      <c r="P25" s="1571"/>
      <c r="Q25" s="108">
        <v>323</v>
      </c>
      <c r="R25" s="2572">
        <f>TBIn!E1116</f>
        <v>4995</v>
      </c>
      <c r="S25" s="80">
        <v>22</v>
      </c>
      <c r="T25" s="690"/>
    </row>
    <row r="26" spans="1:22" ht="16" customHeight="1">
      <c r="A26" s="58"/>
      <c r="B26" s="75">
        <v>23</v>
      </c>
      <c r="C26" s="101" t="s">
        <v>116</v>
      </c>
      <c r="D26" s="500"/>
      <c r="E26" s="1544" t="s">
        <v>15557</v>
      </c>
      <c r="F26" s="1545"/>
      <c r="G26" s="1765">
        <f>Page7!E33</f>
        <v>0</v>
      </c>
      <c r="H26" s="105">
        <v>235</v>
      </c>
      <c r="I26" s="734">
        <f>IF(Flag=TRUE,Page7!F33,TBIn!E1060)</f>
        <v>0</v>
      </c>
      <c r="J26" s="106" t="s">
        <v>116</v>
      </c>
      <c r="K26" s="2731"/>
      <c r="L26" s="1544" t="s">
        <v>1175</v>
      </c>
      <c r="M26" s="1554"/>
      <c r="N26" s="1554"/>
      <c r="O26" s="1554"/>
      <c r="P26" s="1571"/>
      <c r="Q26" s="108">
        <v>324</v>
      </c>
      <c r="R26" s="2572">
        <f>TBIn!E1117</f>
        <v>-8171</v>
      </c>
      <c r="S26" s="80">
        <v>23</v>
      </c>
    </row>
    <row r="27" spans="1:22" ht="16" customHeight="1">
      <c r="A27" s="58"/>
      <c r="B27" s="75">
        <v>24</v>
      </c>
      <c r="C27" s="101"/>
      <c r="D27" s="500" t="s">
        <v>124</v>
      </c>
      <c r="E27" s="1544" t="s">
        <v>15558</v>
      </c>
      <c r="F27" s="1545"/>
      <c r="G27" s="1766"/>
      <c r="H27" s="105">
        <v>238</v>
      </c>
      <c r="I27" s="734">
        <f>IF(Flag=TRUE,Page7!F34,TBIn!E1061)</f>
        <v>0</v>
      </c>
      <c r="J27" s="106" t="s">
        <v>122</v>
      </c>
      <c r="K27" s="2731"/>
      <c r="L27" s="1543" t="s">
        <v>1176</v>
      </c>
      <c r="M27" s="1554"/>
      <c r="N27" s="1554"/>
      <c r="O27" s="1554"/>
      <c r="P27" s="1571"/>
      <c r="Q27" s="108">
        <v>325</v>
      </c>
      <c r="R27" s="2572">
        <f>TBIn!E1118</f>
        <v>31762</v>
      </c>
      <c r="S27" s="80">
        <v>24</v>
      </c>
    </row>
    <row r="28" spans="1:22" ht="16" customHeight="1">
      <c r="A28" s="58"/>
      <c r="B28" s="75">
        <v>25</v>
      </c>
      <c r="C28" s="101" t="s">
        <v>116</v>
      </c>
      <c r="D28" s="500" t="s">
        <v>116</v>
      </c>
      <c r="E28" s="1544" t="s">
        <v>15559</v>
      </c>
      <c r="F28" s="1545"/>
      <c r="G28" s="1753">
        <f>Page7!J37</f>
        <v>38</v>
      </c>
      <c r="H28" s="105">
        <v>240</v>
      </c>
      <c r="I28" s="734">
        <f>IF(Flag=TRUE,Page7!K37,TBIn!E1062)</f>
        <v>745411</v>
      </c>
      <c r="J28" s="106" t="s">
        <v>120</v>
      </c>
      <c r="K28" s="2731"/>
      <c r="L28" s="1543" t="s">
        <v>1177</v>
      </c>
      <c r="M28" s="1554"/>
      <c r="N28" s="1554"/>
      <c r="O28" s="1554"/>
      <c r="P28" s="1571"/>
      <c r="Q28" s="108">
        <v>327</v>
      </c>
      <c r="R28" s="2572">
        <f>TBIn!E1119</f>
        <v>0</v>
      </c>
      <c r="S28" s="80">
        <v>25</v>
      </c>
    </row>
    <row r="29" spans="1:22" ht="16" customHeight="1">
      <c r="A29" s="58"/>
      <c r="B29" s="75">
        <v>26</v>
      </c>
      <c r="C29" s="101" t="s">
        <v>122</v>
      </c>
      <c r="D29" s="500" t="s">
        <v>112</v>
      </c>
      <c r="E29" s="1544" t="s">
        <v>15560</v>
      </c>
      <c r="F29" s="1545"/>
      <c r="G29" s="1767">
        <f>Page7!J38</f>
        <v>233</v>
      </c>
      <c r="H29" s="105">
        <v>241</v>
      </c>
      <c r="I29" s="734">
        <f>IF(Flag=TRUE,Page7!K38,TBIn!E1063)</f>
        <v>9498359</v>
      </c>
      <c r="J29" s="106" t="s">
        <v>147</v>
      </c>
      <c r="K29" s="2731"/>
      <c r="L29" s="1544" t="s">
        <v>1178</v>
      </c>
      <c r="M29" s="1554"/>
      <c r="N29" s="1554"/>
      <c r="O29" s="1554"/>
      <c r="P29" s="1571"/>
      <c r="Q29" s="108">
        <v>328</v>
      </c>
      <c r="R29" s="2572">
        <f>TBIn!E1120</f>
        <v>0</v>
      </c>
      <c r="S29" s="80">
        <v>26</v>
      </c>
    </row>
    <row r="30" spans="1:22" ht="16" customHeight="1">
      <c r="A30" s="58"/>
      <c r="B30" s="75">
        <v>27</v>
      </c>
      <c r="C30" s="101" t="s">
        <v>120</v>
      </c>
      <c r="D30" s="500" t="s">
        <v>143</v>
      </c>
      <c r="E30" s="1544" t="s">
        <v>764</v>
      </c>
      <c r="F30" s="1545"/>
      <c r="G30" s="1752"/>
      <c r="H30" s="105">
        <v>242</v>
      </c>
      <c r="I30" s="2667">
        <f>IF(Flag=TRUE,SUM(Page7!F40:F41)+SUM(Page7!K40:K41),TBIn!E1064)</f>
        <v>382979</v>
      </c>
      <c r="J30" s="106" t="s">
        <v>122</v>
      </c>
      <c r="K30" s="2731"/>
      <c r="L30" s="1544" t="s">
        <v>1179</v>
      </c>
      <c r="M30" s="1554"/>
      <c r="N30" s="1554"/>
      <c r="O30" s="1554"/>
      <c r="P30" s="1571"/>
      <c r="Q30" s="108">
        <v>329</v>
      </c>
      <c r="R30" s="2572">
        <f>TBIn!E1121</f>
        <v>0</v>
      </c>
      <c r="S30" s="80">
        <v>27</v>
      </c>
    </row>
    <row r="31" spans="1:22" ht="16" customHeight="1">
      <c r="A31" s="58"/>
      <c r="B31" s="75">
        <v>28</v>
      </c>
      <c r="C31" s="101" t="s">
        <v>147</v>
      </c>
      <c r="D31" s="500" t="s">
        <v>13726</v>
      </c>
      <c r="E31" s="1543" t="s">
        <v>789</v>
      </c>
      <c r="F31" s="1545"/>
      <c r="G31" s="1761"/>
      <c r="H31" s="105">
        <v>243</v>
      </c>
      <c r="I31" s="1775">
        <f>TBIn!E1065</f>
        <v>25824</v>
      </c>
      <c r="J31" s="98"/>
      <c r="K31" s="2731"/>
      <c r="L31" s="1543" t="s">
        <v>1180</v>
      </c>
      <c r="M31" s="1554"/>
      <c r="N31" s="1554"/>
      <c r="O31" s="1554"/>
      <c r="P31" s="1571"/>
      <c r="Q31" s="108">
        <v>330</v>
      </c>
      <c r="R31" s="2572">
        <f>TBIn!E1122</f>
        <v>0</v>
      </c>
      <c r="S31" s="80">
        <v>28</v>
      </c>
    </row>
    <row r="32" spans="1:22" ht="16" customHeight="1">
      <c r="A32" s="58"/>
      <c r="B32" s="75">
        <v>29</v>
      </c>
      <c r="C32" s="101" t="s">
        <v>122</v>
      </c>
      <c r="D32" s="500" t="s">
        <v>124</v>
      </c>
      <c r="E32" s="1543" t="s">
        <v>15561</v>
      </c>
      <c r="F32" s="1545"/>
      <c r="G32" s="1752"/>
      <c r="H32" s="105">
        <v>244</v>
      </c>
      <c r="I32" s="1775">
        <f>TBIn!E1066</f>
        <v>37726</v>
      </c>
      <c r="J32" s="98"/>
      <c r="K32" s="1160"/>
      <c r="L32" s="1543" t="s">
        <v>1181</v>
      </c>
      <c r="M32" s="1554"/>
      <c r="N32" s="1554"/>
      <c r="O32" s="1554"/>
      <c r="P32" s="1571"/>
      <c r="Q32" s="108">
        <v>331</v>
      </c>
      <c r="R32" s="2572">
        <f>TBIn!E1123</f>
        <v>274820</v>
      </c>
      <c r="S32" s="80">
        <v>29</v>
      </c>
    </row>
    <row r="33" spans="1:19" ht="16" customHeight="1">
      <c r="A33" s="58"/>
      <c r="B33" s="75">
        <v>30</v>
      </c>
      <c r="C33" s="101"/>
      <c r="D33" s="500"/>
      <c r="E33" s="1543" t="s">
        <v>15562</v>
      </c>
      <c r="F33" s="1545"/>
      <c r="G33" s="1762"/>
      <c r="H33" s="105">
        <v>245</v>
      </c>
      <c r="I33" s="1775">
        <f>TBIn!E1067</f>
        <v>24835</v>
      </c>
      <c r="J33" s="98"/>
      <c r="K33" s="1161"/>
      <c r="L33" s="115"/>
      <c r="M33" s="116"/>
      <c r="N33" s="116"/>
      <c r="O33" s="116"/>
      <c r="P33" s="117"/>
      <c r="Q33" s="118"/>
      <c r="R33" s="692"/>
      <c r="S33" s="80">
        <v>30</v>
      </c>
    </row>
    <row r="34" spans="1:19" ht="16" customHeight="1">
      <c r="A34" s="58"/>
      <c r="B34" s="75">
        <v>31</v>
      </c>
      <c r="C34" s="101"/>
      <c r="D34" s="500"/>
      <c r="E34" s="1543" t="s">
        <v>756</v>
      </c>
      <c r="F34" s="1545"/>
      <c r="G34" s="1576"/>
      <c r="H34" s="105">
        <v>246</v>
      </c>
      <c r="I34" s="1775">
        <f>TBIn!E1068</f>
        <v>51930</v>
      </c>
      <c r="J34" s="120"/>
      <c r="K34" s="121" t="s">
        <v>15563</v>
      </c>
      <c r="L34" s="119"/>
      <c r="M34" s="119"/>
      <c r="N34" s="119"/>
      <c r="O34" s="119"/>
      <c r="P34" s="119"/>
      <c r="Q34" s="122"/>
      <c r="R34" s="693">
        <f>SUM(R10:R33)</f>
        <v>24963827</v>
      </c>
      <c r="S34" s="80">
        <v>31</v>
      </c>
    </row>
    <row r="35" spans="1:19" ht="16" customHeight="1">
      <c r="A35" s="58"/>
      <c r="B35" s="75">
        <v>32</v>
      </c>
      <c r="C35" s="101"/>
      <c r="D35" s="114"/>
      <c r="E35" s="1543" t="s">
        <v>15564</v>
      </c>
      <c r="F35" s="1545"/>
      <c r="G35" s="1752"/>
      <c r="H35" s="105">
        <v>247</v>
      </c>
      <c r="I35" s="2562">
        <f>TBIn!E1069</f>
        <v>17981</v>
      </c>
      <c r="J35" s="111"/>
      <c r="K35" s="123" t="s">
        <v>953</v>
      </c>
      <c r="L35" s="1539" t="s">
        <v>15565</v>
      </c>
      <c r="M35" s="1554"/>
      <c r="N35" s="1554"/>
      <c r="O35" s="1554"/>
      <c r="P35" s="1571"/>
      <c r="Q35" s="108">
        <v>332</v>
      </c>
      <c r="R35" s="2572">
        <f>TBIn!E1124</f>
        <v>0</v>
      </c>
      <c r="S35" s="80">
        <v>32</v>
      </c>
    </row>
    <row r="36" spans="1:19" ht="16" customHeight="1">
      <c r="A36" s="58"/>
      <c r="B36" s="75">
        <v>33</v>
      </c>
      <c r="C36" s="101"/>
      <c r="D36" s="114"/>
      <c r="E36" s="1543" t="s">
        <v>15566</v>
      </c>
      <c r="F36" s="1545"/>
      <c r="G36" s="1762"/>
      <c r="H36" s="105">
        <v>252</v>
      </c>
      <c r="I36" s="2562">
        <f>TBIn!E1070</f>
        <v>0</v>
      </c>
      <c r="J36" s="111" t="s">
        <v>738</v>
      </c>
      <c r="K36" s="111" t="s">
        <v>112</v>
      </c>
      <c r="L36" s="124"/>
      <c r="M36" s="104"/>
      <c r="N36" s="104"/>
      <c r="O36" s="104"/>
      <c r="P36" s="107"/>
      <c r="Q36" s="108"/>
      <c r="R36" s="1319"/>
      <c r="S36" s="80">
        <v>33</v>
      </c>
    </row>
    <row r="37" spans="1:19" ht="16" customHeight="1">
      <c r="A37" s="58"/>
      <c r="B37" s="75">
        <v>34</v>
      </c>
      <c r="C37" s="101"/>
      <c r="D37" s="102"/>
      <c r="E37" s="1548" t="s">
        <v>15567</v>
      </c>
      <c r="F37" s="1555"/>
      <c r="G37" s="1761"/>
      <c r="H37" s="105">
        <v>258</v>
      </c>
      <c r="I37" s="1775">
        <f>TBIn!E1071</f>
        <v>0</v>
      </c>
      <c r="J37" s="106" t="s">
        <v>145</v>
      </c>
      <c r="K37" s="111" t="s">
        <v>127</v>
      </c>
      <c r="L37" s="1539" t="s">
        <v>1183</v>
      </c>
      <c r="M37" s="1554"/>
      <c r="N37" s="1554"/>
      <c r="O37" s="1554"/>
      <c r="P37" s="1571"/>
      <c r="Q37" s="108">
        <v>334</v>
      </c>
      <c r="R37" s="2572">
        <f>TBIn!E1125</f>
        <v>500000</v>
      </c>
      <c r="S37" s="80">
        <v>34</v>
      </c>
    </row>
    <row r="38" spans="1:19" ht="16" customHeight="1">
      <c r="A38" s="58"/>
      <c r="B38" s="75">
        <v>35</v>
      </c>
      <c r="C38" s="101"/>
      <c r="D38" s="102"/>
      <c r="E38" s="125"/>
      <c r="F38" s="1076"/>
      <c r="G38" s="1763"/>
      <c r="H38" s="105"/>
      <c r="I38" s="1316"/>
      <c r="J38" s="106" t="s">
        <v>124</v>
      </c>
      <c r="K38" s="111" t="s">
        <v>13723</v>
      </c>
      <c r="L38" s="124"/>
      <c r="M38" s="104"/>
      <c r="N38" s="104"/>
      <c r="O38" s="104"/>
      <c r="P38" s="107"/>
      <c r="Q38" s="126"/>
      <c r="R38" s="1319"/>
      <c r="S38" s="80">
        <v>35</v>
      </c>
    </row>
    <row r="39" spans="1:19" ht="16" customHeight="1">
      <c r="A39" s="58"/>
      <c r="B39" s="75">
        <v>36</v>
      </c>
      <c r="C39" s="101"/>
      <c r="D39" s="110"/>
      <c r="E39" s="1123" t="s">
        <v>15568</v>
      </c>
      <c r="F39" s="1140"/>
      <c r="G39" s="694"/>
      <c r="H39" s="695"/>
      <c r="I39" s="517">
        <f>SUM(I23:I38)</f>
        <v>20913215</v>
      </c>
      <c r="J39" s="106" t="s">
        <v>124</v>
      </c>
      <c r="K39" s="123"/>
      <c r="L39" s="1539" t="s">
        <v>1184</v>
      </c>
      <c r="M39" s="1554"/>
      <c r="N39" s="1554"/>
      <c r="O39" s="1554"/>
      <c r="P39" s="1571"/>
      <c r="Q39" s="127">
        <v>333</v>
      </c>
      <c r="R39" s="2697">
        <f>TBIn!E1126</f>
        <v>-21293</v>
      </c>
      <c r="S39" s="80">
        <v>36</v>
      </c>
    </row>
    <row r="40" spans="1:19" ht="16" customHeight="1">
      <c r="A40" s="58"/>
      <c r="B40" s="75">
        <v>37</v>
      </c>
      <c r="C40" s="101"/>
      <c r="D40" s="500" t="s">
        <v>145</v>
      </c>
      <c r="E40" s="1130" t="s">
        <v>15569</v>
      </c>
      <c r="F40" s="1131"/>
      <c r="G40" s="1543" t="s">
        <v>15570</v>
      </c>
      <c r="H40" s="105">
        <v>270</v>
      </c>
      <c r="I40" s="2694">
        <f>TBIn!E1072</f>
        <v>138420</v>
      </c>
      <c r="J40" s="106" t="s">
        <v>114</v>
      </c>
      <c r="K40" s="111" t="s">
        <v>116</v>
      </c>
      <c r="L40" s="124" t="s">
        <v>834</v>
      </c>
      <c r="M40" s="104"/>
      <c r="N40" s="104"/>
      <c r="O40" s="104"/>
      <c r="P40" s="104"/>
      <c r="Q40" s="835" t="s">
        <v>15571</v>
      </c>
      <c r="R40" s="833">
        <f>SUM(R34:R39)</f>
        <v>25442534</v>
      </c>
      <c r="S40" s="80">
        <v>37</v>
      </c>
    </row>
    <row r="41" spans="1:19" ht="16" customHeight="1">
      <c r="A41" s="58"/>
      <c r="B41" s="75">
        <v>38</v>
      </c>
      <c r="C41" s="101"/>
      <c r="D41" s="500" t="s">
        <v>118</v>
      </c>
      <c r="E41" s="1132"/>
      <c r="F41" s="1131"/>
      <c r="G41" s="1543" t="s">
        <v>15572</v>
      </c>
      <c r="H41" s="105">
        <v>271</v>
      </c>
      <c r="I41" s="1775">
        <f>TBIn!E1073</f>
        <v>0</v>
      </c>
      <c r="J41" s="106" t="s">
        <v>157</v>
      </c>
      <c r="K41" s="111" t="s">
        <v>122</v>
      </c>
      <c r="L41" s="124"/>
      <c r="M41" s="104"/>
      <c r="N41" s="104"/>
      <c r="O41" s="104"/>
      <c r="P41" s="107"/>
      <c r="Q41" s="108"/>
      <c r="R41" s="691"/>
      <c r="S41" s="80">
        <v>38</v>
      </c>
    </row>
    <row r="42" spans="1:19" ht="16" customHeight="1">
      <c r="A42" s="58"/>
      <c r="B42" s="75">
        <v>39</v>
      </c>
      <c r="C42" s="96"/>
      <c r="D42" s="502" t="s">
        <v>116</v>
      </c>
      <c r="E42" s="1133"/>
      <c r="F42" s="1134"/>
      <c r="G42" s="1557" t="s">
        <v>990</v>
      </c>
      <c r="H42" s="128">
        <v>274</v>
      </c>
      <c r="I42" s="2563">
        <f>TBIn!E1074</f>
        <v>403556</v>
      </c>
      <c r="J42" s="106"/>
      <c r="K42" s="111" t="s">
        <v>120</v>
      </c>
      <c r="L42" s="1578" t="s">
        <v>1185</v>
      </c>
      <c r="M42" s="1554"/>
      <c r="N42" s="1554"/>
      <c r="O42" s="1554"/>
      <c r="P42" s="1571"/>
      <c r="Q42" s="108">
        <v>335</v>
      </c>
      <c r="R42" s="2572">
        <f>TBIn!E1127</f>
        <v>0</v>
      </c>
      <c r="S42" s="80">
        <v>39</v>
      </c>
    </row>
    <row r="43" spans="1:19" ht="16" customHeight="1">
      <c r="A43" s="58"/>
      <c r="B43" s="75">
        <v>40</v>
      </c>
      <c r="C43" s="96"/>
      <c r="D43" s="129" t="s">
        <v>15573</v>
      </c>
      <c r="E43" s="130"/>
      <c r="F43" s="130"/>
      <c r="G43" s="1756"/>
      <c r="H43" s="1064"/>
      <c r="I43" s="1774">
        <f>SUM(I39:I42)+I22+I15</f>
        <v>26480443</v>
      </c>
      <c r="J43" s="106" t="s">
        <v>15535</v>
      </c>
      <c r="K43" s="111" t="s">
        <v>147</v>
      </c>
      <c r="L43" s="1162"/>
      <c r="M43" s="133"/>
      <c r="N43" s="133"/>
      <c r="O43" s="133"/>
      <c r="P43" s="134"/>
      <c r="Q43" s="135" t="str">
        <f>IF(R43="","",345)</f>
        <v/>
      </c>
      <c r="R43" s="136"/>
      <c r="S43" s="80">
        <v>40</v>
      </c>
    </row>
    <row r="44" spans="1:19" ht="16" customHeight="1">
      <c r="A44" s="58"/>
      <c r="B44" s="75">
        <v>41</v>
      </c>
      <c r="C44" s="1135" t="s">
        <v>145</v>
      </c>
      <c r="D44" s="1136" t="s">
        <v>122</v>
      </c>
      <c r="E44" s="1558" t="s">
        <v>15574</v>
      </c>
      <c r="F44" s="1559"/>
      <c r="G44" s="1776">
        <f>TBIn!$E$126</f>
        <v>0</v>
      </c>
      <c r="H44" s="97">
        <v>275</v>
      </c>
      <c r="I44" s="2564">
        <f>TBIn!E1075</f>
        <v>0</v>
      </c>
      <c r="J44" s="106"/>
      <c r="K44" s="111" t="s">
        <v>122</v>
      </c>
      <c r="L44" s="605"/>
      <c r="M44" s="89"/>
      <c r="N44" s="89"/>
      <c r="O44" s="89"/>
      <c r="P44" s="139"/>
      <c r="Q44" s="119" t="str">
        <f>IF(R44="","",345)</f>
        <v/>
      </c>
      <c r="R44" s="140"/>
      <c r="S44" s="80">
        <v>41</v>
      </c>
    </row>
    <row r="45" spans="1:19" ht="16" customHeight="1">
      <c r="A45" s="58"/>
      <c r="B45" s="75">
        <v>42</v>
      </c>
      <c r="C45" s="6" t="s">
        <v>143</v>
      </c>
      <c r="D45" s="1136" t="s">
        <v>773</v>
      </c>
      <c r="E45" s="1560" t="s">
        <v>15575</v>
      </c>
      <c r="F45" s="1561"/>
      <c r="G45" s="733">
        <f>Page8!F45</f>
        <v>0</v>
      </c>
      <c r="H45" s="105">
        <v>277</v>
      </c>
      <c r="I45" s="734">
        <f>Page8!H45</f>
        <v>0</v>
      </c>
      <c r="J45" s="141"/>
      <c r="K45" s="127"/>
      <c r="L45" s="1153" t="s">
        <v>15576</v>
      </c>
      <c r="M45" s="119"/>
      <c r="N45" s="119"/>
      <c r="O45" s="119"/>
      <c r="P45" s="119"/>
      <c r="Q45" s="836" t="s">
        <v>15577</v>
      </c>
      <c r="R45" s="834">
        <f>SUM(R40:R44)</f>
        <v>25442534</v>
      </c>
      <c r="S45" s="80">
        <v>42</v>
      </c>
    </row>
    <row r="46" spans="1:19" ht="16" customHeight="1">
      <c r="A46" s="58"/>
      <c r="B46" s="75">
        <v>43</v>
      </c>
      <c r="C46" s="6" t="s">
        <v>116</v>
      </c>
      <c r="D46" s="1136" t="s">
        <v>738</v>
      </c>
      <c r="E46" s="1583" t="s">
        <v>15578</v>
      </c>
      <c r="F46" s="1550"/>
      <c r="G46" s="2732">
        <f>Page8!E45*-1</f>
        <v>0</v>
      </c>
      <c r="H46" s="2733"/>
      <c r="I46" s="929"/>
      <c r="J46" s="1154" t="s">
        <v>15579</v>
      </c>
      <c r="K46" s="498"/>
      <c r="L46" s="1155" t="s">
        <v>1160</v>
      </c>
      <c r="M46" s="99"/>
      <c r="N46" s="99"/>
      <c r="O46" s="99"/>
      <c r="P46" s="2724">
        <f>TBIn!E131</f>
        <v>422000</v>
      </c>
      <c r="Q46" s="2725"/>
      <c r="R46" s="926"/>
      <c r="S46" s="80">
        <v>43</v>
      </c>
    </row>
    <row r="47" spans="1:19" ht="16" customHeight="1">
      <c r="A47" s="58"/>
      <c r="B47" s="75">
        <v>44</v>
      </c>
      <c r="C47" s="1137" t="s">
        <v>15580</v>
      </c>
      <c r="D47" s="143"/>
      <c r="E47" s="143"/>
      <c r="F47" s="143"/>
      <c r="G47" s="143"/>
      <c r="H47" s="144"/>
      <c r="I47" s="519">
        <f>SUM(I43:I45)</f>
        <v>26480443</v>
      </c>
      <c r="J47" s="1156" t="s">
        <v>15581</v>
      </c>
      <c r="K47" s="181"/>
      <c r="L47" s="1157" t="s">
        <v>1154</v>
      </c>
      <c r="M47" s="103"/>
      <c r="N47" s="103"/>
      <c r="O47" s="103"/>
      <c r="P47" s="2748">
        <f>I47-I38-R40+P46</f>
        <v>1459909</v>
      </c>
      <c r="Q47" s="2749"/>
      <c r="R47" s="927"/>
      <c r="S47" s="80">
        <v>44</v>
      </c>
    </row>
    <row r="48" spans="1:19" ht="16" customHeight="1">
      <c r="A48" s="58"/>
      <c r="B48" s="75">
        <v>45</v>
      </c>
      <c r="C48" s="1141"/>
      <c r="D48" s="1141"/>
      <c r="E48" s="1141"/>
      <c r="F48" s="1138" t="s">
        <v>15582</v>
      </c>
      <c r="G48" s="145"/>
      <c r="H48" s="146"/>
      <c r="I48" s="931"/>
      <c r="J48" s="1156" t="s">
        <v>15583</v>
      </c>
      <c r="K48" s="499"/>
      <c r="L48" s="88" t="s">
        <v>10271</v>
      </c>
      <c r="M48" s="147"/>
      <c r="N48" s="147"/>
      <c r="O48" s="147"/>
      <c r="P48" s="2750">
        <f>TBIn!$AT$3</f>
        <v>844000</v>
      </c>
      <c r="Q48" s="2751"/>
      <c r="R48" s="928"/>
      <c r="S48" s="80">
        <v>45</v>
      </c>
    </row>
    <row r="49" spans="1:20" ht="16" customHeight="1">
      <c r="A49" s="58"/>
      <c r="B49" s="75">
        <v>46</v>
      </c>
      <c r="C49" s="1142"/>
      <c r="D49" s="148" t="s">
        <v>15584</v>
      </c>
      <c r="E49" s="1143"/>
      <c r="F49" s="1139" t="s">
        <v>15585</v>
      </c>
      <c r="G49" s="1584" t="s">
        <v>15586</v>
      </c>
      <c r="H49" s="149"/>
      <c r="I49" s="932"/>
      <c r="J49" s="1163"/>
      <c r="K49" s="878"/>
      <c r="L49" s="878"/>
      <c r="M49" s="933"/>
      <c r="N49" s="933"/>
      <c r="O49" s="1099"/>
      <c r="P49" s="1099"/>
      <c r="Q49" s="1099"/>
      <c r="R49" s="1116"/>
      <c r="S49" s="80">
        <v>46</v>
      </c>
    </row>
    <row r="50" spans="1:20" ht="16" customHeight="1">
      <c r="A50" s="58"/>
      <c r="B50" s="75">
        <v>47</v>
      </c>
      <c r="C50" s="1144" t="s">
        <v>143</v>
      </c>
      <c r="D50" s="1562" t="s">
        <v>1138</v>
      </c>
      <c r="E50" s="1563"/>
      <c r="F50" s="2565">
        <f>TBIn!E1078</f>
        <v>0</v>
      </c>
      <c r="G50" s="930"/>
      <c r="H50" s="150">
        <v>280</v>
      </c>
      <c r="I50" s="508">
        <f>F50+G50</f>
        <v>0</v>
      </c>
      <c r="J50" s="1158" t="s">
        <v>15587</v>
      </c>
      <c r="K50" s="1159"/>
      <c r="L50" s="1159"/>
      <c r="M50" s="151"/>
      <c r="N50" s="151"/>
      <c r="O50" s="2752"/>
      <c r="P50" s="2752"/>
      <c r="Q50" s="2752"/>
      <c r="R50" s="2753"/>
      <c r="S50" s="80">
        <v>47</v>
      </c>
    </row>
    <row r="51" spans="1:20" ht="16" customHeight="1">
      <c r="A51" s="58"/>
      <c r="B51" s="75">
        <v>48</v>
      </c>
      <c r="C51" s="1145" t="s">
        <v>112</v>
      </c>
      <c r="D51" s="1564" t="s">
        <v>15588</v>
      </c>
      <c r="E51" s="1563"/>
      <c r="F51" s="2565">
        <f>TBIn!E1079</f>
        <v>233357</v>
      </c>
      <c r="G51" s="2566">
        <f>IF(Flag=TRUE,TBIn!E1088*-1,TBIn!E1088)</f>
        <v>-56920</v>
      </c>
      <c r="H51" s="152" t="s">
        <v>15589</v>
      </c>
      <c r="I51" s="508">
        <f>F51+G51</f>
        <v>176437</v>
      </c>
      <c r="J51" s="2759" t="s">
        <v>15590</v>
      </c>
      <c r="K51" s="1470" t="s">
        <v>15591</v>
      </c>
      <c r="L51" s="1471" t="s">
        <v>15592</v>
      </c>
      <c r="M51" s="1470" t="s">
        <v>15592</v>
      </c>
      <c r="N51" s="1472" t="s">
        <v>15593</v>
      </c>
      <c r="O51" s="2754" t="s">
        <v>15594</v>
      </c>
      <c r="P51" s="1167" t="s">
        <v>15595</v>
      </c>
      <c r="Q51" s="153" t="s">
        <v>15596</v>
      </c>
      <c r="R51" s="154"/>
      <c r="S51" s="80">
        <v>48</v>
      </c>
      <c r="T51" s="1714"/>
    </row>
    <row r="52" spans="1:20" ht="16" customHeight="1">
      <c r="A52" s="58"/>
      <c r="B52" s="75">
        <v>49</v>
      </c>
      <c r="C52" s="1145" t="s">
        <v>147</v>
      </c>
      <c r="D52" s="2712" t="s">
        <v>1140</v>
      </c>
      <c r="E52" s="2714"/>
      <c r="F52" s="2565">
        <f>TBIn!E1080</f>
        <v>0</v>
      </c>
      <c r="G52" s="2566">
        <f>IF(Flag=TRUE,TBIn!E1089*-1,TBIn!E1089)</f>
        <v>0</v>
      </c>
      <c r="H52" s="152" t="s">
        <v>15597</v>
      </c>
      <c r="I52" s="508">
        <f t="shared" ref="I52:I59" si="0">F52+G52</f>
        <v>0</v>
      </c>
      <c r="J52" s="2760"/>
      <c r="K52" s="1473" t="s">
        <v>860</v>
      </c>
      <c r="L52" s="1474" t="s">
        <v>860</v>
      </c>
      <c r="M52" s="1473" t="s">
        <v>15598</v>
      </c>
      <c r="N52" s="1475" t="s">
        <v>15599</v>
      </c>
      <c r="O52" s="2755"/>
      <c r="P52" s="2717" t="s">
        <v>1186</v>
      </c>
      <c r="Q52" s="155"/>
      <c r="R52" s="2746">
        <f>TBIn!E1128</f>
        <v>3100020</v>
      </c>
      <c r="S52" s="80">
        <v>49</v>
      </c>
    </row>
    <row r="53" spans="1:20" ht="16" customHeight="1">
      <c r="A53" s="58"/>
      <c r="B53" s="75">
        <v>50</v>
      </c>
      <c r="C53" s="1145" t="s">
        <v>15600</v>
      </c>
      <c r="D53" s="2712" t="s">
        <v>1141</v>
      </c>
      <c r="E53" s="2714"/>
      <c r="F53" s="2565">
        <f>TBIn!E1081</f>
        <v>58570</v>
      </c>
      <c r="G53" s="2566">
        <f>IF(Flag=TRUE,TBIn!E1090*-1,TBIn!E1090)</f>
        <v>-21280</v>
      </c>
      <c r="H53" s="152" t="s">
        <v>15601</v>
      </c>
      <c r="I53" s="508">
        <f t="shared" si="0"/>
        <v>37290</v>
      </c>
      <c r="J53" s="1434" t="s">
        <v>13748</v>
      </c>
      <c r="K53" s="1699">
        <f>IF(TBIn!AM18=0,"",TBIn!AM18)</f>
        <v>38</v>
      </c>
      <c r="L53" s="1700">
        <f>IF(TBIn!AN18=0,"",TBIn!AN18)</f>
        <v>37</v>
      </c>
      <c r="M53" s="1699">
        <f>IF(TBIn!AO18=0,"",TBIn!AO18)</f>
        <v>10</v>
      </c>
      <c r="N53" s="1701">
        <f>IF(TBIn!AP18=0,"",TBIn!AP18)</f>
        <v>4585</v>
      </c>
      <c r="O53" s="2755"/>
      <c r="P53" s="2718"/>
      <c r="Q53" s="156">
        <v>360</v>
      </c>
      <c r="R53" s="2747"/>
      <c r="S53" s="80">
        <v>50</v>
      </c>
    </row>
    <row r="54" spans="1:20" ht="16" customHeight="1">
      <c r="A54" s="58"/>
      <c r="B54" s="75">
        <v>51</v>
      </c>
      <c r="C54" s="1146" t="s">
        <v>122</v>
      </c>
      <c r="D54" s="2712" t="s">
        <v>1142</v>
      </c>
      <c r="E54" s="2714"/>
      <c r="F54" s="2565">
        <f>TBIn!E1082</f>
        <v>7207</v>
      </c>
      <c r="G54" s="2566">
        <f>IF(Flag=TRUE,TBIn!E1091*-1,TBIn!E1091)</f>
        <v>-2902</v>
      </c>
      <c r="H54" s="152" t="s">
        <v>15602</v>
      </c>
      <c r="I54" s="508">
        <f t="shared" si="0"/>
        <v>4305</v>
      </c>
      <c r="J54" s="1434" t="s">
        <v>157</v>
      </c>
      <c r="K54" s="1702">
        <f>IF(TBIn!AM19=0,"",TBIn!AM19)</f>
        <v>53</v>
      </c>
      <c r="L54" s="1703">
        <f>IF(TBIn!AN19=0,"",TBIn!AN19)</f>
        <v>39</v>
      </c>
      <c r="M54" s="1704">
        <f>IF(TBIn!AO19=0,"",TBIn!AO19)</f>
        <v>9</v>
      </c>
      <c r="N54" s="1705">
        <f>IF(TBIn!AP19=0,"",TBIn!AP19)</f>
        <v>103456</v>
      </c>
      <c r="O54" s="2755"/>
      <c r="P54" s="157"/>
      <c r="Q54" s="156"/>
      <c r="R54" s="1319"/>
      <c r="S54" s="80">
        <v>51</v>
      </c>
    </row>
    <row r="55" spans="1:20" ht="16" customHeight="1">
      <c r="A55" s="58"/>
      <c r="B55" s="75">
        <v>52</v>
      </c>
      <c r="C55" s="1147" t="s">
        <v>15603</v>
      </c>
      <c r="D55" s="2712" t="s">
        <v>15604</v>
      </c>
      <c r="E55" s="2714"/>
      <c r="F55" s="2565">
        <f>TBIn!E1083</f>
        <v>698014</v>
      </c>
      <c r="G55" s="2566">
        <f>IF(Flag=TRUE,TBIn!E1092*-1,TBIn!E1092)</f>
        <v>-237755</v>
      </c>
      <c r="H55" s="152" t="s">
        <v>15605</v>
      </c>
      <c r="I55" s="508">
        <f t="shared" si="0"/>
        <v>460259</v>
      </c>
      <c r="J55" s="1434" t="s">
        <v>147</v>
      </c>
      <c r="K55" s="1702">
        <f>IF(TBIn!AM20=0,"",TBIn!AM20)</f>
        <v>65</v>
      </c>
      <c r="L55" s="1703">
        <f>IF(TBIn!AN20=0,"",TBIn!AN20)</f>
        <v>56</v>
      </c>
      <c r="M55" s="1704">
        <f>IF(TBIn!AO20=0,"",TBIn!AO20)</f>
        <v>17</v>
      </c>
      <c r="N55" s="1705">
        <f>IF(TBIn!AP20=0,"",TBIn!AP20)</f>
        <v>232589</v>
      </c>
      <c r="O55" s="2755"/>
      <c r="P55" s="1585" t="s">
        <v>1187</v>
      </c>
      <c r="Q55" s="156">
        <v>370</v>
      </c>
      <c r="R55" s="2572">
        <f>TBIn!E1129</f>
        <v>1239791</v>
      </c>
      <c r="S55" s="80">
        <v>52</v>
      </c>
    </row>
    <row r="56" spans="1:20" ht="16" customHeight="1">
      <c r="A56" s="58"/>
      <c r="B56" s="75">
        <v>53</v>
      </c>
      <c r="C56" s="1147" t="s">
        <v>15606</v>
      </c>
      <c r="D56" s="2712" t="s">
        <v>15607</v>
      </c>
      <c r="E56" s="2714"/>
      <c r="F56" s="2565">
        <f>TBIn!E1084</f>
        <v>0</v>
      </c>
      <c r="G56" s="2566">
        <f>IF(Flag=TRUE,TBIn!E1093*-1,TBIn!E1093)</f>
        <v>0</v>
      </c>
      <c r="H56" s="152" t="s">
        <v>15608</v>
      </c>
      <c r="I56" s="508">
        <f t="shared" si="0"/>
        <v>0</v>
      </c>
      <c r="J56" s="1434" t="s">
        <v>145</v>
      </c>
      <c r="K56" s="1702">
        <f>IF(TBIn!AM21=0,"",TBIn!AM21)</f>
        <v>64</v>
      </c>
      <c r="L56" s="1703">
        <f>IF(TBIn!AN21=0,"",TBIn!AN21)</f>
        <v>54</v>
      </c>
      <c r="M56" s="1704">
        <f>IF(TBIn!AO21=0,"",TBIn!AO21)</f>
        <v>10</v>
      </c>
      <c r="N56" s="1705">
        <f>IF(TBIn!AP21=0,"",TBIn!AP21)</f>
        <v>129671</v>
      </c>
      <c r="O56" s="2755"/>
      <c r="P56" s="157"/>
      <c r="Q56" s="156"/>
      <c r="R56" s="1319"/>
      <c r="S56" s="80">
        <v>53</v>
      </c>
    </row>
    <row r="57" spans="1:20" ht="16" customHeight="1">
      <c r="A57" s="58"/>
      <c r="B57" s="75">
        <v>54</v>
      </c>
      <c r="C57" s="1147" t="s">
        <v>116</v>
      </c>
      <c r="D57" s="2712" t="s">
        <v>1145</v>
      </c>
      <c r="E57" s="2714"/>
      <c r="F57" s="2565">
        <f>TBIn!E1085</f>
        <v>49360</v>
      </c>
      <c r="G57" s="2566">
        <f>IF(Flag=TRUE,TBIn!E1094*-1,TBIn!E1094)</f>
        <v>-13439</v>
      </c>
      <c r="H57" s="152" t="s">
        <v>15609</v>
      </c>
      <c r="I57" s="508">
        <f t="shared" si="0"/>
        <v>35921</v>
      </c>
      <c r="J57" s="1434" t="s">
        <v>147</v>
      </c>
      <c r="K57" s="1702" t="str">
        <f>IF(TBIn!AM22=0,"",TBIn!AM22)</f>
        <v/>
      </c>
      <c r="L57" s="1703" t="str">
        <f>IF(TBIn!AN22=0,"",TBIn!AN22)</f>
        <v/>
      </c>
      <c r="M57" s="1704" t="str">
        <f>IF(TBIn!AO22=0,"",TBIn!AO22)</f>
        <v/>
      </c>
      <c r="N57" s="1705" t="str">
        <f>IF(TBIn!AP22=0,"",TBIn!AP22)</f>
        <v/>
      </c>
      <c r="O57" s="2756"/>
      <c r="P57" s="1586" t="s">
        <v>1188</v>
      </c>
      <c r="Q57" s="156">
        <v>375</v>
      </c>
      <c r="R57" s="2572">
        <f>TBIn!E1130</f>
        <v>0</v>
      </c>
      <c r="S57" s="80">
        <v>54</v>
      </c>
    </row>
    <row r="58" spans="1:20" ht="16" customHeight="1">
      <c r="A58" s="58"/>
      <c r="B58" s="75">
        <v>55</v>
      </c>
      <c r="C58" s="1147" t="s">
        <v>112</v>
      </c>
      <c r="D58" s="2712" t="s">
        <v>1146</v>
      </c>
      <c r="E58" s="2714"/>
      <c r="F58" s="2565">
        <f>TBIn!E1086</f>
        <v>73638</v>
      </c>
      <c r="G58" s="2567">
        <f>IF(Flag=TRUE,TBIn!E1095*-1,TBIn!E1095)</f>
        <v>-36719</v>
      </c>
      <c r="H58" s="159" t="s">
        <v>15610</v>
      </c>
      <c r="I58" s="508">
        <f t="shared" si="0"/>
        <v>36919</v>
      </c>
      <c r="J58" s="1434" t="s">
        <v>13748</v>
      </c>
      <c r="K58" s="1702" t="str">
        <f>IF(TBIn!AM23=0,"",TBIn!AM23)</f>
        <v/>
      </c>
      <c r="L58" s="1703" t="str">
        <f>IF(TBIn!AN23=0,"",TBIn!AN23)</f>
        <v/>
      </c>
      <c r="M58" s="1704" t="str">
        <f>IF(TBIn!AO23=0,"",TBIn!AO23)</f>
        <v/>
      </c>
      <c r="N58" s="1705" t="str">
        <f>IF(TBIn!AP23=0,"",TBIn!AP23)</f>
        <v/>
      </c>
      <c r="O58" s="2719" t="s">
        <v>15611</v>
      </c>
      <c r="P58" s="157"/>
      <c r="Q58" s="156"/>
      <c r="R58" s="1319"/>
      <c r="S58" s="80">
        <v>55</v>
      </c>
    </row>
    <row r="59" spans="1:20" ht="16" customHeight="1">
      <c r="A59" s="58"/>
      <c r="B59" s="75">
        <v>56</v>
      </c>
      <c r="C59" s="1147" t="s">
        <v>147</v>
      </c>
      <c r="D59" s="1565" t="s">
        <v>990</v>
      </c>
      <c r="E59" s="1777"/>
      <c r="F59" s="2568">
        <f>TBIn!E1087</f>
        <v>48744</v>
      </c>
      <c r="G59" s="2569">
        <f>IF(Flag=TRUE,TBIn!E1096*-1,TBIn!E1096)</f>
        <v>-2463</v>
      </c>
      <c r="H59" s="161" t="s">
        <v>15612</v>
      </c>
      <c r="I59" s="2668">
        <f t="shared" si="0"/>
        <v>46281</v>
      </c>
      <c r="J59" s="1434" t="s">
        <v>13748</v>
      </c>
      <c r="K59" s="1706" t="str">
        <f>IF(TBIn!AM24=0,"",TBIn!AM24)</f>
        <v/>
      </c>
      <c r="L59" s="1707" t="str">
        <f>IF(TBIn!AN24=0,"",TBIn!AN24)</f>
        <v/>
      </c>
      <c r="M59" s="1708" t="str">
        <f>IF(TBIn!AO24=0,"",TBIn!AO24)</f>
        <v/>
      </c>
      <c r="N59" s="1709" t="str">
        <f>IF(TBIn!AP24=0,"",TBIn!AP24)</f>
        <v/>
      </c>
      <c r="O59" s="2720"/>
      <c r="P59" s="1586" t="s">
        <v>1189</v>
      </c>
      <c r="Q59" s="156">
        <v>380</v>
      </c>
      <c r="R59" s="2572">
        <f>TBIn!E1131</f>
        <v>0</v>
      </c>
      <c r="S59" s="80">
        <v>56</v>
      </c>
    </row>
    <row r="60" spans="1:20" ht="16" customHeight="1">
      <c r="A60" s="58"/>
      <c r="B60" s="75">
        <v>57</v>
      </c>
      <c r="C60" s="162" t="s">
        <v>15613</v>
      </c>
      <c r="D60" s="1149"/>
      <c r="E60" s="1150"/>
      <c r="F60" s="518">
        <f>SUM(F50:F59)</f>
        <v>1168890</v>
      </c>
      <c r="G60" s="163">
        <f>SUM(G51:G59)</f>
        <v>-371478</v>
      </c>
      <c r="H60" s="164"/>
      <c r="I60" s="2669">
        <f>IF(Flag=TRUE,SUM(I50:I59),TBIn!E1097)</f>
        <v>797412</v>
      </c>
      <c r="J60" s="1434" t="s">
        <v>145</v>
      </c>
      <c r="K60" s="1710" t="str">
        <f>IF(TBIn!AM25=0,"",TBIn!AM25)</f>
        <v/>
      </c>
      <c r="L60" s="1711" t="str">
        <f>IF(TBIn!AN25=0,"",TBIn!AN25)</f>
        <v/>
      </c>
      <c r="M60" s="1712" t="str">
        <f>IF(TBIn!AO25=0,"",TBIn!AO25)</f>
        <v/>
      </c>
      <c r="N60" s="1713" t="str">
        <f>IF(TBIn!AP25=0,"",TBIn!AP25)</f>
        <v/>
      </c>
      <c r="O60" s="2720"/>
      <c r="P60" s="157"/>
      <c r="Q60" s="156"/>
      <c r="R60" s="1319"/>
      <c r="S60" s="80">
        <v>57</v>
      </c>
    </row>
    <row r="61" spans="1:20" ht="12.5">
      <c r="A61" s="58"/>
      <c r="B61" s="75">
        <v>58</v>
      </c>
      <c r="C61" s="165" t="s">
        <v>15614</v>
      </c>
      <c r="D61" s="166"/>
      <c r="E61" s="167"/>
      <c r="F61" s="2659">
        <v>1</v>
      </c>
      <c r="G61" s="168" t="s">
        <v>847</v>
      </c>
      <c r="H61" s="2660">
        <v>1</v>
      </c>
      <c r="J61" s="1434" t="s">
        <v>124</v>
      </c>
      <c r="K61" s="1710" t="str">
        <f>IF(TBIn!AM26=0,"",TBIn!AM26)</f>
        <v/>
      </c>
      <c r="L61" s="1711" t="str">
        <f>IF(TBIn!AN26=0,"",TBIn!AN26)</f>
        <v/>
      </c>
      <c r="M61" s="1712" t="str">
        <f>IF(TBIn!AO26=0,"",TBIn!AO26)</f>
        <v/>
      </c>
      <c r="N61" s="1713" t="str">
        <f>IF(TBIn!AP26=0,"",TBIn!AP26)</f>
        <v/>
      </c>
      <c r="O61" s="2720"/>
      <c r="P61" s="157"/>
      <c r="Q61" s="156"/>
      <c r="R61" s="1319"/>
      <c r="S61" s="80">
        <v>58</v>
      </c>
    </row>
    <row r="62" spans="1:20" ht="13">
      <c r="A62" s="58"/>
      <c r="B62" s="75">
        <v>59</v>
      </c>
      <c r="C62" s="137" t="s">
        <v>145</v>
      </c>
      <c r="D62" s="169" t="s">
        <v>580</v>
      </c>
      <c r="E62" s="1566" t="s">
        <v>1149</v>
      </c>
      <c r="F62" s="1545"/>
      <c r="G62" s="1545"/>
      <c r="H62" s="105">
        <v>291</v>
      </c>
      <c r="I62" s="2562">
        <f>TBIn!E1098</f>
        <v>0</v>
      </c>
      <c r="J62" s="1434" t="s">
        <v>112</v>
      </c>
      <c r="K62" s="1710" t="str">
        <f>IF(TBIn!AM27=0,"",TBIn!AM27)</f>
        <v/>
      </c>
      <c r="L62" s="1711" t="str">
        <f>IF(TBIn!AN27=0,"",TBIn!AN27)</f>
        <v/>
      </c>
      <c r="M62" s="1712" t="str">
        <f>IF(TBIn!AO27=0,"",TBIn!AO27)</f>
        <v/>
      </c>
      <c r="N62" s="1713" t="str">
        <f>IF(TBIn!AP27=0,"",TBIn!AP27)</f>
        <v/>
      </c>
      <c r="O62" s="2720"/>
      <c r="P62" s="157"/>
      <c r="Q62" s="156"/>
      <c r="R62" s="1319"/>
      <c r="S62" s="80">
        <v>59</v>
      </c>
    </row>
    <row r="63" spans="1:20" ht="13">
      <c r="A63" s="58"/>
      <c r="B63" s="75">
        <v>60</v>
      </c>
      <c r="C63" s="101" t="s">
        <v>143</v>
      </c>
      <c r="D63" s="131" t="s">
        <v>114</v>
      </c>
      <c r="E63" s="2712" t="s">
        <v>15615</v>
      </c>
      <c r="F63" s="2713"/>
      <c r="G63" s="2714"/>
      <c r="H63" s="105">
        <v>293</v>
      </c>
      <c r="I63" s="2562">
        <f>TBIn!E1099</f>
        <v>0</v>
      </c>
      <c r="J63" s="1434" t="s">
        <v>127</v>
      </c>
      <c r="K63" s="1710" t="str">
        <f>IF(TBIn!AM28=0,"",TBIn!AM28)</f>
        <v/>
      </c>
      <c r="L63" s="1711" t="str">
        <f>IF(TBIn!AN28=0,"",TBIn!AN28)</f>
        <v/>
      </c>
      <c r="M63" s="1712" t="str">
        <f>IF(TBIn!AO28=0,"",TBIn!AO28)</f>
        <v/>
      </c>
      <c r="N63" s="1713" t="str">
        <f>IF(TBIn!AP28=0,"",TBIn!AP28)</f>
        <v/>
      </c>
      <c r="O63" s="2720"/>
      <c r="P63" s="1586" t="s">
        <v>1190</v>
      </c>
      <c r="Q63" s="156">
        <v>390</v>
      </c>
      <c r="R63" s="2572">
        <f>TBIn!E1132</f>
        <v>0</v>
      </c>
      <c r="S63" s="80">
        <v>60</v>
      </c>
    </row>
    <row r="64" spans="1:20" ht="13">
      <c r="A64" s="58"/>
      <c r="B64" s="75">
        <v>61</v>
      </c>
      <c r="C64" s="101" t="s">
        <v>116</v>
      </c>
      <c r="D64" s="131" t="s">
        <v>110</v>
      </c>
      <c r="E64" s="1567" t="s">
        <v>1151</v>
      </c>
      <c r="F64" s="1545"/>
      <c r="G64" s="1545"/>
      <c r="H64" s="105">
        <v>294</v>
      </c>
      <c r="I64" s="2570">
        <f>TBIn!E1100</f>
        <v>0</v>
      </c>
      <c r="J64" s="1434" t="s">
        <v>580</v>
      </c>
      <c r="K64" s="1710" t="str">
        <f>IF(TBIn!AM29=0,"",TBIn!AM29)</f>
        <v/>
      </c>
      <c r="L64" s="1711" t="str">
        <f>IF(TBIn!AN29=0,"",TBIn!AN29)</f>
        <v/>
      </c>
      <c r="M64" s="1712" t="str">
        <f>IF(TBIn!AO29=0,"",TBIn!AO29)</f>
        <v/>
      </c>
      <c r="N64" s="1713" t="str">
        <f>IF(TBIn!AP29=0,"",TBIn!AP29)</f>
        <v/>
      </c>
      <c r="O64" s="2720"/>
      <c r="P64" s="1168" t="s">
        <v>1191</v>
      </c>
      <c r="Q64" s="156"/>
      <c r="R64" s="2671">
        <f>IF(TBIn!E1133&lt;&gt;0,TBIn!E1133,IF(OR(I68-(SUM(R52:R63)+R66+R45)&lt;-100,I68-(SUM(R52:R63)+R66+R45)&gt;100),0,I68-(SUM(R52:R63)+R66+R45)))</f>
        <v>5</v>
      </c>
      <c r="S64" s="80">
        <v>61</v>
      </c>
      <c r="T64" s="652"/>
    </row>
    <row r="65" spans="1:32" ht="13">
      <c r="A65" s="58"/>
      <c r="B65" s="75">
        <v>62</v>
      </c>
      <c r="C65" s="101" t="s">
        <v>114</v>
      </c>
      <c r="D65" s="131" t="s">
        <v>122</v>
      </c>
      <c r="E65" s="1567" t="s">
        <v>1152</v>
      </c>
      <c r="F65" s="1545"/>
      <c r="G65" s="1545"/>
      <c r="H65" s="105">
        <v>296</v>
      </c>
      <c r="I65" s="2562">
        <f>TBIn!E1101</f>
        <v>2974795</v>
      </c>
      <c r="J65" s="1435" t="s">
        <v>15616</v>
      </c>
      <c r="K65" s="1436">
        <f>SUM(K53:K64)</f>
        <v>220</v>
      </c>
      <c r="L65" s="1476">
        <f>SUM(L53:L64)</f>
        <v>186</v>
      </c>
      <c r="M65" s="1477">
        <f>SUM(M53:M64)</f>
        <v>46</v>
      </c>
      <c r="N65" s="1478">
        <f>SUM(N53:N64)</f>
        <v>470301</v>
      </c>
      <c r="O65" s="2721"/>
      <c r="P65" s="1169"/>
      <c r="Q65" s="158"/>
      <c r="R65" s="140"/>
      <c r="S65" s="80">
        <v>62</v>
      </c>
    </row>
    <row r="66" spans="1:32" ht="12.5">
      <c r="B66" s="75">
        <v>63</v>
      </c>
      <c r="C66" s="101" t="s">
        <v>157</v>
      </c>
      <c r="D66" s="170" t="s">
        <v>120</v>
      </c>
      <c r="E66" s="171"/>
      <c r="F66" s="1152"/>
      <c r="G66" s="1152"/>
      <c r="H66" s="172"/>
      <c r="I66" s="540"/>
      <c r="J66" s="1580" t="s">
        <v>15617</v>
      </c>
      <c r="K66" s="1580"/>
      <c r="L66" s="1580"/>
      <c r="M66" s="1587"/>
      <c r="N66" s="1587"/>
      <c r="O66" s="76"/>
      <c r="P66" s="76"/>
      <c r="Q66" s="95">
        <v>399</v>
      </c>
      <c r="R66" s="696">
        <f>Page2!J68</f>
        <v>470300</v>
      </c>
      <c r="S66" s="80">
        <v>63</v>
      </c>
    </row>
    <row r="67" spans="1:32" ht="12.5">
      <c r="A67" s="58"/>
      <c r="B67" s="75">
        <v>64</v>
      </c>
      <c r="C67" s="173"/>
      <c r="D67" s="174" t="s">
        <v>124</v>
      </c>
      <c r="E67" s="1151" t="s">
        <v>15618</v>
      </c>
      <c r="F67" s="130"/>
      <c r="G67" s="130"/>
      <c r="H67" s="175"/>
      <c r="I67" s="541">
        <f>SUM(I62:I66)</f>
        <v>2974795</v>
      </c>
      <c r="J67" s="298" t="s">
        <v>15619</v>
      </c>
      <c r="K67" s="176"/>
      <c r="L67" s="176"/>
      <c r="M67" s="176"/>
      <c r="N67" s="176"/>
      <c r="O67" s="176"/>
      <c r="P67" s="176"/>
      <c r="Q67" s="177"/>
      <c r="R67" s="697">
        <f>SUM(R52:R63)+R66+R64</f>
        <v>4810116</v>
      </c>
      <c r="S67" s="80">
        <v>64</v>
      </c>
    </row>
    <row r="68" spans="1:32" ht="12.5">
      <c r="B68" s="178">
        <v>65</v>
      </c>
      <c r="C68" s="1151" t="s">
        <v>1153</v>
      </c>
      <c r="D68" s="130"/>
      <c r="E68" s="130"/>
      <c r="F68" s="130"/>
      <c r="G68" s="130"/>
      <c r="H68" s="175"/>
      <c r="I68" s="2670">
        <f>IF(Flag=TRUE,I47+I60+I67,TBIn!E1102)</f>
        <v>30252650</v>
      </c>
      <c r="J68" s="298" t="s">
        <v>1192</v>
      </c>
      <c r="K68" s="176"/>
      <c r="L68" s="176"/>
      <c r="M68" s="176"/>
      <c r="N68" s="176"/>
      <c r="O68" s="176"/>
      <c r="P68" s="176"/>
      <c r="Q68" s="177"/>
      <c r="R68" s="2672">
        <f>IF(Flag=TRUE,R45+R67,TBIn!E1134)</f>
        <v>30252650</v>
      </c>
      <c r="S68" s="179">
        <v>65</v>
      </c>
      <c r="V68" s="677"/>
    </row>
    <row r="69" spans="1:32" ht="12.5">
      <c r="P69" s="698"/>
      <c r="Q69" s="698"/>
      <c r="R69" s="699"/>
    </row>
    <row r="70" spans="1:32" ht="12.5">
      <c r="I70" s="546"/>
      <c r="L70" s="576"/>
      <c r="M70" s="576"/>
      <c r="N70" s="739"/>
      <c r="O70" s="576"/>
      <c r="P70" s="576"/>
      <c r="Q70" s="576"/>
      <c r="R70" s="576"/>
      <c r="S70" s="576"/>
      <c r="T70" s="576"/>
      <c r="U70" s="576"/>
      <c r="V70" s="576"/>
      <c r="W70" s="576"/>
      <c r="X70" s="576"/>
      <c r="Y70" s="576"/>
      <c r="Z70" s="576"/>
      <c r="AA70" s="576"/>
      <c r="AB70" s="576"/>
      <c r="AC70" s="576"/>
      <c r="AD70" s="576"/>
      <c r="AE70" s="576"/>
      <c r="AF70" s="576"/>
    </row>
    <row r="71" spans="1:32" ht="13" hidden="1">
      <c r="E71" s="700"/>
      <c r="F71" s="700"/>
      <c r="H71" s="700"/>
      <c r="I71" s="546"/>
      <c r="L71" s="737"/>
      <c r="M71" s="576"/>
      <c r="N71" s="845"/>
      <c r="O71" s="576"/>
      <c r="P71" s="846"/>
      <c r="Q71" s="845"/>
      <c r="R71" s="846"/>
      <c r="S71" s="846"/>
      <c r="T71" s="846"/>
      <c r="U71" s="846"/>
      <c r="V71" s="846"/>
      <c r="W71" s="846"/>
      <c r="X71" s="846"/>
      <c r="Y71" s="846"/>
      <c r="Z71" s="846"/>
      <c r="AA71" s="846"/>
      <c r="AB71" s="846"/>
      <c r="AC71" s="846"/>
      <c r="AD71" s="846"/>
      <c r="AE71" s="846"/>
      <c r="AF71" s="846"/>
    </row>
    <row r="72" spans="1:32" ht="12.5" hidden="1">
      <c r="E72" s="546"/>
      <c r="G72" s="546"/>
      <c r="H72" s="700"/>
      <c r="I72" s="546"/>
      <c r="L72" s="576"/>
      <c r="M72" s="576"/>
      <c r="N72" s="576"/>
      <c r="O72" s="576"/>
      <c r="P72" s="546"/>
      <c r="Q72" s="737"/>
      <c r="R72" s="546"/>
      <c r="S72" s="576"/>
      <c r="T72" s="844"/>
      <c r="U72" s="844"/>
      <c r="V72" s="844"/>
      <c r="W72" s="844"/>
      <c r="X72" s="844"/>
      <c r="Y72" s="844"/>
      <c r="Z72" s="844"/>
      <c r="AA72" s="844"/>
      <c r="AB72" s="844"/>
      <c r="AC72" s="844"/>
      <c r="AD72" s="576"/>
      <c r="AE72" s="576"/>
      <c r="AF72" s="576"/>
    </row>
    <row r="73" spans="1:32" ht="12.5" hidden="1">
      <c r="E73" s="700"/>
      <c r="F73" s="546"/>
      <c r="G73" s="546"/>
      <c r="H73" s="547"/>
      <c r="I73" s="546"/>
      <c r="J73" s="700"/>
      <c r="L73" s="576"/>
      <c r="M73" s="576"/>
      <c r="N73" s="576"/>
      <c r="O73" s="576"/>
      <c r="P73" s="549"/>
      <c r="Q73" s="576"/>
      <c r="R73" s="549"/>
      <c r="S73" s="549"/>
      <c r="T73" s="549"/>
      <c r="U73" s="549"/>
      <c r="V73" s="549"/>
      <c r="W73" s="549"/>
      <c r="X73" s="549"/>
      <c r="Y73" s="549"/>
      <c r="Z73" s="549"/>
      <c r="AA73" s="549"/>
      <c r="AB73" s="549"/>
      <c r="AC73" s="549"/>
      <c r="AD73" s="549"/>
      <c r="AE73" s="549"/>
      <c r="AF73" s="576"/>
    </row>
    <row r="74" spans="1:32" ht="12.5" hidden="1">
      <c r="E74" s="546"/>
      <c r="F74" s="546"/>
      <c r="G74" s="547"/>
      <c r="H74" s="547"/>
      <c r="I74" s="547"/>
      <c r="J74" s="700"/>
      <c r="L74" s="576"/>
      <c r="M74" s="576"/>
      <c r="N74" s="576"/>
      <c r="O74" s="576"/>
      <c r="P74" s="549"/>
      <c r="Q74" s="576"/>
      <c r="R74" s="549"/>
      <c r="S74" s="549"/>
      <c r="T74" s="549"/>
      <c r="U74" s="549"/>
      <c r="V74" s="549"/>
      <c r="W74" s="549"/>
      <c r="X74" s="549"/>
      <c r="Y74" s="549"/>
      <c r="Z74" s="549"/>
      <c r="AA74" s="549"/>
      <c r="AB74" s="549"/>
      <c r="AC74" s="549"/>
      <c r="AD74" s="549"/>
      <c r="AE74" s="549"/>
      <c r="AF74" s="576"/>
    </row>
    <row r="75" spans="1:32" ht="12.5" hidden="1">
      <c r="E75" s="30"/>
      <c r="F75" s="30"/>
      <c r="G75" s="30"/>
      <c r="H75" s="546"/>
      <c r="I75" s="549"/>
      <c r="J75" s="838"/>
      <c r="L75" s="576"/>
      <c r="M75" s="576"/>
      <c r="N75" s="576"/>
      <c r="O75" s="576"/>
      <c r="P75" s="549"/>
      <c r="Q75" s="576"/>
      <c r="R75" s="549"/>
      <c r="S75" s="549"/>
      <c r="T75" s="549"/>
      <c r="U75" s="549"/>
      <c r="V75" s="549"/>
      <c r="W75" s="549"/>
      <c r="X75" s="549"/>
      <c r="Y75" s="549"/>
      <c r="Z75" s="549"/>
      <c r="AA75" s="576"/>
      <c r="AB75" s="549"/>
      <c r="AC75" s="549"/>
      <c r="AD75" s="549"/>
      <c r="AE75" s="549"/>
      <c r="AF75" s="576"/>
    </row>
    <row r="76" spans="1:32" ht="12.5" hidden="1">
      <c r="E76" s="30"/>
      <c r="F76" s="30"/>
      <c r="G76" s="30"/>
      <c r="H76" s="546"/>
      <c r="I76" s="549"/>
      <c r="J76" s="839"/>
      <c r="L76" s="576"/>
      <c r="M76" s="576"/>
      <c r="N76" s="576"/>
      <c r="O76" s="576"/>
      <c r="P76" s="549"/>
      <c r="Q76" s="576"/>
      <c r="R76" s="549"/>
      <c r="S76" s="549"/>
      <c r="T76" s="549"/>
      <c r="U76" s="549"/>
      <c r="V76" s="549"/>
      <c r="W76" s="549"/>
      <c r="X76" s="549"/>
      <c r="Y76" s="549"/>
      <c r="Z76" s="549"/>
      <c r="AA76" s="549"/>
      <c r="AB76" s="549"/>
      <c r="AC76" s="549"/>
      <c r="AD76" s="549"/>
      <c r="AE76" s="549"/>
      <c r="AF76" s="576"/>
    </row>
    <row r="77" spans="1:32" ht="12.5" hidden="1">
      <c r="E77" s="546"/>
      <c r="F77" s="576"/>
      <c r="G77" s="548"/>
      <c r="H77" s="546"/>
      <c r="I77" s="549"/>
      <c r="J77" s="839"/>
      <c r="L77" s="576"/>
      <c r="M77" s="576"/>
      <c r="N77" s="576"/>
      <c r="O77" s="576"/>
      <c r="P77" s="549"/>
      <c r="Q77" s="576"/>
      <c r="R77" s="549"/>
      <c r="S77" s="549"/>
      <c r="T77" s="549"/>
      <c r="U77" s="549"/>
      <c r="V77" s="549"/>
      <c r="W77" s="549"/>
      <c r="X77" s="549"/>
      <c r="Y77" s="549"/>
      <c r="Z77" s="549"/>
      <c r="AA77" s="549"/>
      <c r="AB77" s="549"/>
      <c r="AC77" s="549"/>
      <c r="AD77" s="549"/>
      <c r="AE77" s="549"/>
      <c r="AF77" s="576"/>
    </row>
    <row r="78" spans="1:32" ht="12.5" hidden="1">
      <c r="E78" s="546"/>
      <c r="F78" s="576"/>
      <c r="G78" s="548"/>
      <c r="H78" s="546"/>
      <c r="I78" s="549"/>
      <c r="J78" s="839"/>
      <c r="L78" s="576"/>
      <c r="M78" s="576"/>
      <c r="N78" s="576"/>
      <c r="O78" s="576"/>
      <c r="P78" s="549"/>
      <c r="Q78" s="576"/>
      <c r="R78" s="549"/>
      <c r="S78" s="549"/>
      <c r="T78" s="549"/>
      <c r="U78" s="549"/>
      <c r="V78" s="549"/>
      <c r="W78" s="549"/>
      <c r="X78" s="549"/>
      <c r="Y78" s="549"/>
      <c r="Z78" s="549"/>
      <c r="AA78" s="549"/>
      <c r="AB78" s="549"/>
      <c r="AC78" s="549"/>
      <c r="AD78" s="549"/>
      <c r="AE78" s="549"/>
      <c r="AF78" s="576"/>
    </row>
    <row r="79" spans="1:32" ht="12.5" hidden="1">
      <c r="E79" s="546"/>
      <c r="F79" s="576"/>
      <c r="G79" s="548"/>
      <c r="H79" s="546"/>
      <c r="I79" s="549"/>
      <c r="J79" s="839"/>
      <c r="L79" s="576"/>
      <c r="M79" s="576"/>
      <c r="N79" s="576"/>
      <c r="O79" s="576"/>
      <c r="P79" s="549"/>
      <c r="Q79" s="576"/>
      <c r="R79" s="549"/>
      <c r="S79" s="549"/>
      <c r="T79" s="549"/>
      <c r="U79" s="549"/>
      <c r="V79" s="549"/>
      <c r="W79" s="549"/>
      <c r="X79" s="549"/>
      <c r="Y79" s="549"/>
      <c r="Z79" s="549"/>
      <c r="AA79" s="549"/>
      <c r="AB79" s="549"/>
      <c r="AC79" s="549"/>
      <c r="AD79" s="549"/>
      <c r="AE79" s="549"/>
      <c r="AF79" s="576"/>
    </row>
    <row r="80" spans="1:32" ht="12.5" hidden="1">
      <c r="E80" s="546"/>
      <c r="F80" s="576"/>
      <c r="G80" s="548"/>
      <c r="H80" s="546"/>
      <c r="I80" s="549"/>
      <c r="J80" s="839"/>
      <c r="L80" s="576"/>
      <c r="M80" s="576"/>
      <c r="N80" s="576"/>
      <c r="O80" s="576"/>
      <c r="P80" s="565"/>
      <c r="Q80" s="576"/>
      <c r="R80" s="565"/>
      <c r="S80" s="549"/>
      <c r="T80" s="565"/>
      <c r="U80" s="565"/>
      <c r="V80" s="565"/>
      <c r="W80" s="565"/>
      <c r="X80" s="565"/>
      <c r="Y80" s="565"/>
      <c r="Z80" s="565"/>
      <c r="AA80" s="565"/>
      <c r="AB80" s="565"/>
      <c r="AC80" s="565"/>
      <c r="AD80" s="565"/>
      <c r="AE80" s="565"/>
      <c r="AF80" s="576"/>
    </row>
    <row r="81" spans="4:32" ht="12.5" hidden="1">
      <c r="E81" s="546"/>
      <c r="F81" s="576"/>
      <c r="G81" s="548"/>
      <c r="H81" s="546"/>
      <c r="I81" s="549"/>
      <c r="J81" s="839"/>
      <c r="L81" s="576"/>
      <c r="M81" s="576"/>
      <c r="N81" s="576"/>
      <c r="O81" s="576"/>
      <c r="P81" s="598"/>
      <c r="Q81" s="576"/>
      <c r="R81" s="598"/>
      <c r="S81" s="549"/>
      <c r="T81" s="598"/>
      <c r="U81" s="598"/>
      <c r="V81" s="598"/>
      <c r="W81" s="598"/>
      <c r="X81" s="598"/>
      <c r="Y81" s="598"/>
      <c r="Z81" s="598"/>
      <c r="AA81" s="598"/>
      <c r="AB81" s="598"/>
      <c r="AC81" s="598"/>
      <c r="AD81" s="598"/>
      <c r="AE81" s="598"/>
      <c r="AF81" s="576"/>
    </row>
    <row r="82" spans="4:32" ht="12.5" hidden="1">
      <c r="E82" s="546"/>
      <c r="F82" s="576"/>
      <c r="G82" s="548"/>
      <c r="H82" s="546"/>
      <c r="I82" s="549"/>
      <c r="J82" s="839"/>
      <c r="N82" s="653"/>
      <c r="P82" s="652"/>
      <c r="R82" s="549"/>
      <c r="S82" s="549"/>
      <c r="T82" s="549"/>
      <c r="U82" s="549"/>
      <c r="V82" s="549"/>
      <c r="W82" s="549"/>
      <c r="X82" s="549"/>
      <c r="Y82" s="549"/>
      <c r="Z82" s="549"/>
      <c r="AA82" s="549"/>
      <c r="AB82" s="549"/>
      <c r="AC82" s="549"/>
      <c r="AD82" s="549"/>
      <c r="AE82" s="549"/>
    </row>
    <row r="83" spans="4:32" ht="12.5" hidden="1">
      <c r="E83" s="546"/>
      <c r="F83" s="576"/>
      <c r="G83" s="548"/>
      <c r="H83" s="546"/>
      <c r="I83" s="549"/>
      <c r="J83" s="839"/>
      <c r="N83" s="653"/>
      <c r="P83" s="652"/>
      <c r="R83" s="701"/>
      <c r="T83" s="652"/>
      <c r="U83" s="701"/>
      <c r="V83" s="652"/>
      <c r="W83" s="701"/>
      <c r="X83" s="652"/>
      <c r="Y83" s="701"/>
    </row>
    <row r="84" spans="4:32" ht="12.5" hidden="1">
      <c r="E84" s="546"/>
      <c r="F84" s="576"/>
      <c r="G84" s="548"/>
      <c r="H84" s="546"/>
      <c r="I84" s="549"/>
      <c r="J84" s="839"/>
      <c r="N84" s="653"/>
      <c r="P84" s="652"/>
      <c r="R84" s="701"/>
      <c r="T84" s="652"/>
      <c r="U84" s="701"/>
      <c r="V84" s="652"/>
      <c r="W84" s="701"/>
      <c r="X84" s="652"/>
      <c r="Y84" s="701"/>
    </row>
    <row r="85" spans="4:32" ht="12.5" hidden="1">
      <c r="E85" s="546"/>
      <c r="F85" s="576"/>
      <c r="G85" s="548"/>
      <c r="H85" s="546"/>
      <c r="I85" s="549"/>
      <c r="J85" s="839"/>
      <c r="N85" s="653"/>
      <c r="P85" s="652"/>
      <c r="R85" s="701"/>
      <c r="T85" s="652"/>
      <c r="U85" s="701"/>
      <c r="V85" s="652"/>
      <c r="W85" s="701"/>
      <c r="X85" s="652"/>
      <c r="Y85" s="701"/>
    </row>
    <row r="86" spans="4:32" ht="12.5" hidden="1">
      <c r="E86" s="546"/>
      <c r="F86" s="576"/>
      <c r="G86" s="548"/>
      <c r="H86" s="546"/>
      <c r="I86" s="549"/>
      <c r="J86" s="839"/>
      <c r="N86" s="653"/>
      <c r="P86" s="652"/>
      <c r="R86" s="701"/>
      <c r="T86" s="652"/>
      <c r="U86" s="701"/>
      <c r="V86" s="652"/>
      <c r="W86" s="701"/>
      <c r="X86" s="652"/>
      <c r="Y86" s="701"/>
    </row>
    <row r="87" spans="4:32" ht="12.5" hidden="1">
      <c r="E87" s="546"/>
      <c r="F87" s="576"/>
      <c r="G87" s="548"/>
      <c r="H87" s="546"/>
      <c r="I87" s="549"/>
      <c r="J87" s="840"/>
      <c r="N87" s="653"/>
      <c r="P87" s="652"/>
      <c r="R87" s="701"/>
      <c r="T87" s="652"/>
      <c r="U87" s="701"/>
      <c r="V87" s="652"/>
      <c r="W87" s="701"/>
      <c r="X87" s="652"/>
      <c r="Y87" s="701"/>
    </row>
    <row r="88" spans="4:32" ht="12.5" hidden="1">
      <c r="E88" s="546"/>
      <c r="F88" s="576"/>
      <c r="G88" s="548"/>
      <c r="H88" s="546"/>
      <c r="I88" s="549"/>
      <c r="J88" s="840"/>
      <c r="N88" s="653"/>
      <c r="P88" s="652"/>
      <c r="R88" s="701"/>
      <c r="T88" s="652"/>
      <c r="U88" s="701"/>
      <c r="V88" s="652"/>
      <c r="W88" s="701"/>
      <c r="X88" s="652"/>
      <c r="Y88" s="701"/>
    </row>
    <row r="89" spans="4:32" ht="12.5" hidden="1">
      <c r="E89" s="546"/>
      <c r="G89" s="548"/>
      <c r="H89" s="546"/>
      <c r="I89" s="549"/>
      <c r="J89" s="840"/>
      <c r="N89" s="653"/>
      <c r="P89" s="652"/>
      <c r="R89" s="701"/>
      <c r="T89" s="652"/>
      <c r="U89" s="701"/>
      <c r="V89" s="652"/>
      <c r="W89" s="701"/>
      <c r="X89" s="652"/>
      <c r="Y89" s="701"/>
    </row>
    <row r="90" spans="4:32" ht="12.5" hidden="1">
      <c r="J90" s="8"/>
      <c r="N90" s="653"/>
      <c r="P90" s="652"/>
      <c r="R90" s="701"/>
      <c r="T90" s="652"/>
      <c r="U90" s="701"/>
      <c r="V90" s="652"/>
      <c r="W90" s="701"/>
      <c r="X90" s="652"/>
      <c r="Y90" s="701"/>
    </row>
    <row r="91" spans="4:32" ht="12.5" hidden="1">
      <c r="E91" s="568" t="s">
        <v>15620</v>
      </c>
      <c r="G91" s="598">
        <f>TBIn!E2460-TBIn!E4+1</f>
        <v>4</v>
      </c>
      <c r="I91" s="713" t="s">
        <v>15621</v>
      </c>
      <c r="J91" s="543"/>
      <c r="N91" s="544"/>
      <c r="P91" s="542"/>
      <c r="R91" s="542"/>
      <c r="T91" s="652"/>
      <c r="U91" s="652"/>
      <c r="V91" s="652"/>
      <c r="W91" s="652"/>
      <c r="X91" s="652"/>
      <c r="Y91" s="652"/>
    </row>
    <row r="92" spans="4:32" ht="12.5" hidden="1">
      <c r="D92" s="703"/>
      <c r="E92" s="704" t="s">
        <v>15622</v>
      </c>
      <c r="F92" s="704"/>
      <c r="G92" s="705"/>
      <c r="I92" s="843" t="b">
        <v>0</v>
      </c>
      <c r="N92" s="653"/>
      <c r="T92" s="652"/>
      <c r="V92" s="652"/>
    </row>
    <row r="93" spans="4:32" ht="14" hidden="1">
      <c r="D93" s="706"/>
      <c r="E93" s="568" t="s">
        <v>94</v>
      </c>
      <c r="G93" s="707"/>
      <c r="H93" s="576"/>
      <c r="I93" s="1734" t="str">
        <f>C3</f>
        <v>Autre DSP</v>
      </c>
      <c r="J93" s="576"/>
      <c r="K93" s="576"/>
      <c r="L93" s="576"/>
      <c r="M93" s="1735">
        <f>IFERROR(VLOOKUP(I93,$I$94:$M$158,5,FALSE),0)</f>
        <v>998</v>
      </c>
      <c r="N93" s="576" t="s">
        <v>15623</v>
      </c>
      <c r="O93" s="1736" t="str">
        <f>IF(OR(TBIn!$AT$5="",TBIn!$AT$5=0),"----- select an input method / DSP -----",VLOOKUP(TBIn!$AT$5,$H$94:$I$123,2,FALSE))</f>
        <v>Autre DSP</v>
      </c>
      <c r="P93" s="1737"/>
      <c r="Q93" s="1738"/>
      <c r="R93" s="1739"/>
      <c r="S93" s="1070" t="s">
        <v>15624</v>
      </c>
    </row>
    <row r="94" spans="4:32" ht="14" hidden="1">
      <c r="D94" s="706">
        <v>0</v>
      </c>
      <c r="E94" s="568">
        <v>0</v>
      </c>
      <c r="F94" s="568">
        <v>2004</v>
      </c>
      <c r="G94" s="707">
        <v>1</v>
      </c>
      <c r="H94" s="1740">
        <f>M94</f>
        <v>0</v>
      </c>
      <c r="I94" s="1741" t="s">
        <v>15625</v>
      </c>
      <c r="J94" s="1742"/>
      <c r="K94" s="1742"/>
      <c r="L94" s="1742"/>
      <c r="M94" s="1743">
        <v>0</v>
      </c>
      <c r="N94" s="576"/>
      <c r="O94" s="576"/>
      <c r="P94" s="483"/>
      <c r="Q94" s="576"/>
      <c r="R94" s="576"/>
      <c r="S94" s="576"/>
    </row>
    <row r="95" spans="4:32" ht="14" hidden="1">
      <c r="D95" s="706">
        <v>1</v>
      </c>
      <c r="E95" s="576" t="s">
        <v>15626</v>
      </c>
      <c r="F95" s="568">
        <v>2005</v>
      </c>
      <c r="G95" s="707">
        <v>2</v>
      </c>
      <c r="H95" s="717">
        <f>M95</f>
        <v>1</v>
      </c>
      <c r="I95" s="1750" t="s">
        <v>15627</v>
      </c>
      <c r="J95" s="576"/>
      <c r="K95" s="576"/>
      <c r="L95" s="576"/>
      <c r="M95" s="1744">
        <v>1</v>
      </c>
      <c r="N95" s="576"/>
      <c r="O95" s="576"/>
      <c r="P95" s="576"/>
      <c r="Q95" s="576"/>
      <c r="R95" s="576"/>
      <c r="S95" s="576"/>
    </row>
    <row r="96" spans="4:32" ht="14" hidden="1">
      <c r="D96" s="706">
        <v>2</v>
      </c>
      <c r="E96" s="576" t="s">
        <v>15628</v>
      </c>
      <c r="F96" s="568">
        <v>2006</v>
      </c>
      <c r="G96" s="707">
        <v>3</v>
      </c>
      <c r="H96" s="717">
        <f t="shared" ref="H96:H108" si="1">M96</f>
        <v>2</v>
      </c>
      <c r="I96" s="1750" t="s">
        <v>15629</v>
      </c>
      <c r="J96" s="576"/>
      <c r="K96" s="576"/>
      <c r="L96" s="576"/>
      <c r="M96" s="1744">
        <v>2</v>
      </c>
      <c r="N96" s="576"/>
      <c r="O96" s="576"/>
      <c r="P96" s="576"/>
      <c r="Q96" s="576"/>
      <c r="R96" s="576"/>
      <c r="S96" s="576"/>
    </row>
    <row r="97" spans="4:19" ht="14" hidden="1">
      <c r="D97" s="706">
        <v>3</v>
      </c>
      <c r="E97" s="576" t="s">
        <v>15630</v>
      </c>
      <c r="F97" s="568">
        <v>2007</v>
      </c>
      <c r="G97" s="707">
        <v>4</v>
      </c>
      <c r="H97" s="717">
        <f t="shared" si="1"/>
        <v>3</v>
      </c>
      <c r="I97" s="1750" t="s">
        <v>15631</v>
      </c>
      <c r="J97" s="576"/>
      <c r="K97" s="576"/>
      <c r="L97" s="576"/>
      <c r="M97" s="1744">
        <v>3</v>
      </c>
      <c r="N97" s="576"/>
      <c r="O97" s="576"/>
      <c r="P97" s="576"/>
      <c r="Q97" s="576"/>
      <c r="R97" s="576"/>
      <c r="S97" s="30"/>
    </row>
    <row r="98" spans="4:19" ht="14" hidden="1">
      <c r="D98" s="706">
        <v>4</v>
      </c>
      <c r="E98" s="576" t="s">
        <v>15632</v>
      </c>
      <c r="F98" s="568">
        <v>2008</v>
      </c>
      <c r="G98" s="707">
        <v>5</v>
      </c>
      <c r="H98" s="717">
        <f t="shared" si="1"/>
        <v>4</v>
      </c>
      <c r="I98" s="1750" t="s">
        <v>15633</v>
      </c>
      <c r="J98" s="576"/>
      <c r="K98" s="576"/>
      <c r="L98" s="576"/>
      <c r="M98" s="1744">
        <v>4</v>
      </c>
      <c r="N98" s="576"/>
      <c r="O98" s="576"/>
      <c r="P98" s="576"/>
      <c r="Q98" s="576"/>
      <c r="R98" s="576"/>
      <c r="S98" s="30"/>
    </row>
    <row r="99" spans="4:19" ht="14" hidden="1">
      <c r="D99" s="706">
        <v>5</v>
      </c>
      <c r="E99" s="576" t="s">
        <v>15634</v>
      </c>
      <c r="F99" s="568">
        <v>2009</v>
      </c>
      <c r="G99" s="707">
        <v>6</v>
      </c>
      <c r="H99" s="2177">
        <f t="shared" si="1"/>
        <v>5</v>
      </c>
      <c r="I99" s="1751" t="s">
        <v>15635</v>
      </c>
      <c r="J99" s="677"/>
      <c r="K99" s="677"/>
      <c r="L99" s="677"/>
      <c r="M99" s="2178">
        <v>5</v>
      </c>
      <c r="N99" s="576"/>
      <c r="O99" s="576"/>
      <c r="P99" s="576"/>
      <c r="Q99" s="576"/>
      <c r="R99" s="576"/>
      <c r="S99" s="30"/>
    </row>
    <row r="100" spans="4:19" ht="14" hidden="1">
      <c r="D100" s="706">
        <v>6</v>
      </c>
      <c r="E100" s="576" t="s">
        <v>15636</v>
      </c>
      <c r="F100" s="568">
        <v>2010</v>
      </c>
      <c r="G100" s="707">
        <v>7</v>
      </c>
      <c r="H100" s="717">
        <f t="shared" si="1"/>
        <v>6</v>
      </c>
      <c r="I100" s="1750" t="s">
        <v>15637</v>
      </c>
      <c r="J100" s="576"/>
      <c r="K100" s="576"/>
      <c r="L100" s="576"/>
      <c r="M100" s="1744">
        <v>6</v>
      </c>
      <c r="N100" s="576"/>
      <c r="O100" s="576"/>
      <c r="P100" s="576"/>
      <c r="Q100" s="576"/>
      <c r="R100" s="576"/>
      <c r="S100" s="30"/>
    </row>
    <row r="101" spans="4:19" ht="14" hidden="1">
      <c r="D101" s="706">
        <v>7</v>
      </c>
      <c r="E101" s="576" t="s">
        <v>15638</v>
      </c>
      <c r="F101" s="568">
        <v>2011</v>
      </c>
      <c r="G101" s="707">
        <v>8</v>
      </c>
      <c r="H101" s="717">
        <f t="shared" si="1"/>
        <v>7</v>
      </c>
      <c r="I101" s="1750" t="s">
        <v>15639</v>
      </c>
      <c r="J101" s="576"/>
      <c r="K101" s="576"/>
      <c r="L101" s="576"/>
      <c r="M101" s="1744">
        <v>7</v>
      </c>
      <c r="N101" s="576"/>
      <c r="O101" s="576"/>
      <c r="P101" s="576"/>
      <c r="Q101" s="576"/>
      <c r="R101" s="576"/>
      <c r="S101" s="30"/>
    </row>
    <row r="102" spans="4:19" ht="14" hidden="1">
      <c r="D102" s="706">
        <v>8</v>
      </c>
      <c r="E102" s="576" t="s">
        <v>15640</v>
      </c>
      <c r="F102" s="568">
        <v>2012</v>
      </c>
      <c r="G102" s="707">
        <v>9</v>
      </c>
      <c r="H102" s="717">
        <f t="shared" si="1"/>
        <v>8</v>
      </c>
      <c r="I102" s="1750" t="s">
        <v>15641</v>
      </c>
      <c r="J102" s="576"/>
      <c r="K102" s="576"/>
      <c r="L102" s="576"/>
      <c r="M102" s="1744">
        <v>8</v>
      </c>
      <c r="N102" s="576"/>
      <c r="O102" s="576"/>
      <c r="P102" s="576"/>
      <c r="Q102" s="576"/>
      <c r="R102" s="576"/>
      <c r="S102" s="30"/>
    </row>
    <row r="103" spans="4:19" ht="14" hidden="1">
      <c r="D103" s="706">
        <v>9</v>
      </c>
      <c r="E103" s="576" t="s">
        <v>15642</v>
      </c>
      <c r="F103" s="568">
        <v>2013</v>
      </c>
      <c r="G103" s="707">
        <v>10</v>
      </c>
      <c r="H103" s="717">
        <f t="shared" si="1"/>
        <v>9</v>
      </c>
      <c r="I103" s="1750" t="s">
        <v>15643</v>
      </c>
      <c r="J103" s="576"/>
      <c r="K103" s="576"/>
      <c r="L103" s="576"/>
      <c r="M103" s="1744">
        <v>9</v>
      </c>
      <c r="N103" s="576"/>
      <c r="O103" s="576"/>
      <c r="P103" s="576"/>
      <c r="Q103" s="576"/>
      <c r="R103" s="576"/>
      <c r="S103" s="30"/>
    </row>
    <row r="104" spans="4:19" ht="14" hidden="1">
      <c r="D104" s="706">
        <v>10</v>
      </c>
      <c r="E104" s="576" t="s">
        <v>15644</v>
      </c>
      <c r="F104" s="568">
        <v>2014</v>
      </c>
      <c r="G104" s="707">
        <v>11</v>
      </c>
      <c r="H104" s="717">
        <f t="shared" si="1"/>
        <v>10</v>
      </c>
      <c r="I104" s="1750" t="s">
        <v>15645</v>
      </c>
      <c r="J104" s="576"/>
      <c r="K104" s="576"/>
      <c r="L104" s="576"/>
      <c r="M104" s="1744">
        <v>10</v>
      </c>
      <c r="N104" s="576"/>
      <c r="O104" s="576"/>
      <c r="P104" s="576"/>
      <c r="Q104" s="576"/>
      <c r="R104" s="576"/>
      <c r="S104" s="30"/>
    </row>
    <row r="105" spans="4:19" ht="14" hidden="1">
      <c r="D105" s="706">
        <v>11</v>
      </c>
      <c r="E105" s="576" t="s">
        <v>15646</v>
      </c>
      <c r="F105" s="568">
        <v>2015</v>
      </c>
      <c r="G105" s="707">
        <v>12</v>
      </c>
      <c r="H105" s="717">
        <f t="shared" si="1"/>
        <v>11</v>
      </c>
      <c r="I105" s="1750" t="s">
        <v>15647</v>
      </c>
      <c r="J105" s="576"/>
      <c r="K105" s="576"/>
      <c r="L105" s="576"/>
      <c r="M105" s="1744">
        <v>11</v>
      </c>
      <c r="N105" s="576"/>
      <c r="O105" s="576"/>
      <c r="P105" s="576"/>
      <c r="Q105" s="576"/>
      <c r="R105" s="576"/>
      <c r="S105" s="30"/>
    </row>
    <row r="106" spans="4:19" ht="14" hidden="1">
      <c r="D106" s="706">
        <v>12</v>
      </c>
      <c r="E106" s="576" t="s">
        <v>15648</v>
      </c>
      <c r="F106" s="568">
        <v>2016</v>
      </c>
      <c r="G106" s="707">
        <v>13</v>
      </c>
      <c r="H106" s="717">
        <f t="shared" si="1"/>
        <v>12</v>
      </c>
      <c r="I106" s="1750" t="s">
        <v>15649</v>
      </c>
      <c r="J106" s="576"/>
      <c r="K106" s="576"/>
      <c r="L106" s="576"/>
      <c r="M106" s="1744">
        <v>12</v>
      </c>
      <c r="N106" s="576"/>
      <c r="O106" s="576"/>
      <c r="P106" s="576"/>
      <c r="Q106" s="576"/>
      <c r="R106" s="576"/>
      <c r="S106" s="30"/>
    </row>
    <row r="107" spans="4:19" ht="14" hidden="1">
      <c r="D107" s="706"/>
      <c r="F107" s="568">
        <v>2017</v>
      </c>
      <c r="G107" s="707">
        <v>14</v>
      </c>
      <c r="H107" s="2177">
        <v>13</v>
      </c>
      <c r="I107" s="2220" t="s">
        <v>15650</v>
      </c>
      <c r="J107" s="576"/>
      <c r="K107" s="576"/>
      <c r="L107" s="576"/>
      <c r="M107" s="2178">
        <v>13</v>
      </c>
      <c r="N107" s="576"/>
      <c r="O107" s="576"/>
      <c r="P107" s="576"/>
      <c r="Q107" s="576"/>
      <c r="R107" s="576"/>
      <c r="S107" s="30"/>
    </row>
    <row r="108" spans="4:19" ht="14" hidden="1">
      <c r="D108" s="706" t="s">
        <v>15651</v>
      </c>
      <c r="F108" s="568">
        <v>2018</v>
      </c>
      <c r="G108" s="707">
        <v>15</v>
      </c>
      <c r="H108" s="717">
        <f t="shared" si="1"/>
        <v>999</v>
      </c>
      <c r="I108" s="1745" t="s">
        <v>15652</v>
      </c>
      <c r="J108" s="576"/>
      <c r="K108" s="576"/>
      <c r="L108" s="576"/>
      <c r="M108" s="1744">
        <v>999</v>
      </c>
      <c r="N108" s="576"/>
      <c r="O108" s="576"/>
      <c r="P108" s="576"/>
      <c r="Q108" s="576"/>
      <c r="R108" s="576"/>
      <c r="S108" s="30"/>
    </row>
    <row r="109" spans="4:19" ht="14" hidden="1">
      <c r="D109" s="706"/>
      <c r="E109" s="568">
        <f>G7</f>
        <v>2025</v>
      </c>
      <c r="F109" s="568">
        <v>2019</v>
      </c>
      <c r="G109" s="707">
        <v>16</v>
      </c>
      <c r="H109" s="2177">
        <f>M109</f>
        <v>998</v>
      </c>
      <c r="I109" s="1745" t="s">
        <v>15653</v>
      </c>
      <c r="J109" s="677"/>
      <c r="K109" s="677"/>
      <c r="L109" s="677"/>
      <c r="M109" s="2178">
        <v>998</v>
      </c>
      <c r="N109" s="576"/>
      <c r="O109" s="576"/>
      <c r="P109" s="576"/>
      <c r="Q109" s="576"/>
      <c r="R109" s="576"/>
      <c r="S109" s="30"/>
    </row>
    <row r="110" spans="4:19" ht="14" hidden="1">
      <c r="D110" s="706"/>
      <c r="E110" s="568">
        <f>E109+1</f>
        <v>2026</v>
      </c>
      <c r="F110" s="568">
        <v>2020</v>
      </c>
      <c r="G110" s="707">
        <v>17</v>
      </c>
      <c r="H110" s="2177">
        <v>0</v>
      </c>
      <c r="I110" s="1745"/>
      <c r="J110" s="677"/>
      <c r="K110" s="677"/>
      <c r="L110" s="677"/>
      <c r="M110" s="2178">
        <v>0</v>
      </c>
      <c r="N110" s="576"/>
      <c r="O110" s="576"/>
      <c r="P110" s="576"/>
      <c r="Q110" s="576"/>
      <c r="R110" s="576"/>
      <c r="S110" s="30"/>
    </row>
    <row r="111" spans="4:19" ht="14" hidden="1">
      <c r="D111" s="706"/>
      <c r="F111" s="568">
        <v>2021</v>
      </c>
      <c r="G111" s="707">
        <v>18</v>
      </c>
      <c r="H111" s="717">
        <f>M111</f>
        <v>0</v>
      </c>
      <c r="I111" s="1745"/>
      <c r="J111" s="576"/>
      <c r="K111" s="576"/>
      <c r="L111" s="576"/>
      <c r="M111" s="1744">
        <v>0</v>
      </c>
      <c r="N111" s="576"/>
      <c r="O111" s="576"/>
      <c r="P111" s="576"/>
      <c r="Q111" s="576"/>
      <c r="R111" s="576"/>
      <c r="S111" s="30"/>
    </row>
    <row r="112" spans="4:19" ht="12.5" hidden="1">
      <c r="D112" s="706"/>
      <c r="F112" s="568">
        <v>2022</v>
      </c>
      <c r="G112" s="707">
        <v>19</v>
      </c>
      <c r="H112" s="717">
        <f>M112</f>
        <v>0</v>
      </c>
      <c r="I112" s="576"/>
      <c r="J112" s="576"/>
      <c r="K112" s="576"/>
      <c r="L112" s="576"/>
      <c r="M112" s="1744">
        <v>0</v>
      </c>
      <c r="N112" s="576"/>
      <c r="O112" s="576"/>
      <c r="P112" s="576"/>
      <c r="Q112" s="576"/>
      <c r="R112" s="576"/>
      <c r="S112" s="30"/>
    </row>
    <row r="113" spans="1:19" ht="14" hidden="1">
      <c r="D113" s="706"/>
      <c r="F113" s="568">
        <v>2023</v>
      </c>
      <c r="G113" s="707">
        <v>20</v>
      </c>
      <c r="H113" s="717">
        <f t="shared" ref="H113:H158" si="2">M113</f>
        <v>0</v>
      </c>
      <c r="I113" s="1745"/>
      <c r="J113" s="576"/>
      <c r="K113" s="576"/>
      <c r="L113" s="576"/>
      <c r="M113" s="1744">
        <v>0</v>
      </c>
      <c r="N113" s="30"/>
      <c r="O113" s="30"/>
      <c r="P113" s="30"/>
      <c r="Q113" s="30"/>
      <c r="R113" s="30"/>
      <c r="S113" s="30"/>
    </row>
    <row r="114" spans="1:19" ht="12.5" hidden="1">
      <c r="D114" s="706"/>
      <c r="F114" s="568">
        <v>2024</v>
      </c>
      <c r="G114" s="707">
        <v>21</v>
      </c>
      <c r="H114" s="717">
        <f t="shared" si="2"/>
        <v>0</v>
      </c>
      <c r="I114" s="576"/>
      <c r="J114" s="576"/>
      <c r="K114" s="576"/>
      <c r="L114" s="576"/>
      <c r="M114" s="1744">
        <v>0</v>
      </c>
      <c r="N114" s="30"/>
      <c r="O114" s="30"/>
      <c r="P114" s="30"/>
      <c r="Q114" s="30"/>
      <c r="R114" s="30"/>
      <c r="S114" s="30"/>
    </row>
    <row r="115" spans="1:19" ht="14" hidden="1">
      <c r="D115" s="706"/>
      <c r="F115" s="568">
        <v>2025</v>
      </c>
      <c r="G115" s="707">
        <v>22</v>
      </c>
      <c r="H115" s="717">
        <f t="shared" si="2"/>
        <v>0</v>
      </c>
      <c r="I115" s="1745"/>
      <c r="J115" s="576"/>
      <c r="K115" s="576"/>
      <c r="L115" s="576"/>
      <c r="M115" s="1744">
        <v>0</v>
      </c>
      <c r="N115" s="30"/>
      <c r="O115" s="30"/>
      <c r="P115" s="30"/>
      <c r="Q115" s="30"/>
      <c r="R115" s="30"/>
      <c r="S115" s="30"/>
    </row>
    <row r="116" spans="1:19" ht="14" hidden="1">
      <c r="D116" s="706"/>
      <c r="F116" s="568">
        <v>2026</v>
      </c>
      <c r="G116" s="707">
        <v>23</v>
      </c>
      <c r="H116" s="717">
        <f t="shared" si="2"/>
        <v>0</v>
      </c>
      <c r="I116" s="1745"/>
      <c r="J116" s="576"/>
      <c r="K116" s="576"/>
      <c r="L116" s="576"/>
      <c r="M116" s="1744">
        <v>0</v>
      </c>
      <c r="N116" s="30"/>
      <c r="O116" s="30"/>
      <c r="P116" s="30"/>
      <c r="Q116" s="30"/>
      <c r="R116" s="30"/>
      <c r="S116" s="30"/>
    </row>
    <row r="117" spans="1:19" ht="14" hidden="1">
      <c r="D117" s="706"/>
      <c r="F117" s="568">
        <v>2027</v>
      </c>
      <c r="G117" s="707">
        <v>24</v>
      </c>
      <c r="H117" s="717">
        <f t="shared" si="2"/>
        <v>0</v>
      </c>
      <c r="I117" s="1745"/>
      <c r="J117" s="576"/>
      <c r="K117" s="576"/>
      <c r="L117" s="576"/>
      <c r="M117" s="1744">
        <v>0</v>
      </c>
      <c r="N117" s="30"/>
      <c r="O117" s="30"/>
      <c r="P117" s="30"/>
      <c r="Q117" s="30"/>
      <c r="R117" s="30"/>
      <c r="S117" s="30"/>
    </row>
    <row r="118" spans="1:19" ht="14" hidden="1">
      <c r="D118" s="706"/>
      <c r="F118" s="568">
        <v>2028</v>
      </c>
      <c r="G118" s="707">
        <v>25</v>
      </c>
      <c r="H118" s="717">
        <f t="shared" si="2"/>
        <v>0</v>
      </c>
      <c r="I118" s="1745"/>
      <c r="J118" s="576"/>
      <c r="K118" s="576"/>
      <c r="L118" s="576"/>
      <c r="M118" s="1744">
        <v>0</v>
      </c>
      <c r="N118" s="30"/>
      <c r="O118" s="30"/>
      <c r="P118" s="30"/>
      <c r="Q118" s="30"/>
      <c r="R118" s="30"/>
      <c r="S118" s="30"/>
    </row>
    <row r="119" spans="1:19" ht="14" hidden="1">
      <c r="D119" s="706"/>
      <c r="F119" s="568">
        <v>2029</v>
      </c>
      <c r="G119" s="707">
        <v>26</v>
      </c>
      <c r="H119" s="717">
        <f t="shared" si="2"/>
        <v>0</v>
      </c>
      <c r="I119" s="1745"/>
      <c r="J119" s="576"/>
      <c r="K119" s="576"/>
      <c r="L119" s="576"/>
      <c r="M119" s="1744">
        <v>0</v>
      </c>
      <c r="N119" s="30"/>
      <c r="O119" s="30"/>
      <c r="P119" s="30"/>
      <c r="Q119" s="30"/>
      <c r="R119" s="30"/>
      <c r="S119" s="30"/>
    </row>
    <row r="120" spans="1:19" ht="14" hidden="1">
      <c r="D120" s="706"/>
      <c r="F120" s="568">
        <v>2030</v>
      </c>
      <c r="G120" s="707">
        <v>27</v>
      </c>
      <c r="H120" s="717">
        <f t="shared" si="2"/>
        <v>0</v>
      </c>
      <c r="I120" s="1745"/>
      <c r="J120" s="576"/>
      <c r="K120" s="576"/>
      <c r="L120" s="576"/>
      <c r="M120" s="1744">
        <v>0</v>
      </c>
      <c r="N120" s="30"/>
      <c r="O120" s="30"/>
      <c r="P120" s="30"/>
      <c r="Q120" s="30"/>
      <c r="R120" s="30"/>
      <c r="S120" s="30"/>
    </row>
    <row r="121" spans="1:19" ht="14" hidden="1">
      <c r="D121" s="706"/>
      <c r="F121" s="568">
        <v>2031</v>
      </c>
      <c r="G121" s="707">
        <v>28</v>
      </c>
      <c r="H121" s="717">
        <f t="shared" si="2"/>
        <v>0</v>
      </c>
      <c r="I121" s="1745"/>
      <c r="J121" s="576"/>
      <c r="K121" s="576"/>
      <c r="L121" s="576"/>
      <c r="M121" s="1744">
        <v>0</v>
      </c>
      <c r="N121" s="30"/>
      <c r="O121" s="30"/>
      <c r="P121" s="30"/>
      <c r="Q121" s="30"/>
      <c r="R121" s="30"/>
      <c r="S121" s="30"/>
    </row>
    <row r="122" spans="1:19" ht="14" hidden="1">
      <c r="D122" s="706"/>
      <c r="F122" s="568">
        <v>2032</v>
      </c>
      <c r="G122" s="707">
        <v>29</v>
      </c>
      <c r="H122" s="717">
        <f t="shared" si="2"/>
        <v>0</v>
      </c>
      <c r="I122" s="1745"/>
      <c r="J122" s="576"/>
      <c r="K122" s="576"/>
      <c r="L122" s="576"/>
      <c r="M122" s="1744">
        <v>0</v>
      </c>
      <c r="N122" s="30"/>
      <c r="O122" s="30"/>
      <c r="P122" s="30"/>
      <c r="Q122" s="30"/>
      <c r="R122" s="30"/>
      <c r="S122" s="30"/>
    </row>
    <row r="123" spans="1:19" ht="14" hidden="1">
      <c r="D123" s="706"/>
      <c r="F123" s="568">
        <v>2033</v>
      </c>
      <c r="G123" s="707">
        <v>30</v>
      </c>
      <c r="H123" s="717">
        <f t="shared" si="2"/>
        <v>0</v>
      </c>
      <c r="I123" s="1745"/>
      <c r="J123" s="576"/>
      <c r="K123" s="576"/>
      <c r="L123" s="576"/>
      <c r="M123" s="1744">
        <v>0</v>
      </c>
      <c r="N123" s="30"/>
      <c r="O123" s="30"/>
      <c r="P123" s="30"/>
      <c r="Q123" s="30"/>
      <c r="R123" s="30"/>
      <c r="S123" s="30"/>
    </row>
    <row r="124" spans="1:19" ht="14" hidden="1">
      <c r="D124" s="708"/>
      <c r="E124" s="702"/>
      <c r="F124" s="702">
        <v>2034</v>
      </c>
      <c r="G124" s="709">
        <v>31</v>
      </c>
      <c r="H124" s="717">
        <f t="shared" si="2"/>
        <v>0</v>
      </c>
      <c r="I124" s="1745"/>
      <c r="J124" s="576"/>
      <c r="K124" s="576"/>
      <c r="L124" s="576"/>
      <c r="M124" s="1744">
        <v>0</v>
      </c>
      <c r="N124" s="30"/>
      <c r="O124" s="30"/>
      <c r="P124" s="30"/>
      <c r="Q124" s="30"/>
      <c r="R124" s="30"/>
      <c r="S124" s="30"/>
    </row>
    <row r="125" spans="1:19" ht="14" hidden="1">
      <c r="H125" s="717">
        <f t="shared" si="2"/>
        <v>0</v>
      </c>
      <c r="I125" s="1745"/>
      <c r="J125" s="576"/>
      <c r="K125" s="576"/>
      <c r="L125" s="576"/>
      <c r="M125" s="1744">
        <v>0</v>
      </c>
      <c r="N125" s="30"/>
      <c r="O125" s="30"/>
      <c r="P125" s="30"/>
      <c r="Q125" s="30"/>
      <c r="R125" s="30"/>
      <c r="S125" s="30"/>
    </row>
    <row r="126" spans="1:19" ht="14" hidden="1">
      <c r="A126" s="703"/>
      <c r="B126" s="704"/>
      <c r="C126" s="704"/>
      <c r="D126" s="704"/>
      <c r="E126" s="479" t="s">
        <v>15654</v>
      </c>
      <c r="F126" s="704"/>
      <c r="G126" s="704"/>
      <c r="H126" s="717">
        <f t="shared" si="2"/>
        <v>0</v>
      </c>
      <c r="I126" s="1745"/>
      <c r="J126" s="576"/>
      <c r="K126" s="576"/>
      <c r="L126" s="576"/>
      <c r="M126" s="1744">
        <v>0</v>
      </c>
      <c r="N126" s="30"/>
      <c r="O126" s="30"/>
      <c r="P126" s="30"/>
      <c r="Q126" s="30"/>
      <c r="R126" s="30"/>
      <c r="S126" s="30"/>
    </row>
    <row r="127" spans="1:19" ht="14" hidden="1">
      <c r="A127" s="706"/>
      <c r="E127" s="568" t="s">
        <v>15655</v>
      </c>
      <c r="G127" s="710" t="e">
        <f ca="1">INFO("memused")</f>
        <v>#N/A</v>
      </c>
      <c r="H127" s="717">
        <f t="shared" si="2"/>
        <v>0</v>
      </c>
      <c r="I127" s="1745"/>
      <c r="J127" s="576"/>
      <c r="K127" s="576"/>
      <c r="L127" s="576"/>
      <c r="M127" s="1744">
        <v>0</v>
      </c>
      <c r="N127" s="30"/>
      <c r="O127" s="30"/>
      <c r="P127" s="30"/>
      <c r="Q127" s="30"/>
      <c r="R127" s="30"/>
      <c r="S127" s="30"/>
    </row>
    <row r="128" spans="1:19" ht="14" hidden="1">
      <c r="A128" s="706"/>
      <c r="E128" s="568" t="s">
        <v>15656</v>
      </c>
      <c r="G128" s="710" t="e">
        <f ca="1">INFO("memAvail")</f>
        <v>#N/A</v>
      </c>
      <c r="H128" s="717">
        <f t="shared" si="2"/>
        <v>0</v>
      </c>
      <c r="I128" s="1745"/>
      <c r="J128" s="576"/>
      <c r="K128" s="576"/>
      <c r="L128" s="576"/>
      <c r="M128" s="1744">
        <v>0</v>
      </c>
      <c r="N128" s="30"/>
      <c r="O128" s="30"/>
      <c r="P128" s="30"/>
      <c r="Q128" s="30"/>
      <c r="R128" s="30"/>
      <c r="S128" s="30"/>
    </row>
    <row r="129" spans="1:19" ht="14" hidden="1">
      <c r="A129" s="706"/>
      <c r="E129" s="568" t="s">
        <v>15657</v>
      </c>
      <c r="G129" s="710" t="e">
        <f ca="1">INFO("totmem")</f>
        <v>#N/A</v>
      </c>
      <c r="H129" s="717">
        <f t="shared" si="2"/>
        <v>0</v>
      </c>
      <c r="I129" s="1745"/>
      <c r="J129" s="576"/>
      <c r="K129" s="576"/>
      <c r="L129" s="576"/>
      <c r="M129" s="1744">
        <v>0</v>
      </c>
      <c r="N129" s="576"/>
      <c r="O129" s="30"/>
      <c r="P129" s="30"/>
      <c r="Q129" s="30"/>
      <c r="R129" s="30"/>
      <c r="S129" s="30"/>
    </row>
    <row r="130" spans="1:19" ht="14" hidden="1">
      <c r="A130" s="706"/>
      <c r="E130" s="568" t="s">
        <v>15658</v>
      </c>
      <c r="G130" s="710" t="str">
        <f ca="1">INFO("recalc")</f>
        <v>Automatique</v>
      </c>
      <c r="H130" s="717">
        <f t="shared" si="2"/>
        <v>0</v>
      </c>
      <c r="I130" s="1745"/>
      <c r="J130" s="576"/>
      <c r="K130" s="576"/>
      <c r="L130" s="576"/>
      <c r="M130" s="1744">
        <v>0</v>
      </c>
      <c r="N130" s="576"/>
      <c r="O130" s="30"/>
      <c r="P130" s="30"/>
      <c r="Q130" s="30"/>
      <c r="R130" s="30"/>
      <c r="S130" s="30"/>
    </row>
    <row r="131" spans="1:19" ht="14" hidden="1">
      <c r="A131" s="706"/>
      <c r="E131" s="568" t="s">
        <v>15659</v>
      </c>
      <c r="G131" s="710" t="str">
        <f ca="1">INFO("osversion")</f>
        <v>Windows (64-bit) NT 10.00</v>
      </c>
      <c r="H131" s="717">
        <f t="shared" si="2"/>
        <v>0</v>
      </c>
      <c r="I131" s="1745"/>
      <c r="J131" s="576"/>
      <c r="K131" s="576"/>
      <c r="L131" s="576"/>
      <c r="M131" s="1744">
        <v>0</v>
      </c>
      <c r="N131" s="576"/>
      <c r="O131" s="30"/>
      <c r="P131" s="30"/>
      <c r="Q131" s="30"/>
      <c r="R131" s="30"/>
      <c r="S131" s="30"/>
    </row>
    <row r="132" spans="1:19" ht="14" hidden="1">
      <c r="A132" s="706"/>
      <c r="E132" s="568" t="s">
        <v>12555</v>
      </c>
      <c r="G132" s="710" t="str">
        <f ca="1">INFO("release")</f>
        <v>16.0</v>
      </c>
      <c r="H132" s="717">
        <f t="shared" si="2"/>
        <v>0</v>
      </c>
      <c r="I132" s="1745"/>
      <c r="J132" s="576"/>
      <c r="K132" s="576"/>
      <c r="L132" s="576"/>
      <c r="M132" s="1744">
        <v>0</v>
      </c>
      <c r="N132" s="576"/>
      <c r="O132" s="30"/>
      <c r="P132" s="30"/>
      <c r="Q132" s="30"/>
      <c r="R132" s="30"/>
      <c r="S132" s="30"/>
    </row>
    <row r="133" spans="1:19" ht="14" hidden="1">
      <c r="A133" s="706"/>
      <c r="E133" s="576" t="s">
        <v>15660</v>
      </c>
      <c r="G133" s="718" t="str">
        <f ca="1">INFO("directory")</f>
        <v>G:\Mon disque\2025_HAWKS\2025_ANALYSES_HAWKS\</v>
      </c>
      <c r="H133" s="717">
        <f t="shared" si="2"/>
        <v>0</v>
      </c>
      <c r="I133" s="1745"/>
      <c r="J133" s="576"/>
      <c r="K133" s="576"/>
      <c r="L133" s="576"/>
      <c r="M133" s="1744">
        <v>0</v>
      </c>
      <c r="N133" s="576"/>
      <c r="O133" s="30"/>
      <c r="P133" s="30"/>
      <c r="Q133" s="30"/>
      <c r="R133" s="30"/>
      <c r="S133" s="30"/>
    </row>
    <row r="134" spans="1:19" ht="14" hidden="1">
      <c r="A134" s="576"/>
      <c r="E134" s="576" t="s">
        <v>13476</v>
      </c>
      <c r="G134" s="854" t="str">
        <f>OR_VEH!C709</f>
        <v>v222r0</v>
      </c>
      <c r="H134" s="717">
        <f t="shared" si="2"/>
        <v>0</v>
      </c>
      <c r="I134" s="1745"/>
      <c r="J134" s="576"/>
      <c r="K134" s="576"/>
      <c r="L134" s="576"/>
      <c r="M134" s="1744">
        <v>0</v>
      </c>
      <c r="N134" s="576"/>
      <c r="O134" s="30"/>
      <c r="P134" s="30"/>
      <c r="Q134" s="30"/>
      <c r="R134" s="30"/>
      <c r="S134" s="30"/>
    </row>
    <row r="135" spans="1:19" ht="14" hidden="1">
      <c r="A135" s="717"/>
      <c r="B135" s="576"/>
      <c r="E135" s="576" t="s">
        <v>15661</v>
      </c>
      <c r="G135" s="576" t="str">
        <f ca="1">MID(CELL("filename",$A$1),FIND("[",CELL("filename",$A$1))+1,FIND("]",CELL("filename",$A$1))-FIND("[",CELL("filename",$A$1))-5)</f>
        <v>2025_04_30_EF_HAWKS.</v>
      </c>
      <c r="H135" s="717">
        <f t="shared" si="2"/>
        <v>0</v>
      </c>
      <c r="I135" s="1745"/>
      <c r="J135" s="576"/>
      <c r="K135" s="576"/>
      <c r="L135" s="576"/>
      <c r="M135" s="1744">
        <v>0</v>
      </c>
      <c r="N135" s="576"/>
      <c r="O135" s="30"/>
      <c r="P135" s="30"/>
      <c r="Q135" s="30"/>
      <c r="R135" s="30"/>
      <c r="S135" s="30"/>
    </row>
    <row r="136" spans="1:19" ht="14" hidden="1">
      <c r="A136" s="708"/>
      <c r="B136" s="702"/>
      <c r="C136" s="702"/>
      <c r="D136" s="702"/>
      <c r="E136" s="702"/>
      <c r="F136" s="702"/>
      <c r="G136" s="702"/>
      <c r="H136" s="717">
        <f t="shared" si="2"/>
        <v>0</v>
      </c>
      <c r="I136" s="1745"/>
      <c r="J136" s="576"/>
      <c r="K136" s="576"/>
      <c r="L136" s="576"/>
      <c r="M136" s="1744">
        <v>0</v>
      </c>
      <c r="N136" s="576"/>
      <c r="O136" s="30"/>
      <c r="P136" s="30"/>
      <c r="Q136" s="30"/>
      <c r="R136" s="30"/>
      <c r="S136" s="30"/>
    </row>
    <row r="137" spans="1:19" ht="14" hidden="1">
      <c r="H137" s="717">
        <f t="shared" si="2"/>
        <v>0</v>
      </c>
      <c r="I137" s="1745"/>
      <c r="J137" s="576"/>
      <c r="K137" s="576"/>
      <c r="L137" s="576"/>
      <c r="M137" s="1744">
        <v>0</v>
      </c>
      <c r="N137" s="576"/>
      <c r="O137" s="30"/>
      <c r="P137" s="30"/>
      <c r="Q137" s="30"/>
      <c r="R137" s="30"/>
      <c r="S137" s="30"/>
    </row>
    <row r="138" spans="1:19" ht="14" hidden="1">
      <c r="H138" s="717">
        <f t="shared" si="2"/>
        <v>0</v>
      </c>
      <c r="I138" s="1745"/>
      <c r="J138" s="576"/>
      <c r="K138" s="576"/>
      <c r="L138" s="576"/>
      <c r="M138" s="1744">
        <v>0</v>
      </c>
      <c r="N138" s="576"/>
      <c r="O138" s="30"/>
      <c r="P138" s="30"/>
      <c r="Q138" s="30"/>
      <c r="R138" s="30"/>
      <c r="S138" s="30"/>
    </row>
    <row r="139" spans="1:19" ht="14" hidden="1">
      <c r="D139" s="576">
        <f>IFERROR(VLOOKUP(O50,$E$140:$F$141,2,TRUE),0)</f>
        <v>0</v>
      </c>
      <c r="E139" s="576" t="s">
        <v>15662</v>
      </c>
      <c r="H139" s="717">
        <f t="shared" si="2"/>
        <v>0</v>
      </c>
      <c r="I139" s="1745"/>
      <c r="J139" s="576"/>
      <c r="K139" s="576"/>
      <c r="L139" s="576"/>
      <c r="M139" s="1744">
        <v>0</v>
      </c>
      <c r="N139" s="576"/>
      <c r="O139" s="30"/>
      <c r="P139" s="30"/>
      <c r="Q139" s="30"/>
      <c r="R139" s="30"/>
      <c r="S139" s="30"/>
    </row>
    <row r="140" spans="1:19" ht="14" hidden="1">
      <c r="D140" s="576"/>
      <c r="E140" s="576" t="s">
        <v>15663</v>
      </c>
      <c r="F140" s="1070">
        <v>1</v>
      </c>
      <c r="G140" s="576"/>
      <c r="H140" s="717">
        <f t="shared" si="2"/>
        <v>0</v>
      </c>
      <c r="I140" s="1745"/>
      <c r="J140" s="576"/>
      <c r="K140" s="576"/>
      <c r="L140" s="576"/>
      <c r="M140" s="1744">
        <v>0</v>
      </c>
      <c r="N140" s="576"/>
      <c r="O140" s="30"/>
      <c r="P140" s="30"/>
      <c r="Q140" s="30"/>
      <c r="R140" s="30"/>
      <c r="S140" s="30"/>
    </row>
    <row r="141" spans="1:19" ht="14" hidden="1">
      <c r="D141" s="576"/>
      <c r="E141" s="576" t="s">
        <v>15664</v>
      </c>
      <c r="F141" s="1070">
        <v>2</v>
      </c>
      <c r="H141" s="717">
        <f t="shared" si="2"/>
        <v>0</v>
      </c>
      <c r="I141" s="1745"/>
      <c r="J141" s="576"/>
      <c r="K141" s="576"/>
      <c r="L141" s="576"/>
      <c r="M141" s="1744">
        <v>0</v>
      </c>
      <c r="N141" s="576"/>
      <c r="O141" s="30"/>
      <c r="P141" s="30"/>
      <c r="Q141" s="30"/>
      <c r="R141" s="30"/>
      <c r="S141" s="30"/>
    </row>
    <row r="142" spans="1:19" ht="14" hidden="1">
      <c r="H142" s="717">
        <f t="shared" si="2"/>
        <v>0</v>
      </c>
      <c r="I142" s="1745"/>
      <c r="J142" s="576"/>
      <c r="K142" s="576"/>
      <c r="L142" s="576"/>
      <c r="M142" s="1744">
        <v>0</v>
      </c>
      <c r="N142" s="576"/>
      <c r="O142" s="30"/>
      <c r="P142" s="30"/>
      <c r="Q142" s="30"/>
      <c r="R142" s="30"/>
      <c r="S142" s="30"/>
    </row>
    <row r="143" spans="1:19" ht="14" hidden="1">
      <c r="H143" s="717">
        <f t="shared" si="2"/>
        <v>0</v>
      </c>
      <c r="I143" s="1745"/>
      <c r="J143" s="576"/>
      <c r="K143" s="576"/>
      <c r="L143" s="576"/>
      <c r="M143" s="1744">
        <v>0</v>
      </c>
      <c r="N143" s="576"/>
      <c r="O143" s="30"/>
      <c r="P143" s="30"/>
      <c r="Q143" s="30"/>
      <c r="R143" s="30"/>
      <c r="S143" s="30"/>
    </row>
    <row r="144" spans="1:19" ht="14" hidden="1">
      <c r="H144" s="717">
        <f t="shared" si="2"/>
        <v>0</v>
      </c>
      <c r="I144" s="1745"/>
      <c r="J144" s="576"/>
      <c r="K144" s="576"/>
      <c r="L144" s="576"/>
      <c r="M144" s="1744">
        <v>0</v>
      </c>
      <c r="N144" s="576"/>
      <c r="O144" s="30"/>
      <c r="P144" s="30"/>
      <c r="Q144" s="30"/>
      <c r="R144" s="30"/>
      <c r="S144" s="30"/>
    </row>
    <row r="145" spans="8:19" ht="14" hidden="1">
      <c r="H145" s="717">
        <f t="shared" si="2"/>
        <v>0</v>
      </c>
      <c r="I145" s="1745"/>
      <c r="J145" s="576"/>
      <c r="K145" s="576"/>
      <c r="L145" s="576"/>
      <c r="M145" s="1744">
        <v>0</v>
      </c>
      <c r="N145" s="576"/>
      <c r="O145" s="576"/>
      <c r="P145" s="576"/>
      <c r="Q145" s="576"/>
      <c r="R145" s="576"/>
      <c r="S145" s="30"/>
    </row>
    <row r="146" spans="8:19" ht="14" hidden="1">
      <c r="H146" s="717">
        <f t="shared" si="2"/>
        <v>0</v>
      </c>
      <c r="I146" s="1745"/>
      <c r="J146" s="576"/>
      <c r="K146" s="576"/>
      <c r="L146" s="576"/>
      <c r="M146" s="1744">
        <v>0</v>
      </c>
      <c r="N146" s="576"/>
      <c r="O146" s="576"/>
      <c r="P146" s="576"/>
      <c r="Q146" s="576"/>
      <c r="R146" s="576"/>
      <c r="S146" s="30"/>
    </row>
    <row r="147" spans="8:19" ht="14" hidden="1">
      <c r="H147" s="717">
        <f t="shared" si="2"/>
        <v>0</v>
      </c>
      <c r="I147" s="1745"/>
      <c r="J147" s="576"/>
      <c r="K147" s="576"/>
      <c r="L147" s="576"/>
      <c r="M147" s="1744">
        <v>0</v>
      </c>
      <c r="N147" s="576"/>
      <c r="O147" s="576"/>
      <c r="P147" s="576"/>
      <c r="Q147" s="576"/>
      <c r="R147" s="576"/>
      <c r="S147" s="30"/>
    </row>
    <row r="148" spans="8:19" ht="14" hidden="1">
      <c r="H148" s="717">
        <f t="shared" si="2"/>
        <v>0</v>
      </c>
      <c r="I148" s="1745"/>
      <c r="J148" s="576"/>
      <c r="K148" s="576"/>
      <c r="L148" s="576"/>
      <c r="M148" s="1744">
        <v>0</v>
      </c>
      <c r="N148" s="576"/>
      <c r="O148" s="576"/>
      <c r="P148" s="576"/>
      <c r="Q148" s="576"/>
      <c r="R148" s="576"/>
      <c r="S148" s="30"/>
    </row>
    <row r="149" spans="8:19" ht="14" hidden="1">
      <c r="H149" s="717">
        <f t="shared" si="2"/>
        <v>0</v>
      </c>
      <c r="I149" s="1745"/>
      <c r="J149" s="576"/>
      <c r="K149" s="576"/>
      <c r="L149" s="576"/>
      <c r="M149" s="1744">
        <v>0</v>
      </c>
      <c r="N149" s="576"/>
      <c r="O149" s="576"/>
      <c r="P149" s="576"/>
      <c r="Q149" s="576"/>
      <c r="R149" s="576"/>
      <c r="S149" s="30"/>
    </row>
    <row r="150" spans="8:19" ht="14" hidden="1">
      <c r="H150" s="717">
        <f t="shared" si="2"/>
        <v>0</v>
      </c>
      <c r="I150" s="1745"/>
      <c r="J150" s="576"/>
      <c r="K150" s="576"/>
      <c r="L150" s="576"/>
      <c r="M150" s="1744">
        <v>0</v>
      </c>
      <c r="N150" s="576"/>
      <c r="O150" s="576"/>
      <c r="P150" s="576"/>
      <c r="Q150" s="576"/>
      <c r="R150" s="576"/>
      <c r="S150" s="30"/>
    </row>
    <row r="151" spans="8:19" ht="14" hidden="1">
      <c r="H151" s="717">
        <f t="shared" si="2"/>
        <v>0</v>
      </c>
      <c r="I151" s="1745"/>
      <c r="J151" s="576"/>
      <c r="K151" s="576"/>
      <c r="L151" s="576"/>
      <c r="M151" s="1744">
        <v>0</v>
      </c>
      <c r="N151" s="576"/>
      <c r="O151" s="576"/>
      <c r="P151" s="576"/>
      <c r="Q151" s="576"/>
      <c r="R151" s="576"/>
      <c r="S151" s="30"/>
    </row>
    <row r="152" spans="8:19" ht="14" hidden="1">
      <c r="H152" s="717">
        <f t="shared" si="2"/>
        <v>0</v>
      </c>
      <c r="I152" s="1745"/>
      <c r="J152" s="576"/>
      <c r="K152" s="576"/>
      <c r="L152" s="576"/>
      <c r="M152" s="1744">
        <v>0</v>
      </c>
      <c r="N152" s="576"/>
      <c r="O152" s="576"/>
      <c r="P152" s="576"/>
      <c r="Q152" s="576"/>
      <c r="R152" s="576"/>
      <c r="S152" s="30"/>
    </row>
    <row r="153" spans="8:19" ht="14" hidden="1">
      <c r="H153" s="717">
        <f t="shared" si="2"/>
        <v>0</v>
      </c>
      <c r="I153" s="1745"/>
      <c r="J153" s="576"/>
      <c r="K153" s="576"/>
      <c r="L153" s="576"/>
      <c r="M153" s="1744">
        <v>0</v>
      </c>
      <c r="N153" s="576"/>
      <c r="O153" s="576"/>
      <c r="P153" s="576"/>
      <c r="Q153" s="576"/>
      <c r="R153" s="576"/>
      <c r="S153" s="30"/>
    </row>
    <row r="154" spans="8:19" ht="14" hidden="1">
      <c r="H154" s="717">
        <f t="shared" si="2"/>
        <v>0</v>
      </c>
      <c r="I154" s="1745"/>
      <c r="J154" s="576"/>
      <c r="K154" s="576"/>
      <c r="L154" s="576"/>
      <c r="M154" s="1744">
        <v>0</v>
      </c>
      <c r="N154" s="576"/>
      <c r="O154" s="576"/>
      <c r="P154" s="576"/>
      <c r="Q154" s="576"/>
      <c r="R154" s="576"/>
      <c r="S154" s="30"/>
    </row>
    <row r="155" spans="8:19" ht="14" hidden="1">
      <c r="H155" s="717">
        <f t="shared" si="2"/>
        <v>0</v>
      </c>
      <c r="I155" s="1745"/>
      <c r="J155" s="576"/>
      <c r="K155" s="576"/>
      <c r="L155" s="576"/>
      <c r="M155" s="1744">
        <v>0</v>
      </c>
      <c r="N155" s="576"/>
      <c r="O155" s="576"/>
      <c r="P155" s="576"/>
      <c r="Q155" s="576"/>
      <c r="R155" s="576"/>
      <c r="S155" s="30"/>
    </row>
    <row r="156" spans="8:19" ht="14" hidden="1">
      <c r="H156" s="717">
        <f t="shared" si="2"/>
        <v>0</v>
      </c>
      <c r="I156" s="1745"/>
      <c r="J156" s="576"/>
      <c r="K156" s="576"/>
      <c r="L156" s="576"/>
      <c r="M156" s="1744">
        <v>0</v>
      </c>
      <c r="N156" s="576"/>
      <c r="O156" s="576"/>
      <c r="P156" s="576"/>
      <c r="Q156" s="576"/>
      <c r="R156" s="576"/>
      <c r="S156" s="30"/>
    </row>
    <row r="157" spans="8:19" ht="14" hidden="1">
      <c r="H157" s="717">
        <f t="shared" si="2"/>
        <v>0</v>
      </c>
      <c r="I157" s="1745"/>
      <c r="J157" s="576"/>
      <c r="K157" s="576"/>
      <c r="L157" s="576"/>
      <c r="M157" s="1744">
        <v>0</v>
      </c>
      <c r="N157" s="576"/>
      <c r="O157" s="576"/>
      <c r="P157" s="576"/>
      <c r="Q157" s="576"/>
      <c r="R157" s="576"/>
      <c r="S157" s="30"/>
    </row>
    <row r="158" spans="8:19" ht="14" hidden="1">
      <c r="H158" s="1783">
        <f t="shared" si="2"/>
        <v>0</v>
      </c>
      <c r="I158" s="1746"/>
      <c r="J158" s="1747"/>
      <c r="K158" s="1747"/>
      <c r="L158" s="1747"/>
      <c r="M158" s="1748">
        <v>0</v>
      </c>
      <c r="N158" s="576"/>
      <c r="O158" s="576"/>
      <c r="P158" s="576"/>
      <c r="Q158" s="576"/>
      <c r="R158" s="576"/>
      <c r="S158" s="30"/>
    </row>
    <row r="159" spans="8:19" ht="12.5" hidden="1">
      <c r="H159" s="576"/>
      <c r="I159" s="576"/>
      <c r="J159" s="576"/>
      <c r="K159" s="576"/>
      <c r="L159" s="576"/>
      <c r="M159" s="576"/>
      <c r="N159" s="576"/>
      <c r="O159" s="576"/>
      <c r="P159" s="576"/>
      <c r="Q159" s="576"/>
      <c r="R159" s="598"/>
      <c r="S159" s="576"/>
    </row>
    <row r="160" spans="8:19" ht="12.5" hidden="1">
      <c r="H160" s="576"/>
      <c r="I160" s="598"/>
      <c r="J160" s="576"/>
      <c r="K160" s="576"/>
      <c r="L160" s="576"/>
      <c r="M160" s="576"/>
      <c r="N160" s="576"/>
      <c r="O160" s="576"/>
      <c r="P160" s="576"/>
      <c r="Q160" s="576"/>
      <c r="R160" s="598"/>
      <c r="S160" s="576"/>
    </row>
    <row r="162" spans="9:9" ht="12.5" hidden="1">
      <c r="I162" s="576"/>
    </row>
  </sheetData>
  <sheetProtection algorithmName="SHA-512" hashValue="HlHgdVcO6qeZTKzKf9gPCpJu2zHMuJrSLat8poiW5HaGixaITVQHGt91J5HysbZGLoEsgDF/j0mRX6OV6HXeGA==" saltValue="dsnRogoft50EnyyMWm826A==" spinCount="100000" sheet="1" objects="1" scenarios="1"/>
  <customSheetViews>
    <customSheetView guid="{42A0DCD3-5C27-4BB4-A491-D2E7F84D8A17}" scale="80" showPageBreaks="1" showGridLines="0" fitToPage="1" printArea="1" hiddenRows="1" hiddenColumns="1" showRuler="0" topLeftCell="B1">
      <selection activeCell="E13" sqref="E13"/>
      <pageMargins left="0" right="0" top="0" bottom="0" header="0" footer="0"/>
      <printOptions horizontalCentered="1"/>
      <pageSetup scale="71" orientation="portrait" horizontalDpi="1200" verticalDpi="1200" r:id="rId1"/>
      <headerFooter alignWithMargins="0"/>
    </customSheetView>
    <customSheetView guid="{EB281BD4-ABCF-428C-A6C2-8158A21EF819}" scale="80" showPageBreaks="1" showGridLines="0" fitToPage="1" printArea="1" hiddenColumns="1" showRuler="0" topLeftCell="A52">
      <selection activeCell="K75" sqref="K75"/>
      <pageMargins left="0" right="0" top="0" bottom="0" header="0" footer="0"/>
      <printOptions horizontalCentered="1"/>
      <pageSetup scale="68" orientation="portrait" horizontalDpi="1200" verticalDpi="1200" r:id="rId2"/>
      <headerFooter alignWithMargins="0"/>
    </customSheetView>
    <customSheetView guid="{FA29746F-8847-4779-9FAE-66945DB06B8D}" scale="80" showGridLines="0" showRowCol="0" fitToPage="1" hiddenRows="1" hiddenColumns="1" showRuler="0">
      <selection activeCell="F21" sqref="F21"/>
      <pageMargins left="0" right="0" top="0" bottom="0" header="0" footer="0"/>
      <printOptions horizontalCentered="1"/>
      <pageSetup scale="68" orientation="portrait" horizontalDpi="1200" verticalDpi="1200"/>
      <headerFooter alignWithMargins="0"/>
    </customSheetView>
  </customSheetViews>
  <mergeCells count="32">
    <mergeCell ref="J2:K2"/>
    <mergeCell ref="J3:K3"/>
    <mergeCell ref="J4:K4"/>
    <mergeCell ref="J8:L8"/>
    <mergeCell ref="J51:J52"/>
    <mergeCell ref="J5:K5"/>
    <mergeCell ref="R52:R53"/>
    <mergeCell ref="P47:Q47"/>
    <mergeCell ref="P48:Q48"/>
    <mergeCell ref="O50:R50"/>
    <mergeCell ref="O51:O57"/>
    <mergeCell ref="C3:H3"/>
    <mergeCell ref="D54:E54"/>
    <mergeCell ref="C6:F6"/>
    <mergeCell ref="K24:K31"/>
    <mergeCell ref="G46:H46"/>
    <mergeCell ref="D52:E52"/>
    <mergeCell ref="D53:E53"/>
    <mergeCell ref="J7:P7"/>
    <mergeCell ref="D10:D15"/>
    <mergeCell ref="J6:P6"/>
    <mergeCell ref="M8:O8"/>
    <mergeCell ref="E63:G63"/>
    <mergeCell ref="K10:K21"/>
    <mergeCell ref="P52:P53"/>
    <mergeCell ref="O58:O65"/>
    <mergeCell ref="D55:E55"/>
    <mergeCell ref="D56:E56"/>
    <mergeCell ref="D58:E58"/>
    <mergeCell ref="O17:P17"/>
    <mergeCell ref="P46:Q46"/>
    <mergeCell ref="D57:E57"/>
  </mergeCells>
  <phoneticPr fontId="7" type="noConversion"/>
  <dataValidations xWindow="340" yWindow="405" count="6">
    <dataValidation type="whole" allowBlank="1" showInputMessage="1" showErrorMessage="1" errorTitle="Erreur d'Entrée!" error="Seulement des valeurs numériques peuvent être enregistrées dans ce champ!_x000a_" sqref="I10:I13 I17:I21 I31:I37 I40:I42 I44 O17 R18:R32 R35 R37 R39 R42 G44:G46 R52 F50:F59 G51:G59 I62:I65 I68 R68 R63:R64 R59 R57 R55 R10:R15 P46" xr:uid="{00000000-0002-0000-0000-000000000000}">
      <formula1>-999999999999</formula1>
      <formula2>9999999999999</formula2>
    </dataValidation>
    <dataValidation type="whole" allowBlank="1" showInputMessage="1" showErrorMessage="1" errorTitle="Erreur d'Entrée!" error="Seulement des valeurs numériques peuvent être enregistrées dans ce champ!_x000a_" promptTitle="Sommaire des résultats" prompt="Cette cellule est déverrouillée pour entrer les données du mois précédent qui n’auraient pas été soumises à GM. Ces données apparaissent à titre de présentation SEULEMENT pour le concessionnaire et ne seront par retenues par FACTS 2.0 de General Motors." sqref="N53:N64" xr:uid="{00000000-0002-0000-0000-000001000000}">
      <formula1>-9999999999</formula1>
      <formula2>99999999999</formula2>
    </dataValidation>
    <dataValidation type="whole" operator="greaterThanOrEqual" allowBlank="1" showInputMessage="1" showErrorMessage="1" errorTitle="Erreur d'Entrée!" error="Seulement des valeurs numériques peuvent être enregistrées dans ce champ!_x000a_" promptTitle="Sommaire des résultats" prompt="Cette cellule est déverrouillée pour entrer les données du mois précédent qui n’auraient pas été soumises à GM. Ces données apparaissent à titre de présentation SEULEMENT pour le concessionnaire et ne seront par retenues par FACTS 2.0 de General Motors." sqref="K53:M64" xr:uid="{00000000-0002-0000-0000-000002000000}">
      <formula1>0</formula1>
    </dataValidation>
    <dataValidation allowBlank="1" showErrorMessage="1" sqref="P48:Q48" xr:uid="{00000000-0002-0000-0000-000003000000}"/>
    <dataValidation type="whole" allowBlank="1" showInputMessage="1" showErrorMessage="1" errorTitle="Erreur d'Entrée!" error="Seulement des valeurs numériques peuvent être enregistrées dans ce champ!_x000a_" promptTitle="FONDS de ROULEMENT" prompt="Actif ligne 44 - Passif ligne 37  + Dette à Long Terme à Exclure Ligne 43" sqref="P47:Q47" xr:uid="{00000000-0002-0000-0000-000004000000}">
      <formula1>-999999999999</formula1>
      <formula2>9999999999999</formula2>
    </dataValidation>
    <dataValidation type="list" allowBlank="1" showInputMessage="1" showErrorMessage="1" errorTitle="Erreur de sélection !" error="Vous devez sélectionner à partir de la liste sur le menu déroulant ci-dessous !" promptTitle="Méthode d'entrée/Sélection DSP" prompt="sélectionner à partir de la liste ci-dessous" sqref="C3:H3" xr:uid="{00000000-0002-0000-0000-000005000000}">
      <formula1>$I$94:$I$109</formula1>
    </dataValidation>
  </dataValidations>
  <hyperlinks>
    <hyperlink ref="E10" r:id="rId3" tooltip="Lien au Manuel des méthodes comptables GM" xr:uid="{00000000-0004-0000-0000-000000000000}"/>
    <hyperlink ref="E11" r:id="rId4" tooltip="Lien au Manuel des méthodes comptables GM" xr:uid="{00000000-0004-0000-0000-000001000000}"/>
    <hyperlink ref="L11" r:id="rId5" tooltip="Lien au Manuel des méthodes comptables GM" xr:uid="{00000000-0004-0000-0000-000002000000}"/>
    <hyperlink ref="E12" r:id="rId6" tooltip="Lien au Manuel des méthodes comptables GM" xr:uid="{00000000-0004-0000-0000-000003000000}"/>
    <hyperlink ref="L12:P12" location="Page7!E53" tooltip="Lien-Page7 - Section des Comptes à Recevoir - Clients" display="Page7!E53" xr:uid="{00000000-0004-0000-0000-000004000000}"/>
    <hyperlink ref="E13" r:id="rId7" tooltip="Lien au Manuel des méthodes comptables GM" xr:uid="{00000000-0004-0000-0000-000005000000}"/>
    <hyperlink ref="L13:P13" location="Page7!E53" tooltip="Lien-Page7 - Section des Comptes à Recevoir - Clients" display="Page7!E53" xr:uid="{00000000-0004-0000-0000-000006000000}"/>
    <hyperlink ref="L15" r:id="rId8" tooltip="Lien au Manuel des méthodes comptables GM" xr:uid="{00000000-0004-0000-0000-000007000000}"/>
    <hyperlink ref="E16:G16" location="Page7!E53" tooltip="Lien-Page7 - Section des Comptes à Recevoir - Clients" display="Page7!E53" xr:uid="{00000000-0004-0000-0000-000008000000}"/>
    <hyperlink ref="E17" r:id="rId9" tooltip="Lien au Manuel des méthodes comptables GM" xr:uid="{00000000-0004-0000-0000-000009000000}"/>
    <hyperlink ref="E18" r:id="rId10" tooltip="Lien au Manuel des méthodes comptables GM" xr:uid="{00000000-0004-0000-0000-00000A000000}"/>
    <hyperlink ref="L18" r:id="rId11" tooltip="Lien au Manuel des méthodes comptables GM" xr:uid="{00000000-0004-0000-0000-00000B000000}"/>
    <hyperlink ref="E19" r:id="rId12" tooltip="Lien au Manuel des méthodes comptables GM" xr:uid="{00000000-0004-0000-0000-00000C000000}"/>
    <hyperlink ref="L19" r:id="rId13" tooltip="Lien au Manuel des méthodes comptables GM" xr:uid="{00000000-0004-0000-0000-00000D000000}"/>
    <hyperlink ref="E20" r:id="rId14" tooltip="Lien au Manuel des méthodes comptables GM" xr:uid="{00000000-0004-0000-0000-00000E000000}"/>
    <hyperlink ref="L20" r:id="rId15" tooltip="Lien au Manuel des méthodes comptables GM" xr:uid="{00000000-0004-0000-0000-00000F000000}"/>
    <hyperlink ref="T20" r:id="rId16" tooltip="Lien au Manuel des méthodes comptables GM" xr:uid="{00000000-0004-0000-0000-000010000000}"/>
    <hyperlink ref="E21" r:id="rId17" tooltip="Lien au Manuel des méthodes comptables GM" xr:uid="{00000000-0004-0000-0000-000011000000}"/>
    <hyperlink ref="L21" r:id="rId18" tooltip="Lien au Manuel des méthodes comptables GM" xr:uid="{00000000-0004-0000-0000-000012000000}"/>
    <hyperlink ref="L22" r:id="rId19" tooltip="Lien au Manuel des méthodes comptables GM" xr:uid="{00000000-0004-0000-0000-000013000000}"/>
    <hyperlink ref="E23" r:id="rId20" tooltip="Lien au Manuel des méthodes comptables GM" xr:uid="{00000000-0004-0000-0000-000014000000}"/>
    <hyperlink ref="L23" r:id="rId21" tooltip="Lien au Manuel des méthodes comptables GM" xr:uid="{00000000-0004-0000-0000-000015000000}"/>
    <hyperlink ref="E24" r:id="rId22" tooltip="Lien au Manuel des méthodes comptables GM" xr:uid="{00000000-0004-0000-0000-000016000000}"/>
    <hyperlink ref="L24" r:id="rId23" tooltip="Lien au Manuel des méthodes comptables GM" xr:uid="{00000000-0004-0000-0000-000017000000}"/>
    <hyperlink ref="E25" r:id="rId24" tooltip="Lien au Manuel des méthodes comptables GM" xr:uid="{00000000-0004-0000-0000-000018000000}"/>
    <hyperlink ref="L25" r:id="rId25" tooltip="Lien au Manuel des méthodes comptables GM" xr:uid="{00000000-0004-0000-0000-000019000000}"/>
    <hyperlink ref="E26" r:id="rId26" tooltip="Lien au Manuel des méthodes comptables GM" xr:uid="{00000000-0004-0000-0000-00001A000000}"/>
    <hyperlink ref="L26" r:id="rId27" tooltip="Lien au Manuel des méthodes comptables GM" xr:uid="{00000000-0004-0000-0000-00001B000000}"/>
    <hyperlink ref="E27" r:id="rId28" tooltip="Lien au Manuel des méthodes comptables GM" xr:uid="{00000000-0004-0000-0000-00001C000000}"/>
    <hyperlink ref="L27" r:id="rId29" tooltip="Lien au Manuel des méthodes comptables GM" xr:uid="{00000000-0004-0000-0000-00001D000000}"/>
    <hyperlink ref="E28" r:id="rId30" tooltip="Lien au Manuel des méthodes comptables GM" xr:uid="{00000000-0004-0000-0000-00001E000000}"/>
    <hyperlink ref="L28" r:id="rId31" tooltip="Lien au Manuel des méthodes comptables GM" xr:uid="{00000000-0004-0000-0000-00001F000000}"/>
    <hyperlink ref="E29" r:id="rId32" tooltip="Lien au Manuel des méthodes comptables GM" xr:uid="{00000000-0004-0000-0000-000020000000}"/>
    <hyperlink ref="L29" r:id="rId33" tooltip="Lien au Manuel des méthodes comptables GM" xr:uid="{00000000-0004-0000-0000-000021000000}"/>
    <hyperlink ref="E30" r:id="rId34" tooltip="Lien au Manuel des méthodes comptables GM" xr:uid="{00000000-0004-0000-0000-000022000000}"/>
    <hyperlink ref="L30" r:id="rId35" tooltip="Lien au Manuel des méthodes comptables GM" xr:uid="{00000000-0004-0000-0000-000023000000}"/>
    <hyperlink ref="E31" r:id="rId36" tooltip="Lien au Manuel des méthodes comptables GM" xr:uid="{00000000-0004-0000-0000-000024000000}"/>
    <hyperlink ref="L31" r:id="rId37" tooltip="Lien au Manuel des méthodes comptables GM" xr:uid="{00000000-0004-0000-0000-000025000000}"/>
    <hyperlink ref="E32" r:id="rId38" tooltip="Lien au Manuel des méthodes comptables GM" xr:uid="{00000000-0004-0000-0000-000026000000}"/>
    <hyperlink ref="L32" r:id="rId39" tooltip="Lien au Manuel des méthodes comptables GM" xr:uid="{00000000-0004-0000-0000-000027000000}"/>
    <hyperlink ref="E33" r:id="rId40" tooltip="Lien au Manuel des méthodes comptables GM" xr:uid="{00000000-0004-0000-0000-000028000000}"/>
    <hyperlink ref="E34" r:id="rId41" tooltip="Lien au Manuel des méthodes comptables GM" xr:uid="{00000000-0004-0000-0000-000029000000}"/>
    <hyperlink ref="E35" r:id="rId42" tooltip="Lien au Manuel des méthodes comptables GM" xr:uid="{00000000-0004-0000-0000-00002A000000}"/>
    <hyperlink ref="L35" r:id="rId43" tooltip="Lien au Manuel des méthodes comptables GM" xr:uid="{00000000-0004-0000-0000-00002B000000}"/>
    <hyperlink ref="E36" r:id="rId44" tooltip="Lien au Manuel des méthodes comptables GM" xr:uid="{00000000-0004-0000-0000-00002C000000}"/>
    <hyperlink ref="E37" r:id="rId45" tooltip="Lien au Manuel des méthodes comptables GM" xr:uid="{00000000-0004-0000-0000-00002D000000}"/>
    <hyperlink ref="L37" r:id="rId46" tooltip="Lien au Manuel des méthodes comptables GM" xr:uid="{00000000-0004-0000-0000-00002E000000}"/>
    <hyperlink ref="L39" r:id="rId47" tooltip="Lien au Manuel des méthodes comptables GM" xr:uid="{00000000-0004-0000-0000-00002F000000}"/>
    <hyperlink ref="G40" r:id="rId48" tooltip="Lien au Manuel des méthodes comptables GM" xr:uid="{00000000-0004-0000-0000-000030000000}"/>
    <hyperlink ref="G41" r:id="rId49" tooltip="Lien au Manuel des méthodes comptables GM" xr:uid="{00000000-0004-0000-0000-000031000000}"/>
    <hyperlink ref="G42" r:id="rId50" tooltip="Lien au Manuel des méthodes comptables GM" xr:uid="{00000000-0004-0000-0000-000032000000}"/>
    <hyperlink ref="L42" r:id="rId51" tooltip="Lien au Manuel des méthodes comptables GM" xr:uid="{00000000-0004-0000-0000-000033000000}"/>
    <hyperlink ref="E44" r:id="rId52" tooltip="Lien au Manuel des méthodes comptables GM" xr:uid="{00000000-0004-0000-0000-000034000000}"/>
    <hyperlink ref="E45" r:id="rId53" tooltip="Lien au Manuel des méthodes comptables GM" xr:uid="{00000000-0004-0000-0000-000035000000}"/>
    <hyperlink ref="E46" r:id="rId54" tooltip="Lien au Manuel des méthodes comptables GM" xr:uid="{00000000-0004-0000-0000-000036000000}"/>
    <hyperlink ref="G49" r:id="rId55" tooltip="Lien au Manuel des méthodes comptables GM" xr:uid="{00000000-0004-0000-0000-000037000000}"/>
    <hyperlink ref="D50" r:id="rId56" tooltip="Lien au Manuel des méthodes comptables GM" xr:uid="{00000000-0004-0000-0000-000038000000}"/>
    <hyperlink ref="D51" r:id="rId57" tooltip="Lien au Manuel des méthodes comptables GM" xr:uid="{00000000-0004-0000-0000-000039000000}"/>
    <hyperlink ref="D52" r:id="rId58" tooltip="Lien au Manuel des méthodes comptables GM" xr:uid="{00000000-0004-0000-0000-00003A000000}"/>
    <hyperlink ref="P52" r:id="rId59" tooltip="Link to GM Accounting Manual" xr:uid="{00000000-0004-0000-0000-00003B000000}"/>
    <hyperlink ref="D53" r:id="rId60" tooltip="Lien au Manuel des méthodes comptables GM" xr:uid="{00000000-0004-0000-0000-00003C000000}"/>
    <hyperlink ref="D54" r:id="rId61" tooltip="Lien au Manuel des méthodes comptables GM" xr:uid="{00000000-0004-0000-0000-00003D000000}"/>
    <hyperlink ref="D55" r:id="rId62" tooltip="Lien au Manuel des méthodes comptables GM" xr:uid="{00000000-0004-0000-0000-00003E000000}"/>
    <hyperlink ref="P55" r:id="rId63" tooltip="Lien au Manuel des méthodes comptables GM" xr:uid="{00000000-0004-0000-0000-00003F000000}"/>
    <hyperlink ref="D56" r:id="rId64" tooltip="Lien au Manuel des méthodes comptables GM" xr:uid="{00000000-0004-0000-0000-000040000000}"/>
    <hyperlink ref="D57" r:id="rId65" tooltip="Lien au Manuel des méthodes comptables GM" xr:uid="{00000000-0004-0000-0000-000041000000}"/>
    <hyperlink ref="P57" r:id="rId66" tooltip="Lien au Manuel des méthodes comptables GM" xr:uid="{00000000-0004-0000-0000-000042000000}"/>
    <hyperlink ref="D58" r:id="rId67" tooltip="Lien au Manuel des méthodes comptables GM" xr:uid="{00000000-0004-0000-0000-000043000000}"/>
    <hyperlink ref="D59" r:id="rId68" tooltip="Lien au Manuel des méthodes comptables GM" xr:uid="{00000000-0004-0000-0000-000044000000}"/>
    <hyperlink ref="P59" r:id="rId69" tooltip="Lien au Manuel des méthodes comptables GM" xr:uid="{00000000-0004-0000-0000-000045000000}"/>
    <hyperlink ref="E62" r:id="rId70" tooltip="Lien au Manuel des méthodes comptables GM" xr:uid="{00000000-0004-0000-0000-000046000000}"/>
    <hyperlink ref="E63" r:id="rId71" tooltip="Lien au Manuel des méthodes comptables GM" xr:uid="{00000000-0004-0000-0000-000047000000}"/>
    <hyperlink ref="P63" r:id="rId72" tooltip="Lien au Manuel des méthodes comptables GM" xr:uid="{00000000-0004-0000-0000-000048000000}"/>
    <hyperlink ref="E64" r:id="rId73" tooltip="Lien au Manuel des méthodes comptables GM" xr:uid="{00000000-0004-0000-0000-000049000000}"/>
    <hyperlink ref="E65" r:id="rId74" tooltip="Lien au Manuel des méthodes comptables GM" xr:uid="{00000000-0004-0000-0000-00004A000000}"/>
    <hyperlink ref="J66" r:id="rId75" tooltip="Lien au Manuel des méthodes comptables GM" xr:uid="{00000000-0004-0000-0000-00004B000000}"/>
  </hyperlinks>
  <printOptions horizontalCentered="1"/>
  <pageMargins left="0" right="0" top="0" bottom="0" header="0" footer="0"/>
  <pageSetup scale="72" orientation="portrait" horizontalDpi="1200" verticalDpi="1200" r:id="rId76"/>
  <headerFooter alignWithMargins="0"/>
  <drawing r:id="rId77"/>
  <legacyDrawing r:id="rId78"/>
  <controls>
    <mc:AlternateContent xmlns:mc="http://schemas.openxmlformats.org/markup-compatibility/2006">
      <mc:Choice Requires="x14">
        <control shapeId="6055" r:id="rId79" name="cmdPrintSubLog">
          <controlPr defaultSize="0" print="0" autoFill="0" autoLine="0" r:id="rId80">
            <anchor moveWithCells="1">
              <from>
                <xdr:col>11</xdr:col>
                <xdr:colOff>317500</xdr:colOff>
                <xdr:row>3</xdr:row>
                <xdr:rowOff>38100</xdr:rowOff>
              </from>
              <to>
                <xdr:col>13</xdr:col>
                <xdr:colOff>692150</xdr:colOff>
                <xdr:row>5</xdr:row>
                <xdr:rowOff>12700</xdr:rowOff>
              </to>
            </anchor>
          </controlPr>
        </control>
      </mc:Choice>
      <mc:Fallback>
        <control shapeId="6055" r:id="rId79" name="cmdPrintSubLog"/>
      </mc:Fallback>
    </mc:AlternateContent>
    <mc:AlternateContent xmlns:mc="http://schemas.openxmlformats.org/markup-compatibility/2006">
      <mc:Choice Requires="x14">
        <control shapeId="6054" r:id="rId81" name="cmdHideUnHide">
          <controlPr defaultSize="0" print="0" autoFill="0" autoLine="0" r:id="rId82">
            <anchor moveWithCells="1">
              <from>
                <xdr:col>16</xdr:col>
                <xdr:colOff>12700</xdr:colOff>
                <xdr:row>5</xdr:row>
                <xdr:rowOff>12700</xdr:rowOff>
              </from>
              <to>
                <xdr:col>17</xdr:col>
                <xdr:colOff>952500</xdr:colOff>
                <xdr:row>8</xdr:row>
                <xdr:rowOff>88900</xdr:rowOff>
              </to>
            </anchor>
          </controlPr>
        </control>
      </mc:Choice>
      <mc:Fallback>
        <control shapeId="6054" r:id="rId81" name="cmdHideUnHide"/>
      </mc:Fallback>
    </mc:AlternateContent>
    <mc:AlternateContent xmlns:mc="http://schemas.openxmlformats.org/markup-compatibility/2006">
      <mc:Choice Requires="x14">
        <control shapeId="5150" r:id="rId83" name="EditButton">
          <controlPr defaultSize="0" print="0" autoFill="0" autoLine="0" r:id="rId84">
            <anchor moveWithCells="1">
              <from>
                <xdr:col>11</xdr:col>
                <xdr:colOff>298450</xdr:colOff>
                <xdr:row>0</xdr:row>
                <xdr:rowOff>260350</xdr:rowOff>
              </from>
              <to>
                <xdr:col>13</xdr:col>
                <xdr:colOff>692150</xdr:colOff>
                <xdr:row>3</xdr:row>
                <xdr:rowOff>19050</xdr:rowOff>
              </to>
            </anchor>
          </controlPr>
        </control>
      </mc:Choice>
      <mc:Fallback>
        <control shapeId="5150" r:id="rId83" name="EditButton"/>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autoPageBreaks="0" fitToPage="1"/>
  </sheetPr>
  <dimension ref="A1:W76"/>
  <sheetViews>
    <sheetView showGridLines="0" showRowColHeaders="0" workbookViewId="0"/>
  </sheetViews>
  <sheetFormatPr baseColWidth="10" defaultColWidth="0" defaultRowHeight="12.5" zeroHeight="1"/>
  <cols>
    <col min="1" max="1" width="1" customWidth="1"/>
    <col min="2" max="2" width="3.81640625" customWidth="1"/>
    <col min="3" max="3" width="4.81640625" customWidth="1"/>
    <col min="4" max="4" width="2.81640625" customWidth="1"/>
    <col min="5" max="5" width="32.81640625" customWidth="1"/>
    <col min="6" max="6" width="3.81640625" customWidth="1"/>
    <col min="7" max="7" width="12.1796875" customWidth="1"/>
    <col min="8" max="8" width="8.81640625" style="1982" customWidth="1"/>
    <col min="9" max="9" width="7.453125" style="1982" customWidth="1"/>
    <col min="10" max="10" width="12.1796875" bestFit="1" customWidth="1"/>
    <col min="11" max="11" width="8.81640625" style="1982" customWidth="1"/>
    <col min="12" max="12" width="7.453125" style="1982" customWidth="1"/>
    <col min="13" max="13" width="12.1796875" customWidth="1"/>
    <col min="14" max="14" width="4.81640625" style="1982" customWidth="1"/>
    <col min="15" max="15" width="12.1796875" customWidth="1"/>
    <col min="16" max="16" width="4.81640625" style="1982" customWidth="1"/>
    <col min="17" max="17" width="12.1796875" customWidth="1"/>
    <col min="18" max="18" width="4.81640625" style="1982" customWidth="1"/>
    <col min="19" max="19" width="12.1796875" customWidth="1"/>
    <col min="20" max="20" width="4.81640625" style="1982" customWidth="1"/>
    <col min="21" max="21" width="3.81640625" customWidth="1"/>
    <col min="22" max="22" width="11.453125" hidden="1" customWidth="1"/>
  </cols>
  <sheetData>
    <row r="1" spans="1:23" s="567" customFormat="1" ht="22.5" customHeight="1">
      <c r="A1" s="640"/>
      <c r="B1" s="684"/>
      <c r="C1" s="59" t="s">
        <v>15665</v>
      </c>
      <c r="D1" s="752"/>
      <c r="E1" s="752"/>
      <c r="F1" s="639"/>
      <c r="G1" s="639"/>
      <c r="H1" s="1966"/>
      <c r="I1" s="1966"/>
      <c r="J1" s="639"/>
      <c r="K1" s="1966"/>
      <c r="L1" s="1966"/>
      <c r="M1" s="639"/>
      <c r="N1" s="2028"/>
      <c r="O1" s="639"/>
      <c r="P1" s="2028"/>
      <c r="Q1" s="639"/>
      <c r="R1" s="2028"/>
      <c r="S1" s="639"/>
      <c r="T1" s="2028"/>
      <c r="U1" s="62" t="str">
        <f>TBIn!$E$2458&amp;" - "&amp;TBIn!$AH$10&amp;" - PAGE 2"</f>
        <v>319719 - 202504 - PAGE 2</v>
      </c>
    </row>
    <row r="2" spans="1:23" s="567" customFormat="1" ht="15.75" customHeight="1">
      <c r="A2" s="640"/>
      <c r="B2" s="67" t="s">
        <v>1</v>
      </c>
      <c r="C2" s="1182"/>
      <c r="D2" s="1183"/>
      <c r="E2" s="1183"/>
      <c r="F2" s="1183"/>
      <c r="G2" s="1114" t="s">
        <v>15666</v>
      </c>
      <c r="H2" s="1967"/>
      <c r="I2" s="1984"/>
      <c r="J2" s="1114"/>
      <c r="K2" s="1967"/>
      <c r="L2" s="1984"/>
      <c r="M2" s="1198" t="s">
        <v>684</v>
      </c>
      <c r="N2" s="2029"/>
      <c r="O2" s="592"/>
      <c r="P2" s="2029"/>
      <c r="Q2" s="1198" t="s">
        <v>15667</v>
      </c>
      <c r="R2" s="2029"/>
      <c r="S2" s="592"/>
      <c r="T2" s="2029"/>
      <c r="U2" s="67" t="s">
        <v>1</v>
      </c>
    </row>
    <row r="3" spans="1:23" s="567" customFormat="1" ht="15.75" customHeight="1">
      <c r="A3" s="640"/>
      <c r="B3" s="71" t="s">
        <v>6</v>
      </c>
      <c r="C3" s="1170" t="s">
        <v>15668</v>
      </c>
      <c r="D3" s="1184"/>
      <c r="E3" s="1184"/>
      <c r="F3" s="1184"/>
      <c r="G3" s="1200" t="s">
        <v>7</v>
      </c>
      <c r="H3" s="1968" t="s">
        <v>15669</v>
      </c>
      <c r="I3" s="1985" t="s">
        <v>15670</v>
      </c>
      <c r="J3" s="516" t="s">
        <v>15671</v>
      </c>
      <c r="K3" s="2001" t="s">
        <v>15669</v>
      </c>
      <c r="L3" s="2013" t="s">
        <v>15670</v>
      </c>
      <c r="M3" s="1201" t="s">
        <v>7</v>
      </c>
      <c r="N3" s="2029"/>
      <c r="O3" s="1202" t="s">
        <v>15671</v>
      </c>
      <c r="P3" s="2040"/>
      <c r="Q3" s="1201" t="s">
        <v>7</v>
      </c>
      <c r="R3" s="2029"/>
      <c r="S3" s="1202" t="s">
        <v>15671</v>
      </c>
      <c r="T3" s="2040"/>
      <c r="U3" s="71" t="s">
        <v>6</v>
      </c>
    </row>
    <row r="4" spans="1:23" ht="15.75" customHeight="1">
      <c r="A4" s="640"/>
      <c r="B4" s="72">
        <v>1</v>
      </c>
      <c r="C4" s="1185" t="s">
        <v>9</v>
      </c>
      <c r="D4" s="182"/>
      <c r="E4" s="182"/>
      <c r="F4" s="182"/>
      <c r="G4" s="2673">
        <f>Page3!D4+Page3!H4+Page3!L4+Page4!D4+Page4!H4+Page4!L4+Page3!P4</f>
        <v>10336068</v>
      </c>
      <c r="H4" s="1969">
        <f>IF(H$73&gt;0,G4/H$73,0)</f>
        <v>161501.0625</v>
      </c>
      <c r="I4" s="1986"/>
      <c r="J4" s="942">
        <f>Page3!F4+Page3!J4+Page3!N4+Page4!F4+Page4!J4+Page4!N4+Page3!Q4</f>
        <v>34929085</v>
      </c>
      <c r="K4" s="2002">
        <f>IF(K$73&gt;0,J4/K$73,0)</f>
        <v>150556.40086206896</v>
      </c>
      <c r="L4" s="2014"/>
      <c r="M4" s="183">
        <f>Page3!D4+Page3!H4+Page3!L4+Page3!P4</f>
        <v>9904081</v>
      </c>
      <c r="N4" s="2030" t="s">
        <v>10</v>
      </c>
      <c r="O4" s="942">
        <f>Page3!F4+Page3!J4+Page3!N4+Page3!Q4</f>
        <v>33335288</v>
      </c>
      <c r="P4" s="2041" t="s">
        <v>10</v>
      </c>
      <c r="Q4" s="183">
        <f>Page4!D4+Page4!H4+Page4!L4</f>
        <v>431987</v>
      </c>
      <c r="R4" s="2030" t="s">
        <v>10</v>
      </c>
      <c r="S4" s="942">
        <f>Page4!F4+Page4!J4+Page4!N4</f>
        <v>1593797</v>
      </c>
      <c r="T4" s="2041" t="s">
        <v>10</v>
      </c>
      <c r="U4" s="74">
        <v>1</v>
      </c>
      <c r="V4" s="7"/>
    </row>
    <row r="5" spans="1:23" ht="15.75" customHeight="1">
      <c r="A5" s="3"/>
      <c r="B5" s="75">
        <v>2</v>
      </c>
      <c r="C5" s="184" t="s">
        <v>15672</v>
      </c>
      <c r="D5" s="1186"/>
      <c r="E5" s="1186"/>
      <c r="F5" s="1187"/>
      <c r="G5" s="185">
        <f>M5+Q5</f>
        <v>577339</v>
      </c>
      <c r="H5" s="1969">
        <f>IF(H$73&gt;0,G5/H$73,0)</f>
        <v>9020.921875</v>
      </c>
      <c r="I5" s="1987">
        <f>IF(G$4&gt;0,G5/G$4,0)</f>
        <v>5.5856733914676257E-2</v>
      </c>
      <c r="J5" s="943">
        <f>O5+S5</f>
        <v>2088131</v>
      </c>
      <c r="K5" s="2003">
        <f>IF(K$73&gt;0,J5/K$73,0)</f>
        <v>9000.564655172413</v>
      </c>
      <c r="L5" s="2015">
        <f>IF(J$4&gt;0,J5/J$4,0)</f>
        <v>5.9782012612125394E-2</v>
      </c>
      <c r="M5" s="302">
        <f>Page3!D5+Page3!H5+Page3!L5+Page3!P5</f>
        <v>395455</v>
      </c>
      <c r="N5" s="2031">
        <f>IFERROR(M5/M4,0)</f>
        <v>3.9928490084037073E-2</v>
      </c>
      <c r="O5" s="951">
        <f>Page3!F5+Page3!J5+Page3!N5+Page3!Q5</f>
        <v>1429046</v>
      </c>
      <c r="P5" s="2042">
        <f>IFERROR(O5/O4,0)</f>
        <v>4.2868866169687811E-2</v>
      </c>
      <c r="Q5" s="185">
        <f>Page4!D5+Page4!H5+Page4!L5</f>
        <v>181884</v>
      </c>
      <c r="R5" s="1894">
        <f>IFERROR(Q5/Q4,0)</f>
        <v>0.42104044797644374</v>
      </c>
      <c r="S5" s="951">
        <f>Page4!F5+Page4!J5+Page4!N5</f>
        <v>659085</v>
      </c>
      <c r="T5" s="2042">
        <f>IFERROR(S5/S4,0)</f>
        <v>0.41353133429163186</v>
      </c>
      <c r="U5" s="80">
        <v>2</v>
      </c>
      <c r="V5" s="7"/>
    </row>
    <row r="6" spans="1:23" ht="15.75" customHeight="1">
      <c r="A6" s="3"/>
      <c r="B6" s="75">
        <v>3</v>
      </c>
      <c r="C6" s="187" t="s">
        <v>110</v>
      </c>
      <c r="D6" s="188" t="s">
        <v>110</v>
      </c>
      <c r="E6" s="144" t="s">
        <v>13</v>
      </c>
      <c r="F6" s="189" t="s">
        <v>15673</v>
      </c>
      <c r="G6" s="934"/>
      <c r="H6" s="1970" t="s">
        <v>15674</v>
      </c>
      <c r="I6" s="1988" t="s">
        <v>719</v>
      </c>
      <c r="J6" s="1224"/>
      <c r="K6" s="2004" t="s">
        <v>15674</v>
      </c>
      <c r="L6" s="1988" t="s">
        <v>719</v>
      </c>
      <c r="M6" s="1225"/>
      <c r="N6" s="2032" t="s">
        <v>15675</v>
      </c>
      <c r="O6" s="1226"/>
      <c r="P6" s="2043" t="s">
        <v>15675</v>
      </c>
      <c r="Q6" s="935"/>
      <c r="R6" s="1986"/>
      <c r="S6" s="936"/>
      <c r="T6" s="2014"/>
      <c r="U6" s="80">
        <v>3</v>
      </c>
      <c r="V6" s="7"/>
    </row>
    <row r="7" spans="1:23" ht="15.75" customHeight="1">
      <c r="A7" s="3"/>
      <c r="B7" s="75">
        <v>4</v>
      </c>
      <c r="C7" s="187" t="s">
        <v>145</v>
      </c>
      <c r="D7" s="188" t="s">
        <v>122</v>
      </c>
      <c r="E7" s="1631" t="s">
        <v>15676</v>
      </c>
      <c r="F7" s="190">
        <v>11</v>
      </c>
      <c r="G7" s="191">
        <f>Page3!D7+Page3!H7+Page3!L7</f>
        <v>41144</v>
      </c>
      <c r="H7" s="1971">
        <f>IF(G$5&gt;0,G7/G$5,0)</f>
        <v>7.1264889432378548E-2</v>
      </c>
      <c r="I7" s="1989">
        <f>IF(H$73&gt;0,G7/H$73,0)</f>
        <v>642.875</v>
      </c>
      <c r="J7" s="944">
        <f>Page3!F7+Page3!J7+Page3!N7</f>
        <v>152840</v>
      </c>
      <c r="K7" s="2005">
        <f>IF(J$5&gt;0,J7/J$5,0)</f>
        <v>7.3194641523927378E-2</v>
      </c>
      <c r="L7" s="2016">
        <f>IF(K$73&gt;0,J7/K$73,0)</f>
        <v>658.79310344827582</v>
      </c>
      <c r="M7" s="507">
        <f>Page3!D7+Page3!H7+Page3!L7</f>
        <v>41144</v>
      </c>
      <c r="N7" s="2033">
        <f t="shared" ref="N7:N27" si="0">IFERROR(M7/M$5,0)</f>
        <v>0.10404217926186292</v>
      </c>
      <c r="O7" s="952">
        <f>Page3!F7+Page3!J7+Page3!N7</f>
        <v>152840</v>
      </c>
      <c r="P7" s="1942">
        <f t="shared" ref="P7:P27" si="1">IFERROR(O7/O$5,0)</f>
        <v>0.10695247038933667</v>
      </c>
      <c r="Q7" s="937"/>
      <c r="R7" s="2045"/>
      <c r="S7" s="938"/>
      <c r="T7" s="2050"/>
      <c r="U7" s="80">
        <v>4</v>
      </c>
      <c r="V7" s="7"/>
    </row>
    <row r="8" spans="1:23" ht="15.75" customHeight="1">
      <c r="A8" s="3"/>
      <c r="B8" s="75">
        <v>5</v>
      </c>
      <c r="C8" s="187" t="s">
        <v>120</v>
      </c>
      <c r="D8" s="188" t="s">
        <v>127</v>
      </c>
      <c r="E8" s="1578" t="s">
        <v>15</v>
      </c>
      <c r="F8" s="193">
        <v>13</v>
      </c>
      <c r="G8" s="194">
        <f>Page3!D8+Page3!H8+Page3!L8</f>
        <v>-836</v>
      </c>
      <c r="H8" s="1972">
        <f t="shared" ref="H8:H23" si="2">IF(G$5&gt;0,G8/G$5,0)</f>
        <v>-1.4480227388068362E-3</v>
      </c>
      <c r="I8" s="1990">
        <f>IF(H$73&gt;0,G8/H$73,0)</f>
        <v>-13.0625</v>
      </c>
      <c r="J8" s="945">
        <f>Page3!F8+Page3!J8+Page3!N8</f>
        <v>626</v>
      </c>
      <c r="K8" s="2006">
        <f t="shared" ref="K8:K23" si="3">IF(J$5&gt;0,J8/J$5,0)</f>
        <v>2.9978962047879179E-4</v>
      </c>
      <c r="L8" s="2017">
        <f>IF(K$73&gt;0,J8/K$73,0)</f>
        <v>2.6982758620689653</v>
      </c>
      <c r="M8" s="508">
        <f>Page3!D8+Page3!H8+Page3!L8</f>
        <v>-836</v>
      </c>
      <c r="N8" s="2033">
        <f t="shared" si="0"/>
        <v>-2.1140205585970591E-3</v>
      </c>
      <c r="O8" s="953">
        <f>Page3!F8+Page3!J8+Page3!N8</f>
        <v>626</v>
      </c>
      <c r="P8" s="1942">
        <f t="shared" si="1"/>
        <v>4.3805447830230797E-4</v>
      </c>
      <c r="Q8" s="937"/>
      <c r="R8" s="2045"/>
      <c r="S8" s="938"/>
      <c r="T8" s="2050"/>
      <c r="U8" s="80">
        <v>5</v>
      </c>
      <c r="V8" s="7"/>
    </row>
    <row r="9" spans="1:23" ht="15.75" customHeight="1">
      <c r="A9" s="3"/>
      <c r="B9" s="75">
        <v>6</v>
      </c>
      <c r="C9" s="187" t="s">
        <v>953</v>
      </c>
      <c r="D9" s="188" t="s">
        <v>116</v>
      </c>
      <c r="E9" s="1578" t="s">
        <v>15677</v>
      </c>
      <c r="F9" s="195">
        <v>15</v>
      </c>
      <c r="G9" s="196">
        <f>Page3!D9+Page3!H9+Page3!L9</f>
        <v>3642</v>
      </c>
      <c r="H9" s="1973">
        <f t="shared" si="2"/>
        <v>6.3082521707350445E-3</v>
      </c>
      <c r="I9" s="1991">
        <f>IF(H$73&gt;0,G9/H$73,0)</f>
        <v>56.90625</v>
      </c>
      <c r="J9" s="564">
        <f>Page3!$F9+Page3!$J9+Page3!$N9</f>
        <v>21357</v>
      </c>
      <c r="K9" s="2007">
        <f t="shared" si="3"/>
        <v>1.0227806588762869E-2</v>
      </c>
      <c r="L9" s="2018">
        <f>IF(K$73&gt;0,J9/K$73,0)</f>
        <v>92.056034482758619</v>
      </c>
      <c r="M9" s="509">
        <f>Page3!D9+Page3!H9+Page3!L9</f>
        <v>3642</v>
      </c>
      <c r="N9" s="2034">
        <f t="shared" si="0"/>
        <v>9.2096445866154172E-3</v>
      </c>
      <c r="O9" s="954">
        <f>Page3!F9+Page3!J9+Page3!N9</f>
        <v>21357</v>
      </c>
      <c r="P9" s="1943">
        <f t="shared" si="1"/>
        <v>1.4944935292495833E-2</v>
      </c>
      <c r="Q9" s="937"/>
      <c r="R9" s="2045"/>
      <c r="S9" s="938"/>
      <c r="T9" s="2050"/>
      <c r="U9" s="80">
        <v>6</v>
      </c>
      <c r="V9" s="598"/>
      <c r="W9" s="30"/>
    </row>
    <row r="10" spans="1:23" ht="15.75" customHeight="1">
      <c r="A10" s="3"/>
      <c r="B10" s="75">
        <v>7</v>
      </c>
      <c r="C10" s="187" t="s">
        <v>13750</v>
      </c>
      <c r="D10" s="197" t="s">
        <v>122</v>
      </c>
      <c r="E10" s="1632" t="s">
        <v>15678</v>
      </c>
      <c r="F10" s="101"/>
      <c r="G10" s="198">
        <f>SUM(G7:G9)</f>
        <v>43950</v>
      </c>
      <c r="H10" s="1974">
        <f t="shared" si="2"/>
        <v>7.6125118864306757E-2</v>
      </c>
      <c r="I10" s="1992">
        <f>IF(H$73&gt;0,G10/H$73,0)</f>
        <v>686.71875</v>
      </c>
      <c r="J10" s="782">
        <f>SUM(J7:J9)</f>
        <v>174823</v>
      </c>
      <c r="K10" s="1974">
        <f t="shared" si="3"/>
        <v>8.3722237733169044E-2</v>
      </c>
      <c r="L10" s="2019">
        <f>IF(K$73&gt;0,J10/K$73,0)</f>
        <v>753.54741379310349</v>
      </c>
      <c r="M10" s="506">
        <f>SUM(M7:M9)</f>
        <v>43950</v>
      </c>
      <c r="N10" s="2035">
        <f t="shared" si="0"/>
        <v>0.11113780328988128</v>
      </c>
      <c r="O10" s="955">
        <f>SUM(O7:O9)</f>
        <v>174823</v>
      </c>
      <c r="P10" s="1944">
        <f t="shared" si="1"/>
        <v>0.1223354601601348</v>
      </c>
      <c r="Q10" s="939"/>
      <c r="R10" s="2046" t="s">
        <v>15675</v>
      </c>
      <c r="S10" s="940"/>
      <c r="T10" s="2051" t="s">
        <v>15675</v>
      </c>
      <c r="U10" s="80">
        <v>7</v>
      </c>
      <c r="V10" s="598"/>
      <c r="W10" s="30"/>
    </row>
    <row r="11" spans="1:23" ht="15.75" customHeight="1">
      <c r="A11" s="3"/>
      <c r="B11" s="75">
        <v>8</v>
      </c>
      <c r="C11" s="199"/>
      <c r="D11" s="1172" t="s">
        <v>738</v>
      </c>
      <c r="E11" s="1634" t="s">
        <v>20</v>
      </c>
      <c r="F11" s="190">
        <v>20</v>
      </c>
      <c r="G11" s="191">
        <f>Page3!D11+Page3!H11+Page3!L11+Page4!D11+Page4!H11+Page4!L11+Page4!P11</f>
        <v>33879</v>
      </c>
      <c r="H11" s="1975">
        <f t="shared" si="2"/>
        <v>5.8681294698608617E-2</v>
      </c>
      <c r="I11" s="1993">
        <f>IF(G$4&gt;0,G11/G$4,0)</f>
        <v>3.2777454637488838E-3</v>
      </c>
      <c r="J11" s="944">
        <f>Page3!F11+Page3!J11+Page3!N11+Page4!F11+Page4!J11+Page4!N11+Page4!R11</f>
        <v>133596</v>
      </c>
      <c r="K11" s="2008">
        <f t="shared" si="3"/>
        <v>6.3978744628569756E-2</v>
      </c>
      <c r="L11" s="2020">
        <f>IF(J$4&gt;0,J11/J$4,0)</f>
        <v>3.8247781182931071E-3</v>
      </c>
      <c r="M11" s="507">
        <f>Page3!D11+Page3!H11+Page3!L11</f>
        <v>16923</v>
      </c>
      <c r="N11" s="2033">
        <f t="shared" si="0"/>
        <v>4.2793743915236881E-2</v>
      </c>
      <c r="O11" s="952">
        <f>Page3!F11+Page3!J11+Page3!N11</f>
        <v>66753</v>
      </c>
      <c r="P11" s="1942">
        <f t="shared" si="1"/>
        <v>4.6711582412322629E-2</v>
      </c>
      <c r="Q11" s="202">
        <f>Page4!D11+Page4!H11+Page4!L11</f>
        <v>16956</v>
      </c>
      <c r="R11" s="2033">
        <f t="shared" ref="R11:R35" si="4">IFERROR(Q11/Q$5,0)</f>
        <v>9.3224252820478984E-2</v>
      </c>
      <c r="S11" s="952">
        <f>Page4!F11+Page4!J11+Page4!N11</f>
        <v>66843</v>
      </c>
      <c r="T11" s="1942">
        <f t="shared" ref="T11:T35" si="5">IFERROR(S11/S$5,0)</f>
        <v>0.10141787478094631</v>
      </c>
      <c r="U11" s="80">
        <v>8</v>
      </c>
      <c r="V11" s="37"/>
      <c r="W11" s="30"/>
    </row>
    <row r="12" spans="1:23" ht="15.75" customHeight="1">
      <c r="A12" s="3"/>
      <c r="B12" s="75">
        <v>9</v>
      </c>
      <c r="C12" s="200"/>
      <c r="D12" s="1172" t="s">
        <v>122</v>
      </c>
      <c r="E12" s="1634" t="s">
        <v>21</v>
      </c>
      <c r="F12" s="201">
        <v>21</v>
      </c>
      <c r="G12" s="202">
        <f>Page3!D12+Page3!H12+Page3!L12+Page4!D12+Page4!H12+Page4!L12+Page4!P12</f>
        <v>62764</v>
      </c>
      <c r="H12" s="1976">
        <f t="shared" si="2"/>
        <v>0.10871255882592376</v>
      </c>
      <c r="I12" s="1994">
        <f t="shared" ref="I12:I68" si="6">IF(G$4&gt;0,G12/G$4,0)</f>
        <v>6.0723284715232138E-3</v>
      </c>
      <c r="J12" s="946">
        <f>Page3!F12+Page3!J12+Page3!N12+Page4!F12+Page4!J12+Page4!N12+Page4!R12</f>
        <v>193163</v>
      </c>
      <c r="K12" s="2009">
        <f t="shared" si="3"/>
        <v>9.2505211598314471E-2</v>
      </c>
      <c r="L12" s="2020">
        <f t="shared" ref="L12:L68" si="7">IF(J$4&gt;0,J12/J$4,0)</f>
        <v>5.5301477264577646E-3</v>
      </c>
      <c r="M12" s="510">
        <f>Page3!D12+Page3!H12+Page3!L12</f>
        <v>48601</v>
      </c>
      <c r="N12" s="2033">
        <f t="shared" si="0"/>
        <v>0.12289893919662161</v>
      </c>
      <c r="O12" s="956">
        <f>Page3!F12+Page3!J12+Page3!N12</f>
        <v>138621</v>
      </c>
      <c r="P12" s="1942">
        <f t="shared" si="1"/>
        <v>9.7002475777546698E-2</v>
      </c>
      <c r="Q12" s="202">
        <f>Page4!D12+Page4!H12+Page4!L12</f>
        <v>14163</v>
      </c>
      <c r="R12" s="2033">
        <f t="shared" si="4"/>
        <v>7.7868311671175028E-2</v>
      </c>
      <c r="S12" s="956">
        <f>Page4!F12+Page4!J12+Page4!N12</f>
        <v>54542</v>
      </c>
      <c r="T12" s="1942">
        <f t="shared" si="5"/>
        <v>8.2754121243845638E-2</v>
      </c>
      <c r="U12" s="80">
        <v>9</v>
      </c>
      <c r="V12" s="37"/>
      <c r="W12" s="30"/>
    </row>
    <row r="13" spans="1:23" ht="15.75" customHeight="1">
      <c r="A13" s="3"/>
      <c r="B13" s="75">
        <v>10</v>
      </c>
      <c r="C13" s="200"/>
      <c r="D13" s="1172" t="s">
        <v>120</v>
      </c>
      <c r="E13" s="1634" t="s">
        <v>22</v>
      </c>
      <c r="F13" s="201">
        <v>22</v>
      </c>
      <c r="G13" s="202">
        <f>Page3!D13+Page3!H13+Page3!L13+Page4!D13+Page4!H13+Page4!L13+Page4!P13</f>
        <v>62646</v>
      </c>
      <c r="H13" s="1976">
        <f t="shared" si="2"/>
        <v>0.10850817284125965</v>
      </c>
      <c r="I13" s="1994">
        <f t="shared" si="6"/>
        <v>6.0609121379619404E-3</v>
      </c>
      <c r="J13" s="946">
        <f>Page3!F13+Page3!J13+Page3!N13+Page4!F13+Page4!J13+Page4!N13+Page4!R13</f>
        <v>245252</v>
      </c>
      <c r="K13" s="2009">
        <f t="shared" si="3"/>
        <v>0.11745048562566238</v>
      </c>
      <c r="L13" s="2020">
        <f t="shared" si="7"/>
        <v>7.0214264129736005E-3</v>
      </c>
      <c r="M13" s="510">
        <f>Page3!D13+Page3!H13+Page3!L13</f>
        <v>44657</v>
      </c>
      <c r="N13" s="2033">
        <f t="shared" si="0"/>
        <v>0.11292561732687663</v>
      </c>
      <c r="O13" s="956">
        <f>Page3!F13+Page3!J13+Page3!N13</f>
        <v>153352</v>
      </c>
      <c r="P13" s="1942">
        <f t="shared" si="1"/>
        <v>0.10731075136839542</v>
      </c>
      <c r="Q13" s="202">
        <f>Page4!D13+Page4!H13+Page4!L13</f>
        <v>17989</v>
      </c>
      <c r="R13" s="2033">
        <f t="shared" si="4"/>
        <v>9.8903696861736057E-2</v>
      </c>
      <c r="S13" s="956">
        <f>Page4!F13+Page4!J13+Page4!N13</f>
        <v>91900</v>
      </c>
      <c r="T13" s="1942">
        <f t="shared" si="5"/>
        <v>0.13943573287208783</v>
      </c>
      <c r="U13" s="80">
        <v>10</v>
      </c>
      <c r="V13" s="37"/>
      <c r="W13" s="30"/>
    </row>
    <row r="14" spans="1:23" ht="15.75" customHeight="1">
      <c r="A14" s="3"/>
      <c r="B14" s="75">
        <v>11</v>
      </c>
      <c r="C14" s="200"/>
      <c r="D14" s="1172" t="s">
        <v>124</v>
      </c>
      <c r="E14" s="1634" t="s">
        <v>23</v>
      </c>
      <c r="F14" s="201">
        <v>23</v>
      </c>
      <c r="G14" s="202">
        <f>Page3!D14+Page3!H14+Page3!L14+Page4!D14+Page4!H14+Page4!L14+Page4!P14</f>
        <v>35890</v>
      </c>
      <c r="H14" s="1976">
        <f t="shared" si="2"/>
        <v>6.2164516860977695E-2</v>
      </c>
      <c r="I14" s="1994">
        <f t="shared" si="6"/>
        <v>3.4723068772380366E-3</v>
      </c>
      <c r="J14" s="946">
        <f>Page3!F14+Page3!J14+Page3!N14+Page4!F14+Page4!J14+Page4!N14+Page4!R14</f>
        <v>116047</v>
      </c>
      <c r="K14" s="2009">
        <f t="shared" si="3"/>
        <v>5.5574578414859986E-2</v>
      </c>
      <c r="L14" s="2020">
        <f t="shared" si="7"/>
        <v>3.3223601477107116E-3</v>
      </c>
      <c r="M14" s="510">
        <f>Page3!D14+Page3!H14+Page3!L14</f>
        <v>9783</v>
      </c>
      <c r="N14" s="2033">
        <f t="shared" si="0"/>
        <v>2.4738592254491661E-2</v>
      </c>
      <c r="O14" s="956">
        <f>Page3!F14+Page3!J14+Page3!N14</f>
        <v>19523</v>
      </c>
      <c r="P14" s="1942">
        <f t="shared" si="1"/>
        <v>1.3661561629226771E-2</v>
      </c>
      <c r="Q14" s="202">
        <f>Page4!D14+Page4!H14+Page4!L14</f>
        <v>26107</v>
      </c>
      <c r="R14" s="2033">
        <f t="shared" si="4"/>
        <v>0.14353653977260231</v>
      </c>
      <c r="S14" s="956">
        <f>Page4!F14+Page4!J14+Page4!N14</f>
        <v>96524</v>
      </c>
      <c r="T14" s="1942">
        <f t="shared" si="5"/>
        <v>0.14645151991017852</v>
      </c>
      <c r="U14" s="80">
        <v>11</v>
      </c>
      <c r="V14" s="37"/>
      <c r="W14" s="30"/>
    </row>
    <row r="15" spans="1:23" ht="15.75" customHeight="1">
      <c r="A15" s="3"/>
      <c r="B15" s="75">
        <v>12</v>
      </c>
      <c r="C15" s="200"/>
      <c r="D15" s="1172" t="s">
        <v>112</v>
      </c>
      <c r="E15" s="1635" t="s">
        <v>24</v>
      </c>
      <c r="F15" s="201">
        <v>24</v>
      </c>
      <c r="G15" s="202">
        <f>Page3!D15+Page3!H15+Page3!L15+Page4!D15+Page4!H15+Page4!L15+Page4!P15</f>
        <v>28876</v>
      </c>
      <c r="H15" s="1976">
        <f t="shared" si="2"/>
        <v>5.001567536577297E-2</v>
      </c>
      <c r="I15" s="1994">
        <f t="shared" si="6"/>
        <v>2.7937122704688087E-3</v>
      </c>
      <c r="J15" s="946">
        <f>Page3!F15+Page3!J15+Page3!N15+Page4!F15+Page4!J15+Page4!N15+Page4!R15</f>
        <v>95156</v>
      </c>
      <c r="K15" s="2009">
        <f t="shared" si="3"/>
        <v>4.5569937901405608E-2</v>
      </c>
      <c r="L15" s="2020">
        <f t="shared" si="7"/>
        <v>2.7242626023556015E-3</v>
      </c>
      <c r="M15" s="510">
        <f>Page3!D15+Page3!H15+Page3!L15</f>
        <v>15743</v>
      </c>
      <c r="N15" s="2033">
        <f t="shared" si="0"/>
        <v>3.9809839299035289E-2</v>
      </c>
      <c r="O15" s="956">
        <f>Page3!F15+Page3!J15+Page3!N15</f>
        <v>48196</v>
      </c>
      <c r="P15" s="1942">
        <f t="shared" si="1"/>
        <v>3.3725996224054366E-2</v>
      </c>
      <c r="Q15" s="202">
        <f>Page4!D15+Page4!H15+Page4!L15</f>
        <v>13133</v>
      </c>
      <c r="R15" s="2033">
        <f t="shared" si="4"/>
        <v>7.2205361659079412E-2</v>
      </c>
      <c r="S15" s="956">
        <f>Page4!F15+Page4!J15+Page4!N15</f>
        <v>46960</v>
      </c>
      <c r="T15" s="1942">
        <f t="shared" si="5"/>
        <v>7.1250293968152814E-2</v>
      </c>
      <c r="U15" s="80">
        <v>12</v>
      </c>
      <c r="V15" s="37"/>
      <c r="W15" s="30"/>
    </row>
    <row r="16" spans="1:23" ht="15.75" customHeight="1">
      <c r="A16" s="3"/>
      <c r="B16" s="75">
        <v>13</v>
      </c>
      <c r="C16" s="200"/>
      <c r="D16" s="1172" t="s">
        <v>127</v>
      </c>
      <c r="E16" s="1627" t="s">
        <v>25</v>
      </c>
      <c r="F16" s="201">
        <v>26</v>
      </c>
      <c r="G16" s="202">
        <f>Page3!D16+Page3!H16+Page3!L16+Page4!D16+Page4!H16+Page4!L16+Page4!P16</f>
        <v>0</v>
      </c>
      <c r="H16" s="1976">
        <f t="shared" si="2"/>
        <v>0</v>
      </c>
      <c r="I16" s="1994">
        <f t="shared" si="6"/>
        <v>0</v>
      </c>
      <c r="J16" s="946">
        <f>Page3!F16+Page3!J16+Page3!N16+Page4!F16+Page4!J16+Page4!N16+Page4!R16</f>
        <v>0</v>
      </c>
      <c r="K16" s="2009">
        <f t="shared" si="3"/>
        <v>0</v>
      </c>
      <c r="L16" s="2020">
        <f t="shared" si="7"/>
        <v>0</v>
      </c>
      <c r="M16" s="510">
        <f>Page3!D16+Page3!H16+Page3!L16</f>
        <v>0</v>
      </c>
      <c r="N16" s="2033">
        <f t="shared" si="0"/>
        <v>0</v>
      </c>
      <c r="O16" s="956">
        <f>Page3!F16+Page3!J16+Page3!N16</f>
        <v>0</v>
      </c>
      <c r="P16" s="1942">
        <f t="shared" si="1"/>
        <v>0</v>
      </c>
      <c r="Q16" s="202">
        <f>Page4!D16+Page4!H16+Page4!L16</f>
        <v>0</v>
      </c>
      <c r="R16" s="2033">
        <f t="shared" si="4"/>
        <v>0</v>
      </c>
      <c r="S16" s="956">
        <f>Page4!F16+Page4!J16+Page4!N16</f>
        <v>0</v>
      </c>
      <c r="T16" s="1942">
        <f t="shared" si="5"/>
        <v>0</v>
      </c>
      <c r="U16" s="80">
        <v>13</v>
      </c>
      <c r="V16" s="37"/>
      <c r="W16" s="30"/>
    </row>
    <row r="17" spans="1:23" ht="15.75" customHeight="1">
      <c r="A17" s="3"/>
      <c r="B17" s="75">
        <v>14</v>
      </c>
      <c r="C17" s="200"/>
      <c r="D17" s="1172" t="s">
        <v>127</v>
      </c>
      <c r="E17" s="1636" t="s">
        <v>26</v>
      </c>
      <c r="F17" s="201">
        <v>25</v>
      </c>
      <c r="G17" s="202">
        <f>Page3!D17+Page3!H17+Page3!L17+Page4!D17+Page4!H17+Page4!L17+Page4!P17</f>
        <v>10296</v>
      </c>
      <c r="H17" s="1976">
        <f t="shared" si="2"/>
        <v>1.7833543204252615E-2</v>
      </c>
      <c r="I17" s="1994">
        <f t="shared" si="6"/>
        <v>9.9612347751582139E-4</v>
      </c>
      <c r="J17" s="946">
        <f>Page3!F17+Page3!J17+Page3!N17+Page4!F17+Page4!J17+Page4!N17+Page4!R17</f>
        <v>38719</v>
      </c>
      <c r="K17" s="2009">
        <f t="shared" si="3"/>
        <v>1.8542419034054857E-2</v>
      </c>
      <c r="L17" s="2020">
        <f t="shared" si="7"/>
        <v>1.1085031285531814E-3</v>
      </c>
      <c r="M17" s="510">
        <f>Page3!D17+Page3!H17+Page3!L17</f>
        <v>5006</v>
      </c>
      <c r="N17" s="2033">
        <f t="shared" si="0"/>
        <v>1.2658836024326409E-2</v>
      </c>
      <c r="O17" s="956">
        <f>Page3!F17+Page3!J17+Page3!N17</f>
        <v>16274</v>
      </c>
      <c r="P17" s="1942">
        <f t="shared" si="1"/>
        <v>1.138801690078556E-2</v>
      </c>
      <c r="Q17" s="202">
        <f>Page4!D17+Page4!H17+Page4!L17</f>
        <v>5290</v>
      </c>
      <c r="R17" s="2033">
        <f t="shared" si="4"/>
        <v>2.9084471421345473E-2</v>
      </c>
      <c r="S17" s="956">
        <f>Page4!F17+Page4!J17+Page4!N17</f>
        <v>22445</v>
      </c>
      <c r="T17" s="1942">
        <f t="shared" si="5"/>
        <v>3.4054788077410351E-2</v>
      </c>
      <c r="U17" s="80">
        <v>14</v>
      </c>
      <c r="V17" s="37"/>
      <c r="W17" s="30"/>
    </row>
    <row r="18" spans="1:23" ht="15.75" customHeight="1">
      <c r="A18" s="3"/>
      <c r="B18" s="75">
        <v>15</v>
      </c>
      <c r="C18" s="200"/>
      <c r="D18" s="1172" t="s">
        <v>122</v>
      </c>
      <c r="E18" s="1634" t="s">
        <v>27</v>
      </c>
      <c r="F18" s="201">
        <v>27</v>
      </c>
      <c r="G18" s="202">
        <f>Page3!D18+Page3!H18+Page3!L18+Page4!D18+Page4!H18+Page4!L18+Page4!P18</f>
        <v>26479</v>
      </c>
      <c r="H18" s="1976">
        <f t="shared" si="2"/>
        <v>4.5863868541706002E-2</v>
      </c>
      <c r="I18" s="1994">
        <f t="shared" si="6"/>
        <v>2.5618059014317629E-3</v>
      </c>
      <c r="J18" s="946">
        <f>Page3!F18+Page3!J18+Page3!N18+Page4!F18+Page4!J18+Page4!N18+Page4!R18</f>
        <v>100198</v>
      </c>
      <c r="K18" s="2009">
        <f t="shared" si="3"/>
        <v>4.7984537368584636E-2</v>
      </c>
      <c r="L18" s="2020">
        <f t="shared" si="7"/>
        <v>2.8686122181557291E-3</v>
      </c>
      <c r="M18" s="510">
        <f>Page3!D18+Page3!H18+Page3!L18</f>
        <v>9604</v>
      </c>
      <c r="N18" s="2033">
        <f t="shared" si="0"/>
        <v>2.4285949096610235E-2</v>
      </c>
      <c r="O18" s="956">
        <f>Page3!F18+Page3!J18+Page3!N18</f>
        <v>43022</v>
      </c>
      <c r="P18" s="1942">
        <f t="shared" si="1"/>
        <v>3.01053989864567E-2</v>
      </c>
      <c r="Q18" s="202">
        <f>Page4!D18+Page4!H18+Page4!L18</f>
        <v>16875</v>
      </c>
      <c r="R18" s="2033">
        <f t="shared" si="4"/>
        <v>9.2778914033120011E-2</v>
      </c>
      <c r="S18" s="956">
        <f>Page4!F18+Page4!J18+Page4!N18</f>
        <v>57176</v>
      </c>
      <c r="T18" s="1942">
        <f t="shared" si="5"/>
        <v>8.6750570867187085E-2</v>
      </c>
      <c r="U18" s="80">
        <v>15</v>
      </c>
      <c r="V18" s="37"/>
      <c r="W18" s="30"/>
    </row>
    <row r="19" spans="1:23" ht="15.75" customHeight="1">
      <c r="A19" s="3"/>
      <c r="B19" s="75">
        <v>16</v>
      </c>
      <c r="C19" s="187"/>
      <c r="D19" s="1172" t="s">
        <v>953</v>
      </c>
      <c r="E19" s="1637" t="s">
        <v>28</v>
      </c>
      <c r="F19" s="201">
        <v>29</v>
      </c>
      <c r="G19" s="202">
        <f>Page3!D19+Page3!H19+Page3!L19+Page4!D19+Page4!H19+Page4!L19+Page4!P19</f>
        <v>0</v>
      </c>
      <c r="H19" s="1976">
        <f t="shared" si="2"/>
        <v>0</v>
      </c>
      <c r="I19" s="1994">
        <f t="shared" si="6"/>
        <v>0</v>
      </c>
      <c r="J19" s="555">
        <f>Page3!$F19+Page3!$J19+Page3!$N19+Page4!$F19+Page4!$J19+Page4!$N19+Page4!$R19</f>
        <v>0</v>
      </c>
      <c r="K19" s="2009">
        <f t="shared" si="3"/>
        <v>0</v>
      </c>
      <c r="L19" s="2021">
        <f t="shared" si="7"/>
        <v>0</v>
      </c>
      <c r="M19" s="510">
        <f>Page3!D19+Page3!H19+Page3!L19</f>
        <v>0</v>
      </c>
      <c r="N19" s="2034">
        <f t="shared" si="0"/>
        <v>0</v>
      </c>
      <c r="O19" s="956">
        <f>Page3!F19+Page3!J19+Page3!N19</f>
        <v>0</v>
      </c>
      <c r="P19" s="1943">
        <f t="shared" si="1"/>
        <v>0</v>
      </c>
      <c r="Q19" s="202">
        <f>Page4!D19+Page4!H19+Page4!L19</f>
        <v>0</v>
      </c>
      <c r="R19" s="2034">
        <f t="shared" si="4"/>
        <v>0</v>
      </c>
      <c r="S19" s="956">
        <f>Page4!F19+Page4!J19+Page4!N19</f>
        <v>0</v>
      </c>
      <c r="T19" s="1943">
        <f t="shared" si="5"/>
        <v>0</v>
      </c>
      <c r="U19" s="80">
        <v>16</v>
      </c>
      <c r="V19" s="37"/>
      <c r="W19" s="30"/>
    </row>
    <row r="20" spans="1:23" ht="15.75" customHeight="1">
      <c r="A20" s="3"/>
      <c r="B20" s="75">
        <v>17</v>
      </c>
      <c r="C20" s="187"/>
      <c r="D20" s="1188"/>
      <c r="E20" s="1189" t="s">
        <v>29</v>
      </c>
      <c r="F20" s="297"/>
      <c r="G20" s="203">
        <f>SUM(G11:G19)</f>
        <v>260830</v>
      </c>
      <c r="H20" s="1977">
        <f t="shared" si="2"/>
        <v>0.45177963033850127</v>
      </c>
      <c r="I20" s="1995">
        <f t="shared" si="6"/>
        <v>2.5234934599888469E-2</v>
      </c>
      <c r="J20" s="716">
        <f>SUM(J11:J19)</f>
        <v>922131</v>
      </c>
      <c r="K20" s="1977">
        <f t="shared" si="3"/>
        <v>0.44160591457145171</v>
      </c>
      <c r="L20" s="2022">
        <f t="shared" si="7"/>
        <v>2.6400090354499695E-2</v>
      </c>
      <c r="M20" s="265">
        <f>SUM(M11:M19)</f>
        <v>150317</v>
      </c>
      <c r="N20" s="2035">
        <f t="shared" si="0"/>
        <v>0.38011151711319874</v>
      </c>
      <c r="O20" s="957">
        <f>SUM(O11:O19)</f>
        <v>485741</v>
      </c>
      <c r="P20" s="1944">
        <f t="shared" si="1"/>
        <v>0.33990578329878812</v>
      </c>
      <c r="Q20" s="203">
        <f>SUM(Q11:Q19)</f>
        <v>110513</v>
      </c>
      <c r="R20" s="2035">
        <f t="shared" si="4"/>
        <v>0.60760154823953727</v>
      </c>
      <c r="S20" s="957">
        <f>SUM(S11:S19)</f>
        <v>436390</v>
      </c>
      <c r="T20" s="1944">
        <f t="shared" si="5"/>
        <v>0.66211490171980847</v>
      </c>
      <c r="U20" s="80">
        <v>17</v>
      </c>
      <c r="V20" s="598"/>
      <c r="W20" s="30"/>
    </row>
    <row r="21" spans="1:23" ht="15.75" customHeight="1">
      <c r="A21" s="3"/>
      <c r="B21" s="75">
        <v>18</v>
      </c>
      <c r="C21" s="187"/>
      <c r="D21" s="1190"/>
      <c r="E21" s="1560" t="s">
        <v>30</v>
      </c>
      <c r="F21" s="201">
        <v>51</v>
      </c>
      <c r="G21" s="202">
        <f>Page3!D21+Page3!H21+Page3!L21+Page4!D21+Page4!H21+Page4!L21+Page4!P21</f>
        <v>14555</v>
      </c>
      <c r="H21" s="1976">
        <f t="shared" si="2"/>
        <v>2.521049158293481E-2</v>
      </c>
      <c r="I21" s="1994">
        <f t="shared" si="6"/>
        <v>1.4081757202061751E-3</v>
      </c>
      <c r="J21" s="946">
        <f>Page3!F21+Page3!J21+Page3!N21+Page4!F21+Page4!J21+Page4!N21+Page4!R21</f>
        <v>46060</v>
      </c>
      <c r="K21" s="2009">
        <f t="shared" si="3"/>
        <v>2.2058003065899601E-2</v>
      </c>
      <c r="L21" s="2020">
        <f t="shared" si="7"/>
        <v>1.3186718174839106E-3</v>
      </c>
      <c r="M21" s="510">
        <f>Page3!D21+Page3!H21+Page3!L21</f>
        <v>-509</v>
      </c>
      <c r="N21" s="2033">
        <f t="shared" si="0"/>
        <v>-1.2871249573276353E-3</v>
      </c>
      <c r="O21" s="956">
        <f>Page3!F21+Page3!J21+Page3!N21</f>
        <v>36551</v>
      </c>
      <c r="P21" s="1942">
        <f t="shared" si="1"/>
        <v>2.5577203253079328E-2</v>
      </c>
      <c r="Q21" s="202">
        <f>Page4!D21+Page4!H21+Page4!L21</f>
        <v>15064</v>
      </c>
      <c r="R21" s="2033">
        <f t="shared" si="4"/>
        <v>8.2822018429328584E-2</v>
      </c>
      <c r="S21" s="956">
        <f>Page4!F21+Page4!J21+Page4!N21</f>
        <v>9509</v>
      </c>
      <c r="T21" s="1942">
        <f t="shared" si="5"/>
        <v>1.4427577626558032E-2</v>
      </c>
      <c r="U21" s="80">
        <v>18</v>
      </c>
      <c r="V21" s="37"/>
      <c r="W21" s="37"/>
    </row>
    <row r="22" spans="1:23" ht="15.75" customHeight="1">
      <c r="A22" s="3"/>
      <c r="B22" s="75">
        <v>19</v>
      </c>
      <c r="C22" s="187"/>
      <c r="D22" s="1191"/>
      <c r="E22" s="1560" t="s">
        <v>31</v>
      </c>
      <c r="F22" s="201">
        <v>60</v>
      </c>
      <c r="G22" s="202">
        <f>Page3!D22+Page3!H22+Page3!L22+Page4!D22+Page4!H22+Page4!L22+Page4!P22</f>
        <v>2085</v>
      </c>
      <c r="H22" s="1976">
        <f t="shared" si="2"/>
        <v>3.6113964239381023E-3</v>
      </c>
      <c r="I22" s="1994">
        <f t="shared" si="6"/>
        <v>2.0172080911232395E-4</v>
      </c>
      <c r="J22" s="946">
        <f>Page3!F22+Page3!J22+Page3!N22+Page4!F22+Page4!J22+Page4!N22+Page4!R22</f>
        <v>12300</v>
      </c>
      <c r="K22" s="2009">
        <f t="shared" si="3"/>
        <v>5.8904350349666757E-3</v>
      </c>
      <c r="L22" s="2020">
        <f t="shared" si="7"/>
        <v>3.5214206155128312E-4</v>
      </c>
      <c r="M22" s="510">
        <f>Page3!D22+Page3!H22+Page3!L22</f>
        <v>1135</v>
      </c>
      <c r="N22" s="2033">
        <f t="shared" si="0"/>
        <v>2.8701116435498348E-3</v>
      </c>
      <c r="O22" s="956">
        <f>Page3!F22+Page3!J22+Page3!N22</f>
        <v>6663</v>
      </c>
      <c r="P22" s="1942">
        <f t="shared" si="1"/>
        <v>4.6625511005244057E-3</v>
      </c>
      <c r="Q22" s="202">
        <f>Page4!D22+Page4!H22+Page4!L22</f>
        <v>950</v>
      </c>
      <c r="R22" s="2033">
        <f t="shared" si="4"/>
        <v>5.2231092344571265E-3</v>
      </c>
      <c r="S22" s="956">
        <f>Page4!F22+Page4!J22+Page4!N22</f>
        <v>5637</v>
      </c>
      <c r="T22" s="1942">
        <f t="shared" si="5"/>
        <v>8.5527663351464538E-3</v>
      </c>
      <c r="U22" s="80">
        <v>19</v>
      </c>
      <c r="V22" s="37"/>
      <c r="W22" s="37"/>
    </row>
    <row r="23" spans="1:23" ht="15.75" customHeight="1">
      <c r="A23" s="3"/>
      <c r="B23" s="75">
        <v>20</v>
      </c>
      <c r="C23" s="187"/>
      <c r="D23" s="1191"/>
      <c r="E23" s="1560" t="s">
        <v>32</v>
      </c>
      <c r="F23" s="201">
        <v>61</v>
      </c>
      <c r="G23" s="202">
        <f>Page3!D23+Page3!H23+Page3!L23+Page4!D23+Page4!H23+Page4!L23+Page4!P23</f>
        <v>9927</v>
      </c>
      <c r="H23" s="1976">
        <f t="shared" si="2"/>
        <v>1.719440398102328E-2</v>
      </c>
      <c r="I23" s="1994">
        <f t="shared" si="6"/>
        <v>9.6042324798946757E-4</v>
      </c>
      <c r="J23" s="946">
        <f>Page3!F23+Page3!J23+Page3!N23+Page4!F23+Page4!J23+Page4!N23+Page4!R23</f>
        <v>32155</v>
      </c>
      <c r="K23" s="2009">
        <f t="shared" si="3"/>
        <v>1.539893809344337E-2</v>
      </c>
      <c r="L23" s="2020">
        <f t="shared" si="7"/>
        <v>9.2057951131556978E-4</v>
      </c>
      <c r="M23" s="510">
        <f>Page3!D23+Page3!H23+Page3!L23</f>
        <v>4913</v>
      </c>
      <c r="N23" s="2033">
        <f t="shared" si="0"/>
        <v>1.2423663880846115E-2</v>
      </c>
      <c r="O23" s="956">
        <f>Page3!F23+Page3!J23+Page3!N23</f>
        <v>13014</v>
      </c>
      <c r="P23" s="1942">
        <f t="shared" si="1"/>
        <v>9.1067747294348821E-3</v>
      </c>
      <c r="Q23" s="202">
        <f>Page4!D23+Page4!H23+Page4!L23</f>
        <v>5014</v>
      </c>
      <c r="R23" s="2033">
        <f t="shared" si="4"/>
        <v>2.7567020738492664E-2</v>
      </c>
      <c r="S23" s="956">
        <f>Page4!F23+Page4!J23+Page4!N23</f>
        <v>19141</v>
      </c>
      <c r="T23" s="1942">
        <f t="shared" si="5"/>
        <v>2.9041777615937247E-2</v>
      </c>
      <c r="U23" s="80">
        <v>20</v>
      </c>
      <c r="V23" s="37"/>
      <c r="W23" s="37"/>
    </row>
    <row r="24" spans="1:23" ht="15.75" customHeight="1">
      <c r="A24" s="3"/>
      <c r="B24" s="75">
        <v>21</v>
      </c>
      <c r="C24" s="187" t="s">
        <v>157</v>
      </c>
      <c r="D24" s="1171"/>
      <c r="E24" s="1544" t="s">
        <v>33</v>
      </c>
      <c r="F24" s="201">
        <v>63</v>
      </c>
      <c r="G24" s="202">
        <f>Page3!D24+Page3!H24+Page3!L24+Page4!D24+Page4!H24+Page4!L24+Page4!P24</f>
        <v>0</v>
      </c>
      <c r="H24" s="1976">
        <f t="shared" ref="H24:H39" si="8">IF(G$5&gt;0,G24/G$5,0)</f>
        <v>0</v>
      </c>
      <c r="I24" s="1994">
        <f t="shared" si="6"/>
        <v>0</v>
      </c>
      <c r="J24" s="946">
        <f>Page3!F24+Page3!J24+Page3!N24+Page4!F24+Page4!J24+Page4!N24+Page4!R24</f>
        <v>0</v>
      </c>
      <c r="K24" s="2009">
        <f t="shared" ref="K24:K39" si="9">IF(J$5&gt;0,J24/J$5,0)</f>
        <v>0</v>
      </c>
      <c r="L24" s="2020">
        <f t="shared" si="7"/>
        <v>0</v>
      </c>
      <c r="M24" s="510">
        <f>Page3!D24+Page3!H24+Page3!L24</f>
        <v>0</v>
      </c>
      <c r="N24" s="2033">
        <f t="shared" si="0"/>
        <v>0</v>
      </c>
      <c r="O24" s="956">
        <f>Page3!F24+Page3!J24+Page3!N24</f>
        <v>0</v>
      </c>
      <c r="P24" s="1942">
        <f t="shared" si="1"/>
        <v>0</v>
      </c>
      <c r="Q24" s="202">
        <f>Page4!D24+Page4!H24+Page4!L24</f>
        <v>0</v>
      </c>
      <c r="R24" s="2033">
        <f t="shared" si="4"/>
        <v>0</v>
      </c>
      <c r="S24" s="956">
        <f>Page4!F24+Page4!J24+Page4!N24</f>
        <v>0</v>
      </c>
      <c r="T24" s="1942">
        <f t="shared" si="5"/>
        <v>0</v>
      </c>
      <c r="U24" s="80">
        <v>21</v>
      </c>
      <c r="V24" s="37"/>
      <c r="W24" s="37"/>
    </row>
    <row r="25" spans="1:23" ht="15.75" customHeight="1">
      <c r="A25" s="3"/>
      <c r="B25" s="75">
        <v>22</v>
      </c>
      <c r="C25" s="187"/>
      <c r="D25" s="1171" t="s">
        <v>124</v>
      </c>
      <c r="E25" s="1539" t="s">
        <v>34</v>
      </c>
      <c r="F25" s="201">
        <v>65</v>
      </c>
      <c r="G25" s="202">
        <f>Page3!D25+Page3!H25+Page3!L25+Page4!D25+Page4!H25+Page4!L25+Page4!P25</f>
        <v>15756</v>
      </c>
      <c r="H25" s="1976">
        <f t="shared" si="8"/>
        <v>2.7290725206507788E-2</v>
      </c>
      <c r="I25" s="1994">
        <f t="shared" si="6"/>
        <v>1.5243707761984538E-3</v>
      </c>
      <c r="J25" s="946">
        <f>Page3!F25+Page3!J25+Page3!N25+Page4!F25+Page4!J25+Page4!N25+Page4!R25</f>
        <v>69283</v>
      </c>
      <c r="K25" s="2009">
        <f t="shared" si="9"/>
        <v>3.3179431750211076E-2</v>
      </c>
      <c r="L25" s="2020">
        <f t="shared" si="7"/>
        <v>1.9835332073542722E-3</v>
      </c>
      <c r="M25" s="510">
        <f>Page3!D25+Page3!H25+Page3!L25</f>
        <v>14184</v>
      </c>
      <c r="N25" s="2033">
        <f t="shared" si="0"/>
        <v>3.5867544979833355E-2</v>
      </c>
      <c r="O25" s="956">
        <f>Page3!F25+Page3!J25+Page3!N25</f>
        <v>62226</v>
      </c>
      <c r="P25" s="1942">
        <f t="shared" si="1"/>
        <v>4.3543734771308969E-2</v>
      </c>
      <c r="Q25" s="202">
        <f>Page4!D25+Page4!H25+Page4!L25</f>
        <v>1572</v>
      </c>
      <c r="R25" s="2033">
        <f t="shared" si="4"/>
        <v>8.6428712805964245E-3</v>
      </c>
      <c r="S25" s="956">
        <f>Page4!F25+Page4!J25+Page4!N25</f>
        <v>7057</v>
      </c>
      <c r="T25" s="1942">
        <f t="shared" si="5"/>
        <v>1.0707268409992641E-2</v>
      </c>
      <c r="U25" s="80">
        <v>22</v>
      </c>
      <c r="V25" s="37"/>
      <c r="W25" s="37"/>
    </row>
    <row r="26" spans="1:23" ht="15.75" customHeight="1">
      <c r="A26" s="3"/>
      <c r="B26" s="75">
        <v>23</v>
      </c>
      <c r="C26" s="187" t="s">
        <v>120</v>
      </c>
      <c r="D26" s="1172" t="s">
        <v>122</v>
      </c>
      <c r="E26" s="1539" t="s">
        <v>35</v>
      </c>
      <c r="F26" s="201">
        <v>64</v>
      </c>
      <c r="G26" s="202">
        <f>Page3!D26+Page3!H26+Page3!L26+Page4!D26+Page4!H26+Page4!L26+Page4!P26</f>
        <v>0</v>
      </c>
      <c r="H26" s="1976">
        <f t="shared" si="8"/>
        <v>0</v>
      </c>
      <c r="I26" s="1994">
        <f t="shared" si="6"/>
        <v>0</v>
      </c>
      <c r="J26" s="946">
        <f>Page3!F26+Page3!J26+Page3!N26+Page4!F26+Page4!J26+Page4!N26+Page4!R26</f>
        <v>-45212</v>
      </c>
      <c r="K26" s="2009">
        <f t="shared" si="9"/>
        <v>-2.1651898276497019E-2</v>
      </c>
      <c r="L26" s="2020">
        <f t="shared" si="7"/>
        <v>-1.2943940558420011E-3</v>
      </c>
      <c r="M26" s="510">
        <f>Page3!D26+Page3!H26+Page3!L26</f>
        <v>0</v>
      </c>
      <c r="N26" s="2033">
        <f t="shared" si="0"/>
        <v>0</v>
      </c>
      <c r="O26" s="956">
        <f>Page3!F26+Page3!J26+Page3!N26</f>
        <v>-45212</v>
      </c>
      <c r="P26" s="1942">
        <f t="shared" si="1"/>
        <v>-3.1637889892977555E-2</v>
      </c>
      <c r="Q26" s="202">
        <f>Page4!D26+Page4!H26+Page4!L26</f>
        <v>0</v>
      </c>
      <c r="R26" s="2033">
        <f t="shared" si="4"/>
        <v>0</v>
      </c>
      <c r="S26" s="956">
        <f>Page4!F26+Page4!J26+Page4!N26</f>
        <v>0</v>
      </c>
      <c r="T26" s="1942">
        <f t="shared" si="5"/>
        <v>0</v>
      </c>
      <c r="U26" s="80">
        <v>23</v>
      </c>
      <c r="V26" s="37"/>
      <c r="W26" s="37"/>
    </row>
    <row r="27" spans="1:23" ht="15.75" customHeight="1">
      <c r="A27" s="3"/>
      <c r="B27" s="75">
        <v>24</v>
      </c>
      <c r="C27" s="187"/>
      <c r="D27" s="1172" t="s">
        <v>147</v>
      </c>
      <c r="E27" s="1539" t="s">
        <v>36</v>
      </c>
      <c r="F27" s="201">
        <v>66</v>
      </c>
      <c r="G27" s="202">
        <f>Page3!D27+Page3!H27+Page3!L27+Page4!D27+Page4!H27+Page4!L27+Page4!P27</f>
        <v>500</v>
      </c>
      <c r="H27" s="1976">
        <f t="shared" si="8"/>
        <v>8.6604230789882549E-4</v>
      </c>
      <c r="I27" s="1994">
        <f t="shared" si="6"/>
        <v>4.8374294751156826E-5</v>
      </c>
      <c r="J27" s="946">
        <f>Page3!F27+Page3!J27+Page3!N27+Page4!F27+Page4!J27+Page4!N27+Page4!R27</f>
        <v>500</v>
      </c>
      <c r="K27" s="2009">
        <f t="shared" si="9"/>
        <v>2.3944857865718195E-4</v>
      </c>
      <c r="L27" s="2020">
        <f t="shared" si="7"/>
        <v>1.4314717949239151E-5</v>
      </c>
      <c r="M27" s="512">
        <f>Page3!D27+Page3!H27+Page3!L27</f>
        <v>250</v>
      </c>
      <c r="N27" s="2034">
        <f t="shared" si="0"/>
        <v>6.3218318139864212E-4</v>
      </c>
      <c r="O27" s="958">
        <f>Page3!F27+Page3!J27+Page3!N27</f>
        <v>250</v>
      </c>
      <c r="P27" s="1943">
        <f t="shared" si="1"/>
        <v>1.7494188430603353E-4</v>
      </c>
      <c r="Q27" s="202">
        <f>Page4!D27+Page4!H27+Page4!L27</f>
        <v>250</v>
      </c>
      <c r="R27" s="2034">
        <f t="shared" si="4"/>
        <v>1.3745024301202965E-3</v>
      </c>
      <c r="S27" s="956">
        <f>Page4!F27+Page4!J27+Page4!N27</f>
        <v>250</v>
      </c>
      <c r="T27" s="1943">
        <f t="shared" si="5"/>
        <v>3.7931374557151202E-4</v>
      </c>
      <c r="U27" s="80">
        <v>24</v>
      </c>
      <c r="V27" s="37"/>
      <c r="W27" s="37"/>
    </row>
    <row r="28" spans="1:23" ht="15.75" customHeight="1">
      <c r="A28" s="3"/>
      <c r="B28" s="75">
        <v>25</v>
      </c>
      <c r="C28" s="187" t="s">
        <v>145</v>
      </c>
      <c r="D28" s="1172" t="s">
        <v>114</v>
      </c>
      <c r="E28" s="1638" t="s">
        <v>37</v>
      </c>
      <c r="F28" s="201">
        <v>67</v>
      </c>
      <c r="G28" s="202">
        <f>Page3!D28+Page3!H28+Page3!L28+Page4!D28+Page4!H28+Page4!L28+Page4!P28</f>
        <v>444</v>
      </c>
      <c r="H28" s="1976">
        <f t="shared" si="8"/>
        <v>7.6904556941415699E-4</v>
      </c>
      <c r="I28" s="1994">
        <f t="shared" si="6"/>
        <v>4.2956373739027262E-5</v>
      </c>
      <c r="J28" s="555">
        <f>Page3!F28+Page3!J28+Page3!N28+Page4!F28+Page4!J28+Page4!N28+Page4!R28</f>
        <v>9574</v>
      </c>
      <c r="K28" s="2009">
        <f t="shared" si="9"/>
        <v>4.5849613841277203E-3</v>
      </c>
      <c r="L28" s="2020">
        <f t="shared" si="7"/>
        <v>2.7409821929203127E-4</v>
      </c>
      <c r="M28" s="920"/>
      <c r="N28" s="2036"/>
      <c r="O28" s="922"/>
      <c r="P28" s="2044"/>
      <c r="Q28" s="202">
        <f>Page4!D28+Page4!H28+Page4!L28</f>
        <v>444</v>
      </c>
      <c r="R28" s="2047">
        <f t="shared" si="4"/>
        <v>2.4411163158936464E-3</v>
      </c>
      <c r="S28" s="956">
        <f>Page4!F28+Page4!J28+Page4!N28</f>
        <v>9574</v>
      </c>
      <c r="T28" s="1941">
        <f t="shared" si="5"/>
        <v>1.4526199200406624E-2</v>
      </c>
      <c r="U28" s="80">
        <v>25</v>
      </c>
      <c r="V28" s="37"/>
      <c r="W28" s="37"/>
    </row>
    <row r="29" spans="1:23" ht="15.75" customHeight="1">
      <c r="A29" s="3"/>
      <c r="B29" s="75">
        <v>26</v>
      </c>
      <c r="C29" s="187"/>
      <c r="D29" s="1174"/>
      <c r="E29" s="1635" t="s">
        <v>38</v>
      </c>
      <c r="F29" s="201">
        <v>68</v>
      </c>
      <c r="G29" s="202">
        <f>Page3!D29+Page3!H29+Page3!L29+Page4!D29+Page4!H29+Page4!L29+Page4!P29</f>
        <v>21336</v>
      </c>
      <c r="H29" s="1976">
        <f t="shared" si="8"/>
        <v>3.695575736265868E-2</v>
      </c>
      <c r="I29" s="1994">
        <f t="shared" si="6"/>
        <v>2.064227905621364E-3</v>
      </c>
      <c r="J29" s="946">
        <f>Page3!F29+Page3!J29+Page3!N29+Page4!F29+Page4!J29+Page4!N29+Page4!R29</f>
        <v>75726</v>
      </c>
      <c r="K29" s="2009">
        <f t="shared" si="9"/>
        <v>3.6264966134787517E-2</v>
      </c>
      <c r="L29" s="2020">
        <f t="shared" si="7"/>
        <v>2.1679926628481679E-3</v>
      </c>
      <c r="M29" s="510">
        <f>Page3!D29+Page3!H29+Page3!L29</f>
        <v>10045</v>
      </c>
      <c r="N29" s="2033">
        <f t="shared" ref="N29:N61" si="10">IFERROR(M29/M$5,0)</f>
        <v>2.5401120228597439E-2</v>
      </c>
      <c r="O29" s="956">
        <f>Page3!F29+Page3!J29+Page3!N29</f>
        <v>34247</v>
      </c>
      <c r="P29" s="1942">
        <f t="shared" ref="P29:P61" si="11">IFERROR(O29/O$5,0)</f>
        <v>2.3964938847314921E-2</v>
      </c>
      <c r="Q29" s="202">
        <f>Page4!D29+Page4!H29+Page4!L29</f>
        <v>11291</v>
      </c>
      <c r="R29" s="2033">
        <f t="shared" si="4"/>
        <v>6.2078027753953068E-2</v>
      </c>
      <c r="S29" s="956">
        <f>Page4!F29+Page4!J29+Page4!N29</f>
        <v>41479</v>
      </c>
      <c r="T29" s="1942">
        <f t="shared" si="5"/>
        <v>6.2934219410242992E-2</v>
      </c>
      <c r="U29" s="80">
        <v>26</v>
      </c>
      <c r="V29" s="37"/>
      <c r="W29" s="37"/>
    </row>
    <row r="30" spans="1:23" ht="15.75" customHeight="1">
      <c r="A30" s="3"/>
      <c r="B30" s="75">
        <v>27</v>
      </c>
      <c r="C30" s="187" t="s">
        <v>114</v>
      </c>
      <c r="D30" s="1172"/>
      <c r="E30" s="1634" t="s">
        <v>39</v>
      </c>
      <c r="F30" s="201">
        <v>69</v>
      </c>
      <c r="G30" s="202">
        <f>Page3!D30+Page3!H30+Page3!L30+Page4!D30+Page4!H30+Page4!L30+Page4!P30</f>
        <v>6900</v>
      </c>
      <c r="H30" s="1976">
        <f t="shared" si="8"/>
        <v>1.1951383849003792E-2</v>
      </c>
      <c r="I30" s="1994">
        <f t="shared" si="6"/>
        <v>6.6756526756596413E-4</v>
      </c>
      <c r="J30" s="946">
        <f>Page3!F30+Page3!J30+Page3!N30+Page4!F30+Page4!J30+Page4!N30+Page4!R30</f>
        <v>21330</v>
      </c>
      <c r="K30" s="2009">
        <f t="shared" si="9"/>
        <v>1.0214876365515381E-2</v>
      </c>
      <c r="L30" s="2020">
        <f t="shared" si="7"/>
        <v>6.1066586771454218E-4</v>
      </c>
      <c r="M30" s="510">
        <f>Page3!D30+Page3!H30+Page3!L30</f>
        <v>1676</v>
      </c>
      <c r="N30" s="2033">
        <f t="shared" si="10"/>
        <v>4.2381560480964963E-3</v>
      </c>
      <c r="O30" s="956">
        <f>Page3!F30+Page3!J30+Page3!N30</f>
        <v>4129</v>
      </c>
      <c r="P30" s="1942">
        <f t="shared" si="11"/>
        <v>2.8893401611984498E-3</v>
      </c>
      <c r="Q30" s="202">
        <f>Page4!D30+Page4!H30+Page4!L30</f>
        <v>5224</v>
      </c>
      <c r="R30" s="2033">
        <f t="shared" si="4"/>
        <v>2.8721602779793715E-2</v>
      </c>
      <c r="S30" s="956">
        <f>Page4!F30+Page4!J30+Page4!N30</f>
        <v>17201</v>
      </c>
      <c r="T30" s="1942">
        <f t="shared" si="5"/>
        <v>2.6098302950302313E-2</v>
      </c>
      <c r="U30" s="80">
        <v>27</v>
      </c>
      <c r="V30" s="37"/>
      <c r="W30" s="37"/>
    </row>
    <row r="31" spans="1:23" ht="15.75" customHeight="1">
      <c r="A31" s="3"/>
      <c r="B31" s="75">
        <v>28</v>
      </c>
      <c r="C31" s="187"/>
      <c r="D31" s="1172" t="s">
        <v>157</v>
      </c>
      <c r="E31" s="1634" t="s">
        <v>40</v>
      </c>
      <c r="F31" s="201">
        <v>70</v>
      </c>
      <c r="G31" s="202">
        <f>Page3!D31+Page3!H31+Page3!L31+Page4!D31+Page4!H31+Page4!L31+Page4!P31</f>
        <v>2668</v>
      </c>
      <c r="H31" s="1976">
        <f t="shared" si="8"/>
        <v>4.6212017549481328E-3</v>
      </c>
      <c r="I31" s="1994">
        <f t="shared" si="6"/>
        <v>2.5812523679217278E-4</v>
      </c>
      <c r="J31" s="946">
        <f>Page3!F31+Page3!J31+Page3!N31+Page4!F31+Page4!J31+Page4!N31+Page4!R31</f>
        <v>7730</v>
      </c>
      <c r="K31" s="2009">
        <f t="shared" si="9"/>
        <v>3.7018750260400328E-3</v>
      </c>
      <c r="L31" s="2020">
        <f t="shared" si="7"/>
        <v>2.2130553949523728E-4</v>
      </c>
      <c r="M31" s="510">
        <f>Page3!D31+Page3!H31+Page3!L31</f>
        <v>1267</v>
      </c>
      <c r="N31" s="2033">
        <f t="shared" si="10"/>
        <v>3.203904363328318E-3</v>
      </c>
      <c r="O31" s="956">
        <f>Page3!F31+Page3!J31+Page3!N31</f>
        <v>4139</v>
      </c>
      <c r="P31" s="1942">
        <f t="shared" si="11"/>
        <v>2.8963378365706913E-3</v>
      </c>
      <c r="Q31" s="202">
        <f>Page4!D31+Page4!H31+Page4!L31</f>
        <v>1401</v>
      </c>
      <c r="R31" s="2033">
        <f t="shared" si="4"/>
        <v>7.7027116183941416E-3</v>
      </c>
      <c r="S31" s="956">
        <f>Page4!F31+Page4!J31+Page4!N31</f>
        <v>3591</v>
      </c>
      <c r="T31" s="1942">
        <f t="shared" si="5"/>
        <v>5.448462641389199E-3</v>
      </c>
      <c r="U31" s="80">
        <v>28</v>
      </c>
      <c r="V31" s="37"/>
      <c r="W31" s="37"/>
    </row>
    <row r="32" spans="1:23" ht="15.75" customHeight="1">
      <c r="A32" s="3"/>
      <c r="B32" s="75">
        <v>29</v>
      </c>
      <c r="C32" s="187" t="s">
        <v>124</v>
      </c>
      <c r="D32" s="1172" t="s">
        <v>114</v>
      </c>
      <c r="E32" s="1634" t="s">
        <v>41</v>
      </c>
      <c r="F32" s="201">
        <v>71</v>
      </c>
      <c r="G32" s="202">
        <f>Page3!D32+Page3!H32+Page3!L32+Page4!D32+Page4!H32+Page4!L32+Page4!P32</f>
        <v>380</v>
      </c>
      <c r="H32" s="1976">
        <f t="shared" si="8"/>
        <v>6.581921540031074E-4</v>
      </c>
      <c r="I32" s="1994">
        <f t="shared" si="6"/>
        <v>3.6764464010879188E-5</v>
      </c>
      <c r="J32" s="946">
        <f>Page3!F32+Page3!J32+Page3!N32+Page4!F32+Page4!J32+Page4!N32+Page4!R32</f>
        <v>2490</v>
      </c>
      <c r="K32" s="2009">
        <f t="shared" si="9"/>
        <v>1.192453921712766E-3</v>
      </c>
      <c r="L32" s="2020">
        <f t="shared" si="7"/>
        <v>7.1287295387210972E-5</v>
      </c>
      <c r="M32" s="510">
        <f>Page3!D32+Page3!H32+Page3!L32</f>
        <v>305</v>
      </c>
      <c r="N32" s="2033">
        <f t="shared" si="10"/>
        <v>7.7126348130634331E-4</v>
      </c>
      <c r="O32" s="956">
        <f>Page3!F32+Page3!J32+Page3!N32</f>
        <v>2354</v>
      </c>
      <c r="P32" s="1942">
        <f t="shared" si="11"/>
        <v>1.6472527826256118E-3</v>
      </c>
      <c r="Q32" s="202">
        <f>Page4!D32+Page4!H32+Page4!L32</f>
        <v>75</v>
      </c>
      <c r="R32" s="2033">
        <f t="shared" si="4"/>
        <v>4.1235072903608895E-4</v>
      </c>
      <c r="S32" s="956">
        <f>Page4!F32+Page4!J32+Page4!N32</f>
        <v>136</v>
      </c>
      <c r="T32" s="1942">
        <f t="shared" si="5"/>
        <v>2.0634667759090254E-4</v>
      </c>
      <c r="U32" s="80">
        <v>29</v>
      </c>
      <c r="V32" s="37"/>
      <c r="W32" s="37"/>
    </row>
    <row r="33" spans="1:23" ht="15.75" customHeight="1">
      <c r="A33" s="3"/>
      <c r="B33" s="75">
        <v>30</v>
      </c>
      <c r="C33" s="187"/>
      <c r="D33" s="1172" t="s">
        <v>773</v>
      </c>
      <c r="E33" s="1634" t="s">
        <v>42</v>
      </c>
      <c r="F33" s="201">
        <v>72</v>
      </c>
      <c r="G33" s="202">
        <f>Page3!D33+Page3!H33+Page3!L33+Page4!D33+Page4!H33+Page4!L33+Page4!P33</f>
        <v>2000</v>
      </c>
      <c r="H33" s="1976">
        <f t="shared" si="8"/>
        <v>3.464169231595302E-3</v>
      </c>
      <c r="I33" s="1994">
        <f t="shared" si="6"/>
        <v>1.934971790046273E-4</v>
      </c>
      <c r="J33" s="946">
        <f>Page3!F33+Page3!J33+Page3!N33+Page4!F33+Page4!J33+Page4!N33+Page4!R33</f>
        <v>3000</v>
      </c>
      <c r="K33" s="2009">
        <f t="shared" si="9"/>
        <v>1.4366914719430917E-3</v>
      </c>
      <c r="L33" s="2020">
        <f t="shared" si="7"/>
        <v>8.5888307695434902E-5</v>
      </c>
      <c r="M33" s="510">
        <f>Page3!D33+Page3!H33+Page3!L33</f>
        <v>1000</v>
      </c>
      <c r="N33" s="2033">
        <f t="shared" si="10"/>
        <v>2.5287327255945685E-3</v>
      </c>
      <c r="O33" s="956">
        <f>Page3!F33+Page3!J33+Page3!N33</f>
        <v>1500</v>
      </c>
      <c r="P33" s="1942">
        <f t="shared" si="11"/>
        <v>1.0496513058362012E-3</v>
      </c>
      <c r="Q33" s="202">
        <f>Page4!D33+Page4!H33+Page4!L33</f>
        <v>1000</v>
      </c>
      <c r="R33" s="2033">
        <f t="shared" si="4"/>
        <v>5.4980097204811859E-3</v>
      </c>
      <c r="S33" s="956">
        <f>Page4!F33+Page4!J33+Page4!N33</f>
        <v>1500</v>
      </c>
      <c r="T33" s="1942">
        <f t="shared" si="5"/>
        <v>2.2758824734290723E-3</v>
      </c>
      <c r="U33" s="80">
        <v>30</v>
      </c>
      <c r="V33" s="37"/>
      <c r="W33" s="37"/>
    </row>
    <row r="34" spans="1:23" ht="15.75" customHeight="1">
      <c r="A34" s="3"/>
      <c r="B34" s="75">
        <v>31</v>
      </c>
      <c r="C34" s="187"/>
      <c r="D34" s="1172" t="s">
        <v>122</v>
      </c>
      <c r="E34" s="1635" t="s">
        <v>43</v>
      </c>
      <c r="F34" s="201">
        <v>74</v>
      </c>
      <c r="G34" s="202">
        <f>Page3!D34+Page3!H34+Page3!L34+Page4!D34+Page4!H34+Page4!L34+Page4!P34</f>
        <v>1024</v>
      </c>
      <c r="H34" s="1976">
        <f t="shared" si="8"/>
        <v>1.7736546465767947E-3</v>
      </c>
      <c r="I34" s="1994">
        <f t="shared" si="6"/>
        <v>9.907055565036918E-5</v>
      </c>
      <c r="J34" s="946">
        <f>Page3!F34+Page3!J34+Page3!N34+Page4!F34+Page4!J34+Page4!N34+Page4!R34</f>
        <v>2987</v>
      </c>
      <c r="K34" s="2009">
        <f t="shared" si="9"/>
        <v>1.4304658088980049E-3</v>
      </c>
      <c r="L34" s="2020">
        <f t="shared" si="7"/>
        <v>8.5516125028754696E-5</v>
      </c>
      <c r="M34" s="510">
        <f>Page3!D34+Page3!H34+Page3!L34</f>
        <v>473</v>
      </c>
      <c r="N34" s="2033">
        <f t="shared" si="10"/>
        <v>1.1960905792062309E-3</v>
      </c>
      <c r="O34" s="956">
        <f>Page3!F34+Page3!J34+Page3!N34</f>
        <v>1257</v>
      </c>
      <c r="P34" s="1942">
        <f t="shared" si="11"/>
        <v>8.7960779429073661E-4</v>
      </c>
      <c r="Q34" s="202">
        <f>Page4!D34+Page4!H34+Page4!L34</f>
        <v>551</v>
      </c>
      <c r="R34" s="2033">
        <f t="shared" si="4"/>
        <v>3.0294033559851333E-3</v>
      </c>
      <c r="S34" s="956">
        <f>Page4!F34+Page4!J34+Page4!N34</f>
        <v>1730</v>
      </c>
      <c r="T34" s="1942">
        <f t="shared" si="5"/>
        <v>2.6248511193548633E-3</v>
      </c>
      <c r="U34" s="80">
        <v>31</v>
      </c>
      <c r="V34" s="37"/>
      <c r="W34" s="37"/>
    </row>
    <row r="35" spans="1:23" ht="15.75" customHeight="1">
      <c r="A35" s="3"/>
      <c r="B35" s="75">
        <v>32</v>
      </c>
      <c r="C35" s="187" t="s">
        <v>13723</v>
      </c>
      <c r="D35" s="1172" t="s">
        <v>124</v>
      </c>
      <c r="E35" s="1634" t="s">
        <v>44</v>
      </c>
      <c r="F35" s="201">
        <v>75</v>
      </c>
      <c r="G35" s="202">
        <f>Page3!D35+Page3!H35+Page3!L35+Page4!D35+Page4!H35+Page4!L35+Page4!P35</f>
        <v>7967</v>
      </c>
      <c r="H35" s="1976">
        <f t="shared" si="8"/>
        <v>1.3799518134059885E-2</v>
      </c>
      <c r="I35" s="1994">
        <f t="shared" si="6"/>
        <v>7.7079601256493284E-4</v>
      </c>
      <c r="J35" s="946">
        <f>Page3!F35+Page3!J35+Page3!N35+Page4!F35+Page4!J35+Page4!N35+Page4!R35</f>
        <v>20965</v>
      </c>
      <c r="K35" s="2009">
        <f t="shared" si="9"/>
        <v>1.0040078903095639E-2</v>
      </c>
      <c r="L35" s="2020">
        <f t="shared" si="7"/>
        <v>6.0021612361159762E-4</v>
      </c>
      <c r="M35" s="510">
        <f>Page3!D35+Page3!H35+Page3!L35</f>
        <v>675</v>
      </c>
      <c r="N35" s="2033">
        <f t="shared" si="10"/>
        <v>1.7068945897763335E-3</v>
      </c>
      <c r="O35" s="956">
        <f>Page3!F35+Page3!J35+Page3!N35</f>
        <v>2533</v>
      </c>
      <c r="P35" s="1942">
        <f t="shared" si="11"/>
        <v>1.7725111717887317E-3</v>
      </c>
      <c r="Q35" s="205">
        <f>Page4!D35+Page4!H35+Page4!L35</f>
        <v>7292</v>
      </c>
      <c r="R35" s="2034">
        <f t="shared" si="4"/>
        <v>4.0091486881748808E-2</v>
      </c>
      <c r="S35" s="958">
        <f>Page4!F35+Page4!J35+Page4!N35</f>
        <v>18432</v>
      </c>
      <c r="T35" s="1943">
        <f t="shared" si="5"/>
        <v>2.7966043833496438E-2</v>
      </c>
      <c r="U35" s="80">
        <v>32</v>
      </c>
      <c r="V35" s="37"/>
      <c r="W35" s="37"/>
    </row>
    <row r="36" spans="1:23" ht="15.75" customHeight="1">
      <c r="A36" s="3"/>
      <c r="B36" s="75">
        <v>33</v>
      </c>
      <c r="C36" s="187"/>
      <c r="D36" s="1192"/>
      <c r="E36" s="1539" t="s">
        <v>45</v>
      </c>
      <c r="F36" s="201">
        <v>76</v>
      </c>
      <c r="G36" s="202">
        <f>Page3!D36+Page3!H36+Page3!L36+Page4!D36+Page4!H36+Page4!L36+Page4!P36</f>
        <v>100200</v>
      </c>
      <c r="H36" s="1976">
        <f t="shared" si="8"/>
        <v>0.17355487850292461</v>
      </c>
      <c r="I36" s="1994">
        <f t="shared" si="6"/>
        <v>9.6942086681318269E-3</v>
      </c>
      <c r="J36" s="946">
        <f>Page3!F36+Page3!J36+Page3!N36+Page4!F36+Page4!J36+Page4!N36+Page4!R36</f>
        <v>422526</v>
      </c>
      <c r="K36" s="2009">
        <f t="shared" si="9"/>
        <v>0.20234650029140891</v>
      </c>
      <c r="L36" s="2020">
        <f t="shared" si="7"/>
        <v>1.2096681032440442E-2</v>
      </c>
      <c r="M36" s="510">
        <f>Page3!D36+Page3!H36+Page3!L36</f>
        <v>100200</v>
      </c>
      <c r="N36" s="2033">
        <f t="shared" si="10"/>
        <v>0.25337901910457572</v>
      </c>
      <c r="O36" s="956">
        <f>Page3!F36+Page3!J36+Page3!N36</f>
        <v>422526</v>
      </c>
      <c r="P36" s="1942">
        <f t="shared" si="11"/>
        <v>0.2956699784331645</v>
      </c>
      <c r="Q36" s="1006"/>
      <c r="R36" s="2048"/>
      <c r="S36" s="1639"/>
      <c r="T36" s="2052"/>
      <c r="U36" s="80">
        <v>33</v>
      </c>
      <c r="V36" s="37"/>
      <c r="W36" s="37"/>
    </row>
    <row r="37" spans="1:23" ht="15.75" customHeight="1">
      <c r="A37" s="3"/>
      <c r="B37" s="75">
        <v>34</v>
      </c>
      <c r="C37" s="187" t="s">
        <v>692</v>
      </c>
      <c r="D37" s="1192"/>
      <c r="E37" s="1539" t="s">
        <v>46</v>
      </c>
      <c r="F37" s="201">
        <v>78</v>
      </c>
      <c r="G37" s="202">
        <f>Page3!D37+Page3!H37+Page3!L37+Page4!D37+Page4!H37+Page4!L37+Page4!P37</f>
        <v>-86777</v>
      </c>
      <c r="H37" s="1976">
        <f t="shared" si="8"/>
        <v>-0.15030510670507274</v>
      </c>
      <c r="I37" s="1994">
        <f t="shared" si="6"/>
        <v>-8.3955523512422719E-3</v>
      </c>
      <c r="J37" s="946">
        <f>Page3!F37+Page3!J37+Page3!N37+Page4!F37+Page4!J37+Page4!N37+Page4!R37</f>
        <v>-280611</v>
      </c>
      <c r="K37" s="2009">
        <f t="shared" si="9"/>
        <v>-0.13438381021114096</v>
      </c>
      <c r="L37" s="2020">
        <f t="shared" si="7"/>
        <v>-8.0337346369078952E-3</v>
      </c>
      <c r="M37" s="510">
        <f>Page3!D37+Page3!H37+Page3!L37</f>
        <v>-86777</v>
      </c>
      <c r="N37" s="2033">
        <f t="shared" si="10"/>
        <v>-0.21943583972891986</v>
      </c>
      <c r="O37" s="956">
        <f>Page3!F37+Page3!J37+Page3!N37</f>
        <v>-280611</v>
      </c>
      <c r="P37" s="1942">
        <f t="shared" si="11"/>
        <v>-0.1963624683880015</v>
      </c>
      <c r="Q37" s="1640"/>
      <c r="R37" s="2049"/>
      <c r="S37" s="1641"/>
      <c r="T37" s="2053"/>
      <c r="U37" s="80">
        <v>34</v>
      </c>
      <c r="V37" s="37"/>
      <c r="W37" s="37"/>
    </row>
    <row r="38" spans="1:23" ht="15.75" customHeight="1">
      <c r="A38" s="3"/>
      <c r="B38" s="75">
        <v>35</v>
      </c>
      <c r="C38" s="187"/>
      <c r="D38" s="1192"/>
      <c r="E38" s="1539" t="s">
        <v>47</v>
      </c>
      <c r="F38" s="201">
        <v>79</v>
      </c>
      <c r="G38" s="202">
        <f>Page3!D38+Page3!H38+Page3!L38+Page4!D38+Page4!H38+Page4!L38+Page4!P38</f>
        <v>3777</v>
      </c>
      <c r="H38" s="1976">
        <f t="shared" si="8"/>
        <v>6.5420835938677273E-3</v>
      </c>
      <c r="I38" s="1994">
        <f t="shared" si="6"/>
        <v>3.6541942255023863E-4</v>
      </c>
      <c r="J38" s="946">
        <f>Page3!F38+Page3!J38+Page3!N38+Page4!F38+Page4!J38+Page4!N38+Page4!R38</f>
        <v>12898</v>
      </c>
      <c r="K38" s="2009">
        <f t="shared" si="9"/>
        <v>6.1768155350406658E-3</v>
      </c>
      <c r="L38" s="2020">
        <f t="shared" si="7"/>
        <v>3.6926246421857317E-4</v>
      </c>
      <c r="M38" s="510">
        <f>Page3!D38+Page3!H38+Page3!L38</f>
        <v>1888</v>
      </c>
      <c r="N38" s="2033">
        <f t="shared" si="10"/>
        <v>4.7742473859225453E-3</v>
      </c>
      <c r="O38" s="956">
        <f>Page3!F38+Page3!J38+Page3!N38</f>
        <v>6449</v>
      </c>
      <c r="P38" s="1942">
        <f t="shared" si="11"/>
        <v>4.5128008475584409E-3</v>
      </c>
      <c r="Q38" s="205">
        <f>Page4!D38+Page4!H38+Page4!L38</f>
        <v>1889</v>
      </c>
      <c r="R38" s="2034">
        <f>IFERROR(Q38/Q$5,0)</f>
        <v>1.0385740361988961E-2</v>
      </c>
      <c r="S38" s="958">
        <f>Page4!F38+Page4!J38+Page4!N38</f>
        <v>6449</v>
      </c>
      <c r="T38" s="1943">
        <f>IFERROR(S38/S$5,0)</f>
        <v>9.7847773807627249E-3</v>
      </c>
      <c r="U38" s="80">
        <v>35</v>
      </c>
      <c r="V38" s="37"/>
      <c r="W38" s="37"/>
    </row>
    <row r="39" spans="1:23" ht="15.75" customHeight="1">
      <c r="A39" s="3"/>
      <c r="B39" s="75">
        <v>36</v>
      </c>
      <c r="C39" s="187" t="s">
        <v>127</v>
      </c>
      <c r="D39" s="1192"/>
      <c r="E39" s="1539" t="s">
        <v>48</v>
      </c>
      <c r="F39" s="201">
        <v>56</v>
      </c>
      <c r="G39" s="202">
        <f>Page3!D39+Page3!H39+Page3!L39+Page4!D39+Page4!H39+Page4!L39+Page4!P39</f>
        <v>0</v>
      </c>
      <c r="H39" s="1976">
        <f t="shared" si="8"/>
        <v>0</v>
      </c>
      <c r="I39" s="1994">
        <f t="shared" si="6"/>
        <v>0</v>
      </c>
      <c r="J39" s="946">
        <f>Page3!F39+Page3!J39+Page3!N39+Page4!F39+Page4!J39+Page4!N39+Page4!R39</f>
        <v>0</v>
      </c>
      <c r="K39" s="2009">
        <f t="shared" si="9"/>
        <v>0</v>
      </c>
      <c r="L39" s="2020">
        <f t="shared" si="7"/>
        <v>0</v>
      </c>
      <c r="M39" s="510">
        <f>Page3!D39+Page3!H39+Page3!L39</f>
        <v>0</v>
      </c>
      <c r="N39" s="2033">
        <f t="shared" si="10"/>
        <v>0</v>
      </c>
      <c r="O39" s="956">
        <f>Page3!F39+Page3!J39+Page3!N39</f>
        <v>0</v>
      </c>
      <c r="P39" s="1942">
        <f t="shared" si="11"/>
        <v>0</v>
      </c>
      <c r="Q39" s="920"/>
      <c r="R39" s="2036"/>
      <c r="S39" s="922"/>
      <c r="T39" s="2044"/>
      <c r="U39" s="80">
        <v>36</v>
      </c>
      <c r="V39" s="37"/>
      <c r="W39" s="37"/>
    </row>
    <row r="40" spans="1:23" ht="15.75" customHeight="1">
      <c r="A40" s="3"/>
      <c r="B40" s="75">
        <v>37</v>
      </c>
      <c r="C40" s="187"/>
      <c r="D40" s="1192"/>
      <c r="E40" s="1539" t="s">
        <v>49</v>
      </c>
      <c r="F40" s="201">
        <v>57</v>
      </c>
      <c r="G40" s="202">
        <f>Page3!D40+Page3!H40+Page3!L40+Page4!D40+Page4!H40+Page4!L40+Page4!P40</f>
        <v>0</v>
      </c>
      <c r="H40" s="1976">
        <f t="shared" ref="H40:H55" si="12">IF(G$5&gt;0,G40/G$5,0)</f>
        <v>0</v>
      </c>
      <c r="I40" s="1994">
        <f t="shared" si="6"/>
        <v>0</v>
      </c>
      <c r="J40" s="946">
        <f>Page3!F40+Page3!J40+Page3!N40+Page4!F40+Page4!J40+Page4!N40+Page4!R40</f>
        <v>0</v>
      </c>
      <c r="K40" s="2009">
        <f t="shared" ref="K40:K55" si="13">IF(J$5&gt;0,J40/J$5,0)</f>
        <v>0</v>
      </c>
      <c r="L40" s="2020">
        <f t="shared" si="7"/>
        <v>0</v>
      </c>
      <c r="M40" s="510">
        <f>Page3!D40+Page3!H40+Page3!L40</f>
        <v>0</v>
      </c>
      <c r="N40" s="2033">
        <f t="shared" si="10"/>
        <v>0</v>
      </c>
      <c r="O40" s="956">
        <f>Page3!F40+Page3!J40+Page3!N40</f>
        <v>0</v>
      </c>
      <c r="P40" s="1942">
        <f t="shared" si="11"/>
        <v>0</v>
      </c>
      <c r="Q40" s="202">
        <f>Page4!D40+Page4!H40+Page4!L40</f>
        <v>0</v>
      </c>
      <c r="R40" s="2033">
        <f t="shared" ref="R40:R61" si="14">IFERROR(Q40/Q$5,0)</f>
        <v>0</v>
      </c>
      <c r="S40" s="956">
        <f>Page4!F40+Page4!J40+Page4!N40</f>
        <v>0</v>
      </c>
      <c r="T40" s="1942">
        <f t="shared" ref="T40:T61" si="15">IFERROR(S40/S$5,0)</f>
        <v>0</v>
      </c>
      <c r="U40" s="80">
        <v>37</v>
      </c>
      <c r="V40" s="37"/>
      <c r="W40" s="37"/>
    </row>
    <row r="41" spans="1:23" ht="15.75" customHeight="1">
      <c r="A41" s="3"/>
      <c r="B41" s="75">
        <v>38</v>
      </c>
      <c r="C41" s="187" t="s">
        <v>692</v>
      </c>
      <c r="D41" s="1192"/>
      <c r="E41" s="1539" t="s">
        <v>50</v>
      </c>
      <c r="F41" s="201">
        <v>33</v>
      </c>
      <c r="G41" s="202">
        <f>Page3!D41+Page3!H41+Page3!L41+Page4!D41+Page4!H41+Page4!L41+Page4!P41</f>
        <v>1569</v>
      </c>
      <c r="H41" s="1976">
        <f t="shared" si="12"/>
        <v>2.7176407621865143E-3</v>
      </c>
      <c r="I41" s="1994">
        <f t="shared" si="6"/>
        <v>1.5179853692913012E-4</v>
      </c>
      <c r="J41" s="946">
        <f>Page3!F41+Page3!J41+Page3!N41+Page4!F41+Page4!J41+Page4!N41+Page4!R41</f>
        <v>4129</v>
      </c>
      <c r="K41" s="2009">
        <f t="shared" si="13"/>
        <v>1.9773663625510087E-3</v>
      </c>
      <c r="L41" s="2020">
        <f t="shared" si="7"/>
        <v>1.1821094082481691E-4</v>
      </c>
      <c r="M41" s="510">
        <f>Page3!D41+Page3!H41+Page3!L41</f>
        <v>788</v>
      </c>
      <c r="N41" s="2033">
        <f t="shared" si="10"/>
        <v>1.9926413877685198E-3</v>
      </c>
      <c r="O41" s="956">
        <f>Page3!F41+Page3!J41+Page3!N41</f>
        <v>2973</v>
      </c>
      <c r="P41" s="1942">
        <f t="shared" si="11"/>
        <v>2.0804088881673506E-3</v>
      </c>
      <c r="Q41" s="202">
        <f>Page4!D41+Page4!H41+Page4!L41</f>
        <v>781</v>
      </c>
      <c r="R41" s="2033">
        <f t="shared" si="14"/>
        <v>4.2939455916958065E-3</v>
      </c>
      <c r="S41" s="956">
        <f>Page4!F41+Page4!J41+Page4!N41</f>
        <v>1156</v>
      </c>
      <c r="T41" s="1942">
        <f t="shared" si="15"/>
        <v>1.7539467595226717E-3</v>
      </c>
      <c r="U41" s="80">
        <v>38</v>
      </c>
      <c r="V41" s="37"/>
      <c r="W41" s="37"/>
    </row>
    <row r="42" spans="1:23" ht="15.75" customHeight="1">
      <c r="A42" s="3"/>
      <c r="B42" s="75">
        <v>39</v>
      </c>
      <c r="C42" s="187"/>
      <c r="D42" s="1192"/>
      <c r="E42" s="1539" t="s">
        <v>51</v>
      </c>
      <c r="F42" s="201">
        <v>77</v>
      </c>
      <c r="G42" s="204">
        <f>Page3!D42+Page3!H42+Page3!L42+Page4!D42+Page4!H42+Page4!L42+Page4!P42</f>
        <v>-4708</v>
      </c>
      <c r="H42" s="1973">
        <f t="shared" si="12"/>
        <v>-8.1546543711753412E-3</v>
      </c>
      <c r="I42" s="1996">
        <f t="shared" si="6"/>
        <v>-4.5549235937689266E-4</v>
      </c>
      <c r="J42" s="326">
        <f>Page3!F42+Page3!J42+Page3!N42+Page4!F42+Page4!J42+Page4!N42+Page4!R42</f>
        <v>-3310</v>
      </c>
      <c r="K42" s="2007">
        <f t="shared" si="13"/>
        <v>-1.5851495907105446E-3</v>
      </c>
      <c r="L42" s="2023">
        <f t="shared" si="7"/>
        <v>-9.4763432823963181E-5</v>
      </c>
      <c r="M42" s="511">
        <f>Page3!D42+Page3!H42+Page3!L42</f>
        <v>0</v>
      </c>
      <c r="N42" s="2034">
        <f t="shared" si="10"/>
        <v>0</v>
      </c>
      <c r="O42" s="1648">
        <f>Page3!F42+Page3!J42+Page3!N42</f>
        <v>390</v>
      </c>
      <c r="P42" s="1943">
        <f t="shared" si="11"/>
        <v>2.7290933951741234E-4</v>
      </c>
      <c r="Q42" s="204">
        <f>Page4!D42+Page4!H42+Page4!L42</f>
        <v>-4708</v>
      </c>
      <c r="R42" s="2034">
        <f t="shared" si="14"/>
        <v>-2.5884629764025422E-2</v>
      </c>
      <c r="S42" s="1648">
        <f>Page4!F42+Page4!J42+Page4!N42</f>
        <v>-3700</v>
      </c>
      <c r="T42" s="1943">
        <f t="shared" si="15"/>
        <v>-5.6138434344583776E-3</v>
      </c>
      <c r="U42" s="80">
        <v>39</v>
      </c>
      <c r="V42" s="37"/>
      <c r="W42" s="37"/>
    </row>
    <row r="43" spans="1:23" ht="15.75" customHeight="1">
      <c r="A43" s="3"/>
      <c r="B43" s="75">
        <v>40</v>
      </c>
      <c r="C43" s="187" t="s">
        <v>120</v>
      </c>
      <c r="D43" s="1193"/>
      <c r="E43" s="1175" t="s">
        <v>52</v>
      </c>
      <c r="F43" s="297"/>
      <c r="G43" s="203">
        <f>SUM(G21:G42)</f>
        <v>99603</v>
      </c>
      <c r="H43" s="1977">
        <f t="shared" si="12"/>
        <v>0.17252082398729343</v>
      </c>
      <c r="I43" s="1995">
        <f t="shared" si="6"/>
        <v>9.6364497601989455E-3</v>
      </c>
      <c r="J43" s="716">
        <f>SUM(J21:J42)</f>
        <v>414520</v>
      </c>
      <c r="K43" s="1977">
        <f t="shared" si="13"/>
        <v>0.19851244964995013</v>
      </c>
      <c r="L43" s="2022">
        <f t="shared" si="7"/>
        <v>1.1867473768637227E-2</v>
      </c>
      <c r="M43" s="265">
        <f>SUM(M21:M42)</f>
        <v>51513</v>
      </c>
      <c r="N43" s="2035">
        <f t="shared" si="10"/>
        <v>0.13026260889355298</v>
      </c>
      <c r="O43" s="858">
        <f>SUM(O21:O42)</f>
        <v>275378</v>
      </c>
      <c r="P43" s="1944">
        <f t="shared" si="11"/>
        <v>0.19270058486570762</v>
      </c>
      <c r="Q43" s="203">
        <f>SUM(Q21:Q42)</f>
        <v>48090</v>
      </c>
      <c r="R43" s="2035">
        <f t="shared" si="14"/>
        <v>0.26439928745794022</v>
      </c>
      <c r="S43" s="957">
        <f>SUM(S21:S42)</f>
        <v>139142</v>
      </c>
      <c r="T43" s="1944">
        <f t="shared" si="15"/>
        <v>0.21111389274524531</v>
      </c>
      <c r="U43" s="80">
        <v>40</v>
      </c>
      <c r="V43" s="37"/>
      <c r="W43" s="37"/>
    </row>
    <row r="44" spans="1:23" ht="15.75" customHeight="1">
      <c r="A44" s="3"/>
      <c r="B44" s="75">
        <v>41</v>
      </c>
      <c r="C44" s="187"/>
      <c r="D44" s="1194"/>
      <c r="E44" s="1601" t="s">
        <v>53</v>
      </c>
      <c r="F44" s="190">
        <v>80</v>
      </c>
      <c r="G44" s="191">
        <f>Page3!D44+Page3!H44+Page3!L44+Page4!D44+Page4!H44+Page4!L44+Page4!P44</f>
        <v>47400</v>
      </c>
      <c r="H44" s="1975">
        <f t="shared" si="12"/>
        <v>8.2100810788808654E-2</v>
      </c>
      <c r="I44" s="1993">
        <f t="shared" si="6"/>
        <v>4.5858831424096672E-3</v>
      </c>
      <c r="J44" s="944">
        <f>Page3!F44+Page3!J44+Page3!N44+Page4!F44+Page4!J44+Page4!N44+Page4!R44</f>
        <v>185100</v>
      </c>
      <c r="K44" s="2008">
        <f t="shared" si="13"/>
        <v>8.8643863818888752E-2</v>
      </c>
      <c r="L44" s="2020">
        <f t="shared" si="7"/>
        <v>5.2993085848083337E-3</v>
      </c>
      <c r="M44" s="507">
        <f>Page3!D44+Page3!H44+Page3!L44</f>
        <v>23700</v>
      </c>
      <c r="N44" s="2033">
        <f t="shared" si="10"/>
        <v>5.9930965596591265E-2</v>
      </c>
      <c r="O44" s="952">
        <f>Page3!F44+Page3!J44+Page3!N44</f>
        <v>92550</v>
      </c>
      <c r="P44" s="1942">
        <f t="shared" si="11"/>
        <v>6.4763485570093621E-2</v>
      </c>
      <c r="Q44" s="191">
        <f>Page4!D44+Page4!H44+Page4!L44</f>
        <v>23700</v>
      </c>
      <c r="R44" s="2033">
        <f t="shared" si="14"/>
        <v>0.13030283037540411</v>
      </c>
      <c r="S44" s="952">
        <f>Page4!F44+Page4!J44+Page4!N44</f>
        <v>92550</v>
      </c>
      <c r="T44" s="1942">
        <f t="shared" si="15"/>
        <v>0.14042194861057375</v>
      </c>
      <c r="U44" s="80">
        <v>41</v>
      </c>
      <c r="V44" s="735"/>
      <c r="W44" s="30"/>
    </row>
    <row r="45" spans="1:23" ht="15.75" customHeight="1">
      <c r="A45" s="3"/>
      <c r="B45" s="75">
        <v>42</v>
      </c>
      <c r="C45" s="187" t="s">
        <v>145</v>
      </c>
      <c r="D45" s="1192"/>
      <c r="E45" s="1642" t="s">
        <v>54</v>
      </c>
      <c r="F45" s="201">
        <v>81</v>
      </c>
      <c r="G45" s="202">
        <f>Page3!D45+Page3!H45+Page3!L45+Page4!D45+Page4!H45+Page4!L45+Page4!P45</f>
        <v>0</v>
      </c>
      <c r="H45" s="1976">
        <f t="shared" si="12"/>
        <v>0</v>
      </c>
      <c r="I45" s="1994">
        <f t="shared" si="6"/>
        <v>0</v>
      </c>
      <c r="J45" s="946">
        <f>Page3!F45+Page3!J45+Page3!N45+Page4!F45+Page4!J45+Page4!N45+Page4!R45</f>
        <v>0</v>
      </c>
      <c r="K45" s="2009">
        <f t="shared" si="13"/>
        <v>0</v>
      </c>
      <c r="L45" s="2020">
        <f t="shared" si="7"/>
        <v>0</v>
      </c>
      <c r="M45" s="510">
        <f>Page3!D45+Page3!H45+Page3!L45</f>
        <v>0</v>
      </c>
      <c r="N45" s="2033">
        <f t="shared" si="10"/>
        <v>0</v>
      </c>
      <c r="O45" s="956">
        <f>Page3!F45+Page3!J45+Page3!N45</f>
        <v>0</v>
      </c>
      <c r="P45" s="1942">
        <f t="shared" si="11"/>
        <v>0</v>
      </c>
      <c r="Q45" s="202">
        <f>Page4!D45+Page4!H45+Page4!L45</f>
        <v>0</v>
      </c>
      <c r="R45" s="2033">
        <f t="shared" si="14"/>
        <v>0</v>
      </c>
      <c r="S45" s="956">
        <f>Page4!F45+Page4!J45+Page4!N45</f>
        <v>0</v>
      </c>
      <c r="T45" s="1942">
        <f t="shared" si="15"/>
        <v>0</v>
      </c>
      <c r="U45" s="80">
        <v>42</v>
      </c>
      <c r="V45" s="37"/>
      <c r="W45" s="30"/>
    </row>
    <row r="46" spans="1:23" ht="15.75" customHeight="1">
      <c r="A46" s="3"/>
      <c r="B46" s="75">
        <v>43</v>
      </c>
      <c r="C46" s="187"/>
      <c r="D46" s="1172"/>
      <c r="E46" s="1634" t="s">
        <v>55</v>
      </c>
      <c r="F46" s="201">
        <v>82</v>
      </c>
      <c r="G46" s="202">
        <f>Page3!D46+Page3!H46+Page3!L46+Page4!D46+Page4!H46+Page4!L46+Page4!P46</f>
        <v>3520</v>
      </c>
      <c r="H46" s="1976">
        <f t="shared" si="12"/>
        <v>6.0969378476077316E-3</v>
      </c>
      <c r="I46" s="1994">
        <f t="shared" si="6"/>
        <v>3.4055503504814406E-4</v>
      </c>
      <c r="J46" s="946">
        <f>Page3!F46+Page3!J46+Page3!N46+Page4!F46+Page4!J46+Page4!N46+Page4!R46</f>
        <v>35028</v>
      </c>
      <c r="K46" s="2009">
        <f t="shared" si="13"/>
        <v>1.6774809626407539E-2</v>
      </c>
      <c r="L46" s="2020">
        <f t="shared" si="7"/>
        <v>1.002831880651898E-3</v>
      </c>
      <c r="M46" s="510">
        <f>Page3!D46+Page3!H46+Page3!L46</f>
        <v>1415</v>
      </c>
      <c r="N46" s="2033">
        <f t="shared" si="10"/>
        <v>3.5781568067163143E-3</v>
      </c>
      <c r="O46" s="956">
        <f>Page3!F46+Page3!J46+Page3!N46</f>
        <v>15333</v>
      </c>
      <c r="P46" s="1942">
        <f t="shared" si="11"/>
        <v>1.0729535648257649E-2</v>
      </c>
      <c r="Q46" s="202">
        <f>Page4!D46+Page4!H46+Page4!L46</f>
        <v>2105</v>
      </c>
      <c r="R46" s="2033">
        <f t="shared" si="14"/>
        <v>1.1573310461612895E-2</v>
      </c>
      <c r="S46" s="956">
        <f>Page4!F46+Page4!J46+Page4!N46</f>
        <v>19695</v>
      </c>
      <c r="T46" s="1942">
        <f t="shared" si="15"/>
        <v>2.9882336876123718E-2</v>
      </c>
      <c r="U46" s="80">
        <v>43</v>
      </c>
      <c r="V46" s="37"/>
      <c r="W46" s="30"/>
    </row>
    <row r="47" spans="1:23" ht="15.75" customHeight="1">
      <c r="A47" s="3"/>
      <c r="B47" s="75">
        <v>44</v>
      </c>
      <c r="C47" s="187" t="s">
        <v>118</v>
      </c>
      <c r="D47" s="1192"/>
      <c r="E47" s="1634" t="s">
        <v>56</v>
      </c>
      <c r="F47" s="201">
        <v>83</v>
      </c>
      <c r="G47" s="205">
        <f>Page3!D47+Page3!H47+Page3!L47+Page4!D47+Page4!H47+Page4!L47+Page4!P47</f>
        <v>77</v>
      </c>
      <c r="H47" s="1978">
        <f t="shared" si="12"/>
        <v>1.3337051541641913E-4</v>
      </c>
      <c r="I47" s="1997">
        <f t="shared" si="6"/>
        <v>7.4496413916781504E-6</v>
      </c>
      <c r="J47" s="947">
        <f>Page3!F47+Page3!J47+Page3!N47+Page4!F47+Page4!J47+Page4!N47+Page4!R47</f>
        <v>308</v>
      </c>
      <c r="K47" s="2010">
        <f t="shared" si="13"/>
        <v>1.4750032445282407E-4</v>
      </c>
      <c r="L47" s="2021">
        <f t="shared" si="7"/>
        <v>8.8178662567313167E-6</v>
      </c>
      <c r="M47" s="512">
        <f>Page3!D47+Page3!H47+Page3!L47</f>
        <v>38</v>
      </c>
      <c r="N47" s="2033">
        <f t="shared" si="10"/>
        <v>9.60918435725936E-5</v>
      </c>
      <c r="O47" s="958">
        <f>Page3!F47+Page3!J47+Page3!N47</f>
        <v>154</v>
      </c>
      <c r="P47" s="1942">
        <f t="shared" si="11"/>
        <v>1.0776420073251666E-4</v>
      </c>
      <c r="Q47" s="205">
        <f>Page4!D47+Page4!H47+Page4!L47</f>
        <v>39</v>
      </c>
      <c r="R47" s="2033">
        <f t="shared" si="14"/>
        <v>2.1442237909876624E-4</v>
      </c>
      <c r="S47" s="958">
        <f>Page4!F47+Page4!J47+Page4!N47</f>
        <v>154</v>
      </c>
      <c r="T47" s="1942">
        <f t="shared" si="15"/>
        <v>2.336572672720514E-4</v>
      </c>
      <c r="U47" s="80">
        <v>44</v>
      </c>
      <c r="V47" s="37"/>
      <c r="W47" s="30"/>
    </row>
    <row r="48" spans="1:23" ht="15.75" customHeight="1">
      <c r="A48" s="3"/>
      <c r="B48" s="75">
        <v>45</v>
      </c>
      <c r="C48" s="200"/>
      <c r="D48" s="1172" t="s">
        <v>157</v>
      </c>
      <c r="E48" s="1634" t="s">
        <v>57</v>
      </c>
      <c r="F48" s="193">
        <v>84</v>
      </c>
      <c r="G48" s="194">
        <f>Page3!D48+Page3!H48+Page3!L48+Page4!D48+Page4!H48+Page4!L48+Page4!P48</f>
        <v>6000</v>
      </c>
      <c r="H48" s="1979">
        <f t="shared" si="12"/>
        <v>1.0392507694785906E-2</v>
      </c>
      <c r="I48" s="1998">
        <f t="shared" si="6"/>
        <v>5.8049153701388186E-4</v>
      </c>
      <c r="J48" s="945">
        <f>Page3!F48+Page3!J48+Page3!N48+Page4!F48+Page4!J48+Page4!N48+Page4!R48</f>
        <v>24000</v>
      </c>
      <c r="K48" s="2011">
        <f t="shared" si="13"/>
        <v>1.1493531775544734E-2</v>
      </c>
      <c r="L48" s="2024">
        <f t="shared" si="7"/>
        <v>6.8710646156347921E-4</v>
      </c>
      <c r="M48" s="508">
        <f>Page3!D48+Page3!H48+Page3!L48</f>
        <v>3000</v>
      </c>
      <c r="N48" s="2033">
        <f t="shared" si="10"/>
        <v>7.5861981767837046E-3</v>
      </c>
      <c r="O48" s="953">
        <f>Page3!F48+Page3!J48+Page3!N48</f>
        <v>12000</v>
      </c>
      <c r="P48" s="1942">
        <f t="shared" si="11"/>
        <v>8.3972104466896094E-3</v>
      </c>
      <c r="Q48" s="194">
        <f>Page4!D48+Page4!H48+Page4!L48</f>
        <v>3000</v>
      </c>
      <c r="R48" s="2033">
        <f t="shared" si="14"/>
        <v>1.6494029161443557E-2</v>
      </c>
      <c r="S48" s="953">
        <f>Page4!F48+Page4!J48+Page4!N48</f>
        <v>12000</v>
      </c>
      <c r="T48" s="1942">
        <f t="shared" si="15"/>
        <v>1.8207059787432579E-2</v>
      </c>
      <c r="U48" s="80">
        <v>45</v>
      </c>
      <c r="V48" s="37"/>
      <c r="W48" s="30"/>
    </row>
    <row r="49" spans="1:23" ht="15.75" customHeight="1">
      <c r="A49" s="3"/>
      <c r="B49" s="75">
        <v>46</v>
      </c>
      <c r="C49" s="187" t="s">
        <v>773</v>
      </c>
      <c r="D49" s="1172" t="s">
        <v>114</v>
      </c>
      <c r="E49" s="1634" t="s">
        <v>58</v>
      </c>
      <c r="F49" s="201">
        <v>85</v>
      </c>
      <c r="G49" s="202">
        <f>Page3!D49+Page3!H49+Page3!L49+Page4!D49+Page4!H49+Page4!L49+Page4!P49</f>
        <v>4080</v>
      </c>
      <c r="H49" s="1976">
        <f t="shared" si="12"/>
        <v>7.066905232454416E-3</v>
      </c>
      <c r="I49" s="1994">
        <f t="shared" si="6"/>
        <v>3.947342451694397E-4</v>
      </c>
      <c r="J49" s="946">
        <f>Page3!F49+Page3!J49+Page3!N49+Page4!F49+Page4!J49+Page4!N49+Page4!R49</f>
        <v>16320</v>
      </c>
      <c r="K49" s="2009">
        <f t="shared" si="13"/>
        <v>7.815601607370418E-3</v>
      </c>
      <c r="L49" s="2020">
        <f t="shared" si="7"/>
        <v>4.6723239386316592E-4</v>
      </c>
      <c r="M49" s="510">
        <f>Page3!D49+Page3!H49+Page3!L49</f>
        <v>2040</v>
      </c>
      <c r="N49" s="2033">
        <f t="shared" si="10"/>
        <v>5.1586147602129193E-3</v>
      </c>
      <c r="O49" s="956">
        <f>Page3!F49+Page3!J49+Page3!N49</f>
        <v>8160</v>
      </c>
      <c r="P49" s="1942">
        <f t="shared" si="11"/>
        <v>5.710103103748935E-3</v>
      </c>
      <c r="Q49" s="202">
        <f>Page4!D49+Page4!H49+Page4!L49</f>
        <v>2040</v>
      </c>
      <c r="R49" s="2033">
        <f t="shared" si="14"/>
        <v>1.121593982978162E-2</v>
      </c>
      <c r="S49" s="956">
        <f>Page4!F49+Page4!J49+Page4!N49</f>
        <v>8160</v>
      </c>
      <c r="T49" s="1942">
        <f t="shared" si="15"/>
        <v>1.2380800655454152E-2</v>
      </c>
      <c r="U49" s="80">
        <v>46</v>
      </c>
      <c r="V49" s="37"/>
      <c r="W49" s="30"/>
    </row>
    <row r="50" spans="1:23" ht="15.75" customHeight="1">
      <c r="A50" s="3"/>
      <c r="B50" s="75">
        <v>47</v>
      </c>
      <c r="C50" s="187"/>
      <c r="D50" s="1172" t="s">
        <v>773</v>
      </c>
      <c r="E50" s="1638" t="s">
        <v>59</v>
      </c>
      <c r="F50" s="193">
        <v>86</v>
      </c>
      <c r="G50" s="194">
        <f>Page3!D50+Page3!H50+Page3!L50+Page4!D50+Page4!H50+Page4!L50+Page4!P50</f>
        <v>0</v>
      </c>
      <c r="H50" s="1979">
        <f t="shared" si="12"/>
        <v>0</v>
      </c>
      <c r="I50" s="1998">
        <f t="shared" si="6"/>
        <v>0</v>
      </c>
      <c r="J50" s="945">
        <f>Page3!F50+Page3!J50+Page3!N50+Page4!F50+Page4!J50+Page4!N50+Page4!R50</f>
        <v>0</v>
      </c>
      <c r="K50" s="2011">
        <f t="shared" si="13"/>
        <v>0</v>
      </c>
      <c r="L50" s="2024">
        <f t="shared" si="7"/>
        <v>0</v>
      </c>
      <c r="M50" s="508">
        <f>Page3!D50+Page3!H50+Page3!L50</f>
        <v>0</v>
      </c>
      <c r="N50" s="2037">
        <f t="shared" si="10"/>
        <v>0</v>
      </c>
      <c r="O50" s="953">
        <f>Page3!F50+Page3!J50+Page3!N50</f>
        <v>0</v>
      </c>
      <c r="P50" s="1941">
        <f t="shared" si="11"/>
        <v>0</v>
      </c>
      <c r="Q50" s="194">
        <f>Page4!D50+Page4!H50+Page4!L50</f>
        <v>0</v>
      </c>
      <c r="R50" s="2037">
        <f t="shared" si="14"/>
        <v>0</v>
      </c>
      <c r="S50" s="961">
        <f>Page4!F50+Page4!J50+Page4!N50</f>
        <v>0</v>
      </c>
      <c r="T50" s="1941">
        <f t="shared" si="15"/>
        <v>0</v>
      </c>
      <c r="U50" s="80">
        <v>47</v>
      </c>
      <c r="V50" s="7"/>
    </row>
    <row r="51" spans="1:23" ht="15.75" customHeight="1">
      <c r="A51" s="3"/>
      <c r="B51" s="75">
        <v>48</v>
      </c>
      <c r="C51" s="200"/>
      <c r="D51" s="1172" t="s">
        <v>122</v>
      </c>
      <c r="E51" s="1637" t="s">
        <v>60</v>
      </c>
      <c r="F51" s="201">
        <v>87</v>
      </c>
      <c r="G51" s="204">
        <f>Page3!D51+Page3!H51+Page3!L51+Page4!D51+Page4!H51+Page4!L51+Page4!P51</f>
        <v>9983</v>
      </c>
      <c r="H51" s="1976">
        <f>IF(G$5&gt;0,G51/G$5,0)</f>
        <v>1.7291400719507948E-2</v>
      </c>
      <c r="I51" s="1994">
        <f>IF(G$4&gt;0,G51/G$4,0)</f>
        <v>9.6584116900159717E-4</v>
      </c>
      <c r="J51" s="555">
        <f>Page3!F51+Page3!J51+Page3!N51+Page4!F51+Page4!J51+Page4!N51+Page4!R51</f>
        <v>39417</v>
      </c>
      <c r="K51" s="2009">
        <f>IF(J$5&gt;0,J51/J$5,0)</f>
        <v>1.887668924986028E-2</v>
      </c>
      <c r="L51" s="2020">
        <f>IF(J$4&gt;0,J51/J$4,0)</f>
        <v>1.1284864748103193E-3</v>
      </c>
      <c r="M51" s="511">
        <f>Page3!D51+Page3!H51+Page3!L51</f>
        <v>4992</v>
      </c>
      <c r="N51" s="2033">
        <f t="shared" si="10"/>
        <v>1.2623433766168085E-2</v>
      </c>
      <c r="O51" s="959">
        <f>Page3!F51+Page3!J51+Page3!N51</f>
        <v>19708</v>
      </c>
      <c r="P51" s="1942">
        <f t="shared" si="11"/>
        <v>1.3791018623613236E-2</v>
      </c>
      <c r="Q51" s="204">
        <f>Page4!D51+Page4!H51+Page4!L51</f>
        <v>4991</v>
      </c>
      <c r="R51" s="2033">
        <f t="shared" si="14"/>
        <v>2.7440566514921598E-2</v>
      </c>
      <c r="S51" s="959">
        <f>Page4!F51+Page4!J51+Page4!N51</f>
        <v>19709</v>
      </c>
      <c r="T51" s="1943">
        <f t="shared" si="15"/>
        <v>2.9903578445875722E-2</v>
      </c>
      <c r="U51" s="80">
        <v>48</v>
      </c>
      <c r="V51" s="7"/>
    </row>
    <row r="52" spans="1:23" ht="15.75" customHeight="1">
      <c r="A52" s="3"/>
      <c r="B52" s="75">
        <v>49</v>
      </c>
      <c r="C52" s="187"/>
      <c r="D52" s="1172" t="s">
        <v>124</v>
      </c>
      <c r="E52" s="1176" t="s">
        <v>61</v>
      </c>
      <c r="F52" s="297"/>
      <c r="G52" s="632">
        <f>SUM(G44:G51)</f>
        <v>71060</v>
      </c>
      <c r="H52" s="1977">
        <f t="shared" si="12"/>
        <v>0.12308193279858108</v>
      </c>
      <c r="I52" s="1995">
        <f t="shared" si="6"/>
        <v>6.8749547700344077E-3</v>
      </c>
      <c r="J52" s="716">
        <f>SUM(J44:J51)</f>
        <v>300173</v>
      </c>
      <c r="K52" s="1977">
        <f t="shared" si="13"/>
        <v>0.14375199640252456</v>
      </c>
      <c r="L52" s="2022">
        <f t="shared" si="7"/>
        <v>8.5937836619539281E-3</v>
      </c>
      <c r="M52" s="715">
        <f>SUM(M44:M51)</f>
        <v>35185</v>
      </c>
      <c r="N52" s="2035">
        <f t="shared" si="10"/>
        <v>8.897346095004488E-2</v>
      </c>
      <c r="O52" s="858">
        <f>SUM(O44:O51)</f>
        <v>147905</v>
      </c>
      <c r="P52" s="1944">
        <f t="shared" si="11"/>
        <v>0.10349911759313556</v>
      </c>
      <c r="Q52" s="632">
        <f>SUM(Q44:Q51)</f>
        <v>35875</v>
      </c>
      <c r="R52" s="2035">
        <f t="shared" si="14"/>
        <v>0.19724109872226253</v>
      </c>
      <c r="S52" s="858">
        <f>SUM(S44:S51)</f>
        <v>152268</v>
      </c>
      <c r="T52" s="1944">
        <f t="shared" si="15"/>
        <v>0.23102938164273196</v>
      </c>
      <c r="U52" s="80">
        <v>49</v>
      </c>
      <c r="V52" s="7"/>
    </row>
    <row r="53" spans="1:23" ht="15.75" customHeight="1">
      <c r="A53" s="3"/>
      <c r="B53" s="75">
        <v>50</v>
      </c>
      <c r="C53" s="200"/>
      <c r="D53" s="1192"/>
      <c r="E53" s="1539" t="s">
        <v>62</v>
      </c>
      <c r="F53" s="201">
        <v>88</v>
      </c>
      <c r="G53" s="202">
        <f>Page3!D53+Page3!H53+Page3!L53+Page4!D53+Page4!H53+Page4!L53+Page4!P53</f>
        <v>7088</v>
      </c>
      <c r="H53" s="1976">
        <f t="shared" si="12"/>
        <v>1.227701575677375E-2</v>
      </c>
      <c r="I53" s="1994">
        <f t="shared" si="6"/>
        <v>6.8575400239239911E-4</v>
      </c>
      <c r="J53" s="946">
        <f>Page3!F53+Page3!J53+Page3!N53+Page4!F53+Page4!J53+Page4!N53+Page4!R53</f>
        <v>29087</v>
      </c>
      <c r="K53" s="2009">
        <f t="shared" si="13"/>
        <v>1.3929681614802902E-2</v>
      </c>
      <c r="L53" s="2020">
        <f t="shared" si="7"/>
        <v>8.3274440197903833E-4</v>
      </c>
      <c r="M53" s="510">
        <f>Page3!D53+Page3!H53+Page3!L53</f>
        <v>7088</v>
      </c>
      <c r="N53" s="2033">
        <f t="shared" si="10"/>
        <v>1.7923657559014299E-2</v>
      </c>
      <c r="O53" s="956">
        <f>Page3!F53+Page3!J53+Page3!N53</f>
        <v>29087</v>
      </c>
      <c r="P53" s="1942">
        <f t="shared" si="11"/>
        <v>2.0354138355238388E-2</v>
      </c>
      <c r="Q53" s="202">
        <f>Page4!D53+Page4!H53+Page4!L53</f>
        <v>0</v>
      </c>
      <c r="R53" s="2033">
        <f t="shared" si="14"/>
        <v>0</v>
      </c>
      <c r="S53" s="956">
        <f>Page4!F53+Page4!J53+Page4!N53</f>
        <v>0</v>
      </c>
      <c r="T53" s="1942">
        <f t="shared" si="15"/>
        <v>0</v>
      </c>
      <c r="U53" s="80">
        <v>50</v>
      </c>
      <c r="V53" s="7"/>
    </row>
    <row r="54" spans="1:23" ht="15.75" customHeight="1">
      <c r="A54" s="3"/>
      <c r="B54" s="75">
        <v>51</v>
      </c>
      <c r="C54" s="200"/>
      <c r="D54" s="1192"/>
      <c r="E54" s="1539" t="s">
        <v>63</v>
      </c>
      <c r="F54" s="201">
        <v>89</v>
      </c>
      <c r="G54" s="202">
        <f>Page3!D54+Page3!H54+Page3!L54+Page4!D54+Page4!H54+Page4!L54+Page4!P54</f>
        <v>0</v>
      </c>
      <c r="H54" s="1976">
        <f t="shared" si="12"/>
        <v>0</v>
      </c>
      <c r="I54" s="1994">
        <f t="shared" si="6"/>
        <v>0</v>
      </c>
      <c r="J54" s="946">
        <f>Page3!F54+Page3!J54+Page3!N54+Page4!F54+Page4!J54+Page4!N54+Page4!R54</f>
        <v>0</v>
      </c>
      <c r="K54" s="2009">
        <f t="shared" si="13"/>
        <v>0</v>
      </c>
      <c r="L54" s="2020">
        <f t="shared" si="7"/>
        <v>0</v>
      </c>
      <c r="M54" s="510">
        <f>Page3!D54+Page3!H54+Page3!L54</f>
        <v>0</v>
      </c>
      <c r="N54" s="2033">
        <f t="shared" si="10"/>
        <v>0</v>
      </c>
      <c r="O54" s="956">
        <f>Page3!F54+Page3!J54+Page3!N54</f>
        <v>0</v>
      </c>
      <c r="P54" s="1942">
        <f t="shared" si="11"/>
        <v>0</v>
      </c>
      <c r="Q54" s="202">
        <f>Page4!D54+Page4!H54+Page4!L54</f>
        <v>0</v>
      </c>
      <c r="R54" s="2033">
        <f t="shared" si="14"/>
        <v>0</v>
      </c>
      <c r="S54" s="956">
        <f>Page4!F54+Page4!J54+Page4!N54</f>
        <v>0</v>
      </c>
      <c r="T54" s="1942">
        <f t="shared" si="15"/>
        <v>0</v>
      </c>
      <c r="U54" s="80">
        <v>51</v>
      </c>
      <c r="V54" s="7"/>
    </row>
    <row r="55" spans="1:23" ht="15.75" customHeight="1">
      <c r="A55" s="3"/>
      <c r="B55" s="75">
        <v>52</v>
      </c>
      <c r="C55" s="200"/>
      <c r="D55" s="1192"/>
      <c r="E55" s="1539" t="s">
        <v>64</v>
      </c>
      <c r="F55" s="201">
        <v>90</v>
      </c>
      <c r="G55" s="202">
        <f>Page3!D55+Page3!H55+Page3!L55+Page4!D55+Page4!H55+Page4!L55+Page4!P55</f>
        <v>3808</v>
      </c>
      <c r="H55" s="1976">
        <f t="shared" si="12"/>
        <v>6.5957782169574547E-3</v>
      </c>
      <c r="I55" s="1994">
        <f t="shared" si="6"/>
        <v>3.6841862882481039E-4</v>
      </c>
      <c r="J55" s="946">
        <f>Page3!F55+Page3!J55+Page3!N55+Page4!F55+Page4!J55+Page4!N55+Page4!R55</f>
        <v>6675</v>
      </c>
      <c r="K55" s="2009">
        <f t="shared" si="13"/>
        <v>3.1966385250733792E-3</v>
      </c>
      <c r="L55" s="2020">
        <f t="shared" si="7"/>
        <v>1.9110148462234266E-4</v>
      </c>
      <c r="M55" s="510">
        <f>Page3!D55+Page3!H55+Page3!L55</f>
        <v>0</v>
      </c>
      <c r="N55" s="2033">
        <f t="shared" si="10"/>
        <v>0</v>
      </c>
      <c r="O55" s="956">
        <f>Page3!F55+Page3!J55+Page3!N55</f>
        <v>735</v>
      </c>
      <c r="P55" s="1942">
        <f t="shared" si="11"/>
        <v>5.1432913985973859E-4</v>
      </c>
      <c r="Q55" s="202">
        <f>Page4!D55+Page4!H55+Page4!L55</f>
        <v>3808</v>
      </c>
      <c r="R55" s="2033">
        <f t="shared" si="14"/>
        <v>2.0936421015592354E-2</v>
      </c>
      <c r="S55" s="956">
        <f>Page4!F55+Page4!J55+Page4!N55</f>
        <v>5940</v>
      </c>
      <c r="T55" s="1942">
        <f t="shared" si="15"/>
        <v>9.0124945947791264E-3</v>
      </c>
      <c r="U55" s="80">
        <v>52</v>
      </c>
      <c r="V55" s="7"/>
    </row>
    <row r="56" spans="1:23" ht="15.75" customHeight="1">
      <c r="A56" s="3"/>
      <c r="B56" s="75">
        <v>53</v>
      </c>
      <c r="C56" s="200"/>
      <c r="D56" s="1192"/>
      <c r="E56" s="1539" t="s">
        <v>65</v>
      </c>
      <c r="F56" s="201">
        <v>91</v>
      </c>
      <c r="G56" s="202">
        <f>Page3!D56+Page3!H56+Page3!L56+Page4!D56+Page4!H56+Page4!L56+Page4!P56</f>
        <v>13510</v>
      </c>
      <c r="H56" s="1976">
        <f t="shared" ref="H56:H68" si="16">IF(G$5&gt;0,G56/G$5,0)</f>
        <v>2.3400463159426264E-2</v>
      </c>
      <c r="I56" s="1994">
        <f t="shared" si="6"/>
        <v>1.3070734441762574E-3</v>
      </c>
      <c r="J56" s="946">
        <f>Page3!F56+Page3!J56+Page3!N56+Page4!F56+Page4!J56+Page4!N56+Page4!R56</f>
        <v>54040</v>
      </c>
      <c r="K56" s="2009">
        <f t="shared" ref="K56:K68" si="17">IF(J$5&gt;0,J56/J$5,0)</f>
        <v>2.5879602381268223E-2</v>
      </c>
      <c r="L56" s="2020">
        <f t="shared" si="7"/>
        <v>1.5471347159537675E-3</v>
      </c>
      <c r="M56" s="510">
        <f>Page3!D56+Page3!H56+Page3!L56</f>
        <v>6755</v>
      </c>
      <c r="N56" s="2033">
        <f t="shared" si="10"/>
        <v>1.708158956139131E-2</v>
      </c>
      <c r="O56" s="956">
        <f>Page3!F56+Page3!J56+Page3!N56</f>
        <v>27020</v>
      </c>
      <c r="P56" s="1942">
        <f t="shared" si="11"/>
        <v>1.8907718855796105E-2</v>
      </c>
      <c r="Q56" s="202">
        <f>Page4!D56+Page4!H56+Page4!L56</f>
        <v>6755</v>
      </c>
      <c r="R56" s="2033">
        <f t="shared" si="14"/>
        <v>3.7139055661850412E-2</v>
      </c>
      <c r="S56" s="956">
        <f>Page4!F56+Page4!J56+Page4!N56</f>
        <v>27020</v>
      </c>
      <c r="T56" s="1942">
        <f t="shared" si="15"/>
        <v>4.0996229621369021E-2</v>
      </c>
      <c r="U56" s="80">
        <v>53</v>
      </c>
      <c r="V56" s="7"/>
    </row>
    <row r="57" spans="1:23" ht="15.75" customHeight="1">
      <c r="A57" s="3"/>
      <c r="B57" s="75">
        <v>54</v>
      </c>
      <c r="C57" s="200"/>
      <c r="D57" s="1195"/>
      <c r="E57" s="1636" t="s">
        <v>66</v>
      </c>
      <c r="F57" s="109">
        <v>92</v>
      </c>
      <c r="G57" s="206">
        <f>Page3!D57+Page3!H57+Page3!L57+Page4!D57+Page4!H57+Page4!L57+Page4!P57</f>
        <v>1070</v>
      </c>
      <c r="H57" s="1980">
        <f t="shared" si="16"/>
        <v>1.8533305389034865E-3</v>
      </c>
      <c r="I57" s="1999">
        <f t="shared" si="6"/>
        <v>1.035209907674756E-4</v>
      </c>
      <c r="J57" s="948">
        <f>Page3!F57+Page3!J57+Page3!N57+Page4!F57+Page4!J57+Page4!N57+Page4!R57</f>
        <v>1070</v>
      </c>
      <c r="K57" s="2012">
        <f t="shared" si="17"/>
        <v>5.1241995832636939E-4</v>
      </c>
      <c r="L57" s="2025">
        <f t="shared" si="7"/>
        <v>3.0633496411371783E-5</v>
      </c>
      <c r="M57" s="513">
        <f>Page3!D57+Page3!H57+Page3!L57</f>
        <v>0</v>
      </c>
      <c r="N57" s="2034">
        <f t="shared" si="10"/>
        <v>0</v>
      </c>
      <c r="O57" s="960">
        <f>Page3!F57+Page3!J57+Page3!N57</f>
        <v>0</v>
      </c>
      <c r="P57" s="1943">
        <f t="shared" si="11"/>
        <v>0</v>
      </c>
      <c r="Q57" s="206">
        <f>Page4!D57+Page4!H57+Page4!L57</f>
        <v>1070</v>
      </c>
      <c r="R57" s="2034">
        <f t="shared" si="14"/>
        <v>5.8828704009148691E-3</v>
      </c>
      <c r="S57" s="960">
        <f>Page4!F57+Page4!J57+Page4!N57</f>
        <v>1070</v>
      </c>
      <c r="T57" s="1943">
        <f t="shared" si="15"/>
        <v>1.6234628310460714E-3</v>
      </c>
      <c r="U57" s="80">
        <v>54</v>
      </c>
      <c r="V57" s="7"/>
    </row>
    <row r="58" spans="1:23" ht="15.75" customHeight="1">
      <c r="A58" s="3"/>
      <c r="B58" s="75">
        <v>55</v>
      </c>
      <c r="C58" s="200"/>
      <c r="D58" s="1196"/>
      <c r="E58" s="1177" t="s">
        <v>15679</v>
      </c>
      <c r="F58" s="297"/>
      <c r="G58" s="203">
        <f>SUM(G52:G57)</f>
        <v>96536</v>
      </c>
      <c r="H58" s="1977">
        <f t="shared" si="16"/>
        <v>0.16720852047064202</v>
      </c>
      <c r="I58" s="1995">
        <f t="shared" si="6"/>
        <v>9.3397218361953496E-3</v>
      </c>
      <c r="J58" s="949">
        <f>SUM(J52:J57)</f>
        <v>391045</v>
      </c>
      <c r="K58" s="1977">
        <f t="shared" si="17"/>
        <v>0.18727033888199543</v>
      </c>
      <c r="L58" s="2022">
        <f t="shared" si="7"/>
        <v>1.1195397760920447E-2</v>
      </c>
      <c r="M58" s="265">
        <f>SUM(M52:M57)</f>
        <v>49028</v>
      </c>
      <c r="N58" s="2035">
        <f t="shared" si="10"/>
        <v>0.1239787080704505</v>
      </c>
      <c r="O58" s="957">
        <f>SUM(O52:O57)</f>
        <v>204747</v>
      </c>
      <c r="P58" s="1944">
        <f t="shared" si="11"/>
        <v>0.14327530394402979</v>
      </c>
      <c r="Q58" s="203">
        <f>SUM(Q52:Q57)</f>
        <v>47508</v>
      </c>
      <c r="R58" s="2035">
        <f t="shared" si="14"/>
        <v>0.26119944580062016</v>
      </c>
      <c r="S58" s="957">
        <f>SUM(S52:S57)</f>
        <v>186298</v>
      </c>
      <c r="T58" s="1944">
        <f t="shared" si="15"/>
        <v>0.2826615686899262</v>
      </c>
      <c r="U58" s="80">
        <v>55</v>
      </c>
      <c r="V58" s="7"/>
    </row>
    <row r="59" spans="1:23" ht="15.75" customHeight="1">
      <c r="A59" s="3"/>
      <c r="B59" s="75">
        <v>56</v>
      </c>
      <c r="C59" s="200"/>
      <c r="D59" s="1178" t="s">
        <v>15680</v>
      </c>
      <c r="E59" s="96"/>
      <c r="F59" s="101"/>
      <c r="G59" s="205">
        <f>G58+G43+G20</f>
        <v>456969</v>
      </c>
      <c r="H59" s="1978">
        <f t="shared" si="16"/>
        <v>0.79150897479643678</v>
      </c>
      <c r="I59" s="1997">
        <f t="shared" si="6"/>
        <v>4.4211106196282768E-2</v>
      </c>
      <c r="J59" s="947">
        <f>J58+J43+J20</f>
        <v>1727696</v>
      </c>
      <c r="K59" s="2010">
        <f t="shared" si="17"/>
        <v>0.82738870310339729</v>
      </c>
      <c r="L59" s="2015">
        <f t="shared" si="7"/>
        <v>4.9462961884057369E-2</v>
      </c>
      <c r="M59" s="512">
        <f>M58+M43+M20</f>
        <v>250858</v>
      </c>
      <c r="N59" s="2034">
        <f t="shared" si="10"/>
        <v>0.63435283407720222</v>
      </c>
      <c r="O59" s="958">
        <f>O58+O43+O20</f>
        <v>965866</v>
      </c>
      <c r="P59" s="1943">
        <f t="shared" si="11"/>
        <v>0.67588167210852557</v>
      </c>
      <c r="Q59" s="205">
        <f>Page4!D59+Page4!H59+Page4!L59</f>
        <v>206111</v>
      </c>
      <c r="R59" s="2034">
        <f t="shared" si="14"/>
        <v>1.1332002814980977</v>
      </c>
      <c r="S59" s="958">
        <f>Page4!F59+Page4!J59+Page4!N59</f>
        <v>761830</v>
      </c>
      <c r="T59" s="1943">
        <f t="shared" si="15"/>
        <v>1.1558903631549799</v>
      </c>
      <c r="U59" s="80">
        <v>56</v>
      </c>
      <c r="V59" s="7"/>
    </row>
    <row r="60" spans="1:23" ht="15.75" customHeight="1">
      <c r="A60" s="3"/>
      <c r="B60" s="75">
        <v>57</v>
      </c>
      <c r="C60" s="207"/>
      <c r="D60" s="208" t="s">
        <v>15681</v>
      </c>
      <c r="E60" s="296"/>
      <c r="F60" s="297"/>
      <c r="G60" s="203">
        <f>G59+G10</f>
        <v>500919</v>
      </c>
      <c r="H60" s="1977">
        <f t="shared" si="16"/>
        <v>0.86763409366074351</v>
      </c>
      <c r="I60" s="1995">
        <f t="shared" si="6"/>
        <v>4.8463206704909452E-2</v>
      </c>
      <c r="J60" s="716">
        <f>J59+J10</f>
        <v>1902519</v>
      </c>
      <c r="K60" s="1977">
        <f t="shared" si="17"/>
        <v>0.9111109408365663</v>
      </c>
      <c r="L60" s="2022">
        <f t="shared" si="7"/>
        <v>5.4468045756137042E-2</v>
      </c>
      <c r="M60" s="265">
        <f>M59+M10+((Page3!D63+Page3!H63+Page3!L63)*-1)</f>
        <v>294808</v>
      </c>
      <c r="N60" s="2035">
        <f t="shared" si="10"/>
        <v>0.74549063736708343</v>
      </c>
      <c r="O60" s="957">
        <f>O59+O10+((Page3!F63+Page3!J63+Page3!N63)*-1)</f>
        <v>1140689</v>
      </c>
      <c r="P60" s="1944">
        <f t="shared" si="11"/>
        <v>0.79821713226866031</v>
      </c>
      <c r="Q60" s="203">
        <f>Q59+Q10+((Page4!D63+Page4!H63+Page4!L63)*-1)</f>
        <v>206111</v>
      </c>
      <c r="R60" s="2035">
        <f t="shared" si="14"/>
        <v>1.1332002814980977</v>
      </c>
      <c r="S60" s="957">
        <f>S59+S10+((Page4!F63+Page4!J63+Page4!N63)*-1)</f>
        <v>761830</v>
      </c>
      <c r="T60" s="1944">
        <f t="shared" si="15"/>
        <v>1.1558903631549799</v>
      </c>
      <c r="U60" s="80">
        <v>57</v>
      </c>
      <c r="V60" s="7"/>
    </row>
    <row r="61" spans="1:23" ht="15.75" customHeight="1">
      <c r="A61" s="3"/>
      <c r="B61" s="75">
        <v>58</v>
      </c>
      <c r="C61" s="209"/>
      <c r="D61" s="1179" t="s">
        <v>15682</v>
      </c>
      <c r="E61" s="210"/>
      <c r="F61" s="211"/>
      <c r="G61" s="203">
        <f>G5-G60</f>
        <v>76420</v>
      </c>
      <c r="H61" s="1977">
        <f t="shared" si="16"/>
        <v>0.13236590633925649</v>
      </c>
      <c r="I61" s="1995">
        <f t="shared" si="6"/>
        <v>7.3935272097668085E-3</v>
      </c>
      <c r="J61" s="949">
        <f>J5-J60</f>
        <v>185612</v>
      </c>
      <c r="K61" s="1977">
        <f t="shared" si="17"/>
        <v>8.8889059163433717E-2</v>
      </c>
      <c r="L61" s="2022">
        <f t="shared" si="7"/>
        <v>5.3139668559883547E-3</v>
      </c>
      <c r="M61" s="265">
        <f>M5-M60</f>
        <v>100647</v>
      </c>
      <c r="N61" s="2035">
        <f t="shared" si="10"/>
        <v>0.25450936263291651</v>
      </c>
      <c r="O61" s="957">
        <f>O5-O60</f>
        <v>288357</v>
      </c>
      <c r="P61" s="1944">
        <f t="shared" si="11"/>
        <v>0.20178286773133966</v>
      </c>
      <c r="Q61" s="203">
        <f>Q5-Q60</f>
        <v>-24227</v>
      </c>
      <c r="R61" s="2035">
        <f t="shared" si="14"/>
        <v>-0.13320028149809768</v>
      </c>
      <c r="S61" s="957">
        <f>S5-S60</f>
        <v>-102745</v>
      </c>
      <c r="T61" s="1944">
        <f t="shared" si="15"/>
        <v>-0.15589036315498001</v>
      </c>
      <c r="U61" s="80">
        <v>58</v>
      </c>
      <c r="V61" s="7"/>
    </row>
    <row r="62" spans="1:23" ht="15.75" customHeight="1">
      <c r="A62" s="3"/>
      <c r="B62" s="75">
        <v>59</v>
      </c>
      <c r="C62" s="209" t="s">
        <v>116</v>
      </c>
      <c r="D62" s="1180" t="s">
        <v>15683</v>
      </c>
      <c r="E62" s="633"/>
      <c r="F62" s="1197"/>
      <c r="G62" s="191">
        <f>Page3!L71</f>
        <v>53251</v>
      </c>
      <c r="H62" s="1975">
        <f t="shared" si="16"/>
        <v>9.2235237875840717E-2</v>
      </c>
      <c r="I62" s="1993">
        <f t="shared" si="6"/>
        <v>5.1519591395877036E-3</v>
      </c>
      <c r="J62" s="944">
        <f>Page3!N71</f>
        <v>284688</v>
      </c>
      <c r="K62" s="2008">
        <f t="shared" si="17"/>
        <v>0.13633627392151162</v>
      </c>
      <c r="L62" s="2020">
        <f t="shared" si="7"/>
        <v>8.1504568470659906E-3</v>
      </c>
      <c r="M62" s="962"/>
      <c r="N62" s="2038"/>
      <c r="O62" s="964"/>
      <c r="P62" s="2038"/>
      <c r="Q62" s="964"/>
      <c r="R62" s="2038"/>
      <c r="S62" s="964"/>
      <c r="T62" s="2054"/>
      <c r="U62" s="80">
        <v>59</v>
      </c>
      <c r="V62" s="7"/>
    </row>
    <row r="63" spans="1:23" ht="15.75" customHeight="1">
      <c r="A63" s="3"/>
      <c r="B63" s="75">
        <v>60</v>
      </c>
      <c r="C63" s="212" t="s">
        <v>112</v>
      </c>
      <c r="D63" s="1181" t="s">
        <v>15684</v>
      </c>
      <c r="E63" s="197"/>
      <c r="F63" s="213"/>
      <c r="G63" s="214">
        <f>G61+G62</f>
        <v>129671</v>
      </c>
      <c r="H63" s="1981">
        <f t="shared" si="16"/>
        <v>0.22460114421509719</v>
      </c>
      <c r="I63" s="2000">
        <f t="shared" si="6"/>
        <v>1.2545486349354512E-2</v>
      </c>
      <c r="J63" s="950">
        <f>J61+J62</f>
        <v>470300</v>
      </c>
      <c r="K63" s="1981">
        <f t="shared" si="17"/>
        <v>0.22522533308494533</v>
      </c>
      <c r="L63" s="2026">
        <f t="shared" si="7"/>
        <v>1.3464423703054345E-2</v>
      </c>
      <c r="M63" s="965"/>
      <c r="N63" s="2038"/>
      <c r="O63" s="963"/>
      <c r="P63" s="2038"/>
      <c r="Q63" s="963"/>
      <c r="R63" s="2038"/>
      <c r="S63" s="963"/>
      <c r="T63" s="2055"/>
      <c r="U63" s="80">
        <v>60</v>
      </c>
      <c r="V63" s="7"/>
    </row>
    <row r="64" spans="1:23" ht="15.75" customHeight="1">
      <c r="A64" s="3"/>
      <c r="B64" s="75">
        <v>61</v>
      </c>
      <c r="C64" s="212" t="s">
        <v>116</v>
      </c>
      <c r="D64" s="1652" t="s">
        <v>15685</v>
      </c>
      <c r="E64" s="1545"/>
      <c r="F64" s="201">
        <v>97</v>
      </c>
      <c r="G64" s="2573">
        <f>IF(Flag=TRUE,(J64-TBIn!E1182),TBIn!D1182)</f>
        <v>0</v>
      </c>
      <c r="H64" s="1976">
        <f t="shared" si="16"/>
        <v>0</v>
      </c>
      <c r="I64" s="1994">
        <f t="shared" si="6"/>
        <v>0</v>
      </c>
      <c r="J64" s="2574">
        <f>TBIn!E1182</f>
        <v>0</v>
      </c>
      <c r="K64" s="2009">
        <f t="shared" si="17"/>
        <v>0</v>
      </c>
      <c r="L64" s="2020">
        <f t="shared" si="7"/>
        <v>0</v>
      </c>
      <c r="M64" s="965"/>
      <c r="N64" s="2038"/>
      <c r="O64" s="963"/>
      <c r="P64" s="2038"/>
      <c r="Q64" s="963"/>
      <c r="R64" s="2038"/>
      <c r="S64" s="963"/>
      <c r="T64" s="2055"/>
      <c r="U64" s="80">
        <v>61</v>
      </c>
      <c r="V64" s="7"/>
    </row>
    <row r="65" spans="1:22" ht="15.75" customHeight="1">
      <c r="A65" s="3"/>
      <c r="B65" s="75">
        <v>62</v>
      </c>
      <c r="C65" s="212" t="s">
        <v>145</v>
      </c>
      <c r="D65" s="1652" t="s">
        <v>15686</v>
      </c>
      <c r="E65" s="1545"/>
      <c r="F65" s="201">
        <v>98</v>
      </c>
      <c r="G65" s="2573">
        <f>IF(Flag=TRUE,(J65-TBIn!E1183),TBIn!D1183)</f>
        <v>0</v>
      </c>
      <c r="H65" s="1976">
        <f t="shared" si="16"/>
        <v>0</v>
      </c>
      <c r="I65" s="1994">
        <f t="shared" si="6"/>
        <v>0</v>
      </c>
      <c r="J65" s="2574">
        <f>TBIn!E1183</f>
        <v>0</v>
      </c>
      <c r="K65" s="2009">
        <f t="shared" si="17"/>
        <v>0</v>
      </c>
      <c r="L65" s="2020">
        <f t="shared" si="7"/>
        <v>0</v>
      </c>
      <c r="M65" s="965"/>
      <c r="N65" s="2038"/>
      <c r="O65" s="963"/>
      <c r="P65" s="2038"/>
      <c r="Q65" s="963"/>
      <c r="R65" s="2038"/>
      <c r="S65" s="963"/>
      <c r="T65" s="2055"/>
      <c r="U65" s="80">
        <v>62</v>
      </c>
      <c r="V65" s="7"/>
    </row>
    <row r="66" spans="1:22" ht="15.75" customHeight="1">
      <c r="B66" s="75">
        <v>63</v>
      </c>
      <c r="C66" s="212" t="s">
        <v>953</v>
      </c>
      <c r="D66" s="1181" t="s">
        <v>15687</v>
      </c>
      <c r="E66" s="197"/>
      <c r="F66" s="213"/>
      <c r="G66" s="214">
        <f>G63-G64-G65</f>
        <v>129671</v>
      </c>
      <c r="H66" s="1981">
        <f t="shared" si="16"/>
        <v>0.22460114421509719</v>
      </c>
      <c r="I66" s="2000">
        <f t="shared" si="6"/>
        <v>1.2545486349354512E-2</v>
      </c>
      <c r="J66" s="950">
        <f>J63-J64-J65</f>
        <v>470300</v>
      </c>
      <c r="K66" s="1981">
        <f t="shared" si="17"/>
        <v>0.22522533308494533</v>
      </c>
      <c r="L66" s="2026">
        <f t="shared" si="7"/>
        <v>1.3464423703054345E-2</v>
      </c>
      <c r="M66" s="965"/>
      <c r="N66" s="2038"/>
      <c r="O66" s="963"/>
      <c r="P66" s="2038"/>
      <c r="Q66" s="963"/>
      <c r="R66" s="2038"/>
      <c r="S66" s="963"/>
      <c r="T66" s="2055"/>
      <c r="U66" s="80">
        <v>63</v>
      </c>
      <c r="V66" s="7"/>
    </row>
    <row r="67" spans="1:22" ht="15.75" customHeight="1">
      <c r="A67" s="3"/>
      <c r="B67" s="75">
        <v>64</v>
      </c>
      <c r="C67" s="215"/>
      <c r="D67" s="1652" t="s">
        <v>15688</v>
      </c>
      <c r="E67" s="1545"/>
      <c r="F67" s="201">
        <v>99</v>
      </c>
      <c r="G67" s="2573">
        <f>IF(Flag=TRUE,(J67-TBIn!E1184),TBIn!D1184)</f>
        <v>0</v>
      </c>
      <c r="H67" s="1976">
        <f t="shared" si="16"/>
        <v>0</v>
      </c>
      <c r="I67" s="1994">
        <f t="shared" si="6"/>
        <v>0</v>
      </c>
      <c r="J67" s="2574">
        <f>TBIn!E1184</f>
        <v>0</v>
      </c>
      <c r="K67" s="2009">
        <f t="shared" si="17"/>
        <v>0</v>
      </c>
      <c r="L67" s="2020">
        <f t="shared" si="7"/>
        <v>0</v>
      </c>
      <c r="M67" s="965"/>
      <c r="N67" s="2038"/>
      <c r="O67" s="963"/>
      <c r="P67" s="2038"/>
      <c r="Q67" s="963"/>
      <c r="R67" s="2038"/>
      <c r="S67" s="963"/>
      <c r="T67" s="2055"/>
      <c r="U67" s="80">
        <v>64</v>
      </c>
    </row>
    <row r="68" spans="1:22" ht="15.75" customHeight="1">
      <c r="B68" s="178">
        <v>65</v>
      </c>
      <c r="C68" s="216"/>
      <c r="D68" s="1181" t="s">
        <v>15689</v>
      </c>
      <c r="E68" s="197"/>
      <c r="F68" s="217"/>
      <c r="G68" s="214">
        <f>G66-G67</f>
        <v>129671</v>
      </c>
      <c r="H68" s="1981">
        <f t="shared" si="16"/>
        <v>0.22460114421509719</v>
      </c>
      <c r="I68" s="2000">
        <f t="shared" si="6"/>
        <v>1.2545486349354512E-2</v>
      </c>
      <c r="J68" s="950">
        <f>J66-J67</f>
        <v>470300</v>
      </c>
      <c r="K68" s="1981">
        <f t="shared" si="17"/>
        <v>0.22522533308494533</v>
      </c>
      <c r="L68" s="2027">
        <f t="shared" si="7"/>
        <v>1.3464423703054345E-2</v>
      </c>
      <c r="M68" s="966"/>
      <c r="N68" s="2039"/>
      <c r="O68" s="967"/>
      <c r="P68" s="2039"/>
      <c r="Q68" s="967"/>
      <c r="R68" s="2039"/>
      <c r="S68" s="967"/>
      <c r="T68" s="2056"/>
      <c r="U68" s="179">
        <v>65</v>
      </c>
    </row>
    <row r="70" spans="1:22" hidden="1">
      <c r="J70" s="7"/>
    </row>
    <row r="71" spans="1:22" hidden="1">
      <c r="G71" s="7"/>
      <c r="J71" s="7"/>
    </row>
    <row r="72" spans="1:22" hidden="1">
      <c r="J72" s="7"/>
    </row>
    <row r="73" spans="1:22" hidden="1">
      <c r="E73" t="s">
        <v>15690</v>
      </c>
      <c r="H73" s="2255">
        <f>(Page6!F4+Page6!F5+Page6!F7+Page6!F8+Page7!E71+Page7!E75+Page7!E72+Page7!E76)</f>
        <v>64</v>
      </c>
      <c r="I73" s="1983"/>
      <c r="K73" s="2255">
        <f>(Page6!K4+Page6!K5+Page6!K7+Page6!K8+Page7!J71+Page7!J75+Page7!J72+Page7!J76)</f>
        <v>232</v>
      </c>
    </row>
    <row r="74" spans="1:22" hidden="1">
      <c r="E74" s="30" t="s">
        <v>15691</v>
      </c>
      <c r="F74" s="30"/>
      <c r="G74" s="30"/>
    </row>
    <row r="75" spans="1:22" hidden="1">
      <c r="E75" s="30" t="s">
        <v>87</v>
      </c>
      <c r="F75" s="30" t="s">
        <v>88</v>
      </c>
      <c r="G75" s="30" t="s">
        <v>89</v>
      </c>
      <c r="J75" s="7"/>
    </row>
    <row r="76" spans="1:22" hidden="1">
      <c r="E76" s="30" t="s">
        <v>90</v>
      </c>
      <c r="F76" s="30" t="s">
        <v>88</v>
      </c>
      <c r="G76" s="30" t="s">
        <v>91</v>
      </c>
      <c r="J76" s="7"/>
    </row>
  </sheetData>
  <sheetProtection algorithmName="SHA-512" hashValue="6hGYc+1mVjh3wBRfD4jrVX8YQFmd7J4Wsy0ECt5YoGZWHdwKO4CqYwo20dnOrjTH1Ac9k+R0NGypSi4J6HlT4g==" saltValue="QvBDNJZ2IgerdHl1Em7wZQ==" spinCount="100000" sheet="1" objects="1" scenarios="1"/>
  <customSheetViews>
    <customSheetView guid="{42A0DCD3-5C27-4BB4-A491-D2E7F84D8A17}" scale="80" showGridLines="0" fitToPage="1" printArea="1" hiddenRows="1" showRuler="0">
      <selection activeCell="E13" sqref="E13"/>
      <pageMargins left="0" right="0" top="0" bottom="0" header="0" footer="0"/>
      <printOptions horizontalCentered="1"/>
      <pageSetup scale="65" orientation="portrait" r:id="rId1"/>
      <headerFooter alignWithMargins="0"/>
    </customSheetView>
    <customSheetView guid="{EB281BD4-ABCF-428C-A6C2-8158A21EF819}" scale="80" showGridLines="0" fitToPage="1" printArea="1" showRuler="0" topLeftCell="A49">
      <selection activeCell="C71" sqref="C71"/>
      <pageMargins left="0" right="0" top="0" bottom="0" header="0" footer="0"/>
      <printOptions horizontalCentered="1"/>
      <pageSetup scale="65" orientation="portrait" r:id="rId2"/>
      <headerFooter alignWithMargins="0"/>
    </customSheetView>
    <customSheetView guid="{FA29746F-8847-4779-9FAE-66945DB06B8D}" scale="80" showGridLines="0" showRowCol="0" fitToPage="1" hiddenColumns="1" showRuler="0">
      <pane xSplit="6" ySplit="3" topLeftCell="G4" activePane="bottomRight" state="frozen"/>
      <selection pane="bottomRight" activeCell="G4" sqref="G4"/>
      <pageMargins left="0" right="0" top="0" bottom="0" header="0" footer="0"/>
      <printOptions horizontalCentered="1"/>
      <pageSetup scale="65" orientation="portrait"/>
      <headerFooter alignWithMargins="0"/>
    </customSheetView>
  </customSheetViews>
  <phoneticPr fontId="7" type="noConversion"/>
  <dataValidations count="1">
    <dataValidation type="whole" allowBlank="1" showInputMessage="1" showErrorMessage="1" errorTitle="Erreur d'Entrée!" error="Seulement des valeurs numériques peuvent être enregistrées dans ce champ!_x000a_" sqref="G64:G65 G67 J64:J65 J67" xr:uid="{00000000-0002-0000-0100-000000000000}">
      <formula1>-999999999999</formula1>
      <formula2>9999999999999</formula2>
    </dataValidation>
  </dataValidations>
  <hyperlinks>
    <hyperlink ref="E7" r:id="rId3" tooltip="Lien au Manuel des méthodes comptables GM" xr:uid="{00000000-0004-0000-0100-000000000000}"/>
    <hyperlink ref="E8" r:id="rId4" tooltip="Lien au Manuel des méthodes comptables GM" xr:uid="{00000000-0004-0000-0100-000001000000}"/>
    <hyperlink ref="E9" r:id="rId5" tooltip="Lien au Manuel des méthodes comptables GM" xr:uid="{00000000-0004-0000-0100-000002000000}"/>
    <hyperlink ref="E11" r:id="rId6" tooltip="Lien au Manuel des méthodes comptables GM" xr:uid="{00000000-0004-0000-0100-000003000000}"/>
    <hyperlink ref="E12" r:id="rId7" tooltip="Lien au Manuel des méthodes comptables GM" xr:uid="{00000000-0004-0000-0100-000004000000}"/>
    <hyperlink ref="E13" r:id="rId8" tooltip="Lien au Manuel des méthodes comptables GM" xr:uid="{00000000-0004-0000-0100-000005000000}"/>
    <hyperlink ref="E14" r:id="rId9" tooltip="Lien au Manuel des méthodes comptables GM" xr:uid="{00000000-0004-0000-0100-000006000000}"/>
    <hyperlink ref="E15" r:id="rId10" tooltip="Lien au Manuel des méthodes comptables GM" xr:uid="{00000000-0004-0000-0100-000007000000}"/>
    <hyperlink ref="E16" r:id="rId11" tooltip="Lien au Manuel des méthodes comptables GM" xr:uid="{00000000-0004-0000-0100-000008000000}"/>
    <hyperlink ref="E17" r:id="rId12" tooltip="Lien au Manuel des méthodes comptables GM" xr:uid="{00000000-0004-0000-0100-000009000000}"/>
    <hyperlink ref="E18" r:id="rId13" tooltip="Lien au Manuel des méthodes comptables GM" xr:uid="{00000000-0004-0000-0100-00000A000000}"/>
    <hyperlink ref="E19" r:id="rId14" tooltip="Lien au Manuel des méthodes comptables GM" xr:uid="{00000000-0004-0000-0100-00000B000000}"/>
    <hyperlink ref="E21" r:id="rId15" tooltip="Lien au Manuel des méthodes comptables GM" xr:uid="{00000000-0004-0000-0100-00000C000000}"/>
    <hyperlink ref="E22" r:id="rId16" tooltip="Lien au Manuel des méthodes comptables GM" xr:uid="{00000000-0004-0000-0100-00000D000000}"/>
    <hyperlink ref="E23" r:id="rId17" tooltip="Lien au Manuel des méthodes comptables GM" xr:uid="{00000000-0004-0000-0100-00000E000000}"/>
    <hyperlink ref="E24" r:id="rId18" tooltip="Lien au Manuel des méthodes comptables GM" xr:uid="{00000000-0004-0000-0100-00000F000000}"/>
    <hyperlink ref="E25" r:id="rId19" tooltip="Lien au Manuel des méthodes comptables GM" xr:uid="{00000000-0004-0000-0100-000010000000}"/>
    <hyperlink ref="E26" r:id="rId20" tooltip="Lien au Manuel des méthodes comptables GM" xr:uid="{00000000-0004-0000-0100-000011000000}"/>
    <hyperlink ref="E27" r:id="rId21" tooltip="Lien au Manuel des méthodes comptables GM" xr:uid="{00000000-0004-0000-0100-000012000000}"/>
    <hyperlink ref="E28" r:id="rId22" tooltip="Lien au Manuel des méthodes comptables GM" xr:uid="{00000000-0004-0000-0100-000013000000}"/>
    <hyperlink ref="E29" r:id="rId23" tooltip="Lien au Manuel des méthodes comptables GM" xr:uid="{00000000-0004-0000-0100-000014000000}"/>
    <hyperlink ref="E30" r:id="rId24" tooltip="Lien au Manuel des méthodes comptables GM" xr:uid="{00000000-0004-0000-0100-000015000000}"/>
    <hyperlink ref="E31" r:id="rId25" tooltip="Lien au Manuel des méthodes comptables GM" xr:uid="{00000000-0004-0000-0100-000016000000}"/>
    <hyperlink ref="E32" r:id="rId26" tooltip="Lien au Manuel des méthodes comptables GM" xr:uid="{00000000-0004-0000-0100-000017000000}"/>
    <hyperlink ref="E33" r:id="rId27" tooltip="Lien au Manuel des méthodes comptables GM" xr:uid="{00000000-0004-0000-0100-000018000000}"/>
    <hyperlink ref="E34" r:id="rId28" tooltip="Lien au Manuel des méthodes comptables GM" xr:uid="{00000000-0004-0000-0100-000019000000}"/>
    <hyperlink ref="E35" r:id="rId29" tooltip="Lien au Manuel des méthodes comptables GM" xr:uid="{00000000-0004-0000-0100-00001A000000}"/>
    <hyperlink ref="E36" r:id="rId30" tooltip="Lien au Manuel des méthodes comptables GM" xr:uid="{00000000-0004-0000-0100-00001B000000}"/>
    <hyperlink ref="E37" r:id="rId31" tooltip="Lien au Manuel des méthodes comptables GM" xr:uid="{00000000-0004-0000-0100-00001C000000}"/>
    <hyperlink ref="E38" r:id="rId32" tooltip="Lien au Manuel des méthodes comptables GM" xr:uid="{00000000-0004-0000-0100-00001D000000}"/>
    <hyperlink ref="E39" r:id="rId33" tooltip="Lien au Manuel des méthodes comptables GM" xr:uid="{00000000-0004-0000-0100-00001E000000}"/>
    <hyperlink ref="E40" r:id="rId34" tooltip="Lien au Manuel des méthodes comptables GM" xr:uid="{00000000-0004-0000-0100-00001F000000}"/>
    <hyperlink ref="E41" r:id="rId35" tooltip="Lien au Manuel des méthodes comptables GM" xr:uid="{00000000-0004-0000-0100-000020000000}"/>
    <hyperlink ref="E42" r:id="rId36" tooltip="Lien au Manuel des méthodes comptables GM" xr:uid="{00000000-0004-0000-0100-000021000000}"/>
    <hyperlink ref="E44" r:id="rId37" tooltip="Lien au Manuel des méthodes comptables GM" xr:uid="{00000000-0004-0000-0100-000022000000}"/>
    <hyperlink ref="E45" r:id="rId38" tooltip="Lien au Manuel des méthodes comptables GM" xr:uid="{00000000-0004-0000-0100-000023000000}"/>
    <hyperlink ref="E46" r:id="rId39" tooltip="Lien au Manuel des méthodes comptables GM" xr:uid="{00000000-0004-0000-0100-000024000000}"/>
    <hyperlink ref="E47" r:id="rId40" tooltip="Lien au Manuel des méthodes comptables GM" xr:uid="{00000000-0004-0000-0100-000025000000}"/>
    <hyperlink ref="E48" r:id="rId41" tooltip="Lien au Manuel des méthodes comptables GM" xr:uid="{00000000-0004-0000-0100-000026000000}"/>
    <hyperlink ref="E49" r:id="rId42" tooltip="Lien au Manuel des méthodes comptables GM" xr:uid="{00000000-0004-0000-0100-000027000000}"/>
    <hyperlink ref="E50" r:id="rId43" tooltip="Lien au Manuel des méthodes comptables GM" xr:uid="{00000000-0004-0000-0100-000028000000}"/>
    <hyperlink ref="E51" r:id="rId44" tooltip="Lien au Manuel des méthodes comptables GM" xr:uid="{00000000-0004-0000-0100-000029000000}"/>
    <hyperlink ref="E53" r:id="rId45" tooltip="Lien au Manuel des méthodes comptables GM" xr:uid="{00000000-0004-0000-0100-00002A000000}"/>
    <hyperlink ref="E54" r:id="rId46" tooltip="Lien au Manuel des méthodes comptables GM" xr:uid="{00000000-0004-0000-0100-00002B000000}"/>
    <hyperlink ref="E55" r:id="rId47" tooltip="Lien au Manuel des méthodes comptables GM" xr:uid="{00000000-0004-0000-0100-00002C000000}"/>
    <hyperlink ref="E56" r:id="rId48" tooltip="Lien au Manuel des méthodes comptables GM" xr:uid="{00000000-0004-0000-0100-00002D000000}"/>
    <hyperlink ref="E57" r:id="rId49" tooltip="Lien au Manuel des méthodes comptables GM" xr:uid="{00000000-0004-0000-0100-00002E000000}"/>
    <hyperlink ref="D64" r:id="rId50" tooltip="Lien au Manuel des méthodes comptables GM" xr:uid="{00000000-0004-0000-0100-00002F000000}"/>
    <hyperlink ref="D65" r:id="rId51" tooltip="Lien au Manuel des méthodes comptables GM" xr:uid="{00000000-0004-0000-0100-000030000000}"/>
    <hyperlink ref="D67" r:id="rId52" tooltip="Lien au Manuel des méthodes comptables GM" xr:uid="{00000000-0004-0000-0100-000031000000}"/>
  </hyperlinks>
  <printOptions horizontalCentered="1"/>
  <pageMargins left="0" right="0" top="0" bottom="0" header="0" footer="0"/>
  <pageSetup scale="59" orientation="portrait" r:id="rId53"/>
  <headerFooter alignWithMargins="0"/>
  <drawing r:id="rId54"/>
  <legacyDrawing r:id="rId55"/>
  <controls>
    <mc:AlternateContent xmlns:mc="http://schemas.openxmlformats.org/markup-compatibility/2006">
      <mc:Choice Requires="x14">
        <control shapeId="7173" r:id="rId56" name="CommandButton1">
          <controlPr defaultSize="0" print="0" autoFill="0" autoLine="0" r:id="rId57">
            <anchor moveWithCells="1">
              <from>
                <xdr:col>4</xdr:col>
                <xdr:colOff>412750</xdr:colOff>
                <xdr:row>0</xdr:row>
                <xdr:rowOff>228600</xdr:rowOff>
              </from>
              <to>
                <xdr:col>5</xdr:col>
                <xdr:colOff>139700</xdr:colOff>
                <xdr:row>2</xdr:row>
                <xdr:rowOff>0</xdr:rowOff>
              </to>
            </anchor>
          </controlPr>
        </control>
      </mc:Choice>
      <mc:Fallback>
        <control shapeId="7173" r:id="rId56" name="CommandButton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Z78"/>
  <sheetViews>
    <sheetView showGridLines="0" showRowColHeaders="0" topLeftCell="A39" workbookViewId="0"/>
  </sheetViews>
  <sheetFormatPr baseColWidth="10" defaultColWidth="0" defaultRowHeight="12.5" zeroHeight="1"/>
  <cols>
    <col min="1" max="1" width="3.81640625" style="654" customWidth="1"/>
    <col min="2" max="2" width="34" style="654" customWidth="1"/>
    <col min="3" max="3" width="3.81640625" style="654" customWidth="1"/>
    <col min="4" max="4" width="12.81640625" style="654" customWidth="1"/>
    <col min="5" max="5" width="4.81640625" style="2072" customWidth="1"/>
    <col min="6" max="6" width="12.81640625" style="654" customWidth="1"/>
    <col min="7" max="7" width="4.81640625" style="2072" customWidth="1"/>
    <col min="8" max="8" width="12.81640625" style="654" customWidth="1"/>
    <col min="9" max="9" width="4.81640625" style="2072" customWidth="1"/>
    <col min="10" max="10" width="12.81640625" style="654" customWidth="1"/>
    <col min="11" max="11" width="4.81640625" style="2072" customWidth="1"/>
    <col min="12" max="12" width="12.81640625" style="654" customWidth="1"/>
    <col min="13" max="13" width="4.81640625" style="2072" customWidth="1"/>
    <col min="14" max="14" width="12.81640625" style="654" customWidth="1"/>
    <col min="15" max="15" width="4.81640625" style="2072" customWidth="1"/>
    <col min="16" max="17" width="12.81640625" style="654" customWidth="1"/>
    <col min="18" max="18" width="3.1796875" style="654" bestFit="1" customWidth="1"/>
    <col min="19" max="25" width="14.81640625" style="654" hidden="1" customWidth="1"/>
    <col min="26" max="26" width="3.81640625" style="654" hidden="1" customWidth="1"/>
    <col min="27" max="27" width="0" style="654" hidden="1" customWidth="1"/>
    <col min="28" max="16384" width="0" style="654" hidden="1"/>
  </cols>
  <sheetData>
    <row r="1" spans="1:26" s="569" customFormat="1" ht="21" customHeight="1">
      <c r="A1" s="76"/>
      <c r="B1" s="59" t="s">
        <v>15692</v>
      </c>
      <c r="C1" s="60"/>
      <c r="D1" s="60"/>
      <c r="E1" s="1890"/>
      <c r="F1" s="60"/>
      <c r="G1" s="1890"/>
      <c r="H1" s="60"/>
      <c r="I1" s="1890"/>
      <c r="J1" s="60"/>
      <c r="K1" s="1890"/>
      <c r="L1" s="641"/>
      <c r="M1" s="2097"/>
      <c r="N1" s="641"/>
      <c r="O1" s="2097"/>
      <c r="P1" s="181"/>
      <c r="Q1" s="641"/>
      <c r="R1" s="62" t="str">
        <f>TBIn!$E$2458&amp;" - "&amp;TBIn!$AH$10&amp;" - PAGE 3"</f>
        <v>319719 - 202504 - PAGE 3</v>
      </c>
      <c r="S1" s="60"/>
      <c r="T1" s="76"/>
      <c r="U1" s="4"/>
      <c r="V1" s="4"/>
      <c r="W1" s="4"/>
      <c r="X1" s="5"/>
      <c r="Z1" s="4"/>
    </row>
    <row r="2" spans="1:26" s="569" customFormat="1" ht="16" customHeight="1">
      <c r="A2" s="67" t="s">
        <v>1</v>
      </c>
      <c r="B2" s="220"/>
      <c r="C2" s="221"/>
      <c r="D2" s="1335" t="s">
        <v>15693</v>
      </c>
      <c r="E2" s="2057"/>
      <c r="F2" s="1336"/>
      <c r="G2" s="2057"/>
      <c r="H2" s="1335" t="s">
        <v>15694</v>
      </c>
      <c r="I2" s="2057"/>
      <c r="J2" s="1337"/>
      <c r="K2" s="2057"/>
      <c r="L2" s="1335" t="s">
        <v>15695</v>
      </c>
      <c r="M2" s="2057"/>
      <c r="N2" s="1337"/>
      <c r="O2" s="2057"/>
      <c r="P2" s="1335" t="s">
        <v>15696</v>
      </c>
      <c r="Q2" s="1199"/>
      <c r="R2" s="67" t="s">
        <v>1</v>
      </c>
      <c r="S2" s="568"/>
      <c r="T2" s="568"/>
    </row>
    <row r="3" spans="1:26" s="569" customFormat="1" ht="16" customHeight="1">
      <c r="A3" s="71" t="s">
        <v>6</v>
      </c>
      <c r="B3" s="138"/>
      <c r="C3" s="139"/>
      <c r="D3" s="1212" t="s">
        <v>7</v>
      </c>
      <c r="E3" s="2058"/>
      <c r="F3" s="1213" t="s">
        <v>8</v>
      </c>
      <c r="G3" s="2073"/>
      <c r="H3" s="1212" t="s">
        <v>7</v>
      </c>
      <c r="I3" s="2058"/>
      <c r="J3" s="1214" t="s">
        <v>8</v>
      </c>
      <c r="K3" s="2092"/>
      <c r="L3" s="1215" t="s">
        <v>7</v>
      </c>
      <c r="M3" s="2098"/>
      <c r="N3" s="1214" t="s">
        <v>8</v>
      </c>
      <c r="O3" s="2092"/>
      <c r="P3" s="1216" t="s">
        <v>7</v>
      </c>
      <c r="Q3" s="1217" t="s">
        <v>8</v>
      </c>
      <c r="R3" s="1218" t="s">
        <v>6</v>
      </c>
      <c r="S3" s="568"/>
      <c r="T3" s="568"/>
    </row>
    <row r="4" spans="1:26" s="569" customFormat="1" ht="16" customHeight="1">
      <c r="A4" s="74">
        <v>1</v>
      </c>
      <c r="B4" s="1185" t="s">
        <v>9</v>
      </c>
      <c r="C4" s="1203"/>
      <c r="D4" s="665">
        <f>Page7!F81</f>
        <v>4436604</v>
      </c>
      <c r="E4" s="2059" t="s">
        <v>15697</v>
      </c>
      <c r="F4" s="666">
        <f>Page7!K81</f>
        <v>16606302</v>
      </c>
      <c r="G4" s="2074" t="s">
        <v>15697</v>
      </c>
      <c r="H4" s="665">
        <f>Page6!G17</f>
        <v>5423036</v>
      </c>
      <c r="I4" s="2059" t="s">
        <v>15697</v>
      </c>
      <c r="J4" s="666">
        <f>Page6!L17</f>
        <v>16558650</v>
      </c>
      <c r="K4" s="2074" t="s">
        <v>15697</v>
      </c>
      <c r="L4" s="665">
        <f>Page8!H12+Page8!H26</f>
        <v>0</v>
      </c>
      <c r="M4" s="2059" t="s">
        <v>15697</v>
      </c>
      <c r="N4" s="666">
        <f>Page8!J12+Page8!J26</f>
        <v>0</v>
      </c>
      <c r="O4" s="2102" t="s">
        <v>15697</v>
      </c>
      <c r="P4" s="665">
        <f>Page7!F24+Page8!H54</f>
        <v>44441</v>
      </c>
      <c r="Q4" s="678">
        <f>Page7!K24+Page8!O54</f>
        <v>170336</v>
      </c>
      <c r="R4" s="74">
        <v>1</v>
      </c>
      <c r="S4" s="568"/>
      <c r="T4" s="568"/>
    </row>
    <row r="5" spans="1:26" s="569" customFormat="1" ht="16" customHeight="1">
      <c r="A5" s="80">
        <v>2</v>
      </c>
      <c r="B5" s="1204" t="s">
        <v>12</v>
      </c>
      <c r="C5" s="609"/>
      <c r="D5" s="667">
        <f>Page7!H81</f>
        <v>161213</v>
      </c>
      <c r="E5" s="1894">
        <f>IFERROR(D5/D4,0)</f>
        <v>3.6337027149594602E-2</v>
      </c>
      <c r="F5" s="668">
        <f>Page7!M81</f>
        <v>580016</v>
      </c>
      <c r="G5" s="1926">
        <f>IFERROR(F5/F4,0)</f>
        <v>3.4927463079980119E-2</v>
      </c>
      <c r="H5" s="667">
        <f>Page6!I17</f>
        <v>221358</v>
      </c>
      <c r="I5" s="1894">
        <f>IFERROR(H5/H4,0)</f>
        <v>4.0818095251442178E-2</v>
      </c>
      <c r="J5" s="679">
        <f>Page6!N17</f>
        <v>791793</v>
      </c>
      <c r="K5" s="1926">
        <f>IFERROR(J5/J4,0)</f>
        <v>4.7817485121069654E-2</v>
      </c>
      <c r="L5" s="667">
        <f>Page8!H27</f>
        <v>0</v>
      </c>
      <c r="M5" s="1894">
        <f>IFERROR(L5/L4,0)</f>
        <v>0</v>
      </c>
      <c r="N5" s="668">
        <f>Page8!J27</f>
        <v>0</v>
      </c>
      <c r="O5" s="1939">
        <f>IFERROR(N5/N4,0)</f>
        <v>0</v>
      </c>
      <c r="P5" s="667">
        <f>Page7!H24+Page8!K54</f>
        <v>12884</v>
      </c>
      <c r="Q5" s="680">
        <f>Page7!M24+Page8!Q54</f>
        <v>57237</v>
      </c>
      <c r="R5" s="80">
        <v>2</v>
      </c>
      <c r="S5" s="568"/>
      <c r="T5" s="568"/>
    </row>
    <row r="6" spans="1:26" s="569" customFormat="1" ht="15.75" customHeight="1">
      <c r="A6" s="80">
        <v>3</v>
      </c>
      <c r="B6" s="223" t="s">
        <v>13</v>
      </c>
      <c r="C6" s="224" t="s">
        <v>15538</v>
      </c>
      <c r="D6" s="225"/>
      <c r="E6" s="2060" t="s">
        <v>17</v>
      </c>
      <c r="F6" s="1227"/>
      <c r="G6" s="2075" t="s">
        <v>17</v>
      </c>
      <c r="H6" s="1228"/>
      <c r="I6" s="2060" t="s">
        <v>17</v>
      </c>
      <c r="J6" s="1227"/>
      <c r="K6" s="2075" t="s">
        <v>17</v>
      </c>
      <c r="L6" s="1228"/>
      <c r="M6" s="2060" t="s">
        <v>17</v>
      </c>
      <c r="N6" s="1227"/>
      <c r="O6" s="2075" t="s">
        <v>17</v>
      </c>
      <c r="P6" s="226" t="s">
        <v>15698</v>
      </c>
      <c r="Q6" s="227"/>
      <c r="R6" s="80">
        <v>3</v>
      </c>
      <c r="S6" s="568"/>
      <c r="T6" s="568"/>
    </row>
    <row r="7" spans="1:26" s="569" customFormat="1" ht="15.75" customHeight="1">
      <c r="A7" s="80">
        <v>4</v>
      </c>
      <c r="B7" s="1534" t="s">
        <v>14</v>
      </c>
      <c r="C7" s="190">
        <v>11</v>
      </c>
      <c r="D7" s="2575">
        <f>IF(Flag=TRUE,(F7-TBIn!E1135),TBIn!D1135)</f>
        <v>34342</v>
      </c>
      <c r="E7" s="2033">
        <f t="shared" ref="E7:E27" si="0">IFERROR(D7/(D$5+D$62),0)</f>
        <v>0.20221993228323273</v>
      </c>
      <c r="F7" s="2580">
        <f>TBIn!E1135</f>
        <v>125094</v>
      </c>
      <c r="G7" s="2076">
        <f t="shared" ref="G7:G27" si="1">IFERROR(F7/(F$5+F$62),0)</f>
        <v>0.20070208990473012</v>
      </c>
      <c r="H7" s="2575">
        <f>IF(Flag=TRUE,(J7-TBIn!E1185),TBIn!D1185)</f>
        <v>6802</v>
      </c>
      <c r="I7" s="2033">
        <f t="shared" ref="I7:I27" si="2">IFERROR(H7/(H$5+H$62),0)</f>
        <v>3.0146700350130746E-2</v>
      </c>
      <c r="J7" s="2582">
        <f>TBIn!E1185</f>
        <v>27746</v>
      </c>
      <c r="K7" s="2076">
        <f t="shared" ref="K7:K27" si="3">IFERROR(J7/(J$5+J$62),0)</f>
        <v>3.4434400146941289E-2</v>
      </c>
      <c r="L7" s="2575">
        <f>IF(Flag=TRUE,(N7-TBIn!E1232),TBIn!D1232)</f>
        <v>0</v>
      </c>
      <c r="M7" s="2033">
        <f t="shared" ref="M7:M27" si="4">IFERROR(L7/(L$5+L$62),0)</f>
        <v>0</v>
      </c>
      <c r="N7" s="2580">
        <f>TBIn!E1232</f>
        <v>0</v>
      </c>
      <c r="O7" s="1942">
        <f t="shared" ref="O7:O27" si="5">IFERROR(N7/(N$5+N$62),0)</f>
        <v>0</v>
      </c>
      <c r="P7" s="503">
        <f>IF(Page7!E82=0,0,D7/Page7!E82)</f>
        <v>635.96296296296293</v>
      </c>
      <c r="Q7" s="504">
        <f>IF(Page7!J82=0,0,F7/Page7!J82)</f>
        <v>672.54838709677415</v>
      </c>
      <c r="R7" s="80">
        <v>4</v>
      </c>
      <c r="S7" s="568"/>
      <c r="T7" s="568"/>
    </row>
    <row r="8" spans="1:26" s="569" customFormat="1" ht="15.75" customHeight="1">
      <c r="A8" s="80">
        <v>5</v>
      </c>
      <c r="B8" s="1600" t="s">
        <v>15</v>
      </c>
      <c r="C8" s="193">
        <v>13</v>
      </c>
      <c r="D8" s="2575">
        <f>IF(Flag=TRUE,(F8-TBIn!E1136),TBIn!D1136)</f>
        <v>-11024</v>
      </c>
      <c r="E8" s="2033">
        <f t="shared" si="0"/>
        <v>-6.4913881937288379E-2</v>
      </c>
      <c r="F8" s="2580">
        <f>TBIn!E1136</f>
        <v>-40131</v>
      </c>
      <c r="G8" s="2076">
        <f t="shared" si="1"/>
        <v>-6.4386585847176714E-2</v>
      </c>
      <c r="H8" s="2575">
        <f>IF(Flag=TRUE,(J8-TBIn!E1186),TBIn!D1186)</f>
        <v>10188</v>
      </c>
      <c r="I8" s="2033">
        <f t="shared" si="2"/>
        <v>4.5153570003988834E-2</v>
      </c>
      <c r="J8" s="2582">
        <f>TBIn!E1186</f>
        <v>40757</v>
      </c>
      <c r="K8" s="2076">
        <f t="shared" si="3"/>
        <v>5.0581808072835223E-2</v>
      </c>
      <c r="L8" s="2575">
        <f>IF(Flag=TRUE,(N8-TBIn!E1233),TBIn!D1233)</f>
        <v>0</v>
      </c>
      <c r="M8" s="2033">
        <f t="shared" si="4"/>
        <v>0</v>
      </c>
      <c r="N8" s="2580">
        <f>TBIn!E1233</f>
        <v>0</v>
      </c>
      <c r="O8" s="1942">
        <f t="shared" si="5"/>
        <v>0</v>
      </c>
      <c r="P8" s="226" t="s">
        <v>15699</v>
      </c>
      <c r="Q8" s="227"/>
      <c r="R8" s="80">
        <v>5</v>
      </c>
      <c r="S8" s="568"/>
      <c r="T8" s="568"/>
    </row>
    <row r="9" spans="1:26" s="569" customFormat="1" ht="15.75" customHeight="1">
      <c r="A9" s="80">
        <v>6</v>
      </c>
      <c r="B9" s="1589" t="s">
        <v>16</v>
      </c>
      <c r="C9" s="195">
        <v>15</v>
      </c>
      <c r="D9" s="2575">
        <f>IF(Flag=TRUE,(F9-TBIn!E1137),TBIn!D1137)</f>
        <v>3303</v>
      </c>
      <c r="E9" s="2033">
        <f t="shared" si="0"/>
        <v>1.9449433240100102E-2</v>
      </c>
      <c r="F9" s="2580">
        <f>TBIn!E1137</f>
        <v>19427</v>
      </c>
      <c r="G9" s="2076">
        <f t="shared" si="1"/>
        <v>3.1168877009122676E-2</v>
      </c>
      <c r="H9" s="2575">
        <f>IF(Flag=TRUE,(J9-TBIn!E1187),TBIn!D1187)</f>
        <v>339</v>
      </c>
      <c r="I9" s="2033">
        <f t="shared" si="2"/>
        <v>1.5024597792846696E-3</v>
      </c>
      <c r="J9" s="2589">
        <f>TBIn!E1187</f>
        <v>1930</v>
      </c>
      <c r="K9" s="2076">
        <f t="shared" si="3"/>
        <v>2.395242279377088E-3</v>
      </c>
      <c r="L9" s="2575">
        <f>IF(Flag=TRUE,(N9-TBIn!E1234),TBIn!D1234)</f>
        <v>0</v>
      </c>
      <c r="M9" s="2033">
        <f t="shared" si="4"/>
        <v>0</v>
      </c>
      <c r="N9" s="2580">
        <f>TBIn!E1234</f>
        <v>0</v>
      </c>
      <c r="O9" s="1942">
        <f t="shared" si="5"/>
        <v>0</v>
      </c>
      <c r="P9" s="505">
        <f>IF(Page6!F10=0,0,H7/Page6!F10)</f>
        <v>680.2</v>
      </c>
      <c r="Q9" s="504">
        <f>IF(Page6!K10=0,0,J7/Page6!K10)</f>
        <v>603.17391304347825</v>
      </c>
      <c r="R9" s="80">
        <v>6</v>
      </c>
      <c r="S9" s="568"/>
      <c r="T9" s="568"/>
    </row>
    <row r="10" spans="1:26" s="569" customFormat="1" ht="15.75" customHeight="1">
      <c r="A10" s="80">
        <v>7</v>
      </c>
      <c r="B10" s="1633" t="s">
        <v>18</v>
      </c>
      <c r="C10" s="101"/>
      <c r="D10" s="669">
        <f>SUM(D7:D9)</f>
        <v>26621</v>
      </c>
      <c r="E10" s="1903">
        <f t="shared" si="0"/>
        <v>0.15675548358604446</v>
      </c>
      <c r="F10" s="681">
        <f>SUM(F7:F9)</f>
        <v>104390</v>
      </c>
      <c r="G10" s="2035">
        <f t="shared" si="1"/>
        <v>0.16748438106667607</v>
      </c>
      <c r="H10" s="669">
        <f>SUM(H7:H9)</f>
        <v>17329</v>
      </c>
      <c r="I10" s="1903">
        <f t="shared" si="2"/>
        <v>7.6802730133404246E-2</v>
      </c>
      <c r="J10" s="670">
        <f>SUM(J7:J9)</f>
        <v>70433</v>
      </c>
      <c r="K10" s="2035">
        <f t="shared" si="3"/>
        <v>8.7411450499153595E-2</v>
      </c>
      <c r="L10" s="669">
        <f>SUM(L7:L9)</f>
        <v>0</v>
      </c>
      <c r="M10" s="1903">
        <f t="shared" si="4"/>
        <v>0</v>
      </c>
      <c r="N10" s="670">
        <f>SUM(N7:N9)</f>
        <v>0</v>
      </c>
      <c r="O10" s="1944">
        <f t="shared" si="5"/>
        <v>0</v>
      </c>
      <c r="P10" s="1219" t="s">
        <v>15700</v>
      </c>
      <c r="Q10" s="227"/>
      <c r="R10" s="80">
        <v>7</v>
      </c>
      <c r="S10" s="568"/>
      <c r="T10" s="568"/>
    </row>
    <row r="11" spans="1:26" s="569" customFormat="1" ht="15.75" customHeight="1">
      <c r="A11" s="80">
        <v>8</v>
      </c>
      <c r="B11" s="1634" t="s">
        <v>20</v>
      </c>
      <c r="C11" s="190">
        <v>20</v>
      </c>
      <c r="D11" s="2575">
        <f>IF(Flag=TRUE,(F11-TBIn!E1138),TBIn!D1138)</f>
        <v>10154</v>
      </c>
      <c r="E11" s="2033">
        <f t="shared" si="0"/>
        <v>5.9790961283674372E-2</v>
      </c>
      <c r="F11" s="2580">
        <f>TBIn!E1138</f>
        <v>40052</v>
      </c>
      <c r="G11" s="2076">
        <f t="shared" si="1"/>
        <v>6.4259837441158249E-2</v>
      </c>
      <c r="H11" s="2575">
        <f>IF(Flag=TRUE,(J11-TBIn!E1188),TBIn!D1188)</f>
        <v>6769</v>
      </c>
      <c r="I11" s="2033">
        <f t="shared" si="2"/>
        <v>3.0000443203474714E-2</v>
      </c>
      <c r="J11" s="2583">
        <f>TBIn!E1188</f>
        <v>26701</v>
      </c>
      <c r="K11" s="2076">
        <f t="shared" si="3"/>
        <v>3.3137494353185297E-2</v>
      </c>
      <c r="L11" s="2575">
        <f>IF(Flag=TRUE,(N11-TBIn!E1235),TBIn!D1235)</f>
        <v>0</v>
      </c>
      <c r="M11" s="2033">
        <f t="shared" si="4"/>
        <v>0</v>
      </c>
      <c r="N11" s="2580">
        <f>TBIn!E1235</f>
        <v>0</v>
      </c>
      <c r="O11" s="1942">
        <f t="shared" si="5"/>
        <v>0</v>
      </c>
      <c r="P11" s="228">
        <f>IF((Page6!$F$4+Page6!$F$5+Page6!$F$7+Page6!$F$8)=0,0,H9/(Page6!$F$4+Page6!$F$5+Page6!$F$7+Page6!$F$8))</f>
        <v>33.9</v>
      </c>
      <c r="Q11" s="186">
        <f>IF((Page6!$K$4+Page6!$K$5+Page6!$K$7+Page6!$K$8)=0,0,J9/(Page6!$K$4+Page6!$K$5+Page6!$K$7+Page6!$K$8))</f>
        <v>41.956521739130437</v>
      </c>
      <c r="R11" s="80">
        <v>8</v>
      </c>
      <c r="S11" s="568"/>
      <c r="T11" s="568"/>
    </row>
    <row r="12" spans="1:26" s="569" customFormat="1" ht="15.75" customHeight="1">
      <c r="A12" s="80">
        <v>9</v>
      </c>
      <c r="B12" s="1634" t="s">
        <v>21</v>
      </c>
      <c r="C12" s="201">
        <v>21</v>
      </c>
      <c r="D12" s="2575">
        <f>IF(Flag=TRUE,(F12-TBIn!E1139),TBIn!D1139)</f>
        <v>22658</v>
      </c>
      <c r="E12" s="2033">
        <f t="shared" si="0"/>
        <v>0.13341969674665097</v>
      </c>
      <c r="F12" s="2580">
        <f>TBIn!E1139</f>
        <v>64451</v>
      </c>
      <c r="G12" s="2076">
        <f t="shared" si="1"/>
        <v>0.10340584197843031</v>
      </c>
      <c r="H12" s="2575">
        <f>IF(Flag=TRUE,(J12-TBIn!E1189),TBIn!D1189)</f>
        <v>25943</v>
      </c>
      <c r="I12" s="2033">
        <f t="shared" si="2"/>
        <v>0.11498027744537517</v>
      </c>
      <c r="J12" s="2582">
        <f>TBIn!E1189</f>
        <v>74170</v>
      </c>
      <c r="K12" s="2076">
        <f t="shared" si="3"/>
        <v>9.204928490227908E-2</v>
      </c>
      <c r="L12" s="2575">
        <f>IF(Flag=TRUE,(N12-TBIn!E1236),TBIn!D1236)</f>
        <v>0</v>
      </c>
      <c r="M12" s="2033">
        <f t="shared" si="4"/>
        <v>0</v>
      </c>
      <c r="N12" s="2580">
        <f>TBIn!E1236</f>
        <v>0</v>
      </c>
      <c r="O12" s="1942">
        <f t="shared" si="5"/>
        <v>0</v>
      </c>
      <c r="P12" s="968"/>
      <c r="Q12" s="969"/>
      <c r="R12" s="80">
        <v>9</v>
      </c>
      <c r="S12" s="568"/>
      <c r="T12" s="568"/>
    </row>
    <row r="13" spans="1:26" s="569" customFormat="1" ht="15.75" customHeight="1">
      <c r="A13" s="80">
        <v>10</v>
      </c>
      <c r="B13" s="1634" t="s">
        <v>22</v>
      </c>
      <c r="C13" s="201">
        <v>22</v>
      </c>
      <c r="D13" s="2575">
        <f>IF(Flag=TRUE,(F13-TBIn!E1140),TBIn!D1140)</f>
        <v>34496</v>
      </c>
      <c r="E13" s="2033">
        <f t="shared" si="0"/>
        <v>0.20312674812306786</v>
      </c>
      <c r="F13" s="2580">
        <f>TBIn!E1140</f>
        <v>117595</v>
      </c>
      <c r="G13" s="2076">
        <f t="shared" si="1"/>
        <v>0.18867061779419267</v>
      </c>
      <c r="H13" s="2575">
        <f>IF(Flag=TRUE,(J13-TBIn!E1190),TBIn!D1190)</f>
        <v>10161</v>
      </c>
      <c r="I13" s="2033">
        <f t="shared" si="2"/>
        <v>4.5033905065815713E-2</v>
      </c>
      <c r="J13" s="2582">
        <f>TBIn!E1190</f>
        <v>35757</v>
      </c>
      <c r="K13" s="2076">
        <f t="shared" si="3"/>
        <v>4.4376517193619971E-2</v>
      </c>
      <c r="L13" s="2575">
        <f>IF(Flag=TRUE,(N13-TBIn!E1237),TBIn!D1237)</f>
        <v>0</v>
      </c>
      <c r="M13" s="2033">
        <f t="shared" si="4"/>
        <v>0</v>
      </c>
      <c r="N13" s="2580">
        <f>TBIn!E1237</f>
        <v>0</v>
      </c>
      <c r="O13" s="1942">
        <f t="shared" si="5"/>
        <v>0</v>
      </c>
      <c r="P13" s="968"/>
      <c r="Q13" s="969"/>
      <c r="R13" s="80">
        <v>10</v>
      </c>
      <c r="S13" s="568"/>
      <c r="T13" s="568"/>
    </row>
    <row r="14" spans="1:26" s="569" customFormat="1" ht="15.75" customHeight="1">
      <c r="A14" s="80">
        <v>11</v>
      </c>
      <c r="B14" s="1634" t="s">
        <v>23</v>
      </c>
      <c r="C14" s="201">
        <v>23</v>
      </c>
      <c r="D14" s="2575">
        <f>IF(Flag=TRUE,(F14-TBIn!E1141),TBIn!D1141)</f>
        <v>9783</v>
      </c>
      <c r="E14" s="2033">
        <f t="shared" si="0"/>
        <v>5.7606359487707932E-2</v>
      </c>
      <c r="F14" s="2580">
        <f>TBIn!E1141</f>
        <v>19523</v>
      </c>
      <c r="G14" s="2076">
        <f t="shared" si="1"/>
        <v>3.1322900388588149E-2</v>
      </c>
      <c r="H14" s="2575">
        <f>IF(Flag=TRUE,(J14-TBIn!E1191),TBIn!D1191)</f>
        <v>0</v>
      </c>
      <c r="I14" s="2033">
        <f t="shared" si="2"/>
        <v>0</v>
      </c>
      <c r="J14" s="2582">
        <f>TBIn!E1191</f>
        <v>0</v>
      </c>
      <c r="K14" s="2076">
        <f t="shared" si="3"/>
        <v>0</v>
      </c>
      <c r="L14" s="2575">
        <f>IF(Flag=TRUE,(N14-TBIn!E1238),TBIn!D1238)</f>
        <v>0</v>
      </c>
      <c r="M14" s="2033">
        <f t="shared" si="4"/>
        <v>0</v>
      </c>
      <c r="N14" s="2580">
        <f>TBIn!E1238</f>
        <v>0</v>
      </c>
      <c r="O14" s="1942">
        <f t="shared" si="5"/>
        <v>0</v>
      </c>
      <c r="P14" s="968"/>
      <c r="Q14" s="969"/>
      <c r="R14" s="80">
        <v>11</v>
      </c>
      <c r="S14" s="568"/>
      <c r="T14" s="568"/>
    </row>
    <row r="15" spans="1:26" s="569" customFormat="1" ht="15.75" customHeight="1">
      <c r="A15" s="80">
        <v>12</v>
      </c>
      <c r="B15" s="1635" t="s">
        <v>24</v>
      </c>
      <c r="C15" s="201">
        <v>24</v>
      </c>
      <c r="D15" s="2575">
        <f>IF(Flag=TRUE,(F15-TBIn!E1142),TBIn!D1142)</f>
        <v>9842</v>
      </c>
      <c r="E15" s="2033">
        <f t="shared" si="0"/>
        <v>5.7953775945826583E-2</v>
      </c>
      <c r="F15" s="2580">
        <f>TBIn!E1142</f>
        <v>30832</v>
      </c>
      <c r="G15" s="2076">
        <f t="shared" si="1"/>
        <v>4.946717537166162E-2</v>
      </c>
      <c r="H15" s="2575">
        <f>IF(Flag=TRUE,(J15-TBIn!E1192),TBIn!D1192)</f>
        <v>5901</v>
      </c>
      <c r="I15" s="2033">
        <f t="shared" si="2"/>
        <v>2.6153437042946415E-2</v>
      </c>
      <c r="J15" s="2582">
        <f>TBIn!E1192</f>
        <v>17364</v>
      </c>
      <c r="K15" s="2076">
        <f t="shared" si="3"/>
        <v>2.1549734165338733E-2</v>
      </c>
      <c r="L15" s="2575">
        <f>IF(Flag=TRUE,(N15-TBIn!E1239),TBIn!D1239)</f>
        <v>0</v>
      </c>
      <c r="M15" s="2033">
        <f t="shared" si="4"/>
        <v>0</v>
      </c>
      <c r="N15" s="2580">
        <f>TBIn!E1239</f>
        <v>0</v>
      </c>
      <c r="O15" s="1942">
        <f t="shared" si="5"/>
        <v>0</v>
      </c>
      <c r="P15" s="968"/>
      <c r="Q15" s="969"/>
      <c r="R15" s="80">
        <v>12</v>
      </c>
      <c r="S15" s="568"/>
      <c r="T15" s="568"/>
    </row>
    <row r="16" spans="1:26" s="569" customFormat="1" ht="15.75" customHeight="1">
      <c r="A16" s="80">
        <v>13</v>
      </c>
      <c r="B16" s="1627" t="s">
        <v>25</v>
      </c>
      <c r="C16" s="201">
        <v>26</v>
      </c>
      <c r="D16" s="2575">
        <f>IF(Flag=TRUE,(F16-TBIn!E1143),TBIn!D1143)</f>
        <v>0</v>
      </c>
      <c r="E16" s="2033">
        <f t="shared" si="0"/>
        <v>0</v>
      </c>
      <c r="F16" s="2580">
        <f>TBIn!E1143</f>
        <v>0</v>
      </c>
      <c r="G16" s="2076">
        <f t="shared" si="1"/>
        <v>0</v>
      </c>
      <c r="H16" s="2575">
        <f>IF(Flag=TRUE,(J16-TBIn!E1193),TBIn!D1193)</f>
        <v>0</v>
      </c>
      <c r="I16" s="2033">
        <f t="shared" si="2"/>
        <v>0</v>
      </c>
      <c r="J16" s="2582">
        <f>TBIn!E1193</f>
        <v>0</v>
      </c>
      <c r="K16" s="2076">
        <f t="shared" si="3"/>
        <v>0</v>
      </c>
      <c r="L16" s="2575">
        <f>IF(Flag=TRUE,(N16-TBIn!E1240),TBIn!D1240)</f>
        <v>0</v>
      </c>
      <c r="M16" s="2033">
        <f t="shared" si="4"/>
        <v>0</v>
      </c>
      <c r="N16" s="2580">
        <f>TBIn!E1240</f>
        <v>0</v>
      </c>
      <c r="O16" s="1942">
        <f t="shared" si="5"/>
        <v>0</v>
      </c>
      <c r="P16" s="968"/>
      <c r="Q16" s="969"/>
      <c r="R16" s="80">
        <v>13</v>
      </c>
      <c r="S16" s="568"/>
      <c r="T16" s="568"/>
    </row>
    <row r="17" spans="1:20" s="569" customFormat="1" ht="15.75" customHeight="1">
      <c r="A17" s="80">
        <v>14</v>
      </c>
      <c r="B17" s="1636" t="s">
        <v>26</v>
      </c>
      <c r="C17" s="201">
        <v>25</v>
      </c>
      <c r="D17" s="2575">
        <f>IF(Flag=TRUE,(F17-TBIn!E1144),TBIn!D1144)</f>
        <v>3870</v>
      </c>
      <c r="E17" s="2033">
        <f t="shared" si="0"/>
        <v>2.2788164286765788E-2</v>
      </c>
      <c r="F17" s="2580">
        <f>TBIn!E1144</f>
        <v>13285</v>
      </c>
      <c r="G17" s="2076">
        <f t="shared" si="1"/>
        <v>2.1314589543737827E-2</v>
      </c>
      <c r="H17" s="2575">
        <f>IF(Flag=TRUE,(J17-TBIn!E1194),TBIn!D1194)</f>
        <v>1136</v>
      </c>
      <c r="I17" s="2033">
        <f t="shared" si="2"/>
        <v>5.0347914727651467E-3</v>
      </c>
      <c r="J17" s="2582">
        <f>TBIn!E1194</f>
        <v>2989</v>
      </c>
      <c r="K17" s="2076">
        <f t="shared" si="3"/>
        <v>3.7095228875948789E-3</v>
      </c>
      <c r="L17" s="2575">
        <f>IF(Flag=TRUE,(N17-TBIn!E1241),TBIn!D1241)</f>
        <v>0</v>
      </c>
      <c r="M17" s="2033">
        <f t="shared" si="4"/>
        <v>0</v>
      </c>
      <c r="N17" s="2580">
        <f>TBIn!E1241</f>
        <v>0</v>
      </c>
      <c r="O17" s="1942">
        <f t="shared" si="5"/>
        <v>0</v>
      </c>
      <c r="P17" s="968"/>
      <c r="Q17" s="969"/>
      <c r="R17" s="80">
        <v>14</v>
      </c>
      <c r="S17" s="568"/>
      <c r="T17" s="568"/>
    </row>
    <row r="18" spans="1:20" s="569" customFormat="1" ht="15.75" customHeight="1">
      <c r="A18" s="80">
        <v>15</v>
      </c>
      <c r="B18" s="1634" t="s">
        <v>27</v>
      </c>
      <c r="C18" s="201">
        <v>27</v>
      </c>
      <c r="D18" s="2575">
        <f>IF(Flag=TRUE,(F18-TBIn!E1145),TBIn!D1145)</f>
        <v>9446</v>
      </c>
      <c r="E18" s="2033">
        <f t="shared" si="0"/>
        <v>5.5621963786250554E-2</v>
      </c>
      <c r="F18" s="2580">
        <f>TBIn!E1145</f>
        <v>29885</v>
      </c>
      <c r="G18" s="2076">
        <f t="shared" si="1"/>
        <v>4.7947798909642826E-2</v>
      </c>
      <c r="H18" s="2575">
        <f>IF(Flag=TRUE,(J18-TBIn!E1195),TBIn!D1195)</f>
        <v>158</v>
      </c>
      <c r="I18" s="2033">
        <f t="shared" si="2"/>
        <v>7.0026149005008198E-4</v>
      </c>
      <c r="J18" s="2582">
        <f>TBIn!E1195</f>
        <v>13137</v>
      </c>
      <c r="K18" s="2076">
        <f t="shared" si="3"/>
        <v>1.630378125605016E-2</v>
      </c>
      <c r="L18" s="2575">
        <f>IF(Flag=TRUE,(N18-TBIn!E1242),TBIn!D1242)</f>
        <v>0</v>
      </c>
      <c r="M18" s="2033">
        <f t="shared" si="4"/>
        <v>0</v>
      </c>
      <c r="N18" s="2580">
        <f>TBIn!E1242</f>
        <v>0</v>
      </c>
      <c r="O18" s="1942">
        <f t="shared" si="5"/>
        <v>0</v>
      </c>
      <c r="P18" s="968"/>
      <c r="Q18" s="969"/>
      <c r="R18" s="80">
        <v>15</v>
      </c>
      <c r="S18" s="568"/>
      <c r="T18" s="568"/>
    </row>
    <row r="19" spans="1:20" s="569" customFormat="1" ht="15.75" customHeight="1">
      <c r="A19" s="80">
        <v>16</v>
      </c>
      <c r="B19" s="1637" t="s">
        <v>28</v>
      </c>
      <c r="C19" s="201">
        <v>29</v>
      </c>
      <c r="D19" s="2576">
        <f>IF(Flag=TRUE,(F19-TBIn!E1146),TBIn!D1146)</f>
        <v>0</v>
      </c>
      <c r="E19" s="2034">
        <f t="shared" si="0"/>
        <v>0</v>
      </c>
      <c r="F19" s="2581">
        <f>TBIn!E1146</f>
        <v>0</v>
      </c>
      <c r="G19" s="2077">
        <f t="shared" si="1"/>
        <v>0</v>
      </c>
      <c r="H19" s="2576">
        <f>IF(Flag=TRUE,(J19-TBIn!E1196),TBIn!D1196)</f>
        <v>0</v>
      </c>
      <c r="I19" s="2034">
        <f t="shared" si="2"/>
        <v>0</v>
      </c>
      <c r="J19" s="2589">
        <f>TBIn!E1196</f>
        <v>0</v>
      </c>
      <c r="K19" s="2077">
        <f t="shared" si="3"/>
        <v>0</v>
      </c>
      <c r="L19" s="2576">
        <f>IF(Flag=TRUE,(N19-TBIn!E1243),TBIn!D1243)</f>
        <v>0</v>
      </c>
      <c r="M19" s="2034">
        <f t="shared" si="4"/>
        <v>0</v>
      </c>
      <c r="N19" s="2581">
        <f>TBIn!E1243</f>
        <v>0</v>
      </c>
      <c r="O19" s="1943">
        <f t="shared" si="5"/>
        <v>0</v>
      </c>
      <c r="P19" s="968"/>
      <c r="Q19" s="969"/>
      <c r="R19" s="80">
        <v>16</v>
      </c>
      <c r="S19" s="568"/>
      <c r="T19" s="568"/>
    </row>
    <row r="20" spans="1:20" s="569" customFormat="1" ht="16" customHeight="1">
      <c r="A20" s="80">
        <v>17</v>
      </c>
      <c r="B20" s="229" t="s">
        <v>29</v>
      </c>
      <c r="C20" s="211"/>
      <c r="D20" s="669">
        <f>SUM(D11:D19)</f>
        <v>100249</v>
      </c>
      <c r="E20" s="2035">
        <f t="shared" si="0"/>
        <v>0.59030766965994408</v>
      </c>
      <c r="F20" s="1504">
        <f>SUM(F11:F19)</f>
        <v>315623</v>
      </c>
      <c r="G20" s="2035">
        <f t="shared" si="1"/>
        <v>0.50638876142741163</v>
      </c>
      <c r="H20" s="669">
        <f>SUM(H11:H19)</f>
        <v>50068</v>
      </c>
      <c r="I20" s="2035">
        <f t="shared" si="2"/>
        <v>0.22190311572042726</v>
      </c>
      <c r="J20" s="670">
        <f>SUM(J11:J19)</f>
        <v>170118</v>
      </c>
      <c r="K20" s="2035">
        <f t="shared" si="3"/>
        <v>0.21112633475806811</v>
      </c>
      <c r="L20" s="669">
        <f>SUM(L11:L19)</f>
        <v>0</v>
      </c>
      <c r="M20" s="2035">
        <f t="shared" si="4"/>
        <v>0</v>
      </c>
      <c r="N20" s="670">
        <f>SUM(N11:N19)</f>
        <v>0</v>
      </c>
      <c r="O20" s="1944">
        <f t="shared" si="5"/>
        <v>0</v>
      </c>
      <c r="P20" s="968"/>
      <c r="Q20" s="969"/>
      <c r="R20" s="80">
        <v>17</v>
      </c>
      <c r="S20" s="568"/>
      <c r="T20" s="568"/>
    </row>
    <row r="21" spans="1:20" s="569" customFormat="1" ht="16" customHeight="1">
      <c r="A21" s="80">
        <v>18</v>
      </c>
      <c r="B21" s="1560" t="s">
        <v>30</v>
      </c>
      <c r="C21" s="201">
        <v>51</v>
      </c>
      <c r="D21" s="2575">
        <f>IF(Flag=TRUE,(F21-TBIn!E1147),TBIn!D1147)</f>
        <v>-3143</v>
      </c>
      <c r="E21" s="2033">
        <f t="shared" si="0"/>
        <v>-1.8507286912998674E-2</v>
      </c>
      <c r="F21" s="2580">
        <f>TBIn!E1147</f>
        <v>28552</v>
      </c>
      <c r="G21" s="2076">
        <f t="shared" si="1"/>
        <v>4.5809120109356602E-2</v>
      </c>
      <c r="H21" s="2575">
        <f>IF(Flag=TRUE,(J21-TBIn!E1197),TBIn!D1197)</f>
        <v>2634</v>
      </c>
      <c r="I21" s="2033">
        <f t="shared" si="2"/>
        <v>1.1673979523999468E-2</v>
      </c>
      <c r="J21" s="2583">
        <f>TBIn!E1197</f>
        <v>7999</v>
      </c>
      <c r="K21" s="2076">
        <f t="shared" si="3"/>
        <v>9.927224348568563E-3</v>
      </c>
      <c r="L21" s="2575">
        <f>IF(Flag=TRUE,(N21-TBIn!E1244),TBIn!D1244)</f>
        <v>0</v>
      </c>
      <c r="M21" s="2033">
        <f t="shared" si="4"/>
        <v>0</v>
      </c>
      <c r="N21" s="2580">
        <f>TBIn!E1244</f>
        <v>0</v>
      </c>
      <c r="O21" s="1942">
        <f t="shared" si="5"/>
        <v>0</v>
      </c>
      <c r="P21" s="968"/>
      <c r="Q21" s="969"/>
      <c r="R21" s="80">
        <v>18</v>
      </c>
      <c r="S21" s="568"/>
      <c r="T21" s="568"/>
    </row>
    <row r="22" spans="1:20" s="569" customFormat="1" ht="16" customHeight="1">
      <c r="A22" s="80">
        <v>19</v>
      </c>
      <c r="B22" s="1560" t="s">
        <v>31</v>
      </c>
      <c r="C22" s="201">
        <v>60</v>
      </c>
      <c r="D22" s="2575">
        <f>IF(Flag=TRUE,(F22-TBIn!E1148),TBIn!D1148)</f>
        <v>849</v>
      </c>
      <c r="E22" s="2033">
        <f t="shared" si="0"/>
        <v>4.9992639481819517E-3</v>
      </c>
      <c r="F22" s="2580">
        <f>TBIn!E1148</f>
        <v>3843</v>
      </c>
      <c r="G22" s="2076">
        <f t="shared" si="1"/>
        <v>6.1657484092272835E-3</v>
      </c>
      <c r="H22" s="2575">
        <f>IF(Flag=TRUE,(J22-TBIn!E1198),TBIn!D1198)</f>
        <v>286</v>
      </c>
      <c r="I22" s="2033">
        <f t="shared" si="2"/>
        <v>1.2675619376855914E-3</v>
      </c>
      <c r="J22" s="2582">
        <f>TBIn!E1198</f>
        <v>2820</v>
      </c>
      <c r="K22" s="2076">
        <f t="shared" si="3"/>
        <v>3.4997840558774031E-3</v>
      </c>
      <c r="L22" s="2575">
        <f>IF(Flag=TRUE,(N22-TBIn!E1245),TBIn!D1245)</f>
        <v>0</v>
      </c>
      <c r="M22" s="2033">
        <f t="shared" si="4"/>
        <v>0</v>
      </c>
      <c r="N22" s="2580">
        <f>TBIn!E1245</f>
        <v>0</v>
      </c>
      <c r="O22" s="1942">
        <f t="shared" si="5"/>
        <v>0</v>
      </c>
      <c r="P22" s="968"/>
      <c r="Q22" s="969"/>
      <c r="R22" s="80">
        <v>19</v>
      </c>
      <c r="S22" s="568"/>
      <c r="T22" s="568"/>
    </row>
    <row r="23" spans="1:20" s="569" customFormat="1" ht="16" customHeight="1">
      <c r="A23" s="80">
        <v>20</v>
      </c>
      <c r="B23" s="1560" t="s">
        <v>32</v>
      </c>
      <c r="C23" s="201">
        <v>61</v>
      </c>
      <c r="D23" s="2575">
        <f>IF(Flag=TRUE,(F23-TBIn!E1149),TBIn!D1149)</f>
        <v>2785</v>
      </c>
      <c r="E23" s="2033">
        <f t="shared" si="0"/>
        <v>1.639923450610923E-2</v>
      </c>
      <c r="F23" s="2580">
        <f>TBIn!E1149</f>
        <v>8038</v>
      </c>
      <c r="G23" s="2076">
        <f t="shared" si="1"/>
        <v>1.2896249209827975E-2</v>
      </c>
      <c r="H23" s="2575">
        <f>IF(Flag=TRUE,(J23-TBIn!E1199),TBIn!D1199)</f>
        <v>2128</v>
      </c>
      <c r="I23" s="2033">
        <f t="shared" si="2"/>
        <v>9.4313699419403454E-3</v>
      </c>
      <c r="J23" s="2582">
        <f>TBIn!E1199</f>
        <v>4976</v>
      </c>
      <c r="K23" s="2076">
        <f t="shared" si="3"/>
        <v>6.1755054829950211E-3</v>
      </c>
      <c r="L23" s="2575">
        <f>IF(Flag=TRUE,(N23-TBIn!E1246),TBIn!D1246)</f>
        <v>0</v>
      </c>
      <c r="M23" s="2033">
        <f t="shared" si="4"/>
        <v>0</v>
      </c>
      <c r="N23" s="2580">
        <f>TBIn!E1246</f>
        <v>0</v>
      </c>
      <c r="O23" s="1942">
        <f t="shared" si="5"/>
        <v>0</v>
      </c>
      <c r="P23" s="968"/>
      <c r="Q23" s="969"/>
      <c r="R23" s="80">
        <v>20</v>
      </c>
      <c r="S23" s="568"/>
      <c r="T23" s="568"/>
    </row>
    <row r="24" spans="1:20" s="569" customFormat="1" ht="16" customHeight="1">
      <c r="A24" s="80">
        <v>21</v>
      </c>
      <c r="B24" s="1544" t="s">
        <v>33</v>
      </c>
      <c r="C24" s="201">
        <v>63</v>
      </c>
      <c r="D24" s="2575">
        <f>IF(Flag=TRUE,(F24-TBIn!E1150),TBIn!D1150)</f>
        <v>0</v>
      </c>
      <c r="E24" s="2033">
        <f t="shared" si="0"/>
        <v>0</v>
      </c>
      <c r="F24" s="2580">
        <f>TBIn!E1150</f>
        <v>0</v>
      </c>
      <c r="G24" s="2076">
        <f t="shared" si="1"/>
        <v>0</v>
      </c>
      <c r="H24" s="2575">
        <f>IF(Flag=TRUE,(J24-TBIn!E1200),TBIn!D1200)</f>
        <v>0</v>
      </c>
      <c r="I24" s="2033">
        <f t="shared" si="2"/>
        <v>0</v>
      </c>
      <c r="J24" s="2582">
        <f>TBIn!E1200</f>
        <v>0</v>
      </c>
      <c r="K24" s="2076">
        <f t="shared" si="3"/>
        <v>0</v>
      </c>
      <c r="L24" s="2575">
        <f>IF(Flag=TRUE,(N24-TBIn!E1247),TBIn!D1247)</f>
        <v>0</v>
      </c>
      <c r="M24" s="2033">
        <f t="shared" si="4"/>
        <v>0</v>
      </c>
      <c r="N24" s="2580">
        <f>TBIn!E1247</f>
        <v>0</v>
      </c>
      <c r="O24" s="1942">
        <f t="shared" si="5"/>
        <v>0</v>
      </c>
      <c r="P24" s="968"/>
      <c r="Q24" s="969"/>
      <c r="R24" s="80">
        <v>21</v>
      </c>
      <c r="S24" s="568"/>
      <c r="T24" s="568"/>
    </row>
    <row r="25" spans="1:20" s="569" customFormat="1" ht="16" customHeight="1">
      <c r="A25" s="80">
        <v>22</v>
      </c>
      <c r="B25" s="1539" t="s">
        <v>34</v>
      </c>
      <c r="C25" s="201">
        <v>65</v>
      </c>
      <c r="D25" s="2575">
        <f>IF(Flag=TRUE,(F25-TBIn!E1151),TBIn!D1151)</f>
        <v>5193</v>
      </c>
      <c r="E25" s="2033">
        <f t="shared" si="0"/>
        <v>3.0578536728985719E-2</v>
      </c>
      <c r="F25" s="2580">
        <f>TBIn!E1151</f>
        <v>19675</v>
      </c>
      <c r="G25" s="2076">
        <f t="shared" si="1"/>
        <v>3.1566770739408487E-2</v>
      </c>
      <c r="H25" s="2575">
        <f>IF(Flag=TRUE,(J25-TBIn!E1201),TBIn!D1201)</f>
        <v>8991</v>
      </c>
      <c r="I25" s="2033">
        <f t="shared" si="2"/>
        <v>3.984842441164739E-2</v>
      </c>
      <c r="J25" s="2582">
        <f>TBIn!E1201</f>
        <v>42551</v>
      </c>
      <c r="K25" s="2076">
        <f t="shared" si="3"/>
        <v>5.2808266440297652E-2</v>
      </c>
      <c r="L25" s="2575">
        <f>IF(Flag=TRUE,(N25-TBIn!E1248),TBIn!D1248)</f>
        <v>0</v>
      </c>
      <c r="M25" s="2033">
        <f t="shared" si="4"/>
        <v>0</v>
      </c>
      <c r="N25" s="2580">
        <f>TBIn!E1248</f>
        <v>0</v>
      </c>
      <c r="O25" s="1942">
        <f t="shared" si="5"/>
        <v>0</v>
      </c>
      <c r="P25" s="1219" t="s">
        <v>15701</v>
      </c>
      <c r="Q25" s="227"/>
      <c r="R25" s="80">
        <v>22</v>
      </c>
      <c r="S25" s="568"/>
      <c r="T25" s="568"/>
    </row>
    <row r="26" spans="1:20" s="569" customFormat="1" ht="16" customHeight="1">
      <c r="A26" s="80">
        <v>23</v>
      </c>
      <c r="B26" s="1539" t="s">
        <v>35</v>
      </c>
      <c r="C26" s="201">
        <v>64</v>
      </c>
      <c r="D26" s="2575">
        <f>IF(Flag=TRUE,(F26-TBIn!E1152),TBIn!D1152)</f>
        <v>0</v>
      </c>
      <c r="E26" s="2033">
        <f t="shared" si="0"/>
        <v>0</v>
      </c>
      <c r="F26" s="2580">
        <f>TBIn!E1152</f>
        <v>-45212</v>
      </c>
      <c r="G26" s="2076">
        <f t="shared" si="1"/>
        <v>-7.2538594087427521E-2</v>
      </c>
      <c r="H26" s="2575">
        <f>IF(Flag=TRUE,(J26-TBIn!E1202),TBIn!D1202)</f>
        <v>0</v>
      </c>
      <c r="I26" s="2033">
        <f t="shared" si="2"/>
        <v>0</v>
      </c>
      <c r="J26" s="2582">
        <f>TBIn!E1202</f>
        <v>0</v>
      </c>
      <c r="K26" s="2076">
        <f t="shared" si="3"/>
        <v>0</v>
      </c>
      <c r="L26" s="2575">
        <f>IF(Flag=TRUE,(N26-TBIn!E1249),TBIn!D1249)</f>
        <v>0</v>
      </c>
      <c r="M26" s="2033">
        <f t="shared" si="4"/>
        <v>0</v>
      </c>
      <c r="N26" s="2580">
        <f>TBIn!E1249</f>
        <v>0</v>
      </c>
      <c r="O26" s="1942">
        <f t="shared" si="5"/>
        <v>0</v>
      </c>
      <c r="P26" s="2257">
        <f>IF((Page7!$E$71+Page7!$E$75+Page7!$E$72+Page7!$E$76)=0,0,SUM(D24:D26)/(Page7!$E$71+Page7!$E$75+Page7!$E$72+Page7!$E$76))</f>
        <v>96.166666666666671</v>
      </c>
      <c r="Q26" s="2258">
        <f>IF((Page7!$J$71+Page7!$J$75+Page7!$J$72+Page7!$J$76)=0,0,SUM(F24:F26)/(Page7!$J$71+Page7!$J$75+Page7!$J$72+Page7!$J$76))</f>
        <v>-137.29569892473117</v>
      </c>
      <c r="R26" s="80">
        <v>23</v>
      </c>
      <c r="S26" s="568"/>
      <c r="T26" s="568"/>
    </row>
    <row r="27" spans="1:20" s="569" customFormat="1" ht="16" customHeight="1">
      <c r="A27" s="80">
        <v>24</v>
      </c>
      <c r="B27" s="1539" t="s">
        <v>36</v>
      </c>
      <c r="C27" s="201">
        <v>66</v>
      </c>
      <c r="D27" s="2575">
        <f>IF(Flag=TRUE,(F27-TBIn!E1153),TBIn!D1153)</f>
        <v>150</v>
      </c>
      <c r="E27" s="2033">
        <f t="shared" si="0"/>
        <v>8.8326218165758871E-4</v>
      </c>
      <c r="F27" s="2580">
        <f>TBIn!E1153</f>
        <v>150</v>
      </c>
      <c r="G27" s="2076">
        <f t="shared" si="1"/>
        <v>2.4066153041480421E-4</v>
      </c>
      <c r="H27" s="2575">
        <f>IF(Flag=TRUE,(J27-TBIn!E1203),TBIn!D1203)</f>
        <v>100</v>
      </c>
      <c r="I27" s="2033">
        <f t="shared" si="2"/>
        <v>4.4320347471524176E-4</v>
      </c>
      <c r="J27" s="2582">
        <f>TBIn!E1203</f>
        <v>100</v>
      </c>
      <c r="K27" s="2076">
        <f t="shared" si="3"/>
        <v>1.2410581758430509E-4</v>
      </c>
      <c r="L27" s="2575">
        <f>IF(Flag=TRUE,(N27-TBIn!E1250),TBIn!D1250)</f>
        <v>0</v>
      </c>
      <c r="M27" s="2033">
        <f t="shared" si="4"/>
        <v>0</v>
      </c>
      <c r="N27" s="2580">
        <f>TBIn!E1250</f>
        <v>0</v>
      </c>
      <c r="O27" s="1942">
        <f t="shared" si="5"/>
        <v>0</v>
      </c>
      <c r="P27" s="968"/>
      <c r="Q27" s="969"/>
      <c r="R27" s="80">
        <v>24</v>
      </c>
      <c r="S27" s="568"/>
      <c r="T27" s="568"/>
    </row>
    <row r="28" spans="1:20" s="569" customFormat="1" ht="16" customHeight="1">
      <c r="A28" s="80">
        <v>25</v>
      </c>
      <c r="B28" s="1173" t="s">
        <v>37</v>
      </c>
      <c r="C28" s="201">
        <v>67</v>
      </c>
      <c r="D28" s="985"/>
      <c r="E28" s="2061"/>
      <c r="F28" s="985"/>
      <c r="G28" s="2061"/>
      <c r="H28" s="986"/>
      <c r="I28" s="2085"/>
      <c r="J28" s="985"/>
      <c r="K28" s="2061"/>
      <c r="L28" s="986"/>
      <c r="M28" s="2061"/>
      <c r="N28" s="985"/>
      <c r="O28" s="2103"/>
      <c r="P28" s="968"/>
      <c r="Q28" s="970"/>
      <c r="R28" s="80">
        <v>25</v>
      </c>
      <c r="S28" s="568"/>
      <c r="T28" s="568"/>
    </row>
    <row r="29" spans="1:20" s="569" customFormat="1" ht="15.75" customHeight="1">
      <c r="A29" s="80">
        <v>26</v>
      </c>
      <c r="B29" s="1635" t="s">
        <v>38</v>
      </c>
      <c r="C29" s="201">
        <v>68</v>
      </c>
      <c r="D29" s="2575">
        <f>IF(Flag=TRUE,(F29-TBIn!E1154),TBIn!D1154)</f>
        <v>5711</v>
      </c>
      <c r="E29" s="2033">
        <f t="shared" ref="E29:E64" si="6">IFERROR(D29/(D$5+D$62),0)</f>
        <v>3.3628735462976594E-2</v>
      </c>
      <c r="F29" s="2580">
        <f>TBIn!E1154</f>
        <v>19404</v>
      </c>
      <c r="G29" s="2076">
        <f t="shared" ref="G29:G64" si="7">IFERROR(F29/(F$5+F$62),0)</f>
        <v>3.1131975574459073E-2</v>
      </c>
      <c r="H29" s="2575">
        <f>IF(Flag=TRUE,(J29-TBIn!E1204),TBIn!D1204)</f>
        <v>4334</v>
      </c>
      <c r="I29" s="2033">
        <f t="shared" ref="I29:I64" si="8">IFERROR(H29/(H$5+H$62),0)</f>
        <v>1.9208438594158578E-2</v>
      </c>
      <c r="J29" s="2582">
        <f>TBIn!E1204</f>
        <v>14843</v>
      </c>
      <c r="K29" s="2076">
        <f t="shared" ref="K29:K64" si="9">IFERROR(J29/(J$5+J$62),0)</f>
        <v>1.8421026504038405E-2</v>
      </c>
      <c r="L29" s="2575">
        <f>IF(Flag=TRUE,(N29-TBIn!E1251),TBIn!D1251)</f>
        <v>0</v>
      </c>
      <c r="M29" s="2033">
        <f t="shared" ref="M29:M64" si="10">IFERROR(L29/(L$5+L$62),0)</f>
        <v>0</v>
      </c>
      <c r="N29" s="2580">
        <f>TBIn!E1251</f>
        <v>0</v>
      </c>
      <c r="O29" s="1942">
        <f t="shared" ref="O29:O64" si="11">IFERROR(N29/(N$5+N$62),0)</f>
        <v>0</v>
      </c>
      <c r="P29" s="968"/>
      <c r="Q29" s="969"/>
      <c r="R29" s="80">
        <v>26</v>
      </c>
      <c r="S29" s="568"/>
      <c r="T29" s="568"/>
    </row>
    <row r="30" spans="1:20" s="569" customFormat="1" ht="16" customHeight="1">
      <c r="A30" s="80">
        <v>27</v>
      </c>
      <c r="B30" s="1634" t="s">
        <v>39</v>
      </c>
      <c r="C30" s="201">
        <v>69</v>
      </c>
      <c r="D30" s="2575">
        <f>IF(Flag=TRUE,(F30-TBIn!E1155),TBIn!D1155)</f>
        <v>1676</v>
      </c>
      <c r="E30" s="2033">
        <f t="shared" si="6"/>
        <v>9.8689827763874579E-3</v>
      </c>
      <c r="F30" s="2580">
        <f>TBIn!E1155</f>
        <v>4129</v>
      </c>
      <c r="G30" s="2076">
        <f t="shared" si="7"/>
        <v>6.6246097272181772E-3</v>
      </c>
      <c r="H30" s="2575">
        <f>IF(Flag=TRUE,(J30-TBIn!E1205),TBIn!D1205)</f>
        <v>0</v>
      </c>
      <c r="I30" s="2033">
        <f t="shared" si="8"/>
        <v>0</v>
      </c>
      <c r="J30" s="2582">
        <f>TBIn!E1205</f>
        <v>0</v>
      </c>
      <c r="K30" s="2076">
        <f t="shared" si="9"/>
        <v>0</v>
      </c>
      <c r="L30" s="2575">
        <f>IF(Flag=TRUE,(N30-TBIn!E1252),TBIn!D1252)</f>
        <v>0</v>
      </c>
      <c r="M30" s="2033">
        <f t="shared" si="10"/>
        <v>0</v>
      </c>
      <c r="N30" s="2580">
        <f>TBIn!E1252</f>
        <v>0</v>
      </c>
      <c r="O30" s="1942">
        <f t="shared" si="11"/>
        <v>0</v>
      </c>
      <c r="P30" s="968"/>
      <c r="Q30" s="969"/>
      <c r="R30" s="80">
        <v>27</v>
      </c>
      <c r="S30" s="568"/>
      <c r="T30" s="568"/>
    </row>
    <row r="31" spans="1:20" s="569" customFormat="1" ht="16" customHeight="1">
      <c r="A31" s="80">
        <v>28</v>
      </c>
      <c r="B31" s="1634" t="s">
        <v>40</v>
      </c>
      <c r="C31" s="201">
        <v>70</v>
      </c>
      <c r="D31" s="2575">
        <f>IF(Flag=TRUE,(F31-TBIn!E1156),TBIn!D1156)</f>
        <v>715</v>
      </c>
      <c r="E31" s="2033">
        <f t="shared" si="6"/>
        <v>4.2102163992345058E-3</v>
      </c>
      <c r="F31" s="2580">
        <f>TBIn!E1156</f>
        <v>2578</v>
      </c>
      <c r="G31" s="2076">
        <f t="shared" si="7"/>
        <v>4.1361695027291017E-3</v>
      </c>
      <c r="H31" s="2575">
        <f>IF(Flag=TRUE,(J31-TBIn!E1206),TBIn!D1206)</f>
        <v>552</v>
      </c>
      <c r="I31" s="2033">
        <f t="shared" si="8"/>
        <v>2.4464831804281344E-3</v>
      </c>
      <c r="J31" s="2582">
        <f>TBIn!E1206</f>
        <v>1561</v>
      </c>
      <c r="K31" s="2076">
        <f t="shared" si="9"/>
        <v>1.9372918124910023E-3</v>
      </c>
      <c r="L31" s="2575">
        <f>IF(Flag=TRUE,(N31-TBIn!E1253),TBIn!D1253)</f>
        <v>0</v>
      </c>
      <c r="M31" s="2033">
        <f t="shared" si="10"/>
        <v>0</v>
      </c>
      <c r="N31" s="2580">
        <f>TBIn!E1253</f>
        <v>0</v>
      </c>
      <c r="O31" s="1942">
        <f t="shared" si="11"/>
        <v>0</v>
      </c>
      <c r="P31" s="968"/>
      <c r="Q31" s="969"/>
      <c r="R31" s="80">
        <v>28</v>
      </c>
      <c r="S31" s="568"/>
      <c r="T31" s="568"/>
    </row>
    <row r="32" spans="1:20" s="569" customFormat="1" ht="16" customHeight="1">
      <c r="A32" s="80">
        <v>29</v>
      </c>
      <c r="B32" s="1634" t="s">
        <v>41</v>
      </c>
      <c r="C32" s="201">
        <v>71</v>
      </c>
      <c r="D32" s="2575">
        <f>IF(Flag=TRUE,(F32-TBIn!E1157),TBIn!D1157)</f>
        <v>45</v>
      </c>
      <c r="E32" s="2033">
        <f t="shared" si="6"/>
        <v>2.649786544972766E-4</v>
      </c>
      <c r="F32" s="2580">
        <f>TBIn!E1157</f>
        <v>417</v>
      </c>
      <c r="G32" s="2076">
        <f t="shared" si="7"/>
        <v>6.6903905455315568E-4</v>
      </c>
      <c r="H32" s="2575">
        <f>IF(Flag=TRUE,(J32-TBIn!E1207),TBIn!D1207)</f>
        <v>260</v>
      </c>
      <c r="I32" s="2033">
        <f t="shared" si="8"/>
        <v>1.1523290342596287E-3</v>
      </c>
      <c r="J32" s="2582">
        <f>TBIn!E1207</f>
        <v>1937</v>
      </c>
      <c r="K32" s="2076">
        <f t="shared" si="9"/>
        <v>2.4039296866079896E-3</v>
      </c>
      <c r="L32" s="2575">
        <f>IF(Flag=TRUE,(N32-TBIn!E1254),TBIn!D1254)</f>
        <v>0</v>
      </c>
      <c r="M32" s="2033">
        <f t="shared" si="10"/>
        <v>0</v>
      </c>
      <c r="N32" s="2580">
        <f>TBIn!E1254</f>
        <v>0</v>
      </c>
      <c r="O32" s="1942">
        <f t="shared" si="11"/>
        <v>0</v>
      </c>
      <c r="P32" s="968"/>
      <c r="Q32" s="969"/>
      <c r="R32" s="80">
        <v>29</v>
      </c>
      <c r="S32" s="568"/>
      <c r="T32" s="568"/>
    </row>
    <row r="33" spans="1:20" s="569" customFormat="1" ht="16" customHeight="1">
      <c r="A33" s="80">
        <v>30</v>
      </c>
      <c r="B33" s="1634" t="s">
        <v>42</v>
      </c>
      <c r="C33" s="201">
        <v>72</v>
      </c>
      <c r="D33" s="2575">
        <f>IF(Flag=TRUE,(F33-TBIn!E1158),TBIn!D1158)</f>
        <v>600</v>
      </c>
      <c r="E33" s="2033">
        <f t="shared" si="6"/>
        <v>3.5330487266303548E-3</v>
      </c>
      <c r="F33" s="2580">
        <f>TBIn!E1158</f>
        <v>900</v>
      </c>
      <c r="G33" s="2076">
        <f t="shared" si="7"/>
        <v>1.4439691824888253E-3</v>
      </c>
      <c r="H33" s="2575">
        <f>IF(Flag=TRUE,(J33-TBIn!E1208),TBIn!D1208)</f>
        <v>400</v>
      </c>
      <c r="I33" s="2033">
        <f t="shared" si="8"/>
        <v>1.772813898860967E-3</v>
      </c>
      <c r="J33" s="2582">
        <f>TBIn!E1208</f>
        <v>600</v>
      </c>
      <c r="K33" s="2076">
        <f t="shared" si="9"/>
        <v>7.4463490550583046E-4</v>
      </c>
      <c r="L33" s="2575">
        <f>IF(Flag=TRUE,(N33-TBIn!E1255),TBIn!D1255)</f>
        <v>0</v>
      </c>
      <c r="M33" s="2033">
        <f t="shared" si="10"/>
        <v>0</v>
      </c>
      <c r="N33" s="2580">
        <f>TBIn!E1255</f>
        <v>0</v>
      </c>
      <c r="O33" s="1942">
        <f t="shared" si="11"/>
        <v>0</v>
      </c>
      <c r="P33" s="968"/>
      <c r="Q33" s="969"/>
      <c r="R33" s="80">
        <v>30</v>
      </c>
      <c r="S33" s="568"/>
      <c r="T33" s="568"/>
    </row>
    <row r="34" spans="1:20" s="569" customFormat="1" ht="16" customHeight="1">
      <c r="A34" s="80">
        <v>31</v>
      </c>
      <c r="B34" s="1635" t="s">
        <v>43</v>
      </c>
      <c r="C34" s="201">
        <v>74</v>
      </c>
      <c r="D34" s="2575">
        <f>IF(Flag=TRUE,(F34-TBIn!E1159),TBIn!D1159)</f>
        <v>284</v>
      </c>
      <c r="E34" s="2033">
        <f t="shared" si="6"/>
        <v>1.6723097306050347E-3</v>
      </c>
      <c r="F34" s="2580">
        <f>TBIn!E1159</f>
        <v>754</v>
      </c>
      <c r="G34" s="2076">
        <f t="shared" si="7"/>
        <v>1.2097252928850825E-3</v>
      </c>
      <c r="H34" s="2575">
        <f>IF(Flag=TRUE,(J34-TBIn!E1209),TBIn!D1209)</f>
        <v>189</v>
      </c>
      <c r="I34" s="2033">
        <f t="shared" si="8"/>
        <v>8.3765456721180689E-4</v>
      </c>
      <c r="J34" s="2582">
        <f>TBIn!E1209</f>
        <v>503</v>
      </c>
      <c r="K34" s="2076">
        <f t="shared" si="9"/>
        <v>6.2425226244905451E-4</v>
      </c>
      <c r="L34" s="2575">
        <f>IF(Flag=TRUE,(N34-TBIn!E1256),TBIn!D1256)</f>
        <v>0</v>
      </c>
      <c r="M34" s="2033">
        <f t="shared" si="10"/>
        <v>0</v>
      </c>
      <c r="N34" s="2580">
        <f>TBIn!E1256</f>
        <v>0</v>
      </c>
      <c r="O34" s="1942">
        <f t="shared" si="11"/>
        <v>0</v>
      </c>
      <c r="P34" s="968"/>
      <c r="Q34" s="969"/>
      <c r="R34" s="80">
        <v>31</v>
      </c>
      <c r="S34" s="568"/>
      <c r="T34" s="568"/>
    </row>
    <row r="35" spans="1:20" s="569" customFormat="1" ht="16" customHeight="1">
      <c r="A35" s="80">
        <v>32</v>
      </c>
      <c r="B35" s="1634" t="s">
        <v>44</v>
      </c>
      <c r="C35" s="201">
        <v>75</v>
      </c>
      <c r="D35" s="2575">
        <f>IF(Flag=TRUE,(F35-TBIn!E1160),TBIn!D1160)</f>
        <v>675</v>
      </c>
      <c r="E35" s="2033">
        <f t="shared" si="6"/>
        <v>3.974679817459149E-3</v>
      </c>
      <c r="F35" s="2580">
        <f>TBIn!E1160</f>
        <v>2507</v>
      </c>
      <c r="G35" s="2076">
        <f t="shared" si="7"/>
        <v>4.022256378332761E-3</v>
      </c>
      <c r="H35" s="2575">
        <f>IF(Flag=TRUE,(J35-TBIn!E1210),TBIn!D1210)</f>
        <v>0</v>
      </c>
      <c r="I35" s="2033">
        <f t="shared" si="8"/>
        <v>0</v>
      </c>
      <c r="J35" s="2582">
        <f>TBIn!E1210</f>
        <v>26</v>
      </c>
      <c r="K35" s="2076">
        <f t="shared" si="9"/>
        <v>3.2267512571919324E-5</v>
      </c>
      <c r="L35" s="2575">
        <f>IF(Flag=TRUE,(N35-TBIn!E1257),TBIn!D1257)</f>
        <v>0</v>
      </c>
      <c r="M35" s="2033">
        <f t="shared" si="10"/>
        <v>0</v>
      </c>
      <c r="N35" s="2580">
        <f>TBIn!E1257</f>
        <v>0</v>
      </c>
      <c r="O35" s="1942">
        <f t="shared" si="11"/>
        <v>0</v>
      </c>
      <c r="P35" s="968"/>
      <c r="Q35" s="969"/>
      <c r="R35" s="80">
        <v>32</v>
      </c>
      <c r="S35" s="568"/>
      <c r="T35" s="568"/>
    </row>
    <row r="36" spans="1:20" s="569" customFormat="1" ht="16" customHeight="1">
      <c r="A36" s="80">
        <v>33</v>
      </c>
      <c r="B36" s="1539" t="s">
        <v>45</v>
      </c>
      <c r="C36" s="201">
        <v>76</v>
      </c>
      <c r="D36" s="2575">
        <f>IF(Flag=TRUE,(F36-TBIn!E1161),TBIn!D1161)</f>
        <v>58899</v>
      </c>
      <c r="E36" s="2033">
        <f t="shared" si="6"/>
        <v>0.34682172824966878</v>
      </c>
      <c r="F36" s="2580">
        <f>TBIn!E1161</f>
        <v>236575</v>
      </c>
      <c r="G36" s="2076">
        <f t="shared" si="7"/>
        <v>0.37956334371921541</v>
      </c>
      <c r="H36" s="2575">
        <f>IF(Flag=TRUE,(J36-TBIn!E1211),TBIn!D1211)</f>
        <v>41301</v>
      </c>
      <c r="I36" s="2033">
        <f t="shared" si="8"/>
        <v>0.18304746709214201</v>
      </c>
      <c r="J36" s="2582">
        <f>TBIn!E1211</f>
        <v>185951</v>
      </c>
      <c r="K36" s="2076">
        <f t="shared" si="9"/>
        <v>0.23077600885619115</v>
      </c>
      <c r="L36" s="2575">
        <f>IF(Flag=TRUE,(N36-TBIn!E1258),TBIn!D1258)</f>
        <v>0</v>
      </c>
      <c r="M36" s="2033">
        <f t="shared" si="10"/>
        <v>0</v>
      </c>
      <c r="N36" s="2580">
        <f>TBIn!E1258</f>
        <v>0</v>
      </c>
      <c r="O36" s="1942">
        <f t="shared" si="11"/>
        <v>0</v>
      </c>
      <c r="P36" s="1219" t="s">
        <v>15702</v>
      </c>
      <c r="Q36" s="227"/>
      <c r="R36" s="80">
        <v>33</v>
      </c>
      <c r="S36" s="568"/>
      <c r="T36" s="568"/>
    </row>
    <row r="37" spans="1:20" s="569" customFormat="1" ht="16" customHeight="1">
      <c r="A37" s="80">
        <v>34</v>
      </c>
      <c r="B37" s="1539" t="s">
        <v>46</v>
      </c>
      <c r="C37" s="201">
        <v>78</v>
      </c>
      <c r="D37" s="2575">
        <f>IF(Flag=TRUE,(F37-TBIn!E1162),TBIn!D1162)</f>
        <v>-86777</v>
      </c>
      <c r="E37" s="2033">
        <f t="shared" si="6"/>
        <v>-0.51097894891800377</v>
      </c>
      <c r="F37" s="2580">
        <f>TBIn!E1162</f>
        <v>-280611</v>
      </c>
      <c r="G37" s="2076">
        <f t="shared" si="7"/>
        <v>-0.45021515140819085</v>
      </c>
      <c r="H37" s="2575">
        <f>IF(Flag=TRUE,(J37-TBIn!E1212),TBIn!D1212)</f>
        <v>0</v>
      </c>
      <c r="I37" s="2033">
        <f t="shared" si="8"/>
        <v>0</v>
      </c>
      <c r="J37" s="2582">
        <f>TBIn!E1212</f>
        <v>0</v>
      </c>
      <c r="K37" s="2076">
        <f t="shared" si="9"/>
        <v>0</v>
      </c>
      <c r="L37" s="2575">
        <f>IF(Flag=TRUE,(N37-TBIn!E1259),TBIn!D1259)</f>
        <v>0</v>
      </c>
      <c r="M37" s="2033">
        <f t="shared" si="10"/>
        <v>0</v>
      </c>
      <c r="N37" s="2580">
        <f>TBIn!E1259</f>
        <v>0</v>
      </c>
      <c r="O37" s="1942">
        <f t="shared" si="11"/>
        <v>0</v>
      </c>
      <c r="P37" s="2257">
        <f>IF((Page7!$E$71+Page7!$E$75+Page7!$E$72+Page7!$E$76)=0,0,SUM(D36:D37)/(Page7!$E$71+Page7!$E$75+Page7!$E$72+Page7!$E$76))</f>
        <v>-516.25925925925924</v>
      </c>
      <c r="Q37" s="2258">
        <f>IF((Page7!$J$71+Page7!$J$75+Page7!$J$72+Page7!$J$76)=0,0,SUM(F36:F37)/(Page7!$J$71+Page7!$J$75+Page7!$J$72+Page7!$J$76))</f>
        <v>-236.75268817204301</v>
      </c>
      <c r="R37" s="80">
        <v>34</v>
      </c>
      <c r="S37" s="568"/>
      <c r="T37" s="568"/>
    </row>
    <row r="38" spans="1:20" s="569" customFormat="1" ht="16" customHeight="1">
      <c r="A38" s="80">
        <v>35</v>
      </c>
      <c r="B38" s="1539" t="s">
        <v>47</v>
      </c>
      <c r="C38" s="201">
        <v>79</v>
      </c>
      <c r="D38" s="2575">
        <f>IF(Flag=TRUE,(F38-TBIn!E1163),TBIn!D1163)</f>
        <v>1133</v>
      </c>
      <c r="E38" s="2033">
        <f t="shared" si="6"/>
        <v>6.6715736787869868E-3</v>
      </c>
      <c r="F38" s="2580">
        <f>TBIn!E1163</f>
        <v>3869</v>
      </c>
      <c r="G38" s="2076">
        <f t="shared" si="7"/>
        <v>6.2074630744991836E-3</v>
      </c>
      <c r="H38" s="2575">
        <f>IF(Flag=TRUE,(J38-TBIn!E1213),TBIn!D1213)</f>
        <v>755</v>
      </c>
      <c r="I38" s="2033">
        <f t="shared" si="8"/>
        <v>3.3461862341000754E-3</v>
      </c>
      <c r="J38" s="2582">
        <f>TBIn!E1213</f>
        <v>2580</v>
      </c>
      <c r="K38" s="2076">
        <f t="shared" si="9"/>
        <v>3.2019300936750711E-3</v>
      </c>
      <c r="L38" s="2575">
        <f>IF(Flag=TRUE,(N38-TBIn!E1260),TBIn!D1260)</f>
        <v>0</v>
      </c>
      <c r="M38" s="2033">
        <f t="shared" si="10"/>
        <v>0</v>
      </c>
      <c r="N38" s="2580">
        <f>TBIn!E1260</f>
        <v>0</v>
      </c>
      <c r="O38" s="1942">
        <f t="shared" si="11"/>
        <v>0</v>
      </c>
      <c r="P38" s="968"/>
      <c r="Q38" s="969"/>
      <c r="R38" s="80">
        <v>35</v>
      </c>
      <c r="S38" s="568"/>
      <c r="T38" s="568"/>
    </row>
    <row r="39" spans="1:20" s="569" customFormat="1" ht="16" customHeight="1">
      <c r="A39" s="80">
        <v>36</v>
      </c>
      <c r="B39" s="1539" t="s">
        <v>48</v>
      </c>
      <c r="C39" s="201">
        <v>56</v>
      </c>
      <c r="D39" s="2575">
        <f>IF(Flag=TRUE,(F39-TBIn!E1164),TBIn!D1164)</f>
        <v>0</v>
      </c>
      <c r="E39" s="2033">
        <f t="shared" si="6"/>
        <v>0</v>
      </c>
      <c r="F39" s="2580">
        <f>TBIn!E1164</f>
        <v>0</v>
      </c>
      <c r="G39" s="2076">
        <f t="shared" si="7"/>
        <v>0</v>
      </c>
      <c r="H39" s="2575">
        <f>IF(Flag=TRUE,(J39-TBIn!E1214),TBIn!D1214)</f>
        <v>0</v>
      </c>
      <c r="I39" s="2033">
        <f t="shared" si="8"/>
        <v>0</v>
      </c>
      <c r="J39" s="2582">
        <f>TBIn!E1214</f>
        <v>0</v>
      </c>
      <c r="K39" s="2076">
        <f t="shared" si="9"/>
        <v>0</v>
      </c>
      <c r="L39" s="2575">
        <f>IF(Flag=TRUE,(N39-TBIn!E1261),TBIn!D1261)</f>
        <v>0</v>
      </c>
      <c r="M39" s="2033">
        <f t="shared" si="10"/>
        <v>0</v>
      </c>
      <c r="N39" s="2580">
        <f>TBIn!E1261</f>
        <v>0</v>
      </c>
      <c r="O39" s="1942">
        <f t="shared" si="11"/>
        <v>0</v>
      </c>
      <c r="P39" s="968"/>
      <c r="Q39" s="969"/>
      <c r="R39" s="80">
        <v>36</v>
      </c>
      <c r="S39" s="568"/>
      <c r="T39" s="568"/>
    </row>
    <row r="40" spans="1:20" s="569" customFormat="1" ht="16" customHeight="1">
      <c r="A40" s="80">
        <v>37</v>
      </c>
      <c r="B40" s="1539" t="s">
        <v>49</v>
      </c>
      <c r="C40" s="201">
        <v>57</v>
      </c>
      <c r="D40" s="2575">
        <f>IF(Flag=TRUE,(F40-TBIn!E1165),TBIn!D1165)</f>
        <v>0</v>
      </c>
      <c r="E40" s="2033">
        <f t="shared" si="6"/>
        <v>0</v>
      </c>
      <c r="F40" s="2580">
        <f>TBIn!E1165</f>
        <v>0</v>
      </c>
      <c r="G40" s="2076">
        <f t="shared" si="7"/>
        <v>0</v>
      </c>
      <c r="H40" s="2575">
        <f>IF(Flag=TRUE,(J40-TBIn!E1215),TBIn!D1215)</f>
        <v>0</v>
      </c>
      <c r="I40" s="2033">
        <f t="shared" si="8"/>
        <v>0</v>
      </c>
      <c r="J40" s="2582">
        <f>TBIn!E1215</f>
        <v>0</v>
      </c>
      <c r="K40" s="2076">
        <f t="shared" si="9"/>
        <v>0</v>
      </c>
      <c r="L40" s="2575">
        <f>IF(Flag=TRUE,(N40-TBIn!E1262),TBIn!D1262)</f>
        <v>0</v>
      </c>
      <c r="M40" s="2033">
        <f t="shared" si="10"/>
        <v>0</v>
      </c>
      <c r="N40" s="2580">
        <f>TBIn!E1262</f>
        <v>0</v>
      </c>
      <c r="O40" s="1942">
        <f t="shared" si="11"/>
        <v>0</v>
      </c>
      <c r="P40" s="968"/>
      <c r="Q40" s="969"/>
      <c r="R40" s="80">
        <v>37</v>
      </c>
      <c r="S40" s="568"/>
      <c r="T40" s="568"/>
    </row>
    <row r="41" spans="1:20" s="569" customFormat="1" ht="16" customHeight="1">
      <c r="A41" s="80">
        <v>38</v>
      </c>
      <c r="B41" s="1539" t="s">
        <v>50</v>
      </c>
      <c r="C41" s="201">
        <v>33</v>
      </c>
      <c r="D41" s="2575">
        <f>IF(Flag=TRUE,(F41-TBIn!E1166),TBIn!D1166)</f>
        <v>10</v>
      </c>
      <c r="E41" s="2033">
        <f t="shared" si="6"/>
        <v>5.8884145443839244E-5</v>
      </c>
      <c r="F41" s="2580">
        <f>TBIn!E1166</f>
        <v>138</v>
      </c>
      <c r="G41" s="2076">
        <f t="shared" si="7"/>
        <v>2.2140860798161989E-4</v>
      </c>
      <c r="H41" s="2575">
        <f>IF(Flag=TRUE,(J41-TBIn!E1216),TBIn!D1216)</f>
        <v>778</v>
      </c>
      <c r="I41" s="2033">
        <f t="shared" si="8"/>
        <v>3.4481230332845808E-3</v>
      </c>
      <c r="J41" s="2582">
        <f>TBIn!E1216</f>
        <v>2835</v>
      </c>
      <c r="K41" s="2076">
        <f t="shared" si="9"/>
        <v>3.5183999285150489E-3</v>
      </c>
      <c r="L41" s="2575">
        <f>IF(Flag=TRUE,(N41-TBIn!E1263),TBIn!D1263)</f>
        <v>0</v>
      </c>
      <c r="M41" s="2033">
        <f t="shared" si="10"/>
        <v>0</v>
      </c>
      <c r="N41" s="2580">
        <f>TBIn!E1263</f>
        <v>0</v>
      </c>
      <c r="O41" s="1942">
        <f t="shared" si="11"/>
        <v>0</v>
      </c>
      <c r="P41" s="968"/>
      <c r="Q41" s="969"/>
      <c r="R41" s="80">
        <v>38</v>
      </c>
      <c r="S41" s="568"/>
      <c r="T41" s="568"/>
    </row>
    <row r="42" spans="1:20" s="569" customFormat="1" ht="16" customHeight="1">
      <c r="A42" s="80">
        <v>39</v>
      </c>
      <c r="B42" s="1539" t="s">
        <v>51</v>
      </c>
      <c r="C42" s="201">
        <v>77</v>
      </c>
      <c r="D42" s="2576">
        <f>IF(Flag=TRUE,(F42-TBIn!E1167),TBIn!D1167)</f>
        <v>0</v>
      </c>
      <c r="E42" s="2034">
        <f t="shared" si="6"/>
        <v>0</v>
      </c>
      <c r="F42" s="2581">
        <f>TBIn!E1167</f>
        <v>234</v>
      </c>
      <c r="G42" s="2077">
        <f t="shared" si="7"/>
        <v>3.754319874470946E-4</v>
      </c>
      <c r="H42" s="2576">
        <f>IF(Flag=TRUE,(J42-TBIn!E1217),TBIn!D1217)</f>
        <v>0</v>
      </c>
      <c r="I42" s="2034">
        <f t="shared" si="8"/>
        <v>0</v>
      </c>
      <c r="J42" s="2589">
        <f>TBIn!E1217</f>
        <v>156</v>
      </c>
      <c r="K42" s="2077">
        <f t="shared" si="9"/>
        <v>1.9360507543151592E-4</v>
      </c>
      <c r="L42" s="2576">
        <f>IF(Flag=TRUE,(N42-TBIn!E1264),TBIn!D1264)</f>
        <v>0</v>
      </c>
      <c r="M42" s="2034">
        <f t="shared" si="10"/>
        <v>0</v>
      </c>
      <c r="N42" s="2581">
        <f>TBIn!E1264</f>
        <v>0</v>
      </c>
      <c r="O42" s="1943">
        <f t="shared" si="11"/>
        <v>0</v>
      </c>
      <c r="P42" s="968"/>
      <c r="Q42" s="969"/>
      <c r="R42" s="80">
        <v>39</v>
      </c>
      <c r="S42" s="568"/>
      <c r="T42" s="568"/>
    </row>
    <row r="43" spans="1:20" s="569" customFormat="1" ht="16" customHeight="1">
      <c r="A43" s="80">
        <v>40</v>
      </c>
      <c r="B43" s="230" t="s">
        <v>52</v>
      </c>
      <c r="C43" s="211"/>
      <c r="D43" s="669">
        <f>SUM(D21:D42)</f>
        <v>-11195</v>
      </c>
      <c r="E43" s="2035">
        <f t="shared" si="6"/>
        <v>-6.592080082437804E-2</v>
      </c>
      <c r="F43" s="670">
        <f>SUM(F21:F42)</f>
        <v>5940</v>
      </c>
      <c r="G43" s="2035">
        <f t="shared" si="7"/>
        <v>9.5301966044262464E-3</v>
      </c>
      <c r="H43" s="669">
        <f>SUM(H21:H42)</f>
        <v>62708</v>
      </c>
      <c r="I43" s="2035">
        <f t="shared" si="8"/>
        <v>0.27792403492443379</v>
      </c>
      <c r="J43" s="670">
        <f>SUM(J21:J42)</f>
        <v>269438</v>
      </c>
      <c r="K43" s="2035">
        <f t="shared" si="9"/>
        <v>0.33438823278279994</v>
      </c>
      <c r="L43" s="669">
        <f>SUM(L21:L42)</f>
        <v>0</v>
      </c>
      <c r="M43" s="2035">
        <f t="shared" si="10"/>
        <v>0</v>
      </c>
      <c r="N43" s="670">
        <f>SUM(N21:N42)</f>
        <v>0</v>
      </c>
      <c r="O43" s="1944">
        <f t="shared" si="11"/>
        <v>0</v>
      </c>
      <c r="P43" s="968"/>
      <c r="Q43" s="969"/>
      <c r="R43" s="80">
        <v>40</v>
      </c>
      <c r="S43" s="568"/>
      <c r="T43" s="568"/>
    </row>
    <row r="44" spans="1:20" s="569" customFormat="1" ht="16" customHeight="1">
      <c r="A44" s="80">
        <v>41</v>
      </c>
      <c r="B44" s="1601" t="s">
        <v>53</v>
      </c>
      <c r="C44" s="190">
        <v>80</v>
      </c>
      <c r="D44" s="2575">
        <f>IF(Flag=TRUE,(F44-TBIn!E1168),TBIn!D1168)</f>
        <v>14220</v>
      </c>
      <c r="E44" s="2033">
        <f t="shared" si="6"/>
        <v>8.3733254821139413E-2</v>
      </c>
      <c r="F44" s="2580">
        <f>TBIn!E1168</f>
        <v>55530</v>
      </c>
      <c r="G44" s="2076">
        <f t="shared" si="7"/>
        <v>8.9092898559560527E-2</v>
      </c>
      <c r="H44" s="2575">
        <f>IF(Flag=TRUE,(J44-TBIn!E1218),TBIn!D1218)</f>
        <v>9480</v>
      </c>
      <c r="I44" s="2033">
        <f t="shared" si="8"/>
        <v>4.2015689403004923E-2</v>
      </c>
      <c r="J44" s="2583">
        <f>TBIn!E1218</f>
        <v>37020</v>
      </c>
      <c r="K44" s="2076">
        <f t="shared" si="9"/>
        <v>4.5943973669709738E-2</v>
      </c>
      <c r="L44" s="2575">
        <f>IF(Flag=TRUE,(N44-TBIn!E1265),TBIn!D1265)</f>
        <v>0</v>
      </c>
      <c r="M44" s="2033">
        <f t="shared" si="10"/>
        <v>0</v>
      </c>
      <c r="N44" s="2580">
        <f>TBIn!E1265</f>
        <v>0</v>
      </c>
      <c r="O44" s="1942">
        <f t="shared" si="11"/>
        <v>0</v>
      </c>
      <c r="P44" s="968"/>
      <c r="Q44" s="969"/>
      <c r="R44" s="80">
        <v>41</v>
      </c>
      <c r="S44" s="568"/>
      <c r="T44" s="568"/>
    </row>
    <row r="45" spans="1:20" s="569" customFormat="1" ht="16" customHeight="1">
      <c r="A45" s="80">
        <v>42</v>
      </c>
      <c r="B45" s="1642" t="s">
        <v>54</v>
      </c>
      <c r="C45" s="201">
        <v>81</v>
      </c>
      <c r="D45" s="2575">
        <f>IF(Flag=TRUE,(F45-TBIn!E1169),TBIn!D1169)</f>
        <v>0</v>
      </c>
      <c r="E45" s="2033">
        <f t="shared" si="6"/>
        <v>0</v>
      </c>
      <c r="F45" s="2580">
        <f>TBIn!E1169</f>
        <v>0</v>
      </c>
      <c r="G45" s="2076">
        <f t="shared" si="7"/>
        <v>0</v>
      </c>
      <c r="H45" s="2575">
        <f>IF(Flag=TRUE,(J45-TBIn!E1219),TBIn!D1219)</f>
        <v>0</v>
      </c>
      <c r="I45" s="2033">
        <f t="shared" si="8"/>
        <v>0</v>
      </c>
      <c r="J45" s="2582">
        <f>TBIn!E1219</f>
        <v>0</v>
      </c>
      <c r="K45" s="2076">
        <f t="shared" si="9"/>
        <v>0</v>
      </c>
      <c r="L45" s="2575">
        <f>IF(Flag=TRUE,(N45-TBIn!E1266),TBIn!D1266)</f>
        <v>0</v>
      </c>
      <c r="M45" s="2033">
        <f t="shared" si="10"/>
        <v>0</v>
      </c>
      <c r="N45" s="2580">
        <f>TBIn!E1266</f>
        <v>0</v>
      </c>
      <c r="O45" s="1942">
        <f t="shared" si="11"/>
        <v>0</v>
      </c>
      <c r="P45" s="968"/>
      <c r="Q45" s="969"/>
      <c r="R45" s="80">
        <v>42</v>
      </c>
      <c r="S45" s="568"/>
      <c r="T45" s="568"/>
    </row>
    <row r="46" spans="1:20" s="569" customFormat="1" ht="16" customHeight="1">
      <c r="A46" s="80">
        <v>43</v>
      </c>
      <c r="B46" s="1634" t="s">
        <v>55</v>
      </c>
      <c r="C46" s="201">
        <v>82</v>
      </c>
      <c r="D46" s="2575">
        <f>IF(Flag=TRUE,(F46-TBIn!E1170),TBIn!D1170)</f>
        <v>849</v>
      </c>
      <c r="E46" s="2033">
        <f t="shared" si="6"/>
        <v>4.9992639481819517E-3</v>
      </c>
      <c r="F46" s="2580">
        <f>TBIn!E1170</f>
        <v>9001</v>
      </c>
      <c r="G46" s="2076">
        <f t="shared" si="7"/>
        <v>1.4441296235091019E-2</v>
      </c>
      <c r="H46" s="2575">
        <f>IF(Flag=TRUE,(J46-TBIn!E1220),TBIn!D1220)</f>
        <v>566</v>
      </c>
      <c r="I46" s="2033">
        <f t="shared" si="8"/>
        <v>2.5085316668882686E-3</v>
      </c>
      <c r="J46" s="2582">
        <f>TBIn!E1220</f>
        <v>6332</v>
      </c>
      <c r="K46" s="2076">
        <f t="shared" si="9"/>
        <v>7.8583803694381969E-3</v>
      </c>
      <c r="L46" s="2575">
        <f>IF(Flag=TRUE,(N46-TBIn!E1267),TBIn!D1267)</f>
        <v>0</v>
      </c>
      <c r="M46" s="2033">
        <f t="shared" si="10"/>
        <v>0</v>
      </c>
      <c r="N46" s="2580">
        <f>TBIn!E1267</f>
        <v>0</v>
      </c>
      <c r="O46" s="1942">
        <f t="shared" si="11"/>
        <v>0</v>
      </c>
      <c r="P46" s="968"/>
      <c r="Q46" s="969"/>
      <c r="R46" s="80">
        <v>43</v>
      </c>
      <c r="S46" s="568"/>
      <c r="T46" s="568"/>
    </row>
    <row r="47" spans="1:20" s="569" customFormat="1" ht="16" customHeight="1">
      <c r="A47" s="80">
        <v>44</v>
      </c>
      <c r="B47" s="1634" t="s">
        <v>56</v>
      </c>
      <c r="C47" s="201">
        <v>83</v>
      </c>
      <c r="D47" s="2576">
        <f>IF(Flag=TRUE,(F47-TBIn!E1171),TBIn!D1171)</f>
        <v>23</v>
      </c>
      <c r="E47" s="2034">
        <f t="shared" si="6"/>
        <v>1.3543353452083026E-4</v>
      </c>
      <c r="F47" s="2581">
        <f>TBIn!E1171</f>
        <v>92</v>
      </c>
      <c r="G47" s="2077">
        <f t="shared" si="7"/>
        <v>1.4760573865441325E-4</v>
      </c>
      <c r="H47" s="2576">
        <f>IF(Flag=TRUE,(J47-TBIn!E1221),TBIn!D1221)</f>
        <v>15</v>
      </c>
      <c r="I47" s="2034">
        <f t="shared" si="8"/>
        <v>6.6480521207286261E-5</v>
      </c>
      <c r="J47" s="2582">
        <f>TBIn!E1221</f>
        <v>62</v>
      </c>
      <c r="K47" s="2077">
        <f t="shared" si="9"/>
        <v>7.6945606902269152E-5</v>
      </c>
      <c r="L47" s="2576">
        <f>IF(Flag=TRUE,(N47-TBIn!E1268),TBIn!D1268)</f>
        <v>0</v>
      </c>
      <c r="M47" s="2034">
        <f t="shared" si="10"/>
        <v>0</v>
      </c>
      <c r="N47" s="2581">
        <f>TBIn!E1268</f>
        <v>0</v>
      </c>
      <c r="O47" s="1943">
        <f t="shared" si="11"/>
        <v>0</v>
      </c>
      <c r="P47" s="968"/>
      <c r="Q47" s="969"/>
      <c r="R47" s="80">
        <v>44</v>
      </c>
      <c r="S47" s="568"/>
      <c r="T47" s="568"/>
    </row>
    <row r="48" spans="1:20" s="569" customFormat="1" ht="16" customHeight="1">
      <c r="A48" s="80">
        <v>45</v>
      </c>
      <c r="B48" s="1634" t="s">
        <v>57</v>
      </c>
      <c r="C48" s="193">
        <v>84</v>
      </c>
      <c r="D48" s="2577">
        <f>IF(Flag=TRUE,(F48-TBIn!E1172),TBIn!D1172)</f>
        <v>1800</v>
      </c>
      <c r="E48" s="2037">
        <f t="shared" si="6"/>
        <v>1.0599146179891064E-2</v>
      </c>
      <c r="F48" s="2582">
        <f>TBIn!E1172</f>
        <v>7200</v>
      </c>
      <c r="G48" s="2078">
        <f t="shared" si="7"/>
        <v>1.1551753459910602E-2</v>
      </c>
      <c r="H48" s="2577">
        <f>IF(Flag=TRUE,(J48-TBIn!E1222),TBIn!D1222)</f>
        <v>1200</v>
      </c>
      <c r="I48" s="2037">
        <f t="shared" si="8"/>
        <v>5.3184416965829009E-3</v>
      </c>
      <c r="J48" s="2582">
        <f>TBIn!E1222</f>
        <v>4800</v>
      </c>
      <c r="K48" s="2078">
        <f t="shared" si="9"/>
        <v>5.9570792440466437E-3</v>
      </c>
      <c r="L48" s="2577">
        <f>IF(Flag=TRUE,(N48-TBIn!E1269),TBIn!D1269)</f>
        <v>0</v>
      </c>
      <c r="M48" s="2037">
        <f t="shared" si="10"/>
        <v>0</v>
      </c>
      <c r="N48" s="2582">
        <f>TBIn!E1269</f>
        <v>0</v>
      </c>
      <c r="O48" s="1941">
        <f t="shared" si="11"/>
        <v>0</v>
      </c>
      <c r="P48" s="968"/>
      <c r="Q48" s="969"/>
      <c r="R48" s="80">
        <v>45</v>
      </c>
      <c r="S48" s="568"/>
      <c r="T48" s="568"/>
    </row>
    <row r="49" spans="1:23" s="569" customFormat="1" ht="16" customHeight="1">
      <c r="A49" s="80">
        <v>46</v>
      </c>
      <c r="B49" s="1634" t="s">
        <v>58</v>
      </c>
      <c r="C49" s="201">
        <v>85</v>
      </c>
      <c r="D49" s="2575">
        <f>IF(Flag=TRUE,(F49-TBIn!E1173),TBIn!D1173)</f>
        <v>1224</v>
      </c>
      <c r="E49" s="2033">
        <f t="shared" si="6"/>
        <v>7.2074194023259239E-3</v>
      </c>
      <c r="F49" s="2580">
        <f>TBIn!E1173</f>
        <v>4896</v>
      </c>
      <c r="G49" s="2076">
        <f t="shared" si="7"/>
        <v>7.8551923527392098E-3</v>
      </c>
      <c r="H49" s="2575">
        <f>IF(Flag=TRUE,(J49-TBIn!E1223),TBIn!D1223)</f>
        <v>816</v>
      </c>
      <c r="I49" s="2033">
        <f t="shared" si="8"/>
        <v>3.616540353676373E-3</v>
      </c>
      <c r="J49" s="2582">
        <f>TBIn!E1223</f>
        <v>3264</v>
      </c>
      <c r="K49" s="2076">
        <f t="shared" si="9"/>
        <v>4.0508138859517177E-3</v>
      </c>
      <c r="L49" s="2575">
        <f>IF(Flag=TRUE,(N49-TBIn!E1270),TBIn!D1270)</f>
        <v>0</v>
      </c>
      <c r="M49" s="2033">
        <f t="shared" si="10"/>
        <v>0</v>
      </c>
      <c r="N49" s="2580">
        <f>TBIn!E1270</f>
        <v>0</v>
      </c>
      <c r="O49" s="1942">
        <f t="shared" si="11"/>
        <v>0</v>
      </c>
      <c r="P49" s="968"/>
      <c r="Q49" s="969"/>
      <c r="R49" s="80">
        <v>46</v>
      </c>
      <c r="S49" s="568"/>
      <c r="T49" s="568"/>
    </row>
    <row r="50" spans="1:23" s="569" customFormat="1" ht="16" customHeight="1">
      <c r="A50" s="80">
        <v>47</v>
      </c>
      <c r="B50" s="1638" t="s">
        <v>59</v>
      </c>
      <c r="C50" s="193">
        <v>86</v>
      </c>
      <c r="D50" s="2577">
        <f>IF(Flag=TRUE,(F50-TBIn!E1174),TBIn!D1174)</f>
        <v>0</v>
      </c>
      <c r="E50" s="2037">
        <f t="shared" si="6"/>
        <v>0</v>
      </c>
      <c r="F50" s="2582">
        <f>TBIn!E1174</f>
        <v>0</v>
      </c>
      <c r="G50" s="2078">
        <f t="shared" si="7"/>
        <v>0</v>
      </c>
      <c r="H50" s="2577">
        <f>IF(Flag=TRUE,(J50-TBIn!E1224),TBIn!D1224)</f>
        <v>0</v>
      </c>
      <c r="I50" s="2037">
        <f t="shared" si="8"/>
        <v>0</v>
      </c>
      <c r="J50" s="2582">
        <f>TBIn!E1224</f>
        <v>0</v>
      </c>
      <c r="K50" s="2078">
        <f t="shared" si="9"/>
        <v>0</v>
      </c>
      <c r="L50" s="2577">
        <f>IF(Flag=TRUE,(N50-TBIn!E1271),TBIn!D1271)</f>
        <v>0</v>
      </c>
      <c r="M50" s="2037">
        <f t="shared" si="10"/>
        <v>0</v>
      </c>
      <c r="N50" s="2594">
        <f>TBIn!E1271</f>
        <v>0</v>
      </c>
      <c r="O50" s="1941">
        <f t="shared" si="11"/>
        <v>0</v>
      </c>
      <c r="P50" s="968"/>
      <c r="Q50" s="969"/>
      <c r="R50" s="80">
        <v>47</v>
      </c>
      <c r="S50" s="568"/>
      <c r="T50" s="568"/>
    </row>
    <row r="51" spans="1:23" s="569" customFormat="1" ht="16" customHeight="1">
      <c r="A51" s="80">
        <v>48</v>
      </c>
      <c r="B51" s="1637" t="s">
        <v>60</v>
      </c>
      <c r="C51" s="201">
        <v>87</v>
      </c>
      <c r="D51" s="2575">
        <f>IF(Flag=TRUE,(F51-TBIn!E1175),TBIn!D1175)</f>
        <v>2995</v>
      </c>
      <c r="E51" s="2033">
        <f t="shared" si="6"/>
        <v>1.7635801560429855E-2</v>
      </c>
      <c r="F51" s="2580">
        <f>TBIn!E1175</f>
        <v>11825</v>
      </c>
      <c r="G51" s="2076">
        <f t="shared" si="7"/>
        <v>1.89721506477004E-2</v>
      </c>
      <c r="H51" s="2575">
        <f>IF(Flag=TRUE,(J51-TBIn!E1225),TBIn!D1225)</f>
        <v>1997</v>
      </c>
      <c r="I51" s="2033">
        <f t="shared" si="8"/>
        <v>8.8507733900633784E-3</v>
      </c>
      <c r="J51" s="2580">
        <f>TBIn!E1225</f>
        <v>7883</v>
      </c>
      <c r="K51" s="2076">
        <f t="shared" si="9"/>
        <v>9.7832616001707704E-3</v>
      </c>
      <c r="L51" s="2575">
        <f>IF(Flag=TRUE,(N51-TBIn!E1272),TBIn!D1272)</f>
        <v>0</v>
      </c>
      <c r="M51" s="2033">
        <f t="shared" si="10"/>
        <v>0</v>
      </c>
      <c r="N51" s="2580">
        <f>TBIn!E1272</f>
        <v>0</v>
      </c>
      <c r="O51" s="1943">
        <f t="shared" si="11"/>
        <v>0</v>
      </c>
      <c r="P51" s="968"/>
      <c r="Q51" s="969"/>
      <c r="R51" s="80">
        <v>48</v>
      </c>
      <c r="S51" s="568"/>
      <c r="T51" s="568"/>
    </row>
    <row r="52" spans="1:23" s="569" customFormat="1" ht="16" customHeight="1">
      <c r="A52" s="80">
        <v>49</v>
      </c>
      <c r="B52" s="231" t="s">
        <v>61</v>
      </c>
      <c r="C52" s="211"/>
      <c r="D52" s="243">
        <f>SUM(D44:D51)</f>
        <v>21111</v>
      </c>
      <c r="E52" s="2035">
        <f t="shared" si="6"/>
        <v>0.12431031944648903</v>
      </c>
      <c r="F52" s="497">
        <f>SUM(F44:F51)</f>
        <v>88544</v>
      </c>
      <c r="G52" s="2035">
        <f t="shared" si="7"/>
        <v>0.14206089699365615</v>
      </c>
      <c r="H52" s="243">
        <f>SUM(H44:H51)</f>
        <v>14074</v>
      </c>
      <c r="I52" s="2035">
        <f t="shared" si="8"/>
        <v>6.2376457031423124E-2</v>
      </c>
      <c r="J52" s="497">
        <f>SUM(J44:J51)</f>
        <v>59361</v>
      </c>
      <c r="K52" s="2035">
        <f t="shared" si="9"/>
        <v>7.3670454376219344E-2</v>
      </c>
      <c r="L52" s="243">
        <f>SUM(L44:L51)</f>
        <v>0</v>
      </c>
      <c r="M52" s="2035">
        <f t="shared" si="10"/>
        <v>0</v>
      </c>
      <c r="N52" s="497">
        <f>SUM(N44:N51)</f>
        <v>0</v>
      </c>
      <c r="O52" s="1944">
        <f t="shared" si="11"/>
        <v>0</v>
      </c>
      <c r="P52" s="968"/>
      <c r="Q52" s="969"/>
      <c r="R52" s="80">
        <v>49</v>
      </c>
      <c r="S52" s="568"/>
      <c r="T52" s="568"/>
    </row>
    <row r="53" spans="1:23" s="569" customFormat="1" ht="16" customHeight="1">
      <c r="A53" s="80">
        <v>50</v>
      </c>
      <c r="B53" s="1539" t="s">
        <v>62</v>
      </c>
      <c r="C53" s="201">
        <v>88</v>
      </c>
      <c r="D53" s="2575">
        <f>IF(Flag=TRUE,(F53-TBIn!E1176),TBIn!D1176)</f>
        <v>4177</v>
      </c>
      <c r="E53" s="2033">
        <f t="shared" si="6"/>
        <v>2.4595907551891654E-2</v>
      </c>
      <c r="F53" s="2580">
        <f>TBIn!E1176</f>
        <v>16526</v>
      </c>
      <c r="G53" s="2076">
        <f t="shared" si="7"/>
        <v>2.6514483010900362E-2</v>
      </c>
      <c r="H53" s="2575">
        <f>IF(Flag=TRUE,(J53-TBIn!E1226),TBIn!D1226)</f>
        <v>2911</v>
      </c>
      <c r="I53" s="2033">
        <f t="shared" si="8"/>
        <v>1.2901653148960688E-2</v>
      </c>
      <c r="J53" s="2582">
        <f>TBIn!E1226</f>
        <v>12561</v>
      </c>
      <c r="K53" s="2076">
        <f t="shared" si="9"/>
        <v>1.5588931746764562E-2</v>
      </c>
      <c r="L53" s="2575">
        <f>IF(Flag=TRUE,(N53-TBIn!E1273),TBIn!D1273)</f>
        <v>0</v>
      </c>
      <c r="M53" s="2033">
        <f t="shared" si="10"/>
        <v>0</v>
      </c>
      <c r="N53" s="2580">
        <f>TBIn!E1273</f>
        <v>0</v>
      </c>
      <c r="O53" s="1942">
        <f t="shared" si="11"/>
        <v>0</v>
      </c>
      <c r="P53" s="968"/>
      <c r="Q53" s="969"/>
      <c r="R53" s="80">
        <v>50</v>
      </c>
      <c r="S53" s="568"/>
      <c r="T53" s="568"/>
    </row>
    <row r="54" spans="1:23" s="569" customFormat="1" ht="16" customHeight="1">
      <c r="A54" s="80">
        <v>51</v>
      </c>
      <c r="B54" s="1539" t="s">
        <v>63</v>
      </c>
      <c r="C54" s="201">
        <v>89</v>
      </c>
      <c r="D54" s="2575">
        <f>IF(Flag=TRUE,(F54-TBIn!E1177),TBIn!D1177)</f>
        <v>0</v>
      </c>
      <c r="E54" s="2033">
        <f t="shared" si="6"/>
        <v>0</v>
      </c>
      <c r="F54" s="2580">
        <f>TBIn!E1177</f>
        <v>0</v>
      </c>
      <c r="G54" s="2076">
        <f t="shared" si="7"/>
        <v>0</v>
      </c>
      <c r="H54" s="2575">
        <f>IF(Flag=TRUE,(J54-TBIn!E1227),TBIn!D1227)</f>
        <v>0</v>
      </c>
      <c r="I54" s="2033">
        <f t="shared" si="8"/>
        <v>0</v>
      </c>
      <c r="J54" s="2582">
        <f>TBIn!E1227</f>
        <v>0</v>
      </c>
      <c r="K54" s="2076">
        <f t="shared" si="9"/>
        <v>0</v>
      </c>
      <c r="L54" s="2575">
        <f>IF(Flag=TRUE,(N54-TBIn!E1274),TBIn!D1274)</f>
        <v>0</v>
      </c>
      <c r="M54" s="2033">
        <f t="shared" si="10"/>
        <v>0</v>
      </c>
      <c r="N54" s="2580">
        <f>TBIn!E1274</f>
        <v>0</v>
      </c>
      <c r="O54" s="1942">
        <f t="shared" si="11"/>
        <v>0</v>
      </c>
      <c r="P54" s="968"/>
      <c r="Q54" s="969"/>
      <c r="R54" s="80">
        <v>51</v>
      </c>
      <c r="S54" s="568"/>
      <c r="T54" s="568"/>
    </row>
    <row r="55" spans="1:23" s="569" customFormat="1" ht="16" customHeight="1">
      <c r="A55" s="80">
        <v>52</v>
      </c>
      <c r="B55" s="1539" t="s">
        <v>64</v>
      </c>
      <c r="C55" s="201">
        <v>90</v>
      </c>
      <c r="D55" s="2575">
        <f>IF(Flag=TRUE,(F55-TBIn!E1178),TBIn!D1178)</f>
        <v>0</v>
      </c>
      <c r="E55" s="2033">
        <f t="shared" si="6"/>
        <v>0</v>
      </c>
      <c r="F55" s="2580">
        <f>TBIn!E1178</f>
        <v>441</v>
      </c>
      <c r="G55" s="2076">
        <f t="shared" si="7"/>
        <v>7.0754489941952437E-4</v>
      </c>
      <c r="H55" s="2575">
        <f>IF(Flag=TRUE,(J55-TBIn!E1228),TBIn!D1228)</f>
        <v>0</v>
      </c>
      <c r="I55" s="2033">
        <f t="shared" si="8"/>
        <v>0</v>
      </c>
      <c r="J55" s="2582">
        <f>TBIn!E1228</f>
        <v>294</v>
      </c>
      <c r="K55" s="2076">
        <f t="shared" si="9"/>
        <v>3.6487110369785695E-4</v>
      </c>
      <c r="L55" s="2575">
        <f>IF(Flag=TRUE,(N55-TBIn!E1275),TBIn!D1275)</f>
        <v>0</v>
      </c>
      <c r="M55" s="2033">
        <f t="shared" si="10"/>
        <v>0</v>
      </c>
      <c r="N55" s="2580">
        <f>TBIn!E1275</f>
        <v>0</v>
      </c>
      <c r="O55" s="1942">
        <f t="shared" si="11"/>
        <v>0</v>
      </c>
      <c r="P55" s="968"/>
      <c r="Q55" s="969"/>
      <c r="R55" s="80">
        <v>52</v>
      </c>
      <c r="S55" s="568"/>
      <c r="T55" s="568"/>
    </row>
    <row r="56" spans="1:23" s="569" customFormat="1" ht="16" customHeight="1">
      <c r="A56" s="80">
        <v>53</v>
      </c>
      <c r="B56" s="1539" t="s">
        <v>65</v>
      </c>
      <c r="C56" s="201">
        <v>91</v>
      </c>
      <c r="D56" s="2575">
        <f>IF(Flag=TRUE,(F56-TBIn!E1179),TBIn!D1179)</f>
        <v>4053</v>
      </c>
      <c r="E56" s="2033">
        <f t="shared" si="6"/>
        <v>2.3865744148388046E-2</v>
      </c>
      <c r="F56" s="2580">
        <f>TBIn!E1179</f>
        <v>16212</v>
      </c>
      <c r="G56" s="2076">
        <f t="shared" si="7"/>
        <v>2.6010698207232039E-2</v>
      </c>
      <c r="H56" s="2575">
        <f>IF(Flag=TRUE,(J56-TBIn!E1229),TBIn!D1229)</f>
        <v>2702</v>
      </c>
      <c r="I56" s="2033">
        <f t="shared" si="8"/>
        <v>1.1975357886805833E-2</v>
      </c>
      <c r="J56" s="2582">
        <f>TBIn!E1229</f>
        <v>10808</v>
      </c>
      <c r="K56" s="2076">
        <f t="shared" si="9"/>
        <v>1.3413356764511693E-2</v>
      </c>
      <c r="L56" s="2575">
        <f>IF(Flag=TRUE,(N56-TBIn!E1276),TBIn!D1276)</f>
        <v>0</v>
      </c>
      <c r="M56" s="2033">
        <f t="shared" si="10"/>
        <v>0</v>
      </c>
      <c r="N56" s="2580">
        <f>TBIn!E1276</f>
        <v>0</v>
      </c>
      <c r="O56" s="1942">
        <f t="shared" si="11"/>
        <v>0</v>
      </c>
      <c r="P56" s="968"/>
      <c r="Q56" s="969"/>
      <c r="R56" s="80">
        <v>53</v>
      </c>
      <c r="S56" s="568"/>
      <c r="T56" s="568"/>
    </row>
    <row r="57" spans="1:23" s="569" customFormat="1" ht="16" customHeight="1">
      <c r="A57" s="80">
        <v>54</v>
      </c>
      <c r="B57" s="1636" t="s">
        <v>66</v>
      </c>
      <c r="C57" s="109">
        <v>92</v>
      </c>
      <c r="D57" s="2576">
        <f>IF(Flag=TRUE,(F57-TBIn!E1180),TBIn!D1180)</f>
        <v>0</v>
      </c>
      <c r="E57" s="2034">
        <f t="shared" si="6"/>
        <v>0</v>
      </c>
      <c r="F57" s="2581">
        <f>TBIn!E1180</f>
        <v>0</v>
      </c>
      <c r="G57" s="2077">
        <f t="shared" si="7"/>
        <v>0</v>
      </c>
      <c r="H57" s="2576">
        <f>IF(Flag=TRUE,(J57-TBIn!E1230),TBIn!D1230)</f>
        <v>0</v>
      </c>
      <c r="I57" s="2034">
        <f t="shared" si="8"/>
        <v>0</v>
      </c>
      <c r="J57" s="2589">
        <f>TBIn!E1230</f>
        <v>0</v>
      </c>
      <c r="K57" s="2077">
        <f t="shared" si="9"/>
        <v>0</v>
      </c>
      <c r="L57" s="2576">
        <f>IF(Flag=TRUE,(N57-TBIn!E1277),TBIn!D1277)</f>
        <v>0</v>
      </c>
      <c r="M57" s="2034">
        <f t="shared" si="10"/>
        <v>0</v>
      </c>
      <c r="N57" s="2581">
        <f>TBIn!E1277</f>
        <v>0</v>
      </c>
      <c r="O57" s="1943">
        <f t="shared" si="11"/>
        <v>0</v>
      </c>
      <c r="P57" s="968"/>
      <c r="Q57" s="969"/>
      <c r="R57" s="80">
        <v>54</v>
      </c>
      <c r="S57" s="568"/>
      <c r="T57" s="568"/>
    </row>
    <row r="58" spans="1:23" s="569" customFormat="1" ht="16" customHeight="1">
      <c r="A58" s="80">
        <v>55</v>
      </c>
      <c r="B58" s="232" t="s">
        <v>67</v>
      </c>
      <c r="C58" s="1208"/>
      <c r="D58" s="669">
        <f>SUM(D52:D57)</f>
        <v>29341</v>
      </c>
      <c r="E58" s="2035">
        <f t="shared" si="6"/>
        <v>0.17277197114676873</v>
      </c>
      <c r="F58" s="670">
        <f>SUM(F52:F57)</f>
        <v>121723</v>
      </c>
      <c r="G58" s="2035">
        <f t="shared" si="7"/>
        <v>0.1952936231112081</v>
      </c>
      <c r="H58" s="669">
        <f>SUM(H52:H57)</f>
        <v>19687</v>
      </c>
      <c r="I58" s="2035">
        <f t="shared" si="8"/>
        <v>8.7253468067189643E-2</v>
      </c>
      <c r="J58" s="670">
        <f>SUM(J52:J57)</f>
        <v>83024</v>
      </c>
      <c r="K58" s="2035">
        <f t="shared" si="9"/>
        <v>0.10303761399119345</v>
      </c>
      <c r="L58" s="669">
        <f>SUM(L52:L57)</f>
        <v>0</v>
      </c>
      <c r="M58" s="2035">
        <f t="shared" si="10"/>
        <v>0</v>
      </c>
      <c r="N58" s="670">
        <f>SUM(N52:N57)</f>
        <v>0</v>
      </c>
      <c r="O58" s="1944">
        <f t="shared" si="11"/>
        <v>0</v>
      </c>
      <c r="P58" s="968"/>
      <c r="Q58" s="969"/>
      <c r="R58" s="80">
        <v>55</v>
      </c>
      <c r="S58" s="568"/>
      <c r="T58" s="568"/>
    </row>
    <row r="59" spans="1:23" s="569" customFormat="1" ht="16" customHeight="1">
      <c r="A59" s="80">
        <v>56</v>
      </c>
      <c r="B59" s="233" t="s">
        <v>68</v>
      </c>
      <c r="C59" s="101"/>
      <c r="D59" s="671">
        <f>D58+D43+D20</f>
        <v>118395</v>
      </c>
      <c r="E59" s="2062">
        <f t="shared" si="6"/>
        <v>0.69715883998233474</v>
      </c>
      <c r="F59" s="672">
        <f>F58+F43+F20</f>
        <v>443286</v>
      </c>
      <c r="G59" s="2079">
        <f t="shared" si="7"/>
        <v>0.71121258114304597</v>
      </c>
      <c r="H59" s="671">
        <f>H58+H43+H20</f>
        <v>132463</v>
      </c>
      <c r="I59" s="2062">
        <f t="shared" si="8"/>
        <v>0.58708061871205075</v>
      </c>
      <c r="J59" s="672">
        <f>J58+J43+J20</f>
        <v>522580</v>
      </c>
      <c r="K59" s="2079">
        <f t="shared" si="9"/>
        <v>0.64855218153206151</v>
      </c>
      <c r="L59" s="671">
        <f>L58+L43+L20</f>
        <v>0</v>
      </c>
      <c r="M59" s="2062">
        <f t="shared" si="10"/>
        <v>0</v>
      </c>
      <c r="N59" s="672">
        <f>N58+N43+N20</f>
        <v>0</v>
      </c>
      <c r="O59" s="1946">
        <f t="shared" si="11"/>
        <v>0</v>
      </c>
      <c r="P59" s="968"/>
      <c r="Q59" s="969"/>
      <c r="R59" s="80">
        <v>56</v>
      </c>
      <c r="S59" s="568"/>
      <c r="T59" s="568"/>
    </row>
    <row r="60" spans="1:23" s="569" customFormat="1" ht="16" customHeight="1">
      <c r="A60" s="80">
        <v>57</v>
      </c>
      <c r="B60" s="234" t="s">
        <v>69</v>
      </c>
      <c r="C60" s="1208"/>
      <c r="D60" s="669">
        <f>D59+D10</f>
        <v>145016</v>
      </c>
      <c r="E60" s="2035">
        <f t="shared" si="6"/>
        <v>0.85391432356837926</v>
      </c>
      <c r="F60" s="670">
        <f>F59+F10</f>
        <v>547676</v>
      </c>
      <c r="G60" s="2035">
        <f t="shared" si="7"/>
        <v>0.87869696220972204</v>
      </c>
      <c r="H60" s="669">
        <f>H59+H10</f>
        <v>149792</v>
      </c>
      <c r="I60" s="2035">
        <f t="shared" si="8"/>
        <v>0.66388334884545497</v>
      </c>
      <c r="J60" s="670">
        <f>J59+J10</f>
        <v>593013</v>
      </c>
      <c r="K60" s="2035">
        <f t="shared" si="9"/>
        <v>0.73596363203121506</v>
      </c>
      <c r="L60" s="669">
        <f>L59+L10</f>
        <v>0</v>
      </c>
      <c r="M60" s="2035">
        <f t="shared" si="10"/>
        <v>0</v>
      </c>
      <c r="N60" s="670">
        <f>N59+N10</f>
        <v>0</v>
      </c>
      <c r="O60" s="1944">
        <f t="shared" si="11"/>
        <v>0</v>
      </c>
      <c r="P60" s="968"/>
      <c r="Q60" s="969"/>
      <c r="R60" s="80">
        <v>57</v>
      </c>
      <c r="S60" s="737"/>
      <c r="T60" s="737"/>
    </row>
    <row r="61" spans="1:23" s="569" customFormat="1" ht="16" customHeight="1">
      <c r="A61" s="80">
        <v>58</v>
      </c>
      <c r="B61" s="1206" t="s">
        <v>70</v>
      </c>
      <c r="C61" s="197"/>
      <c r="D61" s="673">
        <f>D5-D60</f>
        <v>16197</v>
      </c>
      <c r="E61" s="2063">
        <f t="shared" si="6"/>
        <v>9.5374650375386422E-2</v>
      </c>
      <c r="F61" s="674">
        <f>F5-F60</f>
        <v>32340</v>
      </c>
      <c r="G61" s="2063">
        <f t="shared" si="7"/>
        <v>5.1886625957431785E-2</v>
      </c>
      <c r="H61" s="673">
        <f>H5-H60</f>
        <v>71566</v>
      </c>
      <c r="I61" s="2063">
        <f t="shared" si="8"/>
        <v>0.3171829987147099</v>
      </c>
      <c r="J61" s="670">
        <f>J5-J60</f>
        <v>198780</v>
      </c>
      <c r="K61" s="2063">
        <f t="shared" si="9"/>
        <v>0.24669754419408163</v>
      </c>
      <c r="L61" s="673">
        <f>L5-L60</f>
        <v>0</v>
      </c>
      <c r="M61" s="2063">
        <f t="shared" si="10"/>
        <v>0</v>
      </c>
      <c r="N61" s="674">
        <f>N5-N60</f>
        <v>0</v>
      </c>
      <c r="O61" s="1947">
        <f t="shared" si="11"/>
        <v>0</v>
      </c>
      <c r="P61" s="971"/>
      <c r="Q61" s="972"/>
      <c r="R61" s="80">
        <v>58</v>
      </c>
      <c r="S61" s="740"/>
      <c r="T61" s="740"/>
    </row>
    <row r="62" spans="1:23" s="569" customFormat="1" ht="16" customHeight="1">
      <c r="A62" s="80">
        <v>59</v>
      </c>
      <c r="B62" s="235" t="s">
        <v>15703</v>
      </c>
      <c r="C62" s="236"/>
      <c r="D62" s="482">
        <f>Page7!H13</f>
        <v>8612</v>
      </c>
      <c r="E62" s="2064">
        <f t="shared" si="6"/>
        <v>5.0711026056234357E-2</v>
      </c>
      <c r="F62" s="492">
        <f>Page7!M13</f>
        <v>43266</v>
      </c>
      <c r="G62" s="2080">
        <f t="shared" si="7"/>
        <v>6.9416411832846123E-2</v>
      </c>
      <c r="H62" s="482">
        <f>Page7!H23</f>
        <v>4272</v>
      </c>
      <c r="I62" s="2064">
        <f t="shared" si="8"/>
        <v>1.8933652439835129E-2</v>
      </c>
      <c r="J62" s="545">
        <f>Page7!M23</f>
        <v>13971</v>
      </c>
      <c r="K62" s="2080">
        <f t="shared" si="9"/>
        <v>1.7338823774703263E-2</v>
      </c>
      <c r="L62" s="482">
        <f>Page8!K54</f>
        <v>0</v>
      </c>
      <c r="M62" s="2064">
        <f t="shared" si="10"/>
        <v>0</v>
      </c>
      <c r="N62" s="492">
        <f>Page8!Q54</f>
        <v>0</v>
      </c>
      <c r="O62" s="1940">
        <f t="shared" si="11"/>
        <v>0</v>
      </c>
      <c r="P62" s="480">
        <f>Page3!P5*-1</f>
        <v>-12884</v>
      </c>
      <c r="Q62" s="481">
        <f>Page3!Q5*-1</f>
        <v>-57237</v>
      </c>
      <c r="R62" s="80">
        <v>59</v>
      </c>
      <c r="S62" s="739"/>
      <c r="T62" s="739"/>
      <c r="V62" s="682"/>
      <c r="W62" s="683"/>
    </row>
    <row r="63" spans="1:23" s="569" customFormat="1" ht="16" customHeight="1">
      <c r="A63" s="80">
        <v>60</v>
      </c>
      <c r="B63" s="1630" t="s">
        <v>72</v>
      </c>
      <c r="C63" s="1533"/>
      <c r="D63" s="714">
        <f>IF(Flag=TRUE,(F63-TBIn!E966),TBIn!D966)</f>
        <v>0</v>
      </c>
      <c r="E63" s="2064">
        <f t="shared" si="6"/>
        <v>0</v>
      </c>
      <c r="F63" s="719">
        <f>TBIn!E966</f>
        <v>0</v>
      </c>
      <c r="G63" s="2080">
        <f t="shared" si="7"/>
        <v>0</v>
      </c>
      <c r="H63" s="714">
        <f>IF(Flag=TRUE,(J63-TBIn!E967),TBIn!D967)</f>
        <v>0</v>
      </c>
      <c r="I63" s="2064">
        <f t="shared" si="8"/>
        <v>0</v>
      </c>
      <c r="J63" s="719">
        <f>TBIn!$E$967</f>
        <v>0</v>
      </c>
      <c r="K63" s="2080">
        <f t="shared" si="9"/>
        <v>0</v>
      </c>
      <c r="L63" s="714">
        <f>IF(Flag=TRUE,(N63-TBIn!E968),TBIn!D968)</f>
        <v>0</v>
      </c>
      <c r="M63" s="2064">
        <f t="shared" si="10"/>
        <v>0</v>
      </c>
      <c r="N63" s="719">
        <f>TBIn!E968</f>
        <v>0</v>
      </c>
      <c r="O63" s="1940">
        <f t="shared" si="11"/>
        <v>0</v>
      </c>
      <c r="P63" s="973"/>
      <c r="Q63" s="974"/>
      <c r="R63" s="80">
        <v>60</v>
      </c>
      <c r="S63" s="738"/>
      <c r="T63" s="738"/>
    </row>
    <row r="64" spans="1:23" s="569" customFormat="1" ht="16" customHeight="1">
      <c r="A64" s="80">
        <v>61</v>
      </c>
      <c r="B64" s="1207" t="s">
        <v>15704</v>
      </c>
      <c r="C64" s="96"/>
      <c r="D64" s="2708">
        <f>IF(Flag=TRUE,SUM(D61:D63),TBIn!D1181)</f>
        <v>24809</v>
      </c>
      <c r="E64" s="2063">
        <f t="shared" si="6"/>
        <v>0.14608567643162079</v>
      </c>
      <c r="F64" s="2709">
        <f>IF(Flag=TRUE,SUM(F61:F63),TBIn!E1181)</f>
        <v>75606</v>
      </c>
      <c r="G64" s="2063">
        <f t="shared" si="7"/>
        <v>0.12130303779027791</v>
      </c>
      <c r="H64" s="2708">
        <f>IF(Flag=TRUE,SUM(H61:H63),TBIn!D1231)</f>
        <v>75838</v>
      </c>
      <c r="I64" s="2063">
        <f t="shared" si="8"/>
        <v>0.33611665115454503</v>
      </c>
      <c r="J64" s="2710">
        <f>IF(Flag=TRUE,SUM(J61:J63),TBIn!E1231)</f>
        <v>212751</v>
      </c>
      <c r="K64" s="2063">
        <f t="shared" si="9"/>
        <v>0.26403636796878488</v>
      </c>
      <c r="L64" s="2708">
        <f>IF(Flag=TRUE,SUM(L61:L63),TBIn!D1278)</f>
        <v>0</v>
      </c>
      <c r="M64" s="2063">
        <f t="shared" si="10"/>
        <v>0</v>
      </c>
      <c r="N64" s="2709">
        <f>IF(Flag=TRUE,SUM(N61:N63),TBIn!E1278)</f>
        <v>0</v>
      </c>
      <c r="O64" s="1947">
        <f t="shared" si="11"/>
        <v>0</v>
      </c>
      <c r="P64" s="975"/>
      <c r="Q64" s="976"/>
      <c r="R64" s="80">
        <v>61</v>
      </c>
      <c r="S64" s="675"/>
      <c r="T64" s="675"/>
    </row>
    <row r="65" spans="1:26" s="569" customFormat="1" ht="16" customHeight="1">
      <c r="A65" s="80">
        <v>62</v>
      </c>
      <c r="B65" s="263" t="s">
        <v>15705</v>
      </c>
      <c r="C65" s="1186"/>
      <c r="D65" s="1210" t="s">
        <v>7</v>
      </c>
      <c r="E65" s="2065"/>
      <c r="F65" s="1211" t="s">
        <v>8</v>
      </c>
      <c r="G65" s="2065"/>
      <c r="H65" s="1326" t="s">
        <v>15706</v>
      </c>
      <c r="I65" s="2086"/>
      <c r="J65" s="1327"/>
      <c r="K65" s="2086"/>
      <c r="L65" s="1210" t="s">
        <v>7</v>
      </c>
      <c r="M65" s="2086"/>
      <c r="N65" s="1211" t="s">
        <v>8</v>
      </c>
      <c r="O65" s="2065"/>
      <c r="P65" s="977" t="s">
        <v>166</v>
      </c>
      <c r="Q65" s="978"/>
      <c r="R65" s="80">
        <v>62</v>
      </c>
      <c r="S65" s="568"/>
      <c r="T65" s="568"/>
    </row>
    <row r="66" spans="1:26" s="569" customFormat="1" ht="16" customHeight="1">
      <c r="A66" s="80">
        <v>63</v>
      </c>
      <c r="B66" s="1651" t="s">
        <v>1248</v>
      </c>
      <c r="C66" s="237">
        <v>902</v>
      </c>
      <c r="D66" s="2578">
        <f>IF(Flag=TRUE,F66-TBIn!E1446,TBIn!D1446)</f>
        <v>0</v>
      </c>
      <c r="E66" s="2066"/>
      <c r="F66" s="2583">
        <f>TBIn!E1446</f>
        <v>0</v>
      </c>
      <c r="G66" s="2081"/>
      <c r="H66" s="2585"/>
      <c r="I66" s="2087"/>
      <c r="J66" s="2590"/>
      <c r="K66" s="2093"/>
      <c r="L66" s="2578"/>
      <c r="M66" s="2066"/>
      <c r="N66" s="2583"/>
      <c r="O66" s="2104"/>
      <c r="P66" s="979"/>
      <c r="Q66" s="980"/>
      <c r="R66" s="80">
        <v>63</v>
      </c>
      <c r="S66" s="568"/>
      <c r="T66" s="568"/>
    </row>
    <row r="67" spans="1:26" s="569" customFormat="1" ht="16" customHeight="1">
      <c r="A67" s="80">
        <v>64</v>
      </c>
      <c r="B67" s="1617" t="s">
        <v>1249</v>
      </c>
      <c r="C67" s="239">
        <v>903</v>
      </c>
      <c r="D67" s="2577">
        <f>IF(Flag=TRUE,F67-TBIn!E1447,TBIn!D1447)</f>
        <v>0</v>
      </c>
      <c r="E67" s="2067"/>
      <c r="F67" s="2582">
        <f>TBIn!E1447</f>
        <v>0</v>
      </c>
      <c r="G67" s="2082"/>
      <c r="H67" s="2586" t="s">
        <v>15707</v>
      </c>
      <c r="I67" s="2088"/>
      <c r="J67" s="2590"/>
      <c r="K67" s="2094">
        <v>953</v>
      </c>
      <c r="L67" s="2577">
        <f>IF(Flag=TRUE,N67-TBIn!E1451,TBIn!D1451)</f>
        <v>0</v>
      </c>
      <c r="M67" s="2099"/>
      <c r="N67" s="2582">
        <f>TBIn!E1451</f>
        <v>0</v>
      </c>
      <c r="O67" s="2082"/>
      <c r="P67" s="981"/>
      <c r="Q67" s="982"/>
      <c r="R67" s="80">
        <v>64</v>
      </c>
      <c r="S67" s="568"/>
      <c r="T67" s="568"/>
    </row>
    <row r="68" spans="1:26" s="569" customFormat="1" ht="16" customHeight="1">
      <c r="A68" s="80">
        <v>65</v>
      </c>
      <c r="B68" s="1617" t="s">
        <v>1250</v>
      </c>
      <c r="C68" s="239">
        <v>905</v>
      </c>
      <c r="D68" s="2577">
        <f>IF(Flag=TRUE,F68-TBIn!E1448,TBIn!D1448)</f>
        <v>51923</v>
      </c>
      <c r="E68" s="2164"/>
      <c r="F68" s="2582">
        <f>TBIn!E1448</f>
        <v>55961</v>
      </c>
      <c r="G68" s="2165"/>
      <c r="H68" s="2587" t="s">
        <v>15708</v>
      </c>
      <c r="I68" s="2089"/>
      <c r="J68" s="2591"/>
      <c r="K68" s="2094">
        <v>955</v>
      </c>
      <c r="L68" s="2577">
        <f>IF(Flag=TRUE,N68-TBIn!E1452,TBIn!D1452)</f>
        <v>18</v>
      </c>
      <c r="M68" s="2164"/>
      <c r="N68" s="2582">
        <f>TBIn!E1452</f>
        <v>42</v>
      </c>
      <c r="O68" s="2165"/>
      <c r="P68" s="981"/>
      <c r="Q68" s="2166"/>
      <c r="R68" s="80">
        <v>65</v>
      </c>
      <c r="S68" s="568"/>
      <c r="T68" s="568"/>
    </row>
    <row r="69" spans="1:26" s="569" customFormat="1" ht="16" customHeight="1">
      <c r="A69" s="80">
        <v>66</v>
      </c>
      <c r="B69" s="1611" t="s">
        <v>15709</v>
      </c>
      <c r="C69" s="193">
        <v>909</v>
      </c>
      <c r="D69" s="2579">
        <f>IF(Flag=TRUE,F69-TBIn!E1449,TBIn!D1449)</f>
        <v>1346</v>
      </c>
      <c r="E69" s="2167"/>
      <c r="F69" s="2584">
        <f>TBIn!E1449</f>
        <v>228767</v>
      </c>
      <c r="G69" s="2168"/>
      <c r="H69" s="2588"/>
      <c r="I69" s="2169"/>
      <c r="J69" s="2592"/>
      <c r="K69" s="2171"/>
      <c r="L69" s="2576"/>
      <c r="M69" s="2170"/>
      <c r="N69" s="2581"/>
      <c r="O69" s="2168"/>
      <c r="P69" s="981"/>
      <c r="Q69" s="2166"/>
      <c r="R69" s="80">
        <v>66</v>
      </c>
      <c r="S69" s="568"/>
      <c r="T69" s="568"/>
    </row>
    <row r="70" spans="1:26" s="569" customFormat="1" ht="16" customHeight="1">
      <c r="A70" s="80">
        <v>67</v>
      </c>
      <c r="B70" s="240" t="s">
        <v>1191</v>
      </c>
      <c r="C70" s="241"/>
      <c r="D70" s="2143">
        <f>IF(Flag=TRUE,F70-TBIn!E1450,TBIn!D1450)</f>
        <v>0</v>
      </c>
      <c r="E70" s="2068"/>
      <c r="F70" s="2144">
        <f>TBIn!E1450</f>
        <v>2</v>
      </c>
      <c r="G70" s="2083"/>
      <c r="H70" s="2154"/>
      <c r="I70" s="2090"/>
      <c r="J70" s="2155"/>
      <c r="K70" s="2095"/>
      <c r="L70" s="2593"/>
      <c r="M70" s="2100"/>
      <c r="N70" s="2595"/>
      <c r="O70" s="2172"/>
      <c r="P70" s="981"/>
      <c r="Q70" s="982"/>
      <c r="R70" s="80">
        <v>67</v>
      </c>
      <c r="S70" s="568"/>
      <c r="T70" s="568"/>
    </row>
    <row r="71" spans="1:26" s="569" customFormat="1">
      <c r="A71" s="179">
        <v>68</v>
      </c>
      <c r="B71" s="1209"/>
      <c r="C71" s="879"/>
      <c r="D71" s="941"/>
      <c r="E71" s="2069"/>
      <c r="F71" s="941"/>
      <c r="G71" s="2084"/>
      <c r="H71" s="242"/>
      <c r="I71" s="2091"/>
      <c r="J71" s="493" t="s">
        <v>15710</v>
      </c>
      <c r="K71" s="2096"/>
      <c r="L71" s="761">
        <f>IF(Flag=TRUE,SUM(D66:D70)-SUM(L67:L68),TBIn!D1453)</f>
        <v>53251</v>
      </c>
      <c r="M71" s="2101"/>
      <c r="N71" s="2145">
        <f>IF(Flag=TRUE,SUM(F66:F70)-SUM(N67:N68),TBIn!E1453)</f>
        <v>284688</v>
      </c>
      <c r="O71" s="2105"/>
      <c r="P71" s="983"/>
      <c r="Q71" s="984"/>
      <c r="R71" s="179">
        <v>68</v>
      </c>
    </row>
    <row r="72" spans="1:26" s="569" customFormat="1" hidden="1">
      <c r="E72" s="1923"/>
      <c r="G72" s="1923"/>
      <c r="I72" s="1923"/>
      <c r="K72" s="1923"/>
      <c r="M72" s="1923"/>
      <c r="O72" s="1923"/>
    </row>
    <row r="73" spans="1:26" s="569" customFormat="1" hidden="1">
      <c r="B73" s="30"/>
      <c r="C73" s="30"/>
      <c r="D73" s="745"/>
      <c r="E73" s="2070"/>
      <c r="F73" s="745"/>
      <c r="G73" s="2070"/>
      <c r="H73" s="745"/>
      <c r="I73" s="2070"/>
      <c r="J73" s="745"/>
      <c r="K73" s="2070"/>
      <c r="L73" s="745"/>
      <c r="M73" s="2070"/>
      <c r="N73" s="745"/>
      <c r="O73" s="2070"/>
    </row>
    <row r="74" spans="1:26" s="569" customFormat="1" hidden="1">
      <c r="E74" s="1923"/>
      <c r="G74" s="1923"/>
      <c r="I74" s="1923"/>
      <c r="K74" s="1923"/>
      <c r="M74" s="1923"/>
      <c r="N74" s="682"/>
      <c r="O74" s="2106"/>
    </row>
    <row r="75" spans="1:26" s="569" customFormat="1" hidden="1">
      <c r="E75" s="1923"/>
      <c r="G75" s="1923"/>
      <c r="I75" s="1923"/>
      <c r="K75" s="1923"/>
      <c r="M75" s="1923"/>
      <c r="O75" s="1923"/>
    </row>
    <row r="76" spans="1:26" hidden="1">
      <c r="A76" s="569"/>
      <c r="B76" s="30" t="s">
        <v>87</v>
      </c>
      <c r="C76" s="30" t="s">
        <v>88</v>
      </c>
      <c r="D76" s="30" t="s">
        <v>89</v>
      </c>
      <c r="E76" s="1923"/>
      <c r="F76" s="569"/>
      <c r="G76" s="1923"/>
      <c r="H76" s="569"/>
      <c r="I76" s="1923"/>
      <c r="J76" s="569"/>
      <c r="K76" s="1923"/>
      <c r="L76" s="569"/>
      <c r="M76" s="1923"/>
      <c r="N76" s="569"/>
      <c r="O76" s="1923"/>
      <c r="P76" s="569"/>
      <c r="Q76" s="569"/>
      <c r="R76" s="569"/>
      <c r="S76" s="3"/>
      <c r="T76" s="3"/>
      <c r="U76" s="3"/>
      <c r="V76" s="3"/>
      <c r="W76" s="3"/>
      <c r="X76" s="3"/>
      <c r="Y76" s="3"/>
      <c r="Z76" s="3"/>
    </row>
    <row r="77" spans="1:26" hidden="1">
      <c r="A77" s="3"/>
      <c r="B77" s="30" t="s">
        <v>90</v>
      </c>
      <c r="C77" s="30" t="s">
        <v>88</v>
      </c>
      <c r="D77" s="30" t="s">
        <v>91</v>
      </c>
      <c r="E77" s="2071"/>
      <c r="F77" s="3"/>
      <c r="G77" s="2071"/>
      <c r="H77" s="3"/>
      <c r="I77" s="2071"/>
      <c r="J77" s="3"/>
      <c r="K77" s="2071"/>
      <c r="L77" s="3"/>
      <c r="M77" s="2071"/>
      <c r="N77" s="3"/>
      <c r="O77" s="2071"/>
      <c r="P77" s="3"/>
      <c r="Q77" s="3"/>
      <c r="R77" s="3"/>
      <c r="S77" s="3"/>
      <c r="T77" s="3"/>
      <c r="U77" s="3"/>
      <c r="V77" s="3"/>
      <c r="W77" s="3"/>
      <c r="X77" s="3"/>
      <c r="Y77" s="3"/>
      <c r="Z77" s="3"/>
    </row>
    <row r="78" spans="1:26" hidden="1">
      <c r="A78" s="3"/>
      <c r="B78" s="3"/>
      <c r="C78" s="3"/>
      <c r="D78" s="3"/>
      <c r="E78" s="2071"/>
      <c r="F78" s="3"/>
      <c r="G78" s="2071"/>
      <c r="H78" s="3"/>
      <c r="I78" s="2071"/>
      <c r="J78" s="3"/>
      <c r="K78" s="2071"/>
      <c r="L78" s="3"/>
      <c r="M78" s="2071"/>
      <c r="N78" s="3"/>
      <c r="O78" s="2071"/>
      <c r="P78" s="3"/>
      <c r="Q78" s="3"/>
      <c r="R78" s="3"/>
    </row>
  </sheetData>
  <sheetProtection algorithmName="SHA-512" hashValue="f+l+4olz4dAQ0E9qiKTYITz02a3sloSJgzp2DKoIj9E+r1cVSJ1ncgTHQvUxpAH4aou3xpi4TvvXcXjNWK1Wtg==" saltValue="ys5AmlmygO1wqUiFhooywA==" spinCount="100000" sheet="1" objects="1" scenarios="1"/>
  <customSheetViews>
    <customSheetView guid="{42A0DCD3-5C27-4BB4-A491-D2E7F84D8A17}" scale="80" showGridLines="0" fitToPage="1" printArea="1" hiddenRows="1" hiddenColumns="1" showRuler="0">
      <selection activeCell="E13" sqref="E13"/>
      <pageMargins left="0" right="0" top="0" bottom="0" header="0" footer="0"/>
      <pageSetup scale="60" orientation="portrait" horizontalDpi="180" verticalDpi="180" r:id="rId1"/>
      <headerFooter alignWithMargins="0"/>
    </customSheetView>
    <customSheetView guid="{EB281BD4-ABCF-428C-A6C2-8158A21EF819}" scale="80" showGridLines="0" fitToPage="1" printArea="1" hiddenColumns="1" showRuler="0" topLeftCell="A61">
      <selection activeCell="B75" sqref="B75"/>
      <pageMargins left="0" right="0" top="0" bottom="0" header="0" footer="0"/>
      <pageSetup scale="63" orientation="portrait" horizontalDpi="180" verticalDpi="180" r:id="rId2"/>
      <headerFooter alignWithMargins="0"/>
    </customSheetView>
    <customSheetView guid="{FA29746F-8847-4779-9FAE-66945DB06B8D}" scale="80" showGridLines="0" showRowCol="0" fitToPage="1" hiddenRows="1" hiddenColumns="1" showRuler="0">
      <pane xSplit="3" ySplit="3" topLeftCell="D4" activePane="bottomRight" state="frozen"/>
      <selection pane="bottomRight"/>
      <pageMargins left="0" right="0" top="0" bottom="0" header="0" footer="0"/>
      <pageSetup scale="53" orientation="portrait" horizontalDpi="180" verticalDpi="180"/>
      <headerFooter alignWithMargins="0"/>
    </customSheetView>
  </customSheetViews>
  <phoneticPr fontId="7" type="noConversion"/>
  <dataValidations count="2">
    <dataValidation type="whole" allowBlank="1" showInputMessage="1" showErrorMessage="1" errorTitle="Erreur d'Entrée!" error="Seulement des valeurs numériques peuvent être enregistrées dans ce champ!_x000a_" sqref="D7:D9 F7:F9 H7:H9 J7:J9 L7:L9 D11:D19 F11:F19 H11:H19 J11:J19 L11:L19 D21:D27 F21:F27 H21:H27 J21:J27 L21:L27 D29:D42 F29:F42 H29:H42 J29:J42 L29:L42 D44:D51 F44:F51 H44:H51 J44:J51 L44:L51 D53:D57 F53:F57 H53:H57 J53:J57 L53:L57 N7:N9 D64 F64 H64 J64 L71 N71 L64 N53:N57 N44:N51 N29:N42 N21:N27 N11:N19 N64 L67:L69 N67:N69 D66:F70" xr:uid="{00000000-0002-0000-0200-000000000000}">
      <formula1>-999999999999</formula1>
      <formula2>9999999999999</formula2>
    </dataValidation>
    <dataValidation type="whole" allowBlank="1" showInputMessage="1" showErrorMessage="1" errorTitle="Erreur d'Entrée!" error="Seulement des valeurs numériques peuvent être enregistrées dans ce champ!_x000a_" promptTitle="PRORATA DES FRAIS D'A.et G." prompt="Ce montant devrait être négatif !" sqref="N63 D63 F63 H63 J63 L63" xr:uid="{00000000-0002-0000-0200-000001000000}">
      <formula1>-999999999999</formula1>
      <formula2>9999999999999</formula2>
    </dataValidation>
  </dataValidations>
  <hyperlinks>
    <hyperlink ref="B7" r:id="rId3" tooltip="Lien au Manuel des méthodes comptables GM" xr:uid="{00000000-0004-0000-0200-000000000000}"/>
    <hyperlink ref="B8" r:id="rId4" tooltip="Lien au Manuel des méthodes comptables GM" xr:uid="{00000000-0004-0000-0200-000001000000}"/>
    <hyperlink ref="B9" r:id="rId5" tooltip="Lien au Manuel des méthodes comptables GM" xr:uid="{00000000-0004-0000-0200-000002000000}"/>
    <hyperlink ref="B11" r:id="rId6" tooltip="Lien au Manuel des méthodes comptables GM" xr:uid="{00000000-0004-0000-0200-000003000000}"/>
    <hyperlink ref="B12" r:id="rId7" tooltip="Lien au Manuel des méthodes comptables GM" xr:uid="{00000000-0004-0000-0200-000004000000}"/>
    <hyperlink ref="B13" r:id="rId8" tooltip="Lien au Manuel des méthodes comptables GM" xr:uid="{00000000-0004-0000-0200-000005000000}"/>
    <hyperlink ref="B14" r:id="rId9" tooltip="Lien au Manuel des méthodes comptables GM" xr:uid="{00000000-0004-0000-0200-000006000000}"/>
    <hyperlink ref="B15" r:id="rId10" tooltip="Lien au Manuel des méthodes comptables GM" xr:uid="{00000000-0004-0000-0200-000007000000}"/>
    <hyperlink ref="B16" r:id="rId11" tooltip="Lien au Manuel des méthodes comptables GM" xr:uid="{00000000-0004-0000-0200-000008000000}"/>
    <hyperlink ref="B17" r:id="rId12" tooltip="Lien au Manuel des méthodes comptables GM" xr:uid="{00000000-0004-0000-0200-000009000000}"/>
    <hyperlink ref="B18" r:id="rId13" tooltip="Lien au Manuel des méthodes comptables GM" xr:uid="{00000000-0004-0000-0200-00000A000000}"/>
    <hyperlink ref="B19" r:id="rId14" tooltip="Lien au Manuel des méthodes comptables GM" xr:uid="{00000000-0004-0000-0200-00000B000000}"/>
    <hyperlink ref="B21" r:id="rId15" tooltip="Lien au Manuel des méthodes comptables GM" xr:uid="{00000000-0004-0000-0200-00000C000000}"/>
    <hyperlink ref="B22" r:id="rId16" tooltip="Lien au Manuel des méthodes comptables GM" xr:uid="{00000000-0004-0000-0200-00000D000000}"/>
    <hyperlink ref="B23" r:id="rId17" tooltip="Lien au Manuel des méthodes comptables GM" xr:uid="{00000000-0004-0000-0200-00000E000000}"/>
    <hyperlink ref="B24" r:id="rId18" tooltip="Lien au Manuel des méthodes comptables GM" xr:uid="{00000000-0004-0000-0200-00000F000000}"/>
    <hyperlink ref="B25" r:id="rId19" tooltip="Lien au Manuel des méthodes comptables GM" xr:uid="{00000000-0004-0000-0200-000010000000}"/>
    <hyperlink ref="B26" r:id="rId20" tooltip="Lien au Manuel des méthodes comptables GM" xr:uid="{00000000-0004-0000-0200-000011000000}"/>
    <hyperlink ref="B27" r:id="rId21" tooltip="Lien au Manuel des méthodes comptables GM" xr:uid="{00000000-0004-0000-0200-000012000000}"/>
    <hyperlink ref="B29" r:id="rId22" tooltip="Lien au Manuel des méthodes comptables GM" xr:uid="{00000000-0004-0000-0200-000013000000}"/>
    <hyperlink ref="B30" r:id="rId23" tooltip="Lien au Manuel des méthodes comptables GM" xr:uid="{00000000-0004-0000-0200-000014000000}"/>
    <hyperlink ref="B31" r:id="rId24" tooltip="Lien au Manuel des méthodes comptables GM" xr:uid="{00000000-0004-0000-0200-000015000000}"/>
    <hyperlink ref="B32" r:id="rId25" tooltip="Lien au Manuel des méthodes comptables GM" xr:uid="{00000000-0004-0000-0200-000016000000}"/>
    <hyperlink ref="B33" r:id="rId26" tooltip="Lien au Manuel des méthodes comptables GM" xr:uid="{00000000-0004-0000-0200-000017000000}"/>
    <hyperlink ref="B34" r:id="rId27" tooltip="Lien au Manuel des méthodes comptables GM" xr:uid="{00000000-0004-0000-0200-000018000000}"/>
    <hyperlink ref="B35" r:id="rId28" tooltip="Lien au Manuel des méthodes comptables GM" xr:uid="{00000000-0004-0000-0200-000019000000}"/>
    <hyperlink ref="B36" r:id="rId29" tooltip="Lien au Manuel des méthodes comptables GM" xr:uid="{00000000-0004-0000-0200-00001A000000}"/>
    <hyperlink ref="B37" r:id="rId30" tooltip="Lien au Manuel des méthodes comptables GM" xr:uid="{00000000-0004-0000-0200-00001B000000}"/>
    <hyperlink ref="B38" r:id="rId31" tooltip="Lien au Manuel des méthodes comptables GM" xr:uid="{00000000-0004-0000-0200-00001C000000}"/>
    <hyperlink ref="B39" r:id="rId32" tooltip="Lien au Manuel des méthodes comptables GM" xr:uid="{00000000-0004-0000-0200-00001D000000}"/>
    <hyperlink ref="B40" r:id="rId33" tooltip="Lien au Manuel des méthodes comptables GM" xr:uid="{00000000-0004-0000-0200-00001E000000}"/>
    <hyperlink ref="B41" r:id="rId34" tooltip="Lien au Manuel des méthodes comptables GM" xr:uid="{00000000-0004-0000-0200-00001F000000}"/>
    <hyperlink ref="B42" r:id="rId35" tooltip="Lien au Manuel des méthodes comptables GM" xr:uid="{00000000-0004-0000-0200-000020000000}"/>
    <hyperlink ref="B44" r:id="rId36" tooltip="Lien au Manuel des méthodes comptables GM" xr:uid="{00000000-0004-0000-0200-000021000000}"/>
    <hyperlink ref="B45" r:id="rId37" tooltip="Lien au Manuel des méthodes comptables GM" xr:uid="{00000000-0004-0000-0200-000022000000}"/>
    <hyperlink ref="B46" r:id="rId38" tooltip="Lien au Manuel des méthodes comptables GM" xr:uid="{00000000-0004-0000-0200-000023000000}"/>
    <hyperlink ref="B47" r:id="rId39" tooltip="Lien au Manuel des méthodes comptables GM" xr:uid="{00000000-0004-0000-0200-000024000000}"/>
    <hyperlink ref="B48" r:id="rId40" tooltip="Lien au Manuel des méthodes comptables GM" xr:uid="{00000000-0004-0000-0200-000025000000}"/>
    <hyperlink ref="B49" r:id="rId41" tooltip="Lien au Manuel des méthodes comptables GM" xr:uid="{00000000-0004-0000-0200-000026000000}"/>
    <hyperlink ref="B50" r:id="rId42" tooltip="Lien au Manuel des méthodes comptables GM" xr:uid="{00000000-0004-0000-0200-000027000000}"/>
    <hyperlink ref="B51" r:id="rId43" tooltip="Lien au Manuel des méthodes comptables GM" xr:uid="{00000000-0004-0000-0200-000028000000}"/>
    <hyperlink ref="B53" r:id="rId44" tooltip="Lien au Manuel des méthodes comptables GM" xr:uid="{00000000-0004-0000-0200-000029000000}"/>
    <hyperlink ref="B54" r:id="rId45" tooltip="Lien au Manuel des méthodes comptables GM" xr:uid="{00000000-0004-0000-0200-00002A000000}"/>
    <hyperlink ref="B55" r:id="rId46" tooltip="Lien au Manuel des méthodes comptables GM" xr:uid="{00000000-0004-0000-0200-00002B000000}"/>
    <hyperlink ref="B56" r:id="rId47" tooltip="Lien au Manuel des méthodes comptables GM" xr:uid="{00000000-0004-0000-0200-00002C000000}"/>
    <hyperlink ref="B57" r:id="rId48" tooltip="Lien au Manuel des méthodes comptables GM" xr:uid="{00000000-0004-0000-0200-00002D000000}"/>
    <hyperlink ref="B63" r:id="rId49" tooltip="Lien au Manuel des méthodes comptables GM" xr:uid="{00000000-0004-0000-0200-00002E000000}"/>
    <hyperlink ref="B66" r:id="rId50" tooltip="Lien au Manuel des méthodes comptables GM" xr:uid="{00000000-0004-0000-0200-00002F000000}"/>
    <hyperlink ref="J66" r:id="rId51" tooltip="Lien au Manuel des méthodes comptables GM" display="http://gm-ca-fr.acctmanual.com/AddDed/953_Escomptes_de_caisse.htm" xr:uid="{00000000-0004-0000-0200-000030000000}"/>
    <hyperlink ref="B67" r:id="rId52" tooltip="Lien au Manuel des méthodes comptables GM" xr:uid="{00000000-0004-0000-0200-000031000000}"/>
    <hyperlink ref="H67" r:id="rId53" tooltip="Lien au Manuel des méthodes comptables GM" xr:uid="{00000000-0004-0000-0200-000032000000}"/>
    <hyperlink ref="J67" r:id="rId54" tooltip="Lien au Manuel des méthodes comptables GM" display="http://gm-ca-fr.acctmanual.com/AddDed/953_Escomptes_de_caisse.htm" xr:uid="{00000000-0004-0000-0200-000033000000}"/>
    <hyperlink ref="B68" r:id="rId55" tooltip="Lien au Manuel des méthodes comptables GM" xr:uid="{00000000-0004-0000-0200-000034000000}"/>
    <hyperlink ref="H68" r:id="rId56" tooltip="Lien au Manuel des méthodes comptables GM" xr:uid="{00000000-0004-0000-0200-000035000000}"/>
    <hyperlink ref="J68" r:id="rId57" tooltip="Lien au Manuel des méthodes comptables GM" display="http://gm-ca-fr.acctmanual.com/AddDed/955_Autres_d_ductions.htm" xr:uid="{00000000-0004-0000-0200-000036000000}"/>
  </hyperlinks>
  <pageMargins left="0" right="0" top="0" bottom="0" header="0" footer="0"/>
  <pageSetup scale="60" orientation="portrait" horizontalDpi="180" verticalDpi="180" r:id="rId58"/>
  <headerFooter alignWithMargins="0"/>
  <drawing r:id="rId59"/>
  <legacyDrawing r:id="rId60"/>
  <controls>
    <mc:AlternateContent xmlns:mc="http://schemas.openxmlformats.org/markup-compatibility/2006">
      <mc:Choice Requires="x14">
        <control shapeId="8205" r:id="rId61" name="CommandButton2">
          <controlPr defaultSize="0" print="0" autoFill="0" autoLine="0" r:id="rId62">
            <anchor moveWithCells="1">
              <from>
                <xdr:col>1</xdr:col>
                <xdr:colOff>146050</xdr:colOff>
                <xdr:row>1</xdr:row>
                <xdr:rowOff>31750</xdr:rowOff>
              </from>
              <to>
                <xdr:col>1</xdr:col>
                <xdr:colOff>2228850</xdr:colOff>
                <xdr:row>2</xdr:row>
                <xdr:rowOff>95250</xdr:rowOff>
              </to>
            </anchor>
          </controlPr>
        </control>
      </mc:Choice>
      <mc:Fallback>
        <control shapeId="8205" r:id="rId61" name="CommandButton2"/>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W80"/>
  <sheetViews>
    <sheetView showGridLines="0" showRowColHeaders="0" workbookViewId="0"/>
  </sheetViews>
  <sheetFormatPr baseColWidth="10" defaultColWidth="0" defaultRowHeight="12.5" zeroHeight="1"/>
  <cols>
    <col min="1" max="1" width="3.81640625" style="569" customWidth="1"/>
    <col min="2" max="2" width="34" style="569" customWidth="1"/>
    <col min="3" max="3" width="3.81640625" style="569" customWidth="1"/>
    <col min="4" max="4" width="14.81640625" style="569" customWidth="1"/>
    <col min="5" max="5" width="4.81640625" style="1923" customWidth="1"/>
    <col min="6" max="6" width="14.81640625" style="569" customWidth="1"/>
    <col min="7" max="7" width="4.81640625" style="1923" customWidth="1"/>
    <col min="8" max="8" width="14.81640625" style="569" customWidth="1"/>
    <col min="9" max="9" width="4.81640625" style="1923" customWidth="1"/>
    <col min="10" max="10" width="14.81640625" style="569" customWidth="1"/>
    <col min="11" max="11" width="4.81640625" style="1923" customWidth="1"/>
    <col min="12" max="12" width="14.81640625" style="569" customWidth="1"/>
    <col min="13" max="13" width="4.81640625" style="1923" customWidth="1"/>
    <col min="14" max="14" width="14.81640625" style="569" customWidth="1"/>
    <col min="15" max="15" width="4.81640625" style="1923" customWidth="1"/>
    <col min="16" max="16" width="14.81640625" style="569" customWidth="1"/>
    <col min="17" max="17" width="4.81640625" style="1923" customWidth="1"/>
    <col min="18" max="18" width="14.81640625" style="569" customWidth="1"/>
    <col min="19" max="19" width="4.81640625" style="1923" customWidth="1"/>
    <col min="20" max="20" width="3.81640625" style="569" customWidth="1"/>
    <col min="21" max="21" width="9.1796875" style="569" hidden="1" customWidth="1"/>
    <col min="22" max="22" width="9.81640625" style="569" hidden="1" customWidth="1"/>
    <col min="23" max="23" width="19.54296875" style="569" hidden="1" customWidth="1"/>
    <col min="24" max="24" width="0" style="569" hidden="1" customWidth="1"/>
    <col min="25" max="16384" width="0" style="569" hidden="1"/>
  </cols>
  <sheetData>
    <row r="1" spans="1:23" ht="21" customHeight="1">
      <c r="A1" s="76"/>
      <c r="B1" s="59" t="s">
        <v>0</v>
      </c>
      <c r="C1" s="60"/>
      <c r="D1" s="60"/>
      <c r="E1" s="1890"/>
      <c r="F1" s="60"/>
      <c r="G1" s="1890"/>
      <c r="H1" s="60"/>
      <c r="I1" s="1890"/>
      <c r="J1" s="60"/>
      <c r="K1" s="1890"/>
      <c r="L1" s="60"/>
      <c r="M1" s="1890"/>
      <c r="N1" s="60"/>
      <c r="O1" s="1890"/>
      <c r="P1" s="181"/>
      <c r="Q1" s="2107"/>
      <c r="R1" s="568"/>
      <c r="S1" s="1916"/>
      <c r="T1" s="62" t="str">
        <f>TBIn!$E$2458&amp;" - "&amp;TBIn!$AH$10&amp;" - PAGE 4"</f>
        <v>319719 - 202504 - PAGE 4</v>
      </c>
      <c r="U1" s="568"/>
      <c r="V1" s="568"/>
      <c r="W1" s="568"/>
    </row>
    <row r="2" spans="1:23" ht="16" customHeight="1">
      <c r="A2" s="67" t="s">
        <v>1</v>
      </c>
      <c r="B2" s="220"/>
      <c r="C2" s="221"/>
      <c r="D2" s="1114" t="s">
        <v>2</v>
      </c>
      <c r="E2" s="1891"/>
      <c r="F2" s="1199"/>
      <c r="G2" s="1891"/>
      <c r="H2" s="1114" t="s">
        <v>3</v>
      </c>
      <c r="I2" s="1891"/>
      <c r="J2" s="1199"/>
      <c r="K2" s="1891"/>
      <c r="L2" s="1114" t="s">
        <v>4</v>
      </c>
      <c r="M2" s="1891"/>
      <c r="N2" s="1199"/>
      <c r="O2" s="1891"/>
      <c r="P2" s="1114" t="s">
        <v>5</v>
      </c>
      <c r="Q2" s="1891"/>
      <c r="R2" s="1199"/>
      <c r="S2" s="2118"/>
      <c r="T2" s="67" t="s">
        <v>1</v>
      </c>
      <c r="U2" s="568"/>
      <c r="V2" s="568"/>
      <c r="W2" s="568"/>
    </row>
    <row r="3" spans="1:23" ht="16" customHeight="1">
      <c r="A3" s="71" t="s">
        <v>6</v>
      </c>
      <c r="B3" s="138"/>
      <c r="C3" s="139"/>
      <c r="D3" s="1222" t="s">
        <v>7</v>
      </c>
      <c r="E3" s="1892"/>
      <c r="F3" s="1223" t="s">
        <v>8</v>
      </c>
      <c r="G3" s="1924"/>
      <c r="H3" s="1222" t="s">
        <v>7</v>
      </c>
      <c r="I3" s="1892"/>
      <c r="J3" s="1223" t="s">
        <v>8</v>
      </c>
      <c r="K3" s="1924"/>
      <c r="L3" s="1222" t="s">
        <v>7</v>
      </c>
      <c r="M3" s="1892"/>
      <c r="N3" s="1223" t="s">
        <v>8</v>
      </c>
      <c r="O3" s="1924"/>
      <c r="P3" s="1222" t="s">
        <v>7</v>
      </c>
      <c r="Q3" s="1892"/>
      <c r="R3" s="1223" t="s">
        <v>8</v>
      </c>
      <c r="S3" s="1924"/>
      <c r="T3" s="71" t="s">
        <v>6</v>
      </c>
      <c r="U3" s="568"/>
      <c r="V3" s="568"/>
      <c r="W3" s="568"/>
    </row>
    <row r="4" spans="1:23" ht="16" customHeight="1">
      <c r="A4" s="74">
        <v>1</v>
      </c>
      <c r="B4" s="1185" t="s">
        <v>9</v>
      </c>
      <c r="C4" s="1203"/>
      <c r="D4" s="665">
        <f>Page6!G43</f>
        <v>141732</v>
      </c>
      <c r="E4" s="1893" t="s">
        <v>10</v>
      </c>
      <c r="F4" s="666">
        <f>Page6!L43</f>
        <v>483083</v>
      </c>
      <c r="G4" s="1925" t="s">
        <v>11</v>
      </c>
      <c r="H4" s="665">
        <f>Page6!G52</f>
        <v>125390</v>
      </c>
      <c r="I4" s="1893" t="s">
        <v>10</v>
      </c>
      <c r="J4" s="666">
        <f>Page6!L52</f>
        <v>453258</v>
      </c>
      <c r="K4" s="1925" t="s">
        <v>11</v>
      </c>
      <c r="L4" s="665">
        <f>Page6!G77</f>
        <v>164865</v>
      </c>
      <c r="M4" s="1893" t="s">
        <v>10</v>
      </c>
      <c r="N4" s="666">
        <f>Page6!L77</f>
        <v>657456</v>
      </c>
      <c r="O4" s="1925" t="s">
        <v>11</v>
      </c>
      <c r="P4" s="987"/>
      <c r="Q4" s="1895"/>
      <c r="R4" s="988"/>
      <c r="S4" s="2119"/>
      <c r="T4" s="74">
        <v>1</v>
      </c>
      <c r="U4" s="568"/>
      <c r="V4" s="568"/>
      <c r="W4" s="568"/>
    </row>
    <row r="5" spans="1:23" ht="16" customHeight="1">
      <c r="A5" s="80">
        <v>2</v>
      </c>
      <c r="B5" s="1204" t="s">
        <v>12</v>
      </c>
      <c r="C5" s="609"/>
      <c r="D5" s="667">
        <f>Page6!I43</f>
        <v>84465</v>
      </c>
      <c r="E5" s="1894">
        <f>IFERROR(D5/D4,0)</f>
        <v>0.59594869189738375</v>
      </c>
      <c r="F5" s="668">
        <f>Page6!N43</f>
        <v>277137</v>
      </c>
      <c r="G5" s="1926">
        <f>IFERROR(F5/F4,0)</f>
        <v>0.57368402531242046</v>
      </c>
      <c r="H5" s="667">
        <f>Page6!I52</f>
        <v>47763</v>
      </c>
      <c r="I5" s="1894">
        <f>IFERROR(H5/H4,0)</f>
        <v>0.38091554350426671</v>
      </c>
      <c r="J5" s="668">
        <f>Page6!N52</f>
        <v>174275</v>
      </c>
      <c r="K5" s="1939">
        <f>IFERROR(J5/J4,0)</f>
        <v>0.38449404092150608</v>
      </c>
      <c r="L5" s="667">
        <f>Page6!I77</f>
        <v>49656</v>
      </c>
      <c r="M5" s="1894">
        <f>IFERROR(L5/L4,0)</f>
        <v>0.30119188426894733</v>
      </c>
      <c r="N5" s="668">
        <f>Page6!N77</f>
        <v>207673</v>
      </c>
      <c r="O5" s="1939">
        <f>IFERROR(N5/N4,0)</f>
        <v>0.31587360979289869</v>
      </c>
      <c r="P5" s="990"/>
      <c r="Q5" s="1896"/>
      <c r="R5" s="989"/>
      <c r="S5" s="2120"/>
      <c r="T5" s="80">
        <v>2</v>
      </c>
      <c r="U5" s="568"/>
      <c r="V5" s="568"/>
      <c r="W5" s="568"/>
    </row>
    <row r="6" spans="1:23" ht="15.75" customHeight="1">
      <c r="A6" s="80">
        <v>3</v>
      </c>
      <c r="B6" s="223" t="s">
        <v>13</v>
      </c>
      <c r="C6" s="224"/>
      <c r="D6" s="987"/>
      <c r="E6" s="1895"/>
      <c r="F6" s="988"/>
      <c r="G6" s="1895"/>
      <c r="H6" s="987"/>
      <c r="I6" s="1895"/>
      <c r="J6" s="988"/>
      <c r="K6" s="1895"/>
      <c r="L6" s="987"/>
      <c r="M6" s="1895"/>
      <c r="N6" s="988"/>
      <c r="O6" s="1895"/>
      <c r="P6" s="990"/>
      <c r="Q6" s="1896"/>
      <c r="R6" s="989"/>
      <c r="S6" s="2120"/>
      <c r="T6" s="80">
        <v>3</v>
      </c>
      <c r="U6" s="568"/>
      <c r="V6" s="568"/>
      <c r="W6" s="568"/>
    </row>
    <row r="7" spans="1:23" ht="15.75" customHeight="1">
      <c r="A7" s="80">
        <v>4</v>
      </c>
      <c r="B7" s="1205" t="s">
        <v>14</v>
      </c>
      <c r="C7" s="190">
        <v>11</v>
      </c>
      <c r="D7" s="990"/>
      <c r="E7" s="1896"/>
      <c r="F7" s="989"/>
      <c r="G7" s="1896"/>
      <c r="H7" s="990"/>
      <c r="I7" s="1896"/>
      <c r="J7" s="989"/>
      <c r="K7" s="1896"/>
      <c r="L7" s="990"/>
      <c r="M7" s="1896"/>
      <c r="N7" s="989"/>
      <c r="O7" s="1896"/>
      <c r="P7" s="990"/>
      <c r="Q7" s="1896"/>
      <c r="R7" s="989"/>
      <c r="S7" s="2120"/>
      <c r="T7" s="80">
        <v>4</v>
      </c>
      <c r="U7" s="568"/>
      <c r="V7" s="568"/>
      <c r="W7" s="568"/>
    </row>
    <row r="8" spans="1:23" ht="15.75" customHeight="1">
      <c r="A8" s="80">
        <v>5</v>
      </c>
      <c r="B8" s="192" t="s">
        <v>15</v>
      </c>
      <c r="C8" s="193">
        <v>13</v>
      </c>
      <c r="D8" s="990"/>
      <c r="E8" s="1896"/>
      <c r="F8" s="989"/>
      <c r="G8" s="1896"/>
      <c r="H8" s="990"/>
      <c r="I8" s="1896"/>
      <c r="J8" s="989"/>
      <c r="K8" s="1896"/>
      <c r="L8" s="990"/>
      <c r="M8" s="1896"/>
      <c r="N8" s="989"/>
      <c r="O8" s="1896"/>
      <c r="P8" s="990"/>
      <c r="Q8" s="1896"/>
      <c r="R8" s="989"/>
      <c r="S8" s="2120"/>
      <c r="T8" s="80">
        <v>5</v>
      </c>
      <c r="U8" s="568"/>
      <c r="V8" s="568"/>
      <c r="W8" s="568"/>
    </row>
    <row r="9" spans="1:23" ht="15.75" customHeight="1">
      <c r="A9" s="80">
        <v>6</v>
      </c>
      <c r="B9" s="88" t="s">
        <v>16</v>
      </c>
      <c r="C9" s="195">
        <v>15</v>
      </c>
      <c r="D9" s="990"/>
      <c r="E9" s="1897"/>
      <c r="F9" s="1027"/>
      <c r="G9" s="1897"/>
      <c r="H9" s="1031"/>
      <c r="I9" s="1897"/>
      <c r="J9" s="1027"/>
      <c r="K9" s="1897"/>
      <c r="L9" s="1031"/>
      <c r="M9" s="1897"/>
      <c r="N9" s="1027"/>
      <c r="O9" s="1897"/>
      <c r="P9" s="1031"/>
      <c r="Q9" s="2108" t="s">
        <v>17</v>
      </c>
      <c r="R9" s="1027"/>
      <c r="S9" s="2121" t="s">
        <v>17</v>
      </c>
      <c r="T9" s="80">
        <v>6</v>
      </c>
      <c r="U9" s="568"/>
      <c r="V9" s="568"/>
      <c r="W9" s="568"/>
    </row>
    <row r="10" spans="1:23" ht="15.75" customHeight="1">
      <c r="A10" s="80">
        <v>7</v>
      </c>
      <c r="B10" s="1178" t="s">
        <v>18</v>
      </c>
      <c r="C10" s="101"/>
      <c r="D10" s="991"/>
      <c r="E10" s="1898" t="s">
        <v>17</v>
      </c>
      <c r="F10" s="1008"/>
      <c r="G10" s="1927" t="s">
        <v>17</v>
      </c>
      <c r="H10" s="1229"/>
      <c r="I10" s="1898" t="s">
        <v>17</v>
      </c>
      <c r="J10" s="1008"/>
      <c r="K10" s="1927" t="s">
        <v>17</v>
      </c>
      <c r="L10" s="1229"/>
      <c r="M10" s="1898" t="s">
        <v>17</v>
      </c>
      <c r="N10" s="1008"/>
      <c r="O10" s="1927" t="s">
        <v>17</v>
      </c>
      <c r="P10" s="1230"/>
      <c r="Q10" s="2109" t="s">
        <v>19</v>
      </c>
      <c r="R10" s="1231"/>
      <c r="S10" s="2122" t="s">
        <v>19</v>
      </c>
      <c r="T10" s="80">
        <v>7</v>
      </c>
      <c r="U10" s="568"/>
      <c r="V10" s="568"/>
      <c r="W10" s="568"/>
    </row>
    <row r="11" spans="1:23" ht="15.75" customHeight="1">
      <c r="A11" s="80">
        <v>8</v>
      </c>
      <c r="B11" s="1634" t="s">
        <v>20</v>
      </c>
      <c r="C11" s="190">
        <v>20</v>
      </c>
      <c r="D11" s="2575">
        <f>IF(Flag=TRUE,F11-TBIn!E1279,TBIn!D1279)</f>
        <v>10186</v>
      </c>
      <c r="E11" s="1899">
        <f t="shared" ref="E11:E35" si="0">IFERROR(D11/(D$5+D$62),0)</f>
        <v>0.11098641271778333</v>
      </c>
      <c r="F11" s="2580">
        <f>TBIn!E1279</f>
        <v>40084</v>
      </c>
      <c r="G11" s="1928">
        <f t="shared" ref="G11:G35" si="1">IFERROR(F11/(F$5+F$62),0)</f>
        <v>0.13224940117587283</v>
      </c>
      <c r="H11" s="2575">
        <f>IF(Flag=TRUE,J11-TBIn!E1321,TBIn!D1321)</f>
        <v>3385</v>
      </c>
      <c r="I11" s="1899">
        <f t="shared" ref="I11:I35" si="2">IFERROR(H11/(H$5+H$62),0)</f>
        <v>7.0870757699474485E-2</v>
      </c>
      <c r="J11" s="2580">
        <f>TBIn!E1321</f>
        <v>13408</v>
      </c>
      <c r="K11" s="1940">
        <f t="shared" ref="K11:K35" si="3">IFERROR(J11/(J$5+J$62),0)</f>
        <v>7.6935877205565911E-2</v>
      </c>
      <c r="L11" s="2575">
        <f>IF(Flag=TRUE,N11-TBIn!E1363,TBIn!D1363)</f>
        <v>3385</v>
      </c>
      <c r="M11" s="1899">
        <f t="shared" ref="M11:M35" si="4">IFERROR(L11/(L$5+L$62),0)</f>
        <v>7.9940487436236538E-2</v>
      </c>
      <c r="N11" s="2580">
        <f>TBIn!E1363</f>
        <v>13351</v>
      </c>
      <c r="O11" s="1940">
        <f t="shared" ref="O11:O35" si="5">IFERROR(N11/(N$5+N$62),0)</f>
        <v>7.3471791146624402E-2</v>
      </c>
      <c r="P11" s="2575">
        <f>IF(Flag=TRUE,R11-TBIn!E1405,TBIn!D1405)</f>
        <v>0</v>
      </c>
      <c r="Q11" s="1899">
        <f>IFERROR(P11/Page2!G$5,0)</f>
        <v>0</v>
      </c>
      <c r="R11" s="2580">
        <f>TBIn!E1405</f>
        <v>0</v>
      </c>
      <c r="S11" s="1940">
        <f>IFERROR(R11/Page2!J$5,0)</f>
        <v>0</v>
      </c>
      <c r="T11" s="80">
        <v>8</v>
      </c>
      <c r="U11" s="568"/>
      <c r="V11" s="568"/>
      <c r="W11" s="568"/>
    </row>
    <row r="12" spans="1:23" ht="15.75" customHeight="1">
      <c r="A12" s="80">
        <v>9</v>
      </c>
      <c r="B12" s="1634" t="s">
        <v>21</v>
      </c>
      <c r="C12" s="201">
        <v>21</v>
      </c>
      <c r="D12" s="2575">
        <f>IF(Flag=TRUE,F12-TBIn!E1280,TBIn!D1280)</f>
        <v>14436</v>
      </c>
      <c r="E12" s="1900">
        <f t="shared" si="0"/>
        <v>0.15729431121086981</v>
      </c>
      <c r="F12" s="2580">
        <f>TBIn!E1280</f>
        <v>44884</v>
      </c>
      <c r="G12" s="1929">
        <f t="shared" si="1"/>
        <v>0.14808607230760093</v>
      </c>
      <c r="H12" s="2575">
        <f>IF(Flag=TRUE,J12-TBIn!E1322,TBIn!D1322)</f>
        <v>487</v>
      </c>
      <c r="I12" s="1900">
        <f t="shared" si="2"/>
        <v>1.0196176957058812E-2</v>
      </c>
      <c r="J12" s="2580">
        <f>TBIn!E1322</f>
        <v>2025</v>
      </c>
      <c r="K12" s="1941">
        <f t="shared" si="3"/>
        <v>1.1619566776646105E-2</v>
      </c>
      <c r="L12" s="2575">
        <f>IF(Flag=TRUE,N12-TBIn!E1364,TBIn!D1364)</f>
        <v>-760</v>
      </c>
      <c r="M12" s="1900">
        <f t="shared" si="4"/>
        <v>-1.794823351596448E-2</v>
      </c>
      <c r="N12" s="2580">
        <f>TBIn!E1364</f>
        <v>7633</v>
      </c>
      <c r="O12" s="1941">
        <f t="shared" si="5"/>
        <v>4.2005106870060975E-2</v>
      </c>
      <c r="P12" s="2575">
        <f>IF(Flag=TRUE,R12-TBIn!E1406,TBIn!D1406)</f>
        <v>0</v>
      </c>
      <c r="Q12" s="1901">
        <f>IFERROR(P12/Page2!G$5,0)</f>
        <v>0</v>
      </c>
      <c r="R12" s="2580">
        <f>TBIn!E1406</f>
        <v>0</v>
      </c>
      <c r="S12" s="1942">
        <f>IFERROR(R12/Page2!J$5,0)</f>
        <v>0</v>
      </c>
      <c r="T12" s="80">
        <v>9</v>
      </c>
      <c r="U12" s="568"/>
      <c r="V12" s="568"/>
      <c r="W12" s="568"/>
    </row>
    <row r="13" spans="1:23" ht="15.75" customHeight="1">
      <c r="A13" s="80">
        <v>10</v>
      </c>
      <c r="B13" s="1634" t="s">
        <v>22</v>
      </c>
      <c r="C13" s="201">
        <v>22</v>
      </c>
      <c r="D13" s="2575">
        <f>IF(Flag=TRUE,F13-TBIn!E1281,TBIn!D1281)</f>
        <v>13853</v>
      </c>
      <c r="E13" s="1901">
        <f t="shared" si="0"/>
        <v>0.15094195713522995</v>
      </c>
      <c r="F13" s="2580">
        <f>TBIn!E1281</f>
        <v>53609</v>
      </c>
      <c r="G13" s="1930">
        <f t="shared" si="1"/>
        <v>0.17687252139600257</v>
      </c>
      <c r="H13" s="2575">
        <f>IF(Flag=TRUE,J13-TBIn!E1323,TBIn!D1323)</f>
        <v>4083</v>
      </c>
      <c r="I13" s="1901">
        <f t="shared" si="2"/>
        <v>8.5484580114314423E-2</v>
      </c>
      <c r="J13" s="2580">
        <f>TBIn!E1323</f>
        <v>37528</v>
      </c>
      <c r="K13" s="1942">
        <f t="shared" si="3"/>
        <v>0.21533782814517285</v>
      </c>
      <c r="L13" s="2575">
        <f>IF(Flag=TRUE,N13-TBIn!E1365,TBIn!D1365)</f>
        <v>53</v>
      </c>
      <c r="M13" s="1901">
        <f t="shared" si="4"/>
        <v>1.2516531267712072E-3</v>
      </c>
      <c r="N13" s="2580">
        <f>TBIn!E1365</f>
        <v>763</v>
      </c>
      <c r="O13" s="1942">
        <f t="shared" si="5"/>
        <v>4.1988597591846614E-3</v>
      </c>
      <c r="P13" s="2575">
        <f>IF(Flag=TRUE,R13-TBIn!E1407,TBIn!D1407)</f>
        <v>0</v>
      </c>
      <c r="Q13" s="1901">
        <f>IFERROR(P13/Page2!G$5,0)</f>
        <v>0</v>
      </c>
      <c r="R13" s="2580">
        <f>TBIn!E1407</f>
        <v>0</v>
      </c>
      <c r="S13" s="1942">
        <f>IFERROR(R13/Page2!J$5,0)</f>
        <v>0</v>
      </c>
      <c r="T13" s="80">
        <v>10</v>
      </c>
      <c r="U13" s="568"/>
      <c r="V13" s="568"/>
      <c r="W13" s="568"/>
    </row>
    <row r="14" spans="1:23" ht="15.75" customHeight="1">
      <c r="A14" s="80">
        <v>11</v>
      </c>
      <c r="B14" s="1634" t="s">
        <v>23</v>
      </c>
      <c r="C14" s="201">
        <v>23</v>
      </c>
      <c r="D14" s="2575">
        <f>IF(Flag=TRUE,F14-TBIn!E1282,TBIn!D1282)</f>
        <v>13426</v>
      </c>
      <c r="E14" s="1901">
        <f t="shared" si="0"/>
        <v>0.14628937533368927</v>
      </c>
      <c r="F14" s="2580">
        <f>TBIn!E1282</f>
        <v>45597</v>
      </c>
      <c r="G14" s="1930">
        <f t="shared" si="1"/>
        <v>0.15043847783195971</v>
      </c>
      <c r="H14" s="2575">
        <f>IF(Flag=TRUE,J14-TBIn!E1324,TBIn!D1324)</f>
        <v>4401</v>
      </c>
      <c r="I14" s="1901">
        <f t="shared" si="2"/>
        <v>9.2142453363482188E-2</v>
      </c>
      <c r="J14" s="2580">
        <f>TBIn!E1324</f>
        <v>16807</v>
      </c>
      <c r="K14" s="1942">
        <f t="shared" si="3"/>
        <v>9.6439535217328939E-2</v>
      </c>
      <c r="L14" s="2575">
        <f>IF(Flag=TRUE,N14-TBIn!E1366,TBIn!D1366)</f>
        <v>8280</v>
      </c>
      <c r="M14" s="1901">
        <f t="shared" si="4"/>
        <v>0.19554128093708673</v>
      </c>
      <c r="N14" s="2580">
        <f>TBIn!E1366</f>
        <v>34120</v>
      </c>
      <c r="O14" s="1942">
        <f t="shared" si="5"/>
        <v>0.18776552422461423</v>
      </c>
      <c r="P14" s="2575">
        <f>IF(Flag=TRUE,R14-TBIn!E1408,TBIn!D1408)</f>
        <v>0</v>
      </c>
      <c r="Q14" s="1901">
        <f>IFERROR(P14/Page2!G$5,0)</f>
        <v>0</v>
      </c>
      <c r="R14" s="2580">
        <f>TBIn!E1408</f>
        <v>0</v>
      </c>
      <c r="S14" s="1942">
        <f>IFERROR(R14/Page2!J$5,0)</f>
        <v>0</v>
      </c>
      <c r="T14" s="80">
        <v>11</v>
      </c>
      <c r="U14" s="568"/>
      <c r="V14" s="568"/>
      <c r="W14" s="568"/>
    </row>
    <row r="15" spans="1:23" ht="15.75" customHeight="1">
      <c r="A15" s="80">
        <v>12</v>
      </c>
      <c r="B15" s="1635" t="s">
        <v>24</v>
      </c>
      <c r="C15" s="201">
        <v>24</v>
      </c>
      <c r="D15" s="2575">
        <f>IF(Flag=TRUE,F15-TBIn!E1283,TBIn!D1283)</f>
        <v>8924</v>
      </c>
      <c r="E15" s="1901">
        <f t="shared" si="0"/>
        <v>9.7235690859365634E-2</v>
      </c>
      <c r="F15" s="2580">
        <f>TBIn!E1283</f>
        <v>33105</v>
      </c>
      <c r="G15" s="1930">
        <f t="shared" si="1"/>
        <v>0.10922354121163731</v>
      </c>
      <c r="H15" s="2575">
        <f>IF(Flag=TRUE,J15-TBIn!E1325,TBIn!D1325)</f>
        <v>3138</v>
      </c>
      <c r="I15" s="1901">
        <f t="shared" si="2"/>
        <v>6.5699390741787572E-2</v>
      </c>
      <c r="J15" s="2580">
        <f>TBIn!E1325</f>
        <v>10006</v>
      </c>
      <c r="K15" s="1942">
        <f t="shared" si="3"/>
        <v>5.7415005020800457E-2</v>
      </c>
      <c r="L15" s="2575">
        <f>IF(Flag=TRUE,N15-TBIn!E1367,TBIn!D1367)</f>
        <v>1071</v>
      </c>
      <c r="M15" s="1901">
        <f t="shared" si="4"/>
        <v>2.5292839599470998E-2</v>
      </c>
      <c r="N15" s="2580">
        <f>TBIn!E1367</f>
        <v>3849</v>
      </c>
      <c r="O15" s="1942">
        <f t="shared" si="5"/>
        <v>2.1181403949019347E-2</v>
      </c>
      <c r="P15" s="2575">
        <f>IF(Flag=TRUE,R15-TBIn!E1409,TBIn!D1409)</f>
        <v>0</v>
      </c>
      <c r="Q15" s="1901">
        <f>IFERROR(P15/Page2!G$5,0)</f>
        <v>0</v>
      </c>
      <c r="R15" s="2580">
        <f>TBIn!E1409</f>
        <v>0</v>
      </c>
      <c r="S15" s="1942">
        <f>IFERROR(R15/Page2!J$5,0)</f>
        <v>0</v>
      </c>
      <c r="T15" s="80">
        <v>12</v>
      </c>
      <c r="U15" s="568"/>
      <c r="V15" s="568"/>
      <c r="W15" s="568"/>
    </row>
    <row r="16" spans="1:23" ht="15.75" customHeight="1">
      <c r="A16" s="80">
        <v>13</v>
      </c>
      <c r="B16" s="1627" t="s">
        <v>25</v>
      </c>
      <c r="C16" s="201">
        <v>26</v>
      </c>
      <c r="D16" s="2575">
        <f>IF(Flag=TRUE,F16-TBIn!E1284,TBIn!D1284)</f>
        <v>0</v>
      </c>
      <c r="E16" s="1901">
        <f t="shared" si="0"/>
        <v>0</v>
      </c>
      <c r="F16" s="2580">
        <f>TBIn!E1284</f>
        <v>0</v>
      </c>
      <c r="G16" s="1930">
        <f t="shared" si="1"/>
        <v>0</v>
      </c>
      <c r="H16" s="2575">
        <f>IF(Flag=TRUE,J16-TBIn!E1326,TBIn!D1326)</f>
        <v>0</v>
      </c>
      <c r="I16" s="1901">
        <f t="shared" si="2"/>
        <v>0</v>
      </c>
      <c r="J16" s="2580">
        <f>TBIn!E1326</f>
        <v>0</v>
      </c>
      <c r="K16" s="1942">
        <f t="shared" si="3"/>
        <v>0</v>
      </c>
      <c r="L16" s="2575">
        <f>IF(Flag=TRUE,N16-TBIn!E1368,TBIn!D1368)</f>
        <v>0</v>
      </c>
      <c r="M16" s="1901">
        <f t="shared" si="4"/>
        <v>0</v>
      </c>
      <c r="N16" s="2580">
        <f>TBIn!E1368</f>
        <v>0</v>
      </c>
      <c r="O16" s="1942">
        <f t="shared" si="5"/>
        <v>0</v>
      </c>
      <c r="P16" s="2575">
        <f>IF(Flag=TRUE,R16-TBIn!E1410,TBIn!D1410)</f>
        <v>0</v>
      </c>
      <c r="Q16" s="1901">
        <f>IFERROR(P16/Page2!G$5,0)</f>
        <v>0</v>
      </c>
      <c r="R16" s="2580">
        <f>TBIn!E1410</f>
        <v>0</v>
      </c>
      <c r="S16" s="1942">
        <f>IFERROR(R16/Page2!J$5,0)</f>
        <v>0</v>
      </c>
      <c r="T16" s="80">
        <v>13</v>
      </c>
      <c r="U16" s="568"/>
      <c r="V16" s="568"/>
      <c r="W16" s="568"/>
    </row>
    <row r="17" spans="1:23" ht="15.75" customHeight="1">
      <c r="A17" s="80">
        <v>14</v>
      </c>
      <c r="B17" s="1636" t="s">
        <v>26</v>
      </c>
      <c r="C17" s="201">
        <v>25</v>
      </c>
      <c r="D17" s="2575">
        <f>IF(Flag=TRUE,F17-TBIn!E1285,TBIn!D1285)</f>
        <v>3567</v>
      </c>
      <c r="E17" s="1901">
        <f t="shared" si="0"/>
        <v>3.8865946805844605E-2</v>
      </c>
      <c r="F17" s="2580">
        <f>TBIn!E1285</f>
        <v>14907</v>
      </c>
      <c r="G17" s="1930">
        <f t="shared" si="1"/>
        <v>4.9182761783473111E-2</v>
      </c>
      <c r="H17" s="2575">
        <f>IF(Flag=TRUE,J17-TBIn!E1327,TBIn!D1327)</f>
        <v>1354</v>
      </c>
      <c r="I17" s="1901">
        <f t="shared" si="2"/>
        <v>2.8348303079789795E-2</v>
      </c>
      <c r="J17" s="2580">
        <f>TBIn!E1327</f>
        <v>5112</v>
      </c>
      <c r="K17" s="1942">
        <f t="shared" si="3"/>
        <v>2.9332950796155503E-2</v>
      </c>
      <c r="L17" s="2575">
        <f>IF(Flag=TRUE,N17-TBIn!E1369,TBIn!D1369)</f>
        <v>369</v>
      </c>
      <c r="M17" s="1901">
        <f t="shared" si="4"/>
        <v>8.7143396939353863E-3</v>
      </c>
      <c r="N17" s="2580">
        <f>TBIn!E1369</f>
        <v>2426</v>
      </c>
      <c r="O17" s="1942">
        <f t="shared" si="5"/>
        <v>1.3350502982676263E-2</v>
      </c>
      <c r="P17" s="2575">
        <f>IF(Flag=TRUE,R17-TBIn!E1411,TBIn!D1411)</f>
        <v>0</v>
      </c>
      <c r="Q17" s="1901">
        <f>IFERROR(P17/Page2!G$5,0)</f>
        <v>0</v>
      </c>
      <c r="R17" s="2580">
        <f>TBIn!E1411</f>
        <v>0</v>
      </c>
      <c r="S17" s="1942">
        <f>IFERROR(R17/Page2!J$5,0)</f>
        <v>0</v>
      </c>
      <c r="T17" s="80">
        <v>14</v>
      </c>
      <c r="U17" s="568"/>
      <c r="V17" s="568"/>
      <c r="W17" s="568"/>
    </row>
    <row r="18" spans="1:23" ht="15.75" customHeight="1">
      <c r="A18" s="80">
        <v>15</v>
      </c>
      <c r="B18" s="1634" t="s">
        <v>27</v>
      </c>
      <c r="C18" s="201">
        <v>27</v>
      </c>
      <c r="D18" s="2575">
        <f>IF(Flag=TRUE,F18-TBIn!E1286,TBIn!D1286)</f>
        <v>11035</v>
      </c>
      <c r="E18" s="1901">
        <f t="shared" si="0"/>
        <v>0.1202370964402846</v>
      </c>
      <c r="F18" s="2580">
        <f>TBIn!E1286</f>
        <v>37869</v>
      </c>
      <c r="G18" s="1930">
        <f t="shared" si="1"/>
        <v>0.12494143730987746</v>
      </c>
      <c r="H18" s="2575">
        <f>IF(Flag=TRUE,J18-TBIn!E1328,TBIn!D1328)</f>
        <v>3674</v>
      </c>
      <c r="I18" s="1901">
        <f t="shared" si="2"/>
        <v>7.6921466407051484E-2</v>
      </c>
      <c r="J18" s="2580">
        <f>TBIn!E1328</f>
        <v>12029</v>
      </c>
      <c r="K18" s="1942">
        <f t="shared" si="3"/>
        <v>6.902309568211161E-2</v>
      </c>
      <c r="L18" s="2575">
        <f>IF(Flag=TRUE,N18-TBIn!E1370,TBIn!D1370)</f>
        <v>2166</v>
      </c>
      <c r="M18" s="1901">
        <f t="shared" si="4"/>
        <v>5.115246552049877E-2</v>
      </c>
      <c r="N18" s="2580">
        <f>TBIn!E1370</f>
        <v>7278</v>
      </c>
      <c r="O18" s="1942">
        <f t="shared" si="5"/>
        <v>4.0051508948028794E-2</v>
      </c>
      <c r="P18" s="2575">
        <f>IF(Flag=TRUE,R18-TBIn!E1412,TBIn!D1412)</f>
        <v>0</v>
      </c>
      <c r="Q18" s="1901">
        <f>IFERROR(P18/Page2!G$5,0)</f>
        <v>0</v>
      </c>
      <c r="R18" s="2580">
        <f>TBIn!E1412</f>
        <v>0</v>
      </c>
      <c r="S18" s="1942">
        <f>IFERROR(R18/Page2!J$5,0)</f>
        <v>0</v>
      </c>
      <c r="T18" s="80">
        <v>15</v>
      </c>
      <c r="U18" s="568"/>
      <c r="V18" s="568"/>
      <c r="W18" s="568"/>
    </row>
    <row r="19" spans="1:23" ht="15.75" customHeight="1">
      <c r="A19" s="80">
        <v>16</v>
      </c>
      <c r="B19" s="1637" t="s">
        <v>28</v>
      </c>
      <c r="C19" s="201">
        <v>29</v>
      </c>
      <c r="D19" s="2576">
        <f>IF(Flag=TRUE,F19-TBIn!E1287,TBIn!D1287)</f>
        <v>0</v>
      </c>
      <c r="E19" s="1902">
        <f t="shared" si="0"/>
        <v>0</v>
      </c>
      <c r="F19" s="2581">
        <f>TBIn!E1287</f>
        <v>0</v>
      </c>
      <c r="G19" s="1931">
        <f t="shared" si="1"/>
        <v>0</v>
      </c>
      <c r="H19" s="2576">
        <f>IF(Flag=TRUE,J19-TBIn!E1329,TBIn!D1329)</f>
        <v>0</v>
      </c>
      <c r="I19" s="1902">
        <f t="shared" si="2"/>
        <v>0</v>
      </c>
      <c r="J19" s="2581">
        <f>TBIn!E1329</f>
        <v>0</v>
      </c>
      <c r="K19" s="1943">
        <f t="shared" si="3"/>
        <v>0</v>
      </c>
      <c r="L19" s="2576">
        <f>IF(Flag=TRUE,N19-TBIn!E1371,TBIn!D1371)</f>
        <v>0</v>
      </c>
      <c r="M19" s="1902">
        <f t="shared" si="4"/>
        <v>0</v>
      </c>
      <c r="N19" s="2581">
        <f>TBIn!E1371</f>
        <v>0</v>
      </c>
      <c r="O19" s="1943">
        <f t="shared" si="5"/>
        <v>0</v>
      </c>
      <c r="P19" s="2576">
        <f>IF(Flag=TRUE,R19-TBIn!E1413,TBIn!D1413)</f>
        <v>0</v>
      </c>
      <c r="Q19" s="1902">
        <f>IFERROR(P19/Page2!G$5,0)</f>
        <v>0</v>
      </c>
      <c r="R19" s="2581">
        <f>TBIn!E1413</f>
        <v>0</v>
      </c>
      <c r="S19" s="1943">
        <f>IFERROR(R19/Page2!J$5,0)</f>
        <v>0</v>
      </c>
      <c r="T19" s="80">
        <v>16</v>
      </c>
      <c r="U19" s="568"/>
      <c r="V19" s="568"/>
      <c r="W19" s="568"/>
    </row>
    <row r="20" spans="1:23" ht="16" customHeight="1">
      <c r="A20" s="80">
        <v>17</v>
      </c>
      <c r="B20" s="229" t="s">
        <v>29</v>
      </c>
      <c r="C20" s="211"/>
      <c r="D20" s="669">
        <f t="shared" ref="D20:R20" si="6">SUM(D11:D19)</f>
        <v>75427</v>
      </c>
      <c r="E20" s="1903">
        <f t="shared" si="0"/>
        <v>0.8218507905030672</v>
      </c>
      <c r="F20" s="670">
        <f t="shared" si="6"/>
        <v>270055</v>
      </c>
      <c r="G20" s="1903">
        <f t="shared" si="1"/>
        <v>0.8909942130164239</v>
      </c>
      <c r="H20" s="669">
        <f t="shared" si="6"/>
        <v>20522</v>
      </c>
      <c r="I20" s="1903">
        <f t="shared" si="2"/>
        <v>0.42966312836295878</v>
      </c>
      <c r="J20" s="670">
        <f t="shared" si="6"/>
        <v>96915</v>
      </c>
      <c r="K20" s="1944">
        <f t="shared" si="3"/>
        <v>0.55610385884378133</v>
      </c>
      <c r="L20" s="669">
        <f t="shared" si="6"/>
        <v>14564</v>
      </c>
      <c r="M20" s="1903">
        <f t="shared" si="4"/>
        <v>0.34394483279803512</v>
      </c>
      <c r="N20" s="670">
        <f t="shared" si="6"/>
        <v>69420</v>
      </c>
      <c r="O20" s="1944">
        <f t="shared" si="5"/>
        <v>0.38202469788020865</v>
      </c>
      <c r="P20" s="243">
        <f t="shared" si="6"/>
        <v>0</v>
      </c>
      <c r="Q20" s="1903">
        <f>IFERROR(P20/Page2!G$5,0)</f>
        <v>0</v>
      </c>
      <c r="R20" s="497">
        <f t="shared" si="6"/>
        <v>0</v>
      </c>
      <c r="S20" s="1944">
        <f>IFERROR(R20/Page2!J$5,0)</f>
        <v>0</v>
      </c>
      <c r="T20" s="80">
        <v>17</v>
      </c>
      <c r="U20" s="568"/>
      <c r="V20" s="568"/>
      <c r="W20" s="568"/>
    </row>
    <row r="21" spans="1:23" ht="16" customHeight="1">
      <c r="A21" s="80">
        <v>18</v>
      </c>
      <c r="B21" s="1560" t="s">
        <v>30</v>
      </c>
      <c r="C21" s="201">
        <v>51</v>
      </c>
      <c r="D21" s="2575">
        <f>IF(Flag=TRUE,F21-TBIn!E1288,TBIn!D1288)</f>
        <v>5710</v>
      </c>
      <c r="E21" s="1901">
        <f t="shared" si="0"/>
        <v>6.2216023622476219E-2</v>
      </c>
      <c r="F21" s="2580">
        <f>TBIn!E1288</f>
        <v>-3112</v>
      </c>
      <c r="G21" s="1930">
        <f t="shared" si="1"/>
        <v>-1.0267441783737058E-2</v>
      </c>
      <c r="H21" s="2575">
        <f>IF(Flag=TRUE,J21-TBIn!E1330,TBIn!D1330)</f>
        <v>4700</v>
      </c>
      <c r="I21" s="1901">
        <f t="shared" si="2"/>
        <v>9.8402529154366356E-2</v>
      </c>
      <c r="J21" s="2580">
        <f>TBIn!E1330</f>
        <v>-1592</v>
      </c>
      <c r="K21" s="1942">
        <f t="shared" si="3"/>
        <v>-9.1349878066274565E-3</v>
      </c>
      <c r="L21" s="2575">
        <f>IF(Flag=TRUE,N21-TBIn!E1372,TBIn!D1372)</f>
        <v>4654</v>
      </c>
      <c r="M21" s="1901">
        <f t="shared" si="4"/>
        <v>0.10990931418855092</v>
      </c>
      <c r="N21" s="2580">
        <f>TBIn!E1372</f>
        <v>14213</v>
      </c>
      <c r="O21" s="1942">
        <f t="shared" si="5"/>
        <v>7.8215457086882823E-2</v>
      </c>
      <c r="P21" s="2575">
        <f>IF(Flag=TRUE,R21-TBIn!E1414,TBIn!D1414)</f>
        <v>0</v>
      </c>
      <c r="Q21" s="1901">
        <f>IFERROR(P21/Page2!G$5,0)</f>
        <v>0</v>
      </c>
      <c r="R21" s="2580">
        <f>TBIn!E1414</f>
        <v>0</v>
      </c>
      <c r="S21" s="1942">
        <f>IFERROR(R21/Page2!J$5,0)</f>
        <v>0</v>
      </c>
      <c r="T21" s="80">
        <v>18</v>
      </c>
      <c r="U21" s="568"/>
      <c r="V21" s="568"/>
      <c r="W21" s="568"/>
    </row>
    <row r="22" spans="1:23" ht="16" customHeight="1">
      <c r="A22" s="80">
        <v>19</v>
      </c>
      <c r="B22" s="1560" t="s">
        <v>31</v>
      </c>
      <c r="C22" s="201">
        <v>60</v>
      </c>
      <c r="D22" s="2575">
        <f>IF(Flag=TRUE,F22-TBIn!E1289,TBIn!D1289)</f>
        <v>511</v>
      </c>
      <c r="E22" s="1901">
        <f t="shared" si="0"/>
        <v>5.5678437952864004E-3</v>
      </c>
      <c r="F22" s="2580">
        <f>TBIn!E1289</f>
        <v>3404</v>
      </c>
      <c r="G22" s="1930">
        <f t="shared" si="1"/>
        <v>1.1230839277583851E-2</v>
      </c>
      <c r="H22" s="2575">
        <f>IF(Flag=TRUE,J22-TBIn!E1331,TBIn!D1331)</f>
        <v>281</v>
      </c>
      <c r="I22" s="1901">
        <f t="shared" si="2"/>
        <v>5.8832150409312651E-3</v>
      </c>
      <c r="J22" s="2580">
        <f>TBIn!E1331</f>
        <v>1280</v>
      </c>
      <c r="K22" s="1942">
        <f t="shared" si="3"/>
        <v>7.3447138143738341E-3</v>
      </c>
      <c r="L22" s="2575">
        <f>IF(Flag=TRUE,N22-TBIn!E1373,TBIn!D1373)</f>
        <v>158</v>
      </c>
      <c r="M22" s="1901">
        <f t="shared" si="4"/>
        <v>3.7313432835820895E-3</v>
      </c>
      <c r="N22" s="2580">
        <f>TBIn!E1373</f>
        <v>953</v>
      </c>
      <c r="O22" s="1942">
        <f t="shared" si="5"/>
        <v>5.2444473794272381E-3</v>
      </c>
      <c r="P22" s="2575">
        <f>IF(Flag=TRUE,R22-TBIn!E1415,TBIn!D1415)</f>
        <v>0</v>
      </c>
      <c r="Q22" s="1901">
        <f>IFERROR(P22/Page2!G$5,0)</f>
        <v>0</v>
      </c>
      <c r="R22" s="2580">
        <f>TBIn!E1415</f>
        <v>0</v>
      </c>
      <c r="S22" s="1942">
        <f>IFERROR(R22/Page2!J$5,0)</f>
        <v>0</v>
      </c>
      <c r="T22" s="80">
        <v>19</v>
      </c>
      <c r="U22" s="568"/>
      <c r="V22" s="568"/>
      <c r="W22" s="568"/>
    </row>
    <row r="23" spans="1:23" ht="16" customHeight="1">
      <c r="A23" s="80">
        <v>20</v>
      </c>
      <c r="B23" s="1560" t="s">
        <v>32</v>
      </c>
      <c r="C23" s="201">
        <v>61</v>
      </c>
      <c r="D23" s="2575">
        <f>IF(Flag=TRUE,F23-TBIn!E1290,TBIn!D1290)</f>
        <v>3749</v>
      </c>
      <c r="E23" s="1901">
        <f t="shared" si="0"/>
        <v>4.0849014458960303E-2</v>
      </c>
      <c r="F23" s="2580">
        <f>TBIn!E1290</f>
        <v>15476</v>
      </c>
      <c r="G23" s="1930">
        <f t="shared" si="1"/>
        <v>5.106006717388005E-2</v>
      </c>
      <c r="H23" s="2575">
        <f>IF(Flag=TRUE,J23-TBIn!E1332,TBIn!D1332)</f>
        <v>790</v>
      </c>
      <c r="I23" s="1901">
        <f t="shared" si="2"/>
        <v>1.6539999581265834E-2</v>
      </c>
      <c r="J23" s="2580">
        <f>TBIn!E1332</f>
        <v>1476</v>
      </c>
      <c r="K23" s="1942">
        <f t="shared" si="3"/>
        <v>8.4693731171998285E-3</v>
      </c>
      <c r="L23" s="2575">
        <f>IF(Flag=TRUE,N23-TBIn!E1374,TBIn!D1374)</f>
        <v>475</v>
      </c>
      <c r="M23" s="1901">
        <f t="shared" si="4"/>
        <v>1.1217645947477801E-2</v>
      </c>
      <c r="N23" s="2580">
        <f>TBIn!E1374</f>
        <v>2189</v>
      </c>
      <c r="O23" s="1942">
        <f t="shared" si="5"/>
        <v>1.2046270003742103E-2</v>
      </c>
      <c r="P23" s="2575">
        <f>IF(Flag=TRUE,R23-TBIn!E1416,TBIn!D1416)</f>
        <v>0</v>
      </c>
      <c r="Q23" s="1901">
        <f>IFERROR(P23/Page2!G$5,0)</f>
        <v>0</v>
      </c>
      <c r="R23" s="2580">
        <f>TBIn!E1416</f>
        <v>0</v>
      </c>
      <c r="S23" s="1942">
        <f>IFERROR(R23/Page2!J$5,0)</f>
        <v>0</v>
      </c>
      <c r="T23" s="80">
        <v>20</v>
      </c>
      <c r="U23" s="568"/>
      <c r="V23" s="568"/>
      <c r="W23" s="568"/>
    </row>
    <row r="24" spans="1:23" ht="16" customHeight="1">
      <c r="A24" s="80">
        <v>21</v>
      </c>
      <c r="B24" s="1544" t="s">
        <v>33</v>
      </c>
      <c r="C24" s="201">
        <v>63</v>
      </c>
      <c r="D24" s="2575">
        <f>IF(Flag=TRUE,F24-TBIn!E1291,TBIn!D1291)</f>
        <v>0</v>
      </c>
      <c r="E24" s="1901">
        <f t="shared" si="0"/>
        <v>0</v>
      </c>
      <c r="F24" s="2580">
        <f>TBIn!E1291</f>
        <v>0</v>
      </c>
      <c r="G24" s="1930">
        <f t="shared" si="1"/>
        <v>0</v>
      </c>
      <c r="H24" s="2575">
        <f>IF(Flag=TRUE,J24-TBIn!E1333,TBIn!D1333)</f>
        <v>0</v>
      </c>
      <c r="I24" s="1901">
        <f t="shared" si="2"/>
        <v>0</v>
      </c>
      <c r="J24" s="2580">
        <f>TBIn!E1333</f>
        <v>0</v>
      </c>
      <c r="K24" s="1942">
        <f t="shared" si="3"/>
        <v>0</v>
      </c>
      <c r="L24" s="2575">
        <f>IF(Flag=TRUE,N24-TBIn!E1375,TBIn!D1375)</f>
        <v>0</v>
      </c>
      <c r="M24" s="1901">
        <f t="shared" si="4"/>
        <v>0</v>
      </c>
      <c r="N24" s="2580">
        <f>TBIn!E1375</f>
        <v>0</v>
      </c>
      <c r="O24" s="1942">
        <f t="shared" si="5"/>
        <v>0</v>
      </c>
      <c r="P24" s="2575">
        <f>IF(Flag=TRUE,R24-TBIn!E1417,TBIn!D1417)</f>
        <v>0</v>
      </c>
      <c r="Q24" s="1901">
        <f>IFERROR(P24/Page2!G$5,0)</f>
        <v>0</v>
      </c>
      <c r="R24" s="2580">
        <f>TBIn!E1417</f>
        <v>0</v>
      </c>
      <c r="S24" s="1942">
        <f>IFERROR(R24/Page2!J$5,0)</f>
        <v>0</v>
      </c>
      <c r="T24" s="80">
        <v>21</v>
      </c>
      <c r="U24" s="568"/>
      <c r="V24" s="568"/>
      <c r="W24" s="568"/>
    </row>
    <row r="25" spans="1:23" ht="16" customHeight="1">
      <c r="A25" s="80">
        <v>22</v>
      </c>
      <c r="B25" s="1539" t="s">
        <v>34</v>
      </c>
      <c r="C25" s="201">
        <v>65</v>
      </c>
      <c r="D25" s="2575">
        <f>IF(Flag=TRUE,F25-TBIn!E1292,TBIn!D1292)</f>
        <v>796</v>
      </c>
      <c r="E25" s="1901">
        <f t="shared" si="0"/>
        <v>8.6731969883522015E-3</v>
      </c>
      <c r="F25" s="2580">
        <f>TBIn!E1292</f>
        <v>3387</v>
      </c>
      <c r="G25" s="1930">
        <f t="shared" si="1"/>
        <v>1.1174751067325649E-2</v>
      </c>
      <c r="H25" s="2575">
        <f>IF(Flag=TRUE,J25-TBIn!E1334,TBIn!D1334)</f>
        <v>138</v>
      </c>
      <c r="I25" s="1901">
        <f t="shared" si="2"/>
        <v>2.8892657496388417E-3</v>
      </c>
      <c r="J25" s="2580">
        <f>TBIn!E1334</f>
        <v>765</v>
      </c>
      <c r="K25" s="1942">
        <f t="shared" si="3"/>
        <v>4.3896141156218619E-3</v>
      </c>
      <c r="L25" s="2575">
        <f>IF(Flag=TRUE,N25-TBIn!E1376,TBIn!D1376)</f>
        <v>638</v>
      </c>
      <c r="M25" s="1901">
        <f t="shared" si="4"/>
        <v>1.5067069714717551E-2</v>
      </c>
      <c r="N25" s="2580">
        <f>TBIn!E1376</f>
        <v>2905</v>
      </c>
      <c r="O25" s="1942">
        <f t="shared" si="5"/>
        <v>1.5986484404235179E-2</v>
      </c>
      <c r="P25" s="2575">
        <f>IF(Flag=TRUE,R25-TBIn!E1418,TBIn!D1418)</f>
        <v>0</v>
      </c>
      <c r="Q25" s="1901">
        <f>IFERROR(P25/Page2!G$5,0)</f>
        <v>0</v>
      </c>
      <c r="R25" s="2580">
        <f>TBIn!E1418</f>
        <v>0</v>
      </c>
      <c r="S25" s="1942">
        <f>IFERROR(R25/Page2!J$5,0)</f>
        <v>0</v>
      </c>
      <c r="T25" s="80">
        <v>22</v>
      </c>
      <c r="U25" s="568"/>
      <c r="V25" s="568"/>
      <c r="W25" s="568"/>
    </row>
    <row r="26" spans="1:23" ht="16" customHeight="1">
      <c r="A26" s="80">
        <v>23</v>
      </c>
      <c r="B26" s="1539" t="s">
        <v>35</v>
      </c>
      <c r="C26" s="201">
        <v>64</v>
      </c>
      <c r="D26" s="2575">
        <f>IF(Flag=TRUE,F26-TBIn!E1293,TBIn!D1293)</f>
        <v>0</v>
      </c>
      <c r="E26" s="1901">
        <f t="shared" si="0"/>
        <v>0</v>
      </c>
      <c r="F26" s="2580">
        <f>TBIn!E1293</f>
        <v>0</v>
      </c>
      <c r="G26" s="1930">
        <f t="shared" si="1"/>
        <v>0</v>
      </c>
      <c r="H26" s="2575">
        <f>IF(Flag=TRUE,J26-TBIn!E1335,TBIn!D1335)</f>
        <v>0</v>
      </c>
      <c r="I26" s="1901">
        <f t="shared" si="2"/>
        <v>0</v>
      </c>
      <c r="J26" s="2580">
        <f>TBIn!E1335</f>
        <v>0</v>
      </c>
      <c r="K26" s="1942">
        <f t="shared" si="3"/>
        <v>0</v>
      </c>
      <c r="L26" s="2575">
        <f>IF(Flag=TRUE,N26-TBIn!E1377,TBIn!D1377)</f>
        <v>0</v>
      </c>
      <c r="M26" s="1901">
        <f t="shared" si="4"/>
        <v>0</v>
      </c>
      <c r="N26" s="2580">
        <f>TBIn!E1377</f>
        <v>0</v>
      </c>
      <c r="O26" s="1942">
        <f t="shared" si="5"/>
        <v>0</v>
      </c>
      <c r="P26" s="2575">
        <f>IF(Flag=TRUE,R26-TBIn!E1419,TBIn!D1419)</f>
        <v>0</v>
      </c>
      <c r="Q26" s="1901">
        <f>IFERROR(P26/Page2!G$5,0)</f>
        <v>0</v>
      </c>
      <c r="R26" s="2580">
        <f>TBIn!E1419</f>
        <v>0</v>
      </c>
      <c r="S26" s="1942">
        <f>IFERROR(R26/Page2!J$5,0)</f>
        <v>0</v>
      </c>
      <c r="T26" s="80">
        <v>23</v>
      </c>
      <c r="U26" s="568"/>
      <c r="V26" s="568"/>
      <c r="W26" s="568"/>
    </row>
    <row r="27" spans="1:23" ht="16" customHeight="1">
      <c r="A27" s="80">
        <v>24</v>
      </c>
      <c r="B27" s="1539" t="s">
        <v>36</v>
      </c>
      <c r="C27" s="201">
        <v>66</v>
      </c>
      <c r="D27" s="2575">
        <f>IF(Flag=TRUE,F27-TBIn!E1294,TBIn!D1294)</f>
        <v>150</v>
      </c>
      <c r="E27" s="1901">
        <f t="shared" si="0"/>
        <v>1.6343964174030531E-3</v>
      </c>
      <c r="F27" s="2580">
        <f>TBIn!E1294</f>
        <v>150</v>
      </c>
      <c r="G27" s="1930">
        <f t="shared" si="1"/>
        <v>4.9489597286650347E-4</v>
      </c>
      <c r="H27" s="2575">
        <f>IF(Flag=TRUE,J27-TBIn!E1336,TBIn!D1336)</f>
        <v>50</v>
      </c>
      <c r="I27" s="1901">
        <f t="shared" si="2"/>
        <v>1.0468354165358122E-3</v>
      </c>
      <c r="J27" s="2580">
        <f>TBIn!E1336</f>
        <v>50</v>
      </c>
      <c r="K27" s="1942">
        <f t="shared" si="3"/>
        <v>2.8690288337397793E-4</v>
      </c>
      <c r="L27" s="2575">
        <f>IF(Flag=TRUE,N27-TBIn!E1378,TBIn!D1378)</f>
        <v>50</v>
      </c>
      <c r="M27" s="1901">
        <f t="shared" si="4"/>
        <v>1.1808048365766106E-3</v>
      </c>
      <c r="N27" s="2580">
        <f>TBIn!E1378</f>
        <v>50</v>
      </c>
      <c r="O27" s="1942">
        <f t="shared" si="5"/>
        <v>2.7515463690594113E-4</v>
      </c>
      <c r="P27" s="2575">
        <f>IF(Flag=TRUE,R27-TBIn!E1420,TBIn!D1420)</f>
        <v>0</v>
      </c>
      <c r="Q27" s="1901">
        <f>IFERROR(P27/Page2!G$5,0)</f>
        <v>0</v>
      </c>
      <c r="R27" s="2580">
        <f>TBIn!E1420</f>
        <v>0</v>
      </c>
      <c r="S27" s="1942">
        <f>IFERROR(R27/Page2!J$5,0)</f>
        <v>0</v>
      </c>
      <c r="T27" s="80">
        <v>24</v>
      </c>
      <c r="U27" s="568"/>
      <c r="V27" s="568"/>
      <c r="W27" s="568"/>
    </row>
    <row r="28" spans="1:23" ht="16" customHeight="1">
      <c r="A28" s="80">
        <v>25</v>
      </c>
      <c r="B28" s="1638" t="s">
        <v>37</v>
      </c>
      <c r="C28" s="201">
        <v>67</v>
      </c>
      <c r="D28" s="2575">
        <f>IF(Flag=TRUE,F28-TBIn!E1295,TBIn!D1295)</f>
        <v>524</v>
      </c>
      <c r="E28" s="1901">
        <f t="shared" si="0"/>
        <v>5.709491484794665E-3</v>
      </c>
      <c r="F28" s="2580">
        <f>TBIn!E1295</f>
        <v>8005</v>
      </c>
      <c r="G28" s="1930">
        <f t="shared" si="1"/>
        <v>2.6410948418642402E-2</v>
      </c>
      <c r="H28" s="2575">
        <f>IF(Flag=TRUE,J28-TBIn!E1337,TBIn!D1337)</f>
        <v>219</v>
      </c>
      <c r="I28" s="1901">
        <f t="shared" si="2"/>
        <v>4.5851391244268579E-3</v>
      </c>
      <c r="J28" s="2580">
        <f>TBIn!E1337</f>
        <v>654</v>
      </c>
      <c r="K28" s="1942">
        <f t="shared" si="3"/>
        <v>3.7526897145316309E-3</v>
      </c>
      <c r="L28" s="2575">
        <f>IF(Flag=TRUE,N28-TBIn!E1379,TBIn!D1379)</f>
        <v>-299</v>
      </c>
      <c r="M28" s="1901">
        <f t="shared" si="4"/>
        <v>-7.0612129227281316E-3</v>
      </c>
      <c r="N28" s="2580">
        <f>TBIn!E1379</f>
        <v>915</v>
      </c>
      <c r="O28" s="1942">
        <f t="shared" si="5"/>
        <v>5.0353298553787226E-3</v>
      </c>
      <c r="P28" s="2596"/>
      <c r="Q28" s="1906"/>
      <c r="R28" s="2597"/>
      <c r="S28" s="2123"/>
      <c r="T28" s="80">
        <v>25</v>
      </c>
      <c r="U28" s="568"/>
      <c r="V28" s="568"/>
      <c r="W28" s="568"/>
    </row>
    <row r="29" spans="1:23" ht="15.75" customHeight="1">
      <c r="A29" s="80">
        <v>26</v>
      </c>
      <c r="B29" s="1635" t="s">
        <v>38</v>
      </c>
      <c r="C29" s="201">
        <v>68</v>
      </c>
      <c r="D29" s="2575">
        <f>IF(Flag=TRUE,F29-TBIn!E1296,TBIn!D1296)</f>
        <v>5090</v>
      </c>
      <c r="E29" s="1901">
        <f t="shared" si="0"/>
        <v>5.5460518430543601E-2</v>
      </c>
      <c r="F29" s="2580">
        <f>TBIn!E1296</f>
        <v>18252</v>
      </c>
      <c r="G29" s="1930">
        <f t="shared" si="1"/>
        <v>6.021894197839614E-2</v>
      </c>
      <c r="H29" s="2575">
        <f>IF(Flag=TRUE,J29-TBIn!E1338,TBIn!D1338)</f>
        <v>3806</v>
      </c>
      <c r="I29" s="1901">
        <f t="shared" si="2"/>
        <v>7.9685111906706033E-2</v>
      </c>
      <c r="J29" s="2580">
        <f>TBIn!E1338</f>
        <v>13869</v>
      </c>
      <c r="K29" s="1942">
        <f t="shared" si="3"/>
        <v>7.958112179027399E-2</v>
      </c>
      <c r="L29" s="2575">
        <f>IF(Flag=TRUE,N29-TBIn!E1380,TBIn!D1380)</f>
        <v>2395</v>
      </c>
      <c r="M29" s="1901">
        <f t="shared" si="4"/>
        <v>5.6560551672019649E-2</v>
      </c>
      <c r="N29" s="2580">
        <f>TBIn!E1380</f>
        <v>9358</v>
      </c>
      <c r="O29" s="1942">
        <f t="shared" si="5"/>
        <v>5.1497941843315943E-2</v>
      </c>
      <c r="P29" s="2575">
        <f>IF(Flag=TRUE,R29-TBIn!E1421,TBIn!D1421)</f>
        <v>0</v>
      </c>
      <c r="Q29" s="1901">
        <f>IFERROR(P29/Page2!G$5,0)</f>
        <v>0</v>
      </c>
      <c r="R29" s="2580">
        <f>TBIn!E1421</f>
        <v>0</v>
      </c>
      <c r="S29" s="1942">
        <f>IFERROR(R29/Page2!J$5,0)</f>
        <v>0</v>
      </c>
      <c r="T29" s="80">
        <v>26</v>
      </c>
      <c r="U29" s="568"/>
      <c r="V29" s="568"/>
      <c r="W29" s="568"/>
    </row>
    <row r="30" spans="1:23" ht="16" customHeight="1">
      <c r="A30" s="80">
        <v>27</v>
      </c>
      <c r="B30" s="1634" t="s">
        <v>39</v>
      </c>
      <c r="C30" s="201">
        <v>69</v>
      </c>
      <c r="D30" s="2575">
        <f>IF(Flag=TRUE,F30-TBIn!E1297,TBIn!D1297)</f>
        <v>1616</v>
      </c>
      <c r="E30" s="1901">
        <f t="shared" si="0"/>
        <v>1.7607897403488892E-2</v>
      </c>
      <c r="F30" s="2580">
        <f>TBIn!E1297</f>
        <v>10742</v>
      </c>
      <c r="G30" s="1930">
        <f t="shared" si="1"/>
        <v>3.5441150270213204E-2</v>
      </c>
      <c r="H30" s="2575">
        <f>IF(Flag=TRUE,J30-TBIn!E1339,TBIn!D1339)</f>
        <v>2539</v>
      </c>
      <c r="I30" s="1901">
        <f t="shared" si="2"/>
        <v>5.3158302451688545E-2</v>
      </c>
      <c r="J30" s="2580">
        <f>TBIn!E1339</f>
        <v>4661</v>
      </c>
      <c r="K30" s="1942">
        <f t="shared" si="3"/>
        <v>2.6745086788122222E-2</v>
      </c>
      <c r="L30" s="2575">
        <f>IF(Flag=TRUE,N30-TBIn!E1381,TBIn!D1381)</f>
        <v>1069</v>
      </c>
      <c r="M30" s="1901">
        <f t="shared" si="4"/>
        <v>2.5245607406007935E-2</v>
      </c>
      <c r="N30" s="2580">
        <f>TBIn!E1381</f>
        <v>1798</v>
      </c>
      <c r="O30" s="1942">
        <f t="shared" si="5"/>
        <v>9.8945607431376436E-3</v>
      </c>
      <c r="P30" s="2575">
        <f>IF(Flag=TRUE,R30-TBIn!E1422,TBIn!D1422)</f>
        <v>0</v>
      </c>
      <c r="Q30" s="1901">
        <f>IFERROR(P30/Page2!G$5,0)</f>
        <v>0</v>
      </c>
      <c r="R30" s="2580">
        <f>TBIn!E1422</f>
        <v>0</v>
      </c>
      <c r="S30" s="1942">
        <f>IFERROR(R30/Page2!J$5,0)</f>
        <v>0</v>
      </c>
      <c r="T30" s="80">
        <v>27</v>
      </c>
      <c r="U30" s="568"/>
      <c r="V30" s="568"/>
      <c r="W30" s="568"/>
    </row>
    <row r="31" spans="1:23" ht="16" customHeight="1">
      <c r="A31" s="80">
        <v>28</v>
      </c>
      <c r="B31" s="1634" t="s">
        <v>40</v>
      </c>
      <c r="C31" s="201">
        <v>70</v>
      </c>
      <c r="D31" s="2575">
        <f>IF(Flag=TRUE,F31-TBIn!E1298,TBIn!D1298)</f>
        <v>925</v>
      </c>
      <c r="E31" s="1901">
        <f t="shared" si="0"/>
        <v>1.0078777907318827E-2</v>
      </c>
      <c r="F31" s="2580">
        <f>TBIn!E1298</f>
        <v>2273</v>
      </c>
      <c r="G31" s="1930">
        <f t="shared" si="1"/>
        <v>7.4993236421704154E-3</v>
      </c>
      <c r="H31" s="2575">
        <f>IF(Flag=TRUE,J31-TBIn!E1340,TBIn!D1340)</f>
        <v>238</v>
      </c>
      <c r="I31" s="1901">
        <f t="shared" si="2"/>
        <v>4.9829365827104661E-3</v>
      </c>
      <c r="J31" s="2580">
        <f>TBIn!E1340</f>
        <v>659</v>
      </c>
      <c r="K31" s="1942">
        <f t="shared" si="3"/>
        <v>3.7813800028690288E-3</v>
      </c>
      <c r="L31" s="2575">
        <f>IF(Flag=TRUE,N31-TBIn!E1382,TBIn!D1382)</f>
        <v>238</v>
      </c>
      <c r="M31" s="1901">
        <f t="shared" si="4"/>
        <v>5.6206310221046663E-3</v>
      </c>
      <c r="N31" s="2580">
        <f>TBIn!E1382</f>
        <v>659</v>
      </c>
      <c r="O31" s="1942">
        <f t="shared" si="5"/>
        <v>3.6265381144203043E-3</v>
      </c>
      <c r="P31" s="2575">
        <f>IF(Flag=TRUE,R31-TBIn!E1423,TBIn!D1423)</f>
        <v>0</v>
      </c>
      <c r="Q31" s="1901">
        <f>IFERROR(P31/Page2!G$5,0)</f>
        <v>0</v>
      </c>
      <c r="R31" s="2580">
        <f>TBIn!E1423</f>
        <v>0</v>
      </c>
      <c r="S31" s="1942">
        <f>IFERROR(R31/Page2!J$5,0)</f>
        <v>0</v>
      </c>
      <c r="T31" s="80">
        <v>28</v>
      </c>
      <c r="U31" s="568"/>
      <c r="V31" s="568"/>
      <c r="W31" s="568"/>
    </row>
    <row r="32" spans="1:23" ht="16" customHeight="1">
      <c r="A32" s="80">
        <v>29</v>
      </c>
      <c r="B32" s="1634" t="s">
        <v>41</v>
      </c>
      <c r="C32" s="201">
        <v>71</v>
      </c>
      <c r="D32" s="2575">
        <f>IF(Flag=TRUE,F32-TBIn!E1299,TBIn!D1299)</f>
        <v>45</v>
      </c>
      <c r="E32" s="1901">
        <f t="shared" si="0"/>
        <v>4.9031892522091594E-4</v>
      </c>
      <c r="F32" s="2580">
        <f>TBIn!E1299</f>
        <v>82</v>
      </c>
      <c r="G32" s="1930">
        <f t="shared" si="1"/>
        <v>2.7054313183368854E-4</v>
      </c>
      <c r="H32" s="2575">
        <f>IF(Flag=TRUE,J32-TBIn!E1341,TBIn!D1341)</f>
        <v>15</v>
      </c>
      <c r="I32" s="1901">
        <f t="shared" si="2"/>
        <v>3.1405062496074365E-4</v>
      </c>
      <c r="J32" s="2580">
        <f>TBIn!E1341</f>
        <v>27</v>
      </c>
      <c r="K32" s="1942">
        <f t="shared" si="3"/>
        <v>1.5492755702194806E-4</v>
      </c>
      <c r="L32" s="2575">
        <f>IF(Flag=TRUE,N32-TBIn!E1383,TBIn!D1383)</f>
        <v>15</v>
      </c>
      <c r="M32" s="1901">
        <f t="shared" si="4"/>
        <v>3.5424145097298317E-4</v>
      </c>
      <c r="N32" s="2580">
        <f>TBIn!E1383</f>
        <v>27</v>
      </c>
      <c r="O32" s="1942">
        <f t="shared" si="5"/>
        <v>1.4858350392920821E-4</v>
      </c>
      <c r="P32" s="2575">
        <f>IF(Flag=TRUE,R32-TBIn!E1424,TBIn!D1424)</f>
        <v>0</v>
      </c>
      <c r="Q32" s="1901">
        <f>IFERROR(P32/Page2!G$5,0)</f>
        <v>0</v>
      </c>
      <c r="R32" s="2580">
        <f>TBIn!E1424</f>
        <v>0</v>
      </c>
      <c r="S32" s="1942">
        <f>IFERROR(R32/Page2!J$5,0)</f>
        <v>0</v>
      </c>
      <c r="T32" s="80">
        <v>29</v>
      </c>
      <c r="U32" s="568"/>
      <c r="V32" s="568"/>
      <c r="W32" s="568"/>
    </row>
    <row r="33" spans="1:23" ht="16" customHeight="1">
      <c r="A33" s="80">
        <v>30</v>
      </c>
      <c r="B33" s="1634" t="s">
        <v>42</v>
      </c>
      <c r="C33" s="201">
        <v>72</v>
      </c>
      <c r="D33" s="2575">
        <f>IF(Flag=TRUE,F33-TBIn!E1300,TBIn!D1300)</f>
        <v>600</v>
      </c>
      <c r="E33" s="1901">
        <f t="shared" si="0"/>
        <v>6.5375856696122123E-3</v>
      </c>
      <c r="F33" s="2580">
        <f>TBIn!E1300</f>
        <v>900</v>
      </c>
      <c r="G33" s="1930">
        <f t="shared" si="1"/>
        <v>2.9693758371990208E-3</v>
      </c>
      <c r="H33" s="2575">
        <f>IF(Flag=TRUE,J33-TBIn!E1342,TBIn!D1342)</f>
        <v>200</v>
      </c>
      <c r="I33" s="1901">
        <f t="shared" si="2"/>
        <v>4.1873416661432489E-3</v>
      </c>
      <c r="J33" s="2580">
        <f>TBIn!E1342</f>
        <v>300</v>
      </c>
      <c r="K33" s="1942">
        <f t="shared" si="3"/>
        <v>1.7214173002438674E-3</v>
      </c>
      <c r="L33" s="2575">
        <f>IF(Flag=TRUE,N33-TBIn!E1384,TBIn!D1384)</f>
        <v>200</v>
      </c>
      <c r="M33" s="1901">
        <f t="shared" si="4"/>
        <v>4.7232193463064426E-3</v>
      </c>
      <c r="N33" s="2580">
        <f>TBIn!E1384</f>
        <v>300</v>
      </c>
      <c r="O33" s="1942">
        <f t="shared" si="5"/>
        <v>1.6509278214356469E-3</v>
      </c>
      <c r="P33" s="2575">
        <f>IF(Flag=TRUE,R33-TBIn!E1425,TBIn!D1425)</f>
        <v>0</v>
      </c>
      <c r="Q33" s="1901">
        <f>IFERROR(P33/Page2!G$5,0)</f>
        <v>0</v>
      </c>
      <c r="R33" s="2580">
        <f>TBIn!E1425</f>
        <v>0</v>
      </c>
      <c r="S33" s="1942">
        <f>IFERROR(R33/Page2!J$5,0)</f>
        <v>0</v>
      </c>
      <c r="T33" s="80">
        <v>30</v>
      </c>
      <c r="U33" s="568"/>
      <c r="V33" s="568"/>
      <c r="W33" s="568"/>
    </row>
    <row r="34" spans="1:23" ht="16" customHeight="1">
      <c r="A34" s="80">
        <v>31</v>
      </c>
      <c r="B34" s="1635" t="s">
        <v>43</v>
      </c>
      <c r="C34" s="201">
        <v>74</v>
      </c>
      <c r="D34" s="2575">
        <f>IF(Flag=TRUE,F34-TBIn!E1301,TBIn!D1301)</f>
        <v>284</v>
      </c>
      <c r="E34" s="1901">
        <f t="shared" si="0"/>
        <v>3.0944572169497803E-3</v>
      </c>
      <c r="F34" s="2580">
        <f>TBIn!E1301</f>
        <v>779</v>
      </c>
      <c r="G34" s="1930">
        <f t="shared" si="1"/>
        <v>2.5701597524200414E-3</v>
      </c>
      <c r="H34" s="2575">
        <f>IF(Flag=TRUE,J34-TBIn!E1343,TBIn!D1343)</f>
        <v>172</v>
      </c>
      <c r="I34" s="1901">
        <f t="shared" si="2"/>
        <v>3.6011138328831942E-3</v>
      </c>
      <c r="J34" s="2580">
        <f>TBIn!E1343</f>
        <v>700</v>
      </c>
      <c r="K34" s="1942">
        <f t="shared" si="3"/>
        <v>4.0166403672356908E-3</v>
      </c>
      <c r="L34" s="2575">
        <f>IF(Flag=TRUE,N34-TBIn!E1385,TBIn!D1385)</f>
        <v>95</v>
      </c>
      <c r="M34" s="1901">
        <f t="shared" si="4"/>
        <v>2.2435291894955601E-3</v>
      </c>
      <c r="N34" s="2580">
        <f>TBIn!E1385</f>
        <v>251</v>
      </c>
      <c r="O34" s="1942">
        <f t="shared" si="5"/>
        <v>1.3812762772678244E-3</v>
      </c>
      <c r="P34" s="2575">
        <f>IF(Flag=TRUE,R34-TBIn!E1426,TBIn!D1426)</f>
        <v>0</v>
      </c>
      <c r="Q34" s="1901">
        <f>IFERROR(P34/Page2!G$5,0)</f>
        <v>0</v>
      </c>
      <c r="R34" s="2580">
        <f>TBIn!E1426</f>
        <v>0</v>
      </c>
      <c r="S34" s="1942">
        <f>IFERROR(R34/Page2!J$5,0)</f>
        <v>0</v>
      </c>
      <c r="T34" s="80">
        <v>31</v>
      </c>
      <c r="U34" s="568"/>
      <c r="V34" s="568"/>
      <c r="W34" s="568"/>
    </row>
    <row r="35" spans="1:23" ht="16" customHeight="1">
      <c r="A35" s="80">
        <v>32</v>
      </c>
      <c r="B35" s="1634" t="s">
        <v>44</v>
      </c>
      <c r="C35" s="201">
        <v>75</v>
      </c>
      <c r="D35" s="2575">
        <f>IF(Flag=TRUE,F35-TBIn!E1302,TBIn!D1302)</f>
        <v>5349</v>
      </c>
      <c r="E35" s="1901">
        <f t="shared" si="0"/>
        <v>5.8282576244592869E-2</v>
      </c>
      <c r="F35" s="2580">
        <f>TBIn!E1302</f>
        <v>16233</v>
      </c>
      <c r="G35" s="1930">
        <f t="shared" si="1"/>
        <v>5.3557642183613002E-2</v>
      </c>
      <c r="H35" s="2575">
        <f>IF(Flag=TRUE,J35-TBIn!E1344,TBIn!D1344)</f>
        <v>0</v>
      </c>
      <c r="I35" s="1901">
        <f t="shared" si="2"/>
        <v>0</v>
      </c>
      <c r="J35" s="2580">
        <f>TBIn!E1344</f>
        <v>13</v>
      </c>
      <c r="K35" s="1942">
        <f t="shared" si="3"/>
        <v>7.4594749677234256E-5</v>
      </c>
      <c r="L35" s="2575">
        <f>IF(Flag=TRUE,N35-TBIn!E1386,TBIn!D1386)</f>
        <v>1943</v>
      </c>
      <c r="M35" s="1901">
        <f t="shared" si="4"/>
        <v>4.588607594936709E-2</v>
      </c>
      <c r="N35" s="2580">
        <f>TBIn!E1386</f>
        <v>2186</v>
      </c>
      <c r="O35" s="1942">
        <f t="shared" si="5"/>
        <v>1.2029760725527746E-2</v>
      </c>
      <c r="P35" s="2575">
        <f>IF(Flag=TRUE,R35-TBIn!E1427,TBIn!D1427)</f>
        <v>0</v>
      </c>
      <c r="Q35" s="1901">
        <f>IFERROR(P35/Page2!G$5,0)</f>
        <v>0</v>
      </c>
      <c r="R35" s="2580">
        <f>TBIn!E1427</f>
        <v>0</v>
      </c>
      <c r="S35" s="1942">
        <f>IFERROR(R35/Page2!J$5,0)</f>
        <v>0</v>
      </c>
      <c r="T35" s="80">
        <v>32</v>
      </c>
      <c r="U35" s="568"/>
      <c r="V35" s="568"/>
      <c r="W35" s="568"/>
    </row>
    <row r="36" spans="1:23" ht="16" customHeight="1">
      <c r="A36" s="80">
        <v>33</v>
      </c>
      <c r="B36" s="124" t="s">
        <v>45</v>
      </c>
      <c r="C36" s="201">
        <v>76</v>
      </c>
      <c r="D36" s="993"/>
      <c r="E36" s="1904"/>
      <c r="F36" s="994"/>
      <c r="G36" s="1904"/>
      <c r="H36" s="993"/>
      <c r="I36" s="1904"/>
      <c r="J36" s="994"/>
      <c r="K36" s="1904"/>
      <c r="L36" s="993"/>
      <c r="M36" s="1904"/>
      <c r="N36" s="994"/>
      <c r="O36" s="1904"/>
      <c r="P36" s="1001"/>
      <c r="Q36" s="1904"/>
      <c r="R36" s="995"/>
      <c r="S36" s="2124"/>
      <c r="T36" s="80">
        <v>33</v>
      </c>
      <c r="U36" s="568"/>
      <c r="V36" s="568"/>
      <c r="W36" s="568"/>
    </row>
    <row r="37" spans="1:23" ht="16" customHeight="1">
      <c r="A37" s="80">
        <v>34</v>
      </c>
      <c r="B37" s="124" t="s">
        <v>46</v>
      </c>
      <c r="C37" s="201">
        <v>78</v>
      </c>
      <c r="D37" s="996"/>
      <c r="E37" s="1905"/>
      <c r="F37" s="997"/>
      <c r="G37" s="1905"/>
      <c r="H37" s="996"/>
      <c r="I37" s="1905"/>
      <c r="J37" s="997"/>
      <c r="K37" s="1905"/>
      <c r="L37" s="996"/>
      <c r="M37" s="1905"/>
      <c r="N37" s="997"/>
      <c r="O37" s="1905"/>
      <c r="P37" s="1002"/>
      <c r="Q37" s="1905"/>
      <c r="R37" s="998"/>
      <c r="S37" s="2125"/>
      <c r="T37" s="80">
        <v>34</v>
      </c>
      <c r="U37" s="568"/>
      <c r="V37" s="568"/>
      <c r="W37" s="568"/>
    </row>
    <row r="38" spans="1:23" ht="16" customHeight="1">
      <c r="A38" s="80">
        <v>35</v>
      </c>
      <c r="B38" s="1539" t="s">
        <v>47</v>
      </c>
      <c r="C38" s="201">
        <v>79</v>
      </c>
      <c r="D38" s="2575">
        <f>IF(Flag=TRUE,F38-TBIn!E1303,TBIn!D1303)</f>
        <v>1133</v>
      </c>
      <c r="E38" s="1900">
        <f>IFERROR(D38/(D$5+D$62),0)</f>
        <v>1.2345140939451061E-2</v>
      </c>
      <c r="F38" s="2580">
        <f>TBIn!E1303</f>
        <v>3869</v>
      </c>
      <c r="G38" s="1929">
        <f>IFERROR(F38/(F$5+F$62),0)</f>
        <v>1.2765016793470012E-2</v>
      </c>
      <c r="H38" s="2575">
        <f>IF(Flag=TRUE,J38-TBIn!E1345,TBIn!D1345)</f>
        <v>378</v>
      </c>
      <c r="I38" s="1900">
        <f>IFERROR(H38/(H$5+H$62),0)</f>
        <v>7.9140757490107402E-3</v>
      </c>
      <c r="J38" s="2580">
        <f>TBIn!E1345</f>
        <v>1290</v>
      </c>
      <c r="K38" s="1941">
        <f>IFERROR(J38/(J$5+J$62),0)</f>
        <v>7.4020943910486298E-3</v>
      </c>
      <c r="L38" s="2575">
        <f>IF(Flag=TRUE,N38-TBIn!E1387,TBIn!D1387)</f>
        <v>378</v>
      </c>
      <c r="M38" s="1900">
        <f>IFERROR(L38/(L$5+L$62),0)</f>
        <v>8.9268845645191757E-3</v>
      </c>
      <c r="N38" s="2580">
        <f>TBIn!E1387</f>
        <v>1290</v>
      </c>
      <c r="O38" s="1941">
        <f>IFERROR(N38/(N$5+N$62),0)</f>
        <v>7.0989896321732816E-3</v>
      </c>
      <c r="P38" s="2577">
        <f>IF(Flag=TRUE,R38-TBIn!E1428,TBIn!D1428)</f>
        <v>0</v>
      </c>
      <c r="Q38" s="1900">
        <f>IFERROR(P38/Page2!G$5,0)</f>
        <v>0</v>
      </c>
      <c r="R38" s="2582">
        <f>TBIn!E1428</f>
        <v>0</v>
      </c>
      <c r="S38" s="1941">
        <f>IFERROR(R38/Page2!J$5,0)</f>
        <v>0</v>
      </c>
      <c r="T38" s="80">
        <v>35</v>
      </c>
      <c r="U38" s="568"/>
      <c r="V38" s="568"/>
      <c r="W38" s="568"/>
    </row>
    <row r="39" spans="1:23" ht="16" customHeight="1">
      <c r="A39" s="80">
        <v>36</v>
      </c>
      <c r="B39" s="124" t="s">
        <v>48</v>
      </c>
      <c r="C39" s="201">
        <v>56</v>
      </c>
      <c r="D39" s="999"/>
      <c r="E39" s="1906"/>
      <c r="F39" s="1000"/>
      <c r="G39" s="1906"/>
      <c r="H39" s="999"/>
      <c r="I39" s="1906"/>
      <c r="J39" s="1000"/>
      <c r="K39" s="1906"/>
      <c r="L39" s="999"/>
      <c r="M39" s="1906"/>
      <c r="N39" s="1000"/>
      <c r="O39" s="1906"/>
      <c r="P39" s="992"/>
      <c r="Q39" s="1906"/>
      <c r="R39" s="875"/>
      <c r="S39" s="2123"/>
      <c r="T39" s="80">
        <v>36</v>
      </c>
      <c r="U39" s="568"/>
      <c r="V39" s="568"/>
      <c r="W39" s="568"/>
    </row>
    <row r="40" spans="1:23" ht="16" customHeight="1">
      <c r="A40" s="80">
        <v>37</v>
      </c>
      <c r="B40" s="1539" t="s">
        <v>49</v>
      </c>
      <c r="C40" s="201">
        <v>57</v>
      </c>
      <c r="D40" s="2576">
        <f>IF(Flag=TRUE,F40-TBIn!E1304,TBIn!D1304)</f>
        <v>0</v>
      </c>
      <c r="E40" s="1907">
        <f t="shared" ref="E40:E64" si="7">IFERROR(D40/(D$5+D$62),0)</f>
        <v>0</v>
      </c>
      <c r="F40" s="2581">
        <f>TBIn!E1304</f>
        <v>0</v>
      </c>
      <c r="G40" s="1932">
        <f t="shared" ref="G40:G64" si="8">IFERROR(F40/(F$5+F$62),0)</f>
        <v>0</v>
      </c>
      <c r="H40" s="2576">
        <f>IF(Flag=TRUE,J40-TBIn!E1346,TBIn!D1346)</f>
        <v>0</v>
      </c>
      <c r="I40" s="1907">
        <f t="shared" ref="I40:I64" si="9">IFERROR(H40/(H$5+H$62),0)</f>
        <v>0</v>
      </c>
      <c r="J40" s="2581">
        <f>TBIn!E1346</f>
        <v>0</v>
      </c>
      <c r="K40" s="1945">
        <f t="shared" ref="K40:K64" si="10">IFERROR(J40/(J$5+J$62),0)</f>
        <v>0</v>
      </c>
      <c r="L40" s="2576">
        <f>IF(Flag=TRUE,N40-TBIn!E1388,TBIn!D1388)</f>
        <v>0</v>
      </c>
      <c r="M40" s="1907">
        <f t="shared" ref="M40:M64" si="11">IFERROR(L40/(L$5+L$62),0)</f>
        <v>0</v>
      </c>
      <c r="N40" s="2581">
        <f>TBIn!E1388</f>
        <v>0</v>
      </c>
      <c r="O40" s="1945">
        <f t="shared" ref="O40:O64" si="12">IFERROR(N40/(N$5+N$62),0)</f>
        <v>0</v>
      </c>
      <c r="P40" s="2576">
        <f>IF(Flag=TRUE,R40-TBIn!E1429,TBIn!D1429)</f>
        <v>0</v>
      </c>
      <c r="Q40" s="1902">
        <f>IFERROR(P40/Page2!G$5,0)</f>
        <v>0</v>
      </c>
      <c r="R40" s="2581">
        <f>TBIn!E1429</f>
        <v>0</v>
      </c>
      <c r="S40" s="1943">
        <f>IFERROR(R40/Page2!J$5,0)</f>
        <v>0</v>
      </c>
      <c r="T40" s="80">
        <v>37</v>
      </c>
      <c r="U40" s="568"/>
      <c r="V40" s="568"/>
      <c r="W40" s="568"/>
    </row>
    <row r="41" spans="1:23" ht="16" customHeight="1">
      <c r="A41" s="80">
        <v>38</v>
      </c>
      <c r="B41" s="1539" t="s">
        <v>50</v>
      </c>
      <c r="C41" s="201">
        <v>33</v>
      </c>
      <c r="D41" s="2577">
        <f>IF(Flag=TRUE,F41-TBIn!E1305,TBIn!D1305)</f>
        <v>726</v>
      </c>
      <c r="E41" s="1900">
        <f t="shared" si="7"/>
        <v>7.9104786602307766E-3</v>
      </c>
      <c r="F41" s="2582">
        <f>TBIn!E1305</f>
        <v>819</v>
      </c>
      <c r="G41" s="1929">
        <f t="shared" si="8"/>
        <v>2.702132011851109E-3</v>
      </c>
      <c r="H41" s="2577">
        <f>IF(Flag=TRUE,J41-TBIn!E1347,TBIn!D1347)</f>
        <v>0</v>
      </c>
      <c r="I41" s="1900">
        <f t="shared" si="9"/>
        <v>0</v>
      </c>
      <c r="J41" s="2582">
        <f>TBIn!E1347</f>
        <v>6</v>
      </c>
      <c r="K41" s="1941">
        <f t="shared" si="10"/>
        <v>3.4428346004877347E-5</v>
      </c>
      <c r="L41" s="2577">
        <f>IF(Flag=TRUE,N41-TBIn!E1389,TBIn!D1389)</f>
        <v>55</v>
      </c>
      <c r="M41" s="1900">
        <f t="shared" si="11"/>
        <v>1.2988853202342717E-3</v>
      </c>
      <c r="N41" s="2582">
        <f>TBIn!E1389</f>
        <v>331</v>
      </c>
      <c r="O41" s="1941">
        <f t="shared" si="12"/>
        <v>1.8215236963173304E-3</v>
      </c>
      <c r="P41" s="2577">
        <f>IF(Flag=TRUE,R41-TBIn!E1430,TBIn!D1430)</f>
        <v>0</v>
      </c>
      <c r="Q41" s="1900">
        <f>IFERROR(P41/Page2!G$5,0)</f>
        <v>0</v>
      </c>
      <c r="R41" s="2582">
        <f>TBIn!E1430</f>
        <v>0</v>
      </c>
      <c r="S41" s="1941">
        <f>IFERROR(R41/Page2!J$5,0)</f>
        <v>0</v>
      </c>
      <c r="T41" s="80">
        <v>38</v>
      </c>
      <c r="U41" s="568"/>
      <c r="V41" s="568"/>
      <c r="W41" s="568"/>
    </row>
    <row r="42" spans="1:23" ht="16" customHeight="1">
      <c r="A42" s="80">
        <v>39</v>
      </c>
      <c r="B42" s="1539" t="s">
        <v>51</v>
      </c>
      <c r="C42" s="201">
        <v>77</v>
      </c>
      <c r="D42" s="2576">
        <f>IF(Flag=TRUE,F42-TBIn!E1306,TBIn!D1306)</f>
        <v>-6640</v>
      </c>
      <c r="E42" s="1902">
        <f t="shared" si="7"/>
        <v>-7.2349281410375152E-2</v>
      </c>
      <c r="F42" s="2581">
        <f>TBIn!E1306</f>
        <v>-8714</v>
      </c>
      <c r="G42" s="1931">
        <f t="shared" si="8"/>
        <v>-2.8750156717058075E-2</v>
      </c>
      <c r="H42" s="2576">
        <f>IF(Flag=TRUE,J42-TBIn!E1348,TBIn!D1348)</f>
        <v>1932</v>
      </c>
      <c r="I42" s="1902">
        <f t="shared" si="9"/>
        <v>4.0449720494943782E-2</v>
      </c>
      <c r="J42" s="2581">
        <f>TBIn!E1348</f>
        <v>4936</v>
      </c>
      <c r="K42" s="1943">
        <f t="shared" si="10"/>
        <v>2.83230526466791E-2</v>
      </c>
      <c r="L42" s="2576">
        <f>IF(Flag=TRUE,N42-TBIn!E1390,TBIn!D1390)</f>
        <v>0</v>
      </c>
      <c r="M42" s="1902">
        <f t="shared" si="11"/>
        <v>0</v>
      </c>
      <c r="N42" s="2581">
        <f>TBIn!E1390</f>
        <v>78</v>
      </c>
      <c r="O42" s="1943">
        <f t="shared" si="12"/>
        <v>4.2924123357326817E-4</v>
      </c>
      <c r="P42" s="2576">
        <f>IF(Flag=TRUE,R42-TBIn!E1431,TBIn!D1431)</f>
        <v>0</v>
      </c>
      <c r="Q42" s="1902">
        <f>IFERROR(P42/Page2!G$5,0)</f>
        <v>0</v>
      </c>
      <c r="R42" s="2581">
        <f>TBIn!E1431</f>
        <v>0</v>
      </c>
      <c r="S42" s="1943">
        <f>IFERROR(R42/Page2!J$5,0)</f>
        <v>0</v>
      </c>
      <c r="T42" s="80">
        <v>39</v>
      </c>
      <c r="U42" s="568"/>
      <c r="V42" s="568"/>
      <c r="W42" s="568"/>
    </row>
    <row r="43" spans="1:23" ht="16" customHeight="1">
      <c r="A43" s="80">
        <v>40</v>
      </c>
      <c r="B43" s="230" t="s">
        <v>52</v>
      </c>
      <c r="C43" s="211"/>
      <c r="D43" s="669">
        <f t="shared" ref="D43:R43" si="13">SUM(D21:D42)</f>
        <v>20568</v>
      </c>
      <c r="E43" s="1903">
        <f t="shared" si="7"/>
        <v>0.22410843675430664</v>
      </c>
      <c r="F43" s="670">
        <f t="shared" si="13"/>
        <v>72545</v>
      </c>
      <c r="G43" s="1903">
        <f t="shared" si="8"/>
        <v>0.23934818901066995</v>
      </c>
      <c r="H43" s="669">
        <f t="shared" si="13"/>
        <v>15458</v>
      </c>
      <c r="I43" s="1903">
        <f t="shared" si="9"/>
        <v>0.32363963737621171</v>
      </c>
      <c r="J43" s="670">
        <f t="shared" si="13"/>
        <v>29094</v>
      </c>
      <c r="K43" s="1944">
        <f t="shared" si="10"/>
        <v>0.16694304977765026</v>
      </c>
      <c r="L43" s="669">
        <f t="shared" si="13"/>
        <v>12064</v>
      </c>
      <c r="M43" s="1903">
        <f t="shared" si="11"/>
        <v>0.28490459096920462</v>
      </c>
      <c r="N43" s="670">
        <f t="shared" si="13"/>
        <v>37503</v>
      </c>
      <c r="O43" s="1944">
        <f t="shared" si="12"/>
        <v>0.2063824869576702</v>
      </c>
      <c r="P43" s="243">
        <f t="shared" si="13"/>
        <v>0</v>
      </c>
      <c r="Q43" s="1903">
        <f>IFERROR(P43/Page2!G$5,0)</f>
        <v>0</v>
      </c>
      <c r="R43" s="497">
        <f t="shared" si="13"/>
        <v>0</v>
      </c>
      <c r="S43" s="1944">
        <f>IFERROR(R43/Page2!J$5,0)</f>
        <v>0</v>
      </c>
      <c r="T43" s="80">
        <v>40</v>
      </c>
      <c r="U43" s="568"/>
      <c r="V43" s="568"/>
      <c r="W43" s="568"/>
    </row>
    <row r="44" spans="1:23" ht="16" customHeight="1">
      <c r="A44" s="80">
        <v>41</v>
      </c>
      <c r="B44" s="1601" t="s">
        <v>53</v>
      </c>
      <c r="C44" s="190">
        <v>80</v>
      </c>
      <c r="D44" s="2575">
        <f>IF(Flag=TRUE,F44-TBIn!E1307,TBIn!D1307)</f>
        <v>14220</v>
      </c>
      <c r="E44" s="1901">
        <f t="shared" si="7"/>
        <v>0.15494078036980943</v>
      </c>
      <c r="F44" s="2580">
        <f>TBIn!E1307</f>
        <v>55530</v>
      </c>
      <c r="G44" s="1930">
        <f t="shared" si="8"/>
        <v>0.18321048915517957</v>
      </c>
      <c r="H44" s="2575">
        <f>IF(Flag=TRUE,J44-TBIn!E1349,TBIn!D1349)</f>
        <v>4740</v>
      </c>
      <c r="I44" s="1901">
        <f t="shared" si="9"/>
        <v>9.9239997487595003E-2</v>
      </c>
      <c r="J44" s="2580">
        <f>TBIn!E1349</f>
        <v>18510</v>
      </c>
      <c r="K44" s="1942">
        <f t="shared" si="10"/>
        <v>0.10621144742504662</v>
      </c>
      <c r="L44" s="2575">
        <f>IF(Flag=TRUE,N44-TBIn!E1391,TBIn!D1391)</f>
        <v>4740</v>
      </c>
      <c r="M44" s="1901">
        <f t="shared" si="11"/>
        <v>0.11194029850746269</v>
      </c>
      <c r="N44" s="2580">
        <f>TBIn!E1391</f>
        <v>18510</v>
      </c>
      <c r="O44" s="1942">
        <f t="shared" si="12"/>
        <v>0.1018622465825794</v>
      </c>
      <c r="P44" s="2575">
        <f>IF(Flag=TRUE,R44-TBIn!E1432,TBIn!D1432)</f>
        <v>0</v>
      </c>
      <c r="Q44" s="1901">
        <f>IFERROR(P44/Page2!G$5,0)</f>
        <v>0</v>
      </c>
      <c r="R44" s="2580">
        <f>TBIn!E1432</f>
        <v>0</v>
      </c>
      <c r="S44" s="1942">
        <f>IFERROR(R44/Page2!J$5,0)</f>
        <v>0</v>
      </c>
      <c r="T44" s="80">
        <v>41</v>
      </c>
      <c r="U44" s="568"/>
      <c r="V44" s="568"/>
      <c r="W44" s="568"/>
    </row>
    <row r="45" spans="1:23" ht="16" customHeight="1">
      <c r="A45" s="80">
        <v>42</v>
      </c>
      <c r="B45" s="1642" t="s">
        <v>54</v>
      </c>
      <c r="C45" s="201">
        <v>81</v>
      </c>
      <c r="D45" s="2575">
        <f>IF(Flag=TRUE,F45-TBIn!E1308,TBIn!D1308)</f>
        <v>0</v>
      </c>
      <c r="E45" s="1901">
        <f t="shared" si="7"/>
        <v>0</v>
      </c>
      <c r="F45" s="2580">
        <f>TBIn!E1308</f>
        <v>0</v>
      </c>
      <c r="G45" s="1930">
        <f t="shared" si="8"/>
        <v>0</v>
      </c>
      <c r="H45" s="2575">
        <f>IF(Flag=TRUE,J45-TBIn!E1350,TBIn!D1350)</f>
        <v>0</v>
      </c>
      <c r="I45" s="1901">
        <f t="shared" si="9"/>
        <v>0</v>
      </c>
      <c r="J45" s="2580">
        <f>TBIn!E1350</f>
        <v>0</v>
      </c>
      <c r="K45" s="1942">
        <f t="shared" si="10"/>
        <v>0</v>
      </c>
      <c r="L45" s="2575">
        <f>IF(Flag=TRUE,N45-TBIn!E1392,TBIn!D1392)</f>
        <v>0</v>
      </c>
      <c r="M45" s="1901">
        <f t="shared" si="11"/>
        <v>0</v>
      </c>
      <c r="N45" s="2580">
        <f>TBIn!E1392</f>
        <v>0</v>
      </c>
      <c r="O45" s="1942">
        <f t="shared" si="12"/>
        <v>0</v>
      </c>
      <c r="P45" s="2575">
        <f>IF(Flag=TRUE,R45-TBIn!E1433,TBIn!D1433)</f>
        <v>0</v>
      </c>
      <c r="Q45" s="1901">
        <f>IFERROR(P45/Page2!G$5,0)</f>
        <v>0</v>
      </c>
      <c r="R45" s="2580">
        <f>TBIn!E1433</f>
        <v>0</v>
      </c>
      <c r="S45" s="1942">
        <f>IFERROR(R45/Page2!J$5,0)</f>
        <v>0</v>
      </c>
      <c r="T45" s="80">
        <v>42</v>
      </c>
      <c r="U45" s="568"/>
      <c r="V45" s="568"/>
      <c r="W45" s="568"/>
    </row>
    <row r="46" spans="1:23" ht="16" customHeight="1">
      <c r="A46" s="80">
        <v>43</v>
      </c>
      <c r="B46" s="1634" t="s">
        <v>55</v>
      </c>
      <c r="C46" s="201">
        <v>82</v>
      </c>
      <c r="D46" s="2575">
        <f>IF(Flag=TRUE,F46-TBIn!E1309,TBIn!D1309)</f>
        <v>849</v>
      </c>
      <c r="E46" s="1901">
        <f t="shared" si="7"/>
        <v>9.2506837225012802E-3</v>
      </c>
      <c r="F46" s="2580">
        <f>TBIn!E1309</f>
        <v>10165</v>
      </c>
      <c r="G46" s="1930">
        <f t="shared" si="8"/>
        <v>3.353745042792005E-2</v>
      </c>
      <c r="H46" s="2575">
        <f>IF(Flag=TRUE,J46-TBIn!E1351,TBIn!D1351)</f>
        <v>973</v>
      </c>
      <c r="I46" s="1901">
        <f t="shared" si="9"/>
        <v>2.0371417205786908E-2</v>
      </c>
      <c r="J46" s="2580">
        <f>TBIn!E1351</f>
        <v>6530</v>
      </c>
      <c r="K46" s="1942">
        <f t="shared" si="10"/>
        <v>3.7469516568641517E-2</v>
      </c>
      <c r="L46" s="2575">
        <f>IF(Flag=TRUE,N46-TBIn!E1393,TBIn!D1393)</f>
        <v>283</v>
      </c>
      <c r="M46" s="1901">
        <f t="shared" si="11"/>
        <v>6.6833553750236165E-3</v>
      </c>
      <c r="N46" s="2580">
        <f>TBIn!E1393</f>
        <v>3000</v>
      </c>
      <c r="O46" s="1942">
        <f t="shared" si="12"/>
        <v>1.6509278214356469E-2</v>
      </c>
      <c r="P46" s="2575">
        <f>IF(Flag=TRUE,R46-TBIn!E1434,TBIn!D1434)</f>
        <v>0</v>
      </c>
      <c r="Q46" s="1901">
        <f>IFERROR(P46/Page2!G$5,0)</f>
        <v>0</v>
      </c>
      <c r="R46" s="2580">
        <f>TBIn!E1434</f>
        <v>0</v>
      </c>
      <c r="S46" s="1942">
        <f>IFERROR(R46/Page2!J$5,0)</f>
        <v>0</v>
      </c>
      <c r="T46" s="80">
        <v>43</v>
      </c>
      <c r="U46" s="568"/>
      <c r="V46" s="568"/>
      <c r="W46" s="568"/>
    </row>
    <row r="47" spans="1:23" ht="16" customHeight="1">
      <c r="A47" s="80">
        <v>44</v>
      </c>
      <c r="B47" s="1634" t="s">
        <v>56</v>
      </c>
      <c r="C47" s="201">
        <v>83</v>
      </c>
      <c r="D47" s="2576">
        <f>IF(Flag=TRUE,F47-TBIn!E1310,TBIn!D1310)</f>
        <v>23</v>
      </c>
      <c r="E47" s="1902">
        <f t="shared" si="7"/>
        <v>2.5060745066846811E-4</v>
      </c>
      <c r="F47" s="2581">
        <f>TBIn!E1310</f>
        <v>92</v>
      </c>
      <c r="G47" s="1931">
        <f t="shared" si="8"/>
        <v>3.0353619669145547E-4</v>
      </c>
      <c r="H47" s="2576">
        <f>IF(Flag=TRUE,J47-TBIn!E1352,TBIn!D1352)</f>
        <v>8</v>
      </c>
      <c r="I47" s="1902">
        <f t="shared" si="9"/>
        <v>1.6749366664572997E-4</v>
      </c>
      <c r="J47" s="2581">
        <f>TBIn!E1352</f>
        <v>31</v>
      </c>
      <c r="K47" s="1943">
        <f t="shared" si="10"/>
        <v>1.778797876918663E-4</v>
      </c>
      <c r="L47" s="2576">
        <f>IF(Flag=TRUE,N47-TBIn!E1394,TBIn!D1394)</f>
        <v>8</v>
      </c>
      <c r="M47" s="1902">
        <f t="shared" si="11"/>
        <v>1.8892877385225771E-4</v>
      </c>
      <c r="N47" s="2581">
        <f>TBIn!E1394</f>
        <v>31</v>
      </c>
      <c r="O47" s="1943">
        <f t="shared" si="12"/>
        <v>1.7059587488168351E-4</v>
      </c>
      <c r="P47" s="2576">
        <f>IF(Flag=TRUE,R47-TBIn!E1435,TBIn!D1435)</f>
        <v>0</v>
      </c>
      <c r="Q47" s="1902">
        <f>IFERROR(P47/Page2!G$5,0)</f>
        <v>0</v>
      </c>
      <c r="R47" s="2581">
        <f>TBIn!E1435</f>
        <v>0</v>
      </c>
      <c r="S47" s="1943">
        <f>IFERROR(R47/Page2!J$5,0)</f>
        <v>0</v>
      </c>
      <c r="T47" s="80">
        <v>44</v>
      </c>
      <c r="U47" s="568"/>
      <c r="V47" s="568"/>
      <c r="W47" s="568"/>
    </row>
    <row r="48" spans="1:23" ht="16" customHeight="1">
      <c r="A48" s="80">
        <v>45</v>
      </c>
      <c r="B48" s="1634" t="s">
        <v>57</v>
      </c>
      <c r="C48" s="193">
        <v>84</v>
      </c>
      <c r="D48" s="2577">
        <f>IF(Flag=TRUE,F48-TBIn!E1311,TBIn!D1311)</f>
        <v>1800</v>
      </c>
      <c r="E48" s="1900">
        <f t="shared" si="7"/>
        <v>1.9612757008836638E-2</v>
      </c>
      <c r="F48" s="2582">
        <f>TBIn!E1311</f>
        <v>7200</v>
      </c>
      <c r="G48" s="1929">
        <f t="shared" si="8"/>
        <v>2.3755006697592167E-2</v>
      </c>
      <c r="H48" s="2577">
        <f>IF(Flag=TRUE,J48-TBIn!E1353,TBIn!D1353)</f>
        <v>600</v>
      </c>
      <c r="I48" s="1900">
        <f t="shared" si="9"/>
        <v>1.2562024998429747E-2</v>
      </c>
      <c r="J48" s="2582">
        <f>TBIn!E1353</f>
        <v>2400</v>
      </c>
      <c r="K48" s="1941">
        <f t="shared" si="10"/>
        <v>1.3771338401950939E-2</v>
      </c>
      <c r="L48" s="2577">
        <f>IF(Flag=TRUE,N48-TBIn!E1395,TBIn!D1395)</f>
        <v>600</v>
      </c>
      <c r="M48" s="1900">
        <f t="shared" si="11"/>
        <v>1.4169658038919328E-2</v>
      </c>
      <c r="N48" s="2582">
        <f>TBIn!E1395</f>
        <v>2400</v>
      </c>
      <c r="O48" s="1941">
        <f t="shared" si="12"/>
        <v>1.3207422571485175E-2</v>
      </c>
      <c r="P48" s="2577">
        <f>IF(Flag=TRUE,R48-TBIn!E1436,TBIn!D1436)</f>
        <v>0</v>
      </c>
      <c r="Q48" s="1900">
        <f>IFERROR(P48/Page2!G$5,0)</f>
        <v>0</v>
      </c>
      <c r="R48" s="2582">
        <f>TBIn!E1436</f>
        <v>0</v>
      </c>
      <c r="S48" s="1941">
        <f>IFERROR(R48/Page2!J$5,0)</f>
        <v>0</v>
      </c>
      <c r="T48" s="80">
        <v>45</v>
      </c>
      <c r="U48" s="568"/>
      <c r="V48" s="568"/>
      <c r="W48" s="568"/>
    </row>
    <row r="49" spans="1:23" ht="16" customHeight="1">
      <c r="A49" s="80">
        <v>46</v>
      </c>
      <c r="B49" s="1634" t="s">
        <v>58</v>
      </c>
      <c r="C49" s="201">
        <v>85</v>
      </c>
      <c r="D49" s="2575">
        <f>IF(Flag=TRUE,F49-TBIn!E1312,TBIn!D1312)</f>
        <v>1224</v>
      </c>
      <c r="E49" s="1901">
        <f t="shared" si="7"/>
        <v>1.3336674766008912E-2</v>
      </c>
      <c r="F49" s="2580">
        <f>TBIn!E1312</f>
        <v>4896</v>
      </c>
      <c r="G49" s="1930">
        <f t="shared" si="8"/>
        <v>1.6153404554362674E-2</v>
      </c>
      <c r="H49" s="2575">
        <f>IF(Flag=TRUE,J49-TBIn!E1354,TBIn!D1354)</f>
        <v>408</v>
      </c>
      <c r="I49" s="1901">
        <f t="shared" si="9"/>
        <v>8.5421769989322271E-3</v>
      </c>
      <c r="J49" s="2580">
        <f>TBIn!E1354</f>
        <v>1632</v>
      </c>
      <c r="K49" s="1942">
        <f t="shared" si="10"/>
        <v>9.3645101133266392E-3</v>
      </c>
      <c r="L49" s="2575">
        <f>IF(Flag=TRUE,N49-TBIn!E1396,TBIn!D1396)</f>
        <v>408</v>
      </c>
      <c r="M49" s="1901">
        <f t="shared" si="11"/>
        <v>9.6353674664651431E-3</v>
      </c>
      <c r="N49" s="2580">
        <f>TBIn!E1396</f>
        <v>1632</v>
      </c>
      <c r="O49" s="1942">
        <f t="shared" si="12"/>
        <v>8.9810473486099194E-3</v>
      </c>
      <c r="P49" s="2575">
        <f>IF(Flag=TRUE,R49-TBIn!E1437,TBIn!D1437)</f>
        <v>0</v>
      </c>
      <c r="Q49" s="1901">
        <f>IFERROR(P49/Page2!G$5,0)</f>
        <v>0</v>
      </c>
      <c r="R49" s="2580">
        <f>TBIn!E1437</f>
        <v>0</v>
      </c>
      <c r="S49" s="1942">
        <f>IFERROR(R49/Page2!J$5,0)</f>
        <v>0</v>
      </c>
      <c r="T49" s="80">
        <v>46</v>
      </c>
      <c r="U49" s="568"/>
      <c r="V49" s="568"/>
      <c r="W49" s="568"/>
    </row>
    <row r="50" spans="1:23" ht="16" customHeight="1">
      <c r="A50" s="80">
        <v>47</v>
      </c>
      <c r="B50" s="1638" t="s">
        <v>59</v>
      </c>
      <c r="C50" s="193">
        <v>86</v>
      </c>
      <c r="D50" s="2577">
        <f>IF(Flag=TRUE,F50-TBIn!E1313,TBIn!D1313)</f>
        <v>0</v>
      </c>
      <c r="E50" s="1900">
        <f t="shared" si="7"/>
        <v>0</v>
      </c>
      <c r="F50" s="2582">
        <f>TBIn!E1313</f>
        <v>0</v>
      </c>
      <c r="G50" s="1929">
        <f t="shared" si="8"/>
        <v>0</v>
      </c>
      <c r="H50" s="2577">
        <f>IF(Flag=TRUE,J50-TBIn!E1355,TBIn!D1355)</f>
        <v>0</v>
      </c>
      <c r="I50" s="1900">
        <f t="shared" si="9"/>
        <v>0</v>
      </c>
      <c r="J50" s="2582">
        <f>TBIn!E1355</f>
        <v>0</v>
      </c>
      <c r="K50" s="1941">
        <f t="shared" si="10"/>
        <v>0</v>
      </c>
      <c r="L50" s="2577">
        <f>IF(Flag=TRUE,N50-TBIn!E1397,TBIn!D1397)</f>
        <v>0</v>
      </c>
      <c r="M50" s="1900">
        <f t="shared" si="11"/>
        <v>0</v>
      </c>
      <c r="N50" s="2582">
        <f>TBIn!E1397</f>
        <v>0</v>
      </c>
      <c r="O50" s="1941">
        <f t="shared" si="12"/>
        <v>0</v>
      </c>
      <c r="P50" s="2577">
        <f>IF(Flag=TRUE,R50-TBIn!E1438,TBIn!D1438)</f>
        <v>0</v>
      </c>
      <c r="Q50" s="1900">
        <f>IFERROR(P50/Page2!G$5,0)</f>
        <v>0</v>
      </c>
      <c r="R50" s="2594">
        <f>TBIn!E1438</f>
        <v>0</v>
      </c>
      <c r="S50" s="1941">
        <f>IFERROR(R50/Page2!J$5,0)</f>
        <v>0</v>
      </c>
      <c r="T50" s="80">
        <v>47</v>
      </c>
      <c r="U50" s="568"/>
      <c r="V50" s="568"/>
      <c r="W50" s="568"/>
    </row>
    <row r="51" spans="1:23" ht="16" customHeight="1">
      <c r="A51" s="80">
        <v>48</v>
      </c>
      <c r="B51" s="1637" t="s">
        <v>60</v>
      </c>
      <c r="C51" s="201">
        <v>87</v>
      </c>
      <c r="D51" s="2575">
        <f>IF(Flag=TRUE,F51-TBIn!E1314,TBIn!D1314)</f>
        <v>2995</v>
      </c>
      <c r="E51" s="1901">
        <f t="shared" si="7"/>
        <v>3.2633448467480959E-2</v>
      </c>
      <c r="F51" s="2580">
        <f>TBIn!E1314</f>
        <v>11825</v>
      </c>
      <c r="G51" s="1930">
        <f t="shared" si="8"/>
        <v>3.9014299194309356E-2</v>
      </c>
      <c r="H51" s="2575">
        <f>IF(Flag=TRUE,J51-TBIn!E1356,TBIn!D1356)</f>
        <v>998</v>
      </c>
      <c r="I51" s="1901">
        <f t="shared" si="9"/>
        <v>2.0894834914054812E-2</v>
      </c>
      <c r="J51" s="2580">
        <f>TBIn!E1356</f>
        <v>3942</v>
      </c>
      <c r="K51" s="1942">
        <f t="shared" si="10"/>
        <v>2.2619423325204419E-2</v>
      </c>
      <c r="L51" s="2575">
        <f>IF(Flag=TRUE,N51-TBIn!E1398,TBIn!D1398)</f>
        <v>998</v>
      </c>
      <c r="M51" s="1901">
        <f t="shared" si="11"/>
        <v>2.3568864538069147E-2</v>
      </c>
      <c r="N51" s="2580">
        <f>TBIn!E1398</f>
        <v>3942</v>
      </c>
      <c r="O51" s="1942">
        <f t="shared" si="12"/>
        <v>2.1693191573664398E-2</v>
      </c>
      <c r="P51" s="2575">
        <f>IF(Flag=TRUE,R51-TBIn!E1439,TBIn!D1439)</f>
        <v>0</v>
      </c>
      <c r="Q51" s="1901">
        <f>IFERROR(P51/Page2!G$5,0)</f>
        <v>0</v>
      </c>
      <c r="R51" s="2580">
        <f>TBIn!E1439</f>
        <v>0</v>
      </c>
      <c r="S51" s="1943">
        <f>IFERROR(R51/Page2!J$5,0)</f>
        <v>0</v>
      </c>
      <c r="T51" s="80">
        <v>48</v>
      </c>
      <c r="U51" s="568"/>
      <c r="V51" s="568"/>
      <c r="W51" s="568"/>
    </row>
    <row r="52" spans="1:23" ht="16" customHeight="1">
      <c r="A52" s="80">
        <v>49</v>
      </c>
      <c r="B52" s="231" t="s">
        <v>61</v>
      </c>
      <c r="C52" s="211"/>
      <c r="D52" s="243">
        <f>SUM(D44:D51)</f>
        <v>21111</v>
      </c>
      <c r="E52" s="1903">
        <f t="shared" si="7"/>
        <v>0.23002495178530569</v>
      </c>
      <c r="F52" s="497">
        <f>SUM(F44:F51)</f>
        <v>89708</v>
      </c>
      <c r="G52" s="1903">
        <f t="shared" si="8"/>
        <v>0.29597418622605526</v>
      </c>
      <c r="H52" s="243">
        <f>SUM(H44:H51)</f>
        <v>7727</v>
      </c>
      <c r="I52" s="1903">
        <f t="shared" si="9"/>
        <v>0.16177794527144443</v>
      </c>
      <c r="J52" s="2711">
        <f>SUM(J44:J51)</f>
        <v>33045</v>
      </c>
      <c r="K52" s="1944">
        <f t="shared" si="10"/>
        <v>0.18961411562186201</v>
      </c>
      <c r="L52" s="243">
        <f>SUM(L44:L51)</f>
        <v>7037</v>
      </c>
      <c r="M52" s="1903">
        <f t="shared" si="11"/>
        <v>0.16618647269979217</v>
      </c>
      <c r="N52" s="497">
        <f>SUM(N44:N51)</f>
        <v>29515</v>
      </c>
      <c r="O52" s="1944">
        <f t="shared" si="12"/>
        <v>0.16242378216557704</v>
      </c>
      <c r="P52" s="243">
        <f>SUM(P44:P51)</f>
        <v>0</v>
      </c>
      <c r="Q52" s="1903">
        <f>IFERROR(P52/Page2!G$5,0)</f>
        <v>0</v>
      </c>
      <c r="R52" s="497">
        <f>SUM(R44:R51)</f>
        <v>0</v>
      </c>
      <c r="S52" s="1944">
        <f>IFERROR(R52/Page2!J$5,0)</f>
        <v>0</v>
      </c>
      <c r="T52" s="80">
        <v>49</v>
      </c>
      <c r="U52" s="568"/>
      <c r="V52" s="568"/>
      <c r="W52" s="568"/>
    </row>
    <row r="53" spans="1:23" ht="16" customHeight="1">
      <c r="A53" s="80">
        <v>50</v>
      </c>
      <c r="B53" s="1539" t="s">
        <v>62</v>
      </c>
      <c r="C53" s="201">
        <v>88</v>
      </c>
      <c r="D53" s="2575">
        <f>IF(Flag=TRUE,F53-TBIn!E1315,TBIn!D1315)</f>
        <v>0</v>
      </c>
      <c r="E53" s="1901">
        <f t="shared" si="7"/>
        <v>0</v>
      </c>
      <c r="F53" s="2580">
        <f>TBIn!E1315</f>
        <v>0</v>
      </c>
      <c r="G53" s="1930">
        <f t="shared" si="8"/>
        <v>0</v>
      </c>
      <c r="H53" s="2575">
        <f>IF(Flag=TRUE,J53-TBIn!E1357,TBIn!D1357)</f>
        <v>0</v>
      </c>
      <c r="I53" s="1901">
        <f t="shared" si="9"/>
        <v>0</v>
      </c>
      <c r="J53" s="2580">
        <f>TBIn!E1357</f>
        <v>0</v>
      </c>
      <c r="K53" s="1942">
        <f t="shared" si="10"/>
        <v>0</v>
      </c>
      <c r="L53" s="2575">
        <f>IF(Flag=TRUE,N53-TBIn!E1399,TBIn!D1399)</f>
        <v>0</v>
      </c>
      <c r="M53" s="1901">
        <f t="shared" si="11"/>
        <v>0</v>
      </c>
      <c r="N53" s="2580">
        <f>TBIn!E1399</f>
        <v>0</v>
      </c>
      <c r="O53" s="1942">
        <f t="shared" si="12"/>
        <v>0</v>
      </c>
      <c r="P53" s="2575">
        <f>IF(Flag=TRUE,R53-TBIn!E1440,TBIn!D1440)</f>
        <v>0</v>
      </c>
      <c r="Q53" s="1901">
        <f>IFERROR(P53/Page2!G$5,0)</f>
        <v>0</v>
      </c>
      <c r="R53" s="2580">
        <f>TBIn!E1440</f>
        <v>0</v>
      </c>
      <c r="S53" s="1942">
        <f>IFERROR(R53/Page2!J$5,0)</f>
        <v>0</v>
      </c>
      <c r="T53" s="80">
        <v>50</v>
      </c>
      <c r="U53" s="568"/>
      <c r="V53" s="568"/>
      <c r="W53" s="568"/>
    </row>
    <row r="54" spans="1:23" ht="16" customHeight="1">
      <c r="A54" s="80">
        <v>51</v>
      </c>
      <c r="B54" s="1539" t="s">
        <v>63</v>
      </c>
      <c r="C54" s="201">
        <v>89</v>
      </c>
      <c r="D54" s="2575">
        <f>IF(Flag=TRUE,F54-TBIn!E1316,TBIn!D1316)</f>
        <v>0</v>
      </c>
      <c r="E54" s="1901">
        <f t="shared" si="7"/>
        <v>0</v>
      </c>
      <c r="F54" s="2580">
        <f>TBIn!E1316</f>
        <v>0</v>
      </c>
      <c r="G54" s="1930">
        <f t="shared" si="8"/>
        <v>0</v>
      </c>
      <c r="H54" s="2575">
        <f>IF(Flag=TRUE,J54-TBIn!E1358,TBIn!D1358)</f>
        <v>0</v>
      </c>
      <c r="I54" s="1901">
        <f t="shared" si="9"/>
        <v>0</v>
      </c>
      <c r="J54" s="2580">
        <f>TBIn!E1358</f>
        <v>0</v>
      </c>
      <c r="K54" s="1942">
        <f t="shared" si="10"/>
        <v>0</v>
      </c>
      <c r="L54" s="2575">
        <f>IF(Flag=TRUE,N54-TBIn!E1400,TBIn!D1400)</f>
        <v>0</v>
      </c>
      <c r="M54" s="1901">
        <f t="shared" si="11"/>
        <v>0</v>
      </c>
      <c r="N54" s="2580">
        <f>TBIn!E1400</f>
        <v>0</v>
      </c>
      <c r="O54" s="1942">
        <f t="shared" si="12"/>
        <v>0</v>
      </c>
      <c r="P54" s="2575">
        <f>IF(Flag=TRUE,R54-TBIn!E1441,TBIn!D1441)</f>
        <v>0</v>
      </c>
      <c r="Q54" s="1901">
        <f>IFERROR(P54/Page2!G$5,0)</f>
        <v>0</v>
      </c>
      <c r="R54" s="2580">
        <f>TBIn!E1441</f>
        <v>0</v>
      </c>
      <c r="S54" s="1942">
        <f>IFERROR(R54/Page2!J$5,0)</f>
        <v>0</v>
      </c>
      <c r="T54" s="80">
        <v>51</v>
      </c>
      <c r="U54" s="568"/>
      <c r="V54" s="568"/>
      <c r="W54" s="568"/>
    </row>
    <row r="55" spans="1:23" ht="16" customHeight="1">
      <c r="A55" s="80">
        <v>52</v>
      </c>
      <c r="B55" s="1539" t="s">
        <v>64</v>
      </c>
      <c r="C55" s="201">
        <v>90</v>
      </c>
      <c r="D55" s="2575">
        <f>IF(Flag=TRUE,F55-TBIn!E1317,TBIn!D1317)</f>
        <v>3808</v>
      </c>
      <c r="E55" s="1901">
        <f t="shared" si="7"/>
        <v>4.1491877049805503E-2</v>
      </c>
      <c r="F55" s="2580">
        <f>TBIn!E1317</f>
        <v>4249</v>
      </c>
      <c r="G55" s="1930">
        <f t="shared" si="8"/>
        <v>1.4018753258065154E-2</v>
      </c>
      <c r="H55" s="2575">
        <f>IF(Flag=TRUE,J55-TBIn!E1359,TBIn!D1359)</f>
        <v>0</v>
      </c>
      <c r="I55" s="1901">
        <f t="shared" si="9"/>
        <v>0</v>
      </c>
      <c r="J55" s="2580">
        <f>TBIn!E1359</f>
        <v>1544</v>
      </c>
      <c r="K55" s="1942">
        <f t="shared" si="10"/>
        <v>8.8595610385884382E-3</v>
      </c>
      <c r="L55" s="2575">
        <f>IF(Flag=TRUE,N55-TBIn!E1401,TBIn!D1401)</f>
        <v>0</v>
      </c>
      <c r="M55" s="1901">
        <f t="shared" si="11"/>
        <v>0</v>
      </c>
      <c r="N55" s="2580">
        <f>TBIn!E1401</f>
        <v>147</v>
      </c>
      <c r="O55" s="1942">
        <f t="shared" si="12"/>
        <v>8.0895463250346699E-4</v>
      </c>
      <c r="P55" s="2575">
        <f>IF(Flag=TRUE,R55-TBIn!E1442,TBIn!D1442)</f>
        <v>0</v>
      </c>
      <c r="Q55" s="1901">
        <f>IFERROR(P55/Page2!G$5,0)</f>
        <v>0</v>
      </c>
      <c r="R55" s="2580">
        <f>TBIn!E1442</f>
        <v>0</v>
      </c>
      <c r="S55" s="1942">
        <f>IFERROR(R55/Page2!J$5,0)</f>
        <v>0</v>
      </c>
      <c r="T55" s="80">
        <v>52</v>
      </c>
      <c r="U55" s="568"/>
      <c r="V55" s="568"/>
      <c r="W55" s="568"/>
    </row>
    <row r="56" spans="1:23" ht="16" customHeight="1">
      <c r="A56" s="80">
        <v>53</v>
      </c>
      <c r="B56" s="1539" t="s">
        <v>65</v>
      </c>
      <c r="C56" s="201">
        <v>91</v>
      </c>
      <c r="D56" s="2575">
        <f>IF(Flag=TRUE,F56-TBIn!E1318,TBIn!D1318)</f>
        <v>4053</v>
      </c>
      <c r="E56" s="1901">
        <f t="shared" si="7"/>
        <v>4.4161391198230496E-2</v>
      </c>
      <c r="F56" s="2580">
        <f>TBIn!E1318</f>
        <v>16212</v>
      </c>
      <c r="G56" s="1930">
        <f t="shared" si="8"/>
        <v>5.3488356747411696E-2</v>
      </c>
      <c r="H56" s="2575">
        <f>IF(Flag=TRUE,J56-TBIn!E1360,TBIn!D1360)</f>
        <v>1351</v>
      </c>
      <c r="I56" s="1901">
        <f t="shared" si="9"/>
        <v>2.8285492954797646E-2</v>
      </c>
      <c r="J56" s="2580">
        <f>TBIn!E1360</f>
        <v>5404</v>
      </c>
      <c r="K56" s="1942">
        <f t="shared" si="10"/>
        <v>3.1008463635059533E-2</v>
      </c>
      <c r="L56" s="2575">
        <f>IF(Flag=TRUE,N56-TBIn!E1402,TBIn!D1402)</f>
        <v>1351</v>
      </c>
      <c r="M56" s="1901">
        <f t="shared" si="11"/>
        <v>3.1905346684300021E-2</v>
      </c>
      <c r="N56" s="2580">
        <f>TBIn!E1402</f>
        <v>5404</v>
      </c>
      <c r="O56" s="1942">
        <f t="shared" si="12"/>
        <v>2.9738713156794119E-2</v>
      </c>
      <c r="P56" s="2575">
        <f>IF(Flag=TRUE,R56-TBIn!E1443,TBIn!D1443)</f>
        <v>0</v>
      </c>
      <c r="Q56" s="1901">
        <f>IFERROR(P56/Page2!G$5,0)</f>
        <v>0</v>
      </c>
      <c r="R56" s="2580">
        <f>TBIn!E1443</f>
        <v>0</v>
      </c>
      <c r="S56" s="1942">
        <f>IFERROR(R56/Page2!J$5,0)</f>
        <v>0</v>
      </c>
      <c r="T56" s="80">
        <v>53</v>
      </c>
      <c r="U56" s="568"/>
      <c r="V56" s="568"/>
      <c r="W56" s="568"/>
    </row>
    <row r="57" spans="1:23" ht="16" customHeight="1">
      <c r="A57" s="80">
        <v>54</v>
      </c>
      <c r="B57" s="1636" t="s">
        <v>66</v>
      </c>
      <c r="C57" s="109">
        <v>92</v>
      </c>
      <c r="D57" s="2576">
        <f>IF(Flag=TRUE,F57-TBIn!E1319,TBIn!D1319)</f>
        <v>1070</v>
      </c>
      <c r="E57" s="1902">
        <f t="shared" si="7"/>
        <v>1.1658694444141778E-2</v>
      </c>
      <c r="F57" s="2581">
        <f>TBIn!E1319</f>
        <v>1070</v>
      </c>
      <c r="G57" s="1931">
        <f t="shared" si="8"/>
        <v>3.5302579397810578E-3</v>
      </c>
      <c r="H57" s="2576">
        <f>IF(Flag=TRUE,J57-TBIn!E1361,TBIn!D1361)</f>
        <v>0</v>
      </c>
      <c r="I57" s="1902">
        <f t="shared" si="9"/>
        <v>0</v>
      </c>
      <c r="J57" s="2581">
        <f>TBIn!E1361</f>
        <v>0</v>
      </c>
      <c r="K57" s="1943">
        <f t="shared" si="10"/>
        <v>0</v>
      </c>
      <c r="L57" s="2576">
        <f>IF(Flag=TRUE,N57-TBIn!E1403,TBIn!D1403)</f>
        <v>0</v>
      </c>
      <c r="M57" s="1902">
        <f t="shared" si="11"/>
        <v>0</v>
      </c>
      <c r="N57" s="2581">
        <f>TBIn!E1403</f>
        <v>0</v>
      </c>
      <c r="O57" s="1943">
        <f t="shared" si="12"/>
        <v>0</v>
      </c>
      <c r="P57" s="2576">
        <f>IF(Flag=TRUE,R57-TBIn!E1444,TBIn!D1444)</f>
        <v>0</v>
      </c>
      <c r="Q57" s="1902">
        <f>IFERROR(P57/Page2!G$5,0)</f>
        <v>0</v>
      </c>
      <c r="R57" s="2581">
        <f>TBIn!E1444</f>
        <v>0</v>
      </c>
      <c r="S57" s="1943">
        <f>IFERROR(R57/Page2!J$5,0)</f>
        <v>0</v>
      </c>
      <c r="T57" s="80">
        <v>54</v>
      </c>
      <c r="U57" s="568"/>
      <c r="V57" s="568"/>
      <c r="W57" s="568"/>
    </row>
    <row r="58" spans="1:23" ht="16" customHeight="1">
      <c r="A58" s="80">
        <v>55</v>
      </c>
      <c r="B58" s="232" t="s">
        <v>67</v>
      </c>
      <c r="C58" s="1208"/>
      <c r="D58" s="669">
        <f>SUM(D52:D57)</f>
        <v>30042</v>
      </c>
      <c r="E58" s="1903">
        <f t="shared" si="7"/>
        <v>0.32733691447748348</v>
      </c>
      <c r="F58" s="670">
        <f>SUM(F52:F57)</f>
        <v>111239</v>
      </c>
      <c r="G58" s="1903">
        <f t="shared" si="8"/>
        <v>0.3670115541713132</v>
      </c>
      <c r="H58" s="669">
        <f>SUM(H52:H57)</f>
        <v>9078</v>
      </c>
      <c r="I58" s="1903">
        <f t="shared" si="9"/>
        <v>0.19006343822624208</v>
      </c>
      <c r="J58" s="670">
        <f>SUM(J52:J57)</f>
        <v>39993</v>
      </c>
      <c r="K58" s="1944">
        <f t="shared" si="10"/>
        <v>0.22948214029550998</v>
      </c>
      <c r="L58" s="669">
        <f>SUM(L52:L57)</f>
        <v>8388</v>
      </c>
      <c r="M58" s="1903">
        <f t="shared" si="11"/>
        <v>0.1980918193840922</v>
      </c>
      <c r="N58" s="670">
        <f>SUM(N52:N57)</f>
        <v>35066</v>
      </c>
      <c r="O58" s="1944">
        <f t="shared" si="12"/>
        <v>0.19297144995487464</v>
      </c>
      <c r="P58" s="243">
        <f>SUM(P52:P57)</f>
        <v>0</v>
      </c>
      <c r="Q58" s="1903">
        <f>IFERROR(P58/Page2!G$5,0)</f>
        <v>0</v>
      </c>
      <c r="R58" s="497">
        <f>SUM(R52:R57)</f>
        <v>0</v>
      </c>
      <c r="S58" s="1944">
        <f>IFERROR(R58/Page2!J$5,0)</f>
        <v>0</v>
      </c>
      <c r="T58" s="80">
        <v>55</v>
      </c>
      <c r="U58" s="568"/>
      <c r="V58" s="568"/>
      <c r="W58" s="568"/>
    </row>
    <row r="59" spans="1:23" ht="16" customHeight="1">
      <c r="A59" s="80">
        <v>56</v>
      </c>
      <c r="B59" s="233" t="s">
        <v>68</v>
      </c>
      <c r="C59" s="101"/>
      <c r="D59" s="671">
        <f>D58+D43+D20</f>
        <v>126037</v>
      </c>
      <c r="E59" s="1908">
        <f t="shared" si="7"/>
        <v>1.3732961417348573</v>
      </c>
      <c r="F59" s="672">
        <f>F58+F43+F20</f>
        <v>453839</v>
      </c>
      <c r="G59" s="1933">
        <f t="shared" si="8"/>
        <v>1.4973539561984071</v>
      </c>
      <c r="H59" s="671">
        <f>H58+H43+H20</f>
        <v>45058</v>
      </c>
      <c r="I59" s="1908">
        <f t="shared" si="9"/>
        <v>0.9433662039654126</v>
      </c>
      <c r="J59" s="672">
        <f>J58+J43+J20</f>
        <v>166002</v>
      </c>
      <c r="K59" s="1946">
        <f t="shared" si="10"/>
        <v>0.95252904891694157</v>
      </c>
      <c r="L59" s="671">
        <f>L58+L43+L20</f>
        <v>35016</v>
      </c>
      <c r="M59" s="1908">
        <f t="shared" si="11"/>
        <v>0.82694124315133199</v>
      </c>
      <c r="N59" s="672">
        <f>N58+N43+N20</f>
        <v>141989</v>
      </c>
      <c r="O59" s="1946">
        <f t="shared" si="12"/>
        <v>0.78137863479275349</v>
      </c>
      <c r="P59" s="244">
        <f>P58+P43+P20</f>
        <v>0</v>
      </c>
      <c r="Q59" s="1908">
        <f>IFERROR(P59/Page2!G$5,0)</f>
        <v>0</v>
      </c>
      <c r="R59" s="545">
        <f>R58+R43+R20</f>
        <v>0</v>
      </c>
      <c r="S59" s="1946">
        <f>IFERROR(R59/Page2!J$5,0)</f>
        <v>0</v>
      </c>
      <c r="T59" s="80">
        <v>56</v>
      </c>
      <c r="U59" s="568"/>
      <c r="V59" s="568"/>
      <c r="W59" s="568"/>
    </row>
    <row r="60" spans="1:23" ht="16" customHeight="1">
      <c r="A60" s="80">
        <v>57</v>
      </c>
      <c r="B60" s="234" t="s">
        <v>69</v>
      </c>
      <c r="C60" s="1208"/>
      <c r="D60" s="243">
        <f>D59</f>
        <v>126037</v>
      </c>
      <c r="E60" s="1903">
        <f t="shared" si="7"/>
        <v>1.3732961417348573</v>
      </c>
      <c r="F60" s="497">
        <f>F59</f>
        <v>453839</v>
      </c>
      <c r="G60" s="1903">
        <f t="shared" si="8"/>
        <v>1.4973539561984071</v>
      </c>
      <c r="H60" s="243">
        <f>H59</f>
        <v>45058</v>
      </c>
      <c r="I60" s="1903">
        <f t="shared" si="9"/>
        <v>0.9433662039654126</v>
      </c>
      <c r="J60" s="497">
        <f>J59</f>
        <v>166002</v>
      </c>
      <c r="K60" s="1944">
        <f t="shared" si="10"/>
        <v>0.95252904891694157</v>
      </c>
      <c r="L60" s="243">
        <f>L59</f>
        <v>35016</v>
      </c>
      <c r="M60" s="1903">
        <f t="shared" si="11"/>
        <v>0.82694124315133199</v>
      </c>
      <c r="N60" s="497">
        <f>N59</f>
        <v>141989</v>
      </c>
      <c r="O60" s="1944">
        <f t="shared" si="12"/>
        <v>0.78137863479275349</v>
      </c>
      <c r="P60" s="2674">
        <f>IF(Flag=TRUE,P59+P10,TBIn!D1445)</f>
        <v>0</v>
      </c>
      <c r="Q60" s="1903">
        <f>IFERROR(P60/Page2!G$5,0)</f>
        <v>0</v>
      </c>
      <c r="R60" s="2676">
        <f>IF(Flag=TRUE,R59+R10,TBIn!E1445)</f>
        <v>0</v>
      </c>
      <c r="S60" s="1944">
        <f>IFERROR(R60/Page2!J$5,0)</f>
        <v>0</v>
      </c>
      <c r="T60" s="80">
        <v>57</v>
      </c>
      <c r="U60" s="568"/>
      <c r="V60" s="568"/>
      <c r="W60" s="568"/>
    </row>
    <row r="61" spans="1:23" ht="16" customHeight="1">
      <c r="A61" s="80">
        <v>58</v>
      </c>
      <c r="B61" s="1206" t="s">
        <v>70</v>
      </c>
      <c r="C61" s="197"/>
      <c r="D61" s="1420">
        <f>D5-D60</f>
        <v>-41572</v>
      </c>
      <c r="E61" s="1909">
        <f t="shared" si="7"/>
        <v>-0.45296751909519817</v>
      </c>
      <c r="F61" s="1421">
        <f>F5-F60</f>
        <v>-176702</v>
      </c>
      <c r="G61" s="1909">
        <f t="shared" si="8"/>
        <v>-0.58299405464971266</v>
      </c>
      <c r="H61" s="1420">
        <f>H5-H60</f>
        <v>2705</v>
      </c>
      <c r="I61" s="1909">
        <f t="shared" si="9"/>
        <v>5.6633796034587444E-2</v>
      </c>
      <c r="J61" s="1421">
        <f>J5-J60</f>
        <v>8273</v>
      </c>
      <c r="K61" s="1947">
        <f t="shared" si="10"/>
        <v>4.7470951083058384E-2</v>
      </c>
      <c r="L61" s="1420">
        <f>L5-L60</f>
        <v>14640</v>
      </c>
      <c r="M61" s="1909">
        <f t="shared" si="11"/>
        <v>0.34573965614963159</v>
      </c>
      <c r="N61" s="1421">
        <f>N5-N60</f>
        <v>65684</v>
      </c>
      <c r="O61" s="1947">
        <f t="shared" si="12"/>
        <v>0.36146514341059677</v>
      </c>
      <c r="P61" s="1422"/>
      <c r="Q61" s="2110"/>
      <c r="R61" s="1007"/>
      <c r="S61" s="2126"/>
      <c r="T61" s="80">
        <v>58</v>
      </c>
      <c r="U61" s="737"/>
      <c r="V61" s="737"/>
      <c r="W61" s="576"/>
    </row>
    <row r="62" spans="1:23" ht="16" customHeight="1">
      <c r="A62" s="80">
        <v>59</v>
      </c>
      <c r="B62" s="235" t="s">
        <v>71</v>
      </c>
      <c r="C62" s="236"/>
      <c r="D62" s="714">
        <f>IF(Flag=TRUE,ROUND((SUM(Page6!I55:I59)+SUM(Page6!I61:I62))*0.5,0),TBIn!D972)</f>
        <v>7312</v>
      </c>
      <c r="E62" s="1899">
        <f t="shared" si="7"/>
        <v>7.9671377360340828E-2</v>
      </c>
      <c r="F62" s="719">
        <f>IF(Flag=TRUE,ROUND((SUM(Page6!N55:N59)+SUM(Page6!N61:N62))*0.5,0),TBIn!E972)</f>
        <v>25957</v>
      </c>
      <c r="G62" s="1928">
        <f t="shared" si="8"/>
        <v>8.5640098451305532E-2</v>
      </c>
      <c r="H62" s="714">
        <f>IF(Flag=TRUE,ROUND(Page6!I60*0.5,0),TBIn!D973)</f>
        <v>0</v>
      </c>
      <c r="I62" s="1899">
        <f t="shared" si="9"/>
        <v>0</v>
      </c>
      <c r="J62" s="719">
        <f>IF(Flag=TRUE,ROUND(Page6!N60*0.5,0),TBIn!E973)</f>
        <v>0</v>
      </c>
      <c r="K62" s="1940">
        <f t="shared" si="10"/>
        <v>0</v>
      </c>
      <c r="L62" s="714">
        <f>IF(Flag=TRUE,(D62+H62)*-1,TBIn!D974)</f>
        <v>-7312</v>
      </c>
      <c r="M62" s="1899">
        <f t="shared" si="11"/>
        <v>-0.17268089930096353</v>
      </c>
      <c r="N62" s="719">
        <f>IF(Flag=TRUE,(F62+J62)*-1,TBIn!E974)</f>
        <v>-25957</v>
      </c>
      <c r="O62" s="1940">
        <f t="shared" si="12"/>
        <v>-0.14284377820335029</v>
      </c>
      <c r="P62" s="1229"/>
      <c r="Q62" s="2111"/>
      <c r="R62" s="1008"/>
      <c r="S62" s="2127"/>
      <c r="T62" s="80">
        <v>59</v>
      </c>
      <c r="U62" s="738"/>
      <c r="V62" s="738"/>
      <c r="W62" s="576"/>
    </row>
    <row r="63" spans="1:23" ht="16" customHeight="1">
      <c r="A63" s="80">
        <v>60</v>
      </c>
      <c r="B63" s="1630" t="s">
        <v>72</v>
      </c>
      <c r="C63" s="1533"/>
      <c r="D63" s="714">
        <f>IF(Flag=TRUE,F63-TBIn!E969,TBIn!D969)</f>
        <v>0</v>
      </c>
      <c r="E63" s="1899">
        <f t="shared" si="7"/>
        <v>0</v>
      </c>
      <c r="F63" s="719">
        <f>TBIn!E969</f>
        <v>0</v>
      </c>
      <c r="G63" s="1928">
        <f t="shared" si="8"/>
        <v>0</v>
      </c>
      <c r="H63" s="714">
        <f>IF(Flag=TRUE,J63-TBIn!E970,TBIn!D970)</f>
        <v>0</v>
      </c>
      <c r="I63" s="1899">
        <f t="shared" si="9"/>
        <v>0</v>
      </c>
      <c r="J63" s="719">
        <f>TBIn!E970</f>
        <v>0</v>
      </c>
      <c r="K63" s="1940">
        <f t="shared" si="10"/>
        <v>0</v>
      </c>
      <c r="L63" s="714">
        <f>IF(Flag=TRUE,N63-TBIn!E971,TBIn!D971)</f>
        <v>0</v>
      </c>
      <c r="M63" s="1899">
        <f t="shared" si="11"/>
        <v>0</v>
      </c>
      <c r="N63" s="719">
        <f>TBIn!E971</f>
        <v>0</v>
      </c>
      <c r="O63" s="1940">
        <f t="shared" si="12"/>
        <v>0</v>
      </c>
      <c r="P63" s="2675">
        <f>P60</f>
        <v>0</v>
      </c>
      <c r="Q63" s="1908">
        <f>IFERROR(P63/Page2!G$5,0)</f>
        <v>0</v>
      </c>
      <c r="R63" s="2677">
        <f>R60</f>
        <v>0</v>
      </c>
      <c r="S63" s="1946">
        <f>IFERROR(R63/Page2!J$5,0)</f>
        <v>0</v>
      </c>
      <c r="T63" s="80">
        <v>60</v>
      </c>
      <c r="U63" s="739"/>
      <c r="V63" s="739"/>
      <c r="W63" s="598"/>
    </row>
    <row r="64" spans="1:23" ht="16" customHeight="1">
      <c r="A64" s="80">
        <v>61</v>
      </c>
      <c r="B64" s="1220" t="s">
        <v>73</v>
      </c>
      <c r="C64" s="96"/>
      <c r="D64" s="2708">
        <f>IF(Flag=TRUE,SUM(D61:D63),TBIn!D1320)</f>
        <v>-34260</v>
      </c>
      <c r="E64" s="1910">
        <f t="shared" si="7"/>
        <v>-0.37329614173485731</v>
      </c>
      <c r="F64" s="2709">
        <f>IF(Flag=TRUE,SUM(F61:F63),TBIn!E1320)</f>
        <v>-150745</v>
      </c>
      <c r="G64" s="1910">
        <f t="shared" si="8"/>
        <v>-0.49735395619840711</v>
      </c>
      <c r="H64" s="2708">
        <f>IF(Flag=TRUE,SUM(H61:H63),TBIn!D1362)</f>
        <v>2705</v>
      </c>
      <c r="I64" s="1910">
        <f t="shared" si="9"/>
        <v>5.6633796034587444E-2</v>
      </c>
      <c r="J64" s="2709">
        <f>IF(Flag=TRUE,SUM(J61:J63),TBIn!E1362)</f>
        <v>8273</v>
      </c>
      <c r="K64" s="1948">
        <f t="shared" si="10"/>
        <v>4.7470951083058384E-2</v>
      </c>
      <c r="L64" s="2708">
        <f>IF(Flag=TRUE,SUM(L61:L63),TBIn!D1404)</f>
        <v>7328</v>
      </c>
      <c r="M64" s="1910">
        <f t="shared" si="11"/>
        <v>0.17305875684866806</v>
      </c>
      <c r="N64" s="2709">
        <f>IF(Flag=TRUE,SUM(N61:N63),TBIn!E1404)</f>
        <v>39727</v>
      </c>
      <c r="O64" s="1948">
        <f t="shared" si="12"/>
        <v>0.21862136520724648</v>
      </c>
      <c r="P64" s="1009"/>
      <c r="Q64" s="2112"/>
      <c r="R64" s="1010"/>
      <c r="S64" s="2128"/>
      <c r="T64" s="80">
        <v>61</v>
      </c>
      <c r="U64" s="740"/>
      <c r="V64" s="740"/>
      <c r="W64" s="576"/>
    </row>
    <row r="65" spans="1:23" ht="16" customHeight="1">
      <c r="A65" s="80">
        <v>62</v>
      </c>
      <c r="B65" s="1221" t="s">
        <v>74</v>
      </c>
      <c r="C65" s="246"/>
      <c r="D65" s="247" t="s">
        <v>75</v>
      </c>
      <c r="E65" s="1911"/>
      <c r="F65" s="245" t="s">
        <v>76</v>
      </c>
      <c r="G65" s="1934"/>
      <c r="H65" s="247" t="s">
        <v>77</v>
      </c>
      <c r="I65" s="1911"/>
      <c r="J65" s="246"/>
      <c r="K65" s="1934"/>
      <c r="L65" s="247" t="s">
        <v>78</v>
      </c>
      <c r="M65" s="1911"/>
      <c r="N65" s="245" t="s">
        <v>79</v>
      </c>
      <c r="O65" s="1934"/>
      <c r="P65" s="1011"/>
      <c r="Q65" s="2113"/>
      <c r="R65" s="1012"/>
      <c r="S65" s="2129"/>
      <c r="T65" s="80">
        <v>62</v>
      </c>
      <c r="U65" s="739"/>
      <c r="V65" s="739"/>
      <c r="W65" s="576"/>
    </row>
    <row r="66" spans="1:23" ht="16" customHeight="1">
      <c r="A66" s="80">
        <v>63</v>
      </c>
      <c r="B66" s="248" t="s">
        <v>80</v>
      </c>
      <c r="C66" s="249"/>
      <c r="D66" s="1831">
        <v>131.5</v>
      </c>
      <c r="E66" s="1912"/>
      <c r="F66" s="1834">
        <f>TBIn!E136</f>
        <v>0</v>
      </c>
      <c r="G66" s="1935"/>
      <c r="H66" s="250" t="s">
        <v>81</v>
      </c>
      <c r="I66" s="1961"/>
      <c r="J66" s="248"/>
      <c r="K66" s="1949"/>
      <c r="L66" s="1831">
        <v>94.4</v>
      </c>
      <c r="M66" s="1957"/>
      <c r="N66" s="1834">
        <f>TBIn!E141</f>
        <v>0</v>
      </c>
      <c r="O66" s="1953"/>
      <c r="P66" s="1013"/>
      <c r="Q66" s="2114"/>
      <c r="R66" s="1014"/>
      <c r="S66" s="2130"/>
      <c r="T66" s="80">
        <v>63</v>
      </c>
      <c r="U66" s="740"/>
      <c r="V66" s="740"/>
      <c r="W66" s="576"/>
    </row>
    <row r="67" spans="1:23" ht="16" customHeight="1">
      <c r="A67" s="80">
        <v>64</v>
      </c>
      <c r="B67" s="251" t="s">
        <v>82</v>
      </c>
      <c r="C67" s="252"/>
      <c r="D67" s="1832">
        <v>131.5</v>
      </c>
      <c r="E67" s="1913"/>
      <c r="F67" s="1835">
        <f>TBIn!E137</f>
        <v>0</v>
      </c>
      <c r="G67" s="1936"/>
      <c r="H67" s="253" t="s">
        <v>83</v>
      </c>
      <c r="I67" s="1962"/>
      <c r="J67" s="251"/>
      <c r="K67" s="1950"/>
      <c r="L67" s="1837">
        <v>131.5</v>
      </c>
      <c r="M67" s="1958"/>
      <c r="N67" s="1835">
        <v>75</v>
      </c>
      <c r="O67" s="1954"/>
      <c r="P67" s="1013"/>
      <c r="Q67" s="2114"/>
      <c r="R67" s="1014"/>
      <c r="S67" s="2130"/>
      <c r="T67" s="80">
        <v>64</v>
      </c>
      <c r="U67" s="739"/>
      <c r="V67" s="739"/>
      <c r="W67" s="576"/>
    </row>
    <row r="68" spans="1:23" ht="16" customHeight="1">
      <c r="A68" s="80">
        <v>65</v>
      </c>
      <c r="B68" s="254" t="s">
        <v>84</v>
      </c>
      <c r="C68" s="255"/>
      <c r="D68" s="1833">
        <v>131.5</v>
      </c>
      <c r="E68" s="1914"/>
      <c r="F68" s="1836">
        <f>TBIn!E138</f>
        <v>0</v>
      </c>
      <c r="G68" s="1937"/>
      <c r="H68" s="256" t="s">
        <v>85</v>
      </c>
      <c r="I68" s="1963"/>
      <c r="J68" s="495"/>
      <c r="K68" s="1951"/>
      <c r="L68" s="1006"/>
      <c r="M68" s="1959"/>
      <c r="N68" s="1838">
        <v>75</v>
      </c>
      <c r="O68" s="1955"/>
      <c r="P68" s="1013"/>
      <c r="Q68" s="2114"/>
      <c r="R68" s="1014"/>
      <c r="S68" s="2130"/>
      <c r="T68" s="80">
        <v>65</v>
      </c>
      <c r="U68" s="740"/>
      <c r="V68" s="740"/>
      <c r="W68" s="576"/>
    </row>
    <row r="69" spans="1:23" ht="16" customHeight="1">
      <c r="A69" s="179">
        <v>66</v>
      </c>
      <c r="B69" s="1003"/>
      <c r="C69" s="1004"/>
      <c r="D69" s="1005"/>
      <c r="E69" s="1915"/>
      <c r="F69" s="1005"/>
      <c r="G69" s="1938"/>
      <c r="H69" s="254" t="s">
        <v>86</v>
      </c>
      <c r="I69" s="1964"/>
      <c r="J69" s="496"/>
      <c r="K69" s="1952"/>
      <c r="L69" s="939"/>
      <c r="M69" s="1960"/>
      <c r="N69" s="1839">
        <v>75</v>
      </c>
      <c r="O69" s="1956"/>
      <c r="P69" s="1015"/>
      <c r="Q69" s="2115"/>
      <c r="R69" s="1016"/>
      <c r="S69" s="2131"/>
      <c r="T69" s="179">
        <v>66</v>
      </c>
      <c r="U69" s="736"/>
      <c r="V69" s="736"/>
      <c r="W69" s="576"/>
    </row>
    <row r="70" spans="1:23" hidden="1">
      <c r="A70" s="568"/>
      <c r="B70" s="568"/>
      <c r="C70" s="568"/>
      <c r="D70" s="568"/>
      <c r="E70" s="1916"/>
      <c r="F70" s="598"/>
      <c r="G70" s="1916"/>
      <c r="H70" s="568"/>
      <c r="I70" s="1916"/>
      <c r="J70" s="568"/>
      <c r="K70" s="1916"/>
      <c r="L70" s="568"/>
      <c r="M70" s="1916"/>
      <c r="N70" s="568"/>
      <c r="O70" s="1916"/>
      <c r="P70" s="568"/>
      <c r="Q70" s="1916"/>
      <c r="R70" s="568"/>
      <c r="S70" s="1916"/>
      <c r="T70" s="568"/>
      <c r="U70" s="736"/>
      <c r="V70" s="736"/>
      <c r="W70" s="576"/>
    </row>
    <row r="71" spans="1:23" hidden="1">
      <c r="A71" s="568"/>
      <c r="B71" s="677"/>
      <c r="C71" s="677"/>
      <c r="D71" s="741"/>
      <c r="E71" s="1917"/>
      <c r="F71" s="741"/>
      <c r="G71" s="1917"/>
      <c r="H71" s="741"/>
      <c r="I71" s="1917"/>
      <c r="J71" s="741"/>
      <c r="K71" s="1917"/>
      <c r="L71" s="741"/>
      <c r="M71" s="1917"/>
      <c r="N71" s="741"/>
      <c r="O71" s="1917"/>
      <c r="P71" s="676"/>
      <c r="Q71" s="1920"/>
      <c r="R71" s="676"/>
      <c r="S71" s="1919"/>
      <c r="T71" s="568"/>
      <c r="U71" s="736"/>
      <c r="V71" s="736"/>
      <c r="W71" s="576"/>
    </row>
    <row r="72" spans="1:23" hidden="1">
      <c r="A72" s="568"/>
      <c r="B72" s="677"/>
      <c r="C72" s="677"/>
      <c r="D72" s="742"/>
      <c r="E72" s="1918"/>
      <c r="F72" s="742"/>
      <c r="G72" s="1918"/>
      <c r="H72" s="677"/>
      <c r="I72" s="1918"/>
      <c r="J72" s="677"/>
      <c r="K72" s="1918"/>
      <c r="L72" s="677"/>
      <c r="M72" s="1918"/>
      <c r="N72" s="677"/>
      <c r="O72" s="1918"/>
      <c r="P72" s="677"/>
      <c r="Q72" s="2116"/>
      <c r="R72" s="677"/>
      <c r="S72" s="1916"/>
      <c r="T72" s="568"/>
      <c r="U72" s="568"/>
      <c r="V72" s="568"/>
      <c r="W72" s="568"/>
    </row>
    <row r="73" spans="1:23" hidden="1">
      <c r="A73" s="568"/>
      <c r="B73" s="743"/>
      <c r="C73" s="568"/>
      <c r="D73" s="652"/>
      <c r="E73" s="1919"/>
      <c r="F73" s="652"/>
      <c r="G73" s="1919"/>
      <c r="H73" s="568"/>
      <c r="I73" s="1919"/>
      <c r="J73" s="568"/>
      <c r="K73" s="1919"/>
      <c r="L73" s="568"/>
      <c r="M73" s="1919"/>
      <c r="N73" s="568"/>
      <c r="O73" s="1919"/>
      <c r="P73" s="568"/>
      <c r="Q73" s="1916"/>
      <c r="R73" s="568"/>
      <c r="S73" s="1916"/>
      <c r="T73" s="568"/>
      <c r="U73" s="568"/>
      <c r="V73" s="568"/>
      <c r="W73" s="568"/>
    </row>
    <row r="74" spans="1:23" hidden="1">
      <c r="A74" s="568"/>
      <c r="B74" s="743"/>
      <c r="C74" s="568"/>
      <c r="D74" s="652"/>
      <c r="E74" s="1919"/>
      <c r="F74" s="652"/>
      <c r="G74" s="1919"/>
      <c r="H74" s="568"/>
      <c r="I74" s="1919"/>
      <c r="J74" s="568"/>
      <c r="K74" s="1919"/>
      <c r="L74" s="568"/>
      <c r="M74" s="1919"/>
      <c r="N74" s="568"/>
      <c r="O74" s="1919"/>
      <c r="P74" s="568"/>
      <c r="Q74" s="1916"/>
      <c r="R74" s="568"/>
      <c r="S74" s="1916"/>
      <c r="T74" s="568"/>
      <c r="U74" s="568"/>
      <c r="V74" s="568"/>
      <c r="W74" s="568"/>
    </row>
    <row r="75" spans="1:23" s="654" customFormat="1" hidden="1">
      <c r="A75" s="58"/>
      <c r="B75" s="30" t="s">
        <v>87</v>
      </c>
      <c r="C75" s="30" t="s">
        <v>88</v>
      </c>
      <c r="D75" s="30" t="s">
        <v>89</v>
      </c>
      <c r="E75" s="1920"/>
      <c r="F75" s="676"/>
      <c r="G75" s="1920"/>
      <c r="H75" s="677"/>
      <c r="I75" s="1920"/>
      <c r="J75" s="58"/>
      <c r="K75" s="1920"/>
      <c r="L75" s="58"/>
      <c r="M75" s="1920"/>
      <c r="N75" s="58"/>
      <c r="O75" s="1920"/>
      <c r="P75" s="58"/>
      <c r="Q75" s="2117"/>
      <c r="R75" s="58"/>
      <c r="S75" s="2117"/>
      <c r="T75" s="58"/>
      <c r="U75" s="677"/>
      <c r="V75" s="677"/>
      <c r="W75" s="677"/>
    </row>
    <row r="76" spans="1:23" s="654" customFormat="1" hidden="1">
      <c r="A76" s="58"/>
      <c r="B76" s="30" t="s">
        <v>90</v>
      </c>
      <c r="C76" s="30" t="s">
        <v>88</v>
      </c>
      <c r="D76" s="30" t="s">
        <v>91</v>
      </c>
      <c r="E76" s="1921"/>
      <c r="F76" s="494"/>
      <c r="G76" s="1921"/>
      <c r="H76" s="677"/>
      <c r="I76" s="1921"/>
      <c r="J76" s="58"/>
      <c r="K76" s="1921"/>
      <c r="L76" s="58"/>
      <c r="M76" s="1921"/>
      <c r="N76" s="58"/>
      <c r="O76" s="1921"/>
      <c r="P76" s="58"/>
      <c r="Q76" s="2117"/>
      <c r="R76" s="58"/>
      <c r="S76" s="2117"/>
      <c r="T76" s="58"/>
      <c r="U76" s="677"/>
      <c r="V76" s="677"/>
      <c r="W76" s="677"/>
    </row>
    <row r="77" spans="1:23" s="654" customFormat="1" hidden="1">
      <c r="A77" s="58"/>
      <c r="B77" s="743"/>
      <c r="C77" s="58"/>
      <c r="D77" s="744"/>
      <c r="E77" s="1922"/>
      <c r="F77" s="744"/>
      <c r="G77" s="1922"/>
      <c r="H77" s="58"/>
      <c r="I77" s="1922"/>
      <c r="J77" s="58"/>
      <c r="K77" s="1922"/>
      <c r="L77" s="58"/>
      <c r="M77" s="1922"/>
      <c r="N77" s="58"/>
      <c r="O77" s="1922"/>
      <c r="P77" s="58"/>
      <c r="Q77" s="2117"/>
      <c r="R77" s="58"/>
      <c r="S77" s="2117"/>
      <c r="T77" s="58"/>
      <c r="U77" s="677"/>
      <c r="V77" s="677"/>
      <c r="W77" s="677"/>
    </row>
    <row r="78" spans="1:23" hidden="1">
      <c r="A78" s="677"/>
      <c r="B78" s="743"/>
      <c r="C78" s="568"/>
      <c r="D78" s="744"/>
      <c r="E78" s="1922"/>
      <c r="F78" s="744"/>
      <c r="G78" s="1922"/>
      <c r="H78" s="568"/>
      <c r="I78" s="1922"/>
      <c r="J78" s="568"/>
      <c r="K78" s="1922"/>
      <c r="L78" s="568"/>
      <c r="M78" s="1922"/>
      <c r="N78" s="568"/>
      <c r="O78" s="1922"/>
      <c r="P78" s="568"/>
      <c r="Q78" s="1916"/>
      <c r="R78" s="568"/>
      <c r="S78" s="1916"/>
      <c r="T78" s="568"/>
      <c r="U78" s="568"/>
      <c r="V78" s="568"/>
      <c r="W78" s="568"/>
    </row>
    <row r="79" spans="1:23" hidden="1">
      <c r="A79" s="568"/>
      <c r="B79" s="743"/>
      <c r="C79" s="568"/>
      <c r="D79" s="568"/>
      <c r="E79" s="1916"/>
      <c r="F79" s="652"/>
      <c r="G79" s="1919"/>
      <c r="H79" s="568"/>
      <c r="I79" s="1916"/>
      <c r="J79" s="568"/>
      <c r="K79" s="1919"/>
      <c r="L79" s="568"/>
      <c r="M79" s="1916"/>
      <c r="N79" s="568"/>
      <c r="O79" s="1919"/>
      <c r="P79" s="568"/>
      <c r="Q79" s="1916"/>
      <c r="R79" s="568"/>
      <c r="S79" s="1916"/>
      <c r="T79" s="568"/>
      <c r="U79" s="568"/>
      <c r="V79" s="568"/>
      <c r="W79" s="568"/>
    </row>
    <row r="80" spans="1:23" hidden="1">
      <c r="A80" s="568"/>
      <c r="B80" s="743"/>
      <c r="C80" s="568"/>
      <c r="D80" s="568"/>
      <c r="E80" s="1916"/>
      <c r="F80" s="652"/>
      <c r="G80" s="1919"/>
      <c r="H80" s="568"/>
      <c r="I80" s="1916"/>
      <c r="J80" s="568"/>
      <c r="K80" s="1919"/>
      <c r="L80" s="568"/>
      <c r="M80" s="1916"/>
      <c r="N80" s="568"/>
      <c r="O80" s="1919"/>
      <c r="P80" s="568"/>
      <c r="Q80" s="1916"/>
      <c r="R80" s="568"/>
      <c r="S80" s="1916"/>
      <c r="T80" s="568"/>
      <c r="U80" s="568"/>
      <c r="V80" s="568"/>
      <c r="W80" s="568"/>
    </row>
  </sheetData>
  <sheetProtection algorithmName="SHA-512" hashValue="ViJ5COGuVm1+AFqvDeHnh8MF6Nk1/2umLFjVrTkjDfzLvzn0j8j4a1k1P28+AkI1ODhcZoLdLNe3o7QKaGRlNg==" saltValue="agwj9PKVxjYXhUa5ZNTZhA==" spinCount="100000" sheet="1" objects="1" scenarios="1"/>
  <customSheetViews>
    <customSheetView guid="{42A0DCD3-5C27-4BB4-A491-D2E7F84D8A17}" scale="80" showGridLines="0" fitToPage="1" printArea="1" hiddenRows="1" hiddenColumns="1" showRuler="0">
      <selection activeCell="E13" sqref="E13"/>
      <pageMargins left="0" right="0" top="0" bottom="0" header="0" footer="0"/>
      <pageSetup scale="60" orientation="portrait" horizontalDpi="180" verticalDpi="180" r:id="rId1"/>
      <headerFooter alignWithMargins="0"/>
    </customSheetView>
    <customSheetView guid="{EB281BD4-ABCF-428C-A6C2-8158A21EF819}" scale="80" showGridLines="0" fitToPage="1" printArea="1" showRuler="0" topLeftCell="C49">
      <selection activeCell="D72" sqref="D72"/>
      <pageMargins left="0" right="0" top="0" bottom="0" header="0" footer="0"/>
      <pageSetup scale="63" orientation="portrait" horizontalDpi="180" verticalDpi="180" r:id="rId2"/>
      <headerFooter alignWithMargins="0"/>
    </customSheetView>
    <customSheetView guid="{FA29746F-8847-4779-9FAE-66945DB06B8D}" scale="80" showGridLines="0" showRowCol="0" fitToPage="1" hiddenRows="1" hiddenColumns="1" showRuler="0">
      <pane xSplit="3" ySplit="3" topLeftCell="D4" activePane="bottomRight" state="frozen"/>
      <selection pane="bottomRight"/>
      <pageMargins left="0" right="0" top="0" bottom="0" header="0" footer="0"/>
      <pageSetup scale="63" orientation="portrait" horizontalDpi="180" verticalDpi="180"/>
      <headerFooter alignWithMargins="0"/>
    </customSheetView>
  </customSheetViews>
  <phoneticPr fontId="7" type="noConversion"/>
  <dataValidations count="3">
    <dataValidation type="whole" allowBlank="1" showInputMessage="1" showErrorMessage="1" errorTitle="Erreur d'Entrée!" error="Seulement des valeurs numériques peuvent être enregistrées dans ce champ!_x000a_" sqref="D11:D19 F11:F19 H11:H19 J11:J19 L11:L19 D21:D35 F21:F35 H21:H35 J21:J35 L21:L35 D38 F38 H38 J38 L38 D40:D42 F40:F42 H40:H42 J40:J42 L40:L42 D44:D51 F44:F51 H44:H51 J44:J51 L44:L51 D53:D57 F53:F57 H53:H57 J53:J57 L53:L57 R21:R27 D64 F64 H64 J64 L64 N53:N57 N21:N35 P29:P35 P38 P40:P42 P44:P51 N38 N40:N42 N44:N51 P53:P57 P60 R60 P63 R63 R53:R57 R44:R51 R29:R35 R38 R40:R42 P11:P19 R11:R19 N11:N19 P21:P27 D62 F62 H62 J62 L62 N62 N64" xr:uid="{00000000-0002-0000-0300-000000000000}">
      <formula1>-999999999999</formula1>
      <formula2>9999999999999</formula2>
    </dataValidation>
    <dataValidation type="decimal" operator="greaterThanOrEqual" allowBlank="1" showInputMessage="1" showErrorMessage="1" errorTitle="Erreur d'Entrée!" error="Seulement des valeurs numériques peuvent être enregistrées dans ce champ!_x000a_" sqref="D66:D68 F66:F68 L66:L67 N66:N69" xr:uid="{00000000-0002-0000-0300-000001000000}">
      <formula1>0</formula1>
    </dataValidation>
    <dataValidation type="whole" allowBlank="1" showInputMessage="1" showErrorMessage="1" errorTitle="Erreur d'Entrée!" error="Seulement des valeurs numériques peuvent être enregistrées dans ce champ!_x000a_" promptTitle="PRORATA DES FRAIS D'A.et G." prompt="Ce montant devrait être négatif !" sqref="N63 D63 F63 H63 J63 L63" xr:uid="{00000000-0002-0000-0300-000002000000}">
      <formula1>-999999999999</formula1>
      <formula2>9999999999999</formula2>
    </dataValidation>
  </dataValidations>
  <hyperlinks>
    <hyperlink ref="B11" r:id="rId3" tooltip="Lien au Manuel des méthodes comptables GM" xr:uid="{00000000-0004-0000-0300-000000000000}"/>
    <hyperlink ref="B12" r:id="rId4" tooltip="Lien au Manuel des méthodes comptables GM" xr:uid="{00000000-0004-0000-0300-000001000000}"/>
    <hyperlink ref="B13" r:id="rId5" tooltip="Lien au Manuel des méthodes comptables GM" xr:uid="{00000000-0004-0000-0300-000002000000}"/>
    <hyperlink ref="B14" r:id="rId6" tooltip="Lien au Manuel des méthodes comptables GM" xr:uid="{00000000-0004-0000-0300-000003000000}"/>
    <hyperlink ref="B15" r:id="rId7" tooltip="Lien au Manuel des méthodes comptables GM" xr:uid="{00000000-0004-0000-0300-000004000000}"/>
    <hyperlink ref="B16" r:id="rId8" tooltip="Lien au Manuel des méthodes comptables GM" xr:uid="{00000000-0004-0000-0300-000005000000}"/>
    <hyperlink ref="B17" r:id="rId9" tooltip="Lien au Manuel des méthodes comptables GM" xr:uid="{00000000-0004-0000-0300-000006000000}"/>
    <hyperlink ref="B18" r:id="rId10" tooltip="Lien au Manuel des méthodes comptables GM" xr:uid="{00000000-0004-0000-0300-000007000000}"/>
    <hyperlink ref="B19" r:id="rId11" tooltip="Lien au Manuel des méthodes comptables GM" xr:uid="{00000000-0004-0000-0300-000008000000}"/>
    <hyperlink ref="B21" r:id="rId12" tooltip="Lien au Manuel des méthodes comptables GM" xr:uid="{00000000-0004-0000-0300-000009000000}"/>
    <hyperlink ref="B22" r:id="rId13" tooltip="Lien au Manuel des méthodes comptables GM" xr:uid="{00000000-0004-0000-0300-00000A000000}"/>
    <hyperlink ref="B23" r:id="rId14" tooltip="Lien au Manuel des méthodes comptables GM" xr:uid="{00000000-0004-0000-0300-00000B000000}"/>
    <hyperlink ref="B24" r:id="rId15" tooltip="Lien au Manuel des méthodes comptables GM" xr:uid="{00000000-0004-0000-0300-00000C000000}"/>
    <hyperlink ref="B25" r:id="rId16" tooltip="Lien au Manuel des méthodes comptables GM" xr:uid="{00000000-0004-0000-0300-00000D000000}"/>
    <hyperlink ref="B26" r:id="rId17" tooltip="Lien au Manuel des méthodes comptables GM" xr:uid="{00000000-0004-0000-0300-00000E000000}"/>
    <hyperlink ref="B27" r:id="rId18" tooltip="Lien au Manuel des méthodes comptables GM" xr:uid="{00000000-0004-0000-0300-00000F000000}"/>
    <hyperlink ref="B28" r:id="rId19" tooltip="Lien au Manuel des méthodes comptables GM" xr:uid="{00000000-0004-0000-0300-000010000000}"/>
    <hyperlink ref="B29" r:id="rId20" tooltip="Lien au Manuel des méthodes comptables GM" xr:uid="{00000000-0004-0000-0300-000011000000}"/>
    <hyperlink ref="B30" r:id="rId21" tooltip="Lien au Manuel des méthodes comptables GM" xr:uid="{00000000-0004-0000-0300-000012000000}"/>
    <hyperlink ref="B31" r:id="rId22" tooltip="Lien au Manuel des méthodes comptables GM" xr:uid="{00000000-0004-0000-0300-000013000000}"/>
    <hyperlink ref="B32" r:id="rId23" tooltip="Lien au Manuel des méthodes comptables GM" xr:uid="{00000000-0004-0000-0300-000014000000}"/>
    <hyperlink ref="B33" r:id="rId24" tooltip="Lien au Manuel des méthodes comptables GM" xr:uid="{00000000-0004-0000-0300-000015000000}"/>
    <hyperlink ref="B34" r:id="rId25" tooltip="Lien au Manuel des méthodes comptables GM" xr:uid="{00000000-0004-0000-0300-000016000000}"/>
    <hyperlink ref="B35" r:id="rId26" tooltip="Lien au Manuel des méthodes comptables GM" xr:uid="{00000000-0004-0000-0300-000017000000}"/>
    <hyperlink ref="B38" r:id="rId27" tooltip="Lien au Manuel des méthodes comptables GM" xr:uid="{00000000-0004-0000-0300-000018000000}"/>
    <hyperlink ref="B40" r:id="rId28" tooltip="Lien au Manuel des méthodes comptables GM" xr:uid="{00000000-0004-0000-0300-000019000000}"/>
    <hyperlink ref="B41" r:id="rId29" tooltip="Lien au Manuel des méthodes comptables GM" xr:uid="{00000000-0004-0000-0300-00001A000000}"/>
    <hyperlink ref="B42" r:id="rId30" tooltip="Lien au Manuel des méthodes comptables GM" xr:uid="{00000000-0004-0000-0300-00001B000000}"/>
    <hyperlink ref="B44" r:id="rId31" tooltip="Lien au Manuel des méthodes comptables GM" xr:uid="{00000000-0004-0000-0300-00001C000000}"/>
    <hyperlink ref="B45" r:id="rId32" tooltip="Lien au Manuel des méthodes comptables GM" xr:uid="{00000000-0004-0000-0300-00001D000000}"/>
    <hyperlink ref="B46" r:id="rId33" tooltip="Lien au Manuel des méthodes comptables GM" xr:uid="{00000000-0004-0000-0300-00001E000000}"/>
    <hyperlink ref="B47" r:id="rId34" tooltip="Lien au Manuel des méthodes comptables GM" xr:uid="{00000000-0004-0000-0300-00001F000000}"/>
    <hyperlink ref="B48" r:id="rId35" tooltip="Lien au Manuel des méthodes comptables GM" xr:uid="{00000000-0004-0000-0300-000020000000}"/>
    <hyperlink ref="B49" r:id="rId36" tooltip="Lien au Manuel des méthodes comptables GM" xr:uid="{00000000-0004-0000-0300-000021000000}"/>
    <hyperlink ref="B50" r:id="rId37" tooltip="Lien au Manuel des méthodes comptables GM" xr:uid="{00000000-0004-0000-0300-000022000000}"/>
    <hyperlink ref="B51" r:id="rId38" tooltip="Lien au Manuel des méthodes comptables GM" xr:uid="{00000000-0004-0000-0300-000023000000}"/>
    <hyperlink ref="B53" r:id="rId39" tooltip="Lien au Manuel des méthodes comptables GM" xr:uid="{00000000-0004-0000-0300-000024000000}"/>
    <hyperlink ref="B54" r:id="rId40" tooltip="Lien au Manuel des méthodes comptables GM" xr:uid="{00000000-0004-0000-0300-000025000000}"/>
    <hyperlink ref="B55" r:id="rId41" tooltip="Lien au Manuel des méthodes comptables GM" xr:uid="{00000000-0004-0000-0300-000026000000}"/>
    <hyperlink ref="B56" r:id="rId42" tooltip="Lien au Manuel des méthodes comptables GM" xr:uid="{00000000-0004-0000-0300-000027000000}"/>
    <hyperlink ref="B57" r:id="rId43" tooltip="Lien au Manuel des méthodes comptables GM" xr:uid="{00000000-0004-0000-0300-000028000000}"/>
    <hyperlink ref="B63" r:id="rId44" tooltip="Lien au Manuel des méthodes comptables GM" xr:uid="{00000000-0004-0000-0300-000029000000}"/>
  </hyperlinks>
  <pageMargins left="0" right="0" top="0" bottom="0" header="0" footer="0"/>
  <pageSetup scale="52" orientation="portrait" horizontalDpi="180" verticalDpi="180" r:id="rId45"/>
  <headerFooter alignWithMargins="0"/>
  <drawing r:id="rId46"/>
  <legacyDrawing r:id="rId47"/>
  <controls>
    <mc:AlternateContent xmlns:mc="http://schemas.openxmlformats.org/markup-compatibility/2006">
      <mc:Choice Requires="x14">
        <control shapeId="9222" r:id="rId48" name="CommandButton3">
          <controlPr defaultSize="0" print="0" autoFill="0" autoLine="0" autoPict="0" r:id="rId49">
            <anchor moveWithCells="1">
              <from>
                <xdr:col>1</xdr:col>
                <xdr:colOff>146050</xdr:colOff>
                <xdr:row>1</xdr:row>
                <xdr:rowOff>31750</xdr:rowOff>
              </from>
              <to>
                <xdr:col>1</xdr:col>
                <xdr:colOff>2095500</xdr:colOff>
                <xdr:row>2</xdr:row>
                <xdr:rowOff>88900</xdr:rowOff>
              </to>
            </anchor>
          </controlPr>
        </control>
      </mc:Choice>
      <mc:Fallback>
        <control shapeId="9222" r:id="rId48" name="CommandButton3"/>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autoPageBreaks="0" fitToPage="1"/>
  </sheetPr>
  <dimension ref="A1:X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179687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4" s="569" customFormat="1" ht="21" customHeight="1">
      <c r="A1" s="76"/>
      <c r="B1" s="2762" t="str">
        <f>OR_VEH!B2</f>
        <v>CHEVROLET</v>
      </c>
      <c r="C1" s="2762"/>
      <c r="D1" s="2762"/>
      <c r="E1" s="257"/>
      <c r="F1" s="491" t="s">
        <v>92</v>
      </c>
      <c r="G1" s="60"/>
      <c r="H1" s="60"/>
      <c r="I1" s="60"/>
      <c r="J1" s="60"/>
      <c r="K1" s="60"/>
      <c r="L1" s="61"/>
      <c r="M1" s="61"/>
      <c r="N1" s="61"/>
      <c r="O1" s="641"/>
      <c r="P1" s="62" t="str">
        <f>TBIn!$E$2458&amp;" - "&amp;TBIn!$AH$10&amp;" - PAGE 5 CHV MCI"</f>
        <v>319719 - 202504 - PAGE 5 CHV MCI</v>
      </c>
      <c r="Q1" s="643" t="s">
        <v>93</v>
      </c>
      <c r="R1" s="643" t="s">
        <v>94</v>
      </c>
      <c r="S1" s="643" t="s">
        <v>95</v>
      </c>
      <c r="T1" s="643" t="s">
        <v>94</v>
      </c>
      <c r="U1" s="643" t="s">
        <v>95</v>
      </c>
    </row>
    <row r="2" spans="1:24" s="569"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643" t="s">
        <v>98</v>
      </c>
      <c r="R2" s="643" t="s">
        <v>98</v>
      </c>
      <c r="S2" s="643" t="s">
        <v>98</v>
      </c>
      <c r="T2" s="643" t="s">
        <v>99</v>
      </c>
      <c r="U2" s="643" t="s">
        <v>99</v>
      </c>
    </row>
    <row r="3" spans="1:24" s="569"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643" t="s">
        <v>107</v>
      </c>
      <c r="R3" s="643" t="s">
        <v>108</v>
      </c>
      <c r="S3" s="643" t="s">
        <v>108</v>
      </c>
      <c r="T3" s="643" t="s">
        <v>108</v>
      </c>
      <c r="U3" s="643" t="s">
        <v>108</v>
      </c>
    </row>
    <row r="4" spans="1:24" s="569" customFormat="1" ht="16" customHeight="1">
      <c r="A4" s="74">
        <v>1</v>
      </c>
      <c r="B4" s="215"/>
      <c r="C4" s="1535" t="str">
        <f>OR_VEH!B3</f>
        <v>VOLT</v>
      </c>
      <c r="D4" s="1536"/>
      <c r="E4" s="1037" t="s">
        <v>109</v>
      </c>
      <c r="F4" s="268">
        <f>IFERROR(IF(Flag=TRUE,K4-TBIn!E185,TBIn!D185),0)</f>
        <v>0</v>
      </c>
      <c r="G4" s="2598">
        <f>IFERROR(IF(Flag=TRUE,L4-TBIn!E1454,TBIn!D1454),0)</f>
        <v>0</v>
      </c>
      <c r="H4" s="2598">
        <f>IFERROR(IF(Flag=TRUE,M4-TBIn!E1494,TBIn!D1494),0)</f>
        <v>0</v>
      </c>
      <c r="I4" s="551">
        <f t="shared" ref="I4:I22" si="0">G4-H4</f>
        <v>0</v>
      </c>
      <c r="J4" s="645">
        <f t="shared" ref="J4:J48" si="1">IF(F4&gt;0,I4/F4,0)</f>
        <v>0</v>
      </c>
      <c r="K4" s="720">
        <f>IFERROR(TBIn!E185,0)</f>
        <v>0</v>
      </c>
      <c r="L4" s="2602">
        <f>IFERROR(TBIn!E1454,0)</f>
        <v>0</v>
      </c>
      <c r="M4" s="2602">
        <f>IFERROR(TBIn!E1494,0)</f>
        <v>0</v>
      </c>
      <c r="N4" s="554">
        <f>L4-M4</f>
        <v>0</v>
      </c>
      <c r="O4" s="646">
        <f t="shared" ref="O4:O47" si="2">IF(K4&gt;0,N4/K4,0)</f>
        <v>0</v>
      </c>
      <c r="P4" s="74">
        <v>1</v>
      </c>
      <c r="Q4" s="664">
        <v>50000</v>
      </c>
      <c r="R4" s="656">
        <f>IF(F4=0,0,IF(G4/F4&gt;Q4,1,0))</f>
        <v>0</v>
      </c>
      <c r="S4" s="656">
        <f>IF(K4=0,0,IF(OR(L4&lt;0,L4/K4&gt;Q4),1,0))</f>
        <v>0</v>
      </c>
      <c r="T4" s="656">
        <f>IF(OR(F4&lt;0,AND(G4&gt;0,F4=0),AND(G4=0,F4&gt;0)),1,0)</f>
        <v>0</v>
      </c>
      <c r="U4" s="656">
        <f>IF(OR(K4&lt;0,AND(L4&gt;0,K4=0),AND(K4&gt;0,L4=0)),1,0)</f>
        <v>0</v>
      </c>
      <c r="X4" s="30"/>
    </row>
    <row r="5" spans="1:24" s="569" customFormat="1" ht="16" customHeight="1">
      <c r="A5" s="80">
        <v>2</v>
      </c>
      <c r="B5" s="275" t="s">
        <v>110</v>
      </c>
      <c r="C5" s="1539" t="str">
        <f>OR_VEH!B4</f>
        <v>MALIBU</v>
      </c>
      <c r="D5" s="1588"/>
      <c r="E5" s="776" t="s">
        <v>111</v>
      </c>
      <c r="F5" s="269">
        <f>IFERROR(IF(Flag=TRUE,K5-TBIn!E186,TBIn!D186),0)</f>
        <v>0</v>
      </c>
      <c r="G5" s="2599">
        <f>IFERROR(IF(Flag=TRUE,L5-TBIn!E1455,TBIn!D1455),0)</f>
        <v>0</v>
      </c>
      <c r="H5" s="2599">
        <f>IFERROR(IF(Flag=TRUE,M5-TBIn!E1495,TBIn!D1495),0)</f>
        <v>0</v>
      </c>
      <c r="I5" s="552">
        <f t="shared" si="0"/>
        <v>0</v>
      </c>
      <c r="J5" s="647">
        <f t="shared" si="1"/>
        <v>0</v>
      </c>
      <c r="K5" s="721">
        <f>IFERROR(TBIn!E186,0)</f>
        <v>1</v>
      </c>
      <c r="L5" s="2574">
        <f>IFERROR(TBIn!E1455,0)</f>
        <v>33144</v>
      </c>
      <c r="M5" s="2574">
        <f>IFERROR(TBIn!E1495,0)</f>
        <v>35000</v>
      </c>
      <c r="N5" s="555">
        <f t="shared" ref="N5:N22" si="3">L5-M5</f>
        <v>-1856</v>
      </c>
      <c r="O5" s="648">
        <f t="shared" si="2"/>
        <v>-1856</v>
      </c>
      <c r="P5" s="80">
        <v>2</v>
      </c>
      <c r="Q5" s="664">
        <v>50000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4" s="569" customFormat="1" ht="15.75" customHeight="1">
      <c r="A6" s="80">
        <v>3</v>
      </c>
      <c r="B6" s="275" t="s">
        <v>112</v>
      </c>
      <c r="C6" s="1539" t="str">
        <f>OR_VEH!B5</f>
        <v>SONIC</v>
      </c>
      <c r="D6" s="1588"/>
      <c r="E6" s="776" t="s">
        <v>113</v>
      </c>
      <c r="F6" s="269">
        <f>IFERROR(IF(Flag=TRUE,K6-TBIn!E187,TBIn!D187),0)</f>
        <v>0</v>
      </c>
      <c r="G6" s="2599">
        <f>IFERROR(IF(Flag=TRUE,L6-TBIn!E1456,TBIn!D1456),0)</f>
        <v>0</v>
      </c>
      <c r="H6" s="2599">
        <f>IFERROR(IF(Flag=TRUE,M6-TBIn!E1496,TBIn!D1496),0)</f>
        <v>0</v>
      </c>
      <c r="I6" s="552">
        <f t="shared" si="0"/>
        <v>0</v>
      </c>
      <c r="J6" s="647">
        <f t="shared" si="1"/>
        <v>0</v>
      </c>
      <c r="K6" s="721">
        <f>IFERROR(TBIn!E187,0)</f>
        <v>0</v>
      </c>
      <c r="L6" s="2574">
        <f>IFERROR(TBIn!E1456,0)</f>
        <v>0</v>
      </c>
      <c r="M6" s="2574">
        <f>IFERROR(TBIn!E1496,0)</f>
        <v>0</v>
      </c>
      <c r="N6" s="555">
        <f t="shared" si="3"/>
        <v>0</v>
      </c>
      <c r="O6" s="648">
        <f t="shared" si="2"/>
        <v>0</v>
      </c>
      <c r="P6" s="80">
        <v>3</v>
      </c>
      <c r="Q6" s="664">
        <v>50000</v>
      </c>
      <c r="R6" s="656">
        <f t="shared" si="4"/>
        <v>0</v>
      </c>
      <c r="S6" s="656">
        <f t="shared" si="5"/>
        <v>0</v>
      </c>
      <c r="T6" s="656">
        <f t="shared" si="6"/>
        <v>0</v>
      </c>
      <c r="U6" s="656">
        <f t="shared" si="7"/>
        <v>0</v>
      </c>
    </row>
    <row r="7" spans="1:24" s="569" customFormat="1" ht="15.75" customHeight="1">
      <c r="A7" s="80">
        <v>4</v>
      </c>
      <c r="B7" s="275" t="s">
        <v>114</v>
      </c>
      <c r="C7" s="1539" t="str">
        <f>OR_VEH!B6</f>
        <v>IMPALA</v>
      </c>
      <c r="D7" s="1588"/>
      <c r="E7" s="776" t="s">
        <v>115</v>
      </c>
      <c r="F7" s="269">
        <f>IFERROR(IF(Flag=TRUE,K7-TBIn!E188,TBIn!D188),0)</f>
        <v>0</v>
      </c>
      <c r="G7" s="2599">
        <f>IFERROR(IF(Flag=TRUE,L7-TBIn!E1457,TBIn!D1457),0)</f>
        <v>0</v>
      </c>
      <c r="H7" s="2599">
        <f>IFERROR(IF(Flag=TRUE,M7-TBIn!E1497,TBIn!D1497),0)</f>
        <v>0</v>
      </c>
      <c r="I7" s="552">
        <f t="shared" si="0"/>
        <v>0</v>
      </c>
      <c r="J7" s="647">
        <f t="shared" si="1"/>
        <v>0</v>
      </c>
      <c r="K7" s="721">
        <f>IFERROR(TBIn!E188,0)</f>
        <v>0</v>
      </c>
      <c r="L7" s="2574">
        <f>IFERROR(TBIn!E1457,0)</f>
        <v>0</v>
      </c>
      <c r="M7" s="2574">
        <f>IFERROR(TBIn!E1497,0)</f>
        <v>0</v>
      </c>
      <c r="N7" s="555">
        <f t="shared" si="3"/>
        <v>0</v>
      </c>
      <c r="O7" s="648">
        <f t="shared" si="2"/>
        <v>0</v>
      </c>
      <c r="P7" s="80">
        <v>4</v>
      </c>
      <c r="Q7" s="664">
        <v>50000</v>
      </c>
      <c r="R7" s="656">
        <f t="shared" si="4"/>
        <v>0</v>
      </c>
      <c r="S7" s="656">
        <f t="shared" si="5"/>
        <v>0</v>
      </c>
      <c r="T7" s="656">
        <f t="shared" si="6"/>
        <v>0</v>
      </c>
      <c r="U7" s="656">
        <f t="shared" si="7"/>
        <v>0</v>
      </c>
    </row>
    <row r="8" spans="1:24" s="569" customFormat="1" ht="15.75" customHeight="1">
      <c r="A8" s="80">
        <v>5</v>
      </c>
      <c r="B8" s="275" t="s">
        <v>116</v>
      </c>
      <c r="C8" s="1539" t="str">
        <f>OR_VEH!B7</f>
        <v>SPARK</v>
      </c>
      <c r="D8" s="1588"/>
      <c r="E8" s="776" t="s">
        <v>117</v>
      </c>
      <c r="F8" s="269">
        <f>IFERROR(IF(Flag=TRUE,K8-TBIn!E189,TBIn!D189),0)</f>
        <v>0</v>
      </c>
      <c r="G8" s="2599">
        <f>IFERROR(IF(Flag=TRUE,L8-TBIn!E1458,TBIn!D1458),0)</f>
        <v>0</v>
      </c>
      <c r="H8" s="2599">
        <f>IFERROR(IF(Flag=TRUE,M8-TBIn!E1498,TBIn!D1498),0)</f>
        <v>0</v>
      </c>
      <c r="I8" s="552">
        <f t="shared" si="0"/>
        <v>0</v>
      </c>
      <c r="J8" s="647">
        <f t="shared" si="1"/>
        <v>0</v>
      </c>
      <c r="K8" s="721">
        <f>IFERROR(TBIn!E189,0)</f>
        <v>0</v>
      </c>
      <c r="L8" s="2574">
        <f>IFERROR(TBIn!E1458,0)</f>
        <v>0</v>
      </c>
      <c r="M8" s="2574">
        <f>IFERROR(TBIn!E1498,0)</f>
        <v>0</v>
      </c>
      <c r="N8" s="555">
        <f t="shared" si="3"/>
        <v>0</v>
      </c>
      <c r="O8" s="648">
        <f t="shared" si="2"/>
        <v>0</v>
      </c>
      <c r="P8" s="80">
        <v>5</v>
      </c>
      <c r="Q8" s="664">
        <v>50000</v>
      </c>
      <c r="R8" s="656">
        <f t="shared" si="4"/>
        <v>0</v>
      </c>
      <c r="S8" s="656">
        <f t="shared" si="5"/>
        <v>0</v>
      </c>
      <c r="T8" s="656">
        <f t="shared" si="6"/>
        <v>0</v>
      </c>
      <c r="U8" s="656">
        <f t="shared" si="7"/>
        <v>0</v>
      </c>
    </row>
    <row r="9" spans="1:24" s="569" customFormat="1" ht="15.75" customHeight="1">
      <c r="A9" s="80">
        <v>6</v>
      </c>
      <c r="B9" s="275" t="s">
        <v>118</v>
      </c>
      <c r="C9" s="1539" t="str">
        <f>OR_VEH!B8</f>
        <v>CORVETTE</v>
      </c>
      <c r="D9" s="1588"/>
      <c r="E9" s="776" t="s">
        <v>119</v>
      </c>
      <c r="F9" s="269">
        <f>IFERROR(IF(Flag=TRUE,K9-TBIn!E190,TBIn!D190),0)</f>
        <v>0</v>
      </c>
      <c r="G9" s="2599">
        <f>IFERROR(IF(Flag=TRUE,L9-TBIn!E1459,TBIn!D1459),0)</f>
        <v>0</v>
      </c>
      <c r="H9" s="2599">
        <f>IFERROR(IF(Flag=TRUE,M9-TBIn!E1499,TBIn!D1499),0)</f>
        <v>0</v>
      </c>
      <c r="I9" s="552">
        <f t="shared" si="0"/>
        <v>0</v>
      </c>
      <c r="J9" s="647">
        <f t="shared" si="1"/>
        <v>0</v>
      </c>
      <c r="K9" s="721">
        <f>IFERROR(TBIn!E190,0)</f>
        <v>0</v>
      </c>
      <c r="L9" s="2574">
        <f>IFERROR(TBIn!E1459,0)</f>
        <v>0</v>
      </c>
      <c r="M9" s="2574">
        <f>IFERROR(TBIn!E1499,0)</f>
        <v>0</v>
      </c>
      <c r="N9" s="555">
        <f t="shared" si="3"/>
        <v>0</v>
      </c>
      <c r="O9" s="648">
        <f t="shared" si="2"/>
        <v>0</v>
      </c>
      <c r="P9" s="80">
        <v>6</v>
      </c>
      <c r="Q9" s="664">
        <v>50000</v>
      </c>
      <c r="R9" s="656">
        <f t="shared" si="4"/>
        <v>0</v>
      </c>
      <c r="S9" s="656">
        <f t="shared" si="5"/>
        <v>0</v>
      </c>
      <c r="T9" s="656">
        <f t="shared" si="6"/>
        <v>0</v>
      </c>
      <c r="U9" s="656">
        <f t="shared" si="7"/>
        <v>0</v>
      </c>
    </row>
    <row r="10" spans="1:24" s="569" customFormat="1" ht="15.75" customHeight="1">
      <c r="A10" s="80">
        <v>7</v>
      </c>
      <c r="B10" s="101" t="s">
        <v>120</v>
      </c>
      <c r="C10" s="1539" t="str">
        <f>OR_VEH!B9</f>
        <v>CORVETTE E-RAY</v>
      </c>
      <c r="D10" s="1588"/>
      <c r="E10" s="776" t="s">
        <v>121</v>
      </c>
      <c r="F10" s="269">
        <f>IFERROR(IF(Flag=TRUE,K10-TBIn!E191,TBIn!D191),0)</f>
        <v>0</v>
      </c>
      <c r="G10" s="2599">
        <f>IFERROR(IF(Flag=TRUE,L10-TBIn!E1460,TBIn!D1460),0)</f>
        <v>0</v>
      </c>
      <c r="H10" s="2599">
        <f>IFERROR(IF(Flag=TRUE,M10-TBIn!E1500,TBIn!D1500),0)</f>
        <v>0</v>
      </c>
      <c r="I10" s="552">
        <f t="shared" si="0"/>
        <v>0</v>
      </c>
      <c r="J10" s="647">
        <f t="shared" si="1"/>
        <v>0</v>
      </c>
      <c r="K10" s="721">
        <f>IFERROR(TBIn!E191,0)</f>
        <v>0</v>
      </c>
      <c r="L10" s="2574">
        <f>IFERROR(TBIn!E1460,0)</f>
        <v>0</v>
      </c>
      <c r="M10" s="2574">
        <f>IFERROR(TBIn!E1500,0)</f>
        <v>0</v>
      </c>
      <c r="N10" s="555">
        <f t="shared" si="3"/>
        <v>0</v>
      </c>
      <c r="O10" s="648">
        <f t="shared" si="2"/>
        <v>0</v>
      </c>
      <c r="P10" s="80">
        <v>7</v>
      </c>
      <c r="Q10" s="664">
        <v>50000</v>
      </c>
      <c r="R10" s="656">
        <f t="shared" si="4"/>
        <v>0</v>
      </c>
      <c r="S10" s="656">
        <f t="shared" si="5"/>
        <v>0</v>
      </c>
      <c r="T10" s="656">
        <f t="shared" si="6"/>
        <v>0</v>
      </c>
      <c r="U10" s="656">
        <f t="shared" si="7"/>
        <v>0</v>
      </c>
    </row>
    <row r="11" spans="1:24" s="569" customFormat="1" ht="15.75" customHeight="1">
      <c r="A11" s="80">
        <v>8</v>
      </c>
      <c r="B11" s="101" t="s">
        <v>122</v>
      </c>
      <c r="C11" s="1539" t="str">
        <f>OR_VEH!B10</f>
        <v>NE PAS UTILISER</v>
      </c>
      <c r="D11" s="1588"/>
      <c r="E11" s="776" t="s">
        <v>123</v>
      </c>
      <c r="F11" s="269">
        <f>IFERROR(IF(Flag=TRUE,K11-TBIn!E192,TBIn!D192),0)</f>
        <v>0</v>
      </c>
      <c r="G11" s="2599">
        <f>IFERROR(IF(Flag=TRUE,L11-TBIn!E1461,TBIn!D1461),0)</f>
        <v>0</v>
      </c>
      <c r="H11" s="2599">
        <f>IFERROR(IF(Flag=TRUE,M11-TBIn!E1501,TBIn!D1501),0)</f>
        <v>0</v>
      </c>
      <c r="I11" s="552">
        <f t="shared" si="0"/>
        <v>0</v>
      </c>
      <c r="J11" s="647">
        <f t="shared" si="1"/>
        <v>0</v>
      </c>
      <c r="K11" s="721">
        <f>IFERROR(TBIn!E192,0)</f>
        <v>0</v>
      </c>
      <c r="L11" s="2574">
        <f>IFERROR(TBIn!E1461,0)</f>
        <v>0</v>
      </c>
      <c r="M11" s="2574">
        <f>IFERROR(TBIn!E1501,0)</f>
        <v>0</v>
      </c>
      <c r="N11" s="555">
        <f t="shared" si="3"/>
        <v>0</v>
      </c>
      <c r="O11" s="648">
        <f t="shared" si="2"/>
        <v>0</v>
      </c>
      <c r="P11" s="80">
        <v>8</v>
      </c>
      <c r="Q11" s="664">
        <v>50000</v>
      </c>
      <c r="R11" s="656">
        <f t="shared" si="4"/>
        <v>0</v>
      </c>
      <c r="S11" s="656">
        <f t="shared" si="5"/>
        <v>0</v>
      </c>
      <c r="T11" s="656">
        <f t="shared" si="6"/>
        <v>0</v>
      </c>
      <c r="U11" s="656">
        <f t="shared" si="7"/>
        <v>0</v>
      </c>
    </row>
    <row r="12" spans="1:24" s="569" customFormat="1" ht="15.75" customHeight="1">
      <c r="A12" s="80">
        <v>9</v>
      </c>
      <c r="B12" s="101" t="s">
        <v>124</v>
      </c>
      <c r="C12" s="1539" t="str">
        <f>OR_VEH!B11</f>
        <v>NE PAS UTILISER</v>
      </c>
      <c r="D12" s="1588"/>
      <c r="E12" s="776" t="s">
        <v>125</v>
      </c>
      <c r="F12" s="269">
        <f>IFERROR(IF(Flag=TRUE,K12-TBIn!E193,TBIn!D193),0)</f>
        <v>0</v>
      </c>
      <c r="G12" s="2599">
        <f>IFERROR(IF(Flag=TRUE,L12-TBIn!E1462,TBIn!D1462),0)</f>
        <v>0</v>
      </c>
      <c r="H12" s="2599">
        <f>IFERROR(IF(Flag=TRUE,M12-TBIn!E1502,TBIn!D1502),0)</f>
        <v>0</v>
      </c>
      <c r="I12" s="552">
        <f t="shared" si="0"/>
        <v>0</v>
      </c>
      <c r="J12" s="647">
        <f t="shared" si="1"/>
        <v>0</v>
      </c>
      <c r="K12" s="721">
        <f>IFERROR(TBIn!E193,0)</f>
        <v>0</v>
      </c>
      <c r="L12" s="2574">
        <f>IFERROR(TBIn!E1462,0)</f>
        <v>0</v>
      </c>
      <c r="M12" s="2574">
        <f>IFERROR(TBIn!E1502,0)</f>
        <v>0</v>
      </c>
      <c r="N12" s="555">
        <f t="shared" si="3"/>
        <v>0</v>
      </c>
      <c r="O12" s="648">
        <f t="shared" si="2"/>
        <v>0</v>
      </c>
      <c r="P12" s="80">
        <v>9</v>
      </c>
      <c r="Q12" s="664">
        <v>50000</v>
      </c>
      <c r="R12" s="656">
        <f t="shared" si="4"/>
        <v>0</v>
      </c>
      <c r="S12" s="656">
        <f t="shared" si="5"/>
        <v>0</v>
      </c>
      <c r="T12" s="656">
        <f t="shared" si="6"/>
        <v>0</v>
      </c>
      <c r="U12" s="656">
        <f t="shared" si="7"/>
        <v>0</v>
      </c>
    </row>
    <row r="13" spans="1:24" s="569" customFormat="1" ht="15.75" customHeight="1">
      <c r="A13" s="80">
        <v>10</v>
      </c>
      <c r="B13" s="101"/>
      <c r="C13" s="1539" t="str">
        <f>OR_VEH!B12</f>
        <v>NE PAS UTILISER</v>
      </c>
      <c r="D13" s="1588"/>
      <c r="E13" s="776" t="s">
        <v>126</v>
      </c>
      <c r="F13" s="269">
        <f>IFERROR(IF(Flag=TRUE,K13-TBIn!E194,TBIn!D194),0)</f>
        <v>0</v>
      </c>
      <c r="G13" s="2599">
        <f>IFERROR(IF(Flag=TRUE,L13-TBIn!E1463,TBIn!D1463),0)</f>
        <v>0</v>
      </c>
      <c r="H13" s="2599">
        <f>IFERROR(IF(Flag=TRUE,M13-TBIn!E1503,TBIn!D1503),0)</f>
        <v>0</v>
      </c>
      <c r="I13" s="552">
        <f t="shared" si="0"/>
        <v>0</v>
      </c>
      <c r="J13" s="647">
        <f t="shared" si="1"/>
        <v>0</v>
      </c>
      <c r="K13" s="721">
        <f>IFERROR(TBIn!E194,0)</f>
        <v>0</v>
      </c>
      <c r="L13" s="2574">
        <f>IFERROR(TBIn!E1463,0)</f>
        <v>0</v>
      </c>
      <c r="M13" s="2574">
        <f>IFERROR(TBIn!E1503,0)</f>
        <v>0</v>
      </c>
      <c r="N13" s="555">
        <f t="shared" si="3"/>
        <v>0</v>
      </c>
      <c r="O13" s="648">
        <f t="shared" si="2"/>
        <v>0</v>
      </c>
      <c r="P13" s="80">
        <v>10</v>
      </c>
      <c r="Q13" s="664">
        <v>50000</v>
      </c>
      <c r="R13" s="656">
        <f t="shared" si="4"/>
        <v>0</v>
      </c>
      <c r="S13" s="656">
        <f t="shared" si="5"/>
        <v>0</v>
      </c>
      <c r="T13" s="656">
        <f t="shared" si="6"/>
        <v>0</v>
      </c>
      <c r="U13" s="656">
        <f t="shared" si="7"/>
        <v>0</v>
      </c>
    </row>
    <row r="14" spans="1:24" s="569" customFormat="1" ht="15.75" customHeight="1">
      <c r="A14" s="80">
        <v>11</v>
      </c>
      <c r="B14" s="101" t="s">
        <v>127</v>
      </c>
      <c r="C14" s="1539" t="str">
        <f>OR_VEH!B13</f>
        <v>CAMARO</v>
      </c>
      <c r="D14" s="1588"/>
      <c r="E14" s="776" t="s">
        <v>128</v>
      </c>
      <c r="F14" s="269">
        <f>IFERROR(IF(Flag=TRUE,K14-TBIn!E195,TBIn!D195),0)</f>
        <v>0</v>
      </c>
      <c r="G14" s="2599">
        <f>IFERROR(IF(Flag=TRUE,L14-TBIn!E1464,TBIn!D1464),0)</f>
        <v>0</v>
      </c>
      <c r="H14" s="2599">
        <f>IFERROR(IF(Flag=TRUE,M14-TBIn!E1504,TBIn!D1504),0)</f>
        <v>0</v>
      </c>
      <c r="I14" s="552">
        <f t="shared" si="0"/>
        <v>0</v>
      </c>
      <c r="J14" s="647">
        <f t="shared" si="1"/>
        <v>0</v>
      </c>
      <c r="K14" s="721">
        <f>IFERROR(TBIn!E195,0)</f>
        <v>0</v>
      </c>
      <c r="L14" s="2574">
        <f>IFERROR(TBIn!E1464,0)</f>
        <v>0</v>
      </c>
      <c r="M14" s="2574">
        <f>IFERROR(TBIn!E1504,0)</f>
        <v>0</v>
      </c>
      <c r="N14" s="555">
        <f t="shared" si="3"/>
        <v>0</v>
      </c>
      <c r="O14" s="648">
        <f t="shared" si="2"/>
        <v>0</v>
      </c>
      <c r="P14" s="80">
        <v>11</v>
      </c>
      <c r="Q14" s="664">
        <v>50000</v>
      </c>
      <c r="R14" s="656">
        <f t="shared" si="4"/>
        <v>0</v>
      </c>
      <c r="S14" s="656">
        <f t="shared" si="5"/>
        <v>0</v>
      </c>
      <c r="T14" s="656">
        <f t="shared" si="6"/>
        <v>0</v>
      </c>
      <c r="U14" s="656">
        <f t="shared" si="7"/>
        <v>0</v>
      </c>
    </row>
    <row r="15" spans="1:24" s="569" customFormat="1" ht="15.75" customHeight="1">
      <c r="A15" s="80">
        <v>12</v>
      </c>
      <c r="B15" s="101" t="s">
        <v>122</v>
      </c>
      <c r="C15" s="1539" t="str">
        <f>OR_VEH!B14</f>
        <v>CRUZE</v>
      </c>
      <c r="D15" s="1588"/>
      <c r="E15" s="776" t="s">
        <v>129</v>
      </c>
      <c r="F15" s="269">
        <f>IFERROR(IF(Flag=TRUE,K15-TBIn!E196,TBIn!D196),0)</f>
        <v>0</v>
      </c>
      <c r="G15" s="2599">
        <f>IFERROR(IF(Flag=TRUE,L15-TBIn!E1465,TBIn!D1465),0)</f>
        <v>0</v>
      </c>
      <c r="H15" s="2599">
        <f>IFERROR(IF(Flag=TRUE,M15-TBIn!E1505,TBIn!D1505),0)</f>
        <v>0</v>
      </c>
      <c r="I15" s="552">
        <f t="shared" si="0"/>
        <v>0</v>
      </c>
      <c r="J15" s="647">
        <f t="shared" si="1"/>
        <v>0</v>
      </c>
      <c r="K15" s="721">
        <f>IFERROR(TBIn!E196,0)</f>
        <v>0</v>
      </c>
      <c r="L15" s="2574">
        <f>IFERROR(TBIn!E1465,0)</f>
        <v>0</v>
      </c>
      <c r="M15" s="2574">
        <f>IFERROR(TBIn!E1505,0)</f>
        <v>0</v>
      </c>
      <c r="N15" s="555">
        <f t="shared" si="3"/>
        <v>0</v>
      </c>
      <c r="O15" s="648">
        <f t="shared" si="2"/>
        <v>0</v>
      </c>
      <c r="P15" s="80">
        <v>12</v>
      </c>
      <c r="Q15" s="664">
        <v>50000</v>
      </c>
      <c r="R15" s="656">
        <f t="shared" si="4"/>
        <v>0</v>
      </c>
      <c r="S15" s="656">
        <f t="shared" si="5"/>
        <v>0</v>
      </c>
      <c r="T15" s="656">
        <f t="shared" si="6"/>
        <v>0</v>
      </c>
      <c r="U15" s="656">
        <f t="shared" si="7"/>
        <v>0</v>
      </c>
    </row>
    <row r="16" spans="1:24" s="569" customFormat="1" ht="15.75" customHeight="1">
      <c r="A16" s="80">
        <v>13</v>
      </c>
      <c r="B16" s="101" t="s">
        <v>118</v>
      </c>
      <c r="C16" s="1539" t="str">
        <f>OR_VEH!B15</f>
        <v>NE PAS UTILISER</v>
      </c>
      <c r="D16" s="1588"/>
      <c r="E16" s="776" t="s">
        <v>130</v>
      </c>
      <c r="F16" s="269">
        <f>IFERROR(IF(Flag=TRUE,K16-TBIn!E197,TBIn!D197),0)</f>
        <v>0</v>
      </c>
      <c r="G16" s="2599">
        <f>IFERROR(IF(Flag=TRUE,L16-TBIn!E1466,TBIn!D1466),0)</f>
        <v>0</v>
      </c>
      <c r="H16" s="2599">
        <f>IFERROR(IF(Flag=TRUE,M16-TBIn!E1506,TBIn!D1506),0)</f>
        <v>0</v>
      </c>
      <c r="I16" s="552">
        <f t="shared" si="0"/>
        <v>0</v>
      </c>
      <c r="J16" s="647">
        <f t="shared" si="1"/>
        <v>0</v>
      </c>
      <c r="K16" s="721">
        <f>IFERROR(TBIn!E197,0)</f>
        <v>0</v>
      </c>
      <c r="L16" s="2574">
        <f>IFERROR(TBIn!E1466,0)</f>
        <v>0</v>
      </c>
      <c r="M16" s="2574">
        <f>IFERROR(TBIn!E1506,0)</f>
        <v>0</v>
      </c>
      <c r="N16" s="555">
        <f t="shared" si="3"/>
        <v>0</v>
      </c>
      <c r="O16" s="648">
        <f t="shared" si="2"/>
        <v>0</v>
      </c>
      <c r="P16" s="80">
        <v>13</v>
      </c>
      <c r="Q16" s="664">
        <v>50000</v>
      </c>
      <c r="R16" s="656">
        <f t="shared" si="4"/>
        <v>0</v>
      </c>
      <c r="S16" s="656">
        <f t="shared" si="5"/>
        <v>0</v>
      </c>
      <c r="T16" s="656">
        <f t="shared" si="6"/>
        <v>0</v>
      </c>
      <c r="U16" s="656">
        <f t="shared" si="7"/>
        <v>0</v>
      </c>
    </row>
    <row r="17" spans="1:21" s="569" customFormat="1" ht="15.75" customHeight="1">
      <c r="A17" s="80">
        <v>14</v>
      </c>
      <c r="B17" s="101" t="s">
        <v>110</v>
      </c>
      <c r="C17" s="1539" t="str">
        <f>OR_VEH!B16</f>
        <v>NE PAS UTILISER</v>
      </c>
      <c r="D17" s="1588"/>
      <c r="E17" s="776" t="s">
        <v>131</v>
      </c>
      <c r="F17" s="269">
        <f>IFERROR(IF(Flag=TRUE,K17-TBIn!E198,TBIn!D198),0)</f>
        <v>0</v>
      </c>
      <c r="G17" s="2599">
        <f>IFERROR(IF(Flag=TRUE,L17-TBIn!E1467,TBIn!D1467),0)</f>
        <v>0</v>
      </c>
      <c r="H17" s="2599">
        <f>IFERROR(IF(Flag=TRUE,M17-TBIn!E1507,TBIn!D1507),0)</f>
        <v>0</v>
      </c>
      <c r="I17" s="552">
        <f t="shared" si="0"/>
        <v>0</v>
      </c>
      <c r="J17" s="647">
        <f t="shared" si="1"/>
        <v>0</v>
      </c>
      <c r="K17" s="721">
        <f>IFERROR(TBIn!E198,0)</f>
        <v>0</v>
      </c>
      <c r="L17" s="2574">
        <f>IFERROR(TBIn!E1467,0)</f>
        <v>0</v>
      </c>
      <c r="M17" s="2574">
        <f>IFERROR(TBIn!E1507,0)</f>
        <v>0</v>
      </c>
      <c r="N17" s="555">
        <f t="shared" si="3"/>
        <v>0</v>
      </c>
      <c r="O17" s="648">
        <f t="shared" si="2"/>
        <v>0</v>
      </c>
      <c r="P17" s="80">
        <v>14</v>
      </c>
      <c r="Q17" s="664">
        <v>50000</v>
      </c>
      <c r="R17" s="656">
        <f t="shared" si="4"/>
        <v>0</v>
      </c>
      <c r="S17" s="656">
        <f t="shared" si="5"/>
        <v>0</v>
      </c>
      <c r="T17" s="656">
        <f t="shared" si="6"/>
        <v>0</v>
      </c>
      <c r="U17" s="656">
        <f t="shared" si="7"/>
        <v>0</v>
      </c>
    </row>
    <row r="18" spans="1:21" s="569" customFormat="1" ht="15.75" customHeight="1">
      <c r="A18" s="80">
        <v>15</v>
      </c>
      <c r="B18" s="275" t="s">
        <v>122</v>
      </c>
      <c r="C18" s="1539" t="str">
        <f>OR_VEH!B17</f>
        <v>NE PAS UTILISER</v>
      </c>
      <c r="D18" s="1588"/>
      <c r="E18" s="776" t="s">
        <v>132</v>
      </c>
      <c r="F18" s="269">
        <f>IFERROR(IF(Flag=TRUE,K18-TBIn!E199,TBIn!D199),0)</f>
        <v>0</v>
      </c>
      <c r="G18" s="2599">
        <f>IFERROR(IF(Flag=TRUE,L18-TBIn!E1468,TBIn!D1468),0)</f>
        <v>0</v>
      </c>
      <c r="H18" s="2599">
        <f>IFERROR(IF(Flag=TRUE,M18-TBIn!E1508,TBIn!D1508),0)</f>
        <v>0</v>
      </c>
      <c r="I18" s="552">
        <f t="shared" si="0"/>
        <v>0</v>
      </c>
      <c r="J18" s="647">
        <f t="shared" si="1"/>
        <v>0</v>
      </c>
      <c r="K18" s="721">
        <f>IFERROR(TBIn!E199,0)</f>
        <v>0</v>
      </c>
      <c r="L18" s="2574">
        <f>IFERROR(TBIn!E1468,0)</f>
        <v>0</v>
      </c>
      <c r="M18" s="2574">
        <f>IFERROR(TBIn!E1508,0)</f>
        <v>0</v>
      </c>
      <c r="N18" s="555">
        <f t="shared" si="3"/>
        <v>0</v>
      </c>
      <c r="O18" s="648">
        <f t="shared" si="2"/>
        <v>0</v>
      </c>
      <c r="P18" s="80">
        <v>15</v>
      </c>
      <c r="Q18" s="664">
        <v>50000</v>
      </c>
      <c r="R18" s="656">
        <f t="shared" si="4"/>
        <v>0</v>
      </c>
      <c r="S18" s="656">
        <f t="shared" si="5"/>
        <v>0</v>
      </c>
      <c r="T18" s="656">
        <f t="shared" si="6"/>
        <v>0</v>
      </c>
      <c r="U18" s="656">
        <f t="shared" si="7"/>
        <v>0</v>
      </c>
    </row>
    <row r="19" spans="1:21" s="569" customFormat="1" ht="16" customHeight="1">
      <c r="A19" s="80">
        <v>16</v>
      </c>
      <c r="B19" s="275" t="s">
        <v>124</v>
      </c>
      <c r="C19" s="1539" t="str">
        <f>OR_VEH!B18</f>
        <v>NE PAS UTILISER</v>
      </c>
      <c r="D19" s="1588"/>
      <c r="E19" s="776" t="s">
        <v>133</v>
      </c>
      <c r="F19" s="269">
        <f>IFERROR(IF(Flag=TRUE,K19-TBIn!E200,TBIn!D200),0)</f>
        <v>0</v>
      </c>
      <c r="G19" s="2599">
        <f>IFERROR(IF(Flag=TRUE,L19-TBIn!E1469,TBIn!D1469),0)</f>
        <v>0</v>
      </c>
      <c r="H19" s="2599">
        <f>IFERROR(IF(Flag=TRUE,M19-TBIn!E1509,TBIn!D1509),0)</f>
        <v>0</v>
      </c>
      <c r="I19" s="552">
        <f t="shared" si="0"/>
        <v>0</v>
      </c>
      <c r="J19" s="647">
        <f t="shared" si="1"/>
        <v>0</v>
      </c>
      <c r="K19" s="721">
        <f>IFERROR(TBIn!E200,0)</f>
        <v>0</v>
      </c>
      <c r="L19" s="2574">
        <f>IFERROR(TBIn!E1469,0)</f>
        <v>0</v>
      </c>
      <c r="M19" s="2574">
        <f>IFERROR(TBIn!E1509,0)</f>
        <v>0</v>
      </c>
      <c r="N19" s="555">
        <f t="shared" si="3"/>
        <v>0</v>
      </c>
      <c r="O19" s="648">
        <f t="shared" si="2"/>
        <v>0</v>
      </c>
      <c r="P19" s="80">
        <v>16</v>
      </c>
      <c r="Q19" s="664">
        <v>50000</v>
      </c>
      <c r="R19" s="656">
        <f t="shared" si="4"/>
        <v>0</v>
      </c>
      <c r="S19" s="656">
        <f t="shared" si="5"/>
        <v>0</v>
      </c>
      <c r="T19" s="656">
        <f t="shared" si="6"/>
        <v>0</v>
      </c>
      <c r="U19" s="656">
        <f t="shared" si="7"/>
        <v>0</v>
      </c>
    </row>
    <row r="20" spans="1:21" s="569" customFormat="1" ht="16" customHeight="1">
      <c r="A20" s="80">
        <v>17</v>
      </c>
      <c r="B20" s="275"/>
      <c r="C20" s="1539" t="str">
        <f>OR_VEH!B19</f>
        <v>POUR USAGE FUTUR</v>
      </c>
      <c r="D20" s="1588"/>
      <c r="E20" s="776" t="s">
        <v>134</v>
      </c>
      <c r="F20" s="269">
        <f>IFERROR(IF(Flag=TRUE,K20-TBIn!E201,TBIn!D201),0)</f>
        <v>0</v>
      </c>
      <c r="G20" s="2599">
        <f>IFERROR(IF(Flag=TRUE,L20-TBIn!E1470,TBIn!D1470),0)</f>
        <v>0</v>
      </c>
      <c r="H20" s="2599">
        <f>IFERROR(IF(Flag=TRUE,M20-TBIn!E1510,TBIn!D1510),0)</f>
        <v>0</v>
      </c>
      <c r="I20" s="552">
        <f t="shared" si="0"/>
        <v>0</v>
      </c>
      <c r="J20" s="647">
        <f t="shared" si="1"/>
        <v>0</v>
      </c>
      <c r="K20" s="721">
        <f>IFERROR(TBIn!E201,0)</f>
        <v>0</v>
      </c>
      <c r="L20" s="2574">
        <f>IFERROR(TBIn!E1470,0)</f>
        <v>0</v>
      </c>
      <c r="M20" s="2574">
        <f>IFERROR(TBIn!E1510,0)</f>
        <v>0</v>
      </c>
      <c r="N20" s="555">
        <f t="shared" si="3"/>
        <v>0</v>
      </c>
      <c r="O20" s="648">
        <f t="shared" si="2"/>
        <v>0</v>
      </c>
      <c r="P20" s="80">
        <v>17</v>
      </c>
      <c r="Q20" s="664">
        <v>50000</v>
      </c>
      <c r="R20" s="656">
        <f t="shared" si="4"/>
        <v>0</v>
      </c>
      <c r="S20" s="656">
        <f t="shared" si="5"/>
        <v>0</v>
      </c>
      <c r="T20" s="656">
        <f t="shared" si="6"/>
        <v>0</v>
      </c>
      <c r="U20" s="656">
        <f t="shared" si="7"/>
        <v>0</v>
      </c>
    </row>
    <row r="21" spans="1:21" s="569" customFormat="1" ht="16" customHeight="1">
      <c r="A21" s="80">
        <v>18</v>
      </c>
      <c r="B21" s="215"/>
      <c r="C21" s="1539" t="str">
        <f>OR_VEH!B20</f>
        <v>NE PAS UTILISER</v>
      </c>
      <c r="D21" s="1588"/>
      <c r="E21" s="776" t="s">
        <v>135</v>
      </c>
      <c r="F21" s="269">
        <f>IFERROR(IF(Flag=TRUE,K21-TBIn!E202,TBIn!D202),0)</f>
        <v>0</v>
      </c>
      <c r="G21" s="2599">
        <f>IFERROR(IF(Flag=TRUE,L21-TBIn!E1471,TBIn!D1471),0)</f>
        <v>0</v>
      </c>
      <c r="H21" s="2599">
        <f>IFERROR(IF(Flag=TRUE,M21-TBIn!E1511,TBIn!D1511),0)</f>
        <v>0</v>
      </c>
      <c r="I21" s="552">
        <f t="shared" si="0"/>
        <v>0</v>
      </c>
      <c r="J21" s="647">
        <f t="shared" si="1"/>
        <v>0</v>
      </c>
      <c r="K21" s="721">
        <f>IFERROR(TBIn!E202,0)</f>
        <v>0</v>
      </c>
      <c r="L21" s="2574">
        <f>IFERROR(TBIn!E1471,0)</f>
        <v>0</v>
      </c>
      <c r="M21" s="2574">
        <f>IFERROR(TBIn!E1511,0)</f>
        <v>0</v>
      </c>
      <c r="N21" s="555">
        <f t="shared" si="3"/>
        <v>0</v>
      </c>
      <c r="O21" s="648">
        <f t="shared" si="2"/>
        <v>0</v>
      </c>
      <c r="P21" s="80">
        <v>18</v>
      </c>
      <c r="Q21" s="664">
        <v>50000</v>
      </c>
      <c r="R21" s="656">
        <f t="shared" si="4"/>
        <v>0</v>
      </c>
      <c r="S21" s="656">
        <f t="shared" si="5"/>
        <v>0</v>
      </c>
      <c r="T21" s="656">
        <f t="shared" si="6"/>
        <v>0</v>
      </c>
      <c r="U21" s="656">
        <f t="shared" si="7"/>
        <v>0</v>
      </c>
    </row>
    <row r="22" spans="1:21" s="569" customFormat="1" ht="16" customHeight="1">
      <c r="A22" s="80">
        <v>19</v>
      </c>
      <c r="B22" s="215"/>
      <c r="C22" s="1589" t="str">
        <f>OR_VEH!B21</f>
        <v>AUTRES CHEVROLET</v>
      </c>
      <c r="D22" s="1590"/>
      <c r="E22" s="777" t="s">
        <v>136</v>
      </c>
      <c r="F22" s="270">
        <f>IFERROR(IF(Flag=TRUE,K22-TBIn!E203,TBIn!D203),0)</f>
        <v>0</v>
      </c>
      <c r="G22" s="2600">
        <f>IFERROR(IF(Flag=TRUE,L22-TBIn!E1472,TBIn!D1472),0)</f>
        <v>0</v>
      </c>
      <c r="H22" s="2600">
        <f>IFERROR(IF(Flag=TRUE,M22-TBIn!E1512,TBIn!D1512),0)</f>
        <v>0</v>
      </c>
      <c r="I22" s="553">
        <f t="shared" si="0"/>
        <v>0</v>
      </c>
      <c r="J22" s="657">
        <f t="shared" si="1"/>
        <v>0</v>
      </c>
      <c r="K22" s="722">
        <f>IFERROR(TBIn!E203,0)</f>
        <v>0</v>
      </c>
      <c r="L22" s="2603">
        <f>IFERROR(TBIn!E1472,0)</f>
        <v>0</v>
      </c>
      <c r="M22" s="2603">
        <f>IFERROR(TBIn!E1512,0)</f>
        <v>0</v>
      </c>
      <c r="N22" s="556">
        <f t="shared" si="3"/>
        <v>0</v>
      </c>
      <c r="O22" s="658">
        <f t="shared" si="2"/>
        <v>0</v>
      </c>
      <c r="P22" s="80">
        <v>19</v>
      </c>
      <c r="Q22" s="664">
        <v>50000</v>
      </c>
      <c r="R22" s="656">
        <f t="shared" si="4"/>
        <v>0</v>
      </c>
      <c r="S22" s="656">
        <f t="shared" si="5"/>
        <v>0</v>
      </c>
      <c r="T22" s="656">
        <f t="shared" si="6"/>
        <v>0</v>
      </c>
      <c r="U22" s="656">
        <f t="shared" si="7"/>
        <v>0</v>
      </c>
    </row>
    <row r="23" spans="1:21" s="569" customFormat="1" ht="16" customHeight="1">
      <c r="A23" s="80">
        <v>20</v>
      </c>
      <c r="B23" s="215"/>
      <c r="C23" s="263" t="s">
        <v>137</v>
      </c>
      <c r="D23" s="264"/>
      <c r="E23" s="778"/>
      <c r="F23" s="649">
        <f>SUM(F4:F22)</f>
        <v>0</v>
      </c>
      <c r="G23" s="650">
        <f>SUM(G4:G22)</f>
        <v>0</v>
      </c>
      <c r="H23" s="650">
        <f>SUM(H4:H22)</f>
        <v>0</v>
      </c>
      <c r="I23" s="650">
        <f>SUM(I4:I22)</f>
        <v>0</v>
      </c>
      <c r="J23" s="651">
        <f t="shared" si="1"/>
        <v>0</v>
      </c>
      <c r="K23" s="2496">
        <f>SUM(K4:K22)</f>
        <v>1</v>
      </c>
      <c r="L23" s="949">
        <f>SUM(L4:L22)</f>
        <v>33144</v>
      </c>
      <c r="M23" s="949">
        <f>SUM(M4:M22)</f>
        <v>35000</v>
      </c>
      <c r="N23" s="650">
        <f>SUM(N4:N22)</f>
        <v>-1856</v>
      </c>
      <c r="O23" s="651">
        <f t="shared" si="2"/>
        <v>-1856</v>
      </c>
      <c r="P23" s="80">
        <v>20</v>
      </c>
      <c r="Q23" s="656"/>
      <c r="R23" s="656"/>
      <c r="S23" s="656"/>
      <c r="T23" s="656"/>
      <c r="U23" s="656"/>
    </row>
    <row r="24" spans="1:21" s="569" customFormat="1" ht="16" customHeight="1">
      <c r="A24" s="80">
        <v>21</v>
      </c>
      <c r="B24" s="215"/>
      <c r="C24" s="1593" t="str">
        <f>OR_VEH!B23</f>
        <v>MÉMO* VENTES INTERNET VOITURES</v>
      </c>
      <c r="D24" s="1536"/>
      <c r="E24" s="1034" t="s">
        <v>138</v>
      </c>
      <c r="F24" s="269">
        <f>IFERROR(IF(Flag=TRUE,K24-TBIn!E204,TBIn!D204),0)</f>
        <v>0</v>
      </c>
      <c r="G24" s="2599">
        <f>IFERROR(IF(Flag=TRUE,L24-TBIn!$E$145,TBIn!$D$145),0)</f>
        <v>0</v>
      </c>
      <c r="H24" s="2599">
        <f>IFERROR(IF(Flag=TRUE,M24-TBIn!$E$165,TBIn!$D$165),0)</f>
        <v>0</v>
      </c>
      <c r="I24" s="552">
        <f>G24-H24</f>
        <v>0</v>
      </c>
      <c r="J24" s="647">
        <f t="shared" si="1"/>
        <v>0</v>
      </c>
      <c r="K24" s="721">
        <f>IFERROR(TBIn!E204,0)</f>
        <v>0</v>
      </c>
      <c r="L24" s="2574">
        <f>IFERROR(TBIn!$E$145,0)</f>
        <v>0</v>
      </c>
      <c r="M24" s="2574">
        <f>IFERROR(TBIn!$E$165,0)</f>
        <v>0</v>
      </c>
      <c r="N24" s="555">
        <f>L24-M24</f>
        <v>0</v>
      </c>
      <c r="O24" s="648">
        <f t="shared" si="2"/>
        <v>0</v>
      </c>
      <c r="P24" s="80">
        <v>21</v>
      </c>
      <c r="Q24" s="664">
        <v>50000</v>
      </c>
      <c r="R24" s="656">
        <f t="shared" si="4"/>
        <v>0</v>
      </c>
      <c r="S24" s="656">
        <f>IF(K24=0,0,IF(OR(L24&lt;0,L24/K24&gt;Q24),1,0))</f>
        <v>0</v>
      </c>
      <c r="T24" s="656">
        <f>IF(OR(F24&lt;0,AND(G24&gt;0,F24=0),AND(G24=0,F24&gt;0)),1,0)</f>
        <v>0</v>
      </c>
      <c r="U24" s="656">
        <f>IF(OR(K24&lt;0,AND(L24&gt;0,K24=0),AND(K24&gt;0,L24=0)),1,0)</f>
        <v>0</v>
      </c>
    </row>
    <row r="25" spans="1:21" s="569" customFormat="1" ht="20.5" customHeight="1">
      <c r="A25" s="80">
        <v>22</v>
      </c>
      <c r="B25" s="101"/>
      <c r="C25" s="1594" t="str">
        <f>OR_VEH!B24</f>
        <v>TOTAL PARCS - VOITURES</v>
      </c>
      <c r="D25" s="1588"/>
      <c r="E25" s="2524" t="s">
        <v>139</v>
      </c>
      <c r="F25" s="269">
        <f>IFERROR(IF(Flag=TRUE,K25-TBIn!E205,TBIn!D205),0)</f>
        <v>0</v>
      </c>
      <c r="G25" s="2599">
        <f>IFERROR(IF(Flag=TRUE,L25-TBIn!E1473,TBIn!D1473),0)</f>
        <v>0</v>
      </c>
      <c r="H25" s="2599">
        <f>IFERROR(IF(Flag=TRUE,M25-TBIn!E1513,TBIn!D1513),0)</f>
        <v>0</v>
      </c>
      <c r="I25" s="552">
        <f>G25-H25</f>
        <v>0</v>
      </c>
      <c r="J25" s="647">
        <f t="shared" si="1"/>
        <v>0</v>
      </c>
      <c r="K25" s="721">
        <f>IFERROR(TBIn!E205,0)</f>
        <v>0</v>
      </c>
      <c r="L25" s="2574">
        <f>IFERROR(TBIn!E1473,0)</f>
        <v>0</v>
      </c>
      <c r="M25" s="2574">
        <f>IFERROR(TBIn!E1513,0)</f>
        <v>0</v>
      </c>
      <c r="N25" s="2679">
        <f>L25-M25</f>
        <v>0</v>
      </c>
      <c r="O25" s="648">
        <f t="shared" si="2"/>
        <v>0</v>
      </c>
      <c r="P25" s="80">
        <v>22</v>
      </c>
      <c r="Q25" s="664">
        <v>50000</v>
      </c>
      <c r="R25" s="656">
        <f t="shared" si="4"/>
        <v>0</v>
      </c>
      <c r="S25" s="656">
        <f>IF(K25=0,0,IF(OR(L25&lt;0,L25/K25&gt;Q25),1,0))</f>
        <v>0</v>
      </c>
      <c r="T25" s="656">
        <f>IF(OR(F25&lt;0,AND(G25&gt;0,F25=0),AND(G25=0,F25&gt;0)),1,0)</f>
        <v>0</v>
      </c>
      <c r="U25" s="656">
        <f>IF(OR(K25&lt;0,AND(L25&gt;0,K25=0),AND(K25&gt;0,L25=0)),1,0)</f>
        <v>0</v>
      </c>
    </row>
    <row r="26" spans="1:21" s="569" customFormat="1" ht="16" customHeight="1">
      <c r="A26" s="80">
        <v>23</v>
      </c>
      <c r="B26" s="215"/>
      <c r="C26" s="1596" t="str">
        <f>OR_VEH!B25</f>
        <v>TOTAL INTERNE - VOITURES</v>
      </c>
      <c r="D26" s="1598"/>
      <c r="E26" s="1035" t="s">
        <v>140</v>
      </c>
      <c r="F26" s="269">
        <f>IFERROR(IF(Flag=TRUE,K26-TBIn!E206,TBIn!D206),0)</f>
        <v>0</v>
      </c>
      <c r="G26" s="2599">
        <f>IFERROR(IF(Flag=TRUE,L26-TBIn!E1474,TBIn!D1474),0)</f>
        <v>0</v>
      </c>
      <c r="H26" s="2599">
        <f>IFERROR(IF(Flag=TRUE,M26-TBIn!E1514,TBIn!D1514),0)</f>
        <v>0</v>
      </c>
      <c r="I26" s="552">
        <f>G26-H26</f>
        <v>0</v>
      </c>
      <c r="J26" s="647">
        <f t="shared" si="1"/>
        <v>0</v>
      </c>
      <c r="K26" s="721">
        <f>IFERROR(TBIn!E206,0)</f>
        <v>0</v>
      </c>
      <c r="L26" s="2574">
        <f>IFERROR(TBIn!E1474,0)</f>
        <v>0</v>
      </c>
      <c r="M26" s="2574">
        <f>IFERROR(TBIn!E1514,0)</f>
        <v>0</v>
      </c>
      <c r="N26" s="555">
        <f>L26-M26</f>
        <v>0</v>
      </c>
      <c r="O26" s="648">
        <f t="shared" si="2"/>
        <v>0</v>
      </c>
      <c r="P26" s="80">
        <v>23</v>
      </c>
      <c r="Q26" s="664">
        <v>50000</v>
      </c>
      <c r="R26" s="656">
        <f t="shared" si="4"/>
        <v>0</v>
      </c>
      <c r="S26" s="656">
        <f>IF(K26=0,0,IF(OR(L26&lt;0,L26/K26&gt;Q26),1,0))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649">
        <f>F23+F25+F26</f>
        <v>0</v>
      </c>
      <c r="G27" s="650">
        <f>G23+G25+G26</f>
        <v>0</v>
      </c>
      <c r="H27" s="650">
        <f>H23+H25+H26</f>
        <v>0</v>
      </c>
      <c r="I27" s="650">
        <f>I23+I25+I26</f>
        <v>0</v>
      </c>
      <c r="J27" s="651">
        <f t="shared" si="1"/>
        <v>0</v>
      </c>
      <c r="K27" s="2496">
        <f>K23+K25+K26</f>
        <v>1</v>
      </c>
      <c r="L27" s="949">
        <f>L23+L25+L26</f>
        <v>33144</v>
      </c>
      <c r="M27" s="949">
        <f>M23+M25+M26</f>
        <v>35000</v>
      </c>
      <c r="N27" s="650">
        <f>N23+N25+N26</f>
        <v>-1856</v>
      </c>
      <c r="O27" s="651">
        <f t="shared" si="2"/>
        <v>-1856</v>
      </c>
      <c r="P27" s="80">
        <v>24</v>
      </c>
      <c r="Q27" s="656"/>
      <c r="R27" s="656"/>
      <c r="S27" s="656"/>
      <c r="T27" s="656"/>
      <c r="U27" s="656"/>
    </row>
    <row r="28" spans="1:21" s="569" customFormat="1" ht="16" customHeight="1">
      <c r="A28" s="80">
        <v>25</v>
      </c>
      <c r="B28" s="207"/>
      <c r="C28" s="1535" t="str">
        <f>OR_VEH!B27</f>
        <v>NE PAS UTILISER</v>
      </c>
      <c r="D28" s="1599"/>
      <c r="E28" s="1034" t="s">
        <v>142</v>
      </c>
      <c r="F28" s="180">
        <f>IFERROR(IF(Flag=TRUE,K28-TBIn!E207,TBIn!D207),0)</f>
        <v>0</v>
      </c>
      <c r="G28" s="2601">
        <f>IFERROR(IF(Flag=TRUE,L28-TBIn!E1475,TBIn!D1475),0)</f>
        <v>0</v>
      </c>
      <c r="H28" s="2601">
        <f>IFERROR(IF(Flag=TRUE,M28-TBIn!E1515,TBIn!D1515),0)</f>
        <v>0</v>
      </c>
      <c r="I28" s="557">
        <f t="shared" ref="I28:I43" si="8">G28-H28</f>
        <v>0</v>
      </c>
      <c r="J28" s="271">
        <f t="shared" si="1"/>
        <v>0</v>
      </c>
      <c r="K28" s="723">
        <f>IFERROR(TBIn!E207,0)</f>
        <v>0</v>
      </c>
      <c r="L28" s="2604">
        <f>IFERROR(TBIn!E1475,0)</f>
        <v>0</v>
      </c>
      <c r="M28" s="2604">
        <f>IFERROR(TBIn!E1515,0)</f>
        <v>0</v>
      </c>
      <c r="N28" s="326">
        <f t="shared" ref="N28:N43" si="9">L28-M28</f>
        <v>0</v>
      </c>
      <c r="O28" s="272">
        <f t="shared" si="2"/>
        <v>0</v>
      </c>
      <c r="P28" s="80">
        <v>25</v>
      </c>
      <c r="Q28" s="664">
        <v>50000</v>
      </c>
      <c r="R28" s="656">
        <f t="shared" si="4"/>
        <v>0</v>
      </c>
      <c r="S28" s="656">
        <f t="shared" ref="S28:S43" si="10">IF(K28=0,0,IF(OR(L28&lt;0,L28/K28&gt;Q28),1,0))</f>
        <v>0</v>
      </c>
      <c r="T28" s="656">
        <f t="shared" ref="T28:T43" si="11">IF(OR(F28&lt;0,AND(G28&gt;0,F28=0),AND(G28=0,F28&gt;0)),1,0)</f>
        <v>0</v>
      </c>
      <c r="U28" s="656">
        <f t="shared" ref="U28:U43" si="12">IF(OR(K28&lt;0,AND(L28&gt;0,K28=0),AND(K28&gt;0,L28=0)),1,0)</f>
        <v>0</v>
      </c>
    </row>
    <row r="29" spans="1:21" s="569" customFormat="1" ht="16" customHeight="1">
      <c r="A29" s="80">
        <v>26</v>
      </c>
      <c r="B29" s="275" t="s">
        <v>143</v>
      </c>
      <c r="C29" s="1539" t="str">
        <f>OR_VEH!B28</f>
        <v>NE PAS UTILISER</v>
      </c>
      <c r="D29" s="1588"/>
      <c r="E29" s="779" t="s">
        <v>144</v>
      </c>
      <c r="F29" s="269">
        <f>IFERROR(IF(Flag=TRUE,K29-TBIn!E208,TBIn!D208),0)</f>
        <v>0</v>
      </c>
      <c r="G29" s="2599">
        <f>IFERROR(IF(Flag=TRUE,L29-TBIn!E1476,TBIn!D1476),0)</f>
        <v>0</v>
      </c>
      <c r="H29" s="2601">
        <f>IFERROR(IF(Flag=TRUE,M29-TBIn!E1516,TBIn!D1516),0)</f>
        <v>0</v>
      </c>
      <c r="I29" s="557">
        <f t="shared" si="8"/>
        <v>0</v>
      </c>
      <c r="J29" s="647">
        <f t="shared" si="1"/>
        <v>0</v>
      </c>
      <c r="K29" s="721">
        <f>IFERROR(TBIn!E208,0)</f>
        <v>0</v>
      </c>
      <c r="L29" s="2574">
        <f>IFERROR(TBIn!E1476,0)</f>
        <v>0</v>
      </c>
      <c r="M29" s="2604">
        <f>IFERROR(TBIn!E1516,0)</f>
        <v>0</v>
      </c>
      <c r="N29" s="326">
        <f t="shared" si="9"/>
        <v>0</v>
      </c>
      <c r="O29" s="648">
        <f t="shared" si="2"/>
        <v>0</v>
      </c>
      <c r="P29" s="80">
        <v>26</v>
      </c>
      <c r="Q29" s="664">
        <v>50000</v>
      </c>
      <c r="R29" s="656">
        <f t="shared" si="4"/>
        <v>0</v>
      </c>
      <c r="S29" s="656">
        <f t="shared" si="10"/>
        <v>0</v>
      </c>
      <c r="T29" s="656">
        <f t="shared" si="11"/>
        <v>0</v>
      </c>
      <c r="U29" s="656">
        <f t="shared" si="12"/>
        <v>0</v>
      </c>
    </row>
    <row r="30" spans="1:21" s="569" customFormat="1" ht="16" customHeight="1">
      <c r="A30" s="80">
        <v>27</v>
      </c>
      <c r="B30" s="275" t="s">
        <v>145</v>
      </c>
      <c r="C30" s="1600" t="str">
        <f>OR_VEH!B29</f>
        <v>EXPRESS</v>
      </c>
      <c r="D30" s="1588"/>
      <c r="E30" s="779" t="s">
        <v>146</v>
      </c>
      <c r="F30" s="269">
        <f>IFERROR(IF(Flag=TRUE,K30-TBIn!E209,TBIn!D209),0)</f>
        <v>1</v>
      </c>
      <c r="G30" s="2599">
        <f>IFERROR(IF(Flag=TRUE,L30-TBIn!E1477,TBIn!D1477),0)</f>
        <v>65544</v>
      </c>
      <c r="H30" s="2601">
        <f>IFERROR(IF(Flag=TRUE,M30-TBIn!E1517,TBIn!D1517),0)</f>
        <v>60222</v>
      </c>
      <c r="I30" s="557">
        <f t="shared" si="8"/>
        <v>5322</v>
      </c>
      <c r="J30" s="647">
        <f t="shared" si="1"/>
        <v>5322</v>
      </c>
      <c r="K30" s="721">
        <f>IFERROR(TBIn!E209,0)</f>
        <v>1</v>
      </c>
      <c r="L30" s="2574">
        <f>IFERROR(TBIn!E1477,0)</f>
        <v>65544</v>
      </c>
      <c r="M30" s="2604">
        <f>IFERROR(TBIn!E1517,0)</f>
        <v>60222</v>
      </c>
      <c r="N30" s="326">
        <f t="shared" si="9"/>
        <v>5322</v>
      </c>
      <c r="O30" s="648">
        <f t="shared" si="2"/>
        <v>5322</v>
      </c>
      <c r="P30" s="80">
        <v>27</v>
      </c>
      <c r="Q30" s="664">
        <v>50000</v>
      </c>
      <c r="R30" s="656">
        <f t="shared" si="4"/>
        <v>1</v>
      </c>
      <c r="S30" s="656">
        <f t="shared" si="10"/>
        <v>1</v>
      </c>
      <c r="T30" s="656">
        <f t="shared" si="11"/>
        <v>0</v>
      </c>
      <c r="U30" s="656">
        <f t="shared" si="12"/>
        <v>0</v>
      </c>
    </row>
    <row r="31" spans="1:21" s="569" customFormat="1" ht="16" customHeight="1">
      <c r="A31" s="80">
        <v>28</v>
      </c>
      <c r="B31" s="275" t="s">
        <v>147</v>
      </c>
      <c r="C31" s="1600" t="str">
        <f>OR_VEH!B30</f>
        <v>COLORADO</v>
      </c>
      <c r="D31" s="1588"/>
      <c r="E31" s="779" t="s">
        <v>148</v>
      </c>
      <c r="F31" s="269">
        <f>IFERROR(IF(Flag=TRUE,K31-TBIn!E210,TBIn!D210),0)</f>
        <v>1</v>
      </c>
      <c r="G31" s="2599">
        <f>IFERROR(IF(Flag=TRUE,L31-TBIn!E1478,TBIn!D1478),0)</f>
        <v>53297</v>
      </c>
      <c r="H31" s="2601">
        <f>IFERROR(IF(Flag=TRUE,M31-TBIn!E1518,TBIn!D1518),0)</f>
        <v>51047</v>
      </c>
      <c r="I31" s="557">
        <f t="shared" si="8"/>
        <v>2250</v>
      </c>
      <c r="J31" s="647">
        <f t="shared" si="1"/>
        <v>2250</v>
      </c>
      <c r="K31" s="721">
        <f>IFERROR(TBIn!E210,0)</f>
        <v>1</v>
      </c>
      <c r="L31" s="2574">
        <f>IFERROR(TBIn!E1478,0)</f>
        <v>53297</v>
      </c>
      <c r="M31" s="2604">
        <f>IFERROR(TBIn!E1518,0)</f>
        <v>51047</v>
      </c>
      <c r="N31" s="326">
        <f t="shared" si="9"/>
        <v>2250</v>
      </c>
      <c r="O31" s="648">
        <f t="shared" si="2"/>
        <v>2250</v>
      </c>
      <c r="P31" s="80">
        <v>28</v>
      </c>
      <c r="Q31" s="664">
        <v>50000</v>
      </c>
      <c r="R31" s="656">
        <f t="shared" si="4"/>
        <v>1</v>
      </c>
      <c r="S31" s="656">
        <f t="shared" si="10"/>
        <v>1</v>
      </c>
      <c r="T31" s="656">
        <f t="shared" si="11"/>
        <v>0</v>
      </c>
      <c r="U31" s="656">
        <f t="shared" si="12"/>
        <v>0</v>
      </c>
    </row>
    <row r="32" spans="1:21" s="569" customFormat="1" ht="16" customHeight="1">
      <c r="A32" s="80">
        <v>29</v>
      </c>
      <c r="B32" s="275" t="s">
        <v>114</v>
      </c>
      <c r="C32" s="1600" t="str">
        <f>OR_VEH!B31</f>
        <v>TRAVERSE</v>
      </c>
      <c r="D32" s="1588"/>
      <c r="E32" s="779" t="s">
        <v>149</v>
      </c>
      <c r="F32" s="269">
        <f>IFERROR(IF(Flag=TRUE,K32-TBIn!E211,TBIn!D211),0)</f>
        <v>0</v>
      </c>
      <c r="G32" s="2599">
        <f>IFERROR(IF(Flag=TRUE,L32-TBIn!E1479,TBIn!D1479),0)</f>
        <v>0</v>
      </c>
      <c r="H32" s="2601">
        <f>IFERROR(IF(Flag=TRUE,M32-TBIn!E1519,TBIn!D1519),0)</f>
        <v>0</v>
      </c>
      <c r="I32" s="557">
        <f t="shared" si="8"/>
        <v>0</v>
      </c>
      <c r="J32" s="647">
        <f t="shared" si="1"/>
        <v>0</v>
      </c>
      <c r="K32" s="721">
        <f>IFERROR(TBIn!E211,0)</f>
        <v>2</v>
      </c>
      <c r="L32" s="2574">
        <f>IFERROR(TBIn!E1479,0)</f>
        <v>127215</v>
      </c>
      <c r="M32" s="2604">
        <f>IFERROR(TBIn!E1519,0)</f>
        <v>122262</v>
      </c>
      <c r="N32" s="326">
        <f t="shared" si="9"/>
        <v>4953</v>
      </c>
      <c r="O32" s="648">
        <f t="shared" si="2"/>
        <v>2476.5</v>
      </c>
      <c r="P32" s="80">
        <v>29</v>
      </c>
      <c r="Q32" s="664">
        <v>50000</v>
      </c>
      <c r="R32" s="656">
        <f t="shared" si="4"/>
        <v>0</v>
      </c>
      <c r="S32" s="656">
        <f t="shared" si="10"/>
        <v>1</v>
      </c>
      <c r="T32" s="656">
        <f t="shared" si="11"/>
        <v>0</v>
      </c>
      <c r="U32" s="656">
        <f t="shared" si="12"/>
        <v>0</v>
      </c>
    </row>
    <row r="33" spans="1:21" s="569" customFormat="1" ht="16" customHeight="1">
      <c r="A33" s="80">
        <v>30</v>
      </c>
      <c r="B33" s="101" t="s">
        <v>112</v>
      </c>
      <c r="C33" s="1600" t="str">
        <f>OR_VEH!B32</f>
        <v>TRAX</v>
      </c>
      <c r="D33" s="1588"/>
      <c r="E33" s="779" t="s">
        <v>150</v>
      </c>
      <c r="F33" s="269">
        <f>IFERROR(IF(Flag=TRUE,K33-TBIn!E212,TBIn!D212),0)</f>
        <v>5</v>
      </c>
      <c r="G33" s="2599">
        <f>IFERROR(IF(Flag=TRUE,L33-TBIn!E1480,TBIn!D1480),0)</f>
        <v>149894</v>
      </c>
      <c r="H33" s="2601">
        <f>IFERROR(IF(Flag=TRUE,M33-TBIn!E1520,TBIn!D1520),0)</f>
        <v>143958</v>
      </c>
      <c r="I33" s="557">
        <f t="shared" si="8"/>
        <v>5936</v>
      </c>
      <c r="J33" s="647">
        <f t="shared" si="1"/>
        <v>1187.2</v>
      </c>
      <c r="K33" s="721">
        <f>IFERROR(TBIn!E212,0)</f>
        <v>10</v>
      </c>
      <c r="L33" s="2574">
        <f>IFERROR(TBIn!E1480,0)</f>
        <v>302344</v>
      </c>
      <c r="M33" s="2604">
        <f>IFERROR(TBIn!E1520,0)</f>
        <v>292801</v>
      </c>
      <c r="N33" s="326">
        <f t="shared" si="9"/>
        <v>9543</v>
      </c>
      <c r="O33" s="648">
        <f t="shared" si="2"/>
        <v>954.3</v>
      </c>
      <c r="P33" s="80">
        <v>30</v>
      </c>
      <c r="Q33" s="664">
        <v>50000</v>
      </c>
      <c r="R33" s="656">
        <f t="shared" si="4"/>
        <v>0</v>
      </c>
      <c r="S33" s="656">
        <f t="shared" si="10"/>
        <v>0</v>
      </c>
      <c r="T33" s="656">
        <f t="shared" si="11"/>
        <v>0</v>
      </c>
      <c r="U33" s="656">
        <f t="shared" si="12"/>
        <v>0</v>
      </c>
    </row>
    <row r="34" spans="1:21" s="569" customFormat="1" ht="16" customHeight="1">
      <c r="A34" s="80">
        <v>31</v>
      </c>
      <c r="B34" s="101" t="s">
        <v>127</v>
      </c>
      <c r="C34" s="1600" t="str">
        <f>OR_VEH!B33</f>
        <v>TAHOE/SUBURBAN</v>
      </c>
      <c r="D34" s="1588"/>
      <c r="E34" s="779" t="s">
        <v>151</v>
      </c>
      <c r="F34" s="269">
        <f>IFERROR(IF(Flag=TRUE,K34-TBIn!E213,TBIn!D213),0)</f>
        <v>1</v>
      </c>
      <c r="G34" s="2599">
        <f>IFERROR(IF(Flag=TRUE,L34-TBIn!E1481,TBIn!D1481),0)</f>
        <v>80285</v>
      </c>
      <c r="H34" s="2601">
        <f>IFERROR(IF(Flag=TRUE,M34-TBIn!E1521,TBIn!D1521),0)</f>
        <v>77668</v>
      </c>
      <c r="I34" s="557">
        <f t="shared" si="8"/>
        <v>2617</v>
      </c>
      <c r="J34" s="647">
        <f t="shared" si="1"/>
        <v>2617</v>
      </c>
      <c r="K34" s="721">
        <f>IFERROR(TBIn!E213,0)</f>
        <v>4</v>
      </c>
      <c r="L34" s="2574">
        <f>IFERROR(TBIn!E1481,0)</f>
        <v>363744</v>
      </c>
      <c r="M34" s="2604">
        <f>IFERROR(TBIn!E1521,0)</f>
        <v>351265</v>
      </c>
      <c r="N34" s="326">
        <f t="shared" si="9"/>
        <v>12479</v>
      </c>
      <c r="O34" s="648">
        <f t="shared" si="2"/>
        <v>3119.75</v>
      </c>
      <c r="P34" s="80">
        <v>31</v>
      </c>
      <c r="Q34" s="664">
        <v>50000</v>
      </c>
      <c r="R34" s="656">
        <f t="shared" si="4"/>
        <v>1</v>
      </c>
      <c r="S34" s="656">
        <f t="shared" si="10"/>
        <v>1</v>
      </c>
      <c r="T34" s="656">
        <f t="shared" si="11"/>
        <v>0</v>
      </c>
      <c r="U34" s="656">
        <f t="shared" si="12"/>
        <v>0</v>
      </c>
    </row>
    <row r="35" spans="1:21" s="569" customFormat="1" ht="16" customHeight="1">
      <c r="A35" s="80">
        <v>32</v>
      </c>
      <c r="B35" s="101" t="s">
        <v>124</v>
      </c>
      <c r="C35" s="1600" t="str">
        <f>OR_VEH!B34</f>
        <v>CL 1500 SILVERADO</v>
      </c>
      <c r="D35" s="1588"/>
      <c r="E35" s="779" t="s">
        <v>152</v>
      </c>
      <c r="F35" s="269">
        <f>IFERROR(IF(Flag=TRUE,K35-TBIn!E214,TBIn!D214),0)</f>
        <v>9</v>
      </c>
      <c r="G35" s="2599">
        <f>IFERROR(IF(Flag=TRUE,L35-TBIn!E1482,TBIn!D1482),0)</f>
        <v>656805</v>
      </c>
      <c r="H35" s="2601">
        <f>IFERROR(IF(Flag=TRUE,M35-TBIn!E1522,TBIn!D1522),0)</f>
        <v>621743</v>
      </c>
      <c r="I35" s="557">
        <f t="shared" si="8"/>
        <v>35062</v>
      </c>
      <c r="J35" s="647">
        <f t="shared" si="1"/>
        <v>3895.7777777777778</v>
      </c>
      <c r="K35" s="721">
        <f>IFERROR(TBIn!E214,0)</f>
        <v>24</v>
      </c>
      <c r="L35" s="2574">
        <f>IFERROR(TBIn!E1482,0)</f>
        <v>1726108</v>
      </c>
      <c r="M35" s="2604">
        <f>IFERROR(TBIn!E1522,0)</f>
        <v>1644253</v>
      </c>
      <c r="N35" s="326">
        <f t="shared" si="9"/>
        <v>81855</v>
      </c>
      <c r="O35" s="648">
        <f t="shared" si="2"/>
        <v>3410.625</v>
      </c>
      <c r="P35" s="80">
        <v>32</v>
      </c>
      <c r="Q35" s="664">
        <v>50000</v>
      </c>
      <c r="R35" s="656">
        <f t="shared" si="4"/>
        <v>1</v>
      </c>
      <c r="S35" s="656">
        <f t="shared" si="10"/>
        <v>1</v>
      </c>
      <c r="T35" s="656">
        <f t="shared" si="11"/>
        <v>0</v>
      </c>
      <c r="U35" s="656">
        <f t="shared" si="12"/>
        <v>0</v>
      </c>
    </row>
    <row r="36" spans="1:21" s="569" customFormat="1" ht="16" customHeight="1">
      <c r="A36" s="80">
        <v>33</v>
      </c>
      <c r="B36" s="101"/>
      <c r="C36" s="1600" t="str">
        <f>OR_VEH!B35</f>
        <v>CL 2500 SILVERADO</v>
      </c>
      <c r="D36" s="1588"/>
      <c r="E36" s="779" t="s">
        <v>153</v>
      </c>
      <c r="F36" s="269">
        <f>IFERROR(IF(Flag=TRUE,K36-TBIn!E215,TBIn!D215),0)</f>
        <v>0</v>
      </c>
      <c r="G36" s="2599">
        <f>IFERROR(IF(Flag=TRUE,L36-TBIn!E1483,TBIn!D1483),0)</f>
        <v>0</v>
      </c>
      <c r="H36" s="2601">
        <f>IFERROR(IF(Flag=TRUE,M36-TBIn!E1523,TBIn!D1523),0)</f>
        <v>4</v>
      </c>
      <c r="I36" s="557">
        <f t="shared" si="8"/>
        <v>-4</v>
      </c>
      <c r="J36" s="647">
        <f t="shared" si="1"/>
        <v>0</v>
      </c>
      <c r="K36" s="721">
        <f>IFERROR(TBIn!E215,0)</f>
        <v>2</v>
      </c>
      <c r="L36" s="2574">
        <f>IFERROR(TBIn!E1483,0)</f>
        <v>155399</v>
      </c>
      <c r="M36" s="2604">
        <f>IFERROR(TBIn!E1523,0)</f>
        <v>149652</v>
      </c>
      <c r="N36" s="326">
        <f t="shared" si="9"/>
        <v>5747</v>
      </c>
      <c r="O36" s="648">
        <f t="shared" si="2"/>
        <v>2873.5</v>
      </c>
      <c r="P36" s="80">
        <v>33</v>
      </c>
      <c r="Q36" s="664">
        <v>50000</v>
      </c>
      <c r="R36" s="656">
        <f t="shared" si="4"/>
        <v>0</v>
      </c>
      <c r="S36" s="656">
        <f t="shared" si="10"/>
        <v>1</v>
      </c>
      <c r="T36" s="656">
        <f t="shared" si="11"/>
        <v>0</v>
      </c>
      <c r="U36" s="656">
        <f t="shared" si="12"/>
        <v>0</v>
      </c>
    </row>
    <row r="37" spans="1:21" s="569" customFormat="1" ht="16" customHeight="1">
      <c r="A37" s="80">
        <v>34</v>
      </c>
      <c r="B37" s="101" t="s">
        <v>127</v>
      </c>
      <c r="C37" s="1600" t="str">
        <f>OR_VEH!B36</f>
        <v>CL 3500 SILVERADO</v>
      </c>
      <c r="D37" s="1588"/>
      <c r="E37" s="779" t="s">
        <v>154</v>
      </c>
      <c r="F37" s="269">
        <f>IFERROR(IF(Flag=TRUE,K37-TBIn!E216,TBIn!D216),0)</f>
        <v>0</v>
      </c>
      <c r="G37" s="2599">
        <f>IFERROR(IF(Flag=TRUE,L37-TBIn!E1484,TBIn!D1484),0)</f>
        <v>0</v>
      </c>
      <c r="H37" s="2601">
        <f>IFERROR(IF(Flag=TRUE,M37-TBIn!E1524,TBIn!D1524),0)</f>
        <v>0</v>
      </c>
      <c r="I37" s="557">
        <f t="shared" si="8"/>
        <v>0</v>
      </c>
      <c r="J37" s="647">
        <f t="shared" si="1"/>
        <v>0</v>
      </c>
      <c r="K37" s="721">
        <f>IFERROR(TBIn!E216,0)</f>
        <v>0</v>
      </c>
      <c r="L37" s="2574">
        <f>IFERROR(TBIn!E1484,0)</f>
        <v>0</v>
      </c>
      <c r="M37" s="2604">
        <f>IFERROR(TBIn!E1524,0)</f>
        <v>0</v>
      </c>
      <c r="N37" s="326">
        <f t="shared" si="9"/>
        <v>0</v>
      </c>
      <c r="O37" s="648">
        <f t="shared" si="2"/>
        <v>0</v>
      </c>
      <c r="P37" s="80">
        <v>34</v>
      </c>
      <c r="Q37" s="664">
        <v>50000</v>
      </c>
      <c r="R37" s="656">
        <f t="shared" si="4"/>
        <v>0</v>
      </c>
      <c r="S37" s="656">
        <f t="shared" si="10"/>
        <v>0</v>
      </c>
      <c r="T37" s="656">
        <f t="shared" si="11"/>
        <v>0</v>
      </c>
      <c r="U37" s="656">
        <f t="shared" si="12"/>
        <v>0</v>
      </c>
    </row>
    <row r="38" spans="1:21" s="569" customFormat="1" ht="16" customHeight="1">
      <c r="A38" s="80">
        <v>35</v>
      </c>
      <c r="B38" s="101" t="s">
        <v>122</v>
      </c>
      <c r="C38" s="1600" t="str">
        <f>OR_VEH!B37</f>
        <v>BLAZER</v>
      </c>
      <c r="D38" s="1588"/>
      <c r="E38" s="779" t="s">
        <v>155</v>
      </c>
      <c r="F38" s="269">
        <f>IFERROR(IF(Flag=TRUE,K38-TBIn!E217,TBIn!D217),0)</f>
        <v>0</v>
      </c>
      <c r="G38" s="2599">
        <f>IFERROR(IF(Flag=TRUE,L38-TBIn!E1485,TBIn!D1485),0)</f>
        <v>0</v>
      </c>
      <c r="H38" s="2601">
        <f>IFERROR(IF(Flag=TRUE,M38-TBIn!E1525,TBIn!D1525),0)</f>
        <v>0</v>
      </c>
      <c r="I38" s="557">
        <f t="shared" si="8"/>
        <v>0</v>
      </c>
      <c r="J38" s="647">
        <f t="shared" si="1"/>
        <v>0</v>
      </c>
      <c r="K38" s="721">
        <f>IFERROR(TBIn!E217,0)</f>
        <v>3</v>
      </c>
      <c r="L38" s="2574">
        <f>IFERROR(TBIn!E1485,0)</f>
        <v>140466</v>
      </c>
      <c r="M38" s="2604">
        <f>IFERROR(TBIn!E1525,0)</f>
        <v>135717</v>
      </c>
      <c r="N38" s="326">
        <f t="shared" si="9"/>
        <v>4749</v>
      </c>
      <c r="O38" s="648">
        <f t="shared" si="2"/>
        <v>1583</v>
      </c>
      <c r="P38" s="80">
        <v>35</v>
      </c>
      <c r="Q38" s="664">
        <v>50000</v>
      </c>
      <c r="R38" s="656">
        <f t="shared" si="4"/>
        <v>0</v>
      </c>
      <c r="S38" s="656">
        <f t="shared" si="10"/>
        <v>0</v>
      </c>
      <c r="T38" s="656">
        <f t="shared" si="11"/>
        <v>0</v>
      </c>
      <c r="U38" s="656">
        <f t="shared" si="12"/>
        <v>0</v>
      </c>
    </row>
    <row r="39" spans="1:21" s="569" customFormat="1" ht="16" customHeight="1">
      <c r="A39" s="80">
        <v>36</v>
      </c>
      <c r="B39" s="101" t="s">
        <v>118</v>
      </c>
      <c r="C39" s="1539" t="str">
        <f>OR_VEH!B38</f>
        <v>EQUINOX</v>
      </c>
      <c r="D39" s="1588"/>
      <c r="E39" s="779" t="s">
        <v>156</v>
      </c>
      <c r="F39" s="269">
        <f>IFERROR(IF(Flag=TRUE,K39-TBIn!E218,TBIn!D218),0)</f>
        <v>0</v>
      </c>
      <c r="G39" s="2599">
        <f>IFERROR(IF(Flag=TRUE,L39-TBIn!E1486,TBIn!D1486),0)</f>
        <v>0</v>
      </c>
      <c r="H39" s="2601">
        <f>IFERROR(IF(Flag=TRUE,M39-TBIn!E1526,TBIn!D1526),0)</f>
        <v>0</v>
      </c>
      <c r="I39" s="557">
        <f t="shared" si="8"/>
        <v>0</v>
      </c>
      <c r="J39" s="647">
        <f t="shared" si="1"/>
        <v>0</v>
      </c>
      <c r="K39" s="721">
        <f>IFERROR(TBIn!E218,0)</f>
        <v>0</v>
      </c>
      <c r="L39" s="2574">
        <f>IFERROR(TBIn!E1486,0)</f>
        <v>0</v>
      </c>
      <c r="M39" s="2604">
        <f>IFERROR(TBIn!E1526,0)</f>
        <v>0</v>
      </c>
      <c r="N39" s="326">
        <f t="shared" si="9"/>
        <v>0</v>
      </c>
      <c r="O39" s="648">
        <f t="shared" si="2"/>
        <v>0</v>
      </c>
      <c r="P39" s="80">
        <v>36</v>
      </c>
      <c r="Q39" s="664">
        <v>50000</v>
      </c>
      <c r="R39" s="656">
        <f t="shared" si="4"/>
        <v>0</v>
      </c>
      <c r="S39" s="656">
        <f t="shared" si="10"/>
        <v>0</v>
      </c>
      <c r="T39" s="656">
        <f t="shared" si="11"/>
        <v>0</v>
      </c>
      <c r="U39" s="656">
        <f t="shared" si="12"/>
        <v>0</v>
      </c>
    </row>
    <row r="40" spans="1:21" s="569" customFormat="1" ht="16" customHeight="1">
      <c r="A40" s="80">
        <v>37</v>
      </c>
      <c r="B40" s="101" t="s">
        <v>157</v>
      </c>
      <c r="C40" s="1600" t="str">
        <f>OR_VEH!B39</f>
        <v>CITY EXPRESS</v>
      </c>
      <c r="D40" s="1588"/>
      <c r="E40" s="779" t="s">
        <v>158</v>
      </c>
      <c r="F40" s="269">
        <f>IFERROR(IF(Flag=TRUE,K40-TBIn!E219,TBIn!D219),0)</f>
        <v>0</v>
      </c>
      <c r="G40" s="2599">
        <f>IFERROR(IF(Flag=TRUE,L40-TBIn!E1487,TBIn!D1487),0)</f>
        <v>0</v>
      </c>
      <c r="H40" s="2601">
        <f>IFERROR(IF(Flag=TRUE,M40-TBIn!E1527,TBIn!D1527),0)</f>
        <v>0</v>
      </c>
      <c r="I40" s="557">
        <f t="shared" si="8"/>
        <v>0</v>
      </c>
      <c r="J40" s="647">
        <f t="shared" si="1"/>
        <v>0</v>
      </c>
      <c r="K40" s="721">
        <f>IFERROR(TBIn!E219,0)</f>
        <v>0</v>
      </c>
      <c r="L40" s="2574">
        <f>IFERROR(TBIn!E1487,0)</f>
        <v>0</v>
      </c>
      <c r="M40" s="2604">
        <f>IFERROR(TBIn!E1527,0)</f>
        <v>0</v>
      </c>
      <c r="N40" s="326">
        <f t="shared" si="9"/>
        <v>0</v>
      </c>
      <c r="O40" s="648">
        <f t="shared" si="2"/>
        <v>0</v>
      </c>
      <c r="P40" s="80">
        <v>37</v>
      </c>
      <c r="Q40" s="664">
        <v>50000</v>
      </c>
      <c r="R40" s="656">
        <f t="shared" si="4"/>
        <v>0</v>
      </c>
      <c r="S40" s="656">
        <f t="shared" si="10"/>
        <v>0</v>
      </c>
      <c r="T40" s="656">
        <f t="shared" si="11"/>
        <v>0</v>
      </c>
      <c r="U40" s="656">
        <f t="shared" si="12"/>
        <v>0</v>
      </c>
    </row>
    <row r="41" spans="1:21" s="569" customFormat="1" ht="16" customHeight="1">
      <c r="A41" s="80">
        <v>38</v>
      </c>
      <c r="B41" s="101" t="s">
        <v>124</v>
      </c>
      <c r="C41" s="1600" t="str">
        <f>OR_VEH!B40</f>
        <v>TRAILBLAZER</v>
      </c>
      <c r="D41" s="1588"/>
      <c r="E41" s="779" t="s">
        <v>159</v>
      </c>
      <c r="F41" s="269">
        <f>IFERROR(IF(Flag=TRUE,K41-TBIn!E220,TBIn!D220),0)</f>
        <v>1</v>
      </c>
      <c r="G41" s="2599">
        <f>IFERROR(IF(Flag=TRUE,L41-TBIn!E1488,TBIn!D1488),0)</f>
        <v>35664</v>
      </c>
      <c r="H41" s="2601">
        <f>IFERROR(IF(Flag=TRUE,M41-TBIn!E1528,TBIn!D1528),0)</f>
        <v>35191</v>
      </c>
      <c r="I41" s="557">
        <f t="shared" si="8"/>
        <v>473</v>
      </c>
      <c r="J41" s="647">
        <f t="shared" si="1"/>
        <v>473</v>
      </c>
      <c r="K41" s="721">
        <f>IFERROR(TBIn!E220,0)</f>
        <v>1</v>
      </c>
      <c r="L41" s="2574">
        <f>IFERROR(TBIn!E1488,0)</f>
        <v>35664</v>
      </c>
      <c r="M41" s="2604">
        <f>IFERROR(TBIn!E1528,0)</f>
        <v>35191</v>
      </c>
      <c r="N41" s="326">
        <f t="shared" si="9"/>
        <v>473</v>
      </c>
      <c r="O41" s="648">
        <f t="shared" si="2"/>
        <v>473</v>
      </c>
      <c r="P41" s="80">
        <v>38</v>
      </c>
      <c r="Q41" s="664">
        <v>50000</v>
      </c>
      <c r="R41" s="656">
        <f t="shared" si="4"/>
        <v>0</v>
      </c>
      <c r="S41" s="656">
        <f t="shared" si="10"/>
        <v>0</v>
      </c>
      <c r="T41" s="656">
        <f t="shared" si="11"/>
        <v>0</v>
      </c>
      <c r="U41" s="656">
        <f t="shared" si="12"/>
        <v>0</v>
      </c>
    </row>
    <row r="42" spans="1:21" s="569" customFormat="1" ht="16" customHeight="1">
      <c r="A42" s="80">
        <v>39</v>
      </c>
      <c r="B42" s="101"/>
      <c r="C42" s="1600" t="str">
        <f>OR_VEH!B41</f>
        <v>POUR USAGE FUTUR</v>
      </c>
      <c r="D42" s="1588"/>
      <c r="E42" s="779" t="s">
        <v>160</v>
      </c>
      <c r="F42" s="269">
        <f>IFERROR(IF(Flag=TRUE,K42-TBIn!E221,TBIn!D221),0)</f>
        <v>0</v>
      </c>
      <c r="G42" s="2599">
        <f>IFERROR(IF(Flag=TRUE,L42-TBIn!E1489,TBIn!D1489),0)</f>
        <v>0</v>
      </c>
      <c r="H42" s="2601">
        <f>IFERROR(IF(Flag=TRUE,M42-TBIn!E1529,TBIn!D1529),0)</f>
        <v>0</v>
      </c>
      <c r="I42" s="557">
        <f t="shared" si="8"/>
        <v>0</v>
      </c>
      <c r="J42" s="647">
        <f t="shared" si="1"/>
        <v>0</v>
      </c>
      <c r="K42" s="721">
        <f>IFERROR(TBIn!E221,0)</f>
        <v>0</v>
      </c>
      <c r="L42" s="2574">
        <f>IFERROR(TBIn!E1489,0)</f>
        <v>0</v>
      </c>
      <c r="M42" s="2604">
        <f>IFERROR(TBIn!E1529,0)</f>
        <v>0</v>
      </c>
      <c r="N42" s="326">
        <f t="shared" si="9"/>
        <v>0</v>
      </c>
      <c r="O42" s="648">
        <f t="shared" si="2"/>
        <v>0</v>
      </c>
      <c r="P42" s="80">
        <v>39</v>
      </c>
      <c r="Q42" s="664">
        <v>50000</v>
      </c>
      <c r="R42" s="656">
        <f t="shared" si="4"/>
        <v>0</v>
      </c>
      <c r="S42" s="656">
        <f t="shared" si="10"/>
        <v>0</v>
      </c>
      <c r="T42" s="656">
        <f t="shared" si="11"/>
        <v>0</v>
      </c>
      <c r="U42" s="656">
        <f t="shared" si="12"/>
        <v>0</v>
      </c>
    </row>
    <row r="43" spans="1:21" s="569" customFormat="1" ht="16" customHeight="1">
      <c r="A43" s="80">
        <v>40</v>
      </c>
      <c r="B43" s="101"/>
      <c r="C43" s="1600" t="str">
        <f>OR_VEH!B42</f>
        <v>AUTRES CHEVROLET</v>
      </c>
      <c r="D43" s="1588"/>
      <c r="E43" s="779" t="s">
        <v>161</v>
      </c>
      <c r="F43" s="269">
        <f>IFERROR(IF(Flag=TRUE,K43-TBIn!E222,TBIn!D222),0)</f>
        <v>0</v>
      </c>
      <c r="G43" s="2599">
        <f>IFERROR(IF(Flag=TRUE,L43-TBIn!E1490,TBIn!D1490),0)</f>
        <v>0</v>
      </c>
      <c r="H43" s="2601">
        <f>IFERROR(IF(Flag=TRUE,M43-TBIn!E1530,TBIn!D1530),0)</f>
        <v>0</v>
      </c>
      <c r="I43" s="557">
        <f t="shared" si="8"/>
        <v>0</v>
      </c>
      <c r="J43" s="647">
        <f t="shared" si="1"/>
        <v>0</v>
      </c>
      <c r="K43" s="721">
        <f>IFERROR(TBIn!E222,0)</f>
        <v>0</v>
      </c>
      <c r="L43" s="2574">
        <f>IFERROR(TBIn!E1490,0)</f>
        <v>0</v>
      </c>
      <c r="M43" s="2604">
        <f>IFERROR(TBIn!E1530,0)</f>
        <v>0</v>
      </c>
      <c r="N43" s="326">
        <f t="shared" si="9"/>
        <v>0</v>
      </c>
      <c r="O43" s="648">
        <f t="shared" si="2"/>
        <v>0</v>
      </c>
      <c r="P43" s="80">
        <v>40</v>
      </c>
      <c r="Q43" s="664">
        <v>50000</v>
      </c>
      <c r="R43" s="656">
        <f t="shared" si="4"/>
        <v>0</v>
      </c>
      <c r="S43" s="656">
        <f t="shared" si="10"/>
        <v>0</v>
      </c>
      <c r="T43" s="656">
        <f t="shared" si="11"/>
        <v>0</v>
      </c>
      <c r="U43" s="656">
        <f t="shared" si="12"/>
        <v>0</v>
      </c>
    </row>
    <row r="44" spans="1:21" s="569" customFormat="1" ht="16" customHeight="1">
      <c r="A44" s="80">
        <v>41</v>
      </c>
      <c r="B44" s="101"/>
      <c r="C44" s="274" t="s">
        <v>162</v>
      </c>
      <c r="D44" s="264"/>
      <c r="E44" s="778"/>
      <c r="F44" s="649">
        <f>SUM(F28:F43)</f>
        <v>18</v>
      </c>
      <c r="G44" s="650">
        <f>SUM(G28:G43)</f>
        <v>1041489</v>
      </c>
      <c r="H44" s="650">
        <f>SUM(H28:H43)</f>
        <v>989833</v>
      </c>
      <c r="I44" s="650">
        <f>SUM(I28:I43)</f>
        <v>51656</v>
      </c>
      <c r="J44" s="651">
        <f t="shared" si="1"/>
        <v>2869.7777777777778</v>
      </c>
      <c r="K44" s="2496">
        <f>SUM(K28:K43)</f>
        <v>48</v>
      </c>
      <c r="L44" s="949">
        <f>SUM(L28:L43)</f>
        <v>2969781</v>
      </c>
      <c r="M44" s="949">
        <f>SUM(M28:M43)</f>
        <v>2842410</v>
      </c>
      <c r="N44" s="650">
        <f>SUM(N28:N43)</f>
        <v>127371</v>
      </c>
      <c r="O44" s="651">
        <f t="shared" si="2"/>
        <v>2653.5625</v>
      </c>
      <c r="P44" s="80">
        <v>41</v>
      </c>
      <c r="Q44" s="656"/>
      <c r="R44" s="656"/>
      <c r="S44" s="656"/>
      <c r="T44" s="656"/>
      <c r="U44" s="656"/>
    </row>
    <row r="45" spans="1:21" s="569" customFormat="1" ht="16" customHeight="1">
      <c r="A45" s="80">
        <v>42</v>
      </c>
      <c r="B45" s="215"/>
      <c r="C45" s="1603" t="str">
        <f>OR_VEH!B44</f>
        <v>MÉMO* VENTES INTERNET CAMIONS</v>
      </c>
      <c r="D45" s="1536"/>
      <c r="E45" s="1034" t="s">
        <v>163</v>
      </c>
      <c r="F45" s="269">
        <f>IFERROR(IF(Flag=TRUE,K45-TBIn!E223,TBIn!D223),0)</f>
        <v>0</v>
      </c>
      <c r="G45" s="2599">
        <f>IFERROR(IF(Flag=TRUE,L45-TBIn!$E$155,TBIn!$D$155),0)</f>
        <v>0</v>
      </c>
      <c r="H45" s="2601">
        <f>IFERROR(IF(Flag=TRUE,M45-TBIn!$E$175,TBIn!$D$175),0)</f>
        <v>0</v>
      </c>
      <c r="I45" s="557">
        <f>G45-H45</f>
        <v>0</v>
      </c>
      <c r="J45" s="647">
        <f t="shared" si="1"/>
        <v>0</v>
      </c>
      <c r="K45" s="721">
        <f>IFERROR(TBIn!E223,0)</f>
        <v>0</v>
      </c>
      <c r="L45" s="2574">
        <f>IFERROR(TBIn!$E$155,0)</f>
        <v>0</v>
      </c>
      <c r="M45" s="2604">
        <f>IFERROR(TBIn!$E$175,0)</f>
        <v>0</v>
      </c>
      <c r="N45" s="326">
        <f>L45-M45</f>
        <v>0</v>
      </c>
      <c r="O45" s="648">
        <f t="shared" si="2"/>
        <v>0</v>
      </c>
      <c r="P45" s="80">
        <v>42</v>
      </c>
      <c r="Q45" s="664">
        <v>50000</v>
      </c>
      <c r="R45" s="656">
        <f t="shared" si="4"/>
        <v>0</v>
      </c>
      <c r="S45" s="656">
        <f>IF(K45=0,0,IF(OR(L45&lt;0,L45/K45&gt;Q45),1,0))</f>
        <v>0</v>
      </c>
      <c r="T45" s="656">
        <f>IF(OR(F45&lt;0,AND(G45&gt;0,F45=0),AND(G45=0,F45&gt;0)),1,0)</f>
        <v>0</v>
      </c>
      <c r="U45" s="656">
        <f>IF(OR(K45&lt;0,AND(L45&gt;0,K45=0),AND(K45&gt;0,L45=0)),1,0)</f>
        <v>0</v>
      </c>
    </row>
    <row r="46" spans="1:21" s="569" customFormat="1" ht="22" customHeight="1">
      <c r="A46" s="80">
        <v>43</v>
      </c>
      <c r="B46" s="101"/>
      <c r="C46" s="1604" t="str">
        <f>OR_VEH!B45</f>
        <v>TOTAL PARCS - CAMIONS</v>
      </c>
      <c r="D46" s="1588"/>
      <c r="E46" s="2524" t="s">
        <v>139</v>
      </c>
      <c r="F46" s="269">
        <f>IFERROR(IF(Flag=TRUE,K46-TBIn!E224,TBIn!D224),0)</f>
        <v>10</v>
      </c>
      <c r="G46" s="2599">
        <f>IFERROR(IF(Flag=TRUE,L46-TBIn!E1491,TBIn!D1491),0)</f>
        <v>619285</v>
      </c>
      <c r="H46" s="2599">
        <f>IFERROR(IF(Flag=TRUE,M46-TBIn!E1531,TBIn!D1531),0)</f>
        <v>611136</v>
      </c>
      <c r="I46" s="552">
        <f>G46-H46</f>
        <v>8149</v>
      </c>
      <c r="J46" s="647">
        <f t="shared" si="1"/>
        <v>814.9</v>
      </c>
      <c r="K46" s="721">
        <f>IFERROR(TBIn!E224,0)</f>
        <v>34</v>
      </c>
      <c r="L46" s="2574">
        <f>IFERROR(TBIn!E1491,0)</f>
        <v>2326463</v>
      </c>
      <c r="M46" s="2574">
        <f>IFERROR(TBIn!E1531,0)</f>
        <v>2310310</v>
      </c>
      <c r="N46" s="2679">
        <f>L46-M46</f>
        <v>16153</v>
      </c>
      <c r="O46" s="648">
        <f t="shared" si="2"/>
        <v>475.08823529411762</v>
      </c>
      <c r="P46" s="80">
        <v>43</v>
      </c>
      <c r="Q46" s="664">
        <v>50000</v>
      </c>
      <c r="R46" s="656">
        <f t="shared" si="4"/>
        <v>1</v>
      </c>
      <c r="S46" s="656">
        <f>IF(K46=0,0,IF(OR(L46&lt;0,L46/K46&gt;Q46),1,0))</f>
        <v>1</v>
      </c>
      <c r="T46" s="656">
        <f>IF(OR(F46&lt;0,AND(G46&gt;0,F46=0),AND(G46=0,F46&gt;0)),1,0)</f>
        <v>0</v>
      </c>
      <c r="U46" s="656">
        <f>IF(OR(K46&lt;0,AND(L46&gt;0,K46=0),AND(K46&gt;0,L46=0)),1,0)</f>
        <v>0</v>
      </c>
    </row>
    <row r="47" spans="1:21" s="569" customFormat="1" ht="16" customHeight="1">
      <c r="A47" s="80">
        <v>44</v>
      </c>
      <c r="B47" s="215"/>
      <c r="C47" s="1609" t="str">
        <f>OR_VEH!B46</f>
        <v xml:space="preserve">TOTAL IINTERNE - CAMIONS </v>
      </c>
      <c r="D47" s="1607"/>
      <c r="E47" s="1035" t="s">
        <v>164</v>
      </c>
      <c r="F47" s="269">
        <f>IFERROR(IF(Flag=TRUE,K47-TBIn!E225,TBIn!D225),0)</f>
        <v>0</v>
      </c>
      <c r="G47" s="2599">
        <f>IFERROR(IF(Flag=TRUE,L47-TBIn!E1492,TBIn!D1492),0)</f>
        <v>0</v>
      </c>
      <c r="H47" s="2599">
        <f>IFERROR(IF(Flag=TRUE,M47-TBIn!E1532,TBIn!D1532),0)</f>
        <v>0</v>
      </c>
      <c r="I47" s="552">
        <f>G47-H47</f>
        <v>0</v>
      </c>
      <c r="J47" s="647">
        <f t="shared" si="1"/>
        <v>0</v>
      </c>
      <c r="K47" s="721">
        <f>IFERROR(TBIn!E225,0)</f>
        <v>0</v>
      </c>
      <c r="L47" s="2574">
        <f>IFERROR(TBIn!E1492,0)</f>
        <v>0</v>
      </c>
      <c r="M47" s="2574">
        <f>IFERROR(TBIn!E1532,0)</f>
        <v>0</v>
      </c>
      <c r="N47" s="555">
        <f>L47-M47</f>
        <v>0</v>
      </c>
      <c r="O47" s="648">
        <f t="shared" si="2"/>
        <v>0</v>
      </c>
      <c r="P47" s="80">
        <v>44</v>
      </c>
      <c r="Q47" s="664">
        <v>50000</v>
      </c>
      <c r="R47" s="656">
        <f t="shared" si="4"/>
        <v>0</v>
      </c>
      <c r="S47" s="656">
        <f>IF(K47=0,0,IF(OR(L47&lt;0,L47/K47&gt;Q47),1,0))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649">
        <f>F44+F46+F47</f>
        <v>28</v>
      </c>
      <c r="G48" s="650">
        <f>G44+G46+G47</f>
        <v>1660774</v>
      </c>
      <c r="H48" s="650">
        <f>H44+H46+H47</f>
        <v>1600969</v>
      </c>
      <c r="I48" s="650">
        <f>I44+I46+I47</f>
        <v>59805</v>
      </c>
      <c r="J48" s="651">
        <f t="shared" si="1"/>
        <v>2135.8928571428573</v>
      </c>
      <c r="K48" s="2496">
        <f>K44+K46+K47</f>
        <v>82</v>
      </c>
      <c r="L48" s="949">
        <f>L44+L46+L47</f>
        <v>5296244</v>
      </c>
      <c r="M48" s="949">
        <f>M44+M46+M47</f>
        <v>5152720</v>
      </c>
      <c r="N48" s="650">
        <f>N44+N46+N47</f>
        <v>143524</v>
      </c>
      <c r="O48" s="651">
        <f>IF(K48&gt;0,N48/K48,0)</f>
        <v>1750.2926829268292</v>
      </c>
      <c r="P48" s="80">
        <v>45</v>
      </c>
      <c r="Q48" s="656"/>
      <c r="R48" s="656"/>
      <c r="S48" s="656"/>
      <c r="T48" s="656"/>
      <c r="U48" s="656"/>
    </row>
    <row r="49" spans="1:21" s="30" customFormat="1" ht="16" customHeight="1">
      <c r="A49" s="80">
        <v>46</v>
      </c>
      <c r="B49" s="96"/>
      <c r="C49" s="1036" t="str">
        <f>OR_VEH!B48</f>
        <v xml:space="preserve"> </v>
      </c>
      <c r="D49" s="262"/>
      <c r="E49" s="1034" t="s">
        <v>166</v>
      </c>
      <c r="F49" s="1965"/>
      <c r="G49" s="2599"/>
      <c r="H49" s="2601"/>
      <c r="I49" s="557"/>
      <c r="J49" s="831"/>
      <c r="K49" s="2678"/>
      <c r="L49" s="2698"/>
      <c r="M49" s="2699"/>
      <c r="N49" s="326"/>
      <c r="O49" s="597"/>
      <c r="P49" s="80">
        <v>46</v>
      </c>
      <c r="Q49" s="829">
        <v>10000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10" t="str">
        <f>OR_VEH!B49</f>
        <v>ACCESSOIRES</v>
      </c>
      <c r="D50" s="1588"/>
      <c r="E50" s="1034" t="s">
        <v>167</v>
      </c>
      <c r="F50" s="269">
        <f>IFERROR(IF(Flag=TRUE,K50-TBIn!E226,TBIn!D226),0)</f>
        <v>0</v>
      </c>
      <c r="G50" s="2599">
        <f>IFERROR(IF(Flag=TRUE,L50-TBIn!E1493,TBIn!D1493),0)</f>
        <v>0</v>
      </c>
      <c r="H50" s="2601">
        <f>IFERROR(IF(Flag=TRUE,M50-TBIn!E1533,TBIn!D1533),0)</f>
        <v>0</v>
      </c>
      <c r="I50" s="557">
        <f>G50-H50</f>
        <v>0</v>
      </c>
      <c r="J50" s="828">
        <f>IF(F51=0,0,I50/F$51)</f>
        <v>0</v>
      </c>
      <c r="K50" s="721">
        <f>IFERROR(TBIn!E226,0)</f>
        <v>0</v>
      </c>
      <c r="L50" s="2574">
        <f>IFERROR(TBIn!E1493,0)</f>
        <v>0</v>
      </c>
      <c r="M50" s="2604">
        <f>IFERROR(TBIn!E1533,0)</f>
        <v>0</v>
      </c>
      <c r="N50" s="326">
        <f>L50-M50</f>
        <v>0</v>
      </c>
      <c r="O50" s="830">
        <f>IF(K51=0,0,N50/K$51)</f>
        <v>0</v>
      </c>
      <c r="P50" s="80">
        <v>47</v>
      </c>
      <c r="Q50" s="829">
        <v>10000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IFERROR(IF(Flag=TRUE,F27+F48,TBIn!D227),0)</f>
        <v>28</v>
      </c>
      <c r="G51" s="716">
        <f>G27+G48+G50</f>
        <v>1660774</v>
      </c>
      <c r="H51" s="848">
        <f>H27+H48+H50</f>
        <v>1600969</v>
      </c>
      <c r="I51" s="1423">
        <f>IFERROR(IF(Flag=TRUE,I27+I48+I50,TBIn!D1534),0)</f>
        <v>59805</v>
      </c>
      <c r="J51" s="1087">
        <f>IF(F51=0,0,I51/F$51)</f>
        <v>2135.8928571428573</v>
      </c>
      <c r="K51" s="761">
        <f>IFERROR(IF(Flag=TRUE,K27+K48,TBIn!E227),0)</f>
        <v>83</v>
      </c>
      <c r="L51" s="716">
        <f>L27+L48+L50</f>
        <v>5329388</v>
      </c>
      <c r="M51" s="848">
        <f>M27+M48+M50</f>
        <v>5187720</v>
      </c>
      <c r="N51" s="1423">
        <f>IFERROR(IF(Flag=TRUE,N27+N48+N50,TBIn!E1534),0)</f>
        <v>141668</v>
      </c>
      <c r="O51" s="1087">
        <f>IF(K51=0,0,N51/K$51)</f>
        <v>1706.8433734939758</v>
      </c>
      <c r="P51" s="179">
        <v>48</v>
      </c>
      <c r="Q51" s="656"/>
      <c r="R51" s="656"/>
      <c r="S51" s="656"/>
      <c r="T51" s="656"/>
      <c r="U51" s="656"/>
    </row>
    <row r="52" spans="1:21" s="569" customFormat="1" ht="16" customHeight="1">
      <c r="A52" s="76"/>
      <c r="B52" s="76"/>
      <c r="C52" s="84" t="s">
        <v>169</v>
      </c>
      <c r="D52" s="84"/>
      <c r="E52" s="84"/>
      <c r="F52" s="84"/>
      <c r="G52" s="84"/>
      <c r="H52" s="84"/>
      <c r="I52" s="84"/>
      <c r="J52" s="267" t="s">
        <v>170</v>
      </c>
      <c r="K52" s="76"/>
      <c r="L52" s="76"/>
      <c r="M52" s="76"/>
      <c r="N52" s="76"/>
      <c r="O52" s="267" t="s">
        <v>170</v>
      </c>
      <c r="P52" s="76"/>
      <c r="Q52" s="656"/>
      <c r="R52" s="656"/>
      <c r="S52" s="656"/>
      <c r="T52" s="656"/>
      <c r="U52" s="656"/>
    </row>
    <row r="53" spans="1:21" hidden="1">
      <c r="A53" s="3"/>
      <c r="B53" s="3"/>
      <c r="C53" s="3"/>
      <c r="D53" s="3"/>
      <c r="E53" s="3"/>
      <c r="F53" s="3"/>
      <c r="G53" s="3"/>
      <c r="H53" s="3"/>
      <c r="I53" s="16"/>
      <c r="J53" s="3"/>
      <c r="K53" s="3"/>
      <c r="L53" s="3"/>
      <c r="M53" s="3"/>
      <c r="N53" s="3"/>
      <c r="O53" s="3"/>
      <c r="P53" s="3"/>
    </row>
    <row r="54" spans="1:21" hidden="1">
      <c r="A54" s="3"/>
      <c r="B54" s="3"/>
      <c r="C54" s="3"/>
      <c r="D54" s="30"/>
      <c r="E54" s="3"/>
      <c r="F54" s="3"/>
      <c r="G54" s="3"/>
      <c r="H54" s="3"/>
      <c r="I54" s="3"/>
      <c r="J54" s="3"/>
      <c r="K54" s="3"/>
      <c r="L54" s="3"/>
      <c r="M54" s="3"/>
      <c r="N54" s="3"/>
      <c r="O54" s="3"/>
      <c r="P54" s="3"/>
    </row>
    <row r="55" spans="1:21" hidden="1">
      <c r="D55" s="30"/>
    </row>
    <row r="56" spans="1:21" hidden="1">
      <c r="D56" s="30" t="s">
        <v>171</v>
      </c>
      <c r="E56" s="1239" t="s">
        <v>88</v>
      </c>
      <c r="F56" s="30" t="s">
        <v>172</v>
      </c>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sxszPi2RliC58bWr13E8bPqaadE2JqxA9mYEn5wKR0Jrml2gB6I1jO0D0LSrDsrgxBua+uF1VsaCTD0j2kLViw==" saltValue="eWz2nzKP+mlUn2iplOp2xQ==" spinCount="100000" sheet="1" objects="1" scenarios="1"/>
  <customSheetViews>
    <customSheetView guid="{42A0DCD3-5C27-4BB4-A491-D2E7F84D8A17}" scale="80" showGridLines="0" fitToPage="1" printArea="1" hiddenRows="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topLeftCell="A40">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showGridLines="0" showRowCol="0" fitToPage="1" hiddenRows="1" hiddenColumns="1" showRuler="0">
      <pane xSplit="5" ySplit="3" topLeftCell="F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4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400-000000000000}"/>
    <hyperlink ref="C24" r:id="rId4" tooltip="Lien au Manuel des méthodes comptables GM" display="http://gm-ca-fr.acctmanual.com/New_Vehicle/419_Voitures_neuves_Internet_(compte_m_mo).htm" xr:uid="{00000000-0004-0000-0400-000001000000}"/>
    <hyperlink ref="C25" r:id="rId5" tooltip="Lien au Manuel des méthodes comptables GM" display="http://gm-ca-fr.acctmanual.com/New_Vehicle/420_Voitures_neuves_-_Parcs.htm" xr:uid="{00000000-0004-0000-0400-000002000000}"/>
    <hyperlink ref="C26" r:id="rId6" tooltip="Lien au Manuel des méthodes comptables GM" display="http://gm-ca-fr.acctmanual.com/New_Vehicle/421_Voitures_neuves_-_Interne.htm" xr:uid="{00000000-0004-0000-0400-000003000000}"/>
    <hyperlink ref="C28" r:id="rId7" tooltip="Lien au Manuel des méthodes comptables GM" display="http://gm-ca-fr.acctmanual.com/New_Vehicle/423-438_Camions_neufs_-_au_d_tail.htm" xr:uid="{00000000-0004-0000-0400-000004000000}"/>
    <hyperlink ref="C45" r:id="rId8" tooltip="Lien au Manuel des méthodes comptables GM" display="http://gm-ca-fr.acctmanual.com/New_Vehicle/439_Camions_neufs_Internet_(compte_m_mo).htm" xr:uid="{00000000-0004-0000-0400-000005000000}"/>
    <hyperlink ref="C46" r:id="rId9" tooltip="Lien au Manuel des méthodes comptables GM" display="http://gm-ca-fr.acctmanual.com/New_Vehicle/440_Camions_neufs_-_Parcs.htm" xr:uid="{00000000-0004-0000-0400-000006000000}"/>
    <hyperlink ref="C47" r:id="rId10" tooltip="Lien au Manuel des méthodes comptables GM" display="http://gm-ca-fr.acctmanual.com/New_Vehicle/441_Camions_neufs_-_Interne.htm" xr:uid="{00000000-0004-0000-0400-000007000000}"/>
    <hyperlink ref="C50" r:id="rId11" tooltip="Lien au Manuel des méthodes comptables GM" display="http://gm-ca-fr.acctmanual.com/New_Vehicle/457_Accessoires.htm" xr:uid="{00000000-0004-0000-04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2340" r:id="rId15" name="CommandButton5a">
          <controlPr defaultSize="0" print="0" autoFill="0" autoLine="0" r:id="rId16">
            <anchor>
              <from>
                <xdr:col>11</xdr:col>
                <xdr:colOff>184150</xdr:colOff>
                <xdr:row>0</xdr:row>
                <xdr:rowOff>0</xdr:rowOff>
              </from>
              <to>
                <xdr:col>12</xdr:col>
                <xdr:colOff>615950</xdr:colOff>
                <xdr:row>1</xdr:row>
                <xdr:rowOff>19050</xdr:rowOff>
              </to>
            </anchor>
          </controlPr>
        </control>
      </mc:Choice>
      <mc:Fallback>
        <control shapeId="12340" r:id="rId15" name="CommandButton5a"/>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fitToPage="1"/>
  </sheetPr>
  <dimension ref="A1:V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179687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9.1796875" style="661" hidden="1" customWidth="1"/>
    <col min="22" max="22" width="11" style="654" hidden="1" customWidth="1"/>
    <col min="23" max="23" width="0" style="654" hidden="1" customWidth="1"/>
    <col min="24" max="16384" width="0" style="654" hidden="1"/>
  </cols>
  <sheetData>
    <row r="1" spans="1:22" s="569" customFormat="1" ht="21" customHeight="1">
      <c r="A1" s="76"/>
      <c r="B1" s="2762" t="str">
        <f>OR_VEH!B52</f>
        <v>CHEVROLET - VE</v>
      </c>
      <c r="C1" s="2762"/>
      <c r="D1" s="2762"/>
      <c r="E1" s="257"/>
      <c r="F1" s="491" t="s">
        <v>92</v>
      </c>
      <c r="G1" s="752"/>
      <c r="H1" s="60"/>
      <c r="I1" s="752"/>
      <c r="J1" s="752"/>
      <c r="K1" s="752"/>
      <c r="L1" s="1246"/>
      <c r="M1" s="61"/>
      <c r="N1" s="61"/>
      <c r="O1" s="641"/>
      <c r="P1" s="62" t="str">
        <f>TBIn!$E$2458&amp;" - "&amp;TBIn!$AH$10&amp;" - PAGE 5 CHV VE"</f>
        <v>319719 - 202504 - PAGE 5 CHV VE</v>
      </c>
      <c r="Q1" s="643" t="s">
        <v>93</v>
      </c>
      <c r="R1" s="643" t="s">
        <v>94</v>
      </c>
      <c r="S1" s="643" t="s">
        <v>95</v>
      </c>
      <c r="T1" s="643" t="s">
        <v>94</v>
      </c>
      <c r="U1" s="643" t="s">
        <v>95</v>
      </c>
    </row>
    <row r="2" spans="1:22" s="569"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643" t="s">
        <v>98</v>
      </c>
      <c r="R2" s="643" t="s">
        <v>98</v>
      </c>
      <c r="S2" s="643" t="s">
        <v>98</v>
      </c>
      <c r="T2" s="643" t="s">
        <v>99</v>
      </c>
      <c r="U2" s="643" t="s">
        <v>99</v>
      </c>
    </row>
    <row r="3" spans="1:22" s="569"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662" t="s">
        <v>107</v>
      </c>
      <c r="R3" s="663" t="s">
        <v>108</v>
      </c>
      <c r="S3" s="663" t="s">
        <v>108</v>
      </c>
      <c r="T3" s="663" t="s">
        <v>108</v>
      </c>
      <c r="U3" s="663" t="s">
        <v>108</v>
      </c>
    </row>
    <row r="4" spans="1:22" s="569" customFormat="1" ht="16" customHeight="1">
      <c r="A4" s="74">
        <v>1</v>
      </c>
      <c r="B4" s="215"/>
      <c r="C4" s="1535" t="str">
        <f>OR_VEH!B53</f>
        <v>NE PAS UTILISER</v>
      </c>
      <c r="D4" s="1536"/>
      <c r="E4" s="1037" t="s">
        <v>175</v>
      </c>
      <c r="F4" s="268">
        <f>IFERROR(IF(Flag=TRUE,K4-TBIn!E228,TBIn!D228),0)</f>
        <v>0</v>
      </c>
      <c r="G4" s="2598">
        <f>IFERROR(IF(Flag=TRUE,L4-TBIn!E1535,TBIn!D1535),0)</f>
        <v>0</v>
      </c>
      <c r="H4" s="2598">
        <f>IFERROR(IF(Flag=TRUE,M4-TBIn!E1575,TBIn!D1575),0)</f>
        <v>0</v>
      </c>
      <c r="I4" s="551">
        <f t="shared" ref="I4:I22" si="0">G4-H4</f>
        <v>0</v>
      </c>
      <c r="J4" s="584">
        <f t="shared" ref="J4:J48" si="1">IF(F4&gt;0,I4/F4,0)</f>
        <v>0</v>
      </c>
      <c r="K4" s="720">
        <f>IFERROR(TBIn!E228,0)</f>
        <v>0</v>
      </c>
      <c r="L4" s="2602">
        <f>IFERROR(TBIn!E1535,0)</f>
        <v>0</v>
      </c>
      <c r="M4" s="2602">
        <f>IFERROR(TBIn!E1575,0)</f>
        <v>0</v>
      </c>
      <c r="N4" s="554">
        <f>L4-M4</f>
        <v>0</v>
      </c>
      <c r="O4" s="585">
        <f t="shared" ref="O4:O47" si="2">IF(K4&gt;0,N4/K4,0)</f>
        <v>0</v>
      </c>
      <c r="P4" s="74">
        <v>1</v>
      </c>
      <c r="Q4" s="644">
        <v>50000</v>
      </c>
      <c r="R4" s="656">
        <f>IF(F4=0,0,IF(G4/F4&gt;Q4,1,0))</f>
        <v>0</v>
      </c>
      <c r="S4" s="656">
        <f>IF(K4=0,0,IF(OR(L4&lt;0,L4/K4&gt;Q4),1,0))</f>
        <v>0</v>
      </c>
      <c r="T4" s="656">
        <f>IF(OR(F4&lt;0,AND(G4&gt;0,F4=0),AND(G4=0,F4&gt;0)),1,0)</f>
        <v>0</v>
      </c>
      <c r="U4" s="656">
        <f>IF(OR(K4&lt;0,AND(L4&gt;0,K4=0),AND(K4&gt;0,L4=0)),1,0)</f>
        <v>0</v>
      </c>
    </row>
    <row r="5" spans="1:22" s="569" customFormat="1" ht="16" customHeight="1">
      <c r="A5" s="80">
        <v>2</v>
      </c>
      <c r="B5" s="275" t="s">
        <v>110</v>
      </c>
      <c r="C5" s="1539" t="str">
        <f>OR_VEH!B54</f>
        <v>NE PAS UTILISER</v>
      </c>
      <c r="D5" s="1588"/>
      <c r="E5" s="776" t="s">
        <v>176</v>
      </c>
      <c r="F5" s="269">
        <f>IFERROR(IF(Flag=TRUE,K5-TBIn!E229,TBIn!D229),0)</f>
        <v>0</v>
      </c>
      <c r="G5" s="2599">
        <f>IFERROR(IF(Flag=TRUE,L5-TBIn!E1536,TBIn!D1536),0)</f>
        <v>0</v>
      </c>
      <c r="H5" s="2599">
        <f>IFERROR(IF(Flag=TRUE,M5-TBIn!E1576,TBIn!D1576),0)</f>
        <v>0</v>
      </c>
      <c r="I5" s="552">
        <f t="shared" si="0"/>
        <v>0</v>
      </c>
      <c r="J5" s="608">
        <f t="shared" si="1"/>
        <v>0</v>
      </c>
      <c r="K5" s="721">
        <f>IFERROR(TBIn!E229,0)</f>
        <v>0</v>
      </c>
      <c r="L5" s="2574">
        <f>IFERROR(TBIn!E1536,0)</f>
        <v>0</v>
      </c>
      <c r="M5" s="2574">
        <f>IFERROR(TBIn!E1576,0)</f>
        <v>0</v>
      </c>
      <c r="N5" s="555">
        <f t="shared" ref="N5:N22" si="3">L5-M5</f>
        <v>0</v>
      </c>
      <c r="O5" s="587">
        <f t="shared" si="2"/>
        <v>0</v>
      </c>
      <c r="P5" s="80">
        <v>2</v>
      </c>
      <c r="Q5" s="644">
        <v>30000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2" s="569" customFormat="1" ht="15.75" customHeight="1">
      <c r="A6" s="80">
        <v>3</v>
      </c>
      <c r="B6" s="275" t="s">
        <v>112</v>
      </c>
      <c r="C6" s="1539" t="str">
        <f>OR_VEH!B55</f>
        <v>NE PAS UTILISER</v>
      </c>
      <c r="D6" s="1588"/>
      <c r="E6" s="776" t="s">
        <v>177</v>
      </c>
      <c r="F6" s="269">
        <f>IFERROR(IF(Flag=TRUE,K6-TBIn!E230,TBIn!D230),0)</f>
        <v>0</v>
      </c>
      <c r="G6" s="2599">
        <f>IFERROR(IF(Flag=TRUE,L6-TBIn!E1537,TBIn!D1537),0)</f>
        <v>0</v>
      </c>
      <c r="H6" s="2599">
        <f>IFERROR(IF(Flag=TRUE,M6-TBIn!E1577,TBIn!D1577),0)</f>
        <v>0</v>
      </c>
      <c r="I6" s="552">
        <f t="shared" si="0"/>
        <v>0</v>
      </c>
      <c r="J6" s="608">
        <f t="shared" si="1"/>
        <v>0</v>
      </c>
      <c r="K6" s="721">
        <f>IFERROR(TBIn!E230,0)</f>
        <v>0</v>
      </c>
      <c r="L6" s="2574">
        <f>IFERROR(TBIn!E1537,0)</f>
        <v>0</v>
      </c>
      <c r="M6" s="2574">
        <f>IFERROR(TBIn!E1577,0)</f>
        <v>0</v>
      </c>
      <c r="N6" s="555">
        <f t="shared" si="3"/>
        <v>0</v>
      </c>
      <c r="O6" s="587">
        <f t="shared" si="2"/>
        <v>0</v>
      </c>
      <c r="P6" s="80">
        <v>3</v>
      </c>
      <c r="Q6" s="644">
        <v>25000</v>
      </c>
      <c r="R6" s="656">
        <f t="shared" si="4"/>
        <v>0</v>
      </c>
      <c r="S6" s="656">
        <f t="shared" si="5"/>
        <v>0</v>
      </c>
      <c r="T6" s="656">
        <f t="shared" si="6"/>
        <v>0</v>
      </c>
      <c r="U6" s="656">
        <f t="shared" si="7"/>
        <v>0</v>
      </c>
    </row>
    <row r="7" spans="1:22" s="569" customFormat="1" ht="15.75" customHeight="1">
      <c r="A7" s="80">
        <v>4</v>
      </c>
      <c r="B7" s="275" t="s">
        <v>114</v>
      </c>
      <c r="C7" s="1539" t="str">
        <f>OR_VEH!B56</f>
        <v>NE PAS UTILISER</v>
      </c>
      <c r="D7" s="1588"/>
      <c r="E7" s="776" t="s">
        <v>178</v>
      </c>
      <c r="F7" s="269">
        <f>IFERROR(IF(Flag=TRUE,K7-TBIn!E231,TBIn!D231),0)</f>
        <v>0</v>
      </c>
      <c r="G7" s="2599">
        <f>IFERROR(IF(Flag=TRUE,L7-TBIn!E1538,TBIn!D1538),0)</f>
        <v>0</v>
      </c>
      <c r="H7" s="2599">
        <f>IFERROR(IF(Flag=TRUE,M7-TBIn!E1578,TBIn!D1578),0)</f>
        <v>0</v>
      </c>
      <c r="I7" s="552">
        <f t="shared" si="0"/>
        <v>0</v>
      </c>
      <c r="J7" s="608">
        <f t="shared" si="1"/>
        <v>0</v>
      </c>
      <c r="K7" s="721">
        <f>IFERROR(TBIn!E231,0)</f>
        <v>0</v>
      </c>
      <c r="L7" s="2574">
        <f>IFERROR(TBIn!E1538,0)</f>
        <v>0</v>
      </c>
      <c r="M7" s="2574">
        <f>IFERROR(TBIn!E1578,0)</f>
        <v>0</v>
      </c>
      <c r="N7" s="555">
        <f t="shared" si="3"/>
        <v>0</v>
      </c>
      <c r="O7" s="587">
        <f t="shared" si="2"/>
        <v>0</v>
      </c>
      <c r="P7" s="80">
        <v>4</v>
      </c>
      <c r="Q7" s="644">
        <v>35000</v>
      </c>
      <c r="R7" s="656">
        <f t="shared" si="4"/>
        <v>0</v>
      </c>
      <c r="S7" s="656">
        <f t="shared" si="5"/>
        <v>0</v>
      </c>
      <c r="T7" s="656">
        <f t="shared" si="6"/>
        <v>0</v>
      </c>
      <c r="U7" s="656">
        <f t="shared" si="7"/>
        <v>0</v>
      </c>
    </row>
    <row r="8" spans="1:22" s="569" customFormat="1" ht="15.75" customHeight="1">
      <c r="A8" s="80">
        <v>5</v>
      </c>
      <c r="B8" s="275" t="s">
        <v>116</v>
      </c>
      <c r="C8" s="1539" t="str">
        <f>OR_VEH!B57</f>
        <v>NE PAS UTILISER</v>
      </c>
      <c r="D8" s="1588"/>
      <c r="E8" s="776" t="s">
        <v>179</v>
      </c>
      <c r="F8" s="269">
        <f>IFERROR(IF(Flag=TRUE,K8-TBIn!E232,TBIn!D232),0)</f>
        <v>0</v>
      </c>
      <c r="G8" s="2599">
        <f>IFERROR(IF(Flag=TRUE,L8-TBIn!E1539,TBIn!D1539),0)</f>
        <v>0</v>
      </c>
      <c r="H8" s="2599">
        <f>IFERROR(IF(Flag=TRUE,M8-TBIn!E1579,TBIn!D1579),0)</f>
        <v>0</v>
      </c>
      <c r="I8" s="552">
        <f t="shared" si="0"/>
        <v>0</v>
      </c>
      <c r="J8" s="608">
        <f t="shared" si="1"/>
        <v>0</v>
      </c>
      <c r="K8" s="721">
        <f>IFERROR(TBIn!E232,0)</f>
        <v>0</v>
      </c>
      <c r="L8" s="2574">
        <f>IFERROR(TBIn!E1539,0)</f>
        <v>0</v>
      </c>
      <c r="M8" s="2574">
        <f>IFERROR(TBIn!E1579,0)</f>
        <v>0</v>
      </c>
      <c r="N8" s="555">
        <f t="shared" si="3"/>
        <v>0</v>
      </c>
      <c r="O8" s="587">
        <f t="shared" si="2"/>
        <v>0</v>
      </c>
      <c r="P8" s="80">
        <v>5</v>
      </c>
      <c r="Q8" s="644">
        <v>45000</v>
      </c>
      <c r="R8" s="656">
        <f t="shared" si="4"/>
        <v>0</v>
      </c>
      <c r="S8" s="656">
        <f t="shared" si="5"/>
        <v>0</v>
      </c>
      <c r="T8" s="656">
        <f t="shared" si="6"/>
        <v>0</v>
      </c>
      <c r="U8" s="656">
        <f t="shared" si="7"/>
        <v>0</v>
      </c>
    </row>
    <row r="9" spans="1:22" s="569" customFormat="1" ht="15.75" customHeight="1">
      <c r="A9" s="80">
        <v>6</v>
      </c>
      <c r="B9" s="275" t="s">
        <v>118</v>
      </c>
      <c r="C9" s="1539" t="str">
        <f>OR_VEH!B58</f>
        <v>NE PAS UTILISER</v>
      </c>
      <c r="D9" s="1588"/>
      <c r="E9" s="776" t="s">
        <v>180</v>
      </c>
      <c r="F9" s="269">
        <f>IFERROR(IF(Flag=TRUE,K9-TBIn!E233,TBIn!D233),0)</f>
        <v>0</v>
      </c>
      <c r="G9" s="2599">
        <f>IFERROR(IF(Flag=TRUE,L9-TBIn!E1540,TBIn!D1540),0)</f>
        <v>0</v>
      </c>
      <c r="H9" s="2599">
        <f>IFERROR(IF(Flag=TRUE,M9-TBIn!E1580,TBIn!D1580),0)</f>
        <v>0</v>
      </c>
      <c r="I9" s="552">
        <f t="shared" si="0"/>
        <v>0</v>
      </c>
      <c r="J9" s="608">
        <f t="shared" si="1"/>
        <v>0</v>
      </c>
      <c r="K9" s="721">
        <f>IFERROR(TBIn!E233,0)</f>
        <v>0</v>
      </c>
      <c r="L9" s="2574">
        <f>IFERROR(TBIn!E1540,0)</f>
        <v>0</v>
      </c>
      <c r="M9" s="2574">
        <f>IFERROR(TBIn!E1580,0)</f>
        <v>0</v>
      </c>
      <c r="N9" s="555">
        <f t="shared" si="3"/>
        <v>0</v>
      </c>
      <c r="O9" s="587">
        <f t="shared" si="2"/>
        <v>0</v>
      </c>
      <c r="P9" s="80">
        <v>6</v>
      </c>
      <c r="Q9" s="644">
        <v>35000</v>
      </c>
      <c r="R9" s="656">
        <f t="shared" si="4"/>
        <v>0</v>
      </c>
      <c r="S9" s="656">
        <f t="shared" si="5"/>
        <v>0</v>
      </c>
      <c r="T9" s="656">
        <f t="shared" si="6"/>
        <v>0</v>
      </c>
      <c r="U9" s="656">
        <f t="shared" si="7"/>
        <v>0</v>
      </c>
      <c r="V9" s="30"/>
    </row>
    <row r="10" spans="1:22" s="569" customFormat="1" ht="15.75" customHeight="1">
      <c r="A10" s="80">
        <v>7</v>
      </c>
      <c r="B10" s="101" t="s">
        <v>120</v>
      </c>
      <c r="C10" s="1539" t="str">
        <f>OR_VEH!B59</f>
        <v>NE PAS UTILISER</v>
      </c>
      <c r="D10" s="1588"/>
      <c r="E10" s="776" t="s">
        <v>181</v>
      </c>
      <c r="F10" s="269">
        <f>IFERROR(IF(Flag=TRUE,K10-TBIn!E234,TBIn!D234),0)</f>
        <v>0</v>
      </c>
      <c r="G10" s="2599">
        <f>IFERROR(IF(Flag=TRUE,L10-TBIn!E1541,TBIn!D1541),0)</f>
        <v>0</v>
      </c>
      <c r="H10" s="2599">
        <f>IFERROR(IF(Flag=TRUE,M10-TBIn!E1581,TBIn!D1581),0)</f>
        <v>0</v>
      </c>
      <c r="I10" s="552">
        <f t="shared" si="0"/>
        <v>0</v>
      </c>
      <c r="J10" s="608">
        <f t="shared" si="1"/>
        <v>0</v>
      </c>
      <c r="K10" s="721">
        <f>IFERROR(TBIn!E234,0)</f>
        <v>0</v>
      </c>
      <c r="L10" s="2574">
        <f>IFERROR(TBIn!E1541,0)</f>
        <v>0</v>
      </c>
      <c r="M10" s="2574">
        <f>IFERROR(TBIn!E1581,0)</f>
        <v>0</v>
      </c>
      <c r="N10" s="555">
        <f t="shared" si="3"/>
        <v>0</v>
      </c>
      <c r="O10" s="587">
        <f t="shared" si="2"/>
        <v>0</v>
      </c>
      <c r="P10" s="80">
        <v>7</v>
      </c>
      <c r="Q10" s="644">
        <v>0</v>
      </c>
      <c r="R10" s="656">
        <f t="shared" si="4"/>
        <v>0</v>
      </c>
      <c r="S10" s="656">
        <f t="shared" si="5"/>
        <v>0</v>
      </c>
      <c r="T10" s="656">
        <f t="shared" si="6"/>
        <v>0</v>
      </c>
      <c r="U10" s="656">
        <f t="shared" si="7"/>
        <v>0</v>
      </c>
    </row>
    <row r="11" spans="1:22" s="569" customFormat="1" ht="15.75" customHeight="1">
      <c r="A11" s="80">
        <v>8</v>
      </c>
      <c r="B11" s="101" t="s">
        <v>122</v>
      </c>
      <c r="C11" s="1539" t="str">
        <f>OR_VEH!B60</f>
        <v>NE PAS UTILISER</v>
      </c>
      <c r="D11" s="1588"/>
      <c r="E11" s="776" t="s">
        <v>182</v>
      </c>
      <c r="F11" s="269">
        <f>IFERROR(IF(Flag=TRUE,K11-TBIn!E235,TBIn!D235),0)</f>
        <v>0</v>
      </c>
      <c r="G11" s="2599">
        <f>IFERROR(IF(Flag=TRUE,L11-TBIn!E1542,TBIn!D1542),0)</f>
        <v>0</v>
      </c>
      <c r="H11" s="2599">
        <f>IFERROR(IF(Flag=TRUE,M11-TBIn!E1582,TBIn!D1582),0)</f>
        <v>0</v>
      </c>
      <c r="I11" s="552">
        <f t="shared" si="0"/>
        <v>0</v>
      </c>
      <c r="J11" s="608">
        <f t="shared" si="1"/>
        <v>0</v>
      </c>
      <c r="K11" s="721">
        <f>IFERROR(TBIn!E235,0)</f>
        <v>0</v>
      </c>
      <c r="L11" s="2574">
        <f>IFERROR(TBIn!E1542,0)</f>
        <v>0</v>
      </c>
      <c r="M11" s="2574">
        <f>IFERROR(TBIn!E1582,0)</f>
        <v>0</v>
      </c>
      <c r="N11" s="555">
        <f t="shared" si="3"/>
        <v>0</v>
      </c>
      <c r="O11" s="587">
        <f t="shared" si="2"/>
        <v>0</v>
      </c>
      <c r="P11" s="80">
        <v>8</v>
      </c>
      <c r="Q11" s="644">
        <v>0</v>
      </c>
      <c r="R11" s="656">
        <f t="shared" si="4"/>
        <v>0</v>
      </c>
      <c r="S11" s="656">
        <f t="shared" si="5"/>
        <v>0</v>
      </c>
      <c r="T11" s="656">
        <f t="shared" si="6"/>
        <v>0</v>
      </c>
      <c r="U11" s="656">
        <f t="shared" si="7"/>
        <v>0</v>
      </c>
    </row>
    <row r="12" spans="1:22" s="569" customFormat="1" ht="15.75" customHeight="1">
      <c r="A12" s="80">
        <v>9</v>
      </c>
      <c r="B12" s="101" t="s">
        <v>124</v>
      </c>
      <c r="C12" s="1539" t="str">
        <f>OR_VEH!B61</f>
        <v>NE PAS UTILISER</v>
      </c>
      <c r="D12" s="1588"/>
      <c r="E12" s="776" t="s">
        <v>183</v>
      </c>
      <c r="F12" s="269">
        <f>IFERROR(IF(Flag=TRUE,K12-TBIn!E236,TBIn!D236),0)</f>
        <v>0</v>
      </c>
      <c r="G12" s="2599">
        <f>IFERROR(IF(Flag=TRUE,L12-TBIn!E1543,TBIn!D1543),0)</f>
        <v>0</v>
      </c>
      <c r="H12" s="2599">
        <f>IFERROR(IF(Flag=TRUE,M12-TBIn!E1583,TBIn!D1583),0)</f>
        <v>0</v>
      </c>
      <c r="I12" s="552">
        <f t="shared" si="0"/>
        <v>0</v>
      </c>
      <c r="J12" s="608">
        <f t="shared" si="1"/>
        <v>0</v>
      </c>
      <c r="K12" s="721">
        <f>IFERROR(TBIn!E236,0)</f>
        <v>0</v>
      </c>
      <c r="L12" s="2574">
        <f>IFERROR(TBIn!E1543,0)</f>
        <v>0</v>
      </c>
      <c r="M12" s="2574">
        <f>IFERROR(TBIn!E1583,0)</f>
        <v>0</v>
      </c>
      <c r="N12" s="555">
        <f t="shared" si="3"/>
        <v>0</v>
      </c>
      <c r="O12" s="587">
        <f t="shared" si="2"/>
        <v>0</v>
      </c>
      <c r="P12" s="80">
        <v>9</v>
      </c>
      <c r="Q12" s="644">
        <v>0</v>
      </c>
      <c r="R12" s="656">
        <f t="shared" si="4"/>
        <v>0</v>
      </c>
      <c r="S12" s="656">
        <f t="shared" si="5"/>
        <v>0</v>
      </c>
      <c r="T12" s="656">
        <f t="shared" si="6"/>
        <v>0</v>
      </c>
      <c r="U12" s="656">
        <f t="shared" si="7"/>
        <v>0</v>
      </c>
    </row>
    <row r="13" spans="1:22" s="569" customFormat="1" ht="15.75" customHeight="1">
      <c r="A13" s="80">
        <v>10</v>
      </c>
      <c r="B13" s="101"/>
      <c r="C13" s="1539" t="str">
        <f>OR_VEH!B62</f>
        <v>NE PAS UTILISER</v>
      </c>
      <c r="D13" s="1588"/>
      <c r="E13" s="776" t="s">
        <v>184</v>
      </c>
      <c r="F13" s="269">
        <f>IFERROR(IF(Flag=TRUE,K13-TBIn!E237,TBIn!D237),0)</f>
        <v>0</v>
      </c>
      <c r="G13" s="2599">
        <f>IFERROR(IF(Flag=TRUE,L13-TBIn!E1544,TBIn!D1544),0)</f>
        <v>0</v>
      </c>
      <c r="H13" s="2599">
        <f>IFERROR(IF(Flag=TRUE,M13-TBIn!E1584,TBIn!D1584),0)</f>
        <v>0</v>
      </c>
      <c r="I13" s="552">
        <f t="shared" si="0"/>
        <v>0</v>
      </c>
      <c r="J13" s="608">
        <f t="shared" si="1"/>
        <v>0</v>
      </c>
      <c r="K13" s="721">
        <f>IFERROR(TBIn!E237,0)</f>
        <v>0</v>
      </c>
      <c r="L13" s="2574">
        <f>IFERROR(TBIn!E1544,0)</f>
        <v>0</v>
      </c>
      <c r="M13" s="2574">
        <f>IFERROR(TBIn!E1584,0)</f>
        <v>0</v>
      </c>
      <c r="N13" s="555">
        <f t="shared" si="3"/>
        <v>0</v>
      </c>
      <c r="O13" s="587">
        <f t="shared" si="2"/>
        <v>0</v>
      </c>
      <c r="P13" s="80">
        <v>10</v>
      </c>
      <c r="Q13" s="644">
        <v>0</v>
      </c>
      <c r="R13" s="656">
        <f t="shared" si="4"/>
        <v>0</v>
      </c>
      <c r="S13" s="656">
        <f t="shared" si="5"/>
        <v>0</v>
      </c>
      <c r="T13" s="656">
        <f t="shared" si="6"/>
        <v>0</v>
      </c>
      <c r="U13" s="656">
        <f t="shared" si="7"/>
        <v>0</v>
      </c>
    </row>
    <row r="14" spans="1:22" s="569" customFormat="1" ht="15.75" customHeight="1">
      <c r="A14" s="80">
        <v>11</v>
      </c>
      <c r="B14" s="101" t="s">
        <v>127</v>
      </c>
      <c r="C14" s="1539" t="str">
        <f>OR_VEH!B63</f>
        <v>NE PAS UTILISER</v>
      </c>
      <c r="D14" s="1588"/>
      <c r="E14" s="776" t="s">
        <v>185</v>
      </c>
      <c r="F14" s="269">
        <f>IFERROR(IF(Flag=TRUE,K14-TBIn!E238,TBIn!D238),0)</f>
        <v>0</v>
      </c>
      <c r="G14" s="2599">
        <f>IFERROR(IF(Flag=TRUE,L14-TBIn!E1545,TBIn!D1545),0)</f>
        <v>0</v>
      </c>
      <c r="H14" s="2599">
        <f>IFERROR(IF(Flag=TRUE,M14-TBIn!E1585,TBIn!D1585),0)</f>
        <v>0</v>
      </c>
      <c r="I14" s="552">
        <f t="shared" si="0"/>
        <v>0</v>
      </c>
      <c r="J14" s="608">
        <f t="shared" si="1"/>
        <v>0</v>
      </c>
      <c r="K14" s="721">
        <f>IFERROR(TBIn!E238,0)</f>
        <v>0</v>
      </c>
      <c r="L14" s="2574">
        <f>IFERROR(TBIn!E1545,0)</f>
        <v>0</v>
      </c>
      <c r="M14" s="2574">
        <f>IFERROR(TBIn!E1585,0)</f>
        <v>0</v>
      </c>
      <c r="N14" s="555">
        <f t="shared" si="3"/>
        <v>0</v>
      </c>
      <c r="O14" s="587">
        <f t="shared" si="2"/>
        <v>0</v>
      </c>
      <c r="P14" s="80">
        <v>11</v>
      </c>
      <c r="Q14" s="644">
        <v>0</v>
      </c>
      <c r="R14" s="656">
        <f t="shared" si="4"/>
        <v>0</v>
      </c>
      <c r="S14" s="656">
        <f t="shared" si="5"/>
        <v>0</v>
      </c>
      <c r="T14" s="656">
        <f t="shared" si="6"/>
        <v>0</v>
      </c>
      <c r="U14" s="656">
        <f t="shared" si="7"/>
        <v>0</v>
      </c>
    </row>
    <row r="15" spans="1:22" s="569" customFormat="1" ht="15.75" customHeight="1">
      <c r="A15" s="80">
        <v>12</v>
      </c>
      <c r="B15" s="101" t="s">
        <v>122</v>
      </c>
      <c r="C15" s="1539" t="str">
        <f>OR_VEH!B64</f>
        <v>NE PAS UTILISER</v>
      </c>
      <c r="D15" s="1588"/>
      <c r="E15" s="776" t="s">
        <v>186</v>
      </c>
      <c r="F15" s="269">
        <f>IFERROR(IF(Flag=TRUE,K15-TBIn!E239,TBIn!D239),0)</f>
        <v>0</v>
      </c>
      <c r="G15" s="2599">
        <f>IFERROR(IF(Flag=TRUE,L15-TBIn!E1546,TBIn!D1546),0)</f>
        <v>0</v>
      </c>
      <c r="H15" s="2599">
        <f>IFERROR(IF(Flag=TRUE,M15-TBIn!E1586,TBIn!D1586),0)</f>
        <v>0</v>
      </c>
      <c r="I15" s="552">
        <f t="shared" si="0"/>
        <v>0</v>
      </c>
      <c r="J15" s="608">
        <f t="shared" si="1"/>
        <v>0</v>
      </c>
      <c r="K15" s="721">
        <f>IFERROR(TBIn!E239,0)</f>
        <v>0</v>
      </c>
      <c r="L15" s="2574">
        <f>IFERROR(TBIn!E1546,0)</f>
        <v>0</v>
      </c>
      <c r="M15" s="2574">
        <f>IFERROR(TBIn!E1586,0)</f>
        <v>0</v>
      </c>
      <c r="N15" s="555">
        <f t="shared" si="3"/>
        <v>0</v>
      </c>
      <c r="O15" s="587">
        <f t="shared" si="2"/>
        <v>0</v>
      </c>
      <c r="P15" s="80">
        <v>12</v>
      </c>
      <c r="Q15" s="644">
        <v>0</v>
      </c>
      <c r="R15" s="656">
        <f t="shared" si="4"/>
        <v>0</v>
      </c>
      <c r="S15" s="656">
        <f t="shared" si="5"/>
        <v>0</v>
      </c>
      <c r="T15" s="656">
        <f t="shared" si="6"/>
        <v>0</v>
      </c>
      <c r="U15" s="656">
        <f t="shared" si="7"/>
        <v>0</v>
      </c>
    </row>
    <row r="16" spans="1:22" s="569" customFormat="1" ht="15.75" customHeight="1">
      <c r="A16" s="80">
        <v>13</v>
      </c>
      <c r="B16" s="101" t="s">
        <v>118</v>
      </c>
      <c r="C16" s="1539" t="str">
        <f>OR_VEH!B65</f>
        <v>NE PAS UTILISER</v>
      </c>
      <c r="D16" s="1588"/>
      <c r="E16" s="776" t="s">
        <v>187</v>
      </c>
      <c r="F16" s="269">
        <f>IFERROR(IF(Flag=TRUE,K16-TBIn!E240,TBIn!D240),0)</f>
        <v>0</v>
      </c>
      <c r="G16" s="2599">
        <f>IFERROR(IF(Flag=TRUE,L16-TBIn!E1547,TBIn!D1547),0)</f>
        <v>0</v>
      </c>
      <c r="H16" s="2599">
        <f>IFERROR(IF(Flag=TRUE,M16-TBIn!E1587,TBIn!D1587),0)</f>
        <v>0</v>
      </c>
      <c r="I16" s="552">
        <f t="shared" si="0"/>
        <v>0</v>
      </c>
      <c r="J16" s="608">
        <f t="shared" si="1"/>
        <v>0</v>
      </c>
      <c r="K16" s="721">
        <f>IFERROR(TBIn!E240,0)</f>
        <v>0</v>
      </c>
      <c r="L16" s="2574">
        <f>IFERROR(TBIn!E1547,0)</f>
        <v>0</v>
      </c>
      <c r="M16" s="2574">
        <f>IFERROR(TBIn!E1587,0)</f>
        <v>0</v>
      </c>
      <c r="N16" s="555">
        <f t="shared" si="3"/>
        <v>0</v>
      </c>
      <c r="O16" s="587">
        <f t="shared" si="2"/>
        <v>0</v>
      </c>
      <c r="P16" s="80">
        <v>13</v>
      </c>
      <c r="Q16" s="644">
        <v>0</v>
      </c>
      <c r="R16" s="656">
        <f t="shared" si="4"/>
        <v>0</v>
      </c>
      <c r="S16" s="656">
        <f t="shared" si="5"/>
        <v>0</v>
      </c>
      <c r="T16" s="656">
        <f t="shared" si="6"/>
        <v>0</v>
      </c>
      <c r="U16" s="656">
        <f t="shared" si="7"/>
        <v>0</v>
      </c>
    </row>
    <row r="17" spans="1:22" s="569" customFormat="1" ht="15.75" customHeight="1">
      <c r="A17" s="80">
        <v>14</v>
      </c>
      <c r="B17" s="101" t="s">
        <v>110</v>
      </c>
      <c r="C17" s="1539" t="str">
        <f>OR_VEH!B66</f>
        <v>NE PAS UTILISER</v>
      </c>
      <c r="D17" s="1588"/>
      <c r="E17" s="776" t="s">
        <v>188</v>
      </c>
      <c r="F17" s="269">
        <f>IFERROR(IF(Flag=TRUE,K17-TBIn!E241,TBIn!D241),0)</f>
        <v>0</v>
      </c>
      <c r="G17" s="2599">
        <f>IFERROR(IF(Flag=TRUE,L17-TBIn!E1548,TBIn!D1548),0)</f>
        <v>0</v>
      </c>
      <c r="H17" s="2599">
        <f>IFERROR(IF(Flag=TRUE,M17-TBIn!E1588,TBIn!D1588),0)</f>
        <v>0</v>
      </c>
      <c r="I17" s="552">
        <f t="shared" si="0"/>
        <v>0</v>
      </c>
      <c r="J17" s="608">
        <f t="shared" si="1"/>
        <v>0</v>
      </c>
      <c r="K17" s="721">
        <f>IFERROR(TBIn!E241,0)</f>
        <v>0</v>
      </c>
      <c r="L17" s="2574">
        <f>IFERROR(TBIn!E1548,0)</f>
        <v>0</v>
      </c>
      <c r="M17" s="2574">
        <f>IFERROR(TBIn!E1588,0)</f>
        <v>0</v>
      </c>
      <c r="N17" s="555">
        <f t="shared" si="3"/>
        <v>0</v>
      </c>
      <c r="O17" s="587">
        <f t="shared" si="2"/>
        <v>0</v>
      </c>
      <c r="P17" s="80">
        <v>14</v>
      </c>
      <c r="Q17" s="644">
        <v>0</v>
      </c>
      <c r="R17" s="656">
        <f t="shared" si="4"/>
        <v>0</v>
      </c>
      <c r="S17" s="656">
        <f t="shared" si="5"/>
        <v>0</v>
      </c>
      <c r="T17" s="656">
        <f t="shared" si="6"/>
        <v>0</v>
      </c>
      <c r="U17" s="656">
        <f t="shared" si="7"/>
        <v>0</v>
      </c>
    </row>
    <row r="18" spans="1:22" s="569" customFormat="1" ht="15.75" customHeight="1">
      <c r="A18" s="80">
        <v>15</v>
      </c>
      <c r="B18" s="275" t="s">
        <v>122</v>
      </c>
      <c r="C18" s="1539" t="str">
        <f>OR_VEH!B67</f>
        <v>NE PAS UTILISER</v>
      </c>
      <c r="D18" s="1588"/>
      <c r="E18" s="776" t="s">
        <v>189</v>
      </c>
      <c r="F18" s="269">
        <f>IFERROR(IF(Flag=TRUE,K18-TBIn!E242,TBIn!D242),0)</f>
        <v>0</v>
      </c>
      <c r="G18" s="2599">
        <f>IFERROR(IF(Flag=TRUE,L18-TBIn!E1549,TBIn!D1549),0)</f>
        <v>0</v>
      </c>
      <c r="H18" s="2599">
        <f>IFERROR(IF(Flag=TRUE,M18-TBIn!E1589,TBIn!D1589),0)</f>
        <v>0</v>
      </c>
      <c r="I18" s="552">
        <f t="shared" si="0"/>
        <v>0</v>
      </c>
      <c r="J18" s="608">
        <f t="shared" si="1"/>
        <v>0</v>
      </c>
      <c r="K18" s="721">
        <f>IFERROR(TBIn!E242,0)</f>
        <v>0</v>
      </c>
      <c r="L18" s="2574">
        <f>IFERROR(TBIn!E1549,0)</f>
        <v>0</v>
      </c>
      <c r="M18" s="2574">
        <f>IFERROR(TBIn!E1589,0)</f>
        <v>0</v>
      </c>
      <c r="N18" s="555">
        <f t="shared" si="3"/>
        <v>0</v>
      </c>
      <c r="O18" s="587">
        <f t="shared" si="2"/>
        <v>0</v>
      </c>
      <c r="P18" s="80">
        <v>15</v>
      </c>
      <c r="Q18" s="644">
        <v>0</v>
      </c>
      <c r="R18" s="656">
        <f t="shared" si="4"/>
        <v>0</v>
      </c>
      <c r="S18" s="656">
        <f t="shared" si="5"/>
        <v>0</v>
      </c>
      <c r="T18" s="656">
        <f t="shared" si="6"/>
        <v>0</v>
      </c>
      <c r="U18" s="656">
        <f t="shared" si="7"/>
        <v>0</v>
      </c>
    </row>
    <row r="19" spans="1:22" s="569" customFormat="1" ht="16" customHeight="1">
      <c r="A19" s="80">
        <v>16</v>
      </c>
      <c r="B19" s="275" t="s">
        <v>124</v>
      </c>
      <c r="C19" s="1539" t="str">
        <f>OR_VEH!B68</f>
        <v>NE PAS UTILISER</v>
      </c>
      <c r="D19" s="1588"/>
      <c r="E19" s="776" t="s">
        <v>190</v>
      </c>
      <c r="F19" s="269">
        <f>IFERROR(IF(Flag=TRUE,K19-TBIn!E243,TBIn!D243),0)</f>
        <v>0</v>
      </c>
      <c r="G19" s="2599">
        <f>IFERROR(IF(Flag=TRUE,L19-TBIn!E1550,TBIn!D1550),0)</f>
        <v>0</v>
      </c>
      <c r="H19" s="2599">
        <f>IFERROR(IF(Flag=TRUE,M19-TBIn!E1590,TBIn!D1590),0)</f>
        <v>0</v>
      </c>
      <c r="I19" s="552">
        <f t="shared" si="0"/>
        <v>0</v>
      </c>
      <c r="J19" s="608">
        <f t="shared" si="1"/>
        <v>0</v>
      </c>
      <c r="K19" s="721">
        <f>IFERROR(TBIn!E243,0)</f>
        <v>0</v>
      </c>
      <c r="L19" s="2574">
        <f>IFERROR(TBIn!E1550,0)</f>
        <v>0</v>
      </c>
      <c r="M19" s="2574">
        <f>IFERROR(TBIn!E1590,0)</f>
        <v>0</v>
      </c>
      <c r="N19" s="555">
        <f t="shared" si="3"/>
        <v>0</v>
      </c>
      <c r="O19" s="587">
        <f t="shared" si="2"/>
        <v>0</v>
      </c>
      <c r="P19" s="80">
        <v>16</v>
      </c>
      <c r="Q19" s="644">
        <v>0</v>
      </c>
      <c r="R19" s="656">
        <f t="shared" si="4"/>
        <v>0</v>
      </c>
      <c r="S19" s="656">
        <f t="shared" si="5"/>
        <v>0</v>
      </c>
      <c r="T19" s="656">
        <f t="shared" si="6"/>
        <v>0</v>
      </c>
      <c r="U19" s="656">
        <f t="shared" si="7"/>
        <v>0</v>
      </c>
    </row>
    <row r="20" spans="1:22" s="569" customFormat="1" ht="16" customHeight="1">
      <c r="A20" s="80">
        <v>17</v>
      </c>
      <c r="B20" s="275"/>
      <c r="C20" s="1539" t="str">
        <f>OR_VEH!B69</f>
        <v>NE PAS UTILISER</v>
      </c>
      <c r="D20" s="1588"/>
      <c r="E20" s="776" t="s">
        <v>191</v>
      </c>
      <c r="F20" s="269">
        <f>IFERROR(IF(Flag=TRUE,K20-TBIn!E244,TBIn!D244),0)</f>
        <v>0</v>
      </c>
      <c r="G20" s="2599">
        <f>IFERROR(IF(Flag=TRUE,L20-TBIn!E1551,TBIn!D1551),0)</f>
        <v>0</v>
      </c>
      <c r="H20" s="2599">
        <f>IFERROR(IF(Flag=TRUE,M20-TBIn!E1591,TBIn!D1591),0)</f>
        <v>0</v>
      </c>
      <c r="I20" s="552">
        <f t="shared" si="0"/>
        <v>0</v>
      </c>
      <c r="J20" s="608">
        <f t="shared" si="1"/>
        <v>0</v>
      </c>
      <c r="K20" s="721">
        <f>IFERROR(TBIn!E244,0)</f>
        <v>0</v>
      </c>
      <c r="L20" s="2574">
        <f>IFERROR(TBIn!E1551,0)</f>
        <v>0</v>
      </c>
      <c r="M20" s="2574">
        <f>IFERROR(TBIn!E1591,0)</f>
        <v>0</v>
      </c>
      <c r="N20" s="555">
        <f t="shared" si="3"/>
        <v>0</v>
      </c>
      <c r="O20" s="587">
        <f t="shared" si="2"/>
        <v>0</v>
      </c>
      <c r="P20" s="80">
        <v>17</v>
      </c>
      <c r="Q20" s="644">
        <v>0</v>
      </c>
      <c r="R20" s="656">
        <f t="shared" si="4"/>
        <v>0</v>
      </c>
      <c r="S20" s="656">
        <f t="shared" si="5"/>
        <v>0</v>
      </c>
      <c r="T20" s="656">
        <f t="shared" si="6"/>
        <v>0</v>
      </c>
      <c r="U20" s="656">
        <f t="shared" si="7"/>
        <v>0</v>
      </c>
    </row>
    <row r="21" spans="1:22" s="569" customFormat="1" ht="16" customHeight="1">
      <c r="A21" s="80">
        <v>18</v>
      </c>
      <c r="B21" s="215"/>
      <c r="C21" s="1539" t="str">
        <f>OR_VEH!B70</f>
        <v>NE PAS UTILISER</v>
      </c>
      <c r="D21" s="1588"/>
      <c r="E21" s="776" t="s">
        <v>192</v>
      </c>
      <c r="F21" s="269">
        <f>IFERROR(IF(Flag=TRUE,K21-TBIn!E245,TBIn!D245),0)</f>
        <v>0</v>
      </c>
      <c r="G21" s="2599">
        <f>IFERROR(IF(Flag=TRUE,L21-TBIn!E1552,TBIn!D1552),0)</f>
        <v>0</v>
      </c>
      <c r="H21" s="2599">
        <f>IFERROR(IF(Flag=TRUE,M21-TBIn!E1592,TBIn!D1592),0)</f>
        <v>0</v>
      </c>
      <c r="I21" s="552">
        <f t="shared" si="0"/>
        <v>0</v>
      </c>
      <c r="J21" s="608">
        <f t="shared" si="1"/>
        <v>0</v>
      </c>
      <c r="K21" s="721">
        <f>IFERROR(TBIn!E245,0)</f>
        <v>0</v>
      </c>
      <c r="L21" s="2574">
        <f>IFERROR(TBIn!E1552,0)</f>
        <v>0</v>
      </c>
      <c r="M21" s="2574">
        <f>IFERROR(TBIn!E1592,0)</f>
        <v>0</v>
      </c>
      <c r="N21" s="555">
        <f t="shared" si="3"/>
        <v>0</v>
      </c>
      <c r="O21" s="587">
        <f t="shared" si="2"/>
        <v>0</v>
      </c>
      <c r="P21" s="80">
        <v>18</v>
      </c>
      <c r="Q21" s="644">
        <v>0</v>
      </c>
      <c r="R21" s="656">
        <f t="shared" si="4"/>
        <v>0</v>
      </c>
      <c r="S21" s="656">
        <f t="shared" si="5"/>
        <v>0</v>
      </c>
      <c r="T21" s="656">
        <f t="shared" si="6"/>
        <v>0</v>
      </c>
      <c r="U21" s="656">
        <f t="shared" si="7"/>
        <v>0</v>
      </c>
    </row>
    <row r="22" spans="1:22" s="569" customFormat="1" ht="16" customHeight="1">
      <c r="A22" s="80">
        <v>19</v>
      </c>
      <c r="B22" s="215"/>
      <c r="C22" s="1589" t="str">
        <f>OR_VEH!B71</f>
        <v>NE PAS UTILISER</v>
      </c>
      <c r="D22" s="1590"/>
      <c r="E22" s="777" t="s">
        <v>193</v>
      </c>
      <c r="F22" s="270">
        <f>IFERROR(IF(Flag=TRUE,K22-TBIn!E246,TBIn!D246),0)</f>
        <v>0</v>
      </c>
      <c r="G22" s="2600">
        <f>IFERROR(IF(Flag=TRUE,L22-TBIn!E1553,TBIn!D1553),0)</f>
        <v>0</v>
      </c>
      <c r="H22" s="2600">
        <f>IFERROR(IF(Flag=TRUE,M22-TBIn!E1593,TBIn!D1593),0)</f>
        <v>0</v>
      </c>
      <c r="I22" s="553">
        <f t="shared" si="0"/>
        <v>0</v>
      </c>
      <c r="J22" s="847">
        <f t="shared" si="1"/>
        <v>0</v>
      </c>
      <c r="K22" s="722">
        <f>IFERROR(TBIn!E246,0)</f>
        <v>0</v>
      </c>
      <c r="L22" s="2603">
        <f>IFERROR(TBIn!E1553,0)</f>
        <v>0</v>
      </c>
      <c r="M22" s="2603">
        <f>IFERROR(TBIn!E1593,0)</f>
        <v>0</v>
      </c>
      <c r="N22" s="556">
        <f t="shared" si="3"/>
        <v>0</v>
      </c>
      <c r="O22" s="601">
        <f t="shared" si="2"/>
        <v>0</v>
      </c>
      <c r="P22" s="80">
        <v>19</v>
      </c>
      <c r="Q22" s="644">
        <v>0</v>
      </c>
      <c r="R22" s="656">
        <f t="shared" si="4"/>
        <v>0</v>
      </c>
      <c r="S22" s="656">
        <f t="shared" si="5"/>
        <v>0</v>
      </c>
      <c r="T22" s="656">
        <f t="shared" si="6"/>
        <v>0</v>
      </c>
      <c r="U22" s="656">
        <f t="shared" si="7"/>
        <v>0</v>
      </c>
    </row>
    <row r="23" spans="1:22"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44"/>
      <c r="R23" s="656"/>
      <c r="S23" s="656"/>
      <c r="T23" s="656"/>
      <c r="U23" s="656"/>
    </row>
    <row r="24" spans="1:22" s="569" customFormat="1" ht="16" customHeight="1">
      <c r="A24" s="80">
        <v>21</v>
      </c>
      <c r="B24" s="215"/>
      <c r="C24" s="1591" t="str">
        <f>OR_VEH!B73</f>
        <v>MÉMO* VENTES INTERNET VOITURES</v>
      </c>
      <c r="D24" s="1592"/>
      <c r="E24" s="779" t="s">
        <v>194</v>
      </c>
      <c r="F24" s="269">
        <f>IFERROR(IF(Flag=TRUE,K24-TBIn!E247,TBIn!D247),0)</f>
        <v>0</v>
      </c>
      <c r="G24" s="2599">
        <f>IFERROR(IF(Flag=TRUE,L24-TBIn!$E$146,TBIn!$D$146),0)</f>
        <v>0</v>
      </c>
      <c r="H24" s="2599">
        <f>IFERROR(IF(Flag=TRUE,M24-TBIn!$E$166,TBIn!$D$166),0)</f>
        <v>0</v>
      </c>
      <c r="I24" s="552">
        <f>G24-H24</f>
        <v>0</v>
      </c>
      <c r="J24" s="608">
        <f t="shared" si="1"/>
        <v>0</v>
      </c>
      <c r="K24" s="721">
        <f>IFERROR(TBIn!E247,0)</f>
        <v>0</v>
      </c>
      <c r="L24" s="2574">
        <f>IFERROR(TBIn!$E$146,0)</f>
        <v>0</v>
      </c>
      <c r="M24" s="2574">
        <f>IFERROR(TBIn!$E$166,0)</f>
        <v>0</v>
      </c>
      <c r="N24" s="555">
        <f>L24-M24</f>
        <v>0</v>
      </c>
      <c r="O24" s="587">
        <f t="shared" si="2"/>
        <v>0</v>
      </c>
      <c r="P24" s="80">
        <v>21</v>
      </c>
      <c r="Q24" s="644">
        <v>65000</v>
      </c>
      <c r="R24" s="656">
        <f t="shared" si="4"/>
        <v>0</v>
      </c>
      <c r="S24" s="656">
        <f>IF(K24=0,0,IF(OR(L24&lt;0,L24/K24&gt;Q24),1,0))</f>
        <v>0</v>
      </c>
      <c r="T24" s="656">
        <f>IF(OR(F24&lt;0,AND(G24&gt;0,F24=0),AND(G24=0,F24&gt;0)),1,0)</f>
        <v>0</v>
      </c>
      <c r="U24" s="656">
        <f>IF(OR(K24&lt;0,AND(L24&gt;0,K24=0),AND(K24&gt;0,L24=0)),1,0)</f>
        <v>0</v>
      </c>
      <c r="V24" s="30"/>
    </row>
    <row r="25" spans="1:22" s="569" customFormat="1" ht="22" customHeight="1">
      <c r="A25" s="80">
        <v>22</v>
      </c>
      <c r="B25" s="101"/>
      <c r="C25" s="1594" t="str">
        <f>OR_VEH!B74</f>
        <v>TOTAL PARCS - VOITURES</v>
      </c>
      <c r="D25" s="1595"/>
      <c r="E25" s="2525" t="s">
        <v>139</v>
      </c>
      <c r="F25" s="269">
        <f>IFERROR(IF(Flag=TRUE,K25-TBIn!E248,TBIn!D248),0)</f>
        <v>0</v>
      </c>
      <c r="G25" s="2599">
        <f>IFERROR(IF(Flag=TRUE,L25-TBIn!E1554,TBIn!D1554),0)</f>
        <v>0</v>
      </c>
      <c r="H25" s="2599">
        <f>IFERROR(IF(Flag=TRUE,M25-TBIn!E1594,TBIn!D1594),0)</f>
        <v>0</v>
      </c>
      <c r="I25" s="552">
        <f>G25-H25</f>
        <v>0</v>
      </c>
      <c r="J25" s="608">
        <f t="shared" si="1"/>
        <v>0</v>
      </c>
      <c r="K25" s="721">
        <f>IFERROR(TBIn!E248,0)</f>
        <v>0</v>
      </c>
      <c r="L25" s="2574">
        <f>IFERROR(TBIn!E1554,0)</f>
        <v>0</v>
      </c>
      <c r="M25" s="2574">
        <f>IFERROR(TBIn!E1594,0)</f>
        <v>0</v>
      </c>
      <c r="N25" s="2679">
        <f>L25-M25</f>
        <v>0</v>
      </c>
      <c r="O25" s="587">
        <f t="shared" si="2"/>
        <v>0</v>
      </c>
      <c r="P25" s="80">
        <v>22</v>
      </c>
      <c r="Q25" s="644">
        <v>55000</v>
      </c>
      <c r="R25" s="656">
        <f t="shared" si="4"/>
        <v>0</v>
      </c>
      <c r="S25" s="656">
        <f>IF(K25=0,0,IF(OR(L25&lt;0,L25/K25&gt;Q25),1,0))</f>
        <v>0</v>
      </c>
      <c r="T25" s="656">
        <f>IF(OR(F25&lt;0,AND(G25&gt;0,F25=0),AND(G25=0,F25&gt;0)),1,0)</f>
        <v>0</v>
      </c>
      <c r="U25" s="656">
        <f>IF(OR(K25&lt;0,AND(L25&gt;0,K25=0),AND(K25&gt;0,L25=0)),1,0)</f>
        <v>0</v>
      </c>
      <c r="V25" s="37"/>
    </row>
    <row r="26" spans="1:22" s="569" customFormat="1" ht="16" customHeight="1">
      <c r="A26" s="80">
        <v>23</v>
      </c>
      <c r="B26" s="215"/>
      <c r="C26" s="1596" t="str">
        <f>OR_VEH!B75</f>
        <v>TOTAL INTERNE - VOITURES</v>
      </c>
      <c r="D26" s="1597"/>
      <c r="E26" s="780" t="s">
        <v>195</v>
      </c>
      <c r="F26" s="269">
        <f>IFERROR(IF(Flag=TRUE,K26-TBIn!E249,TBIn!D249),0)</f>
        <v>0</v>
      </c>
      <c r="G26" s="2599">
        <f>IFERROR(IF(Flag=TRUE,L26-TBIn!E1555,TBIn!D1555),0)</f>
        <v>0</v>
      </c>
      <c r="H26" s="2599">
        <f>IFERROR(IF(Flag=TRUE,M26-TBIn!E1595,TBIn!D1595),0)</f>
        <v>0</v>
      </c>
      <c r="I26" s="552">
        <f>G26-H26</f>
        <v>0</v>
      </c>
      <c r="J26" s="608">
        <f t="shared" si="1"/>
        <v>0</v>
      </c>
      <c r="K26" s="721">
        <f>IFERROR(TBIn!E249,0)</f>
        <v>0</v>
      </c>
      <c r="L26" s="2574">
        <f>IFERROR(TBIn!E1555,0)</f>
        <v>0</v>
      </c>
      <c r="M26" s="2574">
        <f>IFERROR(TBIn!E1595,0)</f>
        <v>0</v>
      </c>
      <c r="N26" s="555">
        <f>L26-M26</f>
        <v>0</v>
      </c>
      <c r="O26" s="587">
        <f t="shared" si="2"/>
        <v>0</v>
      </c>
      <c r="P26" s="80">
        <v>23</v>
      </c>
      <c r="Q26" s="644">
        <v>55000</v>
      </c>
      <c r="R26" s="656">
        <f t="shared" si="4"/>
        <v>0</v>
      </c>
      <c r="S26" s="656">
        <f>IF(K26=0,0,IF(OR(L26&lt;0,L26/K26&gt;Q26),1,0))</f>
        <v>0</v>
      </c>
      <c r="T26" s="656">
        <f>IF(OR(F26&lt;0,AND(G26&gt;0,F26=0),AND(G26=0,F26&gt;0)),1,0)</f>
        <v>0</v>
      </c>
      <c r="U26" s="656">
        <f>IF(OR(K26&lt;0,AND(L26&gt;0,K26=0),AND(K26&gt;0,L26=0)),1,0)</f>
        <v>0</v>
      </c>
    </row>
    <row r="27" spans="1:22"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44"/>
      <c r="R27" s="656"/>
      <c r="S27" s="656"/>
      <c r="T27" s="656"/>
      <c r="U27" s="656"/>
    </row>
    <row r="28" spans="1:22" s="569" customFormat="1" ht="16" customHeight="1">
      <c r="A28" s="80">
        <v>25</v>
      </c>
      <c r="B28" s="207"/>
      <c r="C28" s="1601" t="str">
        <f>OR_VEH!B77</f>
        <v>BOLT EUV</v>
      </c>
      <c r="D28" s="1599"/>
      <c r="E28" s="779" t="s">
        <v>196</v>
      </c>
      <c r="F28" s="180">
        <f>IFERROR(IF(Flag=TRUE,K28-TBIn!E250,TBIn!D250),0)</f>
        <v>0</v>
      </c>
      <c r="G28" s="2601">
        <f>IFERROR(IF(Flag=TRUE,L28-TBIn!E1556,TBIn!D1556),0)</f>
        <v>0</v>
      </c>
      <c r="H28" s="2601">
        <f>IFERROR(IF(Flag=TRUE,M28-TBIn!E1596,TBIn!D1596),0)</f>
        <v>0</v>
      </c>
      <c r="I28" s="557">
        <f t="shared" ref="I28:I43" si="8">G28-H28</f>
        <v>0</v>
      </c>
      <c r="J28" s="271">
        <f t="shared" si="1"/>
        <v>0</v>
      </c>
      <c r="K28" s="723">
        <f>IFERROR(TBIn!E250,0)</f>
        <v>0</v>
      </c>
      <c r="L28" s="2604">
        <f>IFERROR(TBIn!E1556,0)</f>
        <v>0</v>
      </c>
      <c r="M28" s="2604">
        <f>IFERROR(TBIn!E1596,0)</f>
        <v>0</v>
      </c>
      <c r="N28" s="326">
        <f t="shared" ref="N28:N43" si="9">L28-M28</f>
        <v>0</v>
      </c>
      <c r="O28" s="272">
        <f t="shared" si="2"/>
        <v>0</v>
      </c>
      <c r="P28" s="80">
        <v>25</v>
      </c>
      <c r="Q28" s="644">
        <v>45000</v>
      </c>
      <c r="R28" s="656">
        <f t="shared" si="4"/>
        <v>0</v>
      </c>
      <c r="S28" s="656">
        <f t="shared" ref="S28:S43" si="10">IF(K28=0,0,IF(OR(L28&lt;0,L28/K28&gt;Q28),1,0))</f>
        <v>0</v>
      </c>
      <c r="T28" s="656">
        <f t="shared" ref="T28:T43" si="11">IF(OR(F28&lt;0,AND(G28&gt;0,F28=0),AND(G28=0,F28&gt;0)),1,0)</f>
        <v>0</v>
      </c>
      <c r="U28" s="656">
        <f t="shared" ref="U28:U43" si="12">IF(OR(K28&lt;0,AND(L28&gt;0,K28=0),AND(K28&gt;0,L28=0)),1,0)</f>
        <v>0</v>
      </c>
    </row>
    <row r="29" spans="1:22" s="569" customFormat="1" ht="16" customHeight="1">
      <c r="A29" s="80">
        <v>26</v>
      </c>
      <c r="B29" s="275" t="s">
        <v>143</v>
      </c>
      <c r="C29" s="1539" t="str">
        <f>OR_VEH!B78</f>
        <v>BOLT EV</v>
      </c>
      <c r="D29" s="1588"/>
      <c r="E29" s="779" t="s">
        <v>197</v>
      </c>
      <c r="F29" s="269">
        <f>IFERROR(IF(Flag=TRUE,K29-TBIn!E251,TBIn!D251),0)</f>
        <v>0</v>
      </c>
      <c r="G29" s="2599">
        <f>IFERROR(IF(Flag=TRUE,L29-TBIn!E1557,TBIn!D1557),0)</f>
        <v>0</v>
      </c>
      <c r="H29" s="2601">
        <f>IFERROR(IF(Flag=TRUE,M29-TBIn!E1597,TBIn!D1597),0)</f>
        <v>0</v>
      </c>
      <c r="I29" s="557">
        <f t="shared" si="8"/>
        <v>0</v>
      </c>
      <c r="J29" s="608">
        <f t="shared" si="1"/>
        <v>0</v>
      </c>
      <c r="K29" s="721">
        <f>IFERROR(TBIn!E251,0)</f>
        <v>0</v>
      </c>
      <c r="L29" s="2574">
        <f>IFERROR(TBIn!E1557,0)</f>
        <v>0</v>
      </c>
      <c r="M29" s="2604">
        <f>IFERROR(TBIn!E1597,0)</f>
        <v>0</v>
      </c>
      <c r="N29" s="326">
        <f t="shared" si="9"/>
        <v>0</v>
      </c>
      <c r="O29" s="587">
        <f t="shared" si="2"/>
        <v>0</v>
      </c>
      <c r="P29" s="80">
        <v>26</v>
      </c>
      <c r="Q29" s="644">
        <v>55000</v>
      </c>
      <c r="R29" s="656">
        <f t="shared" si="4"/>
        <v>0</v>
      </c>
      <c r="S29" s="656">
        <f t="shared" si="10"/>
        <v>0</v>
      </c>
      <c r="T29" s="656">
        <f t="shared" si="11"/>
        <v>0</v>
      </c>
      <c r="U29" s="656">
        <f t="shared" si="12"/>
        <v>0</v>
      </c>
    </row>
    <row r="30" spans="1:22" s="569" customFormat="1" ht="16" customHeight="1">
      <c r="A30" s="80">
        <v>27</v>
      </c>
      <c r="B30" s="275" t="s">
        <v>145</v>
      </c>
      <c r="C30" s="1600" t="str">
        <f>OR_VEH!B79</f>
        <v>BLAZER EV</v>
      </c>
      <c r="D30" s="1588"/>
      <c r="E30" s="779" t="s">
        <v>198</v>
      </c>
      <c r="F30" s="269">
        <f>IFERROR(IF(Flag=TRUE,K30-TBIn!E252,TBIn!D252),0)</f>
        <v>0</v>
      </c>
      <c r="G30" s="2599">
        <f>IFERROR(IF(Flag=TRUE,L30-TBIn!E1558,TBIn!D1558),0)</f>
        <v>0</v>
      </c>
      <c r="H30" s="2601">
        <f>IFERROR(IF(Flag=TRUE,M30-TBIn!E1598,TBIn!D1598),0)</f>
        <v>0</v>
      </c>
      <c r="I30" s="557">
        <f t="shared" si="8"/>
        <v>0</v>
      </c>
      <c r="J30" s="608">
        <f t="shared" si="1"/>
        <v>0</v>
      </c>
      <c r="K30" s="721">
        <f>IFERROR(TBIn!E252,0)</f>
        <v>1</v>
      </c>
      <c r="L30" s="2574">
        <f>IFERROR(TBIn!E1558,0)</f>
        <v>64477</v>
      </c>
      <c r="M30" s="2604">
        <f>IFERROR(TBIn!E1598,0)</f>
        <v>63331</v>
      </c>
      <c r="N30" s="326">
        <f t="shared" si="9"/>
        <v>1146</v>
      </c>
      <c r="O30" s="587">
        <f t="shared" si="2"/>
        <v>1146</v>
      </c>
      <c r="P30" s="80">
        <v>27</v>
      </c>
      <c r="Q30" s="644">
        <v>55000</v>
      </c>
      <c r="R30" s="656">
        <f t="shared" si="4"/>
        <v>0</v>
      </c>
      <c r="S30" s="656">
        <f t="shared" si="10"/>
        <v>1</v>
      </c>
      <c r="T30" s="656">
        <f t="shared" si="11"/>
        <v>0</v>
      </c>
      <c r="U30" s="656">
        <f t="shared" si="12"/>
        <v>0</v>
      </c>
    </row>
    <row r="31" spans="1:22" s="569" customFormat="1" ht="16" customHeight="1">
      <c r="A31" s="80">
        <v>28</v>
      </c>
      <c r="B31" s="275" t="s">
        <v>147</v>
      </c>
      <c r="C31" s="1600" t="str">
        <f>OR_VEH!B80</f>
        <v>EQUINOX EV</v>
      </c>
      <c r="D31" s="1588"/>
      <c r="E31" s="779" t="s">
        <v>199</v>
      </c>
      <c r="F31" s="269">
        <f>IFERROR(IF(Flag=TRUE,K31-TBIn!E253,TBIn!D253),0)</f>
        <v>3</v>
      </c>
      <c r="G31" s="2599">
        <f>IFERROR(IF(Flag=TRUE,L31-TBIn!E1559,TBIn!D1559),0)</f>
        <v>166774</v>
      </c>
      <c r="H31" s="2601">
        <f>IFERROR(IF(Flag=TRUE,M31-TBIn!E1599,TBIn!D1599),0)</f>
        <v>160948</v>
      </c>
      <c r="I31" s="557">
        <f t="shared" si="8"/>
        <v>5826</v>
      </c>
      <c r="J31" s="608">
        <f t="shared" si="1"/>
        <v>1942</v>
      </c>
      <c r="K31" s="721">
        <f>IFERROR(TBIn!E253,0)</f>
        <v>7</v>
      </c>
      <c r="L31" s="2574">
        <f>IFERROR(TBIn!E1559,0)</f>
        <v>390030</v>
      </c>
      <c r="M31" s="2604">
        <f>IFERROR(TBIn!E1599,0)</f>
        <v>380552</v>
      </c>
      <c r="N31" s="326">
        <f t="shared" si="9"/>
        <v>9478</v>
      </c>
      <c r="O31" s="587">
        <f t="shared" si="2"/>
        <v>1354</v>
      </c>
      <c r="P31" s="80">
        <v>28</v>
      </c>
      <c r="Q31" s="644">
        <v>40000</v>
      </c>
      <c r="R31" s="656">
        <f t="shared" si="4"/>
        <v>1</v>
      </c>
      <c r="S31" s="656">
        <f t="shared" si="10"/>
        <v>1</v>
      </c>
      <c r="T31" s="656">
        <f t="shared" si="11"/>
        <v>0</v>
      </c>
      <c r="U31" s="656">
        <f t="shared" si="12"/>
        <v>0</v>
      </c>
    </row>
    <row r="32" spans="1:22" s="569" customFormat="1" ht="16" customHeight="1">
      <c r="A32" s="80">
        <v>29</v>
      </c>
      <c r="B32" s="275" t="s">
        <v>114</v>
      </c>
      <c r="C32" s="1600" t="str">
        <f>OR_VEH!B81</f>
        <v>SILVERADO EV</v>
      </c>
      <c r="D32" s="1588"/>
      <c r="E32" s="779" t="s">
        <v>200</v>
      </c>
      <c r="F32" s="269">
        <f>IFERROR(IF(Flag=TRUE,K32-TBIn!E254,TBIn!D254),0)</f>
        <v>0</v>
      </c>
      <c r="G32" s="2599">
        <f>IFERROR(IF(Flag=TRUE,L32-TBIn!E1560,TBIn!D1560),0)</f>
        <v>0</v>
      </c>
      <c r="H32" s="2601">
        <f>IFERROR(IF(Flag=TRUE,M32-TBIn!E1600,TBIn!D1600),0)</f>
        <v>746</v>
      </c>
      <c r="I32" s="557">
        <f t="shared" si="8"/>
        <v>-746</v>
      </c>
      <c r="J32" s="608">
        <f t="shared" si="1"/>
        <v>0</v>
      </c>
      <c r="K32" s="721">
        <f>IFERROR(TBIn!E254,0)</f>
        <v>3</v>
      </c>
      <c r="L32" s="2574">
        <f>IFERROR(TBIn!E1560,0)</f>
        <v>288896</v>
      </c>
      <c r="M32" s="2604">
        <f>IFERROR(TBIn!E1600,0)</f>
        <v>277091</v>
      </c>
      <c r="N32" s="326">
        <f t="shared" si="9"/>
        <v>11805</v>
      </c>
      <c r="O32" s="587">
        <f t="shared" si="2"/>
        <v>3935</v>
      </c>
      <c r="P32" s="80">
        <v>29</v>
      </c>
      <c r="Q32" s="644">
        <v>55000</v>
      </c>
      <c r="R32" s="656">
        <f t="shared" si="4"/>
        <v>0</v>
      </c>
      <c r="S32" s="656">
        <f t="shared" si="10"/>
        <v>1</v>
      </c>
      <c r="T32" s="656">
        <f t="shared" si="11"/>
        <v>0</v>
      </c>
      <c r="U32" s="656">
        <f t="shared" si="12"/>
        <v>0</v>
      </c>
    </row>
    <row r="33" spans="1:22" s="569" customFormat="1" ht="16" customHeight="1">
      <c r="A33" s="80">
        <v>30</v>
      </c>
      <c r="B33" s="101" t="s">
        <v>112</v>
      </c>
      <c r="C33" s="1600" t="str">
        <f>OR_VEH!B82</f>
        <v>ZEVO 400 AWD</v>
      </c>
      <c r="D33" s="1588"/>
      <c r="E33" s="779" t="s">
        <v>201</v>
      </c>
      <c r="F33" s="269">
        <f>IFERROR(IF(Flag=TRUE,K33-TBIn!E255,TBIn!D255),0)</f>
        <v>0</v>
      </c>
      <c r="G33" s="2599">
        <f>IFERROR(IF(Flag=TRUE,L33-TBIn!E1561,TBIn!D1561),0)</f>
        <v>0</v>
      </c>
      <c r="H33" s="2601">
        <f>IFERROR(IF(Flag=TRUE,M33-TBIn!E1601,TBIn!D1601),0)</f>
        <v>0</v>
      </c>
      <c r="I33" s="557">
        <f t="shared" si="8"/>
        <v>0</v>
      </c>
      <c r="J33" s="608">
        <f t="shared" si="1"/>
        <v>0</v>
      </c>
      <c r="K33" s="721">
        <f>IFERROR(TBIn!E255,0)</f>
        <v>0</v>
      </c>
      <c r="L33" s="2574">
        <f>IFERROR(TBIn!E1561,0)</f>
        <v>0</v>
      </c>
      <c r="M33" s="2604">
        <f>IFERROR(TBIn!E1601,0)</f>
        <v>0</v>
      </c>
      <c r="N33" s="326">
        <f t="shared" si="9"/>
        <v>0</v>
      </c>
      <c r="O33" s="587">
        <f t="shared" si="2"/>
        <v>0</v>
      </c>
      <c r="P33" s="80">
        <v>30</v>
      </c>
      <c r="Q33" s="644">
        <v>65000</v>
      </c>
      <c r="R33" s="656">
        <f t="shared" si="4"/>
        <v>0</v>
      </c>
      <c r="S33" s="656">
        <f t="shared" si="10"/>
        <v>0</v>
      </c>
      <c r="T33" s="656">
        <f t="shared" si="11"/>
        <v>0</v>
      </c>
      <c r="U33" s="656">
        <f t="shared" si="12"/>
        <v>0</v>
      </c>
    </row>
    <row r="34" spans="1:22" s="569" customFormat="1" ht="16" customHeight="1">
      <c r="A34" s="80">
        <v>31</v>
      </c>
      <c r="B34" s="101" t="s">
        <v>127</v>
      </c>
      <c r="C34" s="1600" t="str">
        <f>OR_VEH!B83</f>
        <v>ZEVO 600 AWD</v>
      </c>
      <c r="D34" s="1588"/>
      <c r="E34" s="779" t="s">
        <v>202</v>
      </c>
      <c r="F34" s="269">
        <f>IFERROR(IF(Flag=TRUE,K34-TBIn!E256,TBIn!D256),0)</f>
        <v>0</v>
      </c>
      <c r="G34" s="2599">
        <f>IFERROR(IF(Flag=TRUE,L34-TBIn!E1562,TBIn!D1562),0)</f>
        <v>0</v>
      </c>
      <c r="H34" s="2601">
        <f>IFERROR(IF(Flag=TRUE,M34-TBIn!E1602,TBIn!D1602),0)</f>
        <v>0</v>
      </c>
      <c r="I34" s="557">
        <f t="shared" si="8"/>
        <v>0</v>
      </c>
      <c r="J34" s="608">
        <f t="shared" si="1"/>
        <v>0</v>
      </c>
      <c r="K34" s="721">
        <f>IFERROR(TBIn!E256,0)</f>
        <v>0</v>
      </c>
      <c r="L34" s="2574">
        <f>IFERROR(TBIn!E1562,0)</f>
        <v>0</v>
      </c>
      <c r="M34" s="2604">
        <f>IFERROR(TBIn!E1602,0)</f>
        <v>0</v>
      </c>
      <c r="N34" s="326">
        <f t="shared" si="9"/>
        <v>0</v>
      </c>
      <c r="O34" s="587">
        <f t="shared" si="2"/>
        <v>0</v>
      </c>
      <c r="P34" s="80">
        <v>31</v>
      </c>
      <c r="Q34" s="644">
        <v>45000</v>
      </c>
      <c r="R34" s="656">
        <f t="shared" si="4"/>
        <v>0</v>
      </c>
      <c r="S34" s="656">
        <f t="shared" si="10"/>
        <v>0</v>
      </c>
      <c r="T34" s="656">
        <f t="shared" si="11"/>
        <v>0</v>
      </c>
      <c r="U34" s="656">
        <f t="shared" si="12"/>
        <v>0</v>
      </c>
    </row>
    <row r="35" spans="1:22" s="569" customFormat="1" ht="16" customHeight="1">
      <c r="A35" s="80">
        <v>32</v>
      </c>
      <c r="B35" s="101" t="s">
        <v>124</v>
      </c>
      <c r="C35" s="1600" t="str">
        <f>OR_VEH!B84</f>
        <v>NE PAS UTILISER</v>
      </c>
      <c r="D35" s="1588"/>
      <c r="E35" s="779" t="s">
        <v>203</v>
      </c>
      <c r="F35" s="269">
        <f>IFERROR(IF(Flag=TRUE,K35-TBIn!E257,TBIn!D257),0)</f>
        <v>0</v>
      </c>
      <c r="G35" s="2599">
        <f>IFERROR(IF(Flag=TRUE,L35-TBIn!E1563,TBIn!D1563),0)</f>
        <v>0</v>
      </c>
      <c r="H35" s="2601">
        <f>IFERROR(IF(Flag=TRUE,M35-TBIn!E1603,TBIn!D1603),0)</f>
        <v>0</v>
      </c>
      <c r="I35" s="557">
        <f t="shared" si="8"/>
        <v>0</v>
      </c>
      <c r="J35" s="608">
        <f t="shared" si="1"/>
        <v>0</v>
      </c>
      <c r="K35" s="721">
        <f>IFERROR(TBIn!E257,0)</f>
        <v>0</v>
      </c>
      <c r="L35" s="2574">
        <f>IFERROR(TBIn!E1563,0)</f>
        <v>0</v>
      </c>
      <c r="M35" s="2604">
        <f>IFERROR(TBIn!E1603,0)</f>
        <v>0</v>
      </c>
      <c r="N35" s="326">
        <f t="shared" si="9"/>
        <v>0</v>
      </c>
      <c r="O35" s="587">
        <f t="shared" si="2"/>
        <v>0</v>
      </c>
      <c r="P35" s="80">
        <v>32</v>
      </c>
      <c r="Q35" s="644">
        <v>50000</v>
      </c>
      <c r="R35" s="656">
        <f t="shared" si="4"/>
        <v>0</v>
      </c>
      <c r="S35" s="656">
        <f t="shared" si="10"/>
        <v>0</v>
      </c>
      <c r="T35" s="656">
        <f t="shared" si="11"/>
        <v>0</v>
      </c>
      <c r="U35" s="656">
        <f t="shared" si="12"/>
        <v>0</v>
      </c>
    </row>
    <row r="36" spans="1:22" s="569" customFormat="1" ht="16" customHeight="1">
      <c r="A36" s="80">
        <v>33</v>
      </c>
      <c r="B36" s="101"/>
      <c r="C36" s="1600" t="str">
        <f>OR_VEH!B85</f>
        <v>NE PAS UTILISER</v>
      </c>
      <c r="D36" s="1588"/>
      <c r="E36" s="779" t="s">
        <v>204</v>
      </c>
      <c r="F36" s="269">
        <f>IFERROR(IF(Flag=TRUE,K36-TBIn!E258,TBIn!D258),0)</f>
        <v>0</v>
      </c>
      <c r="G36" s="2599">
        <f>IFERROR(IF(Flag=TRUE,L36-TBIn!E1564,TBIn!D1564),0)</f>
        <v>0</v>
      </c>
      <c r="H36" s="2601">
        <f>IFERROR(IF(Flag=TRUE,M36-TBIn!E1604,TBIn!D1604),0)</f>
        <v>0</v>
      </c>
      <c r="I36" s="557">
        <f t="shared" si="8"/>
        <v>0</v>
      </c>
      <c r="J36" s="608">
        <f t="shared" si="1"/>
        <v>0</v>
      </c>
      <c r="K36" s="721">
        <f>IFERROR(TBIn!E258,0)</f>
        <v>0</v>
      </c>
      <c r="L36" s="2574">
        <f>IFERROR(TBIn!E1564,0)</f>
        <v>0</v>
      </c>
      <c r="M36" s="2604">
        <f>IFERROR(TBIn!E1604,0)</f>
        <v>0</v>
      </c>
      <c r="N36" s="326">
        <f t="shared" si="9"/>
        <v>0</v>
      </c>
      <c r="O36" s="587">
        <f t="shared" si="2"/>
        <v>0</v>
      </c>
      <c r="P36" s="80">
        <v>33</v>
      </c>
      <c r="Q36" s="644">
        <v>50000</v>
      </c>
      <c r="R36" s="656">
        <f t="shared" si="4"/>
        <v>0</v>
      </c>
      <c r="S36" s="656">
        <f t="shared" si="10"/>
        <v>0</v>
      </c>
      <c r="T36" s="656">
        <f t="shared" si="11"/>
        <v>0</v>
      </c>
      <c r="U36" s="656">
        <f t="shared" si="12"/>
        <v>0</v>
      </c>
    </row>
    <row r="37" spans="1:22" s="569" customFormat="1" ht="16" customHeight="1">
      <c r="A37" s="80">
        <v>34</v>
      </c>
      <c r="B37" s="101" t="s">
        <v>127</v>
      </c>
      <c r="C37" s="1600" t="str">
        <f>OR_VEH!B86</f>
        <v>NE PAS UTILISER</v>
      </c>
      <c r="D37" s="1588"/>
      <c r="E37" s="779" t="s">
        <v>205</v>
      </c>
      <c r="F37" s="269">
        <f>IFERROR(IF(Flag=TRUE,K37-TBIn!E259,TBIn!D259),0)</f>
        <v>0</v>
      </c>
      <c r="G37" s="2599">
        <f>IFERROR(IF(Flag=TRUE,L37-TBIn!E1565,TBIn!D1565),0)</f>
        <v>0</v>
      </c>
      <c r="H37" s="2601">
        <f>IFERROR(IF(Flag=TRUE,M37-TBIn!E1605,TBIn!D1605),0)</f>
        <v>0</v>
      </c>
      <c r="I37" s="557">
        <f t="shared" si="8"/>
        <v>0</v>
      </c>
      <c r="J37" s="608">
        <f t="shared" si="1"/>
        <v>0</v>
      </c>
      <c r="K37" s="721">
        <f>IFERROR(TBIn!E259,0)</f>
        <v>0</v>
      </c>
      <c r="L37" s="2574">
        <f>IFERROR(TBIn!E1565,0)</f>
        <v>0</v>
      </c>
      <c r="M37" s="2604">
        <f>IFERROR(TBIn!E1605,0)</f>
        <v>0</v>
      </c>
      <c r="N37" s="326">
        <f t="shared" si="9"/>
        <v>0</v>
      </c>
      <c r="O37" s="587">
        <f t="shared" si="2"/>
        <v>0</v>
      </c>
      <c r="P37" s="80">
        <v>34</v>
      </c>
      <c r="Q37" s="644">
        <v>45000</v>
      </c>
      <c r="R37" s="656">
        <f t="shared" si="4"/>
        <v>0</v>
      </c>
      <c r="S37" s="656">
        <f t="shared" si="10"/>
        <v>0</v>
      </c>
      <c r="T37" s="656">
        <f t="shared" si="11"/>
        <v>0</v>
      </c>
      <c r="U37" s="656">
        <f t="shared" si="12"/>
        <v>0</v>
      </c>
    </row>
    <row r="38" spans="1:22" s="569" customFormat="1" ht="16" customHeight="1">
      <c r="A38" s="80">
        <v>35</v>
      </c>
      <c r="B38" s="101" t="s">
        <v>122</v>
      </c>
      <c r="C38" s="1600" t="str">
        <f>OR_VEH!B87</f>
        <v>NE PAS UTILISER</v>
      </c>
      <c r="D38" s="1588"/>
      <c r="E38" s="779" t="s">
        <v>206</v>
      </c>
      <c r="F38" s="269">
        <f>IFERROR(IF(Flag=TRUE,K38-TBIn!E260,TBIn!D260),0)</f>
        <v>0</v>
      </c>
      <c r="G38" s="2599">
        <f>IFERROR(IF(Flag=TRUE,L38-TBIn!E1566,TBIn!D1566),0)</f>
        <v>0</v>
      </c>
      <c r="H38" s="2601">
        <f>IFERROR(IF(Flag=TRUE,M38-TBIn!E1606,TBIn!D1606),0)</f>
        <v>0</v>
      </c>
      <c r="I38" s="557">
        <f t="shared" si="8"/>
        <v>0</v>
      </c>
      <c r="J38" s="608">
        <f t="shared" si="1"/>
        <v>0</v>
      </c>
      <c r="K38" s="721">
        <f>IFERROR(TBIn!E260,0)</f>
        <v>0</v>
      </c>
      <c r="L38" s="2574">
        <f>IFERROR(TBIn!E1566,0)</f>
        <v>0</v>
      </c>
      <c r="M38" s="2604">
        <f>IFERROR(TBIn!E1606,0)</f>
        <v>0</v>
      </c>
      <c r="N38" s="326">
        <f t="shared" si="9"/>
        <v>0</v>
      </c>
      <c r="O38" s="587">
        <f t="shared" si="2"/>
        <v>0</v>
      </c>
      <c r="P38" s="80">
        <v>35</v>
      </c>
      <c r="Q38" s="644">
        <v>45000</v>
      </c>
      <c r="R38" s="656">
        <f t="shared" si="4"/>
        <v>0</v>
      </c>
      <c r="S38" s="656">
        <f t="shared" si="10"/>
        <v>0</v>
      </c>
      <c r="T38" s="656">
        <f t="shared" si="11"/>
        <v>0</v>
      </c>
      <c r="U38" s="656">
        <f t="shared" si="12"/>
        <v>0</v>
      </c>
      <c r="V38" s="30"/>
    </row>
    <row r="39" spans="1:22" s="569" customFormat="1" ht="16" customHeight="1">
      <c r="A39" s="80">
        <v>36</v>
      </c>
      <c r="B39" s="101" t="s">
        <v>118</v>
      </c>
      <c r="C39" s="1539" t="str">
        <f>OR_VEH!B88</f>
        <v>NE PAS UTILISER</v>
      </c>
      <c r="D39" s="1588"/>
      <c r="E39" s="779" t="s">
        <v>207</v>
      </c>
      <c r="F39" s="269">
        <f>IFERROR(IF(Flag=TRUE,K39-TBIn!E261,TBIn!D261),0)</f>
        <v>0</v>
      </c>
      <c r="G39" s="2599">
        <f>IFERROR(IF(Flag=TRUE,L39-TBIn!E1567,TBIn!D1567),0)</f>
        <v>0</v>
      </c>
      <c r="H39" s="2601">
        <f>IFERROR(IF(Flag=TRUE,M39-TBIn!E1607,TBIn!D1607),0)</f>
        <v>0</v>
      </c>
      <c r="I39" s="557">
        <f t="shared" si="8"/>
        <v>0</v>
      </c>
      <c r="J39" s="608">
        <f t="shared" si="1"/>
        <v>0</v>
      </c>
      <c r="K39" s="721">
        <f>IFERROR(TBIn!E261,0)</f>
        <v>0</v>
      </c>
      <c r="L39" s="2574">
        <f>IFERROR(TBIn!E1567,0)</f>
        <v>0</v>
      </c>
      <c r="M39" s="2604">
        <f>IFERROR(TBIn!E1607,0)</f>
        <v>0</v>
      </c>
      <c r="N39" s="326">
        <f t="shared" si="9"/>
        <v>0</v>
      </c>
      <c r="O39" s="587">
        <f t="shared" si="2"/>
        <v>0</v>
      </c>
      <c r="P39" s="80">
        <v>36</v>
      </c>
      <c r="Q39" s="644">
        <v>40000</v>
      </c>
      <c r="R39" s="656">
        <f t="shared" si="4"/>
        <v>0</v>
      </c>
      <c r="S39" s="656">
        <f t="shared" si="10"/>
        <v>0</v>
      </c>
      <c r="T39" s="656">
        <f t="shared" si="11"/>
        <v>0</v>
      </c>
      <c r="U39" s="656">
        <f t="shared" si="12"/>
        <v>0</v>
      </c>
      <c r="V39" s="37"/>
    </row>
    <row r="40" spans="1:22" s="569" customFormat="1" ht="16" customHeight="1">
      <c r="A40" s="80">
        <v>37</v>
      </c>
      <c r="B40" s="101" t="s">
        <v>157</v>
      </c>
      <c r="C40" s="1600" t="str">
        <f>OR_VEH!B89</f>
        <v>NE PAS UTILISER</v>
      </c>
      <c r="D40" s="1588"/>
      <c r="E40" s="779" t="s">
        <v>208</v>
      </c>
      <c r="F40" s="269">
        <f>IFERROR(IF(Flag=TRUE,K40-TBIn!E262,TBIn!D262),0)</f>
        <v>0</v>
      </c>
      <c r="G40" s="2599">
        <f>IFERROR(IF(Flag=TRUE,L40-TBIn!E1568,TBIn!D1568),0)</f>
        <v>0</v>
      </c>
      <c r="H40" s="2601">
        <f>IFERROR(IF(Flag=TRUE,M40-TBIn!E1608,TBIn!D1608),0)</f>
        <v>0</v>
      </c>
      <c r="I40" s="557">
        <f t="shared" si="8"/>
        <v>0</v>
      </c>
      <c r="J40" s="608">
        <f t="shared" si="1"/>
        <v>0</v>
      </c>
      <c r="K40" s="721">
        <f>IFERROR(TBIn!E262,0)</f>
        <v>0</v>
      </c>
      <c r="L40" s="2574">
        <f>IFERROR(TBIn!E1568,0)</f>
        <v>0</v>
      </c>
      <c r="M40" s="2604">
        <f>IFERROR(TBIn!E1608,0)</f>
        <v>0</v>
      </c>
      <c r="N40" s="326">
        <f t="shared" si="9"/>
        <v>0</v>
      </c>
      <c r="O40" s="587">
        <f t="shared" si="2"/>
        <v>0</v>
      </c>
      <c r="P40" s="80">
        <v>37</v>
      </c>
      <c r="Q40" s="644">
        <v>50000</v>
      </c>
      <c r="R40" s="656">
        <f t="shared" si="4"/>
        <v>0</v>
      </c>
      <c r="S40" s="656">
        <f t="shared" si="10"/>
        <v>0</v>
      </c>
      <c r="T40" s="656">
        <f t="shared" si="11"/>
        <v>0</v>
      </c>
      <c r="U40" s="656">
        <f t="shared" si="12"/>
        <v>0</v>
      </c>
      <c r="V40" s="30"/>
    </row>
    <row r="41" spans="1:22" s="569" customFormat="1" ht="16" customHeight="1">
      <c r="A41" s="80">
        <v>38</v>
      </c>
      <c r="B41" s="101" t="s">
        <v>124</v>
      </c>
      <c r="C41" s="1600" t="str">
        <f>OR_VEH!B90</f>
        <v>NE PAS UTILISER</v>
      </c>
      <c r="D41" s="1588"/>
      <c r="E41" s="779" t="s">
        <v>209</v>
      </c>
      <c r="F41" s="269">
        <f>IFERROR(IF(Flag=TRUE,K41-TBIn!E263,TBIn!D263),0)</f>
        <v>0</v>
      </c>
      <c r="G41" s="2599">
        <f>IFERROR(IF(Flag=TRUE,L41-TBIn!E1569,TBIn!D1569),0)</f>
        <v>0</v>
      </c>
      <c r="H41" s="2601">
        <f>IFERROR(IF(Flag=TRUE,M41-TBIn!E1609,TBIn!D1609),0)</f>
        <v>0</v>
      </c>
      <c r="I41" s="557">
        <f t="shared" si="8"/>
        <v>0</v>
      </c>
      <c r="J41" s="608">
        <f t="shared" si="1"/>
        <v>0</v>
      </c>
      <c r="K41" s="721">
        <f>IFERROR(TBIn!E263,0)</f>
        <v>0</v>
      </c>
      <c r="L41" s="2574">
        <f>IFERROR(TBIn!E1569,0)</f>
        <v>0</v>
      </c>
      <c r="M41" s="2604">
        <f>IFERROR(TBIn!E1609,0)</f>
        <v>0</v>
      </c>
      <c r="N41" s="326">
        <f t="shared" si="9"/>
        <v>0</v>
      </c>
      <c r="O41" s="587">
        <f t="shared" si="2"/>
        <v>0</v>
      </c>
      <c r="P41" s="80">
        <v>38</v>
      </c>
      <c r="Q41" s="644">
        <v>35000</v>
      </c>
      <c r="R41" s="656">
        <f t="shared" si="4"/>
        <v>0</v>
      </c>
      <c r="S41" s="656">
        <f t="shared" si="10"/>
        <v>0</v>
      </c>
      <c r="T41" s="656">
        <f t="shared" si="11"/>
        <v>0</v>
      </c>
      <c r="U41" s="656">
        <f t="shared" si="12"/>
        <v>0</v>
      </c>
    </row>
    <row r="42" spans="1:22" s="569" customFormat="1" ht="16" customHeight="1">
      <c r="A42" s="80">
        <v>39</v>
      </c>
      <c r="B42" s="101"/>
      <c r="C42" s="1600" t="str">
        <f>OR_VEH!B91</f>
        <v>NE PAS UTILISER</v>
      </c>
      <c r="D42" s="1588"/>
      <c r="E42" s="779" t="s">
        <v>210</v>
      </c>
      <c r="F42" s="269">
        <f>IFERROR(IF(Flag=TRUE,K42-TBIn!E264,TBIn!D264),0)</f>
        <v>0</v>
      </c>
      <c r="G42" s="2599">
        <f>IFERROR(IF(Flag=TRUE,L42-TBIn!E1570,TBIn!D1570),0)</f>
        <v>0</v>
      </c>
      <c r="H42" s="2601">
        <f>IFERROR(IF(Flag=TRUE,M42-TBIn!E1610,TBIn!D1610),0)</f>
        <v>0</v>
      </c>
      <c r="I42" s="557">
        <f t="shared" si="8"/>
        <v>0</v>
      </c>
      <c r="J42" s="608">
        <f t="shared" si="1"/>
        <v>0</v>
      </c>
      <c r="K42" s="721">
        <f>IFERROR(TBIn!E264,0)</f>
        <v>0</v>
      </c>
      <c r="L42" s="2574">
        <f>IFERROR(TBIn!E1570,0)</f>
        <v>0</v>
      </c>
      <c r="M42" s="2604">
        <f>IFERROR(TBIn!E1610,0)</f>
        <v>0</v>
      </c>
      <c r="N42" s="326">
        <f t="shared" si="9"/>
        <v>0</v>
      </c>
      <c r="O42" s="587">
        <f t="shared" si="2"/>
        <v>0</v>
      </c>
      <c r="P42" s="80">
        <v>39</v>
      </c>
      <c r="Q42" s="644">
        <v>0</v>
      </c>
      <c r="R42" s="656">
        <f t="shared" si="4"/>
        <v>0</v>
      </c>
      <c r="S42" s="656">
        <f t="shared" si="10"/>
        <v>0</v>
      </c>
      <c r="T42" s="656">
        <f t="shared" si="11"/>
        <v>0</v>
      </c>
      <c r="U42" s="656">
        <f t="shared" si="12"/>
        <v>0</v>
      </c>
    </row>
    <row r="43" spans="1:22" s="569" customFormat="1" ht="16" customHeight="1">
      <c r="A43" s="80">
        <v>40</v>
      </c>
      <c r="B43" s="101"/>
      <c r="C43" s="1600" t="str">
        <f>OR_VEH!B92</f>
        <v>NE PAS UTILISER</v>
      </c>
      <c r="D43" s="1588"/>
      <c r="E43" s="779" t="s">
        <v>211</v>
      </c>
      <c r="F43" s="269">
        <f>IFERROR(IF(Flag=TRUE,K43-TBIn!E265,TBIn!D265),0)</f>
        <v>0</v>
      </c>
      <c r="G43" s="2599">
        <f>IFERROR(IF(Flag=TRUE,L43-TBIn!E1571,TBIn!D1571),0)</f>
        <v>0</v>
      </c>
      <c r="H43" s="2601">
        <f>IFERROR(IF(Flag=TRUE,M43-TBIn!E1611,TBIn!D1611),0)</f>
        <v>0</v>
      </c>
      <c r="I43" s="557">
        <f t="shared" si="8"/>
        <v>0</v>
      </c>
      <c r="J43" s="608">
        <f t="shared" si="1"/>
        <v>0</v>
      </c>
      <c r="K43" s="721">
        <f>IFERROR(TBIn!E265,0)</f>
        <v>0</v>
      </c>
      <c r="L43" s="2574">
        <f>IFERROR(TBIn!E1571,0)</f>
        <v>0</v>
      </c>
      <c r="M43" s="2604">
        <f>IFERROR(TBIn!E1611,0)</f>
        <v>0</v>
      </c>
      <c r="N43" s="326">
        <f t="shared" si="9"/>
        <v>0</v>
      </c>
      <c r="O43" s="587">
        <f t="shared" si="2"/>
        <v>0</v>
      </c>
      <c r="P43" s="80">
        <v>40</v>
      </c>
      <c r="Q43" s="644">
        <v>0</v>
      </c>
      <c r="R43" s="656">
        <f t="shared" si="4"/>
        <v>0</v>
      </c>
      <c r="S43" s="656">
        <f t="shared" si="10"/>
        <v>0</v>
      </c>
      <c r="T43" s="656">
        <f t="shared" si="11"/>
        <v>0</v>
      </c>
      <c r="U43" s="656">
        <f t="shared" si="12"/>
        <v>0</v>
      </c>
    </row>
    <row r="44" spans="1:22" s="569" customFormat="1" ht="16" customHeight="1">
      <c r="A44" s="80">
        <v>41</v>
      </c>
      <c r="B44" s="101"/>
      <c r="C44" s="274" t="s">
        <v>162</v>
      </c>
      <c r="D44" s="264"/>
      <c r="E44" s="778"/>
      <c r="F44" s="715">
        <f>SUM(F28:F43)</f>
        <v>3</v>
      </c>
      <c r="G44" s="716">
        <f>SUM(G28:G43)</f>
        <v>166774</v>
      </c>
      <c r="H44" s="716">
        <f>SUM(H28:H43)</f>
        <v>161694</v>
      </c>
      <c r="I44" s="716">
        <f>SUM(I28:I43)</f>
        <v>5080</v>
      </c>
      <c r="J44" s="132">
        <f t="shared" si="1"/>
        <v>1693.3333333333333</v>
      </c>
      <c r="K44" s="2496">
        <f>SUM(K28:K43)</f>
        <v>11</v>
      </c>
      <c r="L44" s="949">
        <f>SUM(L28:L43)</f>
        <v>743403</v>
      </c>
      <c r="M44" s="949">
        <f>SUM(M28:M43)</f>
        <v>720974</v>
      </c>
      <c r="N44" s="716">
        <f>SUM(N28:N43)</f>
        <v>22429</v>
      </c>
      <c r="O44" s="132">
        <f t="shared" si="2"/>
        <v>2039</v>
      </c>
      <c r="P44" s="80">
        <v>41</v>
      </c>
      <c r="Q44" s="644"/>
      <c r="R44" s="656"/>
      <c r="S44" s="656"/>
      <c r="T44" s="656"/>
      <c r="U44" s="656"/>
    </row>
    <row r="45" spans="1:22" s="569" customFormat="1" ht="16" customHeight="1">
      <c r="A45" s="80">
        <v>42</v>
      </c>
      <c r="B45" s="215"/>
      <c r="C45" s="1602" t="str">
        <f>OR_VEH!B94</f>
        <v>MÉMO* VENTES INTERNET CAMIONS</v>
      </c>
      <c r="D45" s="1536"/>
      <c r="E45" s="779" t="s">
        <v>212</v>
      </c>
      <c r="F45" s="269">
        <f>IFERROR(IF(Flag=TRUE,K45-TBIn!E266,TBIn!D266),0)</f>
        <v>0</v>
      </c>
      <c r="G45" s="2599">
        <f>IFERROR(IF(Flag=TRUE,L45-TBIn!$E$156,TBIn!$D$156),0)</f>
        <v>0</v>
      </c>
      <c r="H45" s="2601">
        <f>IFERROR(IF(Flag=TRUE,M45-TBIn!$E$176,TBIn!$D$176),0)</f>
        <v>0</v>
      </c>
      <c r="I45" s="557">
        <f>G45-H45</f>
        <v>0</v>
      </c>
      <c r="J45" s="608">
        <f t="shared" si="1"/>
        <v>0</v>
      </c>
      <c r="K45" s="721">
        <f>IFERROR(TBIn!E266,0)</f>
        <v>0</v>
      </c>
      <c r="L45" s="2574">
        <f>IFERROR(TBIn!$E$156,0)</f>
        <v>0</v>
      </c>
      <c r="M45" s="2604">
        <f>IFERROR(TBIn!$E$176,0)</f>
        <v>0</v>
      </c>
      <c r="N45" s="326">
        <f>L45-M45</f>
        <v>0</v>
      </c>
      <c r="O45" s="587">
        <f t="shared" si="2"/>
        <v>0</v>
      </c>
      <c r="P45" s="80">
        <v>42</v>
      </c>
      <c r="Q45" s="644">
        <v>65000</v>
      </c>
      <c r="R45" s="656">
        <f t="shared" si="4"/>
        <v>0</v>
      </c>
      <c r="S45" s="656">
        <f>IF(K45=0,0,IF(OR(L45&lt;0,L45/K45&gt;Q45),1,0))</f>
        <v>0</v>
      </c>
      <c r="T45" s="656">
        <f>IF(OR(F45&lt;0,AND(G45&gt;0,F45=0),AND(G45=0,F45&gt;0)),1,0)</f>
        <v>0</v>
      </c>
      <c r="U45" s="656">
        <f>IF(OR(K45&lt;0,AND(L45&gt;0,K45=0),AND(K45&gt;0,L45=0)),1,0)</f>
        <v>0</v>
      </c>
    </row>
    <row r="46" spans="1:22" s="569" customFormat="1" ht="22" customHeight="1">
      <c r="A46" s="80">
        <v>43</v>
      </c>
      <c r="B46" s="101"/>
      <c r="C46" s="1605" t="str">
        <f>OR_VEH!B95</f>
        <v>TOTAL PARCS - CAMIONS</v>
      </c>
      <c r="D46" s="1588"/>
      <c r="E46" s="2525" t="s">
        <v>139</v>
      </c>
      <c r="F46" s="269">
        <f>IFERROR(IF(Flag=TRUE,K46-TBIn!E267,TBIn!D267),0)</f>
        <v>0</v>
      </c>
      <c r="G46" s="2599">
        <f>IFERROR(IF(Flag=TRUE,L46-TBIn!E1572,TBIn!D1572),0)</f>
        <v>0</v>
      </c>
      <c r="H46" s="2599">
        <f>IFERROR(IF(Flag=TRUE,M46-TBIn!E1612,TBIn!D1612),0)</f>
        <v>0</v>
      </c>
      <c r="I46" s="552">
        <f>G46-H46</f>
        <v>0</v>
      </c>
      <c r="J46" s="608">
        <f t="shared" si="1"/>
        <v>0</v>
      </c>
      <c r="K46" s="721">
        <f>IFERROR(TBIn!E267,0)</f>
        <v>0</v>
      </c>
      <c r="L46" s="2574">
        <f>IFERROR(TBIn!E1572,0)</f>
        <v>0</v>
      </c>
      <c r="M46" s="2574">
        <f>IFERROR(TBIn!E1612,0)</f>
        <v>0</v>
      </c>
      <c r="N46" s="2679">
        <f>L46-M46</f>
        <v>0</v>
      </c>
      <c r="O46" s="587">
        <f t="shared" si="2"/>
        <v>0</v>
      </c>
      <c r="P46" s="80">
        <v>43</v>
      </c>
      <c r="Q46" s="644">
        <v>55000</v>
      </c>
      <c r="R46" s="656">
        <f t="shared" si="4"/>
        <v>0</v>
      </c>
      <c r="S46" s="656">
        <f>IF(K46=0,0,IF(OR(L46&lt;0,L46/K46&gt;Q46),1,0))</f>
        <v>0</v>
      </c>
      <c r="T46" s="656">
        <f>IF(OR(F46&lt;0,AND(G46&gt;0,F46=0),AND(G46=0,F46&gt;0)),1,0)</f>
        <v>0</v>
      </c>
      <c r="U46" s="656">
        <f>IF(OR(K46&lt;0,AND(L46&gt;0,K46=0),AND(K46&gt;0,L46=0)),1,0)</f>
        <v>0</v>
      </c>
    </row>
    <row r="47" spans="1:22" s="569" customFormat="1" ht="16" customHeight="1">
      <c r="A47" s="80">
        <v>44</v>
      </c>
      <c r="B47" s="215"/>
      <c r="C47" s="1606" t="str">
        <f>OR_VEH!B96</f>
        <v xml:space="preserve">TOTAL IINTERNE - CAMIONS </v>
      </c>
      <c r="D47" s="1607"/>
      <c r="E47" s="780" t="s">
        <v>213</v>
      </c>
      <c r="F47" s="269">
        <f>IFERROR(IF(Flag=TRUE,K47-TBIn!E268,TBIn!D268),0)</f>
        <v>0</v>
      </c>
      <c r="G47" s="2599">
        <f>IFERROR(IF(Flag=TRUE,L47-TBIn!E1573,TBIn!D1573),0)</f>
        <v>0</v>
      </c>
      <c r="H47" s="2599">
        <f>IFERROR(IF(Flag=TRUE,M47-TBIn!E1613,TBIn!D1613),0)</f>
        <v>0</v>
      </c>
      <c r="I47" s="552">
        <f>G47-H47</f>
        <v>0</v>
      </c>
      <c r="J47" s="608">
        <f t="shared" si="1"/>
        <v>0</v>
      </c>
      <c r="K47" s="721">
        <f>IFERROR(TBIn!E268,0)</f>
        <v>0</v>
      </c>
      <c r="L47" s="2574">
        <f>IFERROR(TBIn!E1573,0)</f>
        <v>0</v>
      </c>
      <c r="M47" s="2574">
        <f>IFERROR(TBIn!E1613,0)</f>
        <v>0</v>
      </c>
      <c r="N47" s="555">
        <f>L47-M47</f>
        <v>0</v>
      </c>
      <c r="O47" s="587">
        <f t="shared" si="2"/>
        <v>0</v>
      </c>
      <c r="P47" s="80">
        <v>44</v>
      </c>
      <c r="Q47" s="644">
        <v>55000</v>
      </c>
      <c r="R47" s="656">
        <f t="shared" si="4"/>
        <v>0</v>
      </c>
      <c r="S47" s="656">
        <f>IF(K47=0,0,IF(OR(L47&lt;0,L47/K47&gt;Q47),1,0))</f>
        <v>0</v>
      </c>
      <c r="T47" s="656">
        <f>IF(OR(F47&lt;0,AND(G47&gt;0,F47=0),AND(G47=0,F47&gt;0)),1,0)</f>
        <v>0</v>
      </c>
      <c r="U47" s="656">
        <f>IF(OR(K47&lt;0,AND(L47&gt;0,K47=0),AND(K47&gt;0,L47=0)),1,0)</f>
        <v>0</v>
      </c>
    </row>
    <row r="48" spans="1:22" s="569" customFormat="1" ht="16" customHeight="1">
      <c r="A48" s="80">
        <v>45</v>
      </c>
      <c r="B48" s="241"/>
      <c r="C48" s="229" t="s">
        <v>165</v>
      </c>
      <c r="D48" s="210"/>
      <c r="E48" s="781"/>
      <c r="F48" s="715">
        <f>F44+F46+F47</f>
        <v>3</v>
      </c>
      <c r="G48" s="716">
        <f>G44+G46+G47</f>
        <v>166774</v>
      </c>
      <c r="H48" s="716">
        <f>H44+H46+H47</f>
        <v>161694</v>
      </c>
      <c r="I48" s="716">
        <f>I44+I46+I47</f>
        <v>5080</v>
      </c>
      <c r="J48" s="132">
        <f t="shared" si="1"/>
        <v>1693.3333333333333</v>
      </c>
      <c r="K48" s="2496">
        <f>K44+K46+K47</f>
        <v>11</v>
      </c>
      <c r="L48" s="949">
        <f>L44+L46+L47</f>
        <v>743403</v>
      </c>
      <c r="M48" s="949">
        <f>M44+M46+M47</f>
        <v>720974</v>
      </c>
      <c r="N48" s="716">
        <f>N44+N46+N47</f>
        <v>22429</v>
      </c>
      <c r="O48" s="132">
        <f>IF(K48&gt;0,N48/K48,0)</f>
        <v>2039</v>
      </c>
      <c r="P48" s="80">
        <v>45</v>
      </c>
      <c r="Q48" s="644"/>
      <c r="R48" s="656"/>
      <c r="S48" s="656"/>
      <c r="T48" s="656"/>
      <c r="U48" s="656"/>
    </row>
    <row r="49" spans="1:21" s="30" customFormat="1" ht="16" customHeight="1">
      <c r="A49" s="80">
        <v>46</v>
      </c>
      <c r="B49" s="96"/>
      <c r="C49" s="266" t="str">
        <f>OR_VEH!B98</f>
        <v xml:space="preserve"> </v>
      </c>
      <c r="D49" s="262"/>
      <c r="E49" s="779" t="s">
        <v>166</v>
      </c>
      <c r="F49" s="1965"/>
      <c r="G49" s="2599"/>
      <c r="H49" s="2601"/>
      <c r="I49" s="557"/>
      <c r="J49" s="831"/>
      <c r="K49" s="2678"/>
      <c r="L49" s="2698"/>
      <c r="M49" s="2699"/>
      <c r="N49" s="326"/>
      <c r="O49" s="597"/>
      <c r="P49" s="80">
        <v>46</v>
      </c>
      <c r="Q49" s="827">
        <v>10000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OR_VEH!B99</f>
        <v>ACCESSOIRES</v>
      </c>
      <c r="D50" s="1588"/>
      <c r="E50" s="779" t="s">
        <v>214</v>
      </c>
      <c r="F50" s="269">
        <f>IFERROR(IF(Flag=TRUE,K50-TBIn!E269,TBIn!D269),0)</f>
        <v>0</v>
      </c>
      <c r="G50" s="2599">
        <f>IFERROR(IF(Flag=TRUE,L50-TBIn!E1574,TBIn!D1574),0)</f>
        <v>0</v>
      </c>
      <c r="H50" s="2601">
        <f>IFERROR(IF(Flag=TRUE,M50-TBIn!E1614,TBIn!D1614),0)</f>
        <v>0</v>
      </c>
      <c r="I50" s="557">
        <f>G50-H50</f>
        <v>0</v>
      </c>
      <c r="J50" s="828">
        <f>IF(F51=0,0,I50/F$51)</f>
        <v>0</v>
      </c>
      <c r="K50" s="721">
        <f>IFERROR(TBIn!E269,0)</f>
        <v>0</v>
      </c>
      <c r="L50" s="2574">
        <f>IFERROR(TBIn!E1574,0)</f>
        <v>0</v>
      </c>
      <c r="M50" s="2604">
        <f>IFERROR(TBIn!E1614,0)</f>
        <v>0</v>
      </c>
      <c r="N50" s="326">
        <f>L50-M50</f>
        <v>0</v>
      </c>
      <c r="O50" s="830">
        <f>IF(K51=0,0,N50/K$51)</f>
        <v>0</v>
      </c>
      <c r="P50" s="80">
        <v>47</v>
      </c>
      <c r="Q50" s="827">
        <v>10000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IFERROR(IF(Flag=TRUE,F27+F48,TBIn!D270),0)</f>
        <v>3</v>
      </c>
      <c r="G51" s="716">
        <f>G27+G48+G50</f>
        <v>166774</v>
      </c>
      <c r="H51" s="848">
        <f>H27+H48+H50</f>
        <v>161694</v>
      </c>
      <c r="I51" s="1423">
        <f>IFERROR(IF(Flag=TRUE,I27+I48+I50,TBIn!D1615),0)</f>
        <v>5080</v>
      </c>
      <c r="J51" s="1087">
        <f>IF(F51=0,0,I51/F$51)</f>
        <v>1693.3333333333333</v>
      </c>
      <c r="K51" s="761">
        <f>IFERROR(IF(Flag=TRUE,K27+K48,TBIn!E270),0)</f>
        <v>11</v>
      </c>
      <c r="L51" s="716">
        <f>L27+L48+L50</f>
        <v>743403</v>
      </c>
      <c r="M51" s="848">
        <f>M27+M48+M50</f>
        <v>720974</v>
      </c>
      <c r="N51" s="1423">
        <f>IFERROR(IF(Flag=TRUE,N27+N48+N50,TBIn!E1615),0)</f>
        <v>22429</v>
      </c>
      <c r="O51" s="1087">
        <f>IF(K51=0,0,N51/K$51)</f>
        <v>2039</v>
      </c>
      <c r="P51" s="179">
        <v>48</v>
      </c>
      <c r="Q51" s="644"/>
      <c r="R51" s="656"/>
      <c r="S51" s="656"/>
      <c r="T51" s="656"/>
      <c r="U51" s="656"/>
    </row>
    <row r="52" spans="1:21" s="569" customFormat="1" ht="16" customHeight="1">
      <c r="A52" s="76"/>
      <c r="B52" s="84" t="s">
        <v>169</v>
      </c>
      <c r="C52" s="84"/>
      <c r="D52" s="84"/>
      <c r="E52" s="84"/>
      <c r="F52" s="84"/>
      <c r="G52" s="84"/>
      <c r="H52" s="84"/>
      <c r="I52" s="76"/>
      <c r="J52" s="267" t="s">
        <v>170</v>
      </c>
      <c r="K52" s="76"/>
      <c r="L52" s="76"/>
      <c r="M52" s="76"/>
      <c r="N52" s="76"/>
      <c r="O52" s="267" t="s">
        <v>170</v>
      </c>
      <c r="P52" s="76"/>
      <c r="Q52" s="644"/>
      <c r="R52" s="656"/>
      <c r="S52" s="656"/>
      <c r="T52" s="656"/>
      <c r="U52" s="656"/>
    </row>
    <row r="53" spans="1:21" hidden="1">
      <c r="A53" s="3"/>
      <c r="B53" s="3"/>
      <c r="C53" s="3"/>
      <c r="D53" s="3"/>
      <c r="E53" s="3"/>
      <c r="F53" s="3"/>
      <c r="G53" s="3"/>
      <c r="H53" s="3"/>
      <c r="I53" s="16"/>
      <c r="J53" s="3"/>
      <c r="K53" s="3"/>
      <c r="L53" s="3"/>
      <c r="M53" s="3"/>
      <c r="N53" s="3"/>
      <c r="O53" s="3"/>
      <c r="P53" s="3"/>
      <c r="Q53" s="660"/>
    </row>
    <row r="54" spans="1:21" hidden="1">
      <c r="A54" s="3"/>
      <c r="B54" s="3"/>
      <c r="C54" s="3"/>
      <c r="D54" s="30"/>
      <c r="E54" s="3"/>
      <c r="F54" s="3"/>
      <c r="G54" s="3"/>
      <c r="H54" s="3"/>
      <c r="I54" s="3"/>
      <c r="J54" s="3"/>
      <c r="K54" s="3"/>
      <c r="L54" s="3"/>
      <c r="M54" s="3"/>
      <c r="N54" s="3"/>
      <c r="O54" s="3"/>
      <c r="P54" s="3"/>
      <c r="Q54" s="660"/>
    </row>
    <row r="55" spans="1:21" hidden="1">
      <c r="D55" s="30"/>
      <c r="Q55" s="660"/>
    </row>
    <row r="56" spans="1:21" hidden="1">
      <c r="D56" s="30" t="s">
        <v>171</v>
      </c>
      <c r="E56" s="1239" t="s">
        <v>88</v>
      </c>
      <c r="F56" s="30" t="s">
        <v>172</v>
      </c>
      <c r="Q56" s="660"/>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zc+iy1w3RQpMm8R1gAnAuvjA8HSRZE0gqX8JDc23LhK1/xQVakW4fJt698KJ1xxJjDCBI54WpKF5H2FUnyE+ng==" saltValue="Z6VhACqxR0SYyi6GVHIxZA==" spinCount="100000" sheet="1" objects="1" scenarios="1"/>
  <customSheetViews>
    <customSheetView guid="{42A0DCD3-5C27-4BB4-A491-D2E7F84D8A17}" scale="80" showGridLines="0" fitToPage="1" printArea="1" hiddenRows="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topLeftCell="A34">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showGridLines="0" showRowCol="0" fitToPage="1" hiddenRows="1" hiddenColumns="1" showRuler="0">
      <pane xSplit="5" ySplit="3" topLeftCell="H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5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500-000000000000}"/>
    <hyperlink ref="C24" r:id="rId4" tooltip="Lien au Manuel des méthodes comptables GM" display="http://gm-ca-fr.acctmanual.com/New_Vehicle/419_Voitures_neuves_Internet_(compte_m_mo).htm" xr:uid="{00000000-0004-0000-0500-000001000000}"/>
    <hyperlink ref="C25" r:id="rId5" tooltip="Lien au Manuel des méthodes comptables GM" display="http://gm-ca-fr.acctmanual.com/New_Vehicle/420_Voitures_neuves_-_Parcs.htm" xr:uid="{00000000-0004-0000-0500-000002000000}"/>
    <hyperlink ref="C26" r:id="rId6" tooltip="Lien au Manuel des méthodes comptables GM" display="http://gm-ca-fr.acctmanual.com/New_Vehicle/421_Voitures_neuves_-_Interne.htm" xr:uid="{00000000-0004-0000-0500-000003000000}"/>
    <hyperlink ref="C28" r:id="rId7" tooltip="Lien au Manuel des méthodes comptables GM" display="http://gm-ca-fr.acctmanual.com/New_Vehicle/423-438_Camions_neufs_-_au_d_tail.htm" xr:uid="{00000000-0004-0000-0500-000004000000}"/>
    <hyperlink ref="C45" r:id="rId8" tooltip="Lien au Manuel des méthodes comptables GM" display="http://gm-ca-fr.acctmanual.com/New_Vehicle/439_Camions_neufs_Internet_(compte_m_mo).htm" xr:uid="{00000000-0004-0000-0500-000005000000}"/>
    <hyperlink ref="C46" r:id="rId9" tooltip="Lien au Manuel des méthodes comptables GM" display="http://gm-ca-fr.acctmanual.com/New_Vehicle/440_Camions_neufs_-_Parcs.htm" xr:uid="{00000000-0004-0000-0500-000006000000}"/>
    <hyperlink ref="C47" r:id="rId10" tooltip="Lien au Manuel des méthodes comptables GM" display="http://gm-ca-fr.acctmanual.com/New_Vehicle/441_Camions_neufs_-_Interne.htm" xr:uid="{00000000-0004-0000-0500-000007000000}"/>
    <hyperlink ref="C50" r:id="rId11" tooltip="Lien au Manuel des méthodes comptables GM" display="http://gm-ca-fr.acctmanual.com/New_Vehicle/457_Accessoires.htm" xr:uid="{00000000-0004-0000-05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043" r:id="rId15" name="CommandButton5b">
          <controlPr defaultSize="0" print="0" autoFill="0" autoLine="0" r:id="rId16">
            <anchor>
              <from>
                <xdr:col>11</xdr:col>
                <xdr:colOff>152400</xdr:colOff>
                <xdr:row>0</xdr:row>
                <xdr:rowOff>0</xdr:rowOff>
              </from>
              <to>
                <xdr:col>12</xdr:col>
                <xdr:colOff>584200</xdr:colOff>
                <xdr:row>1</xdr:row>
                <xdr:rowOff>19050</xdr:rowOff>
              </to>
            </anchor>
          </controlPr>
        </control>
      </mc:Choice>
      <mc:Fallback>
        <control shapeId="1043" r:id="rId15" name="CommandButton5b"/>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autoPageBreaks="0" fitToPage="1"/>
  </sheetPr>
  <dimension ref="A1:U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8164062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9.1796875" style="661" hidden="1" customWidth="1"/>
    <col min="22" max="22" width="0" style="654" hidden="1" customWidth="1"/>
    <col min="23" max="16384" width="0" style="654" hidden="1"/>
  </cols>
  <sheetData>
    <row r="1" spans="1:21" s="569" customFormat="1" ht="21" customHeight="1">
      <c r="A1" s="76"/>
      <c r="B1" s="2762" t="str">
        <f>OR_VEH!B152</f>
        <v>BUICK</v>
      </c>
      <c r="C1" s="2762"/>
      <c r="D1" s="2762"/>
      <c r="E1" s="257"/>
      <c r="F1" s="491" t="s">
        <v>92</v>
      </c>
      <c r="G1" s="60"/>
      <c r="H1" s="60"/>
      <c r="I1" s="60"/>
      <c r="J1" s="60"/>
      <c r="K1" s="60"/>
      <c r="L1" s="61"/>
      <c r="M1" s="61"/>
      <c r="N1" s="61"/>
      <c r="O1" s="641"/>
      <c r="P1" s="62" t="str">
        <f>TBIn!$E$2458&amp;" - "&amp;TBIn!$AH$10&amp;" - PAGE 5 BUI MCI"</f>
        <v>319719 - 202504 - PAGE 5 BUI MCI</v>
      </c>
      <c r="Q1" s="643" t="s">
        <v>93</v>
      </c>
      <c r="R1" s="643" t="s">
        <v>94</v>
      </c>
      <c r="S1" s="643" t="s">
        <v>95</v>
      </c>
      <c r="T1" s="643" t="s">
        <v>94</v>
      </c>
      <c r="U1" s="643"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s="569" customFormat="1" ht="16" customHeight="1">
      <c r="A4" s="74">
        <v>1</v>
      </c>
      <c r="B4" s="215"/>
      <c r="C4" s="1535" t="str">
        <f>OR_VEH!B153</f>
        <v>REGAL</v>
      </c>
      <c r="D4" s="1536"/>
      <c r="E4" s="1037" t="s">
        <v>215</v>
      </c>
      <c r="F4" s="268">
        <f>IFERROR(IF(Flag=TRUE,K4-TBIn!E314,TBIn!D314),0)</f>
        <v>0</v>
      </c>
      <c r="G4" s="2598">
        <f>IFERROR(IF(Flag=TRUE,L4-TBIn!E1697,TBIn!D1697),0)</f>
        <v>0</v>
      </c>
      <c r="H4" s="2598">
        <f>IFERROR(IF(Flag=TRUE,M4-TBIn!E1737,TBIn!D1737),0)</f>
        <v>0</v>
      </c>
      <c r="I4" s="551">
        <f t="shared" ref="I4:I22" si="0">G4-H4</f>
        <v>0</v>
      </c>
      <c r="J4" s="584">
        <f t="shared" ref="J4:J48" si="1">IF(F4&gt;0,I4/F4,0)</f>
        <v>0</v>
      </c>
      <c r="K4" s="720">
        <f>IFERROR(TBIn!E314,0)</f>
        <v>0</v>
      </c>
      <c r="L4" s="2602">
        <f>IFERROR(TBIn!E1697,0)</f>
        <v>0</v>
      </c>
      <c r="M4" s="2602">
        <f>IFERROR(TBIn!E1737,0)</f>
        <v>0</v>
      </c>
      <c r="N4" s="554">
        <f>L4-M4</f>
        <v>0</v>
      </c>
      <c r="O4" s="585">
        <f t="shared" ref="O4:O47" si="2">IF(K4&gt;0,N4/K4,0)</f>
        <v>0</v>
      </c>
      <c r="P4" s="74">
        <v>1</v>
      </c>
      <c r="Q4" s="644">
        <v>0</v>
      </c>
      <c r="R4" s="656">
        <f>IF(F4=0,0,IF(G4/F4&gt;Q4,1,0))</f>
        <v>0</v>
      </c>
      <c r="S4" s="656">
        <f>IF(K4=0,0,IF(OR(L4&lt;0,L4/K4&gt;Q4),1,0))</f>
        <v>0</v>
      </c>
      <c r="T4" s="656">
        <f>IF(OR(F4&lt;0,AND(G4&gt;0,F4=0),AND(G4=0,F4&gt;0)),1,0)</f>
        <v>0</v>
      </c>
      <c r="U4" s="656">
        <f>IF(OR(K4&lt;0,AND(L4&gt;0,K4=0),AND(K4&gt;0,L4=0)),1,0)</f>
        <v>0</v>
      </c>
    </row>
    <row r="5" spans="1:21" s="569" customFormat="1" ht="16" customHeight="1">
      <c r="A5" s="80">
        <v>2</v>
      </c>
      <c r="B5" s="275" t="s">
        <v>110</v>
      </c>
      <c r="C5" s="1539" t="str">
        <f>OR_VEH!B154</f>
        <v>LACROSSE</v>
      </c>
      <c r="D5" s="1588"/>
      <c r="E5" s="776" t="s">
        <v>216</v>
      </c>
      <c r="F5" s="269">
        <f>IFERROR(IF(Flag=TRUE,K5-TBIn!E315,TBIn!D315),0)</f>
        <v>0</v>
      </c>
      <c r="G5" s="2599">
        <f>IFERROR(IF(Flag=TRUE,L5-TBIn!E1698,TBIn!D1698),0)</f>
        <v>0</v>
      </c>
      <c r="H5" s="2599">
        <f>IFERROR(IF(Flag=TRUE,M5-TBIn!E1738,TBIn!D1738),0)</f>
        <v>0</v>
      </c>
      <c r="I5" s="552">
        <f t="shared" si="0"/>
        <v>0</v>
      </c>
      <c r="J5" s="608">
        <f t="shared" si="1"/>
        <v>0</v>
      </c>
      <c r="K5" s="721">
        <f>IFERROR(TBIn!E315,0)</f>
        <v>0</v>
      </c>
      <c r="L5" s="2574">
        <f>IFERROR(TBIn!E1698,0)</f>
        <v>0</v>
      </c>
      <c r="M5" s="2574">
        <f>IFERROR(TBIn!E1738,0)</f>
        <v>0</v>
      </c>
      <c r="N5" s="555">
        <f t="shared" ref="N5:N22" si="3">L5-M5</f>
        <v>0</v>
      </c>
      <c r="O5" s="587">
        <f t="shared" si="2"/>
        <v>0</v>
      </c>
      <c r="P5" s="80">
        <v>2</v>
      </c>
      <c r="Q5" s="644">
        <v>45000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1" s="569" customFormat="1" ht="15.75" customHeight="1">
      <c r="A6" s="80">
        <v>3</v>
      </c>
      <c r="B6" s="275" t="s">
        <v>112</v>
      </c>
      <c r="C6" s="1539" t="str">
        <f>OR_VEH!B155</f>
        <v>VERANO</v>
      </c>
      <c r="D6" s="1588"/>
      <c r="E6" s="776" t="s">
        <v>217</v>
      </c>
      <c r="F6" s="269">
        <f>IFERROR(IF(Flag=TRUE,K6-TBIn!E316,TBIn!D316),0)</f>
        <v>0</v>
      </c>
      <c r="G6" s="2599">
        <f>IFERROR(IF(Flag=TRUE,L6-TBIn!E1699,TBIn!D1699),0)</f>
        <v>0</v>
      </c>
      <c r="H6" s="2599">
        <f>IFERROR(IF(Flag=TRUE,M6-TBIn!E1739,TBIn!D1739),0)</f>
        <v>0</v>
      </c>
      <c r="I6" s="552">
        <f t="shared" si="0"/>
        <v>0</v>
      </c>
      <c r="J6" s="608">
        <f t="shared" si="1"/>
        <v>0</v>
      </c>
      <c r="K6" s="721">
        <f>IFERROR(TBIn!E316,0)</f>
        <v>0</v>
      </c>
      <c r="L6" s="2574">
        <f>IFERROR(TBIn!E1699,0)</f>
        <v>0</v>
      </c>
      <c r="M6" s="2574">
        <f>IFERROR(TBIn!E1739,0)</f>
        <v>0</v>
      </c>
      <c r="N6" s="555">
        <f t="shared" si="3"/>
        <v>0</v>
      </c>
      <c r="O6" s="587">
        <f t="shared" si="2"/>
        <v>0</v>
      </c>
      <c r="P6" s="80">
        <v>3</v>
      </c>
      <c r="Q6" s="644">
        <v>50000</v>
      </c>
      <c r="R6" s="656">
        <f t="shared" si="4"/>
        <v>0</v>
      </c>
      <c r="S6" s="656">
        <f t="shared" si="5"/>
        <v>0</v>
      </c>
      <c r="T6" s="656">
        <f t="shared" si="6"/>
        <v>0</v>
      </c>
      <c r="U6" s="656">
        <f t="shared" si="7"/>
        <v>0</v>
      </c>
    </row>
    <row r="7" spans="1:21" s="569" customFormat="1" ht="15.75" customHeight="1">
      <c r="A7" s="80">
        <v>4</v>
      </c>
      <c r="B7" s="275" t="s">
        <v>114</v>
      </c>
      <c r="C7" s="1539" t="str">
        <f>OR_VEH!B156</f>
        <v>NE PAS UTILISER</v>
      </c>
      <c r="D7" s="1588"/>
      <c r="E7" s="776" t="s">
        <v>218</v>
      </c>
      <c r="F7" s="269">
        <f>IFERROR(IF(Flag=TRUE,K7-TBIn!E317,TBIn!D317),0)</f>
        <v>0</v>
      </c>
      <c r="G7" s="2599">
        <f>IFERROR(IF(Flag=TRUE,L7-TBIn!E1700,TBIn!D1700),0)</f>
        <v>0</v>
      </c>
      <c r="H7" s="2599">
        <f>IFERROR(IF(Flag=TRUE,M7-TBIn!E1740,TBIn!D1740),0)</f>
        <v>0</v>
      </c>
      <c r="I7" s="552">
        <f t="shared" si="0"/>
        <v>0</v>
      </c>
      <c r="J7" s="608">
        <f t="shared" si="1"/>
        <v>0</v>
      </c>
      <c r="K7" s="721">
        <f>IFERROR(TBIn!E317,0)</f>
        <v>0</v>
      </c>
      <c r="L7" s="2574">
        <f>IFERROR(TBIn!E1700,0)</f>
        <v>0</v>
      </c>
      <c r="M7" s="2574">
        <f>IFERROR(TBIn!E1740,0)</f>
        <v>0</v>
      </c>
      <c r="N7" s="555">
        <f t="shared" si="3"/>
        <v>0</v>
      </c>
      <c r="O7" s="587">
        <f t="shared" si="2"/>
        <v>0</v>
      </c>
      <c r="P7" s="80">
        <v>4</v>
      </c>
      <c r="Q7" s="644">
        <v>55000</v>
      </c>
      <c r="R7" s="656">
        <f t="shared" si="4"/>
        <v>0</v>
      </c>
      <c r="S7" s="656">
        <f t="shared" si="5"/>
        <v>0</v>
      </c>
      <c r="T7" s="656">
        <f t="shared" si="6"/>
        <v>0</v>
      </c>
      <c r="U7" s="656">
        <f t="shared" si="7"/>
        <v>0</v>
      </c>
    </row>
    <row r="8" spans="1:21" s="569" customFormat="1" ht="15.75" customHeight="1">
      <c r="A8" s="80">
        <v>5</v>
      </c>
      <c r="B8" s="275" t="s">
        <v>116</v>
      </c>
      <c r="C8" s="1539" t="str">
        <f>OR_VEH!B157</f>
        <v>NE PAS UTILISER</v>
      </c>
      <c r="D8" s="1588"/>
      <c r="E8" s="776" t="s">
        <v>219</v>
      </c>
      <c r="F8" s="269">
        <f>IFERROR(IF(Flag=TRUE,K8-TBIn!E318,TBIn!D318),0)</f>
        <v>0</v>
      </c>
      <c r="G8" s="2599">
        <f>IFERROR(IF(Flag=TRUE,L8-TBIn!E1701,TBIn!D1701),0)</f>
        <v>0</v>
      </c>
      <c r="H8" s="2599">
        <f>IFERROR(IF(Flag=TRUE,M8-TBIn!E1741,TBIn!D1741),0)</f>
        <v>0</v>
      </c>
      <c r="I8" s="552">
        <f t="shared" si="0"/>
        <v>0</v>
      </c>
      <c r="J8" s="608">
        <f t="shared" si="1"/>
        <v>0</v>
      </c>
      <c r="K8" s="721">
        <f>IFERROR(TBIn!E318,0)</f>
        <v>0</v>
      </c>
      <c r="L8" s="2574">
        <f>IFERROR(TBIn!E1701,0)</f>
        <v>0</v>
      </c>
      <c r="M8" s="2574">
        <f>IFERROR(TBIn!E1741,0)</f>
        <v>0</v>
      </c>
      <c r="N8" s="555">
        <f t="shared" si="3"/>
        <v>0</v>
      </c>
      <c r="O8" s="587">
        <f t="shared" si="2"/>
        <v>0</v>
      </c>
      <c r="P8" s="80">
        <v>5</v>
      </c>
      <c r="Q8" s="644">
        <v>0</v>
      </c>
      <c r="R8" s="656">
        <f t="shared" si="4"/>
        <v>0</v>
      </c>
      <c r="S8" s="656">
        <f t="shared" si="5"/>
        <v>0</v>
      </c>
      <c r="T8" s="656">
        <f t="shared" si="6"/>
        <v>0</v>
      </c>
      <c r="U8" s="656">
        <f t="shared" si="7"/>
        <v>0</v>
      </c>
    </row>
    <row r="9" spans="1:21" s="569" customFormat="1" ht="15.75" customHeight="1">
      <c r="A9" s="80">
        <v>6</v>
      </c>
      <c r="B9" s="275" t="s">
        <v>118</v>
      </c>
      <c r="C9" s="1539" t="str">
        <f>OR_VEH!B158</f>
        <v>NE PAS UTILISER</v>
      </c>
      <c r="D9" s="1588"/>
      <c r="E9" s="776" t="s">
        <v>220</v>
      </c>
      <c r="F9" s="269">
        <f>IFERROR(IF(Flag=TRUE,K9-TBIn!E319,TBIn!D319),0)</f>
        <v>0</v>
      </c>
      <c r="G9" s="2599">
        <f>IFERROR(IF(Flag=TRUE,L9-TBIn!E1702,TBIn!D1702),0)</f>
        <v>0</v>
      </c>
      <c r="H9" s="2599">
        <f>IFERROR(IF(Flag=TRUE,M9-TBIn!E1742,TBIn!D1742),0)</f>
        <v>0</v>
      </c>
      <c r="I9" s="552">
        <f t="shared" si="0"/>
        <v>0</v>
      </c>
      <c r="J9" s="608">
        <f t="shared" si="1"/>
        <v>0</v>
      </c>
      <c r="K9" s="721">
        <f>IFERROR(TBIn!E319,0)</f>
        <v>0</v>
      </c>
      <c r="L9" s="2574">
        <f>IFERROR(TBIn!E1702,0)</f>
        <v>0</v>
      </c>
      <c r="M9" s="2574">
        <f>IFERROR(TBIn!E1742,0)</f>
        <v>0</v>
      </c>
      <c r="N9" s="555">
        <f t="shared" si="3"/>
        <v>0</v>
      </c>
      <c r="O9" s="587">
        <f t="shared" si="2"/>
        <v>0</v>
      </c>
      <c r="P9" s="80">
        <v>6</v>
      </c>
      <c r="Q9" s="644">
        <v>60000</v>
      </c>
      <c r="R9" s="656">
        <f t="shared" si="4"/>
        <v>0</v>
      </c>
      <c r="S9" s="656">
        <f t="shared" si="5"/>
        <v>0</v>
      </c>
      <c r="T9" s="656">
        <f t="shared" si="6"/>
        <v>0</v>
      </c>
      <c r="U9" s="656">
        <f t="shared" si="7"/>
        <v>0</v>
      </c>
    </row>
    <row r="10" spans="1:21" s="569" customFormat="1" ht="15.75" customHeight="1">
      <c r="A10" s="80">
        <v>7</v>
      </c>
      <c r="B10" s="101" t="s">
        <v>120</v>
      </c>
      <c r="C10" s="1539" t="str">
        <f>OR_VEH!B159</f>
        <v>NE PAS UTILISER</v>
      </c>
      <c r="D10" s="1588"/>
      <c r="E10" s="776" t="s">
        <v>221</v>
      </c>
      <c r="F10" s="269">
        <f>IFERROR(IF(Flag=TRUE,K10-TBIn!E320,TBIn!D320),0)</f>
        <v>0</v>
      </c>
      <c r="G10" s="2599">
        <f>IFERROR(IF(Flag=TRUE,L10-TBIn!E1703,TBIn!D1703),0)</f>
        <v>0</v>
      </c>
      <c r="H10" s="2599">
        <f>IFERROR(IF(Flag=TRUE,M10-TBIn!E1743,TBIn!D1743),0)</f>
        <v>0</v>
      </c>
      <c r="I10" s="552">
        <f t="shared" si="0"/>
        <v>0</v>
      </c>
      <c r="J10" s="608">
        <f t="shared" si="1"/>
        <v>0</v>
      </c>
      <c r="K10" s="721">
        <f>IFERROR(TBIn!E320,0)</f>
        <v>0</v>
      </c>
      <c r="L10" s="2574">
        <f>IFERROR(TBIn!E1703,0)</f>
        <v>0</v>
      </c>
      <c r="M10" s="2574">
        <f>IFERROR(TBIn!E1743,0)</f>
        <v>0</v>
      </c>
      <c r="N10" s="555">
        <f t="shared" si="3"/>
        <v>0</v>
      </c>
      <c r="O10" s="587">
        <f t="shared" si="2"/>
        <v>0</v>
      </c>
      <c r="P10" s="80">
        <v>7</v>
      </c>
      <c r="Q10" s="644">
        <v>0</v>
      </c>
      <c r="R10" s="656">
        <f t="shared" si="4"/>
        <v>0</v>
      </c>
      <c r="S10" s="656">
        <f t="shared" si="5"/>
        <v>0</v>
      </c>
      <c r="T10" s="656">
        <f t="shared" si="6"/>
        <v>0</v>
      </c>
      <c r="U10" s="656">
        <f t="shared" si="7"/>
        <v>0</v>
      </c>
    </row>
    <row r="11" spans="1:21" s="569" customFormat="1" ht="15.75" customHeight="1">
      <c r="A11" s="80">
        <v>8</v>
      </c>
      <c r="B11" s="101" t="s">
        <v>122</v>
      </c>
      <c r="C11" s="1539" t="str">
        <f>OR_VEH!B160</f>
        <v>NE PAS UTILISER</v>
      </c>
      <c r="D11" s="1588"/>
      <c r="E11" s="776" t="s">
        <v>222</v>
      </c>
      <c r="F11" s="269">
        <f>IFERROR(IF(Flag=TRUE,K11-TBIn!E321,TBIn!D321),0)</f>
        <v>0</v>
      </c>
      <c r="G11" s="2599">
        <f>IFERROR(IF(Flag=TRUE,L11-TBIn!E1704,TBIn!D1704),0)</f>
        <v>0</v>
      </c>
      <c r="H11" s="2599">
        <f>IFERROR(IF(Flag=TRUE,M11-TBIn!E1744,TBIn!D1744),0)</f>
        <v>0</v>
      </c>
      <c r="I11" s="552">
        <f t="shared" si="0"/>
        <v>0</v>
      </c>
      <c r="J11" s="608">
        <f t="shared" si="1"/>
        <v>0</v>
      </c>
      <c r="K11" s="721">
        <f>IFERROR(TBIn!E321,0)</f>
        <v>0</v>
      </c>
      <c r="L11" s="2574">
        <f>IFERROR(TBIn!E1704,0)</f>
        <v>0</v>
      </c>
      <c r="M11" s="2574">
        <f>IFERROR(TBIn!E1744,0)</f>
        <v>0</v>
      </c>
      <c r="N11" s="555">
        <f t="shared" si="3"/>
        <v>0</v>
      </c>
      <c r="O11" s="587">
        <f t="shared" si="2"/>
        <v>0</v>
      </c>
      <c r="P11" s="80">
        <v>8</v>
      </c>
      <c r="Q11" s="644">
        <v>0</v>
      </c>
      <c r="R11" s="656">
        <f t="shared" si="4"/>
        <v>0</v>
      </c>
      <c r="S11" s="656">
        <f t="shared" si="5"/>
        <v>0</v>
      </c>
      <c r="T11" s="656">
        <f t="shared" si="6"/>
        <v>0</v>
      </c>
      <c r="U11" s="656">
        <f t="shared" si="7"/>
        <v>0</v>
      </c>
    </row>
    <row r="12" spans="1:21" s="569" customFormat="1" ht="15.75" customHeight="1">
      <c r="A12" s="80">
        <v>9</v>
      </c>
      <c r="B12" s="101" t="s">
        <v>124</v>
      </c>
      <c r="C12" s="1539" t="str">
        <f>OR_VEH!B161</f>
        <v>NE PAS UTILISER</v>
      </c>
      <c r="D12" s="1588"/>
      <c r="E12" s="776" t="s">
        <v>223</v>
      </c>
      <c r="F12" s="269">
        <f>IFERROR(IF(Flag=TRUE,K12-TBIn!E322,TBIn!D322),0)</f>
        <v>0</v>
      </c>
      <c r="G12" s="2599">
        <f>IFERROR(IF(Flag=TRUE,L12-TBIn!E1705,TBIn!D1705),0)</f>
        <v>0</v>
      </c>
      <c r="H12" s="2599">
        <f>IFERROR(IF(Flag=TRUE,M12-TBIn!E1745,TBIn!D1745),0)</f>
        <v>0</v>
      </c>
      <c r="I12" s="552">
        <f t="shared" si="0"/>
        <v>0</v>
      </c>
      <c r="J12" s="608">
        <f t="shared" si="1"/>
        <v>0</v>
      </c>
      <c r="K12" s="721">
        <f>IFERROR(TBIn!E322,0)</f>
        <v>0</v>
      </c>
      <c r="L12" s="2574">
        <f>IFERROR(TBIn!E1705,0)</f>
        <v>0</v>
      </c>
      <c r="M12" s="2574">
        <f>IFERROR(TBIn!E1745,0)</f>
        <v>0</v>
      </c>
      <c r="N12" s="555">
        <f t="shared" si="3"/>
        <v>0</v>
      </c>
      <c r="O12" s="587">
        <f t="shared" si="2"/>
        <v>0</v>
      </c>
      <c r="P12" s="80">
        <v>9</v>
      </c>
      <c r="Q12" s="644">
        <v>0</v>
      </c>
      <c r="R12" s="656">
        <f t="shared" si="4"/>
        <v>0</v>
      </c>
      <c r="S12" s="656">
        <f t="shared" si="5"/>
        <v>0</v>
      </c>
      <c r="T12" s="656">
        <f t="shared" si="6"/>
        <v>0</v>
      </c>
      <c r="U12" s="656">
        <f t="shared" si="7"/>
        <v>0</v>
      </c>
    </row>
    <row r="13" spans="1:21" s="569" customFormat="1" ht="15.75" customHeight="1">
      <c r="A13" s="80">
        <v>10</v>
      </c>
      <c r="B13" s="101"/>
      <c r="C13" s="1539" t="str">
        <f>OR_VEH!B162</f>
        <v>NE PAS UTILISER</v>
      </c>
      <c r="D13" s="1588"/>
      <c r="E13" s="776" t="s">
        <v>224</v>
      </c>
      <c r="F13" s="269">
        <f>IFERROR(IF(Flag=TRUE,K13-TBIn!E323,TBIn!D323),0)</f>
        <v>0</v>
      </c>
      <c r="G13" s="2599">
        <f>IFERROR(IF(Flag=TRUE,L13-TBIn!E1706,TBIn!D1706),0)</f>
        <v>0</v>
      </c>
      <c r="H13" s="2599">
        <f>IFERROR(IF(Flag=TRUE,M13-TBIn!E1746,TBIn!D1746),0)</f>
        <v>0</v>
      </c>
      <c r="I13" s="552">
        <f t="shared" si="0"/>
        <v>0</v>
      </c>
      <c r="J13" s="608">
        <f t="shared" si="1"/>
        <v>0</v>
      </c>
      <c r="K13" s="721">
        <f>IFERROR(TBIn!E323,0)</f>
        <v>0</v>
      </c>
      <c r="L13" s="2574">
        <f>IFERROR(TBIn!E1706,0)</f>
        <v>0</v>
      </c>
      <c r="M13" s="2574">
        <f>IFERROR(TBIn!E1746,0)</f>
        <v>0</v>
      </c>
      <c r="N13" s="555">
        <f t="shared" si="3"/>
        <v>0</v>
      </c>
      <c r="O13" s="587">
        <f t="shared" si="2"/>
        <v>0</v>
      </c>
      <c r="P13" s="80">
        <v>10</v>
      </c>
      <c r="Q13" s="644">
        <v>0</v>
      </c>
      <c r="R13" s="656">
        <f t="shared" si="4"/>
        <v>0</v>
      </c>
      <c r="S13" s="656">
        <f t="shared" si="5"/>
        <v>0</v>
      </c>
      <c r="T13" s="656">
        <f t="shared" si="6"/>
        <v>0</v>
      </c>
      <c r="U13" s="656">
        <f t="shared" si="7"/>
        <v>0</v>
      </c>
    </row>
    <row r="14" spans="1:21" s="569" customFormat="1" ht="15.75" customHeight="1">
      <c r="A14" s="80">
        <v>11</v>
      </c>
      <c r="B14" s="101" t="s">
        <v>127</v>
      </c>
      <c r="C14" s="1539" t="str">
        <f>OR_VEH!B163</f>
        <v>NE PAS UTILISER</v>
      </c>
      <c r="D14" s="1588"/>
      <c r="E14" s="776" t="s">
        <v>225</v>
      </c>
      <c r="F14" s="269">
        <f>IFERROR(IF(Flag=TRUE,K14-TBIn!E324,TBIn!D324),0)</f>
        <v>0</v>
      </c>
      <c r="G14" s="2599">
        <f>IFERROR(IF(Flag=TRUE,L14-TBIn!E1707,TBIn!D1707),0)</f>
        <v>0</v>
      </c>
      <c r="H14" s="2599">
        <f>IFERROR(IF(Flag=TRUE,M14-TBIn!E1747,TBIn!D1747),0)</f>
        <v>0</v>
      </c>
      <c r="I14" s="552">
        <f t="shared" si="0"/>
        <v>0</v>
      </c>
      <c r="J14" s="608">
        <f t="shared" si="1"/>
        <v>0</v>
      </c>
      <c r="K14" s="721">
        <f>IFERROR(TBIn!E324,0)</f>
        <v>0</v>
      </c>
      <c r="L14" s="2574">
        <f>IFERROR(TBIn!E1707,0)</f>
        <v>0</v>
      </c>
      <c r="M14" s="2574">
        <f>IFERROR(TBIn!E1747,0)</f>
        <v>0</v>
      </c>
      <c r="N14" s="555">
        <f t="shared" si="3"/>
        <v>0</v>
      </c>
      <c r="O14" s="587">
        <f t="shared" si="2"/>
        <v>0</v>
      </c>
      <c r="P14" s="80">
        <v>11</v>
      </c>
      <c r="Q14" s="644">
        <v>0</v>
      </c>
      <c r="R14" s="656">
        <f t="shared" si="4"/>
        <v>0</v>
      </c>
      <c r="S14" s="656">
        <f t="shared" si="5"/>
        <v>0</v>
      </c>
      <c r="T14" s="656">
        <f t="shared" si="6"/>
        <v>0</v>
      </c>
      <c r="U14" s="656">
        <f t="shared" si="7"/>
        <v>0</v>
      </c>
    </row>
    <row r="15" spans="1:21" s="569" customFormat="1" ht="15.75" customHeight="1">
      <c r="A15" s="80">
        <v>12</v>
      </c>
      <c r="B15" s="101" t="s">
        <v>122</v>
      </c>
      <c r="C15" s="1539" t="str">
        <f>OR_VEH!B164</f>
        <v>NE PAS UTILISER</v>
      </c>
      <c r="D15" s="1588"/>
      <c r="E15" s="776" t="s">
        <v>226</v>
      </c>
      <c r="F15" s="269">
        <f>IFERROR(IF(Flag=TRUE,K15-TBIn!E325,TBIn!D325),0)</f>
        <v>0</v>
      </c>
      <c r="G15" s="2599">
        <f>IFERROR(IF(Flag=TRUE,L15-TBIn!E1708,TBIn!D1708),0)</f>
        <v>0</v>
      </c>
      <c r="H15" s="2599">
        <f>IFERROR(IF(Flag=TRUE,M15-TBIn!E1748,TBIn!D1748),0)</f>
        <v>0</v>
      </c>
      <c r="I15" s="552">
        <f t="shared" si="0"/>
        <v>0</v>
      </c>
      <c r="J15" s="608">
        <f t="shared" si="1"/>
        <v>0</v>
      </c>
      <c r="K15" s="721">
        <f>IFERROR(TBIn!E325,0)</f>
        <v>0</v>
      </c>
      <c r="L15" s="2574">
        <f>IFERROR(TBIn!E1708,0)</f>
        <v>0</v>
      </c>
      <c r="M15" s="2574">
        <f>IFERROR(TBIn!E1748,0)</f>
        <v>0</v>
      </c>
      <c r="N15" s="555">
        <f t="shared" si="3"/>
        <v>0</v>
      </c>
      <c r="O15" s="587">
        <f t="shared" si="2"/>
        <v>0</v>
      </c>
      <c r="P15" s="80">
        <v>12</v>
      </c>
      <c r="Q15" s="644">
        <v>0</v>
      </c>
      <c r="R15" s="656">
        <f t="shared" si="4"/>
        <v>0</v>
      </c>
      <c r="S15" s="656">
        <f t="shared" si="5"/>
        <v>0</v>
      </c>
      <c r="T15" s="656">
        <f t="shared" si="6"/>
        <v>0</v>
      </c>
      <c r="U15" s="656">
        <f t="shared" si="7"/>
        <v>0</v>
      </c>
    </row>
    <row r="16" spans="1:21" s="569" customFormat="1" ht="15.75" customHeight="1">
      <c r="A16" s="80">
        <v>13</v>
      </c>
      <c r="B16" s="101" t="s">
        <v>118</v>
      </c>
      <c r="C16" s="1539" t="str">
        <f>OR_VEH!B165</f>
        <v>NE PAS UTILISER</v>
      </c>
      <c r="D16" s="1588"/>
      <c r="E16" s="776" t="s">
        <v>227</v>
      </c>
      <c r="F16" s="269">
        <f>IFERROR(IF(Flag=TRUE,K16-TBIn!E326,TBIn!D326),0)</f>
        <v>0</v>
      </c>
      <c r="G16" s="2599">
        <f>IFERROR(IF(Flag=TRUE,L16-TBIn!E1709,TBIn!D1709),0)</f>
        <v>0</v>
      </c>
      <c r="H16" s="2599">
        <f>IFERROR(IF(Flag=TRUE,M16-TBIn!E1749,TBIn!D1749),0)</f>
        <v>0</v>
      </c>
      <c r="I16" s="552">
        <f t="shared" si="0"/>
        <v>0</v>
      </c>
      <c r="J16" s="608">
        <f t="shared" si="1"/>
        <v>0</v>
      </c>
      <c r="K16" s="721">
        <f>IFERROR(TBIn!E326,0)</f>
        <v>0</v>
      </c>
      <c r="L16" s="2574">
        <f>IFERROR(TBIn!E1709,0)</f>
        <v>0</v>
      </c>
      <c r="M16" s="2574">
        <f>IFERROR(TBIn!E1749,0)</f>
        <v>0</v>
      </c>
      <c r="N16" s="555">
        <f t="shared" si="3"/>
        <v>0</v>
      </c>
      <c r="O16" s="587">
        <f t="shared" si="2"/>
        <v>0</v>
      </c>
      <c r="P16" s="80">
        <v>13</v>
      </c>
      <c r="Q16" s="644">
        <v>0</v>
      </c>
      <c r="R16" s="656">
        <f t="shared" si="4"/>
        <v>0</v>
      </c>
      <c r="S16" s="656">
        <f t="shared" si="5"/>
        <v>0</v>
      </c>
      <c r="T16" s="656">
        <f t="shared" si="6"/>
        <v>0</v>
      </c>
      <c r="U16" s="656">
        <f t="shared" si="7"/>
        <v>0</v>
      </c>
    </row>
    <row r="17" spans="1:21" s="569" customFormat="1" ht="15.75" customHeight="1">
      <c r="A17" s="80">
        <v>14</v>
      </c>
      <c r="B17" s="101" t="s">
        <v>110</v>
      </c>
      <c r="C17" s="1539" t="str">
        <f>OR_VEH!B166</f>
        <v>NE PAS UTILISER</v>
      </c>
      <c r="D17" s="1588"/>
      <c r="E17" s="776" t="s">
        <v>228</v>
      </c>
      <c r="F17" s="269">
        <f>IFERROR(IF(Flag=TRUE,K17-TBIn!E327,TBIn!D327),0)</f>
        <v>0</v>
      </c>
      <c r="G17" s="2599">
        <f>IFERROR(IF(Flag=TRUE,L17-TBIn!E1710,TBIn!D1710),0)</f>
        <v>0</v>
      </c>
      <c r="H17" s="2599">
        <f>IFERROR(IF(Flag=TRUE,M17-TBIn!E1750,TBIn!D1750),0)</f>
        <v>0</v>
      </c>
      <c r="I17" s="552">
        <f t="shared" si="0"/>
        <v>0</v>
      </c>
      <c r="J17" s="608">
        <f t="shared" si="1"/>
        <v>0</v>
      </c>
      <c r="K17" s="721">
        <f>IFERROR(TBIn!E327,0)</f>
        <v>0</v>
      </c>
      <c r="L17" s="2574">
        <f>IFERROR(TBIn!E1710,0)</f>
        <v>0</v>
      </c>
      <c r="M17" s="2574">
        <f>IFERROR(TBIn!E1750,0)</f>
        <v>0</v>
      </c>
      <c r="N17" s="555">
        <f t="shared" si="3"/>
        <v>0</v>
      </c>
      <c r="O17" s="587">
        <f t="shared" si="2"/>
        <v>0</v>
      </c>
      <c r="P17" s="80">
        <v>14</v>
      </c>
      <c r="Q17" s="644">
        <v>0</v>
      </c>
      <c r="R17" s="656">
        <f t="shared" si="4"/>
        <v>0</v>
      </c>
      <c r="S17" s="656">
        <f t="shared" si="5"/>
        <v>0</v>
      </c>
      <c r="T17" s="656">
        <f t="shared" si="6"/>
        <v>0</v>
      </c>
      <c r="U17" s="656">
        <f t="shared" si="7"/>
        <v>0</v>
      </c>
    </row>
    <row r="18" spans="1:21" s="569" customFormat="1" ht="15.75" customHeight="1">
      <c r="A18" s="80">
        <v>15</v>
      </c>
      <c r="B18" s="275" t="s">
        <v>122</v>
      </c>
      <c r="C18" s="1539" t="str">
        <f>OR_VEH!B167</f>
        <v>NE PAS UTILISER</v>
      </c>
      <c r="D18" s="1588"/>
      <c r="E18" s="776" t="s">
        <v>229</v>
      </c>
      <c r="F18" s="269">
        <f>IFERROR(IF(Flag=TRUE,K18-TBIn!E328,TBIn!D328),0)</f>
        <v>0</v>
      </c>
      <c r="G18" s="2599">
        <f>IFERROR(IF(Flag=TRUE,L18-TBIn!E1711,TBIn!D1711),0)</f>
        <v>0</v>
      </c>
      <c r="H18" s="2599">
        <f>IFERROR(IF(Flag=TRUE,M18-TBIn!E1751,TBIn!D1751),0)</f>
        <v>0</v>
      </c>
      <c r="I18" s="552">
        <f t="shared" si="0"/>
        <v>0</v>
      </c>
      <c r="J18" s="608">
        <f t="shared" si="1"/>
        <v>0</v>
      </c>
      <c r="K18" s="721">
        <f>IFERROR(TBIn!E328,0)</f>
        <v>0</v>
      </c>
      <c r="L18" s="2574">
        <f>IFERROR(TBIn!E1711,0)</f>
        <v>0</v>
      </c>
      <c r="M18" s="2574">
        <f>IFERROR(TBIn!E1751,0)</f>
        <v>0</v>
      </c>
      <c r="N18" s="555">
        <f t="shared" si="3"/>
        <v>0</v>
      </c>
      <c r="O18" s="587">
        <f t="shared" si="2"/>
        <v>0</v>
      </c>
      <c r="P18" s="80">
        <v>15</v>
      </c>
      <c r="Q18" s="644">
        <v>0</v>
      </c>
      <c r="R18" s="656">
        <f t="shared" si="4"/>
        <v>0</v>
      </c>
      <c r="S18" s="656">
        <f t="shared" si="5"/>
        <v>0</v>
      </c>
      <c r="T18" s="656">
        <f t="shared" si="6"/>
        <v>0</v>
      </c>
      <c r="U18" s="656">
        <f t="shared" si="7"/>
        <v>0</v>
      </c>
    </row>
    <row r="19" spans="1:21" s="569" customFormat="1" ht="16" customHeight="1">
      <c r="A19" s="80">
        <v>16</v>
      </c>
      <c r="B19" s="275" t="s">
        <v>124</v>
      </c>
      <c r="C19" s="1539" t="str">
        <f>OR_VEH!B168</f>
        <v>NE PAS UTILISER</v>
      </c>
      <c r="D19" s="1588"/>
      <c r="E19" s="776" t="s">
        <v>230</v>
      </c>
      <c r="F19" s="269">
        <f>IFERROR(IF(Flag=TRUE,K19-TBIn!E329,TBIn!D329),0)</f>
        <v>0</v>
      </c>
      <c r="G19" s="2599">
        <f>IFERROR(IF(Flag=TRUE,L19-TBIn!E1712,TBIn!D1712),0)</f>
        <v>0</v>
      </c>
      <c r="H19" s="2599">
        <f>IFERROR(IF(Flag=TRUE,M19-TBIn!E1752,TBIn!D1752),0)</f>
        <v>0</v>
      </c>
      <c r="I19" s="552">
        <f t="shared" si="0"/>
        <v>0</v>
      </c>
      <c r="J19" s="608">
        <f t="shared" si="1"/>
        <v>0</v>
      </c>
      <c r="K19" s="721">
        <f>IFERROR(TBIn!E329,0)</f>
        <v>0</v>
      </c>
      <c r="L19" s="2574">
        <f>IFERROR(TBIn!E1712,0)</f>
        <v>0</v>
      </c>
      <c r="M19" s="2574">
        <f>IFERROR(TBIn!E1752,0)</f>
        <v>0</v>
      </c>
      <c r="N19" s="555">
        <f t="shared" si="3"/>
        <v>0</v>
      </c>
      <c r="O19" s="587">
        <f t="shared" si="2"/>
        <v>0</v>
      </c>
      <c r="P19" s="80">
        <v>16</v>
      </c>
      <c r="Q19" s="644">
        <v>0</v>
      </c>
      <c r="R19" s="656">
        <f t="shared" si="4"/>
        <v>0</v>
      </c>
      <c r="S19" s="656">
        <f t="shared" si="5"/>
        <v>0</v>
      </c>
      <c r="T19" s="656">
        <f t="shared" si="6"/>
        <v>0</v>
      </c>
      <c r="U19" s="656">
        <f t="shared" si="7"/>
        <v>0</v>
      </c>
    </row>
    <row r="20" spans="1:21" s="569" customFormat="1" ht="16" customHeight="1">
      <c r="A20" s="80">
        <v>17</v>
      </c>
      <c r="B20" s="275"/>
      <c r="C20" s="1539" t="str">
        <f>OR_VEH!B169</f>
        <v>POUR USAGE FUTUR</v>
      </c>
      <c r="D20" s="1588"/>
      <c r="E20" s="776" t="s">
        <v>231</v>
      </c>
      <c r="F20" s="269">
        <f>IFERROR(IF(Flag=TRUE,K20-TBIn!E330,TBIn!D330),0)</f>
        <v>0</v>
      </c>
      <c r="G20" s="2599">
        <f>IFERROR(IF(Flag=TRUE,L20-TBIn!E1713,TBIn!D1713),0)</f>
        <v>0</v>
      </c>
      <c r="H20" s="2599">
        <f>IFERROR(IF(Flag=TRUE,M20-TBIn!E1753,TBIn!D1753),0)</f>
        <v>0</v>
      </c>
      <c r="I20" s="552">
        <f t="shared" si="0"/>
        <v>0</v>
      </c>
      <c r="J20" s="608">
        <f t="shared" si="1"/>
        <v>0</v>
      </c>
      <c r="K20" s="721">
        <f>IFERROR(TBIn!E330,0)</f>
        <v>0</v>
      </c>
      <c r="L20" s="2574">
        <f>IFERROR(TBIn!E1713,0)</f>
        <v>0</v>
      </c>
      <c r="M20" s="2574">
        <f>IFERROR(TBIn!E1753,0)</f>
        <v>0</v>
      </c>
      <c r="N20" s="555">
        <f t="shared" si="3"/>
        <v>0</v>
      </c>
      <c r="O20" s="587">
        <f t="shared" si="2"/>
        <v>0</v>
      </c>
      <c r="P20" s="80">
        <v>17</v>
      </c>
      <c r="Q20" s="644">
        <v>0</v>
      </c>
      <c r="R20" s="656">
        <f t="shared" si="4"/>
        <v>0</v>
      </c>
      <c r="S20" s="656">
        <f t="shared" si="5"/>
        <v>0</v>
      </c>
      <c r="T20" s="656">
        <f t="shared" si="6"/>
        <v>0</v>
      </c>
      <c r="U20" s="656">
        <f t="shared" si="7"/>
        <v>0</v>
      </c>
    </row>
    <row r="21" spans="1:21" s="569" customFormat="1" ht="16" customHeight="1">
      <c r="A21" s="80">
        <v>18</v>
      </c>
      <c r="B21" s="215"/>
      <c r="C21" s="1539" t="str">
        <f>OR_VEH!B170</f>
        <v>NE PAS UTILISER</v>
      </c>
      <c r="D21" s="1588"/>
      <c r="E21" s="776" t="s">
        <v>232</v>
      </c>
      <c r="F21" s="269">
        <f>IFERROR(IF(Flag=TRUE,K21-TBIn!E331,TBIn!D331),0)</f>
        <v>0</v>
      </c>
      <c r="G21" s="2599">
        <f>IFERROR(IF(Flag=TRUE,L21-TBIn!E1714,TBIn!D1714),0)</f>
        <v>0</v>
      </c>
      <c r="H21" s="2599">
        <f>IFERROR(IF(Flag=TRUE,M21-TBIn!E1754,TBIn!D1754),0)</f>
        <v>0</v>
      </c>
      <c r="I21" s="552">
        <f t="shared" si="0"/>
        <v>0</v>
      </c>
      <c r="J21" s="608">
        <f t="shared" si="1"/>
        <v>0</v>
      </c>
      <c r="K21" s="721">
        <f>IFERROR(TBIn!E331,0)</f>
        <v>0</v>
      </c>
      <c r="L21" s="2574">
        <f>IFERROR(TBIn!E1714,0)</f>
        <v>0</v>
      </c>
      <c r="M21" s="2574">
        <f>IFERROR(TBIn!E1754,0)</f>
        <v>0</v>
      </c>
      <c r="N21" s="555">
        <f t="shared" si="3"/>
        <v>0</v>
      </c>
      <c r="O21" s="587">
        <f t="shared" si="2"/>
        <v>0</v>
      </c>
      <c r="P21" s="80">
        <v>18</v>
      </c>
      <c r="Q21" s="644">
        <v>0</v>
      </c>
      <c r="R21" s="656">
        <f t="shared" si="4"/>
        <v>0</v>
      </c>
      <c r="S21" s="656">
        <f t="shared" si="5"/>
        <v>0</v>
      </c>
      <c r="T21" s="656">
        <f t="shared" si="6"/>
        <v>0</v>
      </c>
      <c r="U21" s="656">
        <f t="shared" si="7"/>
        <v>0</v>
      </c>
    </row>
    <row r="22" spans="1:21" s="569" customFormat="1" ht="16" customHeight="1">
      <c r="A22" s="80">
        <v>19</v>
      </c>
      <c r="B22" s="215"/>
      <c r="C22" s="1589" t="str">
        <f>OR_VEH!B171</f>
        <v>AUTRES BUICK</v>
      </c>
      <c r="D22" s="1590"/>
      <c r="E22" s="777" t="s">
        <v>233</v>
      </c>
      <c r="F22" s="270">
        <f>IFERROR(IF(Flag=TRUE,K22-TBIn!E332,TBIn!D332),0)</f>
        <v>0</v>
      </c>
      <c r="G22" s="2600">
        <f>IFERROR(IF(Flag=TRUE,L22-TBIn!E1715,TBIn!D1715),0)</f>
        <v>0</v>
      </c>
      <c r="H22" s="2600">
        <f>IFERROR(IF(Flag=TRUE,M22-TBIn!E1755,TBIn!D1755),0)</f>
        <v>0</v>
      </c>
      <c r="I22" s="553">
        <f t="shared" si="0"/>
        <v>0</v>
      </c>
      <c r="J22" s="847">
        <f t="shared" si="1"/>
        <v>0</v>
      </c>
      <c r="K22" s="722">
        <f>IFERROR(TBIn!E332,0)</f>
        <v>0</v>
      </c>
      <c r="L22" s="2603">
        <f>IFERROR(TBIn!E1715,0)</f>
        <v>0</v>
      </c>
      <c r="M22" s="2603">
        <f>IFERROR(TBIn!E1755,0)</f>
        <v>0</v>
      </c>
      <c r="N22" s="556">
        <f t="shared" si="3"/>
        <v>0</v>
      </c>
      <c r="O22" s="601">
        <f t="shared" si="2"/>
        <v>0</v>
      </c>
      <c r="P22" s="80">
        <v>19</v>
      </c>
      <c r="Q22" s="644">
        <v>0</v>
      </c>
      <c r="R22" s="656">
        <f t="shared" si="4"/>
        <v>0</v>
      </c>
      <c r="S22" s="656">
        <f t="shared" si="5"/>
        <v>0</v>
      </c>
      <c r="T22" s="656">
        <f t="shared" si="6"/>
        <v>0</v>
      </c>
      <c r="U22" s="656">
        <f t="shared" si="7"/>
        <v>0</v>
      </c>
    </row>
    <row r="23" spans="1:21"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44"/>
      <c r="R23" s="656"/>
      <c r="S23" s="656"/>
      <c r="T23" s="656"/>
      <c r="U23" s="656"/>
    </row>
    <row r="24" spans="1:21" s="569" customFormat="1" ht="16" customHeight="1">
      <c r="A24" s="80">
        <v>21</v>
      </c>
      <c r="B24" s="215"/>
      <c r="C24" s="1591" t="str">
        <f>OR_VEH!B173</f>
        <v>MÉMO* VENTES INTERNET VOITURES</v>
      </c>
      <c r="D24" s="1536"/>
      <c r="E24" s="779" t="s">
        <v>234</v>
      </c>
      <c r="F24" s="269">
        <f>IFERROR(IF(Flag=TRUE,K24-TBIn!E333,TBIn!D333),0)</f>
        <v>0</v>
      </c>
      <c r="G24" s="2599">
        <f>IFERROR(IF(Flag=TRUE,L24-TBIn!$E$148,TBIn!$D$148),0)</f>
        <v>0</v>
      </c>
      <c r="H24" s="2599">
        <f>IFERROR(IF(Flag=TRUE,M24-TBIn!$E$168,TBIn!$D$168),0)</f>
        <v>0</v>
      </c>
      <c r="I24" s="552">
        <f>G24-H24</f>
        <v>0</v>
      </c>
      <c r="J24" s="608">
        <f t="shared" si="1"/>
        <v>0</v>
      </c>
      <c r="K24" s="721">
        <f>IFERROR(TBIn!E333,0)</f>
        <v>0</v>
      </c>
      <c r="L24" s="2574">
        <f>IFERROR(TBIn!$E$148,0)</f>
        <v>0</v>
      </c>
      <c r="M24" s="2574">
        <f>IFERROR(TBIn!$E$168,0)</f>
        <v>0</v>
      </c>
      <c r="N24" s="555">
        <f>L24-M24</f>
        <v>0</v>
      </c>
      <c r="O24" s="587">
        <f t="shared" si="2"/>
        <v>0</v>
      </c>
      <c r="P24" s="80">
        <v>21</v>
      </c>
      <c r="Q24" s="644">
        <v>65000</v>
      </c>
      <c r="R24" s="656">
        <f t="shared" si="4"/>
        <v>0</v>
      </c>
      <c r="S24" s="656">
        <f>IF(K24=0,0,IF(OR(L24&lt;0,L24/K24&gt;Q24),1,0))</f>
        <v>0</v>
      </c>
      <c r="T24" s="656">
        <f>IF(OR(F24&lt;0,AND(G24&gt;0,F24=0),AND(G24=0,F24&gt;0)),1,0)</f>
        <v>0</v>
      </c>
      <c r="U24" s="656">
        <f>IF(OR(K24&lt;0,AND(L24&gt;0,K24=0),AND(K24&gt;0,L24=0)),1,0)</f>
        <v>0</v>
      </c>
    </row>
    <row r="25" spans="1:21" s="569" customFormat="1" ht="21.65" customHeight="1">
      <c r="A25" s="80">
        <v>22</v>
      </c>
      <c r="B25" s="101"/>
      <c r="C25" s="1594" t="str">
        <f>OR_VEH!B174</f>
        <v>TOTAL PARCS - VOITURES</v>
      </c>
      <c r="D25" s="1588"/>
      <c r="E25" s="2525" t="s">
        <v>139</v>
      </c>
      <c r="F25" s="269">
        <f>IFERROR(IF(Flag=TRUE,K25-TBIn!E334,TBIn!D334),0)</f>
        <v>0</v>
      </c>
      <c r="G25" s="2599">
        <f>IFERROR(IF(Flag=TRUE,L25-TBIn!E1716,TBIn!D1716),0)</f>
        <v>0</v>
      </c>
      <c r="H25" s="2599">
        <f>IFERROR(IF(Flag=TRUE,M25-TBIn!E1756,TBIn!D1756),0)</f>
        <v>0</v>
      </c>
      <c r="I25" s="552">
        <f>G25-H25</f>
        <v>0</v>
      </c>
      <c r="J25" s="608">
        <f t="shared" si="1"/>
        <v>0</v>
      </c>
      <c r="K25" s="721">
        <f>IFERROR(TBIn!E334,0)</f>
        <v>0</v>
      </c>
      <c r="L25" s="2574">
        <f>IFERROR(TBIn!E1716,0)</f>
        <v>0</v>
      </c>
      <c r="M25" s="2574">
        <f>IFERROR(TBIn!E1756,0)</f>
        <v>0</v>
      </c>
      <c r="N25" s="2679">
        <f>L25-M25</f>
        <v>0</v>
      </c>
      <c r="O25" s="587">
        <f t="shared" si="2"/>
        <v>0</v>
      </c>
      <c r="P25" s="80">
        <v>22</v>
      </c>
      <c r="Q25" s="644">
        <v>55000</v>
      </c>
      <c r="R25" s="656">
        <f t="shared" si="4"/>
        <v>0</v>
      </c>
      <c r="S25" s="656">
        <f>IF(K25=0,0,IF(OR(L25&lt;0,L25/K25&gt;Q25),1,0))</f>
        <v>0</v>
      </c>
      <c r="T25" s="656">
        <f>IF(OR(F25&lt;0,AND(G25&gt;0,F25=0),AND(G25=0,F25&gt;0)),1,0)</f>
        <v>0</v>
      </c>
      <c r="U25" s="656">
        <f>IF(OR(K25&lt;0,AND(L25&gt;0,K25=0),AND(K25&gt;0,L25=0)),1,0)</f>
        <v>0</v>
      </c>
    </row>
    <row r="26" spans="1:21" s="569" customFormat="1" ht="16" customHeight="1">
      <c r="A26" s="80">
        <v>23</v>
      </c>
      <c r="B26" s="215"/>
      <c r="C26" s="1596" t="str">
        <f>OR_VEH!B175</f>
        <v>TOTAL INTERNE - VOITURES</v>
      </c>
      <c r="D26" s="1598"/>
      <c r="E26" s="780" t="s">
        <v>235</v>
      </c>
      <c r="F26" s="269">
        <f>IFERROR(IF(Flag=TRUE,K26-TBIn!E335,TBIn!D335),0)</f>
        <v>0</v>
      </c>
      <c r="G26" s="2599">
        <f>IFERROR(IF(Flag=TRUE,L26-TBIn!E1717,TBIn!D1717),0)</f>
        <v>0</v>
      </c>
      <c r="H26" s="2599">
        <f>IFERROR(IF(Flag=TRUE,M26-TBIn!E1757,TBIn!D1757),0)</f>
        <v>0</v>
      </c>
      <c r="I26" s="552">
        <f>G26-H26</f>
        <v>0</v>
      </c>
      <c r="J26" s="608">
        <f t="shared" si="1"/>
        <v>0</v>
      </c>
      <c r="K26" s="721">
        <f>IFERROR(TBIn!E335,0)</f>
        <v>0</v>
      </c>
      <c r="L26" s="2574">
        <f>IFERROR(TBIn!E1717,0)</f>
        <v>0</v>
      </c>
      <c r="M26" s="2574">
        <f>IFERROR(TBIn!E1757,0)</f>
        <v>0</v>
      </c>
      <c r="N26" s="555">
        <f>L26-M26</f>
        <v>0</v>
      </c>
      <c r="O26" s="587">
        <f t="shared" si="2"/>
        <v>0</v>
      </c>
      <c r="P26" s="80">
        <v>23</v>
      </c>
      <c r="Q26" s="644">
        <v>55000</v>
      </c>
      <c r="R26" s="656">
        <f t="shared" si="4"/>
        <v>0</v>
      </c>
      <c r="S26" s="656">
        <f>IF(K26=0,0,IF(OR(L26&lt;0,L26/K26&gt;Q26),1,0))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44"/>
      <c r="R27" s="656"/>
      <c r="S27" s="656"/>
      <c r="T27" s="656"/>
      <c r="U27" s="656"/>
    </row>
    <row r="28" spans="1:21" s="569" customFormat="1" ht="16" customHeight="1">
      <c r="A28" s="80">
        <v>25</v>
      </c>
      <c r="B28" s="207"/>
      <c r="C28" s="1601" t="str">
        <f>OR_VEH!B177</f>
        <v>NE PAS UTILISER</v>
      </c>
      <c r="D28" s="1599"/>
      <c r="E28" s="779" t="s">
        <v>236</v>
      </c>
      <c r="F28" s="180">
        <f>IFERROR(IF(Flag=TRUE,K28-TBIn!E336,TBIn!D336),0)</f>
        <v>0</v>
      </c>
      <c r="G28" s="2601">
        <f>IFERROR(IF(Flag=TRUE,L28-TBIn!E1718,TBIn!D1718),0)</f>
        <v>0</v>
      </c>
      <c r="H28" s="2601">
        <f>IFERROR(IF(Flag=TRUE,M28-TBIn!E1758,TBIn!D1758),0)</f>
        <v>0</v>
      </c>
      <c r="I28" s="557">
        <f t="shared" ref="I28:I43" si="8">G28-H28</f>
        <v>0</v>
      </c>
      <c r="J28" s="271">
        <f t="shared" si="1"/>
        <v>0</v>
      </c>
      <c r="K28" s="723">
        <f>IFERROR(TBIn!E336,0)</f>
        <v>0</v>
      </c>
      <c r="L28" s="2604">
        <f>IFERROR(TBIn!E1718,0)</f>
        <v>0</v>
      </c>
      <c r="M28" s="2604">
        <f>IFERROR(TBIn!E1758,0)</f>
        <v>0</v>
      </c>
      <c r="N28" s="326">
        <f t="shared" ref="N28:N43" si="9">L28-M28</f>
        <v>0</v>
      </c>
      <c r="O28" s="272">
        <f t="shared" si="2"/>
        <v>0</v>
      </c>
      <c r="P28" s="80">
        <v>25</v>
      </c>
      <c r="Q28" s="644">
        <v>0</v>
      </c>
      <c r="R28" s="656">
        <f t="shared" si="4"/>
        <v>0</v>
      </c>
      <c r="S28" s="656">
        <f t="shared" ref="S28:S43" si="10">IF(K28=0,0,IF(OR(L28&lt;0,L28/K28&gt;Q28),1,0))</f>
        <v>0</v>
      </c>
      <c r="T28" s="656">
        <f t="shared" ref="T28:T43" si="11">IF(OR(F28&lt;0,AND(G28&gt;0,F28=0),AND(G28=0,F28&gt;0)),1,0)</f>
        <v>0</v>
      </c>
      <c r="U28" s="656">
        <f t="shared" ref="U28:U43" si="12">IF(OR(K28&lt;0,AND(L28&gt;0,K28=0),AND(K28&gt;0,L28=0)),1,0)</f>
        <v>0</v>
      </c>
    </row>
    <row r="29" spans="1:21" s="569" customFormat="1" ht="16" customHeight="1">
      <c r="A29" s="80">
        <v>26</v>
      </c>
      <c r="B29" s="275" t="s">
        <v>143</v>
      </c>
      <c r="C29" s="1539" t="str">
        <f>OR_VEH!B178</f>
        <v>ENVISTA</v>
      </c>
      <c r="D29" s="1588"/>
      <c r="E29" s="779" t="s">
        <v>237</v>
      </c>
      <c r="F29" s="269">
        <f>IFERROR(IF(Flag=TRUE,K29-TBIn!E337,TBIn!D337),0)</f>
        <v>5</v>
      </c>
      <c r="G29" s="2599">
        <f>IFERROR(IF(Flag=TRUE,L29-TBIn!E1719,TBIn!D1719),0)</f>
        <v>165614</v>
      </c>
      <c r="H29" s="2601">
        <f>IFERROR(IF(Flag=TRUE,M29-TBIn!E1759,TBIn!D1759),0)</f>
        <v>160046</v>
      </c>
      <c r="I29" s="557">
        <f t="shared" si="8"/>
        <v>5568</v>
      </c>
      <c r="J29" s="608">
        <f t="shared" si="1"/>
        <v>1113.5999999999999</v>
      </c>
      <c r="K29" s="721">
        <f>IFERROR(TBIn!E337,0)</f>
        <v>6</v>
      </c>
      <c r="L29" s="2574">
        <f>IFERROR(TBIn!E1719,0)</f>
        <v>197358</v>
      </c>
      <c r="M29" s="2604">
        <f>IFERROR(TBIn!E1759,0)</f>
        <v>190745</v>
      </c>
      <c r="N29" s="326">
        <f t="shared" si="9"/>
        <v>6613</v>
      </c>
      <c r="O29" s="587">
        <f t="shared" si="2"/>
        <v>1102.1666666666667</v>
      </c>
      <c r="P29" s="80">
        <v>26</v>
      </c>
      <c r="Q29" s="644">
        <v>0</v>
      </c>
      <c r="R29" s="656">
        <f t="shared" si="4"/>
        <v>1</v>
      </c>
      <c r="S29" s="656">
        <f t="shared" si="10"/>
        <v>1</v>
      </c>
      <c r="T29" s="656">
        <f t="shared" si="11"/>
        <v>0</v>
      </c>
      <c r="U29" s="656">
        <f t="shared" si="12"/>
        <v>0</v>
      </c>
    </row>
    <row r="30" spans="1:21" s="569" customFormat="1" ht="16" customHeight="1">
      <c r="A30" s="80">
        <v>27</v>
      </c>
      <c r="B30" s="275" t="s">
        <v>145</v>
      </c>
      <c r="C30" s="1600" t="str">
        <f>OR_VEH!B179</f>
        <v>NE PAS UTILISER</v>
      </c>
      <c r="D30" s="1588"/>
      <c r="E30" s="779" t="s">
        <v>238</v>
      </c>
      <c r="F30" s="269">
        <f>IFERROR(IF(Flag=TRUE,K30-TBIn!E338,TBIn!D338),0)</f>
        <v>0</v>
      </c>
      <c r="G30" s="2599">
        <f>IFERROR(IF(Flag=TRUE,L30-TBIn!E1720,TBIn!D1720),0)</f>
        <v>0</v>
      </c>
      <c r="H30" s="2601">
        <f>IFERROR(IF(Flag=TRUE,M30-TBIn!E1760,TBIn!D1760),0)</f>
        <v>0</v>
      </c>
      <c r="I30" s="557">
        <f t="shared" si="8"/>
        <v>0</v>
      </c>
      <c r="J30" s="608">
        <f t="shared" si="1"/>
        <v>0</v>
      </c>
      <c r="K30" s="721">
        <f>IFERROR(TBIn!E338,0)</f>
        <v>0</v>
      </c>
      <c r="L30" s="2574">
        <f>IFERROR(TBIn!E1720,0)</f>
        <v>0</v>
      </c>
      <c r="M30" s="2604">
        <f>IFERROR(TBIn!E1760,0)</f>
        <v>0</v>
      </c>
      <c r="N30" s="326">
        <f t="shared" si="9"/>
        <v>0</v>
      </c>
      <c r="O30" s="587">
        <f t="shared" si="2"/>
        <v>0</v>
      </c>
      <c r="P30" s="80">
        <v>27</v>
      </c>
      <c r="Q30" s="644">
        <v>35000</v>
      </c>
      <c r="R30" s="656">
        <f t="shared" si="4"/>
        <v>0</v>
      </c>
      <c r="S30" s="656">
        <f t="shared" si="10"/>
        <v>0</v>
      </c>
      <c r="T30" s="656">
        <f t="shared" si="11"/>
        <v>0</v>
      </c>
      <c r="U30" s="656">
        <f t="shared" si="12"/>
        <v>0</v>
      </c>
    </row>
    <row r="31" spans="1:21" s="569" customFormat="1" ht="16" customHeight="1">
      <c r="A31" s="80">
        <v>28</v>
      </c>
      <c r="B31" s="275" t="s">
        <v>147</v>
      </c>
      <c r="C31" s="1600" t="str">
        <f>OR_VEH!B180</f>
        <v>ENCLAVE</v>
      </c>
      <c r="D31" s="1588"/>
      <c r="E31" s="779" t="s">
        <v>239</v>
      </c>
      <c r="F31" s="269">
        <f>IFERROR(IF(Flag=TRUE,K31-TBIn!E339,TBIn!D339),0)</f>
        <v>0</v>
      </c>
      <c r="G31" s="2599">
        <f>IFERROR(IF(Flag=TRUE,L31-TBIn!E1721,TBIn!D1721),0)</f>
        <v>0</v>
      </c>
      <c r="H31" s="2601">
        <f>IFERROR(IF(Flag=TRUE,M31-TBIn!E1761,TBIn!D1761),0)</f>
        <v>0</v>
      </c>
      <c r="I31" s="557">
        <f t="shared" si="8"/>
        <v>0</v>
      </c>
      <c r="J31" s="608">
        <f t="shared" si="1"/>
        <v>0</v>
      </c>
      <c r="K31" s="721">
        <f>IFERROR(TBIn!E339,0)</f>
        <v>1</v>
      </c>
      <c r="L31" s="2574">
        <f>IFERROR(TBIn!E1721,0)</f>
        <v>59739</v>
      </c>
      <c r="M31" s="2604">
        <f>IFERROR(TBIn!E1761,0)</f>
        <v>59052</v>
      </c>
      <c r="N31" s="326">
        <f t="shared" si="9"/>
        <v>687</v>
      </c>
      <c r="O31" s="587">
        <f t="shared" si="2"/>
        <v>687</v>
      </c>
      <c r="P31" s="80">
        <v>28</v>
      </c>
      <c r="Q31" s="644">
        <v>0</v>
      </c>
      <c r="R31" s="656">
        <f t="shared" si="4"/>
        <v>0</v>
      </c>
      <c r="S31" s="656">
        <f t="shared" si="10"/>
        <v>1</v>
      </c>
      <c r="T31" s="656">
        <f t="shared" si="11"/>
        <v>0</v>
      </c>
      <c r="U31" s="656">
        <f t="shared" si="12"/>
        <v>0</v>
      </c>
    </row>
    <row r="32" spans="1:21" s="569" customFormat="1" ht="16" customHeight="1">
      <c r="A32" s="80">
        <v>29</v>
      </c>
      <c r="B32" s="275" t="s">
        <v>114</v>
      </c>
      <c r="C32" s="1600" t="str">
        <f>OR_VEH!B181</f>
        <v>ENCORE GX</v>
      </c>
      <c r="D32" s="1588"/>
      <c r="E32" s="779" t="s">
        <v>240</v>
      </c>
      <c r="F32" s="269">
        <f>IFERROR(IF(Flag=TRUE,K32-TBIn!E340,TBIn!D340),0)</f>
        <v>0</v>
      </c>
      <c r="G32" s="2599">
        <f>IFERROR(IF(Flag=TRUE,L32-TBIn!E1722,TBIn!D1722),0)</f>
        <v>0</v>
      </c>
      <c r="H32" s="2601">
        <f>IFERROR(IF(Flag=TRUE,M32-TBIn!E1762,TBIn!D1762),0)</f>
        <v>0</v>
      </c>
      <c r="I32" s="557">
        <f t="shared" si="8"/>
        <v>0</v>
      </c>
      <c r="J32" s="608">
        <f t="shared" si="1"/>
        <v>0</v>
      </c>
      <c r="K32" s="721">
        <f>IFERROR(TBIn!E340,0)</f>
        <v>0</v>
      </c>
      <c r="L32" s="2574">
        <f>IFERROR(TBIn!E1722,0)</f>
        <v>0</v>
      </c>
      <c r="M32" s="2604">
        <f>IFERROR(TBIn!E1762,0)</f>
        <v>0</v>
      </c>
      <c r="N32" s="326">
        <f t="shared" si="9"/>
        <v>0</v>
      </c>
      <c r="O32" s="587">
        <f t="shared" si="2"/>
        <v>0</v>
      </c>
      <c r="P32" s="80">
        <v>29</v>
      </c>
      <c r="Q32" s="644">
        <v>0</v>
      </c>
      <c r="R32" s="656">
        <f t="shared" si="4"/>
        <v>0</v>
      </c>
      <c r="S32" s="656">
        <f t="shared" si="10"/>
        <v>0</v>
      </c>
      <c r="T32" s="656">
        <f t="shared" si="11"/>
        <v>0</v>
      </c>
      <c r="U32" s="656">
        <f t="shared" si="12"/>
        <v>0</v>
      </c>
    </row>
    <row r="33" spans="1:21" s="569" customFormat="1" ht="16" customHeight="1">
      <c r="A33" s="80">
        <v>30</v>
      </c>
      <c r="B33" s="101" t="s">
        <v>112</v>
      </c>
      <c r="C33" s="1600" t="str">
        <f>OR_VEH!B182</f>
        <v>ENCORE</v>
      </c>
      <c r="D33" s="1588"/>
      <c r="E33" s="779" t="s">
        <v>241</v>
      </c>
      <c r="F33" s="269">
        <f>IFERROR(IF(Flag=TRUE,K33-TBIn!E341,TBIn!D341),0)</f>
        <v>3</v>
      </c>
      <c r="G33" s="2599">
        <f>IFERROR(IF(Flag=TRUE,L33-TBIn!E1723,TBIn!D1723),0)</f>
        <v>113627</v>
      </c>
      <c r="H33" s="2601">
        <f>IFERROR(IF(Flag=TRUE,M33-TBIn!E1763,TBIn!D1763),0)</f>
        <v>108461</v>
      </c>
      <c r="I33" s="557">
        <f t="shared" si="8"/>
        <v>5166</v>
      </c>
      <c r="J33" s="608">
        <f t="shared" si="1"/>
        <v>1722</v>
      </c>
      <c r="K33" s="721">
        <f>IFERROR(TBIn!E341,0)</f>
        <v>5</v>
      </c>
      <c r="L33" s="2574">
        <f>IFERROR(TBIn!E1723,0)</f>
        <v>185859</v>
      </c>
      <c r="M33" s="2604">
        <f>IFERROR(TBIn!E1763,0)</f>
        <v>177129</v>
      </c>
      <c r="N33" s="326">
        <f t="shared" si="9"/>
        <v>8730</v>
      </c>
      <c r="O33" s="587">
        <f t="shared" si="2"/>
        <v>1746</v>
      </c>
      <c r="P33" s="80">
        <v>30</v>
      </c>
      <c r="Q33" s="644">
        <v>0</v>
      </c>
      <c r="R33" s="656">
        <f t="shared" si="4"/>
        <v>1</v>
      </c>
      <c r="S33" s="656">
        <f t="shared" si="10"/>
        <v>1</v>
      </c>
      <c r="T33" s="656">
        <f t="shared" si="11"/>
        <v>0</v>
      </c>
      <c r="U33" s="656">
        <f t="shared" si="12"/>
        <v>0</v>
      </c>
    </row>
    <row r="34" spans="1:21" s="569" customFormat="1" ht="16" customHeight="1">
      <c r="A34" s="80">
        <v>31</v>
      </c>
      <c r="B34" s="101" t="s">
        <v>127</v>
      </c>
      <c r="C34" s="1600" t="str">
        <f>OR_VEH!B183</f>
        <v>ENVISION</v>
      </c>
      <c r="D34" s="1588"/>
      <c r="E34" s="779" t="s">
        <v>242</v>
      </c>
      <c r="F34" s="269">
        <f>IFERROR(IF(Flag=TRUE,K34-TBIn!E342,TBIn!D342),0)</f>
        <v>2</v>
      </c>
      <c r="G34" s="2599">
        <f>IFERROR(IF(Flag=TRUE,L34-TBIn!E1724,TBIn!D1724),0)</f>
        <v>91712</v>
      </c>
      <c r="H34" s="2601">
        <f>IFERROR(IF(Flag=TRUE,M34-TBIn!E1764,TBIn!D1764),0)</f>
        <v>88815</v>
      </c>
      <c r="I34" s="557">
        <f t="shared" si="8"/>
        <v>2897</v>
      </c>
      <c r="J34" s="608">
        <f t="shared" si="1"/>
        <v>1448.5</v>
      </c>
      <c r="K34" s="721">
        <f>IFERROR(TBIn!E342,0)</f>
        <v>8</v>
      </c>
      <c r="L34" s="2574">
        <f>IFERROR(TBIn!E1724,0)</f>
        <v>364987</v>
      </c>
      <c r="M34" s="2604">
        <f>IFERROR(TBIn!E1764,0)</f>
        <v>358639</v>
      </c>
      <c r="N34" s="326">
        <f t="shared" si="9"/>
        <v>6348</v>
      </c>
      <c r="O34" s="587">
        <f t="shared" si="2"/>
        <v>793.5</v>
      </c>
      <c r="P34" s="80">
        <v>31</v>
      </c>
      <c r="Q34" s="644">
        <v>0</v>
      </c>
      <c r="R34" s="656">
        <f t="shared" si="4"/>
        <v>1</v>
      </c>
      <c r="S34" s="656">
        <f t="shared" si="10"/>
        <v>1</v>
      </c>
      <c r="T34" s="656">
        <f t="shared" si="11"/>
        <v>0</v>
      </c>
      <c r="U34" s="656">
        <f t="shared" si="12"/>
        <v>0</v>
      </c>
    </row>
    <row r="35" spans="1:21" s="569" customFormat="1" ht="16" customHeight="1">
      <c r="A35" s="80">
        <v>32</v>
      </c>
      <c r="B35" s="101" t="s">
        <v>124</v>
      </c>
      <c r="C35" s="1600" t="str">
        <f>OR_VEH!B184</f>
        <v>NE PAS UTILISER</v>
      </c>
      <c r="D35" s="1588"/>
      <c r="E35" s="779" t="s">
        <v>243</v>
      </c>
      <c r="F35" s="269">
        <f>IFERROR(IF(Flag=TRUE,K35-TBIn!E343,TBIn!D343),0)</f>
        <v>0</v>
      </c>
      <c r="G35" s="2599">
        <f>IFERROR(IF(Flag=TRUE,L35-TBIn!E1725,TBIn!D1725),0)</f>
        <v>0</v>
      </c>
      <c r="H35" s="2601">
        <f>IFERROR(IF(Flag=TRUE,M35-TBIn!E1765,TBIn!D1765),0)</f>
        <v>0</v>
      </c>
      <c r="I35" s="557">
        <f t="shared" si="8"/>
        <v>0</v>
      </c>
      <c r="J35" s="608">
        <f t="shared" si="1"/>
        <v>0</v>
      </c>
      <c r="K35" s="721">
        <f>IFERROR(TBIn!E343,0)</f>
        <v>0</v>
      </c>
      <c r="L35" s="2574">
        <f>IFERROR(TBIn!E1725,0)</f>
        <v>0</v>
      </c>
      <c r="M35" s="2604">
        <f>IFERROR(TBIn!E1765,0)</f>
        <v>0</v>
      </c>
      <c r="N35" s="326">
        <f t="shared" si="9"/>
        <v>0</v>
      </c>
      <c r="O35" s="587">
        <f t="shared" si="2"/>
        <v>0</v>
      </c>
      <c r="P35" s="80">
        <v>32</v>
      </c>
      <c r="Q35" s="644">
        <v>0</v>
      </c>
      <c r="R35" s="656">
        <f t="shared" si="4"/>
        <v>0</v>
      </c>
      <c r="S35" s="656">
        <f t="shared" si="10"/>
        <v>0</v>
      </c>
      <c r="T35" s="656">
        <f t="shared" si="11"/>
        <v>0</v>
      </c>
      <c r="U35" s="656">
        <f t="shared" si="12"/>
        <v>0</v>
      </c>
    </row>
    <row r="36" spans="1:21" s="569" customFormat="1" ht="16" customHeight="1">
      <c r="A36" s="80">
        <v>33</v>
      </c>
      <c r="B36" s="101"/>
      <c r="C36" s="1600" t="str">
        <f>OR_VEH!B185</f>
        <v>NE PAS UTILISER</v>
      </c>
      <c r="D36" s="1588"/>
      <c r="E36" s="779" t="s">
        <v>244</v>
      </c>
      <c r="F36" s="269">
        <f>IFERROR(IF(Flag=TRUE,K36-TBIn!E344,TBIn!D344),0)</f>
        <v>0</v>
      </c>
      <c r="G36" s="2599">
        <f>IFERROR(IF(Flag=TRUE,L36-TBIn!E1726,TBIn!D1726),0)</f>
        <v>0</v>
      </c>
      <c r="H36" s="2601">
        <f>IFERROR(IF(Flag=TRUE,M36-TBIn!E1766,TBIn!D1766),0)</f>
        <v>0</v>
      </c>
      <c r="I36" s="557">
        <f t="shared" si="8"/>
        <v>0</v>
      </c>
      <c r="J36" s="608">
        <f t="shared" si="1"/>
        <v>0</v>
      </c>
      <c r="K36" s="721">
        <f>IFERROR(TBIn!E344,0)</f>
        <v>0</v>
      </c>
      <c r="L36" s="2574">
        <f>IFERROR(TBIn!E1726,0)</f>
        <v>0</v>
      </c>
      <c r="M36" s="2604">
        <f>IFERROR(TBIn!E1766,0)</f>
        <v>0</v>
      </c>
      <c r="N36" s="326">
        <f t="shared" si="9"/>
        <v>0</v>
      </c>
      <c r="O36" s="587">
        <f t="shared" si="2"/>
        <v>0</v>
      </c>
      <c r="P36" s="80">
        <v>33</v>
      </c>
      <c r="Q36" s="644">
        <v>0</v>
      </c>
      <c r="R36" s="656">
        <f t="shared" si="4"/>
        <v>0</v>
      </c>
      <c r="S36" s="656">
        <f t="shared" si="10"/>
        <v>0</v>
      </c>
      <c r="T36" s="656">
        <f t="shared" si="11"/>
        <v>0</v>
      </c>
      <c r="U36" s="656">
        <f t="shared" si="12"/>
        <v>0</v>
      </c>
    </row>
    <row r="37" spans="1:21" s="569" customFormat="1" ht="16" customHeight="1">
      <c r="A37" s="80">
        <v>34</v>
      </c>
      <c r="B37" s="101" t="s">
        <v>127</v>
      </c>
      <c r="C37" s="1600" t="str">
        <f>OR_VEH!B186</f>
        <v>NE PAS UTILISER</v>
      </c>
      <c r="D37" s="1588"/>
      <c r="E37" s="779" t="s">
        <v>245</v>
      </c>
      <c r="F37" s="269">
        <f>IFERROR(IF(Flag=TRUE,K37-TBIn!E345,TBIn!D345),0)</f>
        <v>0</v>
      </c>
      <c r="G37" s="2599">
        <f>IFERROR(IF(Flag=TRUE,L37-TBIn!E1727,TBIn!D1727),0)</f>
        <v>0</v>
      </c>
      <c r="H37" s="2601">
        <f>IFERROR(IF(Flag=TRUE,M37-TBIn!E1767,TBIn!D1767),0)</f>
        <v>0</v>
      </c>
      <c r="I37" s="557">
        <f t="shared" si="8"/>
        <v>0</v>
      </c>
      <c r="J37" s="608">
        <f t="shared" si="1"/>
        <v>0</v>
      </c>
      <c r="K37" s="721">
        <f>IFERROR(TBIn!E345,0)</f>
        <v>0</v>
      </c>
      <c r="L37" s="2574">
        <f>IFERROR(TBIn!E1727,0)</f>
        <v>0</v>
      </c>
      <c r="M37" s="2604">
        <f>IFERROR(TBIn!E1767,0)</f>
        <v>0</v>
      </c>
      <c r="N37" s="326">
        <f t="shared" si="9"/>
        <v>0</v>
      </c>
      <c r="O37" s="587">
        <f t="shared" si="2"/>
        <v>0</v>
      </c>
      <c r="P37" s="80">
        <v>34</v>
      </c>
      <c r="Q37" s="644">
        <v>0</v>
      </c>
      <c r="R37" s="656">
        <f t="shared" si="4"/>
        <v>0</v>
      </c>
      <c r="S37" s="656">
        <f t="shared" si="10"/>
        <v>0</v>
      </c>
      <c r="T37" s="656">
        <f t="shared" si="11"/>
        <v>0</v>
      </c>
      <c r="U37" s="656">
        <f t="shared" si="12"/>
        <v>0</v>
      </c>
    </row>
    <row r="38" spans="1:21" s="569" customFormat="1" ht="16" customHeight="1">
      <c r="A38" s="80">
        <v>35</v>
      </c>
      <c r="B38" s="101" t="s">
        <v>122</v>
      </c>
      <c r="C38" s="1600" t="str">
        <f>OR_VEH!B187</f>
        <v>NE PAS UTILISER</v>
      </c>
      <c r="D38" s="1588"/>
      <c r="E38" s="779" t="s">
        <v>246</v>
      </c>
      <c r="F38" s="269">
        <f>IFERROR(IF(Flag=TRUE,K38-TBIn!E346,TBIn!D346),0)</f>
        <v>0</v>
      </c>
      <c r="G38" s="2599">
        <f>IFERROR(IF(Flag=TRUE,L38-TBIn!E1728,TBIn!D1728),0)</f>
        <v>0</v>
      </c>
      <c r="H38" s="2601">
        <f>IFERROR(IF(Flag=TRUE,M38-TBIn!E1768,TBIn!D1768),0)</f>
        <v>0</v>
      </c>
      <c r="I38" s="557">
        <f t="shared" si="8"/>
        <v>0</v>
      </c>
      <c r="J38" s="608">
        <f t="shared" si="1"/>
        <v>0</v>
      </c>
      <c r="K38" s="721">
        <f>IFERROR(TBIn!E346,0)</f>
        <v>0</v>
      </c>
      <c r="L38" s="2574">
        <f>IFERROR(TBIn!E1728,0)</f>
        <v>0</v>
      </c>
      <c r="M38" s="2604">
        <f>IFERROR(TBIn!E1768,0)</f>
        <v>0</v>
      </c>
      <c r="N38" s="326">
        <f t="shared" si="9"/>
        <v>0</v>
      </c>
      <c r="O38" s="587">
        <f t="shared" si="2"/>
        <v>0</v>
      </c>
      <c r="P38" s="80">
        <v>35</v>
      </c>
      <c r="Q38" s="644">
        <v>0</v>
      </c>
      <c r="R38" s="656">
        <f t="shared" si="4"/>
        <v>0</v>
      </c>
      <c r="S38" s="656">
        <f t="shared" si="10"/>
        <v>0</v>
      </c>
      <c r="T38" s="656">
        <f t="shared" si="11"/>
        <v>0</v>
      </c>
      <c r="U38" s="656">
        <f t="shared" si="12"/>
        <v>0</v>
      </c>
    </row>
    <row r="39" spans="1:21" s="569" customFormat="1" ht="16" customHeight="1">
      <c r="A39" s="80">
        <v>36</v>
      </c>
      <c r="B39" s="101" t="s">
        <v>118</v>
      </c>
      <c r="C39" s="1539" t="str">
        <f>OR_VEH!B188</f>
        <v>NE PAS UTILISER</v>
      </c>
      <c r="D39" s="1588"/>
      <c r="E39" s="779" t="s">
        <v>247</v>
      </c>
      <c r="F39" s="269">
        <f>IFERROR(IF(Flag=TRUE,K39-TBIn!E347,TBIn!D347),0)</f>
        <v>0</v>
      </c>
      <c r="G39" s="2599">
        <f>IFERROR(IF(Flag=TRUE,L39-TBIn!E1729,TBIn!D1729),0)</f>
        <v>0</v>
      </c>
      <c r="H39" s="2601">
        <f>IFERROR(IF(Flag=TRUE,M39-TBIn!E1769,TBIn!D1769),0)</f>
        <v>0</v>
      </c>
      <c r="I39" s="557">
        <f t="shared" si="8"/>
        <v>0</v>
      </c>
      <c r="J39" s="608">
        <f t="shared" si="1"/>
        <v>0</v>
      </c>
      <c r="K39" s="721">
        <f>IFERROR(TBIn!E347,0)</f>
        <v>0</v>
      </c>
      <c r="L39" s="2574">
        <f>IFERROR(TBIn!E1729,0)</f>
        <v>0</v>
      </c>
      <c r="M39" s="2604">
        <f>IFERROR(TBIn!E1769,0)</f>
        <v>0</v>
      </c>
      <c r="N39" s="326">
        <f t="shared" si="9"/>
        <v>0</v>
      </c>
      <c r="O39" s="587">
        <f t="shared" si="2"/>
        <v>0</v>
      </c>
      <c r="P39" s="80">
        <v>36</v>
      </c>
      <c r="Q39" s="644">
        <v>0</v>
      </c>
      <c r="R39" s="656">
        <f t="shared" si="4"/>
        <v>0</v>
      </c>
      <c r="S39" s="656">
        <f t="shared" si="10"/>
        <v>0</v>
      </c>
      <c r="T39" s="656">
        <f t="shared" si="11"/>
        <v>0</v>
      </c>
      <c r="U39" s="656">
        <f t="shared" si="12"/>
        <v>0</v>
      </c>
    </row>
    <row r="40" spans="1:21" s="569" customFormat="1" ht="16" customHeight="1">
      <c r="A40" s="80">
        <v>37</v>
      </c>
      <c r="B40" s="101" t="s">
        <v>157</v>
      </c>
      <c r="C40" s="1600" t="str">
        <f>OR_VEH!B189</f>
        <v>NE PAS UTILISER</v>
      </c>
      <c r="D40" s="1588"/>
      <c r="E40" s="779" t="s">
        <v>248</v>
      </c>
      <c r="F40" s="269">
        <f>IFERROR(IF(Flag=TRUE,K40-TBIn!E348,TBIn!D348),0)</f>
        <v>0</v>
      </c>
      <c r="G40" s="2599">
        <f>IFERROR(IF(Flag=TRUE,L40-TBIn!E1730,TBIn!D1730),0)</f>
        <v>0</v>
      </c>
      <c r="H40" s="2601">
        <f>IFERROR(IF(Flag=TRUE,M40-TBIn!E1770,TBIn!D1770),0)</f>
        <v>0</v>
      </c>
      <c r="I40" s="557">
        <f t="shared" si="8"/>
        <v>0</v>
      </c>
      <c r="J40" s="608">
        <f t="shared" si="1"/>
        <v>0</v>
      </c>
      <c r="K40" s="721">
        <f>IFERROR(TBIn!E348,0)</f>
        <v>0</v>
      </c>
      <c r="L40" s="2574">
        <f>IFERROR(TBIn!E1730,0)</f>
        <v>0</v>
      </c>
      <c r="M40" s="2604">
        <f>IFERROR(TBIn!E1770,0)</f>
        <v>0</v>
      </c>
      <c r="N40" s="326">
        <f t="shared" si="9"/>
        <v>0</v>
      </c>
      <c r="O40" s="587">
        <f t="shared" si="2"/>
        <v>0</v>
      </c>
      <c r="P40" s="80">
        <v>37</v>
      </c>
      <c r="Q40" s="644">
        <v>0</v>
      </c>
      <c r="R40" s="656">
        <f t="shared" si="4"/>
        <v>0</v>
      </c>
      <c r="S40" s="656">
        <f t="shared" si="10"/>
        <v>0</v>
      </c>
      <c r="T40" s="656">
        <f t="shared" si="11"/>
        <v>0</v>
      </c>
      <c r="U40" s="656">
        <f t="shared" si="12"/>
        <v>0</v>
      </c>
    </row>
    <row r="41" spans="1:21" s="569" customFormat="1" ht="16" customHeight="1">
      <c r="A41" s="80">
        <v>38</v>
      </c>
      <c r="B41" s="101" t="s">
        <v>124</v>
      </c>
      <c r="C41" s="1600" t="str">
        <f>OR_VEH!B190</f>
        <v>NE PAS UTILISER</v>
      </c>
      <c r="D41" s="1588"/>
      <c r="E41" s="779" t="s">
        <v>249</v>
      </c>
      <c r="F41" s="269">
        <f>IFERROR(IF(Flag=TRUE,K41-TBIn!E349,TBIn!D349),0)</f>
        <v>0</v>
      </c>
      <c r="G41" s="2599">
        <f>IFERROR(IF(Flag=TRUE,L41-TBIn!E1731,TBIn!D1731),0)</f>
        <v>0</v>
      </c>
      <c r="H41" s="2601">
        <f>IFERROR(IF(Flag=TRUE,M41-TBIn!E1771,TBIn!D1771),0)</f>
        <v>0</v>
      </c>
      <c r="I41" s="557">
        <f t="shared" si="8"/>
        <v>0</v>
      </c>
      <c r="J41" s="608">
        <f t="shared" si="1"/>
        <v>0</v>
      </c>
      <c r="K41" s="721">
        <f>IFERROR(TBIn!E349,0)</f>
        <v>0</v>
      </c>
      <c r="L41" s="2574">
        <f>IFERROR(TBIn!E1731,0)</f>
        <v>0</v>
      </c>
      <c r="M41" s="2604">
        <f>IFERROR(TBIn!E1771,0)</f>
        <v>0</v>
      </c>
      <c r="N41" s="326">
        <f t="shared" si="9"/>
        <v>0</v>
      </c>
      <c r="O41" s="587">
        <f t="shared" si="2"/>
        <v>0</v>
      </c>
      <c r="P41" s="80">
        <v>38</v>
      </c>
      <c r="Q41" s="644">
        <v>0</v>
      </c>
      <c r="R41" s="656">
        <f t="shared" si="4"/>
        <v>0</v>
      </c>
      <c r="S41" s="656">
        <f t="shared" si="10"/>
        <v>0</v>
      </c>
      <c r="T41" s="656">
        <f t="shared" si="11"/>
        <v>0</v>
      </c>
      <c r="U41" s="656">
        <f t="shared" si="12"/>
        <v>0</v>
      </c>
    </row>
    <row r="42" spans="1:21" s="569" customFormat="1" ht="16" customHeight="1">
      <c r="A42" s="80">
        <v>39</v>
      </c>
      <c r="B42" s="101"/>
      <c r="C42" s="1600" t="str">
        <f>OR_VEH!B191</f>
        <v>POUR USAGE FUTUR</v>
      </c>
      <c r="D42" s="1588"/>
      <c r="E42" s="779" t="s">
        <v>250</v>
      </c>
      <c r="F42" s="269">
        <f>IFERROR(IF(Flag=TRUE,K42-TBIn!E350,TBIn!D350),0)</f>
        <v>0</v>
      </c>
      <c r="G42" s="2599">
        <f>IFERROR(IF(Flag=TRUE,L42-TBIn!E1732,TBIn!D1732),0)</f>
        <v>0</v>
      </c>
      <c r="H42" s="2601">
        <f>IFERROR(IF(Flag=TRUE,M42-TBIn!E1772,TBIn!D1772),0)</f>
        <v>0</v>
      </c>
      <c r="I42" s="557">
        <f t="shared" si="8"/>
        <v>0</v>
      </c>
      <c r="J42" s="608">
        <f t="shared" si="1"/>
        <v>0</v>
      </c>
      <c r="K42" s="721">
        <f>IFERROR(TBIn!E350,0)</f>
        <v>0</v>
      </c>
      <c r="L42" s="2574">
        <f>IFERROR(TBIn!E1732,0)</f>
        <v>0</v>
      </c>
      <c r="M42" s="2604">
        <f>IFERROR(TBIn!E1772,0)</f>
        <v>0</v>
      </c>
      <c r="N42" s="326">
        <f t="shared" si="9"/>
        <v>0</v>
      </c>
      <c r="O42" s="587">
        <f t="shared" si="2"/>
        <v>0</v>
      </c>
      <c r="P42" s="80">
        <v>39</v>
      </c>
      <c r="Q42" s="644">
        <v>0</v>
      </c>
      <c r="R42" s="656">
        <f t="shared" si="4"/>
        <v>0</v>
      </c>
      <c r="S42" s="656">
        <f t="shared" si="10"/>
        <v>0</v>
      </c>
      <c r="T42" s="656">
        <f t="shared" si="11"/>
        <v>0</v>
      </c>
      <c r="U42" s="656">
        <f t="shared" si="12"/>
        <v>0</v>
      </c>
    </row>
    <row r="43" spans="1:21" s="569" customFormat="1" ht="16" customHeight="1">
      <c r="A43" s="80">
        <v>40</v>
      </c>
      <c r="B43" s="101"/>
      <c r="C43" s="1600" t="str">
        <f>OR_VEH!B192</f>
        <v>AUTRES CAMIONS GM</v>
      </c>
      <c r="D43" s="1588"/>
      <c r="E43" s="779" t="s">
        <v>251</v>
      </c>
      <c r="F43" s="269">
        <f>IFERROR(IF(Flag=TRUE,K43-TBIn!E351,TBIn!D351),0)</f>
        <v>0</v>
      </c>
      <c r="G43" s="2599">
        <f>IFERROR(IF(Flag=TRUE,L43-TBIn!E1733,TBIn!D1733),0)</f>
        <v>0</v>
      </c>
      <c r="H43" s="2601">
        <f>IFERROR(IF(Flag=TRUE,M43-TBIn!E1773,TBIn!D1773),0)</f>
        <v>0</v>
      </c>
      <c r="I43" s="557">
        <f t="shared" si="8"/>
        <v>0</v>
      </c>
      <c r="J43" s="608">
        <f t="shared" si="1"/>
        <v>0</v>
      </c>
      <c r="K43" s="721">
        <f>IFERROR(TBIn!E351,0)</f>
        <v>0</v>
      </c>
      <c r="L43" s="2574">
        <f>IFERROR(TBIn!E1733,0)</f>
        <v>0</v>
      </c>
      <c r="M43" s="2604">
        <f>IFERROR(TBIn!E1773,0)</f>
        <v>0</v>
      </c>
      <c r="N43" s="326">
        <f t="shared" si="9"/>
        <v>0</v>
      </c>
      <c r="O43" s="587">
        <f t="shared" si="2"/>
        <v>0</v>
      </c>
      <c r="P43" s="80">
        <v>40</v>
      </c>
      <c r="Q43" s="644">
        <v>0</v>
      </c>
      <c r="R43" s="656">
        <f t="shared" si="4"/>
        <v>0</v>
      </c>
      <c r="S43" s="656">
        <f t="shared" si="10"/>
        <v>0</v>
      </c>
      <c r="T43" s="656">
        <f t="shared" si="11"/>
        <v>0</v>
      </c>
      <c r="U43" s="656">
        <f t="shared" si="12"/>
        <v>0</v>
      </c>
    </row>
    <row r="44" spans="1:21" s="569" customFormat="1" ht="16" customHeight="1">
      <c r="A44" s="80">
        <v>41</v>
      </c>
      <c r="B44" s="101"/>
      <c r="C44" s="274" t="s">
        <v>162</v>
      </c>
      <c r="D44" s="264"/>
      <c r="E44" s="778"/>
      <c r="F44" s="715">
        <f>SUM(F28:F43)</f>
        <v>10</v>
      </c>
      <c r="G44" s="716">
        <f>SUM(G28:G43)</f>
        <v>370953</v>
      </c>
      <c r="H44" s="716">
        <f>SUM(H28:H43)</f>
        <v>357322</v>
      </c>
      <c r="I44" s="716">
        <f>SUM(I28:I43)</f>
        <v>13631</v>
      </c>
      <c r="J44" s="132">
        <f t="shared" si="1"/>
        <v>1363.1</v>
      </c>
      <c r="K44" s="2496">
        <f>SUM(K28:K43)</f>
        <v>20</v>
      </c>
      <c r="L44" s="949">
        <f>SUM(L28:L43)</f>
        <v>807943</v>
      </c>
      <c r="M44" s="949">
        <f>SUM(M28:M43)</f>
        <v>785565</v>
      </c>
      <c r="N44" s="716">
        <f>SUM(N28:N43)</f>
        <v>22378</v>
      </c>
      <c r="O44" s="132">
        <f t="shared" si="2"/>
        <v>1118.9000000000001</v>
      </c>
      <c r="P44" s="80">
        <v>41</v>
      </c>
      <c r="Q44" s="644"/>
      <c r="R44" s="656"/>
      <c r="S44" s="656"/>
      <c r="T44" s="656"/>
      <c r="U44" s="656"/>
    </row>
    <row r="45" spans="1:21" s="569" customFormat="1" ht="16" customHeight="1">
      <c r="A45" s="80">
        <v>42</v>
      </c>
      <c r="B45" s="215"/>
      <c r="C45" s="1602" t="str">
        <f>OR_VEH!B194</f>
        <v>MÉMO* VENTES INTERNET CAMIONS</v>
      </c>
      <c r="D45" s="1536"/>
      <c r="E45" s="779" t="s">
        <v>252</v>
      </c>
      <c r="F45" s="269">
        <f>IFERROR(IF(Flag=TRUE,K45-TBIn!E352,TBIn!D352),0)</f>
        <v>0</v>
      </c>
      <c r="G45" s="2599">
        <f>IFERROR(IF(Flag=TRUE,L45-TBIn!$E$158,TBIn!$D$158),0)</f>
        <v>0</v>
      </c>
      <c r="H45" s="2601">
        <f>IFERROR(IF(Flag=TRUE,M45-TBIn!$E$178,TBIn!$D$178),0)</f>
        <v>0</v>
      </c>
      <c r="I45" s="557">
        <f>G45-H45</f>
        <v>0</v>
      </c>
      <c r="J45" s="608">
        <f t="shared" si="1"/>
        <v>0</v>
      </c>
      <c r="K45" s="721">
        <f>IFERROR(TBIn!E352,0)</f>
        <v>0</v>
      </c>
      <c r="L45" s="2574">
        <f>IFERROR(TBIn!$E$158,0)</f>
        <v>0</v>
      </c>
      <c r="M45" s="2604">
        <f>IFERROR(TBIn!$E$178,0)</f>
        <v>0</v>
      </c>
      <c r="N45" s="326">
        <f>L45-M45</f>
        <v>0</v>
      </c>
      <c r="O45" s="587">
        <f t="shared" si="2"/>
        <v>0</v>
      </c>
      <c r="P45" s="80">
        <v>42</v>
      </c>
      <c r="Q45" s="644">
        <v>0</v>
      </c>
      <c r="R45" s="656">
        <f t="shared" si="4"/>
        <v>0</v>
      </c>
      <c r="S45" s="656">
        <f>IF(K45=0,0,IF(OR(L45&lt;0,L45/K45&gt;Q45),1,0))</f>
        <v>0</v>
      </c>
      <c r="T45" s="656">
        <f>IF(OR(F45&lt;0,AND(G45&gt;0,F45=0),AND(G45=0,F45&gt;0)),1,0)</f>
        <v>0</v>
      </c>
      <c r="U45" s="656">
        <f>IF(OR(K45&lt;0,AND(L45&gt;0,K45=0),AND(K45&gt;0,L45=0)),1,0)</f>
        <v>0</v>
      </c>
    </row>
    <row r="46" spans="1:21" s="569" customFormat="1" ht="20.5" customHeight="1">
      <c r="A46" s="80">
        <v>43</v>
      </c>
      <c r="B46" s="101"/>
      <c r="C46" s="1605" t="str">
        <f>OR_VEH!B195</f>
        <v>TOTAL PARCS - CAMIONS</v>
      </c>
      <c r="D46" s="1588"/>
      <c r="E46" s="2525" t="s">
        <v>139</v>
      </c>
      <c r="F46" s="269">
        <f>IFERROR(IF(Flag=TRUE,K46-TBIn!E353,TBIn!D353),0)</f>
        <v>0</v>
      </c>
      <c r="G46" s="2599">
        <f>IFERROR(IF(Flag=TRUE,L46-TBIn!E1734,TBIn!D1734),0)</f>
        <v>0</v>
      </c>
      <c r="H46" s="2599">
        <f>IFERROR(IF(Flag=TRUE,M46-TBIn!E1774,TBIn!D1774),0)</f>
        <v>0</v>
      </c>
      <c r="I46" s="552">
        <f>G46-H46</f>
        <v>0</v>
      </c>
      <c r="J46" s="608">
        <f t="shared" si="1"/>
        <v>0</v>
      </c>
      <c r="K46" s="721">
        <f>IFERROR(TBIn!E353,0)</f>
        <v>0</v>
      </c>
      <c r="L46" s="2574">
        <f>IFERROR(TBIn!E1734,0)</f>
        <v>0</v>
      </c>
      <c r="M46" s="2574">
        <f>IFERROR(TBIn!E1774,0)</f>
        <v>0</v>
      </c>
      <c r="N46" s="2679">
        <f>L46-M46</f>
        <v>0</v>
      </c>
      <c r="O46" s="587">
        <f t="shared" si="2"/>
        <v>0</v>
      </c>
      <c r="P46" s="80">
        <v>43</v>
      </c>
      <c r="Q46" s="644">
        <v>0</v>
      </c>
      <c r="R46" s="656">
        <f t="shared" si="4"/>
        <v>0</v>
      </c>
      <c r="S46" s="656">
        <f>IF(K46=0,0,IF(OR(L46&lt;0,L46/K46&gt;Q46),1,0))</f>
        <v>0</v>
      </c>
      <c r="T46" s="656">
        <f>IF(OR(F46&lt;0,AND(G46&gt;0,F46=0),AND(G46=0,F46&gt;0)),1,0)</f>
        <v>0</v>
      </c>
      <c r="U46" s="656">
        <f>IF(OR(K46&lt;0,AND(L46&gt;0,K46=0),AND(K46&gt;0,L46=0)),1,0)</f>
        <v>0</v>
      </c>
    </row>
    <row r="47" spans="1:21" s="569" customFormat="1" ht="16" customHeight="1">
      <c r="A47" s="80">
        <v>44</v>
      </c>
      <c r="B47" s="215"/>
      <c r="C47" s="1606" t="str">
        <f>OR_VEH!B196</f>
        <v xml:space="preserve">TOTAL IINTERNE - CAMIONS </v>
      </c>
      <c r="D47" s="1607"/>
      <c r="E47" s="780" t="s">
        <v>253</v>
      </c>
      <c r="F47" s="269">
        <f>IFERROR(IF(Flag=TRUE,K47-TBIn!E354,TBIn!D354),0)</f>
        <v>0</v>
      </c>
      <c r="G47" s="2599">
        <f>IFERROR(IF(Flag=TRUE,L47-TBIn!E1735,TBIn!D1735),0)</f>
        <v>0</v>
      </c>
      <c r="H47" s="2599">
        <f>IFERROR(IF(Flag=TRUE,M47-TBIn!E1775,TBIn!D1775),0)</f>
        <v>0</v>
      </c>
      <c r="I47" s="552">
        <f>G47-H47</f>
        <v>0</v>
      </c>
      <c r="J47" s="608">
        <f t="shared" si="1"/>
        <v>0</v>
      </c>
      <c r="K47" s="721">
        <f>IFERROR(TBIn!E354,0)</f>
        <v>0</v>
      </c>
      <c r="L47" s="2574">
        <f>IFERROR(TBIn!E1735,0)</f>
        <v>0</v>
      </c>
      <c r="M47" s="2574">
        <f>IFERROR(TBIn!E1775,0)</f>
        <v>0</v>
      </c>
      <c r="N47" s="555">
        <f>L47-M47</f>
        <v>0</v>
      </c>
      <c r="O47" s="587">
        <f t="shared" si="2"/>
        <v>0</v>
      </c>
      <c r="P47" s="80">
        <v>44</v>
      </c>
      <c r="Q47" s="644">
        <v>0</v>
      </c>
      <c r="R47" s="656">
        <f t="shared" si="4"/>
        <v>0</v>
      </c>
      <c r="S47" s="656">
        <f>IF(K47=0,0,IF(OR(L47&lt;0,L47/K47&gt;Q47),1,0))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715">
        <f>F44+F46+F47</f>
        <v>10</v>
      </c>
      <c r="G48" s="716">
        <f>G44+G46+G47</f>
        <v>370953</v>
      </c>
      <c r="H48" s="716">
        <f>H44+H46+H47</f>
        <v>357322</v>
      </c>
      <c r="I48" s="716">
        <f>I44+I46+I47</f>
        <v>13631</v>
      </c>
      <c r="J48" s="132">
        <f t="shared" si="1"/>
        <v>1363.1</v>
      </c>
      <c r="K48" s="2496">
        <f>K44+K46+K47</f>
        <v>20</v>
      </c>
      <c r="L48" s="949">
        <f>L44+L46+L47</f>
        <v>807943</v>
      </c>
      <c r="M48" s="949">
        <f>M44+M46+M47</f>
        <v>785565</v>
      </c>
      <c r="N48" s="716">
        <f>N44+N46+N47</f>
        <v>22378</v>
      </c>
      <c r="O48" s="132">
        <f>IF(K48&gt;0,N48/K48,0)</f>
        <v>1118.9000000000001</v>
      </c>
      <c r="P48" s="80">
        <v>45</v>
      </c>
      <c r="Q48" s="644"/>
      <c r="R48" s="656"/>
      <c r="S48" s="656"/>
      <c r="T48" s="656"/>
      <c r="U48" s="656"/>
    </row>
    <row r="49" spans="1:21" s="30" customFormat="1" ht="16" customHeight="1">
      <c r="A49" s="80">
        <v>46</v>
      </c>
      <c r="B49" s="96"/>
      <c r="C49" s="266" t="str">
        <f>OR_VEH!B198</f>
        <v xml:space="preserve"> </v>
      </c>
      <c r="D49" s="262"/>
      <c r="E49" s="779" t="s">
        <v>166</v>
      </c>
      <c r="F49" s="1965"/>
      <c r="G49" s="2599"/>
      <c r="H49" s="2601"/>
      <c r="I49" s="557"/>
      <c r="J49" s="831"/>
      <c r="K49" s="2678"/>
      <c r="L49" s="2698"/>
      <c r="M49" s="2699"/>
      <c r="N49" s="326"/>
      <c r="O49" s="597"/>
      <c r="P49" s="80">
        <v>46</v>
      </c>
      <c r="Q49" s="827">
        <v>10000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OR_VEH!B199</f>
        <v>ACCESSOIRES</v>
      </c>
      <c r="D50" s="1588"/>
      <c r="E50" s="779" t="s">
        <v>254</v>
      </c>
      <c r="F50" s="269">
        <f>IFERROR(IF(Flag=TRUE,K50-TBIn!E355,TBIn!D355),0)</f>
        <v>0</v>
      </c>
      <c r="G50" s="2599">
        <f>IFERROR(IF(Flag=TRUE,L50-TBIn!E1736,TBIn!D1736),0)</f>
        <v>0</v>
      </c>
      <c r="H50" s="2601">
        <f>IFERROR(IF(Flag=TRUE,M50-TBIn!E1776,TBIn!D1776),0)</f>
        <v>0</v>
      </c>
      <c r="I50" s="557">
        <f>G50-H50</f>
        <v>0</v>
      </c>
      <c r="J50" s="828">
        <f>IF(F51=0,0,I50/F$51)</f>
        <v>0</v>
      </c>
      <c r="K50" s="721">
        <f>IFERROR(TBIn!E355,0)</f>
        <v>0</v>
      </c>
      <c r="L50" s="2574">
        <f>IFERROR(TBIn!E1736,0)</f>
        <v>0</v>
      </c>
      <c r="M50" s="2604">
        <f>IFERROR(TBIn!E1776,0)</f>
        <v>0</v>
      </c>
      <c r="N50" s="326">
        <f>L50-M50</f>
        <v>0</v>
      </c>
      <c r="O50" s="830">
        <f>IF(K51=0,0,N50/K$51)</f>
        <v>0</v>
      </c>
      <c r="P50" s="80">
        <v>47</v>
      </c>
      <c r="Q50" s="827">
        <v>10000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IFERROR(IF(Flag=TRUE,F27+F48,TBIn!D356),0)</f>
        <v>10</v>
      </c>
      <c r="G51" s="716">
        <f>G27+G48+G50</f>
        <v>370953</v>
      </c>
      <c r="H51" s="848">
        <f>H27+H48+H50</f>
        <v>357322</v>
      </c>
      <c r="I51" s="1423">
        <f>IFERROR(IF(Flag=TRUE,I27+I48+I50,TBIn!D1777),0)</f>
        <v>13631</v>
      </c>
      <c r="J51" s="1087">
        <f>IF(F51=0,0,I51/F$51)</f>
        <v>1363.1</v>
      </c>
      <c r="K51" s="761">
        <f>IFERROR(IF(Flag=TRUE,K27+K48,TBIn!E356),0)</f>
        <v>20</v>
      </c>
      <c r="L51" s="716">
        <f>L27+L48+L50</f>
        <v>807943</v>
      </c>
      <c r="M51" s="848">
        <f>M27+M48+M50</f>
        <v>785565</v>
      </c>
      <c r="N51" s="1423">
        <f>IFERROR(IF(Flag=TRUE,N27+N48+N50,TBIn!E1777),0)</f>
        <v>22378</v>
      </c>
      <c r="O51" s="1087">
        <f>IF(K51=0,0,N51/K$51)</f>
        <v>1118.9000000000001</v>
      </c>
      <c r="P51" s="179">
        <v>48</v>
      </c>
      <c r="Q51" s="644"/>
      <c r="R51" s="656"/>
      <c r="S51" s="656"/>
      <c r="T51" s="656"/>
      <c r="U51" s="656"/>
    </row>
    <row r="52" spans="1:21" s="569" customFormat="1" ht="16" customHeight="1">
      <c r="A52" s="76"/>
      <c r="B52" s="84" t="s">
        <v>169</v>
      </c>
      <c r="C52" s="84"/>
      <c r="D52" s="84"/>
      <c r="E52" s="84"/>
      <c r="F52" s="84"/>
      <c r="G52" s="84"/>
      <c r="H52" s="84"/>
      <c r="I52" s="76"/>
      <c r="J52" s="267" t="s">
        <v>170</v>
      </c>
      <c r="K52" s="76"/>
      <c r="L52" s="76"/>
      <c r="M52" s="76"/>
      <c r="N52" s="76"/>
      <c r="O52" s="267" t="s">
        <v>170</v>
      </c>
      <c r="P52" s="76"/>
      <c r="Q52" s="644"/>
      <c r="R52" s="656"/>
      <c r="S52" s="656"/>
      <c r="T52" s="656"/>
      <c r="U52" s="656"/>
    </row>
    <row r="53" spans="1:21" hidden="1">
      <c r="A53" s="3"/>
      <c r="B53" s="3"/>
      <c r="C53" s="3"/>
      <c r="D53" s="3"/>
      <c r="E53" s="3"/>
      <c r="F53" s="3"/>
      <c r="G53" s="3"/>
      <c r="H53" s="3"/>
      <c r="I53" s="16"/>
      <c r="J53" s="3"/>
      <c r="K53" s="3"/>
      <c r="L53" s="3"/>
      <c r="M53" s="3"/>
      <c r="N53" s="3"/>
      <c r="O53" s="3"/>
      <c r="P53" s="3"/>
      <c r="Q53" s="660"/>
    </row>
    <row r="54" spans="1:21" hidden="1">
      <c r="A54" s="3"/>
      <c r="B54" s="3"/>
      <c r="C54" s="3"/>
      <c r="D54" s="30"/>
      <c r="E54" s="3"/>
      <c r="F54" s="3"/>
      <c r="G54" s="3"/>
      <c r="H54" s="3"/>
      <c r="I54" s="3"/>
      <c r="J54" s="3"/>
      <c r="K54" s="3"/>
      <c r="L54" s="3"/>
      <c r="M54" s="3"/>
      <c r="N54" s="3"/>
      <c r="O54" s="3"/>
      <c r="P54" s="3"/>
      <c r="Q54" s="660"/>
    </row>
    <row r="55" spans="1:21" hidden="1">
      <c r="D55" s="30"/>
      <c r="N55" s="30"/>
      <c r="Q55" s="660"/>
    </row>
    <row r="56" spans="1:21" hidden="1">
      <c r="D56" s="30" t="s">
        <v>171</v>
      </c>
      <c r="E56" s="1239" t="s">
        <v>88</v>
      </c>
      <c r="F56" s="30" t="s">
        <v>172</v>
      </c>
      <c r="Q56" s="660"/>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FgOe3Dh5+NVy8S6TYPEVxhtc+lge+uAVbOjwsaXzJZszJe+0bT2apvIvbFUFOA6tQb+rmaqjtWegYoXmE7w3YQ==" saltValue="Z5nDUuRsE1sNzAIWQsWcJA==" spinCount="100000" sheet="1" objects="1" scenarios="1"/>
  <customSheetViews>
    <customSheetView guid="{42A0DCD3-5C27-4BB4-A491-D2E7F84D8A17}" scale="80" showGridLines="0" fitToPage="1" printArea="1" hiddenRows="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fitToPage="1" hiddenRows="1" hiddenColumns="1" showRuler="0">
      <pane xSplit="5" ySplit="3" topLeftCell="G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6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600-000000000000}"/>
    <hyperlink ref="C24" r:id="rId4" tooltip="Lien au Manuel des méthodes comptables GM" display="http://gm-ca-fr.acctmanual.com/New_Vehicle/419_Voitures_neuves_Internet_(compte_m_mo).htm" xr:uid="{00000000-0004-0000-0600-000001000000}"/>
    <hyperlink ref="C25" r:id="rId5" tooltip="Lien au Manuel des méthodes comptables GM" display="http://gm-ca-fr.acctmanual.com/New_Vehicle/420_Voitures_neuves_-_Parcs.htm" xr:uid="{00000000-0004-0000-0600-000002000000}"/>
    <hyperlink ref="C26" r:id="rId6" tooltip="Lien au Manuel des méthodes comptables GM" display="http://gm-ca-fr.acctmanual.com/New_Vehicle/421_Voitures_neuves_-_Interne.htm" xr:uid="{00000000-0004-0000-0600-000003000000}"/>
    <hyperlink ref="C28" r:id="rId7" tooltip="Lien au Manuel des méthodes comptables GM" display="http://gm-ca-fr.acctmanual.com/New_Vehicle/423-438_Camions_neufs_-_au_d_tail.htm" xr:uid="{00000000-0004-0000-0600-000004000000}"/>
    <hyperlink ref="C45" r:id="rId8" tooltip="Lien au Manuel des méthodes comptables GM" display="http://gm-ca-fr.acctmanual.com/New_Vehicle/439_Camions_neufs_Internet_(compte_m_mo).htm" xr:uid="{00000000-0004-0000-0600-000005000000}"/>
    <hyperlink ref="C46" r:id="rId9" tooltip="Lien au Manuel des méthodes comptables GM" display="http://gm-ca-fr.acctmanual.com/New_Vehicle/440_Camions_neufs_-_Parcs.htm" xr:uid="{00000000-0004-0000-0600-000006000000}"/>
    <hyperlink ref="C47" r:id="rId10" tooltip="Lien au Manuel des méthodes comptables GM" display="http://gm-ca-fr.acctmanual.com/New_Vehicle/441_Camions_neufs_-_Interne.htm" xr:uid="{00000000-0004-0000-0600-000007000000}"/>
    <hyperlink ref="C50" r:id="rId11" tooltip="Lien au Manuel des méthodes comptables GM" display="http://gm-ca-fr.acctmanual.com/New_Vehicle/457_Accessoires.htm" xr:uid="{00000000-0004-0000-0600-000008000000}"/>
  </hyperlinks>
  <pageMargins left="0.25" right="0.25" top="0.25" bottom="0.25" header="0.5" footer="0.5"/>
  <pageSetup scale="63" orientation="portrait" horizontalDpi="1200" verticalDpi="1200" r:id="rId12"/>
  <headerFooter alignWithMargins="0"/>
  <drawing r:id="rId13"/>
  <legacyDrawing r:id="rId14"/>
  <controls>
    <mc:AlternateContent xmlns:mc="http://schemas.openxmlformats.org/markup-compatibility/2006">
      <mc:Choice Requires="x14">
        <control shapeId="3087" r:id="rId15" name="CommandButton5d">
          <controlPr defaultSize="0" print="0" autoFill="0" autoLine="0" r:id="rId16">
            <anchor moveWithCells="1">
              <from>
                <xdr:col>11</xdr:col>
                <xdr:colOff>374650</xdr:colOff>
                <xdr:row>0</xdr:row>
                <xdr:rowOff>0</xdr:rowOff>
              </from>
              <to>
                <xdr:col>12</xdr:col>
                <xdr:colOff>806450</xdr:colOff>
                <xdr:row>1</xdr:row>
                <xdr:rowOff>19050</xdr:rowOff>
              </to>
            </anchor>
          </controlPr>
        </control>
      </mc:Choice>
      <mc:Fallback>
        <control shapeId="3087" r:id="rId15" name="CommandButton5d"/>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1">
    <pageSetUpPr autoPageBreaks="0" fitToPage="1"/>
  </sheetPr>
  <dimension ref="A1:U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179687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s="569" customFormat="1" ht="21" customHeight="1">
      <c r="A1" s="76"/>
      <c r="B1" s="2762" t="str">
        <f>OR_VEH!B102</f>
        <v>BUICK - VE</v>
      </c>
      <c r="C1" s="2762"/>
      <c r="D1" s="2762"/>
      <c r="E1" s="257"/>
      <c r="F1" s="491" t="s">
        <v>92</v>
      </c>
      <c r="G1" s="60"/>
      <c r="H1" s="60"/>
      <c r="I1" s="60"/>
      <c r="J1" s="60"/>
      <c r="K1" s="60"/>
      <c r="L1" s="61"/>
      <c r="M1" s="61"/>
      <c r="N1" s="61"/>
      <c r="O1" s="641"/>
      <c r="P1" s="62" t="str">
        <f>TBIn!$E$2458&amp;" - "&amp;TBIn!$AH$10&amp;" - PAGE 5 BUI VE"</f>
        <v>319719 - 202504 - PAGE 5 BUI VE</v>
      </c>
      <c r="Q1" s="643" t="s">
        <v>93</v>
      </c>
      <c r="R1" s="643" t="s">
        <v>94</v>
      </c>
      <c r="S1" s="643" t="s">
        <v>95</v>
      </c>
      <c r="T1" s="643" t="s">
        <v>94</v>
      </c>
      <c r="U1" s="643" t="s">
        <v>95</v>
      </c>
    </row>
    <row r="2" spans="1:21" s="569"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643" t="s">
        <v>98</v>
      </c>
      <c r="R2" s="643" t="s">
        <v>98</v>
      </c>
      <c r="S2" s="643" t="s">
        <v>98</v>
      </c>
      <c r="T2" s="643" t="s">
        <v>99</v>
      </c>
      <c r="U2" s="643" t="s">
        <v>99</v>
      </c>
    </row>
    <row r="3" spans="1:21" s="569"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643" t="s">
        <v>107</v>
      </c>
      <c r="R3" s="643" t="s">
        <v>108</v>
      </c>
      <c r="S3" s="643" t="s">
        <v>108</v>
      </c>
      <c r="T3" s="643" t="s">
        <v>108</v>
      </c>
      <c r="U3" s="643" t="s">
        <v>108</v>
      </c>
    </row>
    <row r="4" spans="1:21" s="569" customFormat="1" ht="16" customHeight="1">
      <c r="A4" s="74">
        <v>1</v>
      </c>
      <c r="B4" s="215"/>
      <c r="C4" s="1535" t="str">
        <f>OR_VEH!B103</f>
        <v>NE PAS UTILISER</v>
      </c>
      <c r="D4" s="1536"/>
      <c r="E4" s="1037" t="s">
        <v>255</v>
      </c>
      <c r="F4" s="268">
        <f>IFERROR(IF(Flag=TRUE,K4-TBIn!E271,TBIn!D271),0)</f>
        <v>0</v>
      </c>
      <c r="G4" s="2598">
        <f>IFERROR(IF(Flag=TRUE,L4-TBIn!E1616,TBIn!D1616),0)</f>
        <v>0</v>
      </c>
      <c r="H4" s="2598">
        <f>IFERROR(IF(Flag=TRUE,M4-TBIn!E1656,TBIn!D1656),0)</f>
        <v>0</v>
      </c>
      <c r="I4" s="551">
        <f t="shared" ref="I4:I22" si="0">G4-H4</f>
        <v>0</v>
      </c>
      <c r="J4" s="584">
        <f t="shared" ref="J4:J48" si="1">IF(F4&gt;0,I4/F4,0)</f>
        <v>0</v>
      </c>
      <c r="K4" s="720">
        <f>IFERROR(TBIn!E271,0)</f>
        <v>0</v>
      </c>
      <c r="L4" s="2602">
        <f>IFERROR(TBIn!E1616,0)</f>
        <v>0</v>
      </c>
      <c r="M4" s="2602">
        <f>IFERROR(TBIn!E1656,0)</f>
        <v>0</v>
      </c>
      <c r="N4" s="554">
        <f>L4-M4</f>
        <v>0</v>
      </c>
      <c r="O4" s="585">
        <f t="shared" ref="O4:O47" si="2">IF(K4&gt;0,N4/K4,0)</f>
        <v>0</v>
      </c>
      <c r="P4" s="74">
        <v>1</v>
      </c>
      <c r="Q4" s="656">
        <v>0</v>
      </c>
      <c r="R4" s="656">
        <f>IF(F4=0,0,IF(G4/F4&gt;Q4,1,0))</f>
        <v>0</v>
      </c>
      <c r="S4" s="656">
        <f>IF(K4=0,0,IF(OR(L4&lt;0,L4/K4&gt;Q4),1,0))</f>
        <v>0</v>
      </c>
      <c r="T4" s="656">
        <f>IF(OR(F4&lt;0,AND(G4&gt;0,F4=0),AND(G4=0,F4&gt;0)),1,0)</f>
        <v>0</v>
      </c>
      <c r="U4" s="656">
        <f>IF(OR(K4&lt;0,AND(L4&gt;0,K4=0),AND(K4&gt;0,L4=0)),1,0)</f>
        <v>0</v>
      </c>
    </row>
    <row r="5" spans="1:21" s="569" customFormat="1" ht="16" customHeight="1">
      <c r="A5" s="80">
        <v>2</v>
      </c>
      <c r="B5" s="275" t="s">
        <v>110</v>
      </c>
      <c r="C5" s="1539" t="str">
        <f>OR_VEH!B104</f>
        <v>NE PAS UTILISER</v>
      </c>
      <c r="D5" s="1588"/>
      <c r="E5" s="776" t="s">
        <v>256</v>
      </c>
      <c r="F5" s="269">
        <f>IFERROR(IF(Flag=TRUE,K5-TBIn!E272,TBIn!D272),0)</f>
        <v>0</v>
      </c>
      <c r="G5" s="2599">
        <f>IFERROR(IF(Flag=TRUE,L5-TBIn!E1617,TBIn!D1617),0)</f>
        <v>0</v>
      </c>
      <c r="H5" s="2599">
        <f>IFERROR(IF(Flag=TRUE,M5-TBIn!E1657,TBIn!D1657),0)</f>
        <v>0</v>
      </c>
      <c r="I5" s="552">
        <f t="shared" si="0"/>
        <v>0</v>
      </c>
      <c r="J5" s="608">
        <f t="shared" si="1"/>
        <v>0</v>
      </c>
      <c r="K5" s="721">
        <f>IFERROR(TBIn!E272,0)</f>
        <v>0</v>
      </c>
      <c r="L5" s="2574">
        <f>IFERROR(TBIn!E1617,0)</f>
        <v>0</v>
      </c>
      <c r="M5" s="2574">
        <f>IFERROR(TBIn!E1657,0)</f>
        <v>0</v>
      </c>
      <c r="N5" s="555">
        <f t="shared" ref="N5:N22" si="3">L5-M5</f>
        <v>0</v>
      </c>
      <c r="O5" s="587">
        <f t="shared" si="2"/>
        <v>0</v>
      </c>
      <c r="P5" s="80">
        <v>2</v>
      </c>
      <c r="Q5" s="656">
        <v>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1" s="569" customFormat="1" ht="15.75" customHeight="1">
      <c r="A6" s="80">
        <v>3</v>
      </c>
      <c r="B6" s="275" t="s">
        <v>112</v>
      </c>
      <c r="C6" s="1539" t="str">
        <f>OR_VEH!B105</f>
        <v>NE PAS UTILISER</v>
      </c>
      <c r="D6" s="1588"/>
      <c r="E6" s="776" t="s">
        <v>257</v>
      </c>
      <c r="F6" s="269">
        <f>IFERROR(IF(Flag=TRUE,K6-TBIn!E273,TBIn!D273),0)</f>
        <v>0</v>
      </c>
      <c r="G6" s="2599">
        <f>IFERROR(IF(Flag=TRUE,L6-TBIn!E1618,TBIn!D1618),0)</f>
        <v>0</v>
      </c>
      <c r="H6" s="2599">
        <f>IFERROR(IF(Flag=TRUE,M6-TBIn!E1658,TBIn!D1658),0)</f>
        <v>0</v>
      </c>
      <c r="I6" s="552">
        <f t="shared" si="0"/>
        <v>0</v>
      </c>
      <c r="J6" s="608">
        <f t="shared" si="1"/>
        <v>0</v>
      </c>
      <c r="K6" s="721">
        <f>IFERROR(TBIn!E273,0)</f>
        <v>0</v>
      </c>
      <c r="L6" s="2574">
        <f>IFERROR(TBIn!E1618,0)</f>
        <v>0</v>
      </c>
      <c r="M6" s="2574">
        <f>IFERROR(TBIn!E1658,0)</f>
        <v>0</v>
      </c>
      <c r="N6" s="555">
        <f t="shared" si="3"/>
        <v>0</v>
      </c>
      <c r="O6" s="587">
        <f t="shared" si="2"/>
        <v>0</v>
      </c>
      <c r="P6" s="80">
        <v>3</v>
      </c>
      <c r="Q6" s="656">
        <v>0</v>
      </c>
      <c r="R6" s="656">
        <f t="shared" si="4"/>
        <v>0</v>
      </c>
      <c r="S6" s="656">
        <f t="shared" si="5"/>
        <v>0</v>
      </c>
      <c r="T6" s="656">
        <f t="shared" si="6"/>
        <v>0</v>
      </c>
      <c r="U6" s="656">
        <f t="shared" si="7"/>
        <v>0</v>
      </c>
    </row>
    <row r="7" spans="1:21" s="569" customFormat="1" ht="15.75" customHeight="1">
      <c r="A7" s="80">
        <v>4</v>
      </c>
      <c r="B7" s="275" t="s">
        <v>114</v>
      </c>
      <c r="C7" s="1539" t="str">
        <f>OR_VEH!B106</f>
        <v>NE PAS UTILISER</v>
      </c>
      <c r="D7" s="1588"/>
      <c r="E7" s="776" t="s">
        <v>258</v>
      </c>
      <c r="F7" s="269">
        <f>IFERROR(IF(Flag=TRUE,K7-TBIn!E274,TBIn!D274),0)</f>
        <v>0</v>
      </c>
      <c r="G7" s="2599">
        <f>IFERROR(IF(Flag=TRUE,L7-TBIn!E1619,TBIn!D1619),0)</f>
        <v>0</v>
      </c>
      <c r="H7" s="2599">
        <f>IFERROR(IF(Flag=TRUE,M7-TBIn!E1659,TBIn!D1659),0)</f>
        <v>0</v>
      </c>
      <c r="I7" s="552">
        <f t="shared" si="0"/>
        <v>0</v>
      </c>
      <c r="J7" s="608">
        <f t="shared" si="1"/>
        <v>0</v>
      </c>
      <c r="K7" s="721">
        <f>IFERROR(TBIn!E274,0)</f>
        <v>0</v>
      </c>
      <c r="L7" s="2574">
        <f>IFERROR(TBIn!E1619,0)</f>
        <v>0</v>
      </c>
      <c r="M7" s="2574">
        <f>IFERROR(TBIn!E1659,0)</f>
        <v>0</v>
      </c>
      <c r="N7" s="555">
        <f t="shared" si="3"/>
        <v>0</v>
      </c>
      <c r="O7" s="587">
        <f t="shared" si="2"/>
        <v>0</v>
      </c>
      <c r="P7" s="80">
        <v>4</v>
      </c>
      <c r="Q7" s="656">
        <v>0</v>
      </c>
      <c r="R7" s="656">
        <f t="shared" si="4"/>
        <v>0</v>
      </c>
      <c r="S7" s="656">
        <f t="shared" si="5"/>
        <v>0</v>
      </c>
      <c r="T7" s="656">
        <f t="shared" si="6"/>
        <v>0</v>
      </c>
      <c r="U7" s="656">
        <f t="shared" si="7"/>
        <v>0</v>
      </c>
    </row>
    <row r="8" spans="1:21" s="569" customFormat="1" ht="15.75" customHeight="1">
      <c r="A8" s="80">
        <v>5</v>
      </c>
      <c r="B8" s="275" t="s">
        <v>116</v>
      </c>
      <c r="C8" s="1539" t="str">
        <f>OR_VEH!B107</f>
        <v>NE PAS UTILISER</v>
      </c>
      <c r="D8" s="1588"/>
      <c r="E8" s="776" t="s">
        <v>259</v>
      </c>
      <c r="F8" s="269">
        <f>IFERROR(IF(Flag=TRUE,K8-TBIn!E275,TBIn!D275),0)</f>
        <v>0</v>
      </c>
      <c r="G8" s="2599">
        <f>IFERROR(IF(Flag=TRUE,L8-TBIn!E1620,TBIn!D1620),0)</f>
        <v>0</v>
      </c>
      <c r="H8" s="2599">
        <f>IFERROR(IF(Flag=TRUE,M8-TBIn!E1660,TBIn!D1660),0)</f>
        <v>0</v>
      </c>
      <c r="I8" s="552">
        <f t="shared" si="0"/>
        <v>0</v>
      </c>
      <c r="J8" s="608">
        <f t="shared" si="1"/>
        <v>0</v>
      </c>
      <c r="K8" s="721">
        <f>IFERROR(TBIn!E275,0)</f>
        <v>0</v>
      </c>
      <c r="L8" s="2574">
        <f>IFERROR(TBIn!E1620,0)</f>
        <v>0</v>
      </c>
      <c r="M8" s="2574">
        <f>IFERROR(TBIn!E1660,0)</f>
        <v>0</v>
      </c>
      <c r="N8" s="555">
        <f t="shared" si="3"/>
        <v>0</v>
      </c>
      <c r="O8" s="587">
        <f t="shared" si="2"/>
        <v>0</v>
      </c>
      <c r="P8" s="80">
        <v>5</v>
      </c>
      <c r="Q8" s="656">
        <v>0</v>
      </c>
      <c r="R8" s="656">
        <f t="shared" si="4"/>
        <v>0</v>
      </c>
      <c r="S8" s="656">
        <f t="shared" si="5"/>
        <v>0</v>
      </c>
      <c r="T8" s="656">
        <f t="shared" si="6"/>
        <v>0</v>
      </c>
      <c r="U8" s="656">
        <f t="shared" si="7"/>
        <v>0</v>
      </c>
    </row>
    <row r="9" spans="1:21" s="569" customFormat="1" ht="15.75" customHeight="1">
      <c r="A9" s="80">
        <v>6</v>
      </c>
      <c r="B9" s="275" t="s">
        <v>118</v>
      </c>
      <c r="C9" s="1539" t="str">
        <f>OR_VEH!B108</f>
        <v>NE PAS UTILISER</v>
      </c>
      <c r="D9" s="1588"/>
      <c r="E9" s="776" t="s">
        <v>260</v>
      </c>
      <c r="F9" s="269">
        <f>IFERROR(IF(Flag=TRUE,K9-TBIn!E276,TBIn!D276),0)</f>
        <v>0</v>
      </c>
      <c r="G9" s="2599">
        <f>IFERROR(IF(Flag=TRUE,L9-TBIn!E1621,TBIn!D1621),0)</f>
        <v>0</v>
      </c>
      <c r="H9" s="2599">
        <f>IFERROR(IF(Flag=TRUE,M9-TBIn!E1661,TBIn!D1661),0)</f>
        <v>0</v>
      </c>
      <c r="I9" s="552">
        <f t="shared" si="0"/>
        <v>0</v>
      </c>
      <c r="J9" s="608">
        <f t="shared" si="1"/>
        <v>0</v>
      </c>
      <c r="K9" s="721">
        <f>IFERROR(TBIn!E276,0)</f>
        <v>0</v>
      </c>
      <c r="L9" s="2574">
        <f>IFERROR(TBIn!E1621,0)</f>
        <v>0</v>
      </c>
      <c r="M9" s="2574">
        <f>IFERROR(TBIn!E1661,0)</f>
        <v>0</v>
      </c>
      <c r="N9" s="555">
        <f t="shared" si="3"/>
        <v>0</v>
      </c>
      <c r="O9" s="587">
        <f t="shared" si="2"/>
        <v>0</v>
      </c>
      <c r="P9" s="80">
        <v>6</v>
      </c>
      <c r="Q9" s="656">
        <v>0</v>
      </c>
      <c r="R9" s="656">
        <f t="shared" si="4"/>
        <v>0</v>
      </c>
      <c r="S9" s="656">
        <f t="shared" si="5"/>
        <v>0</v>
      </c>
      <c r="T9" s="656">
        <f t="shared" si="6"/>
        <v>0</v>
      </c>
      <c r="U9" s="656">
        <f t="shared" si="7"/>
        <v>0</v>
      </c>
    </row>
    <row r="10" spans="1:21" s="569" customFormat="1" ht="15.75" customHeight="1">
      <c r="A10" s="80">
        <v>7</v>
      </c>
      <c r="B10" s="101" t="s">
        <v>120</v>
      </c>
      <c r="C10" s="1539" t="str">
        <f>OR_VEH!B109</f>
        <v>NE PAS UTILISER</v>
      </c>
      <c r="D10" s="1588"/>
      <c r="E10" s="776" t="s">
        <v>261</v>
      </c>
      <c r="F10" s="269">
        <f>IFERROR(IF(Flag=TRUE,K10-TBIn!E277,TBIn!D277),0)</f>
        <v>0</v>
      </c>
      <c r="G10" s="2599">
        <f>IFERROR(IF(Flag=TRUE,L10-TBIn!E1622,TBIn!D1622),0)</f>
        <v>0</v>
      </c>
      <c r="H10" s="2599">
        <f>IFERROR(IF(Flag=TRUE,M10-TBIn!E1662,TBIn!D1662),0)</f>
        <v>0</v>
      </c>
      <c r="I10" s="552">
        <f t="shared" si="0"/>
        <v>0</v>
      </c>
      <c r="J10" s="608">
        <f t="shared" si="1"/>
        <v>0</v>
      </c>
      <c r="K10" s="721">
        <f>IFERROR(TBIn!E277,0)</f>
        <v>0</v>
      </c>
      <c r="L10" s="2574">
        <f>IFERROR(TBIn!E1622,0)</f>
        <v>0</v>
      </c>
      <c r="M10" s="2574">
        <f>IFERROR(TBIn!E1662,0)</f>
        <v>0</v>
      </c>
      <c r="N10" s="555">
        <f t="shared" si="3"/>
        <v>0</v>
      </c>
      <c r="O10" s="587">
        <f t="shared" si="2"/>
        <v>0</v>
      </c>
      <c r="P10" s="80">
        <v>7</v>
      </c>
      <c r="Q10" s="656">
        <v>0</v>
      </c>
      <c r="R10" s="656">
        <f t="shared" si="4"/>
        <v>0</v>
      </c>
      <c r="S10" s="656">
        <f t="shared" si="5"/>
        <v>0</v>
      </c>
      <c r="T10" s="656">
        <f t="shared" si="6"/>
        <v>0</v>
      </c>
      <c r="U10" s="656">
        <f t="shared" si="7"/>
        <v>0</v>
      </c>
    </row>
    <row r="11" spans="1:21" s="569" customFormat="1" ht="15.75" customHeight="1">
      <c r="A11" s="80">
        <v>8</v>
      </c>
      <c r="B11" s="101" t="s">
        <v>122</v>
      </c>
      <c r="C11" s="1539" t="str">
        <f>OR_VEH!B110</f>
        <v>NE PAS UTILISER</v>
      </c>
      <c r="D11" s="1588"/>
      <c r="E11" s="776" t="s">
        <v>262</v>
      </c>
      <c r="F11" s="269">
        <f>IFERROR(IF(Flag=TRUE,K11-TBIn!E278,TBIn!D278),0)</f>
        <v>0</v>
      </c>
      <c r="G11" s="2599">
        <f>IFERROR(IF(Flag=TRUE,L11-TBIn!E1623,TBIn!D1623),0)</f>
        <v>0</v>
      </c>
      <c r="H11" s="2599">
        <f>IFERROR(IF(Flag=TRUE,M11-TBIn!E1663,TBIn!D1663),0)</f>
        <v>0</v>
      </c>
      <c r="I11" s="552">
        <f t="shared" si="0"/>
        <v>0</v>
      </c>
      <c r="J11" s="608">
        <f t="shared" si="1"/>
        <v>0</v>
      </c>
      <c r="K11" s="721">
        <f>IFERROR(TBIn!E278,0)</f>
        <v>0</v>
      </c>
      <c r="L11" s="2574">
        <f>IFERROR(TBIn!E1623,0)</f>
        <v>0</v>
      </c>
      <c r="M11" s="2574">
        <f>IFERROR(TBIn!E1663,0)</f>
        <v>0</v>
      </c>
      <c r="N11" s="555">
        <f t="shared" si="3"/>
        <v>0</v>
      </c>
      <c r="O11" s="587">
        <f t="shared" si="2"/>
        <v>0</v>
      </c>
      <c r="P11" s="80">
        <v>8</v>
      </c>
      <c r="Q11" s="656">
        <v>0</v>
      </c>
      <c r="R11" s="656">
        <f t="shared" si="4"/>
        <v>0</v>
      </c>
      <c r="S11" s="656">
        <f t="shared" si="5"/>
        <v>0</v>
      </c>
      <c r="T11" s="656">
        <f t="shared" si="6"/>
        <v>0</v>
      </c>
      <c r="U11" s="656">
        <f t="shared" si="7"/>
        <v>0</v>
      </c>
    </row>
    <row r="12" spans="1:21" s="569" customFormat="1" ht="15.75" customHeight="1">
      <c r="A12" s="80">
        <v>9</v>
      </c>
      <c r="B12" s="101" t="s">
        <v>124</v>
      </c>
      <c r="C12" s="1539" t="str">
        <f>OR_VEH!B111</f>
        <v>NE PAS UTILISER</v>
      </c>
      <c r="D12" s="1588"/>
      <c r="E12" s="776" t="s">
        <v>263</v>
      </c>
      <c r="F12" s="269">
        <f>IFERROR(IF(Flag=TRUE,K12-TBIn!E279,TBIn!D279),0)</f>
        <v>0</v>
      </c>
      <c r="G12" s="2599">
        <f>IFERROR(IF(Flag=TRUE,L12-TBIn!E1624,TBIn!D1624),0)</f>
        <v>0</v>
      </c>
      <c r="H12" s="2599">
        <f>IFERROR(IF(Flag=TRUE,M12-TBIn!E1664,TBIn!D1664),0)</f>
        <v>0</v>
      </c>
      <c r="I12" s="552">
        <f t="shared" si="0"/>
        <v>0</v>
      </c>
      <c r="J12" s="608">
        <f t="shared" si="1"/>
        <v>0</v>
      </c>
      <c r="K12" s="721">
        <f>IFERROR(TBIn!E279,0)</f>
        <v>0</v>
      </c>
      <c r="L12" s="2574">
        <f>IFERROR(TBIn!E1624,0)</f>
        <v>0</v>
      </c>
      <c r="M12" s="2574">
        <f>IFERROR(TBIn!E1664,0)</f>
        <v>0</v>
      </c>
      <c r="N12" s="555">
        <f t="shared" si="3"/>
        <v>0</v>
      </c>
      <c r="O12" s="587">
        <f t="shared" si="2"/>
        <v>0</v>
      </c>
      <c r="P12" s="80">
        <v>9</v>
      </c>
      <c r="Q12" s="656">
        <v>0</v>
      </c>
      <c r="R12" s="656">
        <f t="shared" si="4"/>
        <v>0</v>
      </c>
      <c r="S12" s="656">
        <f t="shared" si="5"/>
        <v>0</v>
      </c>
      <c r="T12" s="656">
        <f t="shared" si="6"/>
        <v>0</v>
      </c>
      <c r="U12" s="656">
        <f t="shared" si="7"/>
        <v>0</v>
      </c>
    </row>
    <row r="13" spans="1:21" s="569" customFormat="1" ht="15.75" customHeight="1">
      <c r="A13" s="80">
        <v>10</v>
      </c>
      <c r="B13" s="101"/>
      <c r="C13" s="1539" t="str">
        <f>OR_VEH!B112</f>
        <v>NE PAS UTILISER</v>
      </c>
      <c r="D13" s="1588"/>
      <c r="E13" s="776" t="s">
        <v>264</v>
      </c>
      <c r="F13" s="269">
        <f>IFERROR(IF(Flag=TRUE,K13-TBIn!E280,TBIn!D280),0)</f>
        <v>0</v>
      </c>
      <c r="G13" s="2599">
        <f>IFERROR(IF(Flag=TRUE,L13-TBIn!E1625,TBIn!D1625),0)</f>
        <v>0</v>
      </c>
      <c r="H13" s="2599">
        <f>IFERROR(IF(Flag=TRUE,M13-TBIn!E1665,TBIn!D1665),0)</f>
        <v>0</v>
      </c>
      <c r="I13" s="552">
        <f t="shared" si="0"/>
        <v>0</v>
      </c>
      <c r="J13" s="608">
        <f t="shared" si="1"/>
        <v>0</v>
      </c>
      <c r="K13" s="721">
        <f>IFERROR(TBIn!E280,0)</f>
        <v>0</v>
      </c>
      <c r="L13" s="2574">
        <f>IFERROR(TBIn!E1625,0)</f>
        <v>0</v>
      </c>
      <c r="M13" s="2574">
        <f>IFERROR(TBIn!E1665,0)</f>
        <v>0</v>
      </c>
      <c r="N13" s="555">
        <f t="shared" si="3"/>
        <v>0</v>
      </c>
      <c r="O13" s="587">
        <f t="shared" si="2"/>
        <v>0</v>
      </c>
      <c r="P13" s="80">
        <v>10</v>
      </c>
      <c r="Q13" s="656">
        <v>0</v>
      </c>
      <c r="R13" s="656">
        <f t="shared" si="4"/>
        <v>0</v>
      </c>
      <c r="S13" s="656">
        <f t="shared" si="5"/>
        <v>0</v>
      </c>
      <c r="T13" s="656">
        <f t="shared" si="6"/>
        <v>0</v>
      </c>
      <c r="U13" s="656">
        <f t="shared" si="7"/>
        <v>0</v>
      </c>
    </row>
    <row r="14" spans="1:21" s="569" customFormat="1" ht="15.75" customHeight="1">
      <c r="A14" s="80">
        <v>11</v>
      </c>
      <c r="B14" s="101" t="s">
        <v>127</v>
      </c>
      <c r="C14" s="1539" t="str">
        <f>OR_VEH!B113</f>
        <v>NE PAS UTILISER</v>
      </c>
      <c r="D14" s="1588"/>
      <c r="E14" s="776" t="s">
        <v>265</v>
      </c>
      <c r="F14" s="269">
        <f>IFERROR(IF(Flag=TRUE,K14-TBIn!E281,TBIn!D281),0)</f>
        <v>0</v>
      </c>
      <c r="G14" s="2599">
        <f>IFERROR(IF(Flag=TRUE,L14-TBIn!E1626,TBIn!D1626),0)</f>
        <v>0</v>
      </c>
      <c r="H14" s="2599">
        <f>IFERROR(IF(Flag=TRUE,M14-TBIn!E1666,TBIn!D1666),0)</f>
        <v>0</v>
      </c>
      <c r="I14" s="552">
        <f t="shared" si="0"/>
        <v>0</v>
      </c>
      <c r="J14" s="608">
        <f t="shared" si="1"/>
        <v>0</v>
      </c>
      <c r="K14" s="721">
        <f>IFERROR(TBIn!E281,0)</f>
        <v>0</v>
      </c>
      <c r="L14" s="2574">
        <f>IFERROR(TBIn!E1626,0)</f>
        <v>0</v>
      </c>
      <c r="M14" s="2574">
        <f>IFERROR(TBIn!E1666,0)</f>
        <v>0</v>
      </c>
      <c r="N14" s="555">
        <f t="shared" si="3"/>
        <v>0</v>
      </c>
      <c r="O14" s="587">
        <f t="shared" si="2"/>
        <v>0</v>
      </c>
      <c r="P14" s="80">
        <v>11</v>
      </c>
      <c r="Q14" s="656">
        <v>0</v>
      </c>
      <c r="R14" s="656">
        <f t="shared" si="4"/>
        <v>0</v>
      </c>
      <c r="S14" s="656">
        <f t="shared" si="5"/>
        <v>0</v>
      </c>
      <c r="T14" s="656">
        <f t="shared" si="6"/>
        <v>0</v>
      </c>
      <c r="U14" s="656">
        <f t="shared" si="7"/>
        <v>0</v>
      </c>
    </row>
    <row r="15" spans="1:21" s="569" customFormat="1" ht="15.75" customHeight="1">
      <c r="A15" s="80">
        <v>12</v>
      </c>
      <c r="B15" s="101" t="s">
        <v>122</v>
      </c>
      <c r="C15" s="1539" t="str">
        <f>OR_VEH!B114</f>
        <v>NE PAS UTILISER</v>
      </c>
      <c r="D15" s="1588"/>
      <c r="E15" s="776" t="s">
        <v>266</v>
      </c>
      <c r="F15" s="269">
        <f>IFERROR(IF(Flag=TRUE,K15-TBIn!E282,TBIn!D282),0)</f>
        <v>0</v>
      </c>
      <c r="G15" s="2599">
        <f>IFERROR(IF(Flag=TRUE,L15-TBIn!E1627,TBIn!D1627),0)</f>
        <v>0</v>
      </c>
      <c r="H15" s="2599">
        <f>IFERROR(IF(Flag=TRUE,M15-TBIn!E1667,TBIn!D1667),0)</f>
        <v>0</v>
      </c>
      <c r="I15" s="552">
        <f t="shared" si="0"/>
        <v>0</v>
      </c>
      <c r="J15" s="608">
        <f t="shared" si="1"/>
        <v>0</v>
      </c>
      <c r="K15" s="721">
        <f>IFERROR(TBIn!E282,0)</f>
        <v>0</v>
      </c>
      <c r="L15" s="2574">
        <f>IFERROR(TBIn!E1627,0)</f>
        <v>0</v>
      </c>
      <c r="M15" s="2574">
        <f>IFERROR(TBIn!E1667,0)</f>
        <v>0</v>
      </c>
      <c r="N15" s="555">
        <f t="shared" si="3"/>
        <v>0</v>
      </c>
      <c r="O15" s="587">
        <f t="shared" si="2"/>
        <v>0</v>
      </c>
      <c r="P15" s="80">
        <v>12</v>
      </c>
      <c r="Q15" s="656">
        <v>0</v>
      </c>
      <c r="R15" s="656">
        <f t="shared" si="4"/>
        <v>0</v>
      </c>
      <c r="S15" s="656">
        <f t="shared" si="5"/>
        <v>0</v>
      </c>
      <c r="T15" s="656">
        <f t="shared" si="6"/>
        <v>0</v>
      </c>
      <c r="U15" s="656">
        <f t="shared" si="7"/>
        <v>0</v>
      </c>
    </row>
    <row r="16" spans="1:21" s="569" customFormat="1" ht="15.75" customHeight="1">
      <c r="A16" s="80">
        <v>13</v>
      </c>
      <c r="B16" s="101" t="s">
        <v>118</v>
      </c>
      <c r="C16" s="1539" t="str">
        <f>OR_VEH!B115</f>
        <v>NE PAS UTILISER</v>
      </c>
      <c r="D16" s="1588"/>
      <c r="E16" s="776" t="s">
        <v>267</v>
      </c>
      <c r="F16" s="269">
        <f>IFERROR(IF(Flag=TRUE,K16-TBIn!E283,TBIn!D283),0)</f>
        <v>0</v>
      </c>
      <c r="G16" s="2599">
        <f>IFERROR(IF(Flag=TRUE,L16-TBIn!E1628,TBIn!D1628),0)</f>
        <v>0</v>
      </c>
      <c r="H16" s="2599">
        <f>IFERROR(IF(Flag=TRUE,M16-TBIn!E1668,TBIn!D1668),0)</f>
        <v>0</v>
      </c>
      <c r="I16" s="552">
        <f t="shared" si="0"/>
        <v>0</v>
      </c>
      <c r="J16" s="608">
        <f t="shared" si="1"/>
        <v>0</v>
      </c>
      <c r="K16" s="721">
        <f>IFERROR(TBIn!E283,0)</f>
        <v>0</v>
      </c>
      <c r="L16" s="2574">
        <f>IFERROR(TBIn!E1628,0)</f>
        <v>0</v>
      </c>
      <c r="M16" s="2574">
        <f>IFERROR(TBIn!E1668,0)</f>
        <v>0</v>
      </c>
      <c r="N16" s="555">
        <f t="shared" si="3"/>
        <v>0</v>
      </c>
      <c r="O16" s="587">
        <f t="shared" si="2"/>
        <v>0</v>
      </c>
      <c r="P16" s="80">
        <v>13</v>
      </c>
      <c r="Q16" s="656">
        <v>0</v>
      </c>
      <c r="R16" s="656">
        <f t="shared" si="4"/>
        <v>0</v>
      </c>
      <c r="S16" s="656">
        <f t="shared" si="5"/>
        <v>0</v>
      </c>
      <c r="T16" s="656">
        <f t="shared" si="6"/>
        <v>0</v>
      </c>
      <c r="U16" s="656">
        <f t="shared" si="7"/>
        <v>0</v>
      </c>
    </row>
    <row r="17" spans="1:21" s="569" customFormat="1" ht="15.75" customHeight="1">
      <c r="A17" s="80">
        <v>14</v>
      </c>
      <c r="B17" s="101" t="s">
        <v>110</v>
      </c>
      <c r="C17" s="1539" t="str">
        <f>OR_VEH!B116</f>
        <v>NE PAS UTILISER</v>
      </c>
      <c r="D17" s="1588"/>
      <c r="E17" s="776" t="s">
        <v>268</v>
      </c>
      <c r="F17" s="269">
        <f>IFERROR(IF(Flag=TRUE,K17-TBIn!E284,TBIn!D284),0)</f>
        <v>0</v>
      </c>
      <c r="G17" s="2599">
        <f>IFERROR(IF(Flag=TRUE,L17-TBIn!E1629,TBIn!D1629),0)</f>
        <v>0</v>
      </c>
      <c r="H17" s="2599">
        <f>IFERROR(IF(Flag=TRUE,M17-TBIn!E1669,TBIn!D1669),0)</f>
        <v>0</v>
      </c>
      <c r="I17" s="552">
        <f t="shared" si="0"/>
        <v>0</v>
      </c>
      <c r="J17" s="608">
        <f t="shared" si="1"/>
        <v>0</v>
      </c>
      <c r="K17" s="721">
        <f>IFERROR(TBIn!E284,0)</f>
        <v>0</v>
      </c>
      <c r="L17" s="2574">
        <f>IFERROR(TBIn!E1629,0)</f>
        <v>0</v>
      </c>
      <c r="M17" s="2574">
        <f>IFERROR(TBIn!E1669,0)</f>
        <v>0</v>
      </c>
      <c r="N17" s="555">
        <f t="shared" si="3"/>
        <v>0</v>
      </c>
      <c r="O17" s="587">
        <f t="shared" si="2"/>
        <v>0</v>
      </c>
      <c r="P17" s="80">
        <v>14</v>
      </c>
      <c r="Q17" s="656">
        <v>0</v>
      </c>
      <c r="R17" s="656">
        <f t="shared" si="4"/>
        <v>0</v>
      </c>
      <c r="S17" s="656">
        <f t="shared" si="5"/>
        <v>0</v>
      </c>
      <c r="T17" s="656">
        <f t="shared" si="6"/>
        <v>0</v>
      </c>
      <c r="U17" s="656">
        <f t="shared" si="7"/>
        <v>0</v>
      </c>
    </row>
    <row r="18" spans="1:21" s="569" customFormat="1" ht="15.75" customHeight="1">
      <c r="A18" s="80">
        <v>15</v>
      </c>
      <c r="B18" s="275" t="s">
        <v>122</v>
      </c>
      <c r="C18" s="1539" t="str">
        <f>OR_VEH!B117</f>
        <v>NE PAS UTILISER</v>
      </c>
      <c r="D18" s="1588"/>
      <c r="E18" s="776" t="s">
        <v>269</v>
      </c>
      <c r="F18" s="269">
        <f>IFERROR(IF(Flag=TRUE,K18-TBIn!E285,TBIn!D285),0)</f>
        <v>0</v>
      </c>
      <c r="G18" s="2599">
        <f>IFERROR(IF(Flag=TRUE,L18-TBIn!E1630,TBIn!D1630),0)</f>
        <v>0</v>
      </c>
      <c r="H18" s="2599">
        <f>IFERROR(IF(Flag=TRUE,M18-TBIn!E1670,TBIn!D1670),0)</f>
        <v>0</v>
      </c>
      <c r="I18" s="552">
        <f t="shared" si="0"/>
        <v>0</v>
      </c>
      <c r="J18" s="608">
        <f t="shared" si="1"/>
        <v>0</v>
      </c>
      <c r="K18" s="721">
        <f>IFERROR(TBIn!E285,0)</f>
        <v>0</v>
      </c>
      <c r="L18" s="2574">
        <f>IFERROR(TBIn!E1630,0)</f>
        <v>0</v>
      </c>
      <c r="M18" s="2574">
        <f>IFERROR(TBIn!E1670,0)</f>
        <v>0</v>
      </c>
      <c r="N18" s="555">
        <f t="shared" si="3"/>
        <v>0</v>
      </c>
      <c r="O18" s="587">
        <f t="shared" si="2"/>
        <v>0</v>
      </c>
      <c r="P18" s="80">
        <v>15</v>
      </c>
      <c r="Q18" s="656">
        <v>0</v>
      </c>
      <c r="R18" s="656">
        <f t="shared" si="4"/>
        <v>0</v>
      </c>
      <c r="S18" s="656">
        <f t="shared" si="5"/>
        <v>0</v>
      </c>
      <c r="T18" s="656">
        <f t="shared" si="6"/>
        <v>0</v>
      </c>
      <c r="U18" s="656">
        <f t="shared" si="7"/>
        <v>0</v>
      </c>
    </row>
    <row r="19" spans="1:21" s="569" customFormat="1" ht="16" customHeight="1">
      <c r="A19" s="80">
        <v>16</v>
      </c>
      <c r="B19" s="275" t="s">
        <v>124</v>
      </c>
      <c r="C19" s="1539" t="str">
        <f>OR_VEH!B118</f>
        <v>NE PAS UTILISER</v>
      </c>
      <c r="D19" s="1588"/>
      <c r="E19" s="776" t="s">
        <v>270</v>
      </c>
      <c r="F19" s="269">
        <f>IFERROR(IF(Flag=TRUE,K19-TBIn!E286,TBIn!D286),0)</f>
        <v>0</v>
      </c>
      <c r="G19" s="2599">
        <f>IFERROR(IF(Flag=TRUE,L19-TBIn!E1631,TBIn!D1631),0)</f>
        <v>0</v>
      </c>
      <c r="H19" s="2599">
        <f>IFERROR(IF(Flag=TRUE,M19-TBIn!E1671,TBIn!D1671),0)</f>
        <v>0</v>
      </c>
      <c r="I19" s="552">
        <f t="shared" si="0"/>
        <v>0</v>
      </c>
      <c r="J19" s="608">
        <f t="shared" si="1"/>
        <v>0</v>
      </c>
      <c r="K19" s="721">
        <f>IFERROR(TBIn!E286,0)</f>
        <v>0</v>
      </c>
      <c r="L19" s="2574">
        <f>IFERROR(TBIn!E1631,0)</f>
        <v>0</v>
      </c>
      <c r="M19" s="2574">
        <f>IFERROR(TBIn!E1671,0)</f>
        <v>0</v>
      </c>
      <c r="N19" s="555">
        <f t="shared" si="3"/>
        <v>0</v>
      </c>
      <c r="O19" s="587">
        <f t="shared" si="2"/>
        <v>0</v>
      </c>
      <c r="P19" s="80">
        <v>16</v>
      </c>
      <c r="Q19" s="656">
        <v>0</v>
      </c>
      <c r="R19" s="656">
        <f t="shared" si="4"/>
        <v>0</v>
      </c>
      <c r="S19" s="656">
        <f t="shared" si="5"/>
        <v>0</v>
      </c>
      <c r="T19" s="656">
        <f t="shared" si="6"/>
        <v>0</v>
      </c>
      <c r="U19" s="656">
        <f t="shared" si="7"/>
        <v>0</v>
      </c>
    </row>
    <row r="20" spans="1:21" s="569" customFormat="1" ht="16" customHeight="1">
      <c r="A20" s="80">
        <v>17</v>
      </c>
      <c r="B20" s="275"/>
      <c r="C20" s="1539" t="str">
        <f>OR_VEH!B119</f>
        <v>NE PAS UTILISER</v>
      </c>
      <c r="D20" s="1588"/>
      <c r="E20" s="776" t="s">
        <v>271</v>
      </c>
      <c r="F20" s="269">
        <f>IFERROR(IF(Flag=TRUE,K20-TBIn!E287,TBIn!D287),0)</f>
        <v>0</v>
      </c>
      <c r="G20" s="2599">
        <f>IFERROR(IF(Flag=TRUE,L20-TBIn!E1632,TBIn!D1632),0)</f>
        <v>0</v>
      </c>
      <c r="H20" s="2599">
        <f>IFERROR(IF(Flag=TRUE,M20-TBIn!E1672,TBIn!D1672),0)</f>
        <v>0</v>
      </c>
      <c r="I20" s="552">
        <f t="shared" si="0"/>
        <v>0</v>
      </c>
      <c r="J20" s="608">
        <f t="shared" si="1"/>
        <v>0</v>
      </c>
      <c r="K20" s="721">
        <f>IFERROR(TBIn!E287,0)</f>
        <v>0</v>
      </c>
      <c r="L20" s="2574">
        <f>IFERROR(TBIn!E1632,0)</f>
        <v>0</v>
      </c>
      <c r="M20" s="2574">
        <f>IFERROR(TBIn!E1672,0)</f>
        <v>0</v>
      </c>
      <c r="N20" s="555">
        <f t="shared" si="3"/>
        <v>0</v>
      </c>
      <c r="O20" s="587">
        <f t="shared" si="2"/>
        <v>0</v>
      </c>
      <c r="P20" s="80">
        <v>17</v>
      </c>
      <c r="Q20" s="656">
        <v>0</v>
      </c>
      <c r="R20" s="656">
        <f t="shared" si="4"/>
        <v>0</v>
      </c>
      <c r="S20" s="656">
        <f t="shared" si="5"/>
        <v>0</v>
      </c>
      <c r="T20" s="656">
        <f t="shared" si="6"/>
        <v>0</v>
      </c>
      <c r="U20" s="656">
        <f t="shared" si="7"/>
        <v>0</v>
      </c>
    </row>
    <row r="21" spans="1:21" s="569" customFormat="1" ht="16" customHeight="1">
      <c r="A21" s="80">
        <v>18</v>
      </c>
      <c r="B21" s="215"/>
      <c r="C21" s="1539" t="str">
        <f>OR_VEH!B120</f>
        <v>NE PAS UTILISER</v>
      </c>
      <c r="D21" s="1588"/>
      <c r="E21" s="776" t="s">
        <v>272</v>
      </c>
      <c r="F21" s="269">
        <f>IFERROR(IF(Flag=TRUE,K21-TBIn!E288,TBIn!D288),0)</f>
        <v>0</v>
      </c>
      <c r="G21" s="2599">
        <f>IFERROR(IF(Flag=TRUE,L21-TBIn!E1633,TBIn!D1633),0)</f>
        <v>0</v>
      </c>
      <c r="H21" s="2599">
        <f>IFERROR(IF(Flag=TRUE,M21-TBIn!E1673,TBIn!D1673),0)</f>
        <v>0</v>
      </c>
      <c r="I21" s="552">
        <f t="shared" si="0"/>
        <v>0</v>
      </c>
      <c r="J21" s="608">
        <f t="shared" si="1"/>
        <v>0</v>
      </c>
      <c r="K21" s="721">
        <f>IFERROR(TBIn!E288,0)</f>
        <v>0</v>
      </c>
      <c r="L21" s="2574">
        <f>IFERROR(TBIn!E1633,0)</f>
        <v>0</v>
      </c>
      <c r="M21" s="2574">
        <f>IFERROR(TBIn!E1673,0)</f>
        <v>0</v>
      </c>
      <c r="N21" s="555">
        <f t="shared" si="3"/>
        <v>0</v>
      </c>
      <c r="O21" s="587">
        <f t="shared" si="2"/>
        <v>0</v>
      </c>
      <c r="P21" s="80">
        <v>18</v>
      </c>
      <c r="Q21" s="656">
        <v>0</v>
      </c>
      <c r="R21" s="656">
        <f t="shared" si="4"/>
        <v>0</v>
      </c>
      <c r="S21" s="656">
        <f t="shared" si="5"/>
        <v>0</v>
      </c>
      <c r="T21" s="656">
        <f t="shared" si="6"/>
        <v>0</v>
      </c>
      <c r="U21" s="656">
        <f t="shared" si="7"/>
        <v>0</v>
      </c>
    </row>
    <row r="22" spans="1:21" s="569" customFormat="1" ht="16" customHeight="1">
      <c r="A22" s="80">
        <v>19</v>
      </c>
      <c r="B22" s="215"/>
      <c r="C22" s="1589" t="str">
        <f>OR_VEH!B121</f>
        <v>NE PAS UTILISER</v>
      </c>
      <c r="D22" s="1590"/>
      <c r="E22" s="777" t="s">
        <v>273</v>
      </c>
      <c r="F22" s="270">
        <f>IFERROR(IF(Flag=TRUE,K22-TBIn!E289,TBIn!D289),0)</f>
        <v>0</v>
      </c>
      <c r="G22" s="2600">
        <f>IFERROR(IF(Flag=TRUE,L22-TBIn!E1634,TBIn!D1634),0)</f>
        <v>0</v>
      </c>
      <c r="H22" s="2600">
        <f>IFERROR(IF(Flag=TRUE,M22-TBIn!E1674,TBIn!D1674),0)</f>
        <v>0</v>
      </c>
      <c r="I22" s="553">
        <f t="shared" si="0"/>
        <v>0</v>
      </c>
      <c r="J22" s="847">
        <f t="shared" si="1"/>
        <v>0</v>
      </c>
      <c r="K22" s="722">
        <f>IFERROR(TBIn!E289,0)</f>
        <v>0</v>
      </c>
      <c r="L22" s="2603">
        <f>IFERROR(TBIn!E1634,0)</f>
        <v>0</v>
      </c>
      <c r="M22" s="2603">
        <f>IFERROR(TBIn!E1674,0)</f>
        <v>0</v>
      </c>
      <c r="N22" s="556">
        <f t="shared" si="3"/>
        <v>0</v>
      </c>
      <c r="O22" s="601">
        <f t="shared" si="2"/>
        <v>0</v>
      </c>
      <c r="P22" s="80">
        <v>19</v>
      </c>
      <c r="Q22" s="656">
        <v>0</v>
      </c>
      <c r="R22" s="656">
        <f t="shared" si="4"/>
        <v>0</v>
      </c>
      <c r="S22" s="656">
        <f t="shared" si="5"/>
        <v>0</v>
      </c>
      <c r="T22" s="656">
        <f t="shared" si="6"/>
        <v>0</v>
      </c>
      <c r="U22" s="656">
        <f t="shared" si="7"/>
        <v>0</v>
      </c>
    </row>
    <row r="23" spans="1:21"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56"/>
      <c r="R23" s="656"/>
      <c r="S23" s="656"/>
      <c r="T23" s="656"/>
      <c r="U23" s="656"/>
    </row>
    <row r="24" spans="1:21" s="569" customFormat="1" ht="16" customHeight="1">
      <c r="A24" s="80">
        <v>21</v>
      </c>
      <c r="B24" s="215"/>
      <c r="C24" s="1591" t="str">
        <f>OR_VEH!B123</f>
        <v>MÉMO* VENTES INTERNET VOITURES</v>
      </c>
      <c r="D24" s="1592"/>
      <c r="E24" s="779" t="s">
        <v>274</v>
      </c>
      <c r="F24" s="269">
        <f>IFERROR(IF(Flag=TRUE,K24-TBIn!E290,TBIn!D290),0)</f>
        <v>0</v>
      </c>
      <c r="G24" s="2599">
        <f>IFERROR(IF(Flag=TRUE,L24-TBIn!$E$147,TBIn!$D$147),0)</f>
        <v>0</v>
      </c>
      <c r="H24" s="2599">
        <f>IFERROR(IF(Flag=TRUE,M24-TBIn!$E$167,TBIn!$D$167),0)</f>
        <v>0</v>
      </c>
      <c r="I24" s="552">
        <f>G24-H24</f>
        <v>0</v>
      </c>
      <c r="J24" s="608">
        <f t="shared" si="1"/>
        <v>0</v>
      </c>
      <c r="K24" s="721">
        <f>IFERROR(TBIn!E290,0)</f>
        <v>0</v>
      </c>
      <c r="L24" s="2574">
        <f>IFERROR(TBIn!$E$147,0)</f>
        <v>0</v>
      </c>
      <c r="M24" s="2574">
        <f>IFERROR(TBIn!$E$167,0)</f>
        <v>0</v>
      </c>
      <c r="N24" s="555">
        <f>L24-M24</f>
        <v>0</v>
      </c>
      <c r="O24" s="587">
        <f t="shared" si="2"/>
        <v>0</v>
      </c>
      <c r="P24" s="80">
        <v>21</v>
      </c>
      <c r="Q24" s="656">
        <v>0</v>
      </c>
      <c r="R24" s="656">
        <f t="shared" si="4"/>
        <v>0</v>
      </c>
      <c r="S24" s="656">
        <f>IF(K24=0,0,IF(OR(L24&lt;0,L24/K24&gt;Q24),1,0))</f>
        <v>0</v>
      </c>
      <c r="T24" s="656">
        <f>IF(OR(F24&lt;0,AND(G24&gt;0,F24=0),AND(G24=0,F24&gt;0)),1,0)</f>
        <v>0</v>
      </c>
      <c r="U24" s="656">
        <f>IF(OR(K24&lt;0,AND(L24&gt;0,K24=0),AND(K24&gt;0,L24=0)),1,0)</f>
        <v>0</v>
      </c>
    </row>
    <row r="25" spans="1:21" s="569" customFormat="1" ht="19" customHeight="1">
      <c r="A25" s="80">
        <v>22</v>
      </c>
      <c r="B25" s="101"/>
      <c r="C25" s="1594" t="str">
        <f>OR_VEH!B124</f>
        <v>TOTAL PARCS - VOITURES</v>
      </c>
      <c r="D25" s="1595"/>
      <c r="E25" s="2525" t="s">
        <v>139</v>
      </c>
      <c r="F25" s="269">
        <f>IFERROR(IF(Flag=TRUE,K25-TBIn!E291,TBIn!D291),0)</f>
        <v>0</v>
      </c>
      <c r="G25" s="2599">
        <f>IFERROR(IF(Flag=TRUE,L25-TBIn!E1635,TBIn!D1635),0)</f>
        <v>0</v>
      </c>
      <c r="H25" s="2599">
        <f>IFERROR(IF(Flag=TRUE,M25-TBIn!E1675,TBIn!D1675),0)</f>
        <v>0</v>
      </c>
      <c r="I25" s="552">
        <f>G25-H25</f>
        <v>0</v>
      </c>
      <c r="J25" s="608">
        <f t="shared" si="1"/>
        <v>0</v>
      </c>
      <c r="K25" s="721">
        <f>IFERROR(TBIn!E291,0)</f>
        <v>0</v>
      </c>
      <c r="L25" s="2574">
        <f>IFERROR(TBIn!E1635,0)</f>
        <v>0</v>
      </c>
      <c r="M25" s="2574">
        <f>IFERROR(TBIn!E1675,0)</f>
        <v>0</v>
      </c>
      <c r="N25" s="2679">
        <f>L25-M25</f>
        <v>0</v>
      </c>
      <c r="O25" s="587">
        <f t="shared" si="2"/>
        <v>0</v>
      </c>
      <c r="P25" s="80">
        <v>22</v>
      </c>
      <c r="Q25" s="656">
        <v>0</v>
      </c>
      <c r="R25" s="656">
        <f t="shared" si="4"/>
        <v>0</v>
      </c>
      <c r="S25" s="656">
        <f>IF(K25=0,0,IF(OR(L25&lt;0,L25/K25&gt;Q25),1,0))</f>
        <v>0</v>
      </c>
      <c r="T25" s="656">
        <f>IF(OR(F25&lt;0,AND(G25&gt;0,F25=0),AND(G25=0,F25&gt;0)),1,0)</f>
        <v>0</v>
      </c>
      <c r="U25" s="656">
        <f>IF(OR(K25&lt;0,AND(L25&gt;0,K25=0),AND(K25&gt;0,L25=0)),1,0)</f>
        <v>0</v>
      </c>
    </row>
    <row r="26" spans="1:21" s="569" customFormat="1" ht="16" customHeight="1">
      <c r="A26" s="80">
        <v>23</v>
      </c>
      <c r="B26" s="215"/>
      <c r="C26" s="1596" t="str">
        <f>OR_VEH!B125</f>
        <v>TOTAL INTERNE - VOITURES</v>
      </c>
      <c r="D26" s="1597"/>
      <c r="E26" s="780" t="s">
        <v>275</v>
      </c>
      <c r="F26" s="269">
        <f>IFERROR(IF(Flag=TRUE,K26-TBIn!E292,TBIn!D292),0)</f>
        <v>0</v>
      </c>
      <c r="G26" s="2599">
        <f>IFERROR(IF(Flag=TRUE,L26-TBIn!E1636,TBIn!D1636),0)</f>
        <v>0</v>
      </c>
      <c r="H26" s="2599">
        <f>IFERROR(IF(Flag=TRUE,M26-TBIn!E1676,TBIn!D1676),0)</f>
        <v>0</v>
      </c>
      <c r="I26" s="552">
        <f>G26-H26</f>
        <v>0</v>
      </c>
      <c r="J26" s="608">
        <f t="shared" si="1"/>
        <v>0</v>
      </c>
      <c r="K26" s="721">
        <f>IFERROR(TBIn!E292,0)</f>
        <v>0</v>
      </c>
      <c r="L26" s="2574">
        <f>IFERROR(TBIn!E1636,0)</f>
        <v>0</v>
      </c>
      <c r="M26" s="2574">
        <f>IFERROR(TBIn!E1676,0)</f>
        <v>0</v>
      </c>
      <c r="N26" s="555">
        <f>L26-M26</f>
        <v>0</v>
      </c>
      <c r="O26" s="587">
        <f t="shared" si="2"/>
        <v>0</v>
      </c>
      <c r="P26" s="80">
        <v>23</v>
      </c>
      <c r="Q26" s="656">
        <v>0</v>
      </c>
      <c r="R26" s="656">
        <f t="shared" si="4"/>
        <v>0</v>
      </c>
      <c r="S26" s="656">
        <f>IF(K26=0,0,IF(OR(L26&lt;0,L26/K26&gt;Q26),1,0))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56"/>
      <c r="R27" s="656"/>
      <c r="S27" s="656"/>
      <c r="T27" s="656"/>
      <c r="U27" s="656"/>
    </row>
    <row r="28" spans="1:21" s="569" customFormat="1" ht="16" customHeight="1">
      <c r="A28" s="80">
        <v>25</v>
      </c>
      <c r="B28" s="207"/>
      <c r="C28" s="1601" t="str">
        <f>OR_VEH!B127</f>
        <v>NE PAS UTILISER</v>
      </c>
      <c r="D28" s="1599"/>
      <c r="E28" s="779" t="s">
        <v>276</v>
      </c>
      <c r="F28" s="180">
        <f>IFERROR(IF(Flag=TRUE,K28-TBIn!E293,TBIn!D293),0)</f>
        <v>0</v>
      </c>
      <c r="G28" s="2601">
        <f>IFERROR(IF(Flag=TRUE,L28-TBIn!E1637,TBIn!D1637),0)</f>
        <v>0</v>
      </c>
      <c r="H28" s="2601">
        <f>IFERROR(IF(Flag=TRUE,M28-TBIn!E1677,TBIn!D1677),0)</f>
        <v>0</v>
      </c>
      <c r="I28" s="557">
        <f t="shared" ref="I28:I43" si="8">G28-H28</f>
        <v>0</v>
      </c>
      <c r="J28" s="271">
        <f t="shared" si="1"/>
        <v>0</v>
      </c>
      <c r="K28" s="723">
        <f>IFERROR(TBIn!E293,0)</f>
        <v>0</v>
      </c>
      <c r="L28" s="2604">
        <f>IFERROR(TBIn!E1637,0)</f>
        <v>0</v>
      </c>
      <c r="M28" s="2604">
        <f>IFERROR(TBIn!E1677,0)</f>
        <v>0</v>
      </c>
      <c r="N28" s="326">
        <f t="shared" ref="N28:N43" si="9">L28-M28</f>
        <v>0</v>
      </c>
      <c r="O28" s="272">
        <f t="shared" si="2"/>
        <v>0</v>
      </c>
      <c r="P28" s="80">
        <v>25</v>
      </c>
      <c r="Q28" s="656">
        <v>0</v>
      </c>
      <c r="R28" s="656">
        <f t="shared" si="4"/>
        <v>0</v>
      </c>
      <c r="S28" s="656">
        <f t="shared" ref="S28:S43" si="10">IF(K28=0,0,IF(OR(L28&lt;0,L28/K28&gt;Q28),1,0))</f>
        <v>0</v>
      </c>
      <c r="T28" s="656">
        <f t="shared" ref="T28:T43" si="11">IF(OR(F28&lt;0,AND(G28&gt;0,F28=0),AND(G28=0,F28&gt;0)),1,0)</f>
        <v>0</v>
      </c>
      <c r="U28" s="656">
        <f t="shared" ref="U28:U43" si="12">IF(OR(K28&lt;0,AND(L28&gt;0,K28=0),AND(K28&gt;0,L28=0)),1,0)</f>
        <v>0</v>
      </c>
    </row>
    <row r="29" spans="1:21" s="569" customFormat="1" ht="16" customHeight="1">
      <c r="A29" s="80">
        <v>26</v>
      </c>
      <c r="B29" s="275" t="s">
        <v>143</v>
      </c>
      <c r="C29" s="1539" t="str">
        <f>OR_VEH!B128</f>
        <v>NE PAS UTILISER</v>
      </c>
      <c r="D29" s="1588"/>
      <c r="E29" s="779" t="s">
        <v>277</v>
      </c>
      <c r="F29" s="269">
        <f>IFERROR(IF(Flag=TRUE,K29-TBIn!E294,TBIn!D294),0)</f>
        <v>0</v>
      </c>
      <c r="G29" s="2599">
        <f>IFERROR(IF(Flag=TRUE,L29-TBIn!E1638,TBIn!D1638),0)</f>
        <v>0</v>
      </c>
      <c r="H29" s="2601">
        <f>IFERROR(IF(Flag=TRUE,M29-TBIn!E1678,TBIn!D1678),0)</f>
        <v>0</v>
      </c>
      <c r="I29" s="557">
        <f t="shared" si="8"/>
        <v>0</v>
      </c>
      <c r="J29" s="608">
        <f t="shared" si="1"/>
        <v>0</v>
      </c>
      <c r="K29" s="721">
        <f>IFERROR(TBIn!E294,0)</f>
        <v>0</v>
      </c>
      <c r="L29" s="2574">
        <f>IFERROR(TBIn!E1638,0)</f>
        <v>0</v>
      </c>
      <c r="M29" s="2604">
        <f>IFERROR(TBIn!E1678,0)</f>
        <v>0</v>
      </c>
      <c r="N29" s="326">
        <f t="shared" si="9"/>
        <v>0</v>
      </c>
      <c r="O29" s="587">
        <f t="shared" si="2"/>
        <v>0</v>
      </c>
      <c r="P29" s="80">
        <v>26</v>
      </c>
      <c r="Q29" s="656">
        <v>0</v>
      </c>
      <c r="R29" s="656">
        <f t="shared" si="4"/>
        <v>0</v>
      </c>
      <c r="S29" s="656">
        <f t="shared" si="10"/>
        <v>0</v>
      </c>
      <c r="T29" s="656">
        <f t="shared" si="11"/>
        <v>0</v>
      </c>
      <c r="U29" s="656">
        <f t="shared" si="12"/>
        <v>0</v>
      </c>
    </row>
    <row r="30" spans="1:21" s="569" customFormat="1" ht="16" customHeight="1">
      <c r="A30" s="80">
        <v>27</v>
      </c>
      <c r="B30" s="275" t="s">
        <v>145</v>
      </c>
      <c r="C30" s="1600" t="str">
        <f>OR_VEH!B129</f>
        <v>NE PAS UTILISER</v>
      </c>
      <c r="D30" s="1588"/>
      <c r="E30" s="779" t="s">
        <v>278</v>
      </c>
      <c r="F30" s="269">
        <f>IFERROR(IF(Flag=TRUE,K30-TBIn!E295,TBIn!D295),0)</f>
        <v>0</v>
      </c>
      <c r="G30" s="2599">
        <f>IFERROR(IF(Flag=TRUE,L30-TBIn!E1639,TBIn!D1639),0)</f>
        <v>0</v>
      </c>
      <c r="H30" s="2601">
        <f>IFERROR(IF(Flag=TRUE,M30-TBIn!E1679,TBIn!D1679),0)</f>
        <v>0</v>
      </c>
      <c r="I30" s="557">
        <f t="shared" si="8"/>
        <v>0</v>
      </c>
      <c r="J30" s="608">
        <f t="shared" si="1"/>
        <v>0</v>
      </c>
      <c r="K30" s="721">
        <f>IFERROR(TBIn!E295,0)</f>
        <v>0</v>
      </c>
      <c r="L30" s="2574">
        <f>IFERROR(TBIn!E1639,0)</f>
        <v>0</v>
      </c>
      <c r="M30" s="2604">
        <f>IFERROR(TBIn!E1679,0)</f>
        <v>0</v>
      </c>
      <c r="N30" s="326">
        <f t="shared" si="9"/>
        <v>0</v>
      </c>
      <c r="O30" s="587">
        <f t="shared" si="2"/>
        <v>0</v>
      </c>
      <c r="P30" s="80">
        <v>27</v>
      </c>
      <c r="Q30" s="656">
        <v>0</v>
      </c>
      <c r="R30" s="656">
        <f t="shared" si="4"/>
        <v>0</v>
      </c>
      <c r="S30" s="656">
        <f t="shared" si="10"/>
        <v>0</v>
      </c>
      <c r="T30" s="656">
        <f t="shared" si="11"/>
        <v>0</v>
      </c>
      <c r="U30" s="656">
        <f t="shared" si="12"/>
        <v>0</v>
      </c>
    </row>
    <row r="31" spans="1:21" s="569" customFormat="1" ht="16" customHeight="1">
      <c r="A31" s="80">
        <v>28</v>
      </c>
      <c r="B31" s="275" t="s">
        <v>147</v>
      </c>
      <c r="C31" s="1600" t="str">
        <f>OR_VEH!B130</f>
        <v>NE PAS UTILISER</v>
      </c>
      <c r="D31" s="1588"/>
      <c r="E31" s="779" t="s">
        <v>279</v>
      </c>
      <c r="F31" s="269">
        <f>IFERROR(IF(Flag=TRUE,K31-TBIn!E296,TBIn!D296),0)</f>
        <v>0</v>
      </c>
      <c r="G31" s="2599">
        <f>IFERROR(IF(Flag=TRUE,L31-TBIn!E1640,TBIn!D1640),0)</f>
        <v>0</v>
      </c>
      <c r="H31" s="2601">
        <f>IFERROR(IF(Flag=TRUE,M31-TBIn!E1680,TBIn!D1680),0)</f>
        <v>0</v>
      </c>
      <c r="I31" s="557">
        <f t="shared" si="8"/>
        <v>0</v>
      </c>
      <c r="J31" s="608">
        <f t="shared" si="1"/>
        <v>0</v>
      </c>
      <c r="K31" s="721">
        <f>IFERROR(TBIn!E296,0)</f>
        <v>0</v>
      </c>
      <c r="L31" s="2574">
        <f>IFERROR(TBIn!E1640,0)</f>
        <v>0</v>
      </c>
      <c r="M31" s="2604">
        <f>IFERROR(TBIn!E1680,0)</f>
        <v>0</v>
      </c>
      <c r="N31" s="326">
        <f t="shared" si="9"/>
        <v>0</v>
      </c>
      <c r="O31" s="587">
        <f t="shared" si="2"/>
        <v>0</v>
      </c>
      <c r="P31" s="80">
        <v>28</v>
      </c>
      <c r="Q31" s="656">
        <v>0</v>
      </c>
      <c r="R31" s="656">
        <f t="shared" si="4"/>
        <v>0</v>
      </c>
      <c r="S31" s="656">
        <f t="shared" si="10"/>
        <v>0</v>
      </c>
      <c r="T31" s="656">
        <f t="shared" si="11"/>
        <v>0</v>
      </c>
      <c r="U31" s="656">
        <f t="shared" si="12"/>
        <v>0</v>
      </c>
    </row>
    <row r="32" spans="1:21" s="569" customFormat="1" ht="16" customHeight="1">
      <c r="A32" s="80">
        <v>29</v>
      </c>
      <c r="B32" s="275" t="s">
        <v>114</v>
      </c>
      <c r="C32" s="1600" t="str">
        <f>OR_VEH!B131</f>
        <v>NE PAS UTILISER</v>
      </c>
      <c r="D32" s="1588"/>
      <c r="E32" s="779" t="s">
        <v>280</v>
      </c>
      <c r="F32" s="269">
        <f>IFERROR(IF(Flag=TRUE,K32-TBIn!E297,TBIn!D297),0)</f>
        <v>0</v>
      </c>
      <c r="G32" s="2599">
        <f>IFERROR(IF(Flag=TRUE,L32-TBIn!E1641,TBIn!D1641),0)</f>
        <v>0</v>
      </c>
      <c r="H32" s="2601">
        <f>IFERROR(IF(Flag=TRUE,M32-TBIn!E1681,TBIn!D1681),0)</f>
        <v>0</v>
      </c>
      <c r="I32" s="557">
        <f t="shared" si="8"/>
        <v>0</v>
      </c>
      <c r="J32" s="608">
        <f t="shared" si="1"/>
        <v>0</v>
      </c>
      <c r="K32" s="721">
        <f>IFERROR(TBIn!E297,0)</f>
        <v>0</v>
      </c>
      <c r="L32" s="2574">
        <f>IFERROR(TBIn!E1641,0)</f>
        <v>0</v>
      </c>
      <c r="M32" s="2604">
        <f>IFERROR(TBIn!E1681,0)</f>
        <v>0</v>
      </c>
      <c r="N32" s="326">
        <f t="shared" si="9"/>
        <v>0</v>
      </c>
      <c r="O32" s="587">
        <f t="shared" si="2"/>
        <v>0</v>
      </c>
      <c r="P32" s="80">
        <v>29</v>
      </c>
      <c r="Q32" s="656">
        <v>0</v>
      </c>
      <c r="R32" s="656">
        <f t="shared" si="4"/>
        <v>0</v>
      </c>
      <c r="S32" s="656">
        <f t="shared" si="10"/>
        <v>0</v>
      </c>
      <c r="T32" s="656">
        <f t="shared" si="11"/>
        <v>0</v>
      </c>
      <c r="U32" s="656">
        <f t="shared" si="12"/>
        <v>0</v>
      </c>
    </row>
    <row r="33" spans="1:21" s="569" customFormat="1" ht="16" customHeight="1">
      <c r="A33" s="80">
        <v>30</v>
      </c>
      <c r="B33" s="101" t="s">
        <v>112</v>
      </c>
      <c r="C33" s="1600" t="str">
        <f>OR_VEH!B132</f>
        <v>NE PAS UTILISER</v>
      </c>
      <c r="D33" s="1588"/>
      <c r="E33" s="779" t="s">
        <v>281</v>
      </c>
      <c r="F33" s="269">
        <f>IFERROR(IF(Flag=TRUE,K33-TBIn!E298,TBIn!D298),0)</f>
        <v>0</v>
      </c>
      <c r="G33" s="2599">
        <f>IFERROR(IF(Flag=TRUE,L33-TBIn!E1642,TBIn!D1642),0)</f>
        <v>0</v>
      </c>
      <c r="H33" s="2601">
        <f>IFERROR(IF(Flag=TRUE,M33-TBIn!E1682,TBIn!D1682),0)</f>
        <v>0</v>
      </c>
      <c r="I33" s="557">
        <f t="shared" si="8"/>
        <v>0</v>
      </c>
      <c r="J33" s="608">
        <f t="shared" si="1"/>
        <v>0</v>
      </c>
      <c r="K33" s="721">
        <f>IFERROR(TBIn!E298,0)</f>
        <v>0</v>
      </c>
      <c r="L33" s="2574">
        <f>IFERROR(TBIn!E1642,0)</f>
        <v>0</v>
      </c>
      <c r="M33" s="2604">
        <f>IFERROR(TBIn!E1682,0)</f>
        <v>0</v>
      </c>
      <c r="N33" s="326">
        <f t="shared" si="9"/>
        <v>0</v>
      </c>
      <c r="O33" s="587">
        <f t="shared" si="2"/>
        <v>0</v>
      </c>
      <c r="P33" s="80">
        <v>30</v>
      </c>
      <c r="Q33" s="656">
        <v>0</v>
      </c>
      <c r="R33" s="656">
        <f t="shared" si="4"/>
        <v>0</v>
      </c>
      <c r="S33" s="656">
        <f t="shared" si="10"/>
        <v>0</v>
      </c>
      <c r="T33" s="656">
        <f t="shared" si="11"/>
        <v>0</v>
      </c>
      <c r="U33" s="656">
        <f t="shared" si="12"/>
        <v>0</v>
      </c>
    </row>
    <row r="34" spans="1:21" s="569" customFormat="1" ht="16" customHeight="1">
      <c r="A34" s="80">
        <v>31</v>
      </c>
      <c r="B34" s="101" t="s">
        <v>127</v>
      </c>
      <c r="C34" s="1600" t="str">
        <f>OR_VEH!B133</f>
        <v>NE PAS UTILISER</v>
      </c>
      <c r="D34" s="1588"/>
      <c r="E34" s="779" t="s">
        <v>282</v>
      </c>
      <c r="F34" s="269">
        <f>IFERROR(IF(Flag=TRUE,K34-TBIn!E299,TBIn!D299),0)</f>
        <v>0</v>
      </c>
      <c r="G34" s="2599">
        <f>IFERROR(IF(Flag=TRUE,L34-TBIn!E1643,TBIn!D1643),0)</f>
        <v>0</v>
      </c>
      <c r="H34" s="2601">
        <f>IFERROR(IF(Flag=TRUE,M34-TBIn!E1683,TBIn!D1683),0)</f>
        <v>0</v>
      </c>
      <c r="I34" s="557">
        <f t="shared" si="8"/>
        <v>0</v>
      </c>
      <c r="J34" s="608">
        <f t="shared" si="1"/>
        <v>0</v>
      </c>
      <c r="K34" s="721">
        <f>IFERROR(TBIn!E299,0)</f>
        <v>0</v>
      </c>
      <c r="L34" s="2574">
        <f>IFERROR(TBIn!E1643,0)</f>
        <v>0</v>
      </c>
      <c r="M34" s="2604">
        <f>IFERROR(TBIn!E1683,0)</f>
        <v>0</v>
      </c>
      <c r="N34" s="326">
        <f t="shared" si="9"/>
        <v>0</v>
      </c>
      <c r="O34" s="587">
        <f t="shared" si="2"/>
        <v>0</v>
      </c>
      <c r="P34" s="80">
        <v>31</v>
      </c>
      <c r="Q34" s="656">
        <v>0</v>
      </c>
      <c r="R34" s="656">
        <f t="shared" si="4"/>
        <v>0</v>
      </c>
      <c r="S34" s="656">
        <f t="shared" si="10"/>
        <v>0</v>
      </c>
      <c r="T34" s="656">
        <f t="shared" si="11"/>
        <v>0</v>
      </c>
      <c r="U34" s="656">
        <f t="shared" si="12"/>
        <v>0</v>
      </c>
    </row>
    <row r="35" spans="1:21" s="569" customFormat="1" ht="16" customHeight="1">
      <c r="A35" s="80">
        <v>32</v>
      </c>
      <c r="B35" s="101" t="s">
        <v>124</v>
      </c>
      <c r="C35" s="1600" t="str">
        <f>OR_VEH!B134</f>
        <v>NE PAS UTILISER</v>
      </c>
      <c r="D35" s="1588"/>
      <c r="E35" s="779" t="s">
        <v>283</v>
      </c>
      <c r="F35" s="269">
        <f>IFERROR(IF(Flag=TRUE,K35-TBIn!E300,TBIn!D300),0)</f>
        <v>0</v>
      </c>
      <c r="G35" s="2599">
        <f>IFERROR(IF(Flag=TRUE,L35-TBIn!E1644,TBIn!D1644),0)</f>
        <v>0</v>
      </c>
      <c r="H35" s="2601">
        <f>IFERROR(IF(Flag=TRUE,M35-TBIn!E1684,TBIn!D1684),0)</f>
        <v>0</v>
      </c>
      <c r="I35" s="557">
        <f t="shared" si="8"/>
        <v>0</v>
      </c>
      <c r="J35" s="608">
        <f t="shared" si="1"/>
        <v>0</v>
      </c>
      <c r="K35" s="721">
        <f>IFERROR(TBIn!E300,0)</f>
        <v>0</v>
      </c>
      <c r="L35" s="2574">
        <f>IFERROR(TBIn!E1644,0)</f>
        <v>0</v>
      </c>
      <c r="M35" s="2604">
        <f>IFERROR(TBIn!E1684,0)</f>
        <v>0</v>
      </c>
      <c r="N35" s="326">
        <f t="shared" si="9"/>
        <v>0</v>
      </c>
      <c r="O35" s="587">
        <f t="shared" si="2"/>
        <v>0</v>
      </c>
      <c r="P35" s="80">
        <v>32</v>
      </c>
      <c r="Q35" s="656">
        <v>0</v>
      </c>
      <c r="R35" s="656">
        <f t="shared" si="4"/>
        <v>0</v>
      </c>
      <c r="S35" s="656">
        <f t="shared" si="10"/>
        <v>0</v>
      </c>
      <c r="T35" s="656">
        <f t="shared" si="11"/>
        <v>0</v>
      </c>
      <c r="U35" s="656">
        <f t="shared" si="12"/>
        <v>0</v>
      </c>
    </row>
    <row r="36" spans="1:21" s="569" customFormat="1" ht="16" customHeight="1">
      <c r="A36" s="80">
        <v>33</v>
      </c>
      <c r="B36" s="101"/>
      <c r="C36" s="1600" t="str">
        <f>OR_VEH!B135</f>
        <v>NE PAS UTILISER</v>
      </c>
      <c r="D36" s="1588"/>
      <c r="E36" s="779" t="s">
        <v>284</v>
      </c>
      <c r="F36" s="269">
        <f>IFERROR(IF(Flag=TRUE,K36-TBIn!E301,TBIn!D301),0)</f>
        <v>0</v>
      </c>
      <c r="G36" s="2599">
        <f>IFERROR(IF(Flag=TRUE,L36-TBIn!E1645,TBIn!D1645),0)</f>
        <v>0</v>
      </c>
      <c r="H36" s="2601">
        <f>IFERROR(IF(Flag=TRUE,M36-TBIn!E1685,TBIn!D1685),0)</f>
        <v>0</v>
      </c>
      <c r="I36" s="557">
        <f t="shared" si="8"/>
        <v>0</v>
      </c>
      <c r="J36" s="608">
        <f t="shared" si="1"/>
        <v>0</v>
      </c>
      <c r="K36" s="721">
        <f>IFERROR(TBIn!E301,0)</f>
        <v>0</v>
      </c>
      <c r="L36" s="2574">
        <f>IFERROR(TBIn!E1645,0)</f>
        <v>0</v>
      </c>
      <c r="M36" s="2604">
        <f>IFERROR(TBIn!E1685,0)</f>
        <v>0</v>
      </c>
      <c r="N36" s="326">
        <f t="shared" si="9"/>
        <v>0</v>
      </c>
      <c r="O36" s="587">
        <f t="shared" si="2"/>
        <v>0</v>
      </c>
      <c r="P36" s="80">
        <v>33</v>
      </c>
      <c r="Q36" s="656">
        <v>0</v>
      </c>
      <c r="R36" s="656">
        <f t="shared" si="4"/>
        <v>0</v>
      </c>
      <c r="S36" s="656">
        <f t="shared" si="10"/>
        <v>0</v>
      </c>
      <c r="T36" s="656">
        <f t="shared" si="11"/>
        <v>0</v>
      </c>
      <c r="U36" s="656">
        <f t="shared" si="12"/>
        <v>0</v>
      </c>
    </row>
    <row r="37" spans="1:21" s="569" customFormat="1" ht="16" customHeight="1">
      <c r="A37" s="80">
        <v>34</v>
      </c>
      <c r="B37" s="101" t="s">
        <v>127</v>
      </c>
      <c r="C37" s="1600" t="str">
        <f>OR_VEH!B136</f>
        <v>NE PAS UTILISER</v>
      </c>
      <c r="D37" s="1588"/>
      <c r="E37" s="779" t="s">
        <v>285</v>
      </c>
      <c r="F37" s="269">
        <f>IFERROR(IF(Flag=TRUE,K37-TBIn!E302,TBIn!D302),0)</f>
        <v>0</v>
      </c>
      <c r="G37" s="2599">
        <f>IFERROR(IF(Flag=TRUE,L37-TBIn!E1646,TBIn!D1646),0)</f>
        <v>0</v>
      </c>
      <c r="H37" s="2601">
        <f>IFERROR(IF(Flag=TRUE,M37-TBIn!E1686,TBIn!D1686),0)</f>
        <v>0</v>
      </c>
      <c r="I37" s="557">
        <f t="shared" si="8"/>
        <v>0</v>
      </c>
      <c r="J37" s="608">
        <f t="shared" si="1"/>
        <v>0</v>
      </c>
      <c r="K37" s="721">
        <f>IFERROR(TBIn!E302,0)</f>
        <v>0</v>
      </c>
      <c r="L37" s="2574">
        <f>IFERROR(TBIn!E1646,0)</f>
        <v>0</v>
      </c>
      <c r="M37" s="2604">
        <f>IFERROR(TBIn!E1686,0)</f>
        <v>0</v>
      </c>
      <c r="N37" s="326">
        <f t="shared" si="9"/>
        <v>0</v>
      </c>
      <c r="O37" s="587">
        <f t="shared" si="2"/>
        <v>0</v>
      </c>
      <c r="P37" s="80">
        <v>34</v>
      </c>
      <c r="Q37" s="656">
        <v>0</v>
      </c>
      <c r="R37" s="656">
        <f t="shared" si="4"/>
        <v>0</v>
      </c>
      <c r="S37" s="656">
        <f t="shared" si="10"/>
        <v>0</v>
      </c>
      <c r="T37" s="656">
        <f t="shared" si="11"/>
        <v>0</v>
      </c>
      <c r="U37" s="656">
        <f t="shared" si="12"/>
        <v>0</v>
      </c>
    </row>
    <row r="38" spans="1:21" s="569" customFormat="1" ht="16" customHeight="1">
      <c r="A38" s="80">
        <v>35</v>
      </c>
      <c r="B38" s="101" t="s">
        <v>122</v>
      </c>
      <c r="C38" s="1600" t="str">
        <f>OR_VEH!B137</f>
        <v>NE PAS UTILISER</v>
      </c>
      <c r="D38" s="1588"/>
      <c r="E38" s="779" t="s">
        <v>286</v>
      </c>
      <c r="F38" s="269">
        <f>IFERROR(IF(Flag=TRUE,K38-TBIn!E303,TBIn!D303),0)</f>
        <v>0</v>
      </c>
      <c r="G38" s="2599">
        <f>IFERROR(IF(Flag=TRUE,L38-TBIn!E1647,TBIn!D1647),0)</f>
        <v>0</v>
      </c>
      <c r="H38" s="2601">
        <f>IFERROR(IF(Flag=TRUE,M38-TBIn!E1687,TBIn!D1687),0)</f>
        <v>0</v>
      </c>
      <c r="I38" s="557">
        <f t="shared" si="8"/>
        <v>0</v>
      </c>
      <c r="J38" s="608">
        <f t="shared" si="1"/>
        <v>0</v>
      </c>
      <c r="K38" s="721">
        <f>IFERROR(TBIn!E303,0)</f>
        <v>0</v>
      </c>
      <c r="L38" s="2574">
        <f>IFERROR(TBIn!E1647,0)</f>
        <v>0</v>
      </c>
      <c r="M38" s="2604">
        <f>IFERROR(TBIn!E1687,0)</f>
        <v>0</v>
      </c>
      <c r="N38" s="326">
        <f t="shared" si="9"/>
        <v>0</v>
      </c>
      <c r="O38" s="587">
        <f t="shared" si="2"/>
        <v>0</v>
      </c>
      <c r="P38" s="80">
        <v>35</v>
      </c>
      <c r="Q38" s="656">
        <v>0</v>
      </c>
      <c r="R38" s="656">
        <f t="shared" si="4"/>
        <v>0</v>
      </c>
      <c r="S38" s="656">
        <f t="shared" si="10"/>
        <v>0</v>
      </c>
      <c r="T38" s="656">
        <f t="shared" si="11"/>
        <v>0</v>
      </c>
      <c r="U38" s="656">
        <f t="shared" si="12"/>
        <v>0</v>
      </c>
    </row>
    <row r="39" spans="1:21" s="569" customFormat="1" ht="16" customHeight="1">
      <c r="A39" s="80">
        <v>36</v>
      </c>
      <c r="B39" s="101" t="s">
        <v>118</v>
      </c>
      <c r="C39" s="1539" t="str">
        <f>OR_VEH!B138</f>
        <v>NE PAS UTILISER</v>
      </c>
      <c r="D39" s="1588"/>
      <c r="E39" s="779" t="s">
        <v>287</v>
      </c>
      <c r="F39" s="269">
        <f>IFERROR(IF(Flag=TRUE,K39-TBIn!E304,TBIn!D304),0)</f>
        <v>0</v>
      </c>
      <c r="G39" s="2599">
        <f>IFERROR(IF(Flag=TRUE,L39-TBIn!E1648,TBIn!D1648),0)</f>
        <v>0</v>
      </c>
      <c r="H39" s="2601">
        <f>IFERROR(IF(Flag=TRUE,M39-TBIn!E1688,TBIn!D1688),0)</f>
        <v>0</v>
      </c>
      <c r="I39" s="557">
        <f t="shared" si="8"/>
        <v>0</v>
      </c>
      <c r="J39" s="608">
        <f t="shared" si="1"/>
        <v>0</v>
      </c>
      <c r="K39" s="721">
        <f>IFERROR(TBIn!E304,0)</f>
        <v>0</v>
      </c>
      <c r="L39" s="2574">
        <f>IFERROR(TBIn!E1648,0)</f>
        <v>0</v>
      </c>
      <c r="M39" s="2604">
        <f>IFERROR(TBIn!E1688,0)</f>
        <v>0</v>
      </c>
      <c r="N39" s="326">
        <f t="shared" si="9"/>
        <v>0</v>
      </c>
      <c r="O39" s="587">
        <f t="shared" si="2"/>
        <v>0</v>
      </c>
      <c r="P39" s="80">
        <v>36</v>
      </c>
      <c r="Q39" s="656">
        <v>0</v>
      </c>
      <c r="R39" s="656">
        <f t="shared" si="4"/>
        <v>0</v>
      </c>
      <c r="S39" s="656">
        <f t="shared" si="10"/>
        <v>0</v>
      </c>
      <c r="T39" s="656">
        <f t="shared" si="11"/>
        <v>0</v>
      </c>
      <c r="U39" s="656">
        <f t="shared" si="12"/>
        <v>0</v>
      </c>
    </row>
    <row r="40" spans="1:21" s="569" customFormat="1" ht="16" customHeight="1">
      <c r="A40" s="80">
        <v>37</v>
      </c>
      <c r="B40" s="101" t="s">
        <v>157</v>
      </c>
      <c r="C40" s="1600" t="str">
        <f>OR_VEH!B139</f>
        <v>NE PAS UTILISER</v>
      </c>
      <c r="D40" s="1588"/>
      <c r="E40" s="779" t="s">
        <v>288</v>
      </c>
      <c r="F40" s="269">
        <f>IFERROR(IF(Flag=TRUE,K40-TBIn!E305,TBIn!D305),0)</f>
        <v>0</v>
      </c>
      <c r="G40" s="2599">
        <f>IFERROR(IF(Flag=TRUE,L40-TBIn!E1649,TBIn!D1649),0)</f>
        <v>0</v>
      </c>
      <c r="H40" s="2601">
        <f>IFERROR(IF(Flag=TRUE,M40-TBIn!E1689,TBIn!D1689),0)</f>
        <v>0</v>
      </c>
      <c r="I40" s="557">
        <f t="shared" si="8"/>
        <v>0</v>
      </c>
      <c r="J40" s="608">
        <f t="shared" si="1"/>
        <v>0</v>
      </c>
      <c r="K40" s="721">
        <f>IFERROR(TBIn!E305,0)</f>
        <v>0</v>
      </c>
      <c r="L40" s="2574">
        <f>IFERROR(TBIn!E1649,0)</f>
        <v>0</v>
      </c>
      <c r="M40" s="2604">
        <f>IFERROR(TBIn!E1689,0)</f>
        <v>0</v>
      </c>
      <c r="N40" s="326">
        <f t="shared" si="9"/>
        <v>0</v>
      </c>
      <c r="O40" s="587">
        <f t="shared" si="2"/>
        <v>0</v>
      </c>
      <c r="P40" s="80">
        <v>37</v>
      </c>
      <c r="Q40" s="656">
        <v>0</v>
      </c>
      <c r="R40" s="656">
        <f t="shared" si="4"/>
        <v>0</v>
      </c>
      <c r="S40" s="656">
        <f t="shared" si="10"/>
        <v>0</v>
      </c>
      <c r="T40" s="656">
        <f t="shared" si="11"/>
        <v>0</v>
      </c>
      <c r="U40" s="656">
        <f t="shared" si="12"/>
        <v>0</v>
      </c>
    </row>
    <row r="41" spans="1:21" s="569" customFormat="1" ht="16" customHeight="1">
      <c r="A41" s="80">
        <v>38</v>
      </c>
      <c r="B41" s="101" t="s">
        <v>124</v>
      </c>
      <c r="C41" s="1600" t="str">
        <f>OR_VEH!B140</f>
        <v>NE PAS UTILISER</v>
      </c>
      <c r="D41" s="1588"/>
      <c r="E41" s="779" t="s">
        <v>289</v>
      </c>
      <c r="F41" s="269">
        <f>IFERROR(IF(Flag=TRUE,K41-TBIn!E306,TBIn!D306),0)</f>
        <v>0</v>
      </c>
      <c r="G41" s="2599">
        <f>IFERROR(IF(Flag=TRUE,L41-TBIn!E1650,TBIn!D1650),0)</f>
        <v>0</v>
      </c>
      <c r="H41" s="2601">
        <f>IFERROR(IF(Flag=TRUE,M41-TBIn!E1690,TBIn!D1690),0)</f>
        <v>0</v>
      </c>
      <c r="I41" s="557">
        <f t="shared" si="8"/>
        <v>0</v>
      </c>
      <c r="J41" s="608">
        <f t="shared" si="1"/>
        <v>0</v>
      </c>
      <c r="K41" s="721">
        <f>IFERROR(TBIn!E306,0)</f>
        <v>0</v>
      </c>
      <c r="L41" s="2574">
        <f>IFERROR(TBIn!E1650,0)</f>
        <v>0</v>
      </c>
      <c r="M41" s="2604">
        <f>IFERROR(TBIn!E1690,0)</f>
        <v>0</v>
      </c>
      <c r="N41" s="326">
        <f t="shared" si="9"/>
        <v>0</v>
      </c>
      <c r="O41" s="587">
        <f t="shared" si="2"/>
        <v>0</v>
      </c>
      <c r="P41" s="80">
        <v>38</v>
      </c>
      <c r="Q41" s="656">
        <v>0</v>
      </c>
      <c r="R41" s="656">
        <f t="shared" si="4"/>
        <v>0</v>
      </c>
      <c r="S41" s="656">
        <f t="shared" si="10"/>
        <v>0</v>
      </c>
      <c r="T41" s="656">
        <f t="shared" si="11"/>
        <v>0</v>
      </c>
      <c r="U41" s="656">
        <f t="shared" si="12"/>
        <v>0</v>
      </c>
    </row>
    <row r="42" spans="1:21" s="569" customFormat="1" ht="16" customHeight="1">
      <c r="A42" s="80">
        <v>39</v>
      </c>
      <c r="B42" s="101"/>
      <c r="C42" s="1600" t="str">
        <f>OR_VEH!B141</f>
        <v>NE PAS UTILISER</v>
      </c>
      <c r="D42" s="1588"/>
      <c r="E42" s="779" t="s">
        <v>290</v>
      </c>
      <c r="F42" s="269">
        <f>IFERROR(IF(Flag=TRUE,K42-TBIn!E307,TBIn!D307),0)</f>
        <v>0</v>
      </c>
      <c r="G42" s="2599">
        <f>IFERROR(IF(Flag=TRUE,L42-TBIn!E1651,TBIn!D1651),0)</f>
        <v>0</v>
      </c>
      <c r="H42" s="2601">
        <f>IFERROR(IF(Flag=TRUE,M42-TBIn!E1691,TBIn!D1691),0)</f>
        <v>0</v>
      </c>
      <c r="I42" s="557">
        <f t="shared" si="8"/>
        <v>0</v>
      </c>
      <c r="J42" s="608">
        <f t="shared" si="1"/>
        <v>0</v>
      </c>
      <c r="K42" s="721">
        <f>IFERROR(TBIn!E307,0)</f>
        <v>0</v>
      </c>
      <c r="L42" s="2574">
        <f>IFERROR(TBIn!E1651,0)</f>
        <v>0</v>
      </c>
      <c r="M42" s="2604">
        <f>IFERROR(TBIn!E1691,0)</f>
        <v>0</v>
      </c>
      <c r="N42" s="326">
        <f t="shared" si="9"/>
        <v>0</v>
      </c>
      <c r="O42" s="587">
        <f t="shared" si="2"/>
        <v>0</v>
      </c>
      <c r="P42" s="80">
        <v>39</v>
      </c>
      <c r="Q42" s="656">
        <v>0</v>
      </c>
      <c r="R42" s="656">
        <f t="shared" si="4"/>
        <v>0</v>
      </c>
      <c r="S42" s="656">
        <f t="shared" si="10"/>
        <v>0</v>
      </c>
      <c r="T42" s="656">
        <f t="shared" si="11"/>
        <v>0</v>
      </c>
      <c r="U42" s="656">
        <f t="shared" si="12"/>
        <v>0</v>
      </c>
    </row>
    <row r="43" spans="1:21" s="569" customFormat="1" ht="16" customHeight="1">
      <c r="A43" s="80">
        <v>40</v>
      </c>
      <c r="B43" s="101"/>
      <c r="C43" s="1600" t="str">
        <f>OR_VEH!B142</f>
        <v>NE PAS UTILISER</v>
      </c>
      <c r="D43" s="1588"/>
      <c r="E43" s="779" t="s">
        <v>291</v>
      </c>
      <c r="F43" s="269">
        <f>IFERROR(IF(Flag=TRUE,K43-TBIn!E308,TBIn!D308),0)</f>
        <v>0</v>
      </c>
      <c r="G43" s="2599">
        <f>IFERROR(IF(Flag=TRUE,L43-TBIn!E1652,TBIn!D1652),0)</f>
        <v>0</v>
      </c>
      <c r="H43" s="2601">
        <f>IFERROR(IF(Flag=TRUE,M43-TBIn!E1692,TBIn!D1692),0)</f>
        <v>0</v>
      </c>
      <c r="I43" s="557">
        <f t="shared" si="8"/>
        <v>0</v>
      </c>
      <c r="J43" s="608">
        <f t="shared" si="1"/>
        <v>0</v>
      </c>
      <c r="K43" s="721">
        <f>IFERROR(TBIn!E308,0)</f>
        <v>0</v>
      </c>
      <c r="L43" s="2574">
        <f>IFERROR(TBIn!E1652,0)</f>
        <v>0</v>
      </c>
      <c r="M43" s="2604">
        <f>IFERROR(TBIn!E1692,0)</f>
        <v>0</v>
      </c>
      <c r="N43" s="326">
        <f t="shared" si="9"/>
        <v>0</v>
      </c>
      <c r="O43" s="587">
        <f t="shared" si="2"/>
        <v>0</v>
      </c>
      <c r="P43" s="80">
        <v>40</v>
      </c>
      <c r="Q43" s="656">
        <v>0</v>
      </c>
      <c r="R43" s="656">
        <f t="shared" si="4"/>
        <v>0</v>
      </c>
      <c r="S43" s="656">
        <f t="shared" si="10"/>
        <v>0</v>
      </c>
      <c r="T43" s="656">
        <f t="shared" si="11"/>
        <v>0</v>
      </c>
      <c r="U43" s="656">
        <f t="shared" si="12"/>
        <v>0</v>
      </c>
    </row>
    <row r="44" spans="1:21" s="569" customFormat="1" ht="16" customHeight="1">
      <c r="A44" s="80">
        <v>41</v>
      </c>
      <c r="B44" s="101"/>
      <c r="C44" s="274" t="s">
        <v>162</v>
      </c>
      <c r="D44" s="264"/>
      <c r="E44" s="778"/>
      <c r="F44" s="715">
        <f>SUM(F28:F43)</f>
        <v>0</v>
      </c>
      <c r="G44" s="716">
        <f>SUM(G28:G43)</f>
        <v>0</v>
      </c>
      <c r="H44" s="716">
        <f>SUM(H28:H43)</f>
        <v>0</v>
      </c>
      <c r="I44" s="716">
        <f>SUM(I28:I43)</f>
        <v>0</v>
      </c>
      <c r="J44" s="132">
        <f t="shared" si="1"/>
        <v>0</v>
      </c>
      <c r="K44" s="2496">
        <f>SUM(K28:K43)</f>
        <v>0</v>
      </c>
      <c r="L44" s="949">
        <f>SUM(L28:L43)</f>
        <v>0</v>
      </c>
      <c r="M44" s="949">
        <f>SUM(M28:M43)</f>
        <v>0</v>
      </c>
      <c r="N44" s="716">
        <f>SUM(N28:N43)</f>
        <v>0</v>
      </c>
      <c r="O44" s="132">
        <f t="shared" si="2"/>
        <v>0</v>
      </c>
      <c r="P44" s="80">
        <v>41</v>
      </c>
      <c r="Q44" s="656"/>
      <c r="R44" s="656"/>
      <c r="S44" s="656"/>
      <c r="T44" s="656"/>
      <c r="U44" s="656"/>
    </row>
    <row r="45" spans="1:21" s="569" customFormat="1" ht="16" customHeight="1">
      <c r="A45" s="80">
        <v>42</v>
      </c>
      <c r="B45" s="215"/>
      <c r="C45" s="1602" t="str">
        <f>OR_VEH!B144</f>
        <v>MÉMO* VENTES INTERNET CAMIONS</v>
      </c>
      <c r="D45" s="1536"/>
      <c r="E45" s="779" t="s">
        <v>292</v>
      </c>
      <c r="F45" s="269">
        <f>IFERROR(IF(Flag=TRUE,K45-TBIn!E309,TBIn!D309),0)</f>
        <v>0</v>
      </c>
      <c r="G45" s="2599">
        <f>IFERROR(IF(Flag=TRUE,L45-TBIn!$E$157,TBIn!$D$157),0)</f>
        <v>0</v>
      </c>
      <c r="H45" s="2601">
        <f>IFERROR(IF(Flag=TRUE,M45-TBIn!$E$177,TBIn!$D$177),0)</f>
        <v>0</v>
      </c>
      <c r="I45" s="557">
        <f>G45-H45</f>
        <v>0</v>
      </c>
      <c r="J45" s="608">
        <f t="shared" si="1"/>
        <v>0</v>
      </c>
      <c r="K45" s="721">
        <f>IFERROR(TBIn!E309,0)</f>
        <v>0</v>
      </c>
      <c r="L45" s="2574">
        <f>IFERROR(TBIn!$E$157,0)</f>
        <v>0</v>
      </c>
      <c r="M45" s="2604">
        <f>IFERROR(TBIn!$E$177,0)</f>
        <v>0</v>
      </c>
      <c r="N45" s="326">
        <f>L45-M45</f>
        <v>0</v>
      </c>
      <c r="O45" s="587">
        <f t="shared" si="2"/>
        <v>0</v>
      </c>
      <c r="P45" s="80">
        <v>42</v>
      </c>
      <c r="Q45" s="656">
        <v>0</v>
      </c>
      <c r="R45" s="656">
        <f t="shared" si="4"/>
        <v>0</v>
      </c>
      <c r="S45" s="656">
        <f>IF(K45=0,0,IF(OR(L45&lt;0,L45/K45&gt;Q45),1,0))</f>
        <v>0</v>
      </c>
      <c r="T45" s="656">
        <f>IF(OR(F45&lt;0,AND(G45&gt;0,F45=0),AND(G45=0,F45&gt;0)),1,0)</f>
        <v>0</v>
      </c>
      <c r="U45" s="656">
        <f>IF(OR(K45&lt;0,AND(L45&gt;0,K45=0),AND(K45&gt;0,L45=0)),1,0)</f>
        <v>0</v>
      </c>
    </row>
    <row r="46" spans="1:21" s="569" customFormat="1" ht="18.649999999999999" customHeight="1">
      <c r="A46" s="80">
        <v>43</v>
      </c>
      <c r="B46" s="101"/>
      <c r="C46" s="1605" t="str">
        <f>OR_VEH!B145</f>
        <v>TOTAL PARCS - CAMIONS</v>
      </c>
      <c r="D46" s="1588"/>
      <c r="E46" s="2525" t="s">
        <v>139</v>
      </c>
      <c r="F46" s="269">
        <f>IFERROR(IF(Flag=TRUE,K46-TBIn!E310,TBIn!D310),0)</f>
        <v>0</v>
      </c>
      <c r="G46" s="2599">
        <f>IFERROR(IF(Flag=TRUE,L46-TBIn!E1653,TBIn!D1653),0)</f>
        <v>0</v>
      </c>
      <c r="H46" s="2599">
        <f>IFERROR(IF(Flag=TRUE,M46-TBIn!E1693,TBIn!D1693),0)</f>
        <v>0</v>
      </c>
      <c r="I46" s="552">
        <f>G46-H46</f>
        <v>0</v>
      </c>
      <c r="J46" s="608">
        <f t="shared" si="1"/>
        <v>0</v>
      </c>
      <c r="K46" s="721">
        <f>IFERROR(TBIn!E310,0)</f>
        <v>0</v>
      </c>
      <c r="L46" s="2574">
        <f>IFERROR(TBIn!E1653,0)</f>
        <v>0</v>
      </c>
      <c r="M46" s="2574">
        <f>IFERROR(TBIn!E1693,0)</f>
        <v>0</v>
      </c>
      <c r="N46" s="2679">
        <f>L46-M46</f>
        <v>0</v>
      </c>
      <c r="O46" s="587">
        <f t="shared" si="2"/>
        <v>0</v>
      </c>
      <c r="P46" s="80">
        <v>43</v>
      </c>
      <c r="Q46" s="656">
        <v>0</v>
      </c>
      <c r="R46" s="656">
        <f t="shared" si="4"/>
        <v>0</v>
      </c>
      <c r="S46" s="656">
        <f>IF(K46=0,0,IF(OR(L46&lt;0,L46/K46&gt;Q46),1,0))</f>
        <v>0</v>
      </c>
      <c r="T46" s="656">
        <f>IF(OR(F46&lt;0,AND(G46&gt;0,F46=0),AND(G46=0,F46&gt;0)),1,0)</f>
        <v>0</v>
      </c>
      <c r="U46" s="656">
        <f>IF(OR(K46&lt;0,AND(L46&gt;0,K46=0),AND(K46&gt;0,L46=0)),1,0)</f>
        <v>0</v>
      </c>
    </row>
    <row r="47" spans="1:21" s="569" customFormat="1" ht="16" customHeight="1">
      <c r="A47" s="80">
        <v>44</v>
      </c>
      <c r="B47" s="215"/>
      <c r="C47" s="1606" t="str">
        <f>OR_VEH!B146</f>
        <v xml:space="preserve">TOTAL IINTERNE - CAMIONS </v>
      </c>
      <c r="D47" s="1607"/>
      <c r="E47" s="780" t="s">
        <v>293</v>
      </c>
      <c r="F47" s="269">
        <f>IFERROR(IF(Flag=TRUE,K47-TBIn!E311,TBIn!D311),0)</f>
        <v>0</v>
      </c>
      <c r="G47" s="2599">
        <f>IFERROR(IF(Flag=TRUE,L47-TBIn!E1654,TBIn!D1654),0)</f>
        <v>0</v>
      </c>
      <c r="H47" s="2599">
        <f>IFERROR(IF(Flag=TRUE,M47-TBIn!E1694,TBIn!D1694),0)</f>
        <v>0</v>
      </c>
      <c r="I47" s="552">
        <f>G47-H47</f>
        <v>0</v>
      </c>
      <c r="J47" s="608">
        <f t="shared" si="1"/>
        <v>0</v>
      </c>
      <c r="K47" s="721">
        <f>IFERROR(TBIn!E311,0)</f>
        <v>0</v>
      </c>
      <c r="L47" s="2574">
        <f>IFERROR(TBIn!E1654,0)</f>
        <v>0</v>
      </c>
      <c r="M47" s="2574">
        <f>IFERROR(TBIn!E1694,0)</f>
        <v>0</v>
      </c>
      <c r="N47" s="555">
        <f>L47-M47</f>
        <v>0</v>
      </c>
      <c r="O47" s="587">
        <f t="shared" si="2"/>
        <v>0</v>
      </c>
      <c r="P47" s="80">
        <v>44</v>
      </c>
      <c r="Q47" s="656">
        <v>0</v>
      </c>
      <c r="R47" s="656">
        <f t="shared" si="4"/>
        <v>0</v>
      </c>
      <c r="S47" s="656">
        <f>IF(K47=0,0,IF(OR(L47&lt;0,L47/K47&gt;Q47),1,0))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715">
        <f>F44+F46+F47</f>
        <v>0</v>
      </c>
      <c r="G48" s="716">
        <f>G44+G46+G47</f>
        <v>0</v>
      </c>
      <c r="H48" s="716">
        <f>H44+H46+H47</f>
        <v>0</v>
      </c>
      <c r="I48" s="716">
        <f>I44+I46+I47</f>
        <v>0</v>
      </c>
      <c r="J48" s="132">
        <f t="shared" si="1"/>
        <v>0</v>
      </c>
      <c r="K48" s="2496">
        <f>K44+K46+K47</f>
        <v>0</v>
      </c>
      <c r="L48" s="949">
        <f>L44+L46+L47</f>
        <v>0</v>
      </c>
      <c r="M48" s="949">
        <f>M44+M46+M47</f>
        <v>0</v>
      </c>
      <c r="N48" s="716">
        <f>N44+N46+N47</f>
        <v>0</v>
      </c>
      <c r="O48" s="132">
        <f>IF(K48&gt;0,N48/K48,0)</f>
        <v>0</v>
      </c>
      <c r="P48" s="80">
        <v>45</v>
      </c>
      <c r="Q48" s="656"/>
      <c r="R48" s="656"/>
      <c r="S48" s="656"/>
      <c r="T48" s="656"/>
      <c r="U48" s="656"/>
    </row>
    <row r="49" spans="1:21" s="30" customFormat="1" ht="16" customHeight="1">
      <c r="A49" s="80">
        <v>46</v>
      </c>
      <c r="B49" s="96"/>
      <c r="C49" s="266" t="str">
        <f>OR_VEH!B148</f>
        <v xml:space="preserve"> </v>
      </c>
      <c r="D49" s="262"/>
      <c r="E49" s="779" t="s">
        <v>166</v>
      </c>
      <c r="F49" s="1965"/>
      <c r="G49" s="2599"/>
      <c r="H49" s="2601"/>
      <c r="I49" s="557"/>
      <c r="J49" s="831"/>
      <c r="K49" s="2678"/>
      <c r="L49" s="2698"/>
      <c r="M49" s="2699"/>
      <c r="N49" s="326"/>
      <c r="O49" s="597"/>
      <c r="P49" s="80">
        <v>46</v>
      </c>
      <c r="Q49" s="712">
        <v>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OR_VEH!B149</f>
        <v>ACCESSOIRES</v>
      </c>
      <c r="D50" s="1588"/>
      <c r="E50" s="779" t="s">
        <v>294</v>
      </c>
      <c r="F50" s="269">
        <f>IFERROR(IF(Flag=TRUE,K50-TBIn!E312,TBIn!D312),0)</f>
        <v>0</v>
      </c>
      <c r="G50" s="2599">
        <f>IFERROR(IF(Flag=TRUE,L50-TBIn!E1655,TBIn!D1655),0)</f>
        <v>0</v>
      </c>
      <c r="H50" s="2601">
        <f>IFERROR(IF(Flag=TRUE,M50-TBIn!E1695,TBIn!D1695),0)</f>
        <v>0</v>
      </c>
      <c r="I50" s="557">
        <f>G50-H50</f>
        <v>0</v>
      </c>
      <c r="J50" s="828">
        <f>IF(F51=0,0,I50/F$51)</f>
        <v>0</v>
      </c>
      <c r="K50" s="721">
        <f>IFERROR(TBIn!E312,0)</f>
        <v>0</v>
      </c>
      <c r="L50" s="2574">
        <f>IFERROR(TBIn!E1655,0)</f>
        <v>0</v>
      </c>
      <c r="M50" s="2604">
        <f>IFERROR(TBIn!E1695,0)</f>
        <v>0</v>
      </c>
      <c r="N50" s="326">
        <f>L50-M50</f>
        <v>0</v>
      </c>
      <c r="O50" s="830">
        <f>IF(K51=0,0,N50/K$51)</f>
        <v>0</v>
      </c>
      <c r="P50" s="80">
        <v>47</v>
      </c>
      <c r="Q50" s="712">
        <v>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IFERROR(IF(Flag=TRUE,F27+F48,TBIn!D313),0)</f>
        <v>0</v>
      </c>
      <c r="G51" s="716">
        <f>G27+G48+G50</f>
        <v>0</v>
      </c>
      <c r="H51" s="848">
        <f>H27+H48+H50</f>
        <v>0</v>
      </c>
      <c r="I51" s="1423">
        <f>IFERROR(IF(Flag=TRUE,I27+I48+I50,TBIn!D1696),0)</f>
        <v>0</v>
      </c>
      <c r="J51" s="1087">
        <f>IF(F51=0,0,I51/F$51)</f>
        <v>0</v>
      </c>
      <c r="K51" s="761">
        <f>IFERROR(IF(Flag=TRUE,K27+K48,TBIn!E313),0)</f>
        <v>0</v>
      </c>
      <c r="L51" s="716">
        <f>L27+L48+L50</f>
        <v>0</v>
      </c>
      <c r="M51" s="848">
        <f>M27+M48+M50</f>
        <v>0</v>
      </c>
      <c r="N51" s="1423">
        <f>IFERROR(IF(Flag=TRUE,N27+N48+N50,TBIn!E1696),0)</f>
        <v>0</v>
      </c>
      <c r="O51" s="1087">
        <f>IF(K51=0,0,N51/K$51)</f>
        <v>0</v>
      </c>
      <c r="P51" s="179">
        <v>48</v>
      </c>
      <c r="Q51" s="656"/>
      <c r="R51" s="656"/>
      <c r="S51" s="656"/>
      <c r="T51" s="656"/>
      <c r="U51" s="656"/>
    </row>
    <row r="52" spans="1:21" s="569" customFormat="1" ht="16" customHeight="1">
      <c r="A52" s="76"/>
      <c r="B52" s="84" t="s">
        <v>169</v>
      </c>
      <c r="C52" s="84"/>
      <c r="D52" s="84"/>
      <c r="E52" s="84"/>
      <c r="F52" s="84"/>
      <c r="G52" s="84"/>
      <c r="H52" s="84"/>
      <c r="I52" s="76"/>
      <c r="J52" s="267" t="s">
        <v>170</v>
      </c>
      <c r="K52" s="76"/>
      <c r="L52" s="76"/>
      <c r="M52" s="76"/>
      <c r="N52" s="76"/>
      <c r="O52" s="267" t="s">
        <v>170</v>
      </c>
      <c r="P52" s="76"/>
      <c r="Q52" s="656"/>
      <c r="R52" s="656"/>
      <c r="S52" s="656"/>
      <c r="T52" s="656"/>
      <c r="U52" s="656"/>
    </row>
    <row r="53" spans="1:21" hidden="1">
      <c r="A53" s="3"/>
      <c r="B53" s="3"/>
      <c r="C53" s="3"/>
      <c r="D53" s="3"/>
      <c r="E53" s="3"/>
      <c r="F53" s="3"/>
      <c r="G53" s="3"/>
      <c r="H53" s="3"/>
      <c r="I53" s="16"/>
      <c r="J53" s="3"/>
      <c r="K53" s="3"/>
      <c r="L53" s="3"/>
      <c r="M53" s="3"/>
      <c r="N53" s="3"/>
      <c r="O53" s="3"/>
      <c r="P53" s="3"/>
    </row>
    <row r="54" spans="1:21" hidden="1">
      <c r="A54" s="3"/>
      <c r="B54" s="3"/>
      <c r="C54" s="3"/>
      <c r="D54" s="30"/>
      <c r="E54" s="3"/>
      <c r="F54" s="3"/>
      <c r="G54" s="3"/>
      <c r="H54" s="3"/>
      <c r="I54" s="3"/>
      <c r="J54" s="3"/>
      <c r="K54" s="3"/>
      <c r="L54" s="3"/>
      <c r="M54" s="3"/>
      <c r="N54" s="3"/>
      <c r="O54" s="3"/>
      <c r="P54" s="3"/>
    </row>
    <row r="55" spans="1:21" hidden="1">
      <c r="D55" s="30"/>
    </row>
    <row r="56" spans="1:21" hidden="1">
      <c r="D56" s="30" t="s">
        <v>171</v>
      </c>
      <c r="E56" s="1239" t="s">
        <v>88</v>
      </c>
      <c r="F56" s="30" t="s">
        <v>172</v>
      </c>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llrUPbh+dnz8QbojKDj1hW+Jz12uMBsJlvKvGttbbCvtEqF/yCZ54UxpSSRezUHmD6DK7ObrZtdHwb06mIXlwQ==" saltValue="LOD8UvfReU37PMFkZD2TUg==" spinCount="100000" sheet="1" objects="1" scenarios="1"/>
  <customSheetViews>
    <customSheetView guid="{42A0DCD3-5C27-4BB4-A491-D2E7F84D8A17}" scale="80" showGridLines="0" fitToPage="1" printArea="1" hiddenRows="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showGridLines="0" showRowCol="0" fitToPage="1" hiddenRows="1" hiddenColumns="1" showRuler="0">
      <pane xSplit="5" ySplit="3" topLeftCell="F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7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700-000000000000}"/>
    <hyperlink ref="C24" r:id="rId4" tooltip="Lien au Manuel des méthodes comptables GM" display="http://gm-ca-fr.acctmanual.com/New_Vehicle/419_Voitures_neuves_Internet_(compte_m_mo).htm" xr:uid="{00000000-0004-0000-0700-000001000000}"/>
    <hyperlink ref="C25" r:id="rId5" tooltip="Lien au Manuel des méthodes comptables GM" display="http://gm-ca-fr.acctmanual.com/New_Vehicle/420_Voitures_neuves_-_Parcs.htm" xr:uid="{00000000-0004-0000-0700-000002000000}"/>
    <hyperlink ref="C26" r:id="rId6" tooltip="Lien au Manuel des méthodes comptables GM" display="http://gm-ca-fr.acctmanual.com/New_Vehicle/421_Voitures_neuves_-_Interne.htm" xr:uid="{00000000-0004-0000-0700-000003000000}"/>
    <hyperlink ref="C28" r:id="rId7" tooltip="Lien au Manuel des méthodes comptables GM" display="http://gm-ca-fr.acctmanual.com/New_Vehicle/423-438_Camions_neufs_-_au_d_tail.htm" xr:uid="{00000000-0004-0000-0700-000004000000}"/>
    <hyperlink ref="C45" r:id="rId8" tooltip="Lien au Manuel des méthodes comptables GM" display="http://gm-ca-fr.acctmanual.com/New_Vehicle/439_Camions_neufs_Internet_(compte_m_mo).htm" xr:uid="{00000000-0004-0000-0700-000005000000}"/>
    <hyperlink ref="C46" r:id="rId9" tooltip="Lien au Manuel des méthodes comptables GM" display="http://gm-ca-fr.acctmanual.com/New_Vehicle/440_Camions_neufs_-_Parcs.htm" xr:uid="{00000000-0004-0000-0700-000006000000}"/>
    <hyperlink ref="C47" r:id="rId10" tooltip="Lien au Manuel des méthodes comptables GM" display="http://gm-ca-fr.acctmanual.com/New_Vehicle/441_Camions_neufs_-_Interne.htm" xr:uid="{00000000-0004-0000-0700-000007000000}"/>
    <hyperlink ref="C50" r:id="rId11" tooltip="Lien au Manuel des méthodes comptables GM" display="http://gm-ca-fr.acctmanual.com/New_Vehicle/457_Accessoires.htm" xr:uid="{00000000-0004-0000-07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3322" r:id="rId15" name="CommandButton5c">
          <controlPr defaultSize="0" print="0" autoFill="0" autoLine="0" r:id="rId16">
            <anchor moveWithCells="1">
              <from>
                <xdr:col>11</xdr:col>
                <xdr:colOff>184150</xdr:colOff>
                <xdr:row>0</xdr:row>
                <xdr:rowOff>0</xdr:rowOff>
              </from>
              <to>
                <xdr:col>12</xdr:col>
                <xdr:colOff>615950</xdr:colOff>
                <xdr:row>1</xdr:row>
                <xdr:rowOff>19050</xdr:rowOff>
              </to>
            </anchor>
          </controlPr>
        </control>
      </mc:Choice>
      <mc:Fallback>
        <control shapeId="13322" r:id="rId15" name="CommandButton5c"/>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3">
    <pageSetUpPr autoPageBreaks="0" fitToPage="1"/>
  </sheetPr>
  <dimension ref="A1:U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45312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s="569" customFormat="1" ht="21" customHeight="1">
      <c r="A1" s="76"/>
      <c r="B1" s="2762" t="str">
        <f>OR_VEH!B252</f>
        <v>GMC</v>
      </c>
      <c r="C1" s="2762"/>
      <c r="D1" s="2762"/>
      <c r="E1" s="257"/>
      <c r="F1" s="491" t="s">
        <v>92</v>
      </c>
      <c r="G1" s="60"/>
      <c r="H1" s="60"/>
      <c r="I1" s="60"/>
      <c r="J1" s="60"/>
      <c r="K1" s="60"/>
      <c r="L1" s="61"/>
      <c r="M1" s="61"/>
      <c r="N1" s="61"/>
      <c r="O1" s="641"/>
      <c r="P1" s="62" t="str">
        <f>TBIn!$E$2458&amp;" - "&amp;TBIn!$AH$10&amp;" - PAGE 5 GMC MCI"</f>
        <v>319719 - 202504 - PAGE 5 GMC MCI</v>
      </c>
      <c r="Q1" s="643" t="s">
        <v>93</v>
      </c>
      <c r="R1" s="643" t="s">
        <v>94</v>
      </c>
      <c r="S1" s="643" t="s">
        <v>95</v>
      </c>
      <c r="T1" s="643" t="s">
        <v>94</v>
      </c>
      <c r="U1" s="643"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s="569" customFormat="1" ht="16" customHeight="1">
      <c r="A4" s="74">
        <v>1</v>
      </c>
      <c r="B4" s="215"/>
      <c r="C4" s="1535" t="str">
        <f>OR_VEH!B253</f>
        <v>NE PAS UTILISER</v>
      </c>
      <c r="D4" s="1536"/>
      <c r="E4" s="1037" t="s">
        <v>295</v>
      </c>
      <c r="F4" s="268">
        <f>IFERROR(IF(Flag=TRUE,K4-TBIn!E400,TBIn!D400),0)</f>
        <v>0</v>
      </c>
      <c r="G4" s="2598">
        <f>IFERROR(IF(Flag=TRUE,L4-TBIn!E1859,TBIn!D1859),0)</f>
        <v>0</v>
      </c>
      <c r="H4" s="2598">
        <f>IFERROR(IF(Flag=TRUE,M4-TBIn!E1899,TBIn!D1899),0)</f>
        <v>0</v>
      </c>
      <c r="I4" s="551">
        <f t="shared" ref="I4:I22" si="0">G4-H4</f>
        <v>0</v>
      </c>
      <c r="J4" s="584">
        <f t="shared" ref="J4:J48" si="1">IF(F4&gt;0,I4/F4,0)</f>
        <v>0</v>
      </c>
      <c r="K4" s="720">
        <f>IFERROR(TBIn!E400,0)</f>
        <v>0</v>
      </c>
      <c r="L4" s="2602">
        <f>IFERROR(TBIn!E1859,0)</f>
        <v>0</v>
      </c>
      <c r="M4" s="2602">
        <f>IFERROR(TBIn!E1899,0)</f>
        <v>0</v>
      </c>
      <c r="N4" s="554">
        <f>L4-M4</f>
        <v>0</v>
      </c>
      <c r="O4" s="585">
        <f t="shared" ref="O4:O47" si="2">IF(K4&gt;0,N4/K4,0)</f>
        <v>0</v>
      </c>
      <c r="P4" s="74">
        <v>1</v>
      </c>
      <c r="Q4" s="656">
        <v>0</v>
      </c>
      <c r="R4" s="656">
        <f>IF(F4=0,0,IF(G4/F4&gt;Q4,1,0))</f>
        <v>0</v>
      </c>
      <c r="S4" s="656">
        <f>IF(K4=0,0,IF(OR(L4&lt;0,L4/K4&gt;Q4),1,0))</f>
        <v>0</v>
      </c>
      <c r="T4" s="656">
        <f>IF(OR(F4&lt;0,AND(G4&gt;0,F4=0),AND(G4=0,F4&gt;0)),1,0)</f>
        <v>0</v>
      </c>
      <c r="U4" s="656">
        <f>IF(OR(K4&lt;0,AND(L4&gt;0,K4=0),AND(K4&gt;0,L4=0)),1,0)</f>
        <v>0</v>
      </c>
    </row>
    <row r="5" spans="1:21" s="569" customFormat="1" ht="16" customHeight="1">
      <c r="A5" s="80">
        <v>2</v>
      </c>
      <c r="B5" s="275" t="s">
        <v>110</v>
      </c>
      <c r="C5" s="1539" t="str">
        <f>OR_VEH!B254</f>
        <v>NE PAS UTILISER</v>
      </c>
      <c r="D5" s="1588"/>
      <c r="E5" s="776" t="s">
        <v>296</v>
      </c>
      <c r="F5" s="269">
        <f>IFERROR(IF(Flag=TRUE,K5-TBIn!E401,TBIn!D401),0)</f>
        <v>0</v>
      </c>
      <c r="G5" s="2599">
        <f>IFERROR(IF(Flag=TRUE,L5-TBIn!E1860,TBIn!D1860),0)</f>
        <v>0</v>
      </c>
      <c r="H5" s="2599">
        <f>IFERROR(IF(Flag=TRUE,M5-TBIn!E1900,TBIn!D1900),0)</f>
        <v>0</v>
      </c>
      <c r="I5" s="552">
        <f t="shared" si="0"/>
        <v>0</v>
      </c>
      <c r="J5" s="608">
        <f t="shared" si="1"/>
        <v>0</v>
      </c>
      <c r="K5" s="721">
        <f>IFERROR(TBIn!E401,0)</f>
        <v>0</v>
      </c>
      <c r="L5" s="2574">
        <f>IFERROR(TBIn!E1860,0)</f>
        <v>0</v>
      </c>
      <c r="M5" s="2574">
        <f>IFERROR(TBIn!E1900,0)</f>
        <v>0</v>
      </c>
      <c r="N5" s="555">
        <f t="shared" ref="N5:N22" si="3">L5-M5</f>
        <v>0</v>
      </c>
      <c r="O5" s="587">
        <f t="shared" si="2"/>
        <v>0</v>
      </c>
      <c r="P5" s="80">
        <v>2</v>
      </c>
      <c r="Q5" s="656">
        <v>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1" s="569" customFormat="1" ht="15.75" customHeight="1">
      <c r="A6" s="80">
        <v>3</v>
      </c>
      <c r="B6" s="275" t="s">
        <v>112</v>
      </c>
      <c r="C6" s="1539" t="str">
        <f>OR_VEH!B255</f>
        <v>NE PAS UTILISER</v>
      </c>
      <c r="D6" s="1588"/>
      <c r="E6" s="776" t="s">
        <v>297</v>
      </c>
      <c r="F6" s="269">
        <f>IFERROR(IF(Flag=TRUE,K6-TBIn!E402,TBIn!D402),0)</f>
        <v>0</v>
      </c>
      <c r="G6" s="2599">
        <f>IFERROR(IF(Flag=TRUE,L6-TBIn!E1861,TBIn!D1861),0)</f>
        <v>0</v>
      </c>
      <c r="H6" s="2599">
        <f>IFERROR(IF(Flag=TRUE,M6-TBIn!E1901,TBIn!D1901),0)</f>
        <v>0</v>
      </c>
      <c r="I6" s="552">
        <f t="shared" si="0"/>
        <v>0</v>
      </c>
      <c r="J6" s="608">
        <f t="shared" si="1"/>
        <v>0</v>
      </c>
      <c r="K6" s="721">
        <f>IFERROR(TBIn!E402,0)</f>
        <v>0</v>
      </c>
      <c r="L6" s="2574">
        <f>IFERROR(TBIn!E1861,0)</f>
        <v>0</v>
      </c>
      <c r="M6" s="2574">
        <f>IFERROR(TBIn!E1901,0)</f>
        <v>0</v>
      </c>
      <c r="N6" s="555">
        <f t="shared" si="3"/>
        <v>0</v>
      </c>
      <c r="O6" s="587">
        <f t="shared" si="2"/>
        <v>0</v>
      </c>
      <c r="P6" s="80">
        <v>3</v>
      </c>
      <c r="Q6" s="656">
        <v>0</v>
      </c>
      <c r="R6" s="656">
        <f t="shared" si="4"/>
        <v>0</v>
      </c>
      <c r="S6" s="656">
        <f t="shared" si="5"/>
        <v>0</v>
      </c>
      <c r="T6" s="656">
        <f t="shared" si="6"/>
        <v>0</v>
      </c>
      <c r="U6" s="656">
        <f t="shared" si="7"/>
        <v>0</v>
      </c>
    </row>
    <row r="7" spans="1:21" s="569" customFormat="1" ht="15.75" customHeight="1">
      <c r="A7" s="80">
        <v>4</v>
      </c>
      <c r="B7" s="275" t="s">
        <v>114</v>
      </c>
      <c r="C7" s="1539" t="str">
        <f>OR_VEH!B256</f>
        <v>NE PAS UTILISER</v>
      </c>
      <c r="D7" s="1588"/>
      <c r="E7" s="776" t="s">
        <v>298</v>
      </c>
      <c r="F7" s="269">
        <f>IFERROR(IF(Flag=TRUE,K7-TBIn!E403,TBIn!D403),0)</f>
        <v>0</v>
      </c>
      <c r="G7" s="2599">
        <f>IFERROR(IF(Flag=TRUE,L7-TBIn!E1862,TBIn!D1862),0)</f>
        <v>0</v>
      </c>
      <c r="H7" s="2599">
        <f>IFERROR(IF(Flag=TRUE,M7-TBIn!E1902,TBIn!D1902),0)</f>
        <v>0</v>
      </c>
      <c r="I7" s="552">
        <f t="shared" si="0"/>
        <v>0</v>
      </c>
      <c r="J7" s="608">
        <f t="shared" si="1"/>
        <v>0</v>
      </c>
      <c r="K7" s="721">
        <f>IFERROR(TBIn!E403,0)</f>
        <v>0</v>
      </c>
      <c r="L7" s="2574">
        <f>IFERROR(TBIn!E1862,0)</f>
        <v>0</v>
      </c>
      <c r="M7" s="2574">
        <f>IFERROR(TBIn!E1902,0)</f>
        <v>0</v>
      </c>
      <c r="N7" s="555">
        <f t="shared" si="3"/>
        <v>0</v>
      </c>
      <c r="O7" s="587">
        <f t="shared" si="2"/>
        <v>0</v>
      </c>
      <c r="P7" s="80">
        <v>4</v>
      </c>
      <c r="Q7" s="656">
        <v>0</v>
      </c>
      <c r="R7" s="656">
        <f t="shared" si="4"/>
        <v>0</v>
      </c>
      <c r="S7" s="656">
        <f t="shared" si="5"/>
        <v>0</v>
      </c>
      <c r="T7" s="656">
        <f t="shared" si="6"/>
        <v>0</v>
      </c>
      <c r="U7" s="656">
        <f t="shared" si="7"/>
        <v>0</v>
      </c>
    </row>
    <row r="8" spans="1:21" s="569" customFormat="1" ht="15.75" customHeight="1">
      <c r="A8" s="80">
        <v>5</v>
      </c>
      <c r="B8" s="275" t="s">
        <v>116</v>
      </c>
      <c r="C8" s="1539" t="str">
        <f>OR_VEH!B257</f>
        <v>NE PAS UTILISER</v>
      </c>
      <c r="D8" s="1588"/>
      <c r="E8" s="776" t="s">
        <v>299</v>
      </c>
      <c r="F8" s="269">
        <f>IFERROR(IF(Flag=TRUE,K8-TBIn!E404,TBIn!D404),0)</f>
        <v>0</v>
      </c>
      <c r="G8" s="2599">
        <f>IFERROR(IF(Flag=TRUE,L8-TBIn!E1863,TBIn!D1863),0)</f>
        <v>0</v>
      </c>
      <c r="H8" s="2599">
        <f>IFERROR(IF(Flag=TRUE,M8-TBIn!E1903,TBIn!D1903),0)</f>
        <v>0</v>
      </c>
      <c r="I8" s="552">
        <f t="shared" si="0"/>
        <v>0</v>
      </c>
      <c r="J8" s="608">
        <f t="shared" si="1"/>
        <v>0</v>
      </c>
      <c r="K8" s="721">
        <f>IFERROR(TBIn!E404,0)</f>
        <v>0</v>
      </c>
      <c r="L8" s="2574">
        <f>IFERROR(TBIn!E1863,0)</f>
        <v>0</v>
      </c>
      <c r="M8" s="2574">
        <f>IFERROR(TBIn!E1903,0)</f>
        <v>0</v>
      </c>
      <c r="N8" s="555">
        <f t="shared" si="3"/>
        <v>0</v>
      </c>
      <c r="O8" s="587">
        <f t="shared" si="2"/>
        <v>0</v>
      </c>
      <c r="P8" s="80">
        <v>5</v>
      </c>
      <c r="Q8" s="656">
        <v>0</v>
      </c>
      <c r="R8" s="656">
        <f t="shared" si="4"/>
        <v>0</v>
      </c>
      <c r="S8" s="656">
        <f t="shared" si="5"/>
        <v>0</v>
      </c>
      <c r="T8" s="656">
        <f t="shared" si="6"/>
        <v>0</v>
      </c>
      <c r="U8" s="656">
        <f t="shared" si="7"/>
        <v>0</v>
      </c>
    </row>
    <row r="9" spans="1:21" s="569" customFormat="1" ht="15.75" customHeight="1">
      <c r="A9" s="80">
        <v>6</v>
      </c>
      <c r="B9" s="275" t="s">
        <v>118</v>
      </c>
      <c r="C9" s="1539" t="str">
        <f>OR_VEH!B258</f>
        <v>NE PAS UTILISER</v>
      </c>
      <c r="D9" s="1588"/>
      <c r="E9" s="776" t="s">
        <v>300</v>
      </c>
      <c r="F9" s="269">
        <f>IFERROR(IF(Flag=TRUE,K9-TBIn!E405,TBIn!D405),0)</f>
        <v>0</v>
      </c>
      <c r="G9" s="2599">
        <f>IFERROR(IF(Flag=TRUE,L9-TBIn!E1864,TBIn!D1864),0)</f>
        <v>0</v>
      </c>
      <c r="H9" s="2599">
        <f>IFERROR(IF(Flag=TRUE,M9-TBIn!E1904,TBIn!D1904),0)</f>
        <v>0</v>
      </c>
      <c r="I9" s="552">
        <f t="shared" si="0"/>
        <v>0</v>
      </c>
      <c r="J9" s="608">
        <f t="shared" si="1"/>
        <v>0</v>
      </c>
      <c r="K9" s="721">
        <f>IFERROR(TBIn!E405,0)</f>
        <v>0</v>
      </c>
      <c r="L9" s="2574">
        <f>IFERROR(TBIn!E1864,0)</f>
        <v>0</v>
      </c>
      <c r="M9" s="2574">
        <f>IFERROR(TBIn!E1904,0)</f>
        <v>0</v>
      </c>
      <c r="N9" s="555">
        <f t="shared" si="3"/>
        <v>0</v>
      </c>
      <c r="O9" s="587">
        <f t="shared" si="2"/>
        <v>0</v>
      </c>
      <c r="P9" s="80">
        <v>6</v>
      </c>
      <c r="Q9" s="656">
        <v>0</v>
      </c>
      <c r="R9" s="656">
        <f t="shared" si="4"/>
        <v>0</v>
      </c>
      <c r="S9" s="656">
        <f t="shared" si="5"/>
        <v>0</v>
      </c>
      <c r="T9" s="656">
        <f t="shared" si="6"/>
        <v>0</v>
      </c>
      <c r="U9" s="656">
        <f t="shared" si="7"/>
        <v>0</v>
      </c>
    </row>
    <row r="10" spans="1:21" s="569" customFormat="1" ht="15.75" customHeight="1">
      <c r="A10" s="80">
        <v>7</v>
      </c>
      <c r="B10" s="101" t="s">
        <v>120</v>
      </c>
      <c r="C10" s="1539" t="str">
        <f>OR_VEH!B259</f>
        <v>NE PAS UTILISER</v>
      </c>
      <c r="D10" s="1588"/>
      <c r="E10" s="776" t="s">
        <v>301</v>
      </c>
      <c r="F10" s="269">
        <f>IFERROR(IF(Flag=TRUE,K10-TBIn!E406,TBIn!D406),0)</f>
        <v>0</v>
      </c>
      <c r="G10" s="2599">
        <f>IFERROR(IF(Flag=TRUE,L10-TBIn!E1865,TBIn!D1865),0)</f>
        <v>0</v>
      </c>
      <c r="H10" s="2599">
        <f>IFERROR(IF(Flag=TRUE,M10-TBIn!E1905,TBIn!D1905),0)</f>
        <v>0</v>
      </c>
      <c r="I10" s="552">
        <f t="shared" si="0"/>
        <v>0</v>
      </c>
      <c r="J10" s="608">
        <f t="shared" si="1"/>
        <v>0</v>
      </c>
      <c r="K10" s="721">
        <f>IFERROR(TBIn!E406,0)</f>
        <v>0</v>
      </c>
      <c r="L10" s="2574">
        <f>IFERROR(TBIn!E1865,0)</f>
        <v>0</v>
      </c>
      <c r="M10" s="2574">
        <f>IFERROR(TBIn!E1905,0)</f>
        <v>0</v>
      </c>
      <c r="N10" s="555">
        <f t="shared" si="3"/>
        <v>0</v>
      </c>
      <c r="O10" s="587">
        <f t="shared" si="2"/>
        <v>0</v>
      </c>
      <c r="P10" s="80">
        <v>7</v>
      </c>
      <c r="Q10" s="656">
        <v>0</v>
      </c>
      <c r="R10" s="656">
        <f t="shared" si="4"/>
        <v>0</v>
      </c>
      <c r="S10" s="656">
        <f t="shared" si="5"/>
        <v>0</v>
      </c>
      <c r="T10" s="656">
        <f t="shared" si="6"/>
        <v>0</v>
      </c>
      <c r="U10" s="656">
        <f t="shared" si="7"/>
        <v>0</v>
      </c>
    </row>
    <row r="11" spans="1:21" s="569" customFormat="1" ht="15.75" customHeight="1">
      <c r="A11" s="80">
        <v>8</v>
      </c>
      <c r="B11" s="101" t="s">
        <v>122</v>
      </c>
      <c r="C11" s="1539" t="str">
        <f>OR_VEH!B260</f>
        <v>NE PAS UTILISER</v>
      </c>
      <c r="D11" s="1588"/>
      <c r="E11" s="776" t="s">
        <v>302</v>
      </c>
      <c r="F11" s="269">
        <f>IFERROR(IF(Flag=TRUE,K11-TBIn!E407,TBIn!D407),0)</f>
        <v>0</v>
      </c>
      <c r="G11" s="2599">
        <f>IFERROR(IF(Flag=TRUE,L11-TBIn!E1866,TBIn!D1866),0)</f>
        <v>0</v>
      </c>
      <c r="H11" s="2599">
        <f>IFERROR(IF(Flag=TRUE,M11-TBIn!E1906,TBIn!D1906),0)</f>
        <v>0</v>
      </c>
      <c r="I11" s="552">
        <f t="shared" si="0"/>
        <v>0</v>
      </c>
      <c r="J11" s="608">
        <f t="shared" si="1"/>
        <v>0</v>
      </c>
      <c r="K11" s="721">
        <f>IFERROR(TBIn!E407,0)</f>
        <v>0</v>
      </c>
      <c r="L11" s="2574">
        <f>IFERROR(TBIn!E1866,0)</f>
        <v>0</v>
      </c>
      <c r="M11" s="2574">
        <f>IFERROR(TBIn!E1906,0)</f>
        <v>0</v>
      </c>
      <c r="N11" s="555">
        <f t="shared" si="3"/>
        <v>0</v>
      </c>
      <c r="O11" s="587">
        <f t="shared" si="2"/>
        <v>0</v>
      </c>
      <c r="P11" s="80">
        <v>8</v>
      </c>
      <c r="Q11" s="656">
        <v>0</v>
      </c>
      <c r="R11" s="656">
        <f t="shared" si="4"/>
        <v>0</v>
      </c>
      <c r="S11" s="656">
        <f t="shared" si="5"/>
        <v>0</v>
      </c>
      <c r="T11" s="656">
        <f t="shared" si="6"/>
        <v>0</v>
      </c>
      <c r="U11" s="656">
        <f t="shared" si="7"/>
        <v>0</v>
      </c>
    </row>
    <row r="12" spans="1:21" s="569" customFormat="1" ht="15.75" customHeight="1">
      <c r="A12" s="80">
        <v>9</v>
      </c>
      <c r="B12" s="101" t="s">
        <v>124</v>
      </c>
      <c r="C12" s="1539" t="str">
        <f>OR_VEH!B261</f>
        <v>NE PAS UTILISER</v>
      </c>
      <c r="D12" s="1588"/>
      <c r="E12" s="776" t="s">
        <v>303</v>
      </c>
      <c r="F12" s="269">
        <f>IFERROR(IF(Flag=TRUE,K12-TBIn!E408,TBIn!D408),0)</f>
        <v>0</v>
      </c>
      <c r="G12" s="2599">
        <f>IFERROR(IF(Flag=TRUE,L12-TBIn!E1867,TBIn!D1867),0)</f>
        <v>0</v>
      </c>
      <c r="H12" s="2599">
        <f>IFERROR(IF(Flag=TRUE,M12-TBIn!E1907,TBIn!D1907),0)</f>
        <v>0</v>
      </c>
      <c r="I12" s="552">
        <f t="shared" si="0"/>
        <v>0</v>
      </c>
      <c r="J12" s="608">
        <f t="shared" si="1"/>
        <v>0</v>
      </c>
      <c r="K12" s="721">
        <f>IFERROR(TBIn!E408,0)</f>
        <v>0</v>
      </c>
      <c r="L12" s="2574">
        <f>IFERROR(TBIn!E1867,0)</f>
        <v>0</v>
      </c>
      <c r="M12" s="2574">
        <f>IFERROR(TBIn!E1907,0)</f>
        <v>0</v>
      </c>
      <c r="N12" s="555">
        <f t="shared" si="3"/>
        <v>0</v>
      </c>
      <c r="O12" s="587">
        <f t="shared" si="2"/>
        <v>0</v>
      </c>
      <c r="P12" s="80">
        <v>9</v>
      </c>
      <c r="Q12" s="656">
        <v>0</v>
      </c>
      <c r="R12" s="656">
        <f t="shared" si="4"/>
        <v>0</v>
      </c>
      <c r="S12" s="656">
        <f t="shared" si="5"/>
        <v>0</v>
      </c>
      <c r="T12" s="656">
        <f t="shared" si="6"/>
        <v>0</v>
      </c>
      <c r="U12" s="656">
        <f t="shared" si="7"/>
        <v>0</v>
      </c>
    </row>
    <row r="13" spans="1:21" s="569" customFormat="1" ht="15.75" customHeight="1">
      <c r="A13" s="80">
        <v>10</v>
      </c>
      <c r="B13" s="101"/>
      <c r="C13" s="1539" t="str">
        <f>OR_VEH!B262</f>
        <v>NE PAS UTILISER</v>
      </c>
      <c r="D13" s="1588"/>
      <c r="E13" s="776" t="s">
        <v>304</v>
      </c>
      <c r="F13" s="269">
        <f>IFERROR(IF(Flag=TRUE,K13-TBIn!E409,TBIn!D409),0)</f>
        <v>0</v>
      </c>
      <c r="G13" s="2599">
        <f>IFERROR(IF(Flag=TRUE,L13-TBIn!E1868,TBIn!D1868),0)</f>
        <v>0</v>
      </c>
      <c r="H13" s="2599">
        <f>IFERROR(IF(Flag=TRUE,M13-TBIn!E1908,TBIn!D1908),0)</f>
        <v>0</v>
      </c>
      <c r="I13" s="552">
        <f t="shared" si="0"/>
        <v>0</v>
      </c>
      <c r="J13" s="608">
        <f t="shared" si="1"/>
        <v>0</v>
      </c>
      <c r="K13" s="721">
        <f>IFERROR(TBIn!E409,0)</f>
        <v>0</v>
      </c>
      <c r="L13" s="2574">
        <f>IFERROR(TBIn!E1868,0)</f>
        <v>0</v>
      </c>
      <c r="M13" s="2574">
        <f>IFERROR(TBIn!E1908,0)</f>
        <v>0</v>
      </c>
      <c r="N13" s="555">
        <f t="shared" si="3"/>
        <v>0</v>
      </c>
      <c r="O13" s="587">
        <f t="shared" si="2"/>
        <v>0</v>
      </c>
      <c r="P13" s="80">
        <v>10</v>
      </c>
      <c r="Q13" s="656">
        <v>0</v>
      </c>
      <c r="R13" s="656">
        <f t="shared" si="4"/>
        <v>0</v>
      </c>
      <c r="S13" s="656">
        <f t="shared" si="5"/>
        <v>0</v>
      </c>
      <c r="T13" s="656">
        <f t="shared" si="6"/>
        <v>0</v>
      </c>
      <c r="U13" s="656">
        <f t="shared" si="7"/>
        <v>0</v>
      </c>
    </row>
    <row r="14" spans="1:21" s="569" customFormat="1" ht="15.75" customHeight="1">
      <c r="A14" s="80">
        <v>11</v>
      </c>
      <c r="B14" s="101" t="s">
        <v>127</v>
      </c>
      <c r="C14" s="1539" t="str">
        <f>OR_VEH!B263</f>
        <v>NE PAS UTILISER</v>
      </c>
      <c r="D14" s="1588"/>
      <c r="E14" s="776" t="s">
        <v>305</v>
      </c>
      <c r="F14" s="269">
        <f>IFERROR(IF(Flag=TRUE,K14-TBIn!E410,TBIn!D410),0)</f>
        <v>0</v>
      </c>
      <c r="G14" s="2599">
        <f>IFERROR(IF(Flag=TRUE,L14-TBIn!E1869,TBIn!D1869),0)</f>
        <v>0</v>
      </c>
      <c r="H14" s="2599">
        <f>IFERROR(IF(Flag=TRUE,M14-TBIn!E1909,TBIn!D1909),0)</f>
        <v>0</v>
      </c>
      <c r="I14" s="552">
        <f t="shared" si="0"/>
        <v>0</v>
      </c>
      <c r="J14" s="608">
        <f t="shared" si="1"/>
        <v>0</v>
      </c>
      <c r="K14" s="721">
        <f>IFERROR(TBIn!E410,0)</f>
        <v>0</v>
      </c>
      <c r="L14" s="2574">
        <f>IFERROR(TBIn!E1869,0)</f>
        <v>0</v>
      </c>
      <c r="M14" s="2574">
        <f>IFERROR(TBIn!E1909,0)</f>
        <v>0</v>
      </c>
      <c r="N14" s="555">
        <f t="shared" si="3"/>
        <v>0</v>
      </c>
      <c r="O14" s="587">
        <f t="shared" si="2"/>
        <v>0</v>
      </c>
      <c r="P14" s="80">
        <v>11</v>
      </c>
      <c r="Q14" s="656">
        <v>0</v>
      </c>
      <c r="R14" s="656">
        <f t="shared" si="4"/>
        <v>0</v>
      </c>
      <c r="S14" s="656">
        <f t="shared" si="5"/>
        <v>0</v>
      </c>
      <c r="T14" s="656">
        <f t="shared" si="6"/>
        <v>0</v>
      </c>
      <c r="U14" s="656">
        <f t="shared" si="7"/>
        <v>0</v>
      </c>
    </row>
    <row r="15" spans="1:21" s="569" customFormat="1" ht="15.75" customHeight="1">
      <c r="A15" s="80">
        <v>12</v>
      </c>
      <c r="B15" s="101" t="s">
        <v>122</v>
      </c>
      <c r="C15" s="1539" t="str">
        <f>OR_VEH!B264</f>
        <v>NE PAS UTILISER</v>
      </c>
      <c r="D15" s="1588"/>
      <c r="E15" s="776" t="s">
        <v>306</v>
      </c>
      <c r="F15" s="269">
        <f>IFERROR(IF(Flag=TRUE,K15-TBIn!E411,TBIn!D411),0)</f>
        <v>0</v>
      </c>
      <c r="G15" s="2599">
        <f>IFERROR(IF(Flag=TRUE,L15-TBIn!E1870,TBIn!D1870),0)</f>
        <v>0</v>
      </c>
      <c r="H15" s="2599">
        <f>IFERROR(IF(Flag=TRUE,M15-TBIn!E1910,TBIn!D1910),0)</f>
        <v>0</v>
      </c>
      <c r="I15" s="552">
        <f t="shared" si="0"/>
        <v>0</v>
      </c>
      <c r="J15" s="608">
        <f t="shared" si="1"/>
        <v>0</v>
      </c>
      <c r="K15" s="721">
        <f>IFERROR(TBIn!E411,0)</f>
        <v>0</v>
      </c>
      <c r="L15" s="2574">
        <f>IFERROR(TBIn!E1870,0)</f>
        <v>0</v>
      </c>
      <c r="M15" s="2574">
        <f>IFERROR(TBIn!E1910,0)</f>
        <v>0</v>
      </c>
      <c r="N15" s="555">
        <f t="shared" si="3"/>
        <v>0</v>
      </c>
      <c r="O15" s="587">
        <f t="shared" si="2"/>
        <v>0</v>
      </c>
      <c r="P15" s="80">
        <v>12</v>
      </c>
      <c r="Q15" s="656">
        <v>0</v>
      </c>
      <c r="R15" s="656">
        <f t="shared" si="4"/>
        <v>0</v>
      </c>
      <c r="S15" s="656">
        <f t="shared" si="5"/>
        <v>0</v>
      </c>
      <c r="T15" s="656">
        <f t="shared" si="6"/>
        <v>0</v>
      </c>
      <c r="U15" s="656">
        <f t="shared" si="7"/>
        <v>0</v>
      </c>
    </row>
    <row r="16" spans="1:21" s="569" customFormat="1" ht="15.75" customHeight="1">
      <c r="A16" s="80">
        <v>13</v>
      </c>
      <c r="B16" s="101" t="s">
        <v>118</v>
      </c>
      <c r="C16" s="1539" t="str">
        <f>OR_VEH!B265</f>
        <v>NE PAS UTILISER</v>
      </c>
      <c r="D16" s="1588"/>
      <c r="E16" s="776" t="s">
        <v>307</v>
      </c>
      <c r="F16" s="269">
        <f>IFERROR(IF(Flag=TRUE,K16-TBIn!E412,TBIn!D412),0)</f>
        <v>0</v>
      </c>
      <c r="G16" s="2599">
        <f>IFERROR(IF(Flag=TRUE,L16-TBIn!E1871,TBIn!D1871),0)</f>
        <v>0</v>
      </c>
      <c r="H16" s="2599">
        <f>IFERROR(IF(Flag=TRUE,M16-TBIn!E1911,TBIn!D1911),0)</f>
        <v>0</v>
      </c>
      <c r="I16" s="552">
        <f t="shared" si="0"/>
        <v>0</v>
      </c>
      <c r="J16" s="608">
        <f t="shared" si="1"/>
        <v>0</v>
      </c>
      <c r="K16" s="721">
        <f>IFERROR(TBIn!E412,0)</f>
        <v>0</v>
      </c>
      <c r="L16" s="2574">
        <f>IFERROR(TBIn!E1871,0)</f>
        <v>0</v>
      </c>
      <c r="M16" s="2574">
        <f>IFERROR(TBIn!E1911,0)</f>
        <v>0</v>
      </c>
      <c r="N16" s="555">
        <f t="shared" si="3"/>
        <v>0</v>
      </c>
      <c r="O16" s="587">
        <f t="shared" si="2"/>
        <v>0</v>
      </c>
      <c r="P16" s="80">
        <v>13</v>
      </c>
      <c r="Q16" s="656">
        <v>0</v>
      </c>
      <c r="R16" s="656">
        <f t="shared" si="4"/>
        <v>0</v>
      </c>
      <c r="S16" s="656">
        <f t="shared" si="5"/>
        <v>0</v>
      </c>
      <c r="T16" s="656">
        <f t="shared" si="6"/>
        <v>0</v>
      </c>
      <c r="U16" s="656">
        <f t="shared" si="7"/>
        <v>0</v>
      </c>
    </row>
    <row r="17" spans="1:21" s="569" customFormat="1" ht="15.75" customHeight="1">
      <c r="A17" s="80">
        <v>14</v>
      </c>
      <c r="B17" s="101" t="s">
        <v>110</v>
      </c>
      <c r="C17" s="1539" t="str">
        <f>OR_VEH!B266</f>
        <v>NE PAS UTILISER</v>
      </c>
      <c r="D17" s="1588"/>
      <c r="E17" s="776" t="s">
        <v>308</v>
      </c>
      <c r="F17" s="269">
        <f>IFERROR(IF(Flag=TRUE,K17-TBIn!E413,TBIn!D413),0)</f>
        <v>0</v>
      </c>
      <c r="G17" s="2599">
        <f>IFERROR(IF(Flag=TRUE,L17-TBIn!E1872,TBIn!D1872),0)</f>
        <v>0</v>
      </c>
      <c r="H17" s="2599">
        <f>IFERROR(IF(Flag=TRUE,M17-TBIn!E1912,TBIn!D1912),0)</f>
        <v>0</v>
      </c>
      <c r="I17" s="552">
        <f t="shared" si="0"/>
        <v>0</v>
      </c>
      <c r="J17" s="608">
        <f t="shared" si="1"/>
        <v>0</v>
      </c>
      <c r="K17" s="721">
        <f>IFERROR(TBIn!E413,0)</f>
        <v>0</v>
      </c>
      <c r="L17" s="2574">
        <f>IFERROR(TBIn!E1872,0)</f>
        <v>0</v>
      </c>
      <c r="M17" s="2574">
        <f>IFERROR(TBIn!E1912,0)</f>
        <v>0</v>
      </c>
      <c r="N17" s="555">
        <f t="shared" si="3"/>
        <v>0</v>
      </c>
      <c r="O17" s="587">
        <f t="shared" si="2"/>
        <v>0</v>
      </c>
      <c r="P17" s="80">
        <v>14</v>
      </c>
      <c r="Q17" s="656">
        <v>0</v>
      </c>
      <c r="R17" s="656">
        <f t="shared" si="4"/>
        <v>0</v>
      </c>
      <c r="S17" s="656">
        <f t="shared" si="5"/>
        <v>0</v>
      </c>
      <c r="T17" s="656">
        <f t="shared" si="6"/>
        <v>0</v>
      </c>
      <c r="U17" s="656">
        <f t="shared" si="7"/>
        <v>0</v>
      </c>
    </row>
    <row r="18" spans="1:21" s="569" customFormat="1" ht="15.75" customHeight="1">
      <c r="A18" s="80">
        <v>15</v>
      </c>
      <c r="B18" s="275" t="s">
        <v>122</v>
      </c>
      <c r="C18" s="1539" t="str">
        <f>OR_VEH!B267</f>
        <v>NE PAS UTILISER</v>
      </c>
      <c r="D18" s="1588"/>
      <c r="E18" s="776" t="s">
        <v>309</v>
      </c>
      <c r="F18" s="269">
        <f>IFERROR(IF(Flag=TRUE,K18-TBIn!E414,TBIn!D414),0)</f>
        <v>0</v>
      </c>
      <c r="G18" s="2599">
        <f>IFERROR(IF(Flag=TRUE,L18-TBIn!E1873,TBIn!D1873),0)</f>
        <v>0</v>
      </c>
      <c r="H18" s="2599">
        <f>IFERROR(IF(Flag=TRUE,M18-TBIn!E1913,TBIn!D1913),0)</f>
        <v>0</v>
      </c>
      <c r="I18" s="552">
        <f t="shared" si="0"/>
        <v>0</v>
      </c>
      <c r="J18" s="608">
        <f t="shared" si="1"/>
        <v>0</v>
      </c>
      <c r="K18" s="721">
        <f>IFERROR(TBIn!E414,0)</f>
        <v>0</v>
      </c>
      <c r="L18" s="2574">
        <f>IFERROR(TBIn!E1873,0)</f>
        <v>0</v>
      </c>
      <c r="M18" s="2574">
        <f>IFERROR(TBIn!E1913,0)</f>
        <v>0</v>
      </c>
      <c r="N18" s="555">
        <f t="shared" si="3"/>
        <v>0</v>
      </c>
      <c r="O18" s="587">
        <f t="shared" si="2"/>
        <v>0</v>
      </c>
      <c r="P18" s="80">
        <v>15</v>
      </c>
      <c r="Q18" s="656">
        <v>0</v>
      </c>
      <c r="R18" s="656">
        <f t="shared" si="4"/>
        <v>0</v>
      </c>
      <c r="S18" s="656">
        <f t="shared" si="5"/>
        <v>0</v>
      </c>
      <c r="T18" s="656">
        <f t="shared" si="6"/>
        <v>0</v>
      </c>
      <c r="U18" s="656">
        <f t="shared" si="7"/>
        <v>0</v>
      </c>
    </row>
    <row r="19" spans="1:21" s="569" customFormat="1" ht="16" customHeight="1">
      <c r="A19" s="80">
        <v>16</v>
      </c>
      <c r="B19" s="275" t="s">
        <v>124</v>
      </c>
      <c r="C19" s="1539" t="str">
        <f>OR_VEH!B268</f>
        <v>NE PAS UTILISER</v>
      </c>
      <c r="D19" s="1588"/>
      <c r="E19" s="776" t="s">
        <v>310</v>
      </c>
      <c r="F19" s="269">
        <f>IFERROR(IF(Flag=TRUE,K19-TBIn!E415,TBIn!D415),0)</f>
        <v>0</v>
      </c>
      <c r="G19" s="2599">
        <f>IFERROR(IF(Flag=TRUE,L19-TBIn!E1874,TBIn!D1874),0)</f>
        <v>0</v>
      </c>
      <c r="H19" s="2599">
        <f>IFERROR(IF(Flag=TRUE,M19-TBIn!E1914,TBIn!D1914),0)</f>
        <v>0</v>
      </c>
      <c r="I19" s="552">
        <f t="shared" si="0"/>
        <v>0</v>
      </c>
      <c r="J19" s="608">
        <f t="shared" si="1"/>
        <v>0</v>
      </c>
      <c r="K19" s="721">
        <f>IFERROR(TBIn!E415,0)</f>
        <v>0</v>
      </c>
      <c r="L19" s="2574">
        <f>IFERROR(TBIn!E1874,0)</f>
        <v>0</v>
      </c>
      <c r="M19" s="2574">
        <f>IFERROR(TBIn!E1914,0)</f>
        <v>0</v>
      </c>
      <c r="N19" s="555">
        <f t="shared" si="3"/>
        <v>0</v>
      </c>
      <c r="O19" s="587">
        <f t="shared" si="2"/>
        <v>0</v>
      </c>
      <c r="P19" s="80">
        <v>16</v>
      </c>
      <c r="Q19" s="656">
        <v>0</v>
      </c>
      <c r="R19" s="656">
        <f t="shared" si="4"/>
        <v>0</v>
      </c>
      <c r="S19" s="656">
        <f t="shared" si="5"/>
        <v>0</v>
      </c>
      <c r="T19" s="656">
        <f t="shared" si="6"/>
        <v>0</v>
      </c>
      <c r="U19" s="656">
        <f t="shared" si="7"/>
        <v>0</v>
      </c>
    </row>
    <row r="20" spans="1:21" s="569" customFormat="1" ht="16" customHeight="1">
      <c r="A20" s="80">
        <v>17</v>
      </c>
      <c r="B20" s="275"/>
      <c r="C20" s="1539" t="str">
        <f>OR_VEH!B269</f>
        <v>POUR USAGE FUTUR</v>
      </c>
      <c r="D20" s="1588"/>
      <c r="E20" s="776" t="s">
        <v>311</v>
      </c>
      <c r="F20" s="269">
        <f>IFERROR(IF(Flag=TRUE,K20-TBIn!E416,TBIn!D416),0)</f>
        <v>0</v>
      </c>
      <c r="G20" s="2599">
        <f>IFERROR(IF(Flag=TRUE,L20-TBIn!E1875,TBIn!D1875),0)</f>
        <v>0</v>
      </c>
      <c r="H20" s="2599">
        <f>IFERROR(IF(Flag=TRUE,M20-TBIn!E1915,TBIn!D1915),0)</f>
        <v>0</v>
      </c>
      <c r="I20" s="552">
        <f t="shared" si="0"/>
        <v>0</v>
      </c>
      <c r="J20" s="608">
        <f t="shared" si="1"/>
        <v>0</v>
      </c>
      <c r="K20" s="721">
        <f>IFERROR(TBIn!E416,0)</f>
        <v>0</v>
      </c>
      <c r="L20" s="2574">
        <f>IFERROR(TBIn!E1875,0)</f>
        <v>0</v>
      </c>
      <c r="M20" s="2574">
        <f>IFERROR(TBIn!E1915,0)</f>
        <v>0</v>
      </c>
      <c r="N20" s="555">
        <f t="shared" si="3"/>
        <v>0</v>
      </c>
      <c r="O20" s="587">
        <f t="shared" si="2"/>
        <v>0</v>
      </c>
      <c r="P20" s="80">
        <v>17</v>
      </c>
      <c r="Q20" s="656">
        <v>0</v>
      </c>
      <c r="R20" s="656">
        <f t="shared" si="4"/>
        <v>0</v>
      </c>
      <c r="S20" s="656">
        <f t="shared" si="5"/>
        <v>0</v>
      </c>
      <c r="T20" s="656">
        <f t="shared" si="6"/>
        <v>0</v>
      </c>
      <c r="U20" s="656">
        <f t="shared" si="7"/>
        <v>0</v>
      </c>
    </row>
    <row r="21" spans="1:21" s="569" customFormat="1" ht="16" customHeight="1">
      <c r="A21" s="80">
        <v>18</v>
      </c>
      <c r="B21" s="215"/>
      <c r="C21" s="1539" t="str">
        <f>OR_VEH!B270</f>
        <v>NE PAS UTILISER</v>
      </c>
      <c r="D21" s="1588"/>
      <c r="E21" s="776" t="s">
        <v>312</v>
      </c>
      <c r="F21" s="269">
        <f>IFERROR(IF(Flag=TRUE,K21-TBIn!E417,TBIn!D417),0)</f>
        <v>0</v>
      </c>
      <c r="G21" s="2599">
        <f>IFERROR(IF(Flag=TRUE,L21-TBIn!E1876,TBIn!D1876),0)</f>
        <v>0</v>
      </c>
      <c r="H21" s="2599">
        <f>IFERROR(IF(Flag=TRUE,M21-TBIn!E1916,TBIn!D1916),0)</f>
        <v>0</v>
      </c>
      <c r="I21" s="552">
        <f t="shared" si="0"/>
        <v>0</v>
      </c>
      <c r="J21" s="608">
        <f t="shared" si="1"/>
        <v>0</v>
      </c>
      <c r="K21" s="721">
        <f>IFERROR(TBIn!E417,0)</f>
        <v>0</v>
      </c>
      <c r="L21" s="2574">
        <f>IFERROR(TBIn!E1876,0)</f>
        <v>0</v>
      </c>
      <c r="M21" s="2574">
        <f>IFERROR(TBIn!E1916,0)</f>
        <v>0</v>
      </c>
      <c r="N21" s="555">
        <f t="shared" si="3"/>
        <v>0</v>
      </c>
      <c r="O21" s="587">
        <f t="shared" si="2"/>
        <v>0</v>
      </c>
      <c r="P21" s="80">
        <v>18</v>
      </c>
      <c r="Q21" s="656">
        <v>0</v>
      </c>
      <c r="R21" s="656">
        <f t="shared" si="4"/>
        <v>0</v>
      </c>
      <c r="S21" s="656">
        <f t="shared" si="5"/>
        <v>0</v>
      </c>
      <c r="T21" s="656">
        <f t="shared" si="6"/>
        <v>0</v>
      </c>
      <c r="U21" s="656">
        <f t="shared" si="7"/>
        <v>0</v>
      </c>
    </row>
    <row r="22" spans="1:21" s="569" customFormat="1" ht="16" customHeight="1">
      <c r="A22" s="80">
        <v>19</v>
      </c>
      <c r="B22" s="215"/>
      <c r="C22" s="1589" t="str">
        <f>OR_VEH!B271</f>
        <v>AUTRES GMC</v>
      </c>
      <c r="D22" s="1590"/>
      <c r="E22" s="777" t="s">
        <v>313</v>
      </c>
      <c r="F22" s="270">
        <f>IFERROR(IF(Flag=TRUE,K22-TBIn!E418,TBIn!D418),0)</f>
        <v>0</v>
      </c>
      <c r="G22" s="2600">
        <f>IFERROR(IF(Flag=TRUE,L22-TBIn!E1877,TBIn!D1877),0)</f>
        <v>0</v>
      </c>
      <c r="H22" s="2600">
        <f>IFERROR(IF(Flag=TRUE,M22-TBIn!E1917,TBIn!D1917),0)</f>
        <v>0</v>
      </c>
      <c r="I22" s="553">
        <f t="shared" si="0"/>
        <v>0</v>
      </c>
      <c r="J22" s="847">
        <f t="shared" si="1"/>
        <v>0</v>
      </c>
      <c r="K22" s="722">
        <f>IFERROR(TBIn!E418,0)</f>
        <v>0</v>
      </c>
      <c r="L22" s="2603">
        <f>IFERROR(TBIn!E1877,0)</f>
        <v>0</v>
      </c>
      <c r="M22" s="2603">
        <f>IFERROR(TBIn!E1917,0)</f>
        <v>0</v>
      </c>
      <c r="N22" s="556">
        <f t="shared" si="3"/>
        <v>0</v>
      </c>
      <c r="O22" s="601">
        <f t="shared" si="2"/>
        <v>0</v>
      </c>
      <c r="P22" s="80">
        <v>19</v>
      </c>
      <c r="Q22" s="656">
        <v>0</v>
      </c>
      <c r="R22" s="656">
        <f t="shared" si="4"/>
        <v>0</v>
      </c>
      <c r="S22" s="656">
        <f t="shared" si="5"/>
        <v>0</v>
      </c>
      <c r="T22" s="656">
        <f t="shared" si="6"/>
        <v>0</v>
      </c>
      <c r="U22" s="656">
        <f t="shared" si="7"/>
        <v>0</v>
      </c>
    </row>
    <row r="23" spans="1:21"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56"/>
      <c r="R23" s="656"/>
      <c r="S23" s="656"/>
      <c r="T23" s="656"/>
      <c r="U23" s="656"/>
    </row>
    <row r="24" spans="1:21" s="569" customFormat="1" ht="16" customHeight="1">
      <c r="A24" s="80">
        <v>21</v>
      </c>
      <c r="B24" s="215"/>
      <c r="C24" s="1591" t="str">
        <f>OR_VEH!B273</f>
        <v>MÉMO* VENTES INTERNET VOITURES</v>
      </c>
      <c r="D24" s="1592"/>
      <c r="E24" s="779" t="s">
        <v>314</v>
      </c>
      <c r="F24" s="269">
        <f>IFERROR(IF(Flag=TRUE,K24-TBIn!E419,TBIn!D419),0)</f>
        <v>0</v>
      </c>
      <c r="G24" s="2599">
        <f>IFERROR(IF(Flag=TRUE,L24-TBIn!$E$150,TBIn!$D$150),0)</f>
        <v>0</v>
      </c>
      <c r="H24" s="2599">
        <f>IFERROR(IF(Flag=TRUE,M24-TBIn!$E$170,TBIn!$D$170),0)</f>
        <v>0</v>
      </c>
      <c r="I24" s="552">
        <f>G24-H24</f>
        <v>0</v>
      </c>
      <c r="J24" s="608">
        <f t="shared" si="1"/>
        <v>0</v>
      </c>
      <c r="K24" s="721">
        <f>IFERROR(TBIn!E419,0)</f>
        <v>0</v>
      </c>
      <c r="L24" s="2574">
        <f>IFERROR(TBIn!$E$150,0)</f>
        <v>0</v>
      </c>
      <c r="M24" s="2574">
        <f>IFERROR(TBIn!$E$170,0)</f>
        <v>0</v>
      </c>
      <c r="N24" s="555">
        <f>L24-M24</f>
        <v>0</v>
      </c>
      <c r="O24" s="587">
        <f t="shared" si="2"/>
        <v>0</v>
      </c>
      <c r="P24" s="80">
        <v>21</v>
      </c>
      <c r="Q24" s="656">
        <v>0</v>
      </c>
      <c r="R24" s="656">
        <f t="shared" si="4"/>
        <v>0</v>
      </c>
      <c r="S24" s="656">
        <f>IF(K24=0,0,IF(OR(L24&lt;0,L24/K24&gt;Q24),1,0))</f>
        <v>0</v>
      </c>
      <c r="T24" s="656">
        <f>IF(OR(F24&lt;0,AND(G24&gt;0,F24=0),AND(G24=0,F24&gt;0)),1,0)</f>
        <v>0</v>
      </c>
      <c r="U24" s="656">
        <f>IF(OR(K24&lt;0,AND(L24&gt;0,K24=0),AND(K24&gt;0,L24=0)),1,0)</f>
        <v>0</v>
      </c>
    </row>
    <row r="25" spans="1:21" s="569" customFormat="1" ht="20.149999999999999" customHeight="1">
      <c r="A25" s="80">
        <v>22</v>
      </c>
      <c r="B25" s="101"/>
      <c r="C25" s="1594" t="str">
        <f>OR_VEH!B274</f>
        <v>TOTAL PARCS - VOITURES</v>
      </c>
      <c r="D25" s="1595"/>
      <c r="E25" s="2525" t="s">
        <v>139</v>
      </c>
      <c r="F25" s="269">
        <f>IFERROR(IF(Flag=TRUE,K25-TBIn!E420,TBIn!D420),0)</f>
        <v>0</v>
      </c>
      <c r="G25" s="2599">
        <f>IFERROR(IF(Flag=TRUE,L25-TBIn!E1878,TBIn!D1878),0)</f>
        <v>0</v>
      </c>
      <c r="H25" s="2599">
        <f>IFERROR(IF(Flag=TRUE,M25-TBIn!E1918,TBIn!D1918),0)</f>
        <v>0</v>
      </c>
      <c r="I25" s="552">
        <f>G25-H25</f>
        <v>0</v>
      </c>
      <c r="J25" s="608">
        <f t="shared" si="1"/>
        <v>0</v>
      </c>
      <c r="K25" s="721">
        <f>IFERROR(TBIn!E420,0)</f>
        <v>0</v>
      </c>
      <c r="L25" s="2574">
        <f>IFERROR(TBIn!E1878,0)</f>
        <v>0</v>
      </c>
      <c r="M25" s="2574">
        <f>IFERROR(TBIn!E1918,0)</f>
        <v>0</v>
      </c>
      <c r="N25" s="2679">
        <f>L25-M25</f>
        <v>0</v>
      </c>
      <c r="O25" s="587">
        <f t="shared" si="2"/>
        <v>0</v>
      </c>
      <c r="P25" s="80">
        <v>22</v>
      </c>
      <c r="Q25" s="656">
        <v>0</v>
      </c>
      <c r="R25" s="656">
        <f t="shared" si="4"/>
        <v>0</v>
      </c>
      <c r="S25" s="656">
        <f>IF(K25=0,0,IF(OR(L25&lt;0,L25/K25&gt;Q25),1,0))</f>
        <v>0</v>
      </c>
      <c r="T25" s="656">
        <f>IF(OR(F25&lt;0,AND(G25&gt;0,F25=0),AND(G25=0,F25&gt;0)),1,0)</f>
        <v>0</v>
      </c>
      <c r="U25" s="656">
        <f>IF(OR(K25&lt;0,AND(L25&gt;0,K25=0),AND(K25&gt;0,L25=0)),1,0)</f>
        <v>0</v>
      </c>
    </row>
    <row r="26" spans="1:21" s="569" customFormat="1" ht="16" customHeight="1">
      <c r="A26" s="80">
        <v>23</v>
      </c>
      <c r="B26" s="215"/>
      <c r="C26" s="1596" t="str">
        <f>OR_VEH!B275</f>
        <v>TOTAL INTERNE - VOITURES</v>
      </c>
      <c r="D26" s="1597"/>
      <c r="E26" s="780" t="s">
        <v>315</v>
      </c>
      <c r="F26" s="269">
        <f>IFERROR(IF(Flag=TRUE,K26-TBIn!E421,TBIn!D421),0)</f>
        <v>0</v>
      </c>
      <c r="G26" s="2599">
        <f>IFERROR(IF(Flag=TRUE,L26-TBIn!E1879,TBIn!D1879),0)</f>
        <v>0</v>
      </c>
      <c r="H26" s="2599">
        <f>IFERROR(IF(Flag=TRUE,M26-TBIn!E1919,TBIn!D1919),0)</f>
        <v>0</v>
      </c>
      <c r="I26" s="552">
        <f>G26-H26</f>
        <v>0</v>
      </c>
      <c r="J26" s="608">
        <f t="shared" si="1"/>
        <v>0</v>
      </c>
      <c r="K26" s="721">
        <f>IFERROR(TBIn!E421,0)</f>
        <v>0</v>
      </c>
      <c r="L26" s="2574">
        <f>IFERROR(TBIn!E1879,0)</f>
        <v>0</v>
      </c>
      <c r="M26" s="2574">
        <f>IFERROR(TBIn!E1919,0)</f>
        <v>0</v>
      </c>
      <c r="N26" s="555">
        <f>L26-M26</f>
        <v>0</v>
      </c>
      <c r="O26" s="587">
        <f t="shared" si="2"/>
        <v>0</v>
      </c>
      <c r="P26" s="80">
        <v>23</v>
      </c>
      <c r="Q26" s="656">
        <v>0</v>
      </c>
      <c r="R26" s="656">
        <f t="shared" si="4"/>
        <v>0</v>
      </c>
      <c r="S26" s="656">
        <f>IF(K26=0,0,IF(OR(L26&lt;0,L26/K26&gt;Q26),1,0))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56"/>
      <c r="R27" s="656"/>
      <c r="S27" s="656"/>
      <c r="T27" s="656"/>
      <c r="U27" s="656"/>
    </row>
    <row r="28" spans="1:21" s="569" customFormat="1" ht="16" customHeight="1">
      <c r="A28" s="80">
        <v>25</v>
      </c>
      <c r="B28" s="207"/>
      <c r="C28" s="1601" t="str">
        <f>OR_VEH!B277</f>
        <v>NE PAS UTILISER</v>
      </c>
      <c r="D28" s="1599"/>
      <c r="E28" s="779" t="s">
        <v>316</v>
      </c>
      <c r="F28" s="180">
        <f>IFERROR(IF(Flag=TRUE,K28-TBIn!E422,TBIn!D422),0)</f>
        <v>0</v>
      </c>
      <c r="G28" s="2601">
        <f>IFERROR(IF(Flag=TRUE,L28-TBIn!E1880,TBIn!D1880),0)</f>
        <v>0</v>
      </c>
      <c r="H28" s="2601">
        <f>IFERROR(IF(Flag=TRUE,M28-TBIn!E1920,TBIn!D1920),0)</f>
        <v>0</v>
      </c>
      <c r="I28" s="557">
        <f t="shared" ref="I28:I43" si="8">G28-H28</f>
        <v>0</v>
      </c>
      <c r="J28" s="271">
        <f t="shared" si="1"/>
        <v>0</v>
      </c>
      <c r="K28" s="723">
        <f>IFERROR(TBIn!E422,0)</f>
        <v>0</v>
      </c>
      <c r="L28" s="2604">
        <f>IFERROR(TBIn!E1880,0)</f>
        <v>0</v>
      </c>
      <c r="M28" s="2604">
        <f>IFERROR(TBIn!E1920,0)</f>
        <v>0</v>
      </c>
      <c r="N28" s="326">
        <f t="shared" ref="N28:N43" si="9">L28-M28</f>
        <v>0</v>
      </c>
      <c r="O28" s="272">
        <f t="shared" si="2"/>
        <v>0</v>
      </c>
      <c r="P28" s="80">
        <v>25</v>
      </c>
      <c r="Q28" s="656">
        <v>0</v>
      </c>
      <c r="R28" s="656">
        <f t="shared" si="4"/>
        <v>0</v>
      </c>
      <c r="S28" s="656">
        <f t="shared" ref="S28:S43" si="10">IF(K28=0,0,IF(OR(L28&lt;0,L28/K28&gt;Q28),1,0))</f>
        <v>0</v>
      </c>
      <c r="T28" s="656">
        <f t="shared" ref="T28:T43" si="11">IF(OR(F28&lt;0,AND(G28&gt;0,F28=0),AND(G28=0,F28&gt;0)),1,0)</f>
        <v>0</v>
      </c>
      <c r="U28" s="656">
        <f t="shared" ref="U28:U43" si="12">IF(OR(K28&lt;0,AND(L28&gt;0,K28=0),AND(K28&gt;0,L28=0)),1,0)</f>
        <v>0</v>
      </c>
    </row>
    <row r="29" spans="1:21" s="569" customFormat="1" ht="16" customHeight="1">
      <c r="A29" s="80">
        <v>26</v>
      </c>
      <c r="B29" s="275" t="s">
        <v>143</v>
      </c>
      <c r="C29" s="1539" t="str">
        <f>OR_VEH!B278</f>
        <v>TERRAIN</v>
      </c>
      <c r="D29" s="1588"/>
      <c r="E29" s="779" t="s">
        <v>317</v>
      </c>
      <c r="F29" s="269">
        <f>IFERROR(IF(Flag=TRUE,K29-TBIn!E423,TBIn!D423),0)</f>
        <v>0</v>
      </c>
      <c r="G29" s="2599">
        <f>IFERROR(IF(Flag=TRUE,L29-TBIn!E1881,TBIn!D1881),0)</f>
        <v>0</v>
      </c>
      <c r="H29" s="2601">
        <f>IFERROR(IF(Flag=TRUE,M29-TBIn!E1921,TBIn!D1921),0)</f>
        <v>0</v>
      </c>
      <c r="I29" s="557">
        <f t="shared" si="8"/>
        <v>0</v>
      </c>
      <c r="J29" s="608">
        <f t="shared" si="1"/>
        <v>0</v>
      </c>
      <c r="K29" s="721">
        <f>IFERROR(TBIn!E423,0)</f>
        <v>2</v>
      </c>
      <c r="L29" s="2574">
        <f>IFERROR(TBIn!E1881,0)</f>
        <v>81094</v>
      </c>
      <c r="M29" s="2604">
        <f>IFERROR(TBIn!E1921,0)</f>
        <v>78065</v>
      </c>
      <c r="N29" s="326">
        <f t="shared" si="9"/>
        <v>3029</v>
      </c>
      <c r="O29" s="587">
        <f t="shared" si="2"/>
        <v>1514.5</v>
      </c>
      <c r="P29" s="80">
        <v>26</v>
      </c>
      <c r="Q29" s="656">
        <v>0</v>
      </c>
      <c r="R29" s="656">
        <f t="shared" si="4"/>
        <v>0</v>
      </c>
      <c r="S29" s="656">
        <f t="shared" si="10"/>
        <v>1</v>
      </c>
      <c r="T29" s="656">
        <f t="shared" si="11"/>
        <v>0</v>
      </c>
      <c r="U29" s="656">
        <f t="shared" si="12"/>
        <v>0</v>
      </c>
    </row>
    <row r="30" spans="1:21" s="569" customFormat="1" ht="16" customHeight="1">
      <c r="A30" s="80">
        <v>27</v>
      </c>
      <c r="B30" s="275" t="s">
        <v>145</v>
      </c>
      <c r="C30" s="1600" t="str">
        <f>OR_VEH!B279</f>
        <v>SAVANA</v>
      </c>
      <c r="D30" s="1588"/>
      <c r="E30" s="779" t="s">
        <v>318</v>
      </c>
      <c r="F30" s="269">
        <f>IFERROR(IF(Flag=TRUE,K30-TBIn!E424,TBIn!D424),0)</f>
        <v>0</v>
      </c>
      <c r="G30" s="2599">
        <f>IFERROR(IF(Flag=TRUE,L30-TBIn!E1882,TBIn!D1882),0)</f>
        <v>0</v>
      </c>
      <c r="H30" s="2601">
        <f>IFERROR(IF(Flag=TRUE,M30-TBIn!E1922,TBIn!D1922),0)</f>
        <v>0</v>
      </c>
      <c r="I30" s="557">
        <f t="shared" si="8"/>
        <v>0</v>
      </c>
      <c r="J30" s="608">
        <f t="shared" si="1"/>
        <v>0</v>
      </c>
      <c r="K30" s="721">
        <f>IFERROR(TBIn!E424,0)</f>
        <v>0</v>
      </c>
      <c r="L30" s="2574">
        <f>IFERROR(TBIn!E1882,0)</f>
        <v>0</v>
      </c>
      <c r="M30" s="2604">
        <f>IFERROR(TBIn!E1922,0)</f>
        <v>0</v>
      </c>
      <c r="N30" s="326">
        <f t="shared" si="9"/>
        <v>0</v>
      </c>
      <c r="O30" s="587">
        <f t="shared" si="2"/>
        <v>0</v>
      </c>
      <c r="P30" s="80">
        <v>27</v>
      </c>
      <c r="Q30" s="656">
        <v>0</v>
      </c>
      <c r="R30" s="656">
        <f t="shared" si="4"/>
        <v>0</v>
      </c>
      <c r="S30" s="656">
        <f t="shared" si="10"/>
        <v>0</v>
      </c>
      <c r="T30" s="656">
        <f t="shared" si="11"/>
        <v>0</v>
      </c>
      <c r="U30" s="656">
        <f t="shared" si="12"/>
        <v>0</v>
      </c>
    </row>
    <row r="31" spans="1:21" s="569" customFormat="1" ht="16" customHeight="1">
      <c r="A31" s="80">
        <v>28</v>
      </c>
      <c r="B31" s="275" t="s">
        <v>147</v>
      </c>
      <c r="C31" s="1600" t="str">
        <f>OR_VEH!B280</f>
        <v>CANYON</v>
      </c>
      <c r="D31" s="1588"/>
      <c r="E31" s="779" t="s">
        <v>319</v>
      </c>
      <c r="F31" s="269">
        <f>IFERROR(IF(Flag=TRUE,K31-TBIn!E425,TBIn!D425),0)</f>
        <v>0</v>
      </c>
      <c r="G31" s="2599">
        <f>IFERROR(IF(Flag=TRUE,L31-TBIn!E1883,TBIn!D1883),0)</f>
        <v>0</v>
      </c>
      <c r="H31" s="2601">
        <f>IFERROR(IF(Flag=TRUE,M31-TBIn!E1923,TBIn!D1923),0)</f>
        <v>500</v>
      </c>
      <c r="I31" s="557">
        <f t="shared" si="8"/>
        <v>-500</v>
      </c>
      <c r="J31" s="608">
        <f t="shared" si="1"/>
        <v>0</v>
      </c>
      <c r="K31" s="721">
        <f>IFERROR(TBIn!E425,0)</f>
        <v>4</v>
      </c>
      <c r="L31" s="2574">
        <f>IFERROR(TBIn!E1883,0)</f>
        <v>252288</v>
      </c>
      <c r="M31" s="2604">
        <f>IFERROR(TBIn!E1923,0)</f>
        <v>240803</v>
      </c>
      <c r="N31" s="326">
        <f t="shared" si="9"/>
        <v>11485</v>
      </c>
      <c r="O31" s="587">
        <f t="shared" si="2"/>
        <v>2871.25</v>
      </c>
      <c r="P31" s="80">
        <v>28</v>
      </c>
      <c r="Q31" s="656">
        <v>0</v>
      </c>
      <c r="R31" s="656">
        <f t="shared" si="4"/>
        <v>0</v>
      </c>
      <c r="S31" s="656">
        <f t="shared" si="10"/>
        <v>1</v>
      </c>
      <c r="T31" s="656">
        <f t="shared" si="11"/>
        <v>0</v>
      </c>
      <c r="U31" s="656">
        <f t="shared" si="12"/>
        <v>0</v>
      </c>
    </row>
    <row r="32" spans="1:21" s="569" customFormat="1" ht="16" customHeight="1">
      <c r="A32" s="80">
        <v>29</v>
      </c>
      <c r="B32" s="275" t="s">
        <v>114</v>
      </c>
      <c r="C32" s="1600" t="str">
        <f>OR_VEH!B281</f>
        <v>NE PAS UTILISER</v>
      </c>
      <c r="D32" s="1588"/>
      <c r="E32" s="779" t="s">
        <v>320</v>
      </c>
      <c r="F32" s="269">
        <f>IFERROR(IF(Flag=TRUE,K32-TBIn!E426,TBIn!D426),0)</f>
        <v>0</v>
      </c>
      <c r="G32" s="2599">
        <f>IFERROR(IF(Flag=TRUE,L32-TBIn!E1884,TBIn!D1884),0)</f>
        <v>0</v>
      </c>
      <c r="H32" s="2601">
        <f>IFERROR(IF(Flag=TRUE,M32-TBIn!E1924,TBIn!D1924),0)</f>
        <v>0</v>
      </c>
      <c r="I32" s="557">
        <f t="shared" si="8"/>
        <v>0</v>
      </c>
      <c r="J32" s="608">
        <f t="shared" si="1"/>
        <v>0</v>
      </c>
      <c r="K32" s="721">
        <f>IFERROR(TBIn!E426,0)</f>
        <v>0</v>
      </c>
      <c r="L32" s="2574">
        <f>IFERROR(TBIn!E1884,0)</f>
        <v>0</v>
      </c>
      <c r="M32" s="2604">
        <f>IFERROR(TBIn!E1924,0)</f>
        <v>0</v>
      </c>
      <c r="N32" s="326">
        <f t="shared" si="9"/>
        <v>0</v>
      </c>
      <c r="O32" s="587">
        <f t="shared" si="2"/>
        <v>0</v>
      </c>
      <c r="P32" s="80">
        <v>29</v>
      </c>
      <c r="Q32" s="656">
        <v>0</v>
      </c>
      <c r="R32" s="656">
        <f t="shared" si="4"/>
        <v>0</v>
      </c>
      <c r="S32" s="656">
        <f t="shared" si="10"/>
        <v>0</v>
      </c>
      <c r="T32" s="656">
        <f t="shared" si="11"/>
        <v>0</v>
      </c>
      <c r="U32" s="656">
        <f t="shared" si="12"/>
        <v>0</v>
      </c>
    </row>
    <row r="33" spans="1:21" s="569" customFormat="1" ht="16" customHeight="1">
      <c r="A33" s="80">
        <v>30</v>
      </c>
      <c r="B33" s="101" t="s">
        <v>112</v>
      </c>
      <c r="C33" s="1600" t="str">
        <f>OR_VEH!B282</f>
        <v>NE PAS UTILISER</v>
      </c>
      <c r="D33" s="1588"/>
      <c r="E33" s="779" t="s">
        <v>321</v>
      </c>
      <c r="F33" s="269">
        <f>IFERROR(IF(Flag=TRUE,K33-TBIn!E427,TBIn!D427),0)</f>
        <v>0</v>
      </c>
      <c r="G33" s="2599">
        <f>IFERROR(IF(Flag=TRUE,L33-TBIn!E1885,TBIn!D1885),0)</f>
        <v>0</v>
      </c>
      <c r="H33" s="2601">
        <f>IFERROR(IF(Flag=TRUE,M33-TBIn!E1925,TBIn!D1925),0)</f>
        <v>0</v>
      </c>
      <c r="I33" s="557">
        <f t="shared" si="8"/>
        <v>0</v>
      </c>
      <c r="J33" s="608">
        <f t="shared" si="1"/>
        <v>0</v>
      </c>
      <c r="K33" s="721">
        <f>IFERROR(TBIn!E427,0)</f>
        <v>0</v>
      </c>
      <c r="L33" s="2574">
        <f>IFERROR(TBIn!E1885,0)</f>
        <v>0</v>
      </c>
      <c r="M33" s="2604">
        <f>IFERROR(TBIn!E1925,0)</f>
        <v>0</v>
      </c>
      <c r="N33" s="326">
        <f t="shared" si="9"/>
        <v>0</v>
      </c>
      <c r="O33" s="587">
        <f t="shared" si="2"/>
        <v>0</v>
      </c>
      <c r="P33" s="80">
        <v>30</v>
      </c>
      <c r="Q33" s="656">
        <v>0</v>
      </c>
      <c r="R33" s="656">
        <f t="shared" si="4"/>
        <v>0</v>
      </c>
      <c r="S33" s="656">
        <f t="shared" si="10"/>
        <v>0</v>
      </c>
      <c r="T33" s="656">
        <f t="shared" si="11"/>
        <v>0</v>
      </c>
      <c r="U33" s="656">
        <f t="shared" si="12"/>
        <v>0</v>
      </c>
    </row>
    <row r="34" spans="1:21" s="569" customFormat="1" ht="16" customHeight="1">
      <c r="A34" s="80">
        <v>31</v>
      </c>
      <c r="B34" s="101" t="s">
        <v>127</v>
      </c>
      <c r="C34" s="1600" t="str">
        <f>OR_VEH!B283</f>
        <v>NE PAS UTILISER</v>
      </c>
      <c r="D34" s="1588"/>
      <c r="E34" s="779" t="s">
        <v>322</v>
      </c>
      <c r="F34" s="269">
        <f>IFERROR(IF(Flag=TRUE,K34-TBIn!E428,TBIn!D428),0)</f>
        <v>0</v>
      </c>
      <c r="G34" s="2599">
        <f>IFERROR(IF(Flag=TRUE,L34-TBIn!E1886,TBIn!D1886),0)</f>
        <v>0</v>
      </c>
      <c r="H34" s="2601">
        <f>IFERROR(IF(Flag=TRUE,M34-TBIn!E1926,TBIn!D1926),0)</f>
        <v>0</v>
      </c>
      <c r="I34" s="557">
        <f t="shared" si="8"/>
        <v>0</v>
      </c>
      <c r="J34" s="608">
        <f t="shared" si="1"/>
        <v>0</v>
      </c>
      <c r="K34" s="721">
        <f>IFERROR(TBIn!E428,0)</f>
        <v>0</v>
      </c>
      <c r="L34" s="2574">
        <f>IFERROR(TBIn!E1886,0)</f>
        <v>0</v>
      </c>
      <c r="M34" s="2604">
        <f>IFERROR(TBIn!E1926,0)</f>
        <v>0</v>
      </c>
      <c r="N34" s="326">
        <f t="shared" si="9"/>
        <v>0</v>
      </c>
      <c r="O34" s="587">
        <f t="shared" si="2"/>
        <v>0</v>
      </c>
      <c r="P34" s="80">
        <v>31</v>
      </c>
      <c r="Q34" s="656">
        <v>0</v>
      </c>
      <c r="R34" s="656">
        <f t="shared" si="4"/>
        <v>0</v>
      </c>
      <c r="S34" s="656">
        <f t="shared" si="10"/>
        <v>0</v>
      </c>
      <c r="T34" s="656">
        <f t="shared" si="11"/>
        <v>0</v>
      </c>
      <c r="U34" s="656">
        <f t="shared" si="12"/>
        <v>0</v>
      </c>
    </row>
    <row r="35" spans="1:21" s="569" customFormat="1" ht="16" customHeight="1">
      <c r="A35" s="80">
        <v>32</v>
      </c>
      <c r="B35" s="101" t="s">
        <v>124</v>
      </c>
      <c r="C35" s="1600" t="str">
        <f>OR_VEH!B284</f>
        <v>YUKON/XL</v>
      </c>
      <c r="D35" s="1588"/>
      <c r="E35" s="779" t="s">
        <v>323</v>
      </c>
      <c r="F35" s="269">
        <f>IFERROR(IF(Flag=TRUE,K35-TBIn!E429,TBIn!D429),0)</f>
        <v>0</v>
      </c>
      <c r="G35" s="2599">
        <f>IFERROR(IF(Flag=TRUE,L35-TBIn!E1887,TBIn!D1887),0)</f>
        <v>0</v>
      </c>
      <c r="H35" s="2601">
        <f>IFERROR(IF(Flag=TRUE,M35-TBIn!E1927,TBIn!D1927),0)</f>
        <v>0</v>
      </c>
      <c r="I35" s="557">
        <f t="shared" si="8"/>
        <v>0</v>
      </c>
      <c r="J35" s="608">
        <f t="shared" si="1"/>
        <v>0</v>
      </c>
      <c r="K35" s="721">
        <f>IFERROR(TBIn!E429,0)</f>
        <v>3</v>
      </c>
      <c r="L35" s="2574">
        <f>IFERROR(TBIn!E1887,0)</f>
        <v>312976</v>
      </c>
      <c r="M35" s="2604">
        <f>IFERROR(TBIn!E1927,0)</f>
        <v>305381</v>
      </c>
      <c r="N35" s="326">
        <f t="shared" si="9"/>
        <v>7595</v>
      </c>
      <c r="O35" s="587">
        <f t="shared" si="2"/>
        <v>2531.6666666666665</v>
      </c>
      <c r="P35" s="80">
        <v>32</v>
      </c>
      <c r="Q35" s="656">
        <v>0</v>
      </c>
      <c r="R35" s="656">
        <f t="shared" si="4"/>
        <v>0</v>
      </c>
      <c r="S35" s="656">
        <f t="shared" si="10"/>
        <v>1</v>
      </c>
      <c r="T35" s="656">
        <f t="shared" si="11"/>
        <v>0</v>
      </c>
      <c r="U35" s="656">
        <f t="shared" si="12"/>
        <v>0</v>
      </c>
    </row>
    <row r="36" spans="1:21" s="569" customFormat="1" ht="16" customHeight="1">
      <c r="A36" s="80">
        <v>33</v>
      </c>
      <c r="B36" s="101"/>
      <c r="C36" s="1600" t="str">
        <f>OR_VEH!B285</f>
        <v>LD 1500 SIERRA</v>
      </c>
      <c r="D36" s="1588"/>
      <c r="E36" s="779" t="s">
        <v>324</v>
      </c>
      <c r="F36" s="269">
        <f>IFERROR(IF(Flag=TRUE,K36-TBIn!E430,TBIn!D430),0)</f>
        <v>6</v>
      </c>
      <c r="G36" s="2599">
        <f>IFERROR(IF(Flag=TRUE,L36-TBIn!E1888,TBIn!D1888),0)</f>
        <v>432171</v>
      </c>
      <c r="H36" s="2601">
        <f>IFERROR(IF(Flag=TRUE,M36-TBIn!E1928,TBIn!D1928),0)</f>
        <v>413969</v>
      </c>
      <c r="I36" s="557">
        <f t="shared" si="8"/>
        <v>18202</v>
      </c>
      <c r="J36" s="608">
        <f t="shared" si="1"/>
        <v>3033.6666666666665</v>
      </c>
      <c r="K36" s="721">
        <f>IFERROR(TBIn!E430,0)</f>
        <v>28</v>
      </c>
      <c r="L36" s="2574">
        <f>IFERROR(TBIn!E1888,0)</f>
        <v>2196451</v>
      </c>
      <c r="M36" s="2604">
        <f>IFERROR(TBIn!E1928,0)</f>
        <v>2103206</v>
      </c>
      <c r="N36" s="326">
        <f t="shared" si="9"/>
        <v>93245</v>
      </c>
      <c r="O36" s="587">
        <f t="shared" si="2"/>
        <v>3330.1785714285716</v>
      </c>
      <c r="P36" s="80">
        <v>33</v>
      </c>
      <c r="Q36" s="656">
        <v>0</v>
      </c>
      <c r="R36" s="656">
        <f t="shared" si="4"/>
        <v>1</v>
      </c>
      <c r="S36" s="656">
        <f t="shared" si="10"/>
        <v>1</v>
      </c>
      <c r="T36" s="656">
        <f t="shared" si="11"/>
        <v>0</v>
      </c>
      <c r="U36" s="656">
        <f t="shared" si="12"/>
        <v>0</v>
      </c>
    </row>
    <row r="37" spans="1:21" s="569" customFormat="1" ht="16" customHeight="1">
      <c r="A37" s="80">
        <v>34</v>
      </c>
      <c r="B37" s="101" t="s">
        <v>127</v>
      </c>
      <c r="C37" s="1600" t="str">
        <f>OR_VEH!B286</f>
        <v>LD 2500 SIERRA</v>
      </c>
      <c r="D37" s="1588"/>
      <c r="E37" s="779" t="s">
        <v>325</v>
      </c>
      <c r="F37" s="269">
        <f>IFERROR(IF(Flag=TRUE,K37-TBIn!E431,TBIn!D431),0)</f>
        <v>5</v>
      </c>
      <c r="G37" s="2599">
        <f>IFERROR(IF(Flag=TRUE,L37-TBIn!E1889,TBIn!D1889),0)</f>
        <v>474676</v>
      </c>
      <c r="H37" s="2601">
        <f>IFERROR(IF(Flag=TRUE,M37-TBIn!E1929,TBIn!D1929),0)</f>
        <v>453080</v>
      </c>
      <c r="I37" s="557">
        <f t="shared" si="8"/>
        <v>21596</v>
      </c>
      <c r="J37" s="608">
        <f t="shared" si="1"/>
        <v>4319.2</v>
      </c>
      <c r="K37" s="721">
        <f>IFERROR(TBIn!E431,0)</f>
        <v>12</v>
      </c>
      <c r="L37" s="2574">
        <f>IFERROR(TBIn!E1889,0)</f>
        <v>1224277</v>
      </c>
      <c r="M37" s="2604">
        <f>IFERROR(TBIn!E1929,0)</f>
        <v>1169058</v>
      </c>
      <c r="N37" s="326">
        <f t="shared" si="9"/>
        <v>55219</v>
      </c>
      <c r="O37" s="587">
        <f t="shared" si="2"/>
        <v>4601.583333333333</v>
      </c>
      <c r="P37" s="80">
        <v>34</v>
      </c>
      <c r="Q37" s="656">
        <v>0</v>
      </c>
      <c r="R37" s="656">
        <f t="shared" si="4"/>
        <v>1</v>
      </c>
      <c r="S37" s="656">
        <f t="shared" si="10"/>
        <v>1</v>
      </c>
      <c r="T37" s="656">
        <f t="shared" si="11"/>
        <v>0</v>
      </c>
      <c r="U37" s="656">
        <f t="shared" si="12"/>
        <v>0</v>
      </c>
    </row>
    <row r="38" spans="1:21" s="569" customFormat="1" ht="16" customHeight="1">
      <c r="A38" s="80">
        <v>35</v>
      </c>
      <c r="B38" s="101" t="s">
        <v>122</v>
      </c>
      <c r="C38" s="1600" t="str">
        <f>OR_VEH!B287</f>
        <v>LD 3500 SIERRA</v>
      </c>
      <c r="D38" s="1588"/>
      <c r="E38" s="779" t="s">
        <v>326</v>
      </c>
      <c r="F38" s="269">
        <f>IFERROR(IF(Flag=TRUE,K38-TBIn!E432,TBIn!D432),0)</f>
        <v>0</v>
      </c>
      <c r="G38" s="2599">
        <f>IFERROR(IF(Flag=TRUE,L38-TBIn!E1890,TBIn!D1890),0)</f>
        <v>0</v>
      </c>
      <c r="H38" s="2601">
        <f>IFERROR(IF(Flag=TRUE,M38-TBIn!E1930,TBIn!D1930),0)</f>
        <v>0</v>
      </c>
      <c r="I38" s="557">
        <f t="shared" si="8"/>
        <v>0</v>
      </c>
      <c r="J38" s="608">
        <f t="shared" si="1"/>
        <v>0</v>
      </c>
      <c r="K38" s="721">
        <f>IFERROR(TBIn!E432,0)</f>
        <v>0</v>
      </c>
      <c r="L38" s="2574">
        <f>IFERROR(TBIn!E1890,0)</f>
        <v>0</v>
      </c>
      <c r="M38" s="2604">
        <f>IFERROR(TBIn!E1930,0)</f>
        <v>0</v>
      </c>
      <c r="N38" s="326">
        <f t="shared" si="9"/>
        <v>0</v>
      </c>
      <c r="O38" s="587">
        <f t="shared" si="2"/>
        <v>0</v>
      </c>
      <c r="P38" s="80">
        <v>35</v>
      </c>
      <c r="Q38" s="656">
        <v>0</v>
      </c>
      <c r="R38" s="656">
        <f t="shared" si="4"/>
        <v>0</v>
      </c>
      <c r="S38" s="656">
        <f t="shared" si="10"/>
        <v>0</v>
      </c>
      <c r="T38" s="656">
        <f t="shared" si="11"/>
        <v>0</v>
      </c>
      <c r="U38" s="656">
        <f t="shared" si="12"/>
        <v>0</v>
      </c>
    </row>
    <row r="39" spans="1:21" s="569" customFormat="1" ht="16" customHeight="1">
      <c r="A39" s="80">
        <v>36</v>
      </c>
      <c r="B39" s="101" t="s">
        <v>118</v>
      </c>
      <c r="C39" s="1539" t="str">
        <f>OR_VEH!B288</f>
        <v>NE PAS UTILISER</v>
      </c>
      <c r="D39" s="1588"/>
      <c r="E39" s="779" t="s">
        <v>327</v>
      </c>
      <c r="F39" s="269">
        <f>IFERROR(IF(Flag=TRUE,K39-TBIn!E433,TBIn!D433),0)</f>
        <v>0</v>
      </c>
      <c r="G39" s="2599">
        <f>IFERROR(IF(Flag=TRUE,L39-TBIn!E1891,TBIn!D1891),0)</f>
        <v>0</v>
      </c>
      <c r="H39" s="2601">
        <f>IFERROR(IF(Flag=TRUE,M39-TBIn!E1931,TBIn!D1931),0)</f>
        <v>0</v>
      </c>
      <c r="I39" s="557">
        <f t="shared" si="8"/>
        <v>0</v>
      </c>
      <c r="J39" s="608">
        <f t="shared" si="1"/>
        <v>0</v>
      </c>
      <c r="K39" s="721">
        <f>IFERROR(TBIn!E433,0)</f>
        <v>0</v>
      </c>
      <c r="L39" s="2574">
        <f>IFERROR(TBIn!E1891,0)</f>
        <v>0</v>
      </c>
      <c r="M39" s="2604">
        <f>IFERROR(TBIn!E1931,0)</f>
        <v>0</v>
      </c>
      <c r="N39" s="326">
        <f t="shared" si="9"/>
        <v>0</v>
      </c>
      <c r="O39" s="587">
        <f t="shared" si="2"/>
        <v>0</v>
      </c>
      <c r="P39" s="80">
        <v>36</v>
      </c>
      <c r="Q39" s="656">
        <v>0</v>
      </c>
      <c r="R39" s="656">
        <f t="shared" si="4"/>
        <v>0</v>
      </c>
      <c r="S39" s="656">
        <f t="shared" si="10"/>
        <v>0</v>
      </c>
      <c r="T39" s="656">
        <f t="shared" si="11"/>
        <v>0</v>
      </c>
      <c r="U39" s="656">
        <f t="shared" si="12"/>
        <v>0</v>
      </c>
    </row>
    <row r="40" spans="1:21" s="569" customFormat="1" ht="16" customHeight="1">
      <c r="A40" s="80">
        <v>37</v>
      </c>
      <c r="B40" s="101" t="s">
        <v>157</v>
      </c>
      <c r="C40" s="1600" t="str">
        <f>OR_VEH!B289</f>
        <v>NE PAS UTILISER</v>
      </c>
      <c r="D40" s="1588"/>
      <c r="E40" s="779" t="s">
        <v>328</v>
      </c>
      <c r="F40" s="269">
        <f>IFERROR(IF(Flag=TRUE,K40-TBIn!E434,TBIn!D434),0)</f>
        <v>0</v>
      </c>
      <c r="G40" s="2599">
        <f>IFERROR(IF(Flag=TRUE,L40-TBIn!E1892,TBIn!D1892),0)</f>
        <v>0</v>
      </c>
      <c r="H40" s="2601">
        <f>IFERROR(IF(Flag=TRUE,M40-TBIn!E1932,TBIn!D1932),0)</f>
        <v>0</v>
      </c>
      <c r="I40" s="557">
        <f t="shared" si="8"/>
        <v>0</v>
      </c>
      <c r="J40" s="608">
        <f t="shared" si="1"/>
        <v>0</v>
      </c>
      <c r="K40" s="721">
        <f>IFERROR(TBIn!E434,0)</f>
        <v>0</v>
      </c>
      <c r="L40" s="2574">
        <f>IFERROR(TBIn!E1892,0)</f>
        <v>0</v>
      </c>
      <c r="M40" s="2604">
        <f>IFERROR(TBIn!E1932,0)</f>
        <v>0</v>
      </c>
      <c r="N40" s="326">
        <f t="shared" si="9"/>
        <v>0</v>
      </c>
      <c r="O40" s="587">
        <f t="shared" si="2"/>
        <v>0</v>
      </c>
      <c r="P40" s="80">
        <v>37</v>
      </c>
      <c r="Q40" s="656">
        <v>0</v>
      </c>
      <c r="R40" s="656">
        <f t="shared" si="4"/>
        <v>0</v>
      </c>
      <c r="S40" s="656">
        <f t="shared" si="10"/>
        <v>0</v>
      </c>
      <c r="T40" s="656">
        <f t="shared" si="11"/>
        <v>0</v>
      </c>
      <c r="U40" s="656">
        <f t="shared" si="12"/>
        <v>0</v>
      </c>
    </row>
    <row r="41" spans="1:21" s="569" customFormat="1" ht="16" customHeight="1">
      <c r="A41" s="80">
        <v>38</v>
      </c>
      <c r="B41" s="101" t="s">
        <v>124</v>
      </c>
      <c r="C41" s="1600" t="str">
        <f>OR_VEH!B290</f>
        <v>ACADIA</v>
      </c>
      <c r="D41" s="1588"/>
      <c r="E41" s="779" t="s">
        <v>329</v>
      </c>
      <c r="F41" s="269">
        <f>IFERROR(IF(Flag=TRUE,K41-TBIn!E435,TBIn!D435),0)</f>
        <v>0</v>
      </c>
      <c r="G41" s="2599">
        <f>IFERROR(IF(Flag=TRUE,L41-TBIn!E1893,TBIn!D1893),0)</f>
        <v>0</v>
      </c>
      <c r="H41" s="2601">
        <f>IFERROR(IF(Flag=TRUE,M41-TBIn!E1933,TBIn!D1933),0)</f>
        <v>-996</v>
      </c>
      <c r="I41" s="557">
        <f t="shared" si="8"/>
        <v>996</v>
      </c>
      <c r="J41" s="608">
        <f t="shared" si="1"/>
        <v>0</v>
      </c>
      <c r="K41" s="721">
        <f>IFERROR(TBIn!E435,0)</f>
        <v>1</v>
      </c>
      <c r="L41" s="2574">
        <f>IFERROR(TBIn!E1893,0)</f>
        <v>53900</v>
      </c>
      <c r="M41" s="2604">
        <f>IFERROR(TBIn!E1933,0)</f>
        <v>53320</v>
      </c>
      <c r="N41" s="326">
        <f t="shared" si="9"/>
        <v>580</v>
      </c>
      <c r="O41" s="587">
        <f t="shared" si="2"/>
        <v>580</v>
      </c>
      <c r="P41" s="80">
        <v>38</v>
      </c>
      <c r="Q41" s="656">
        <v>0</v>
      </c>
      <c r="R41" s="656">
        <f t="shared" si="4"/>
        <v>0</v>
      </c>
      <c r="S41" s="656">
        <f t="shared" si="10"/>
        <v>1</v>
      </c>
      <c r="T41" s="656">
        <f t="shared" si="11"/>
        <v>0</v>
      </c>
      <c r="U41" s="656">
        <f t="shared" si="12"/>
        <v>0</v>
      </c>
    </row>
    <row r="42" spans="1:21" s="569" customFormat="1" ht="16" customHeight="1">
      <c r="A42" s="80">
        <v>39</v>
      </c>
      <c r="B42" s="101"/>
      <c r="C42" s="1600" t="str">
        <f>OR_VEH!B291</f>
        <v>POUR USAGE FUTUR</v>
      </c>
      <c r="D42" s="1588"/>
      <c r="E42" s="779" t="s">
        <v>330</v>
      </c>
      <c r="F42" s="269">
        <f>IFERROR(IF(Flag=TRUE,K42-TBIn!E436,TBIn!D436),0)</f>
        <v>0</v>
      </c>
      <c r="G42" s="2599">
        <f>IFERROR(IF(Flag=TRUE,L42-TBIn!E1894,TBIn!D1894),0)</f>
        <v>0</v>
      </c>
      <c r="H42" s="2601">
        <f>IFERROR(IF(Flag=TRUE,M42-TBIn!E1934,TBIn!D1934),0)</f>
        <v>0</v>
      </c>
      <c r="I42" s="557">
        <f t="shared" si="8"/>
        <v>0</v>
      </c>
      <c r="J42" s="608">
        <f t="shared" si="1"/>
        <v>0</v>
      </c>
      <c r="K42" s="721">
        <f>IFERROR(TBIn!E436,0)</f>
        <v>0</v>
      </c>
      <c r="L42" s="2574">
        <f>IFERROR(TBIn!E1894,0)</f>
        <v>0</v>
      </c>
      <c r="M42" s="2604">
        <f>IFERROR(TBIn!E1934,0)</f>
        <v>0</v>
      </c>
      <c r="N42" s="326">
        <f t="shared" si="9"/>
        <v>0</v>
      </c>
      <c r="O42" s="587">
        <f t="shared" si="2"/>
        <v>0</v>
      </c>
      <c r="P42" s="80">
        <v>39</v>
      </c>
      <c r="Q42" s="656">
        <v>0</v>
      </c>
      <c r="R42" s="656">
        <f t="shared" si="4"/>
        <v>0</v>
      </c>
      <c r="S42" s="656">
        <f t="shared" si="10"/>
        <v>0</v>
      </c>
      <c r="T42" s="656">
        <f t="shared" si="11"/>
        <v>0</v>
      </c>
      <c r="U42" s="656">
        <f t="shared" si="12"/>
        <v>0</v>
      </c>
    </row>
    <row r="43" spans="1:21" s="569" customFormat="1" ht="16" customHeight="1">
      <c r="A43" s="80">
        <v>40</v>
      </c>
      <c r="B43" s="101"/>
      <c r="C43" s="1600" t="str">
        <f>OR_VEH!B292</f>
        <v>AUTRES CAMIONS GMC</v>
      </c>
      <c r="D43" s="1588"/>
      <c r="E43" s="779" t="s">
        <v>331</v>
      </c>
      <c r="F43" s="269">
        <f>IFERROR(IF(Flag=TRUE,K43-TBIn!E437,TBIn!D437),0)</f>
        <v>0</v>
      </c>
      <c r="G43" s="2599">
        <f>IFERROR(IF(Flag=TRUE,L43-TBIn!E1895,TBIn!D1895),0)</f>
        <v>0</v>
      </c>
      <c r="H43" s="2601">
        <f>IFERROR(IF(Flag=TRUE,M43-TBIn!E1935,TBIn!D1935),0)</f>
        <v>0</v>
      </c>
      <c r="I43" s="557">
        <f t="shared" si="8"/>
        <v>0</v>
      </c>
      <c r="J43" s="608">
        <f t="shared" si="1"/>
        <v>0</v>
      </c>
      <c r="K43" s="721">
        <f>IFERROR(TBIn!E437,0)</f>
        <v>0</v>
      </c>
      <c r="L43" s="2574">
        <f>IFERROR(TBIn!E1895,0)</f>
        <v>0</v>
      </c>
      <c r="M43" s="2604">
        <f>IFERROR(TBIn!E1935,0)</f>
        <v>0</v>
      </c>
      <c r="N43" s="326">
        <f t="shared" si="9"/>
        <v>0</v>
      </c>
      <c r="O43" s="587">
        <f t="shared" si="2"/>
        <v>0</v>
      </c>
      <c r="P43" s="80">
        <v>40</v>
      </c>
      <c r="Q43" s="656">
        <v>0</v>
      </c>
      <c r="R43" s="656">
        <f t="shared" si="4"/>
        <v>0</v>
      </c>
      <c r="S43" s="656">
        <f t="shared" si="10"/>
        <v>0</v>
      </c>
      <c r="T43" s="656">
        <f t="shared" si="11"/>
        <v>0</v>
      </c>
      <c r="U43" s="656">
        <f t="shared" si="12"/>
        <v>0</v>
      </c>
    </row>
    <row r="44" spans="1:21" s="569" customFormat="1" ht="16" customHeight="1">
      <c r="A44" s="80">
        <v>41</v>
      </c>
      <c r="B44" s="101"/>
      <c r="C44" s="274" t="s">
        <v>162</v>
      </c>
      <c r="D44" s="264"/>
      <c r="E44" s="778"/>
      <c r="F44" s="715">
        <f>SUM(F28:F43)</f>
        <v>11</v>
      </c>
      <c r="G44" s="716">
        <f>SUM(G28:G43)</f>
        <v>906847</v>
      </c>
      <c r="H44" s="716">
        <f>SUM(H28:H43)</f>
        <v>866553</v>
      </c>
      <c r="I44" s="716">
        <f>SUM(I28:I43)</f>
        <v>40294</v>
      </c>
      <c r="J44" s="132">
        <f t="shared" si="1"/>
        <v>3663.090909090909</v>
      </c>
      <c r="K44" s="2496">
        <f>SUM(K28:K43)</f>
        <v>50</v>
      </c>
      <c r="L44" s="949">
        <f>SUM(L28:L43)</f>
        <v>4120986</v>
      </c>
      <c r="M44" s="949">
        <f>SUM(M28:M43)</f>
        <v>3949833</v>
      </c>
      <c r="N44" s="716">
        <f>SUM(N28:N43)</f>
        <v>171153</v>
      </c>
      <c r="O44" s="132">
        <f t="shared" si="2"/>
        <v>3423.06</v>
      </c>
      <c r="P44" s="80">
        <v>41</v>
      </c>
      <c r="Q44" s="656"/>
      <c r="R44" s="656"/>
      <c r="S44" s="656"/>
      <c r="T44" s="656"/>
      <c r="U44" s="656"/>
    </row>
    <row r="45" spans="1:21" s="569" customFormat="1" ht="16" customHeight="1">
      <c r="A45" s="80">
        <v>42</v>
      </c>
      <c r="B45" s="215"/>
      <c r="C45" s="1602" t="str">
        <f>OR_VEH!B294</f>
        <v>MÉMO* VENTES INTERNET CAMIONS</v>
      </c>
      <c r="D45" s="1536"/>
      <c r="E45" s="779" t="s">
        <v>332</v>
      </c>
      <c r="F45" s="269">
        <f>IFERROR(IF(Flag=TRUE,K45-TBIn!E438,TBIn!D438),0)</f>
        <v>0</v>
      </c>
      <c r="G45" s="2599">
        <f>IFERROR(IF(Flag=TRUE,L45-TBIn!$E$160,TBIn!$D$160),0)</f>
        <v>0</v>
      </c>
      <c r="H45" s="2601">
        <f>IFERROR(IF(Flag=TRUE,M45-TBIn!$E$180,TBIn!$D$180),0)</f>
        <v>0</v>
      </c>
      <c r="I45" s="557">
        <f>G45-H45</f>
        <v>0</v>
      </c>
      <c r="J45" s="608">
        <f t="shared" si="1"/>
        <v>0</v>
      </c>
      <c r="K45" s="721">
        <f>IFERROR(TBIn!E438,0)</f>
        <v>0</v>
      </c>
      <c r="L45" s="2574">
        <f>IFERROR(TBIn!$E$160,0)</f>
        <v>0</v>
      </c>
      <c r="M45" s="2604">
        <f>IFERROR(TBIn!$E$180,0)</f>
        <v>0</v>
      </c>
      <c r="N45" s="326">
        <f>L45-M45</f>
        <v>0</v>
      </c>
      <c r="O45" s="587">
        <f t="shared" si="2"/>
        <v>0</v>
      </c>
      <c r="P45" s="80">
        <v>42</v>
      </c>
      <c r="Q45" s="656">
        <v>0</v>
      </c>
      <c r="R45" s="656">
        <f t="shared" si="4"/>
        <v>0</v>
      </c>
      <c r="S45" s="656">
        <f>IF(K45=0,0,IF(OR(L45&lt;0,L45/K45&gt;Q45),1,0))</f>
        <v>0</v>
      </c>
      <c r="T45" s="656">
        <f>IF(OR(F45&lt;0,AND(G45&gt;0,F45=0),AND(G45=0,F45&gt;0)),1,0)</f>
        <v>0</v>
      </c>
      <c r="U45" s="656">
        <f>IF(OR(K45&lt;0,AND(L45&gt;0,K45=0),AND(K45&gt;0,L45=0)),1,0)</f>
        <v>0</v>
      </c>
    </row>
    <row r="46" spans="1:21" s="569" customFormat="1" ht="19" customHeight="1">
      <c r="A46" s="80">
        <v>43</v>
      </c>
      <c r="B46" s="101"/>
      <c r="C46" s="1605" t="str">
        <f>OR_VEH!B295</f>
        <v>TOTAL PARCS - CAMIONS</v>
      </c>
      <c r="D46" s="1588"/>
      <c r="E46" s="2525" t="s">
        <v>139</v>
      </c>
      <c r="F46" s="269">
        <f>IFERROR(IF(Flag=TRUE,K46-TBIn!E439,TBIn!D439),0)</f>
        <v>0</v>
      </c>
      <c r="G46" s="2599">
        <f>IFERROR(IF(Flag=TRUE,L46-TBIn!E1896,TBIn!D1896),0)</f>
        <v>0</v>
      </c>
      <c r="H46" s="2599">
        <f>IFERROR(IF(Flag=TRUE,M46-TBIn!E1936,TBIn!D1936),0)</f>
        <v>0</v>
      </c>
      <c r="I46" s="552">
        <f>G46-H46</f>
        <v>0</v>
      </c>
      <c r="J46" s="608">
        <f t="shared" si="1"/>
        <v>0</v>
      </c>
      <c r="K46" s="721">
        <f>IFERROR(TBIn!E439,0)</f>
        <v>0</v>
      </c>
      <c r="L46" s="2574">
        <f>IFERROR(TBIn!E1896,0)</f>
        <v>0</v>
      </c>
      <c r="M46" s="2574">
        <f>IFERROR(TBIn!E1936,0)</f>
        <v>0</v>
      </c>
      <c r="N46" s="2679">
        <f>L46-M46</f>
        <v>0</v>
      </c>
      <c r="O46" s="587">
        <f t="shared" si="2"/>
        <v>0</v>
      </c>
      <c r="P46" s="80">
        <v>43</v>
      </c>
      <c r="Q46" s="656">
        <v>0</v>
      </c>
      <c r="R46" s="656">
        <f t="shared" si="4"/>
        <v>0</v>
      </c>
      <c r="S46" s="656">
        <f>IF(K46=0,0,IF(OR(L46&lt;0,L46/K46&gt;Q46),1,0))</f>
        <v>0</v>
      </c>
      <c r="T46" s="656">
        <f>IF(OR(F46&lt;0,AND(G46&gt;0,F46=0),AND(G46=0,F46&gt;0)),1,0)</f>
        <v>0</v>
      </c>
      <c r="U46" s="656">
        <f>IF(OR(K46&lt;0,AND(L46&gt;0,K46=0),AND(K46&gt;0,L46=0)),1,0)</f>
        <v>0</v>
      </c>
    </row>
    <row r="47" spans="1:21" s="569" customFormat="1" ht="16" customHeight="1">
      <c r="A47" s="80">
        <v>44</v>
      </c>
      <c r="B47" s="215"/>
      <c r="C47" s="1606" t="str">
        <f>OR_VEH!B296</f>
        <v xml:space="preserve">TOTAL IINTERNE - CAMIONS </v>
      </c>
      <c r="D47" s="1607"/>
      <c r="E47" s="780" t="s">
        <v>333</v>
      </c>
      <c r="F47" s="269">
        <f>IFERROR(IF(Flag=TRUE,K47-TBIn!E440,TBIn!D440),0)</f>
        <v>0</v>
      </c>
      <c r="G47" s="2599">
        <f>IFERROR(IF(Flag=TRUE,L47-TBIn!E1897,TBIn!D1897),0)</f>
        <v>0</v>
      </c>
      <c r="H47" s="2599">
        <f>IFERROR(IF(Flag=TRUE,M47-TBIn!E1937,TBIn!D1937),0)</f>
        <v>0</v>
      </c>
      <c r="I47" s="552">
        <f>G47-H47</f>
        <v>0</v>
      </c>
      <c r="J47" s="608">
        <f t="shared" si="1"/>
        <v>0</v>
      </c>
      <c r="K47" s="721">
        <f>IFERROR(TBIn!E440,0)</f>
        <v>0</v>
      </c>
      <c r="L47" s="2574">
        <f>IFERROR(TBIn!E1897,0)</f>
        <v>0</v>
      </c>
      <c r="M47" s="2574">
        <f>IFERROR(TBIn!E1937,0)</f>
        <v>0</v>
      </c>
      <c r="N47" s="555">
        <f>L47-M47</f>
        <v>0</v>
      </c>
      <c r="O47" s="587">
        <f t="shared" si="2"/>
        <v>0</v>
      </c>
      <c r="P47" s="80">
        <v>44</v>
      </c>
      <c r="Q47" s="656">
        <v>0</v>
      </c>
      <c r="R47" s="656">
        <f t="shared" si="4"/>
        <v>0</v>
      </c>
      <c r="S47" s="656">
        <f>IF(K47=0,0,IF(OR(L47&lt;0,L47/K47&gt;Q47),1,0))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715">
        <f>F44+F46+F47</f>
        <v>11</v>
      </c>
      <c r="G48" s="716">
        <f>G44+G46+G47</f>
        <v>906847</v>
      </c>
      <c r="H48" s="716">
        <f>H44+H46+H47</f>
        <v>866553</v>
      </c>
      <c r="I48" s="716">
        <f>I44+I46+I47</f>
        <v>40294</v>
      </c>
      <c r="J48" s="132">
        <f t="shared" si="1"/>
        <v>3663.090909090909</v>
      </c>
      <c r="K48" s="2496">
        <f>K44+K46+K47</f>
        <v>50</v>
      </c>
      <c r="L48" s="949">
        <f>L44+L46+L47</f>
        <v>4120986</v>
      </c>
      <c r="M48" s="949">
        <f>M44+M46+M47</f>
        <v>3949833</v>
      </c>
      <c r="N48" s="716">
        <f>N44+N46+N47</f>
        <v>171153</v>
      </c>
      <c r="O48" s="132">
        <f>IF(K48&gt;0,N48/K48,0)</f>
        <v>3423.06</v>
      </c>
      <c r="P48" s="80">
        <v>45</v>
      </c>
      <c r="Q48" s="656"/>
      <c r="R48" s="656"/>
      <c r="S48" s="656"/>
      <c r="T48" s="656"/>
      <c r="U48" s="656"/>
    </row>
    <row r="49" spans="1:21" s="30" customFormat="1" ht="16" customHeight="1">
      <c r="A49" s="80">
        <v>46</v>
      </c>
      <c r="B49" s="96"/>
      <c r="C49" s="266" t="str">
        <f>OR_VEH!B298</f>
        <v xml:space="preserve"> </v>
      </c>
      <c r="D49" s="262"/>
      <c r="E49" s="779" t="s">
        <v>166</v>
      </c>
      <c r="F49" s="1965"/>
      <c r="G49" s="2599"/>
      <c r="H49" s="2601"/>
      <c r="I49" s="557"/>
      <c r="J49" s="831"/>
      <c r="K49" s="2678"/>
      <c r="L49" s="2698"/>
      <c r="M49" s="2699"/>
      <c r="N49" s="326"/>
      <c r="O49" s="597"/>
      <c r="P49" s="80">
        <v>46</v>
      </c>
      <c r="Q49" s="712">
        <v>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11" t="str">
        <f>OR_VEH!B299</f>
        <v>ACCESSOIRES</v>
      </c>
      <c r="D50" s="1588"/>
      <c r="E50" s="779" t="s">
        <v>334</v>
      </c>
      <c r="F50" s="269">
        <f>IFERROR(IF(Flag=TRUE,K50-TBIn!E441,TBIn!D441),0)</f>
        <v>0</v>
      </c>
      <c r="G50" s="2599">
        <f>IFERROR(IF(Flag=TRUE,L50-TBIn!E1898,TBIn!D1898),0)</f>
        <v>0</v>
      </c>
      <c r="H50" s="2601">
        <f>IFERROR(IF(Flag=TRUE,M50-TBIn!E1938,TBIn!D1938),0)</f>
        <v>0</v>
      </c>
      <c r="I50" s="557">
        <f>G50-H50</f>
        <v>0</v>
      </c>
      <c r="J50" s="828">
        <f>IF(F51=0,0,I50/F$51)</f>
        <v>0</v>
      </c>
      <c r="K50" s="721">
        <f>IFERROR(TBIn!E441,0)</f>
        <v>0</v>
      </c>
      <c r="L50" s="2574">
        <f>IFERROR(TBIn!E1898,0)</f>
        <v>0</v>
      </c>
      <c r="M50" s="2604">
        <f>IFERROR(TBIn!E1938,0)</f>
        <v>0</v>
      </c>
      <c r="N50" s="326">
        <f>L50-M50</f>
        <v>0</v>
      </c>
      <c r="O50" s="830">
        <f>IF(K51=0,0,N50/K$51)</f>
        <v>0</v>
      </c>
      <c r="P50" s="80">
        <v>47</v>
      </c>
      <c r="Q50" s="712">
        <v>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IFERROR(IF(Flag=TRUE,F27+F48,TBIn!D442),0)</f>
        <v>11</v>
      </c>
      <c r="G51" s="716">
        <f>G27+G48+G50</f>
        <v>906847</v>
      </c>
      <c r="H51" s="848">
        <f>H27+H48+H50</f>
        <v>866553</v>
      </c>
      <c r="I51" s="1423">
        <f>IFERROR(IF(Flag=TRUE,I27+I48+I50,TBIn!D1939),0)</f>
        <v>40294</v>
      </c>
      <c r="J51" s="1087">
        <f>IF(F51=0,0,I51/F$51)</f>
        <v>3663.090909090909</v>
      </c>
      <c r="K51" s="761">
        <f>IFERROR(IF(Flag=TRUE,K27+K48,TBIn!E442),0)</f>
        <v>50</v>
      </c>
      <c r="L51" s="716">
        <f>L27+L48+L50</f>
        <v>4120986</v>
      </c>
      <c r="M51" s="848">
        <f>M27+M48+M50</f>
        <v>3949833</v>
      </c>
      <c r="N51" s="1423">
        <f>IFERROR(IF(Flag=TRUE,N27+N48+N50,TBIn!E1939),0)</f>
        <v>171153</v>
      </c>
      <c r="O51" s="1087">
        <f>IF(K51=0,0,N51/K$51)</f>
        <v>3423.06</v>
      </c>
      <c r="P51" s="179">
        <v>48</v>
      </c>
      <c r="Q51" s="656"/>
      <c r="R51" s="656"/>
      <c r="S51" s="656"/>
      <c r="T51" s="656"/>
      <c r="U51" s="656"/>
    </row>
    <row r="52" spans="1:21" s="569" customFormat="1" ht="16" customHeight="1">
      <c r="A52" s="76"/>
      <c r="B52" s="84" t="s">
        <v>169</v>
      </c>
      <c r="C52" s="84"/>
      <c r="D52" s="84"/>
      <c r="E52" s="84"/>
      <c r="F52" s="84"/>
      <c r="G52" s="84"/>
      <c r="H52" s="84"/>
      <c r="I52" s="76"/>
      <c r="J52" s="267" t="s">
        <v>170</v>
      </c>
      <c r="K52" s="76"/>
      <c r="L52" s="76"/>
      <c r="M52" s="76"/>
      <c r="N52" s="76"/>
      <c r="O52" s="267" t="s">
        <v>170</v>
      </c>
      <c r="P52" s="76"/>
      <c r="Q52" s="656"/>
      <c r="R52" s="656"/>
      <c r="S52" s="656"/>
      <c r="T52" s="656"/>
      <c r="U52" s="656"/>
    </row>
    <row r="53" spans="1:21" hidden="1">
      <c r="A53" s="3"/>
      <c r="B53" s="3"/>
      <c r="C53" s="3"/>
      <c r="D53" s="3"/>
      <c r="E53" s="3"/>
      <c r="F53" s="3"/>
      <c r="G53" s="3"/>
      <c r="H53" s="3"/>
      <c r="I53" s="16"/>
      <c r="J53" s="3"/>
      <c r="K53" s="3"/>
      <c r="L53" s="3"/>
      <c r="M53" s="3"/>
      <c r="N53" s="3"/>
      <c r="O53" s="3"/>
      <c r="P53" s="3"/>
    </row>
    <row r="54" spans="1:21" hidden="1">
      <c r="A54" s="3"/>
      <c r="B54" s="3"/>
      <c r="C54" s="3"/>
      <c r="D54" s="30"/>
      <c r="E54" s="3"/>
      <c r="F54" s="3"/>
      <c r="G54" s="3"/>
      <c r="H54" s="3"/>
      <c r="I54" s="3"/>
      <c r="J54" s="3"/>
      <c r="K54" s="3"/>
      <c r="L54" s="3"/>
      <c r="M54" s="3"/>
      <c r="N54" s="3"/>
      <c r="O54" s="3"/>
      <c r="P54" s="3"/>
    </row>
    <row r="55" spans="1:21" hidden="1">
      <c r="D55" s="30"/>
    </row>
    <row r="56" spans="1:21" hidden="1">
      <c r="D56" s="30" t="s">
        <v>171</v>
      </c>
      <c r="E56" s="1239" t="s">
        <v>88</v>
      </c>
      <c r="F56" s="30" t="s">
        <v>172</v>
      </c>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duyGHFKrtJ7ncMwi9UeVjj1rI/fCEQ3JGmZsAzDtolIDCGuM9dnITgXDZZ64uJwzNpFJ+tC7uhWvq42bpRksBw==" saltValue="1b4QeJz6Vkpv9cTORcy3og==" spinCount="100000" sheet="1" objects="1" scenarios="1"/>
  <customSheetViews>
    <customSheetView guid="{42A0DCD3-5C27-4BB4-A491-D2E7F84D8A17}" scale="80" showGridLines="0" fitToPage="1" printArea="1" hiddenRows="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topLeftCell="A37">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showGridLines="0" showRowCol="0" fitToPage="1" hiddenRows="1" hiddenColumns="1" showRuler="0">
      <pane xSplit="5" ySplit="3" topLeftCell="F5"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8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800-000000000000}"/>
    <hyperlink ref="C24" r:id="rId4" tooltip="Lien au Manuel des méthodes comptables GM" display="http://gm-ca-fr.acctmanual.com/New_Vehicle/419_Voitures_neuves_Internet_(compte_m_mo).htm" xr:uid="{00000000-0004-0000-0800-000001000000}"/>
    <hyperlink ref="C25" r:id="rId5" tooltip="Lien au Manuel des méthodes comptables GM" display="http://gm-ca-fr.acctmanual.com/New_Vehicle/420_Voitures_neuves_-_Parcs.htm" xr:uid="{00000000-0004-0000-0800-000002000000}"/>
    <hyperlink ref="C26" r:id="rId6" tooltip="Lien au Manuel des méthodes comptables GM" display="http://gm-ca-fr.acctmanual.com/New_Vehicle/421_Voitures_neuves_-_Interne.htm" xr:uid="{00000000-0004-0000-0800-000003000000}"/>
    <hyperlink ref="C28" r:id="rId7" tooltip="Lien au Manuel des méthodes comptables GM" display="http://gm-ca-fr.acctmanual.com/New_Vehicle/423-438_Camions_neufs_-_au_d_tail.htm" xr:uid="{00000000-0004-0000-0800-000004000000}"/>
    <hyperlink ref="C45" r:id="rId8" tooltip="Lien au Manuel des méthodes comptables GM" display="http://gm-ca-fr.acctmanual.com/New_Vehicle/439_Camions_neufs_Internet_(compte_m_mo).htm" xr:uid="{00000000-0004-0000-0800-000005000000}"/>
    <hyperlink ref="C46" r:id="rId9" tooltip="Lien au Manuel des méthodes comptables GM" display="http://gm-ca-fr.acctmanual.com/New_Vehicle/440_Camions_neufs_-_Parcs.htm" xr:uid="{00000000-0004-0000-0800-000006000000}"/>
    <hyperlink ref="C47" r:id="rId10" tooltip="Lien au Manuel des méthodes comptables GM" display="http://gm-ca-fr.acctmanual.com/New_Vehicle/441_Camions_neufs_-_Interne.htm" xr:uid="{00000000-0004-0000-0800-000007000000}"/>
    <hyperlink ref="C50" r:id="rId11" tooltip="Lien au Manuel des méthodes comptables GM" display="http://gm-ca-fr.acctmanual.com/New_Vehicle/457_Accessoires.htm" xr:uid="{00000000-0004-0000-08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5370" r:id="rId15" name="CommandButton5f">
          <controlPr defaultSize="0" print="0" autoFill="0" autoLine="0" r:id="rId16">
            <anchor moveWithCells="1">
              <from>
                <xdr:col>11</xdr:col>
                <xdr:colOff>450850</xdr:colOff>
                <xdr:row>0</xdr:row>
                <xdr:rowOff>0</xdr:rowOff>
              </from>
              <to>
                <xdr:col>12</xdr:col>
                <xdr:colOff>882650</xdr:colOff>
                <xdr:row>1</xdr:row>
                <xdr:rowOff>19050</xdr:rowOff>
              </to>
            </anchor>
          </controlPr>
        </control>
      </mc:Choice>
      <mc:Fallback>
        <control shapeId="15370" r:id="rId15" name="CommandButton5f"/>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7">
    <pageSetUpPr autoPageBreaks="0" fitToPage="1"/>
  </sheetPr>
  <dimension ref="A1:U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8164062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ht="21" customHeight="1">
      <c r="A1" s="76"/>
      <c r="B1" s="2762" t="str">
        <f>OR_VEH!B352</f>
        <v>GMC - VE</v>
      </c>
      <c r="C1" s="2762"/>
      <c r="D1" s="2762"/>
      <c r="E1" s="257"/>
      <c r="F1" s="491" t="s">
        <v>92</v>
      </c>
      <c r="G1" s="60"/>
      <c r="H1" s="60"/>
      <c r="I1" s="60"/>
      <c r="J1" s="60"/>
      <c r="K1" s="60"/>
      <c r="L1" s="61"/>
      <c r="M1" s="61"/>
      <c r="N1" s="61"/>
      <c r="O1" s="841"/>
      <c r="P1" s="62" t="str">
        <f>TBIn!$E$2458&amp;" - "&amp;TBIn!$AH$10&amp;" - PAGE 5 GMC VE"</f>
        <v>319719 - 202504 - PAGE 5 GMC VE</v>
      </c>
      <c r="Q1" s="842" t="s">
        <v>93</v>
      </c>
      <c r="R1" s="842" t="s">
        <v>94</v>
      </c>
      <c r="S1" s="842" t="s">
        <v>95</v>
      </c>
      <c r="T1" s="842" t="s">
        <v>94</v>
      </c>
      <c r="U1" s="842"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ht="16" customHeight="1">
      <c r="A4" s="74">
        <v>1</v>
      </c>
      <c r="B4" s="215"/>
      <c r="C4" s="1535" t="str">
        <f>OR_VEH!B353</f>
        <v>NE PAS UTILISER</v>
      </c>
      <c r="D4" s="1536"/>
      <c r="E4" s="1037" t="s">
        <v>335</v>
      </c>
      <c r="F4" s="268">
        <f>IFERROR(IF(Flag=TRUE,K4-TBIn!E486,TBIn!D486),0)</f>
        <v>0</v>
      </c>
      <c r="G4" s="2598">
        <f>IFERROR(IF(Flag=TRUE,L4-TBIn!E2021,TBIn!D2021),0)</f>
        <v>0</v>
      </c>
      <c r="H4" s="2598">
        <f>IFERROR(IF(Flag=TRUE,M4-TBIn!E2061,TBIn!D2061),0)</f>
        <v>0</v>
      </c>
      <c r="I4" s="551">
        <f t="shared" ref="I4:I22" si="0">G4-H4</f>
        <v>0</v>
      </c>
      <c r="J4" s="584">
        <f t="shared" ref="J4:J48" si="1">IF(F4&gt;0,I4/F4,0)</f>
        <v>0</v>
      </c>
      <c r="K4" s="720">
        <f>IFERROR(TBIn!E486,0)</f>
        <v>0</v>
      </c>
      <c r="L4" s="2602">
        <f>IFERROR(TBIn!E2021,0)</f>
        <v>0</v>
      </c>
      <c r="M4" s="2602">
        <f>IFERROR(TBIn!E2061,0)</f>
        <v>0</v>
      </c>
      <c r="N4" s="554">
        <f>L4-M4</f>
        <v>0</v>
      </c>
      <c r="O4" s="585">
        <f t="shared" ref="O4:O47" si="2">IF(K4&gt;0,N4/K4,0)</f>
        <v>0</v>
      </c>
      <c r="P4" s="74">
        <v>1</v>
      </c>
      <c r="Q4" s="843">
        <v>0</v>
      </c>
      <c r="R4" s="843">
        <f t="shared" ref="R4:R22" si="3">IF(F4=0,0,IF(G4/F4&gt;Q4,1,0))</f>
        <v>0</v>
      </c>
      <c r="S4" s="843">
        <f t="shared" ref="S4:S22" si="4">IF(K4=0,0,IF(OR(L4&lt;0,L4/K4&gt;Q4),1,0))</f>
        <v>0</v>
      </c>
      <c r="T4" s="843">
        <f t="shared" ref="T4:T22" si="5">IF(OR(F4&lt;0,AND(G4&gt;0,F4=0),AND(G4=0,F4&gt;0)),1,0)</f>
        <v>0</v>
      </c>
      <c r="U4" s="843">
        <f t="shared" ref="U4:U22" si="6">IF(OR(K4&lt;0,AND(L4&gt;0,K4=0),AND(K4&gt;0,L4=0)),1,0)</f>
        <v>0</v>
      </c>
    </row>
    <row r="5" spans="1:21" ht="16" customHeight="1">
      <c r="A5" s="80">
        <v>2</v>
      </c>
      <c r="B5" s="275" t="s">
        <v>110</v>
      </c>
      <c r="C5" s="1539" t="str">
        <f>OR_VEH!B354</f>
        <v>NE PAS UTILISER</v>
      </c>
      <c r="D5" s="1588"/>
      <c r="E5" s="776" t="s">
        <v>336</v>
      </c>
      <c r="F5" s="269">
        <f>IFERROR(IF(Flag=TRUE,K5-TBIn!E487,TBIn!D487),0)</f>
        <v>0</v>
      </c>
      <c r="G5" s="2599">
        <f>IFERROR(IF(Flag=TRUE,L5-TBIn!E2022,TBIn!D2022),0)</f>
        <v>0</v>
      </c>
      <c r="H5" s="2599">
        <f>IFERROR(IF(Flag=TRUE,M5-TBIn!E2062,TBIn!D2062),0)</f>
        <v>0</v>
      </c>
      <c r="I5" s="552">
        <f t="shared" si="0"/>
        <v>0</v>
      </c>
      <c r="J5" s="608">
        <f t="shared" si="1"/>
        <v>0</v>
      </c>
      <c r="K5" s="721">
        <f>IFERROR(TBIn!E487,0)</f>
        <v>0</v>
      </c>
      <c r="L5" s="2574">
        <f>IFERROR(TBIn!E2022,0)</f>
        <v>0</v>
      </c>
      <c r="M5" s="2574">
        <f>IFERROR(TBIn!E2062,0)</f>
        <v>0</v>
      </c>
      <c r="N5" s="555">
        <f t="shared" ref="N5:N22" si="7">L5-M5</f>
        <v>0</v>
      </c>
      <c r="O5" s="587">
        <f t="shared" si="2"/>
        <v>0</v>
      </c>
      <c r="P5" s="80">
        <v>2</v>
      </c>
      <c r="Q5" s="843">
        <v>0</v>
      </c>
      <c r="R5" s="843">
        <f t="shared" si="3"/>
        <v>0</v>
      </c>
      <c r="S5" s="843">
        <f t="shared" si="4"/>
        <v>0</v>
      </c>
      <c r="T5" s="843">
        <f t="shared" si="5"/>
        <v>0</v>
      </c>
      <c r="U5" s="843">
        <f t="shared" si="6"/>
        <v>0</v>
      </c>
    </row>
    <row r="6" spans="1:21" ht="15.75" customHeight="1">
      <c r="A6" s="80">
        <v>3</v>
      </c>
      <c r="B6" s="275" t="s">
        <v>112</v>
      </c>
      <c r="C6" s="1539" t="str">
        <f>OR_VEH!B355</f>
        <v>NE PAS UTILISER</v>
      </c>
      <c r="D6" s="1588"/>
      <c r="E6" s="776" t="s">
        <v>337</v>
      </c>
      <c r="F6" s="269">
        <f>IFERROR(IF(Flag=TRUE,K6-TBIn!E488,TBIn!D488),0)</f>
        <v>0</v>
      </c>
      <c r="G6" s="2599">
        <f>IFERROR(IF(Flag=TRUE,L6-TBIn!E2023,TBIn!D2023),0)</f>
        <v>0</v>
      </c>
      <c r="H6" s="2599">
        <f>IFERROR(IF(Flag=TRUE,M6-TBIn!E2063,TBIn!D2063),0)</f>
        <v>0</v>
      </c>
      <c r="I6" s="552">
        <f t="shared" si="0"/>
        <v>0</v>
      </c>
      <c r="J6" s="608">
        <f t="shared" si="1"/>
        <v>0</v>
      </c>
      <c r="K6" s="721">
        <f>IFERROR(TBIn!E488,0)</f>
        <v>0</v>
      </c>
      <c r="L6" s="2574">
        <f>IFERROR(TBIn!E2023,0)</f>
        <v>0</v>
      </c>
      <c r="M6" s="2574">
        <f>IFERROR(TBIn!E2063,0)</f>
        <v>0</v>
      </c>
      <c r="N6" s="555">
        <f t="shared" si="7"/>
        <v>0</v>
      </c>
      <c r="O6" s="587">
        <f t="shared" si="2"/>
        <v>0</v>
      </c>
      <c r="P6" s="80">
        <v>3</v>
      </c>
      <c r="Q6" s="843">
        <v>0</v>
      </c>
      <c r="R6" s="843">
        <f t="shared" si="3"/>
        <v>0</v>
      </c>
      <c r="S6" s="843">
        <f t="shared" si="4"/>
        <v>0</v>
      </c>
      <c r="T6" s="843">
        <f t="shared" si="5"/>
        <v>0</v>
      </c>
      <c r="U6" s="843">
        <f t="shared" si="6"/>
        <v>0</v>
      </c>
    </row>
    <row r="7" spans="1:21" ht="15.75" customHeight="1">
      <c r="A7" s="80">
        <v>4</v>
      </c>
      <c r="B7" s="275" t="s">
        <v>114</v>
      </c>
      <c r="C7" s="1539" t="str">
        <f>OR_VEH!B356</f>
        <v>NE PAS UTILISER</v>
      </c>
      <c r="D7" s="1588"/>
      <c r="E7" s="776" t="s">
        <v>338</v>
      </c>
      <c r="F7" s="269">
        <f>IFERROR(IF(Flag=TRUE,K7-TBIn!E489,TBIn!D489),0)</f>
        <v>0</v>
      </c>
      <c r="G7" s="2599">
        <f>IFERROR(IF(Flag=TRUE,L7-TBIn!E2024,TBIn!D2024),0)</f>
        <v>0</v>
      </c>
      <c r="H7" s="2599">
        <f>IFERROR(IF(Flag=TRUE,M7-TBIn!E2064,TBIn!D2064),0)</f>
        <v>0</v>
      </c>
      <c r="I7" s="552">
        <f t="shared" si="0"/>
        <v>0</v>
      </c>
      <c r="J7" s="608">
        <f t="shared" si="1"/>
        <v>0</v>
      </c>
      <c r="K7" s="721">
        <f>IFERROR(TBIn!E489,0)</f>
        <v>0</v>
      </c>
      <c r="L7" s="2574">
        <f>IFERROR(TBIn!E2024,0)</f>
        <v>0</v>
      </c>
      <c r="M7" s="2574">
        <f>IFERROR(TBIn!E2064,0)</f>
        <v>0</v>
      </c>
      <c r="N7" s="555">
        <f t="shared" si="7"/>
        <v>0</v>
      </c>
      <c r="O7" s="587">
        <f t="shared" si="2"/>
        <v>0</v>
      </c>
      <c r="P7" s="80">
        <v>4</v>
      </c>
      <c r="Q7" s="843">
        <v>0</v>
      </c>
      <c r="R7" s="843">
        <f t="shared" si="3"/>
        <v>0</v>
      </c>
      <c r="S7" s="843">
        <f t="shared" si="4"/>
        <v>0</v>
      </c>
      <c r="T7" s="843">
        <f t="shared" si="5"/>
        <v>0</v>
      </c>
      <c r="U7" s="843">
        <f t="shared" si="6"/>
        <v>0</v>
      </c>
    </row>
    <row r="8" spans="1:21" ht="15.75" customHeight="1">
      <c r="A8" s="80">
        <v>5</v>
      </c>
      <c r="B8" s="275" t="s">
        <v>116</v>
      </c>
      <c r="C8" s="1539" t="str">
        <f>OR_VEH!B357</f>
        <v>NE PAS UTILISER</v>
      </c>
      <c r="D8" s="1588"/>
      <c r="E8" s="776" t="s">
        <v>339</v>
      </c>
      <c r="F8" s="269">
        <f>IFERROR(IF(Flag=TRUE,K8-TBIn!E490,TBIn!D490),0)</f>
        <v>0</v>
      </c>
      <c r="G8" s="2599">
        <f>IFERROR(IF(Flag=TRUE,L8-TBIn!E2025,TBIn!D2025),0)</f>
        <v>0</v>
      </c>
      <c r="H8" s="2599">
        <f>IFERROR(IF(Flag=TRUE,M8-TBIn!E2065,TBIn!D2065),0)</f>
        <v>0</v>
      </c>
      <c r="I8" s="552">
        <f t="shared" si="0"/>
        <v>0</v>
      </c>
      <c r="J8" s="608">
        <f t="shared" si="1"/>
        <v>0</v>
      </c>
      <c r="K8" s="721">
        <f>IFERROR(TBIn!E490,0)</f>
        <v>0</v>
      </c>
      <c r="L8" s="2574">
        <f>IFERROR(TBIn!E2025,0)</f>
        <v>0</v>
      </c>
      <c r="M8" s="2574">
        <f>IFERROR(TBIn!E2065,0)</f>
        <v>0</v>
      </c>
      <c r="N8" s="555">
        <f t="shared" si="7"/>
        <v>0</v>
      </c>
      <c r="O8" s="587">
        <f t="shared" si="2"/>
        <v>0</v>
      </c>
      <c r="P8" s="80">
        <v>5</v>
      </c>
      <c r="Q8" s="843">
        <v>0</v>
      </c>
      <c r="R8" s="843">
        <f t="shared" si="3"/>
        <v>0</v>
      </c>
      <c r="S8" s="843">
        <f t="shared" si="4"/>
        <v>0</v>
      </c>
      <c r="T8" s="843">
        <f t="shared" si="5"/>
        <v>0</v>
      </c>
      <c r="U8" s="843">
        <f t="shared" si="6"/>
        <v>0</v>
      </c>
    </row>
    <row r="9" spans="1:21" ht="15.75" customHeight="1">
      <c r="A9" s="80">
        <v>6</v>
      </c>
      <c r="B9" s="275" t="s">
        <v>118</v>
      </c>
      <c r="C9" s="1539" t="str">
        <f>OR_VEH!B358</f>
        <v>NE PAS UTILISER</v>
      </c>
      <c r="D9" s="1588"/>
      <c r="E9" s="776" t="s">
        <v>340</v>
      </c>
      <c r="F9" s="269">
        <f>IFERROR(IF(Flag=TRUE,K9-TBIn!E491,TBIn!D491),0)</f>
        <v>0</v>
      </c>
      <c r="G9" s="2599">
        <f>IFERROR(IF(Flag=TRUE,L9-TBIn!E2026,TBIn!D2026),0)</f>
        <v>0</v>
      </c>
      <c r="H9" s="2599">
        <f>IFERROR(IF(Flag=TRUE,M9-TBIn!E2066,TBIn!D2066),0)</f>
        <v>0</v>
      </c>
      <c r="I9" s="552">
        <f t="shared" si="0"/>
        <v>0</v>
      </c>
      <c r="J9" s="608">
        <f t="shared" si="1"/>
        <v>0</v>
      </c>
      <c r="K9" s="721">
        <f>IFERROR(TBIn!E491,0)</f>
        <v>0</v>
      </c>
      <c r="L9" s="2574">
        <f>IFERROR(TBIn!E2026,0)</f>
        <v>0</v>
      </c>
      <c r="M9" s="2574">
        <f>IFERROR(TBIn!E2066,0)</f>
        <v>0</v>
      </c>
      <c r="N9" s="555">
        <f t="shared" si="7"/>
        <v>0</v>
      </c>
      <c r="O9" s="587">
        <f t="shared" si="2"/>
        <v>0</v>
      </c>
      <c r="P9" s="80">
        <v>6</v>
      </c>
      <c r="Q9" s="843">
        <v>0</v>
      </c>
      <c r="R9" s="843">
        <f t="shared" si="3"/>
        <v>0</v>
      </c>
      <c r="S9" s="843">
        <f t="shared" si="4"/>
        <v>0</v>
      </c>
      <c r="T9" s="843">
        <f t="shared" si="5"/>
        <v>0</v>
      </c>
      <c r="U9" s="843">
        <f t="shared" si="6"/>
        <v>0</v>
      </c>
    </row>
    <row r="10" spans="1:21" ht="15.75" customHeight="1">
      <c r="A10" s="80">
        <v>7</v>
      </c>
      <c r="B10" s="101" t="s">
        <v>120</v>
      </c>
      <c r="C10" s="1539" t="str">
        <f>OR_VEH!B359</f>
        <v>NE PAS UTILISER</v>
      </c>
      <c r="D10" s="1588"/>
      <c r="E10" s="776" t="s">
        <v>341</v>
      </c>
      <c r="F10" s="269">
        <f>IFERROR(IF(Flag=TRUE,K10-TBIn!E492,TBIn!D492),0)</f>
        <v>0</v>
      </c>
      <c r="G10" s="2599">
        <f>IFERROR(IF(Flag=TRUE,L10-TBIn!E2027,TBIn!D2027),0)</f>
        <v>0</v>
      </c>
      <c r="H10" s="2599">
        <f>IFERROR(IF(Flag=TRUE,M10-TBIn!E2067,TBIn!D2067),0)</f>
        <v>0</v>
      </c>
      <c r="I10" s="552">
        <f t="shared" si="0"/>
        <v>0</v>
      </c>
      <c r="J10" s="608">
        <f t="shared" si="1"/>
        <v>0</v>
      </c>
      <c r="K10" s="721">
        <f>IFERROR(TBIn!E492,0)</f>
        <v>0</v>
      </c>
      <c r="L10" s="2574">
        <f>IFERROR(TBIn!E2027,0)</f>
        <v>0</v>
      </c>
      <c r="M10" s="2574">
        <f>IFERROR(TBIn!E2067,0)</f>
        <v>0</v>
      </c>
      <c r="N10" s="555">
        <f t="shared" si="7"/>
        <v>0</v>
      </c>
      <c r="O10" s="587">
        <f t="shared" si="2"/>
        <v>0</v>
      </c>
      <c r="P10" s="80">
        <v>7</v>
      </c>
      <c r="Q10" s="843">
        <v>0</v>
      </c>
      <c r="R10" s="843">
        <f t="shared" si="3"/>
        <v>0</v>
      </c>
      <c r="S10" s="843">
        <f t="shared" si="4"/>
        <v>0</v>
      </c>
      <c r="T10" s="843">
        <f t="shared" si="5"/>
        <v>0</v>
      </c>
      <c r="U10" s="843">
        <f t="shared" si="6"/>
        <v>0</v>
      </c>
    </row>
    <row r="11" spans="1:21" ht="15.75" customHeight="1">
      <c r="A11" s="80">
        <v>8</v>
      </c>
      <c r="B11" s="101" t="s">
        <v>122</v>
      </c>
      <c r="C11" s="1539" t="str">
        <f>OR_VEH!B360</f>
        <v>NE PAS UTILISER</v>
      </c>
      <c r="D11" s="1588"/>
      <c r="E11" s="776" t="s">
        <v>342</v>
      </c>
      <c r="F11" s="269">
        <f>IFERROR(IF(Flag=TRUE,K11-TBIn!E493,TBIn!D493),0)</f>
        <v>0</v>
      </c>
      <c r="G11" s="2599">
        <f>IFERROR(IF(Flag=TRUE,L11-TBIn!E2028,TBIn!D2028),0)</f>
        <v>0</v>
      </c>
      <c r="H11" s="2599">
        <f>IFERROR(IF(Flag=TRUE,M11-TBIn!E2068,TBIn!D2068),0)</f>
        <v>0</v>
      </c>
      <c r="I11" s="552">
        <f t="shared" si="0"/>
        <v>0</v>
      </c>
      <c r="J11" s="608">
        <f t="shared" si="1"/>
        <v>0</v>
      </c>
      <c r="K11" s="721">
        <f>IFERROR(TBIn!E493,0)</f>
        <v>0</v>
      </c>
      <c r="L11" s="2574">
        <f>IFERROR(TBIn!E2028,0)</f>
        <v>0</v>
      </c>
      <c r="M11" s="2574">
        <f>IFERROR(TBIn!E2068,0)</f>
        <v>0</v>
      </c>
      <c r="N11" s="555">
        <f t="shared" si="7"/>
        <v>0</v>
      </c>
      <c r="O11" s="587">
        <f t="shared" si="2"/>
        <v>0</v>
      </c>
      <c r="P11" s="80">
        <v>8</v>
      </c>
      <c r="Q11" s="843">
        <v>0</v>
      </c>
      <c r="R11" s="843">
        <f t="shared" si="3"/>
        <v>0</v>
      </c>
      <c r="S11" s="843">
        <f t="shared" si="4"/>
        <v>0</v>
      </c>
      <c r="T11" s="843">
        <f t="shared" si="5"/>
        <v>0</v>
      </c>
      <c r="U11" s="843">
        <f t="shared" si="6"/>
        <v>0</v>
      </c>
    </row>
    <row r="12" spans="1:21" ht="15.75" customHeight="1">
      <c r="A12" s="80">
        <v>9</v>
      </c>
      <c r="B12" s="101" t="s">
        <v>124</v>
      </c>
      <c r="C12" s="1539" t="str">
        <f>OR_VEH!B361</f>
        <v>NE PAS UTILISER</v>
      </c>
      <c r="D12" s="1588"/>
      <c r="E12" s="776" t="s">
        <v>343</v>
      </c>
      <c r="F12" s="269">
        <f>IFERROR(IF(Flag=TRUE,K12-TBIn!E494,TBIn!D494),0)</f>
        <v>0</v>
      </c>
      <c r="G12" s="2599">
        <f>IFERROR(IF(Flag=TRUE,L12-TBIn!E2029,TBIn!D2029),0)</f>
        <v>0</v>
      </c>
      <c r="H12" s="2599">
        <f>IFERROR(IF(Flag=TRUE,M12-TBIn!E2069,TBIn!D2069),0)</f>
        <v>0</v>
      </c>
      <c r="I12" s="552">
        <f t="shared" si="0"/>
        <v>0</v>
      </c>
      <c r="J12" s="608">
        <f t="shared" si="1"/>
        <v>0</v>
      </c>
      <c r="K12" s="721">
        <f>IFERROR(TBIn!E494,0)</f>
        <v>0</v>
      </c>
      <c r="L12" s="2574">
        <f>IFERROR(TBIn!E2029,0)</f>
        <v>0</v>
      </c>
      <c r="M12" s="2574">
        <f>IFERROR(TBIn!E2069,0)</f>
        <v>0</v>
      </c>
      <c r="N12" s="555">
        <f t="shared" si="7"/>
        <v>0</v>
      </c>
      <c r="O12" s="587">
        <f t="shared" si="2"/>
        <v>0</v>
      </c>
      <c r="P12" s="80">
        <v>9</v>
      </c>
      <c r="Q12" s="843">
        <v>0</v>
      </c>
      <c r="R12" s="843">
        <f t="shared" si="3"/>
        <v>0</v>
      </c>
      <c r="S12" s="843">
        <f t="shared" si="4"/>
        <v>0</v>
      </c>
      <c r="T12" s="843">
        <f t="shared" si="5"/>
        <v>0</v>
      </c>
      <c r="U12" s="843">
        <f t="shared" si="6"/>
        <v>0</v>
      </c>
    </row>
    <row r="13" spans="1:21" ht="15.75" customHeight="1">
      <c r="A13" s="80">
        <v>10</v>
      </c>
      <c r="B13" s="101"/>
      <c r="C13" s="1539" t="str">
        <f>OR_VEH!B362</f>
        <v>NE PAS UTILISER</v>
      </c>
      <c r="D13" s="1588"/>
      <c r="E13" s="776" t="s">
        <v>344</v>
      </c>
      <c r="F13" s="269">
        <f>IFERROR(IF(Flag=TRUE,K13-TBIn!E495,TBIn!D495),0)</f>
        <v>0</v>
      </c>
      <c r="G13" s="2599">
        <f>IFERROR(IF(Flag=TRUE,L13-TBIn!E2030,TBIn!D2030),0)</f>
        <v>0</v>
      </c>
      <c r="H13" s="2599">
        <f>IFERROR(IF(Flag=TRUE,M13-TBIn!E2070,TBIn!D2070),0)</f>
        <v>0</v>
      </c>
      <c r="I13" s="552">
        <f t="shared" si="0"/>
        <v>0</v>
      </c>
      <c r="J13" s="608">
        <f t="shared" si="1"/>
        <v>0</v>
      </c>
      <c r="K13" s="721">
        <f>IFERROR(TBIn!E495,0)</f>
        <v>0</v>
      </c>
      <c r="L13" s="2574">
        <f>IFERROR(TBIn!E2030,0)</f>
        <v>0</v>
      </c>
      <c r="M13" s="2574">
        <f>IFERROR(TBIn!E2070,0)</f>
        <v>0</v>
      </c>
      <c r="N13" s="555">
        <f t="shared" si="7"/>
        <v>0</v>
      </c>
      <c r="O13" s="587">
        <f t="shared" si="2"/>
        <v>0</v>
      </c>
      <c r="P13" s="80">
        <v>10</v>
      </c>
      <c r="Q13" s="843">
        <v>0</v>
      </c>
      <c r="R13" s="843">
        <f t="shared" si="3"/>
        <v>0</v>
      </c>
      <c r="S13" s="843">
        <f t="shared" si="4"/>
        <v>0</v>
      </c>
      <c r="T13" s="843">
        <f t="shared" si="5"/>
        <v>0</v>
      </c>
      <c r="U13" s="843">
        <f t="shared" si="6"/>
        <v>0</v>
      </c>
    </row>
    <row r="14" spans="1:21" ht="15.75" customHeight="1">
      <c r="A14" s="80">
        <v>11</v>
      </c>
      <c r="B14" s="101" t="s">
        <v>127</v>
      </c>
      <c r="C14" s="1539" t="str">
        <f>OR_VEH!B363</f>
        <v>NE PAS UTILISER</v>
      </c>
      <c r="D14" s="1588"/>
      <c r="E14" s="776" t="s">
        <v>345</v>
      </c>
      <c r="F14" s="269">
        <f>IFERROR(IF(Flag=TRUE,K14-TBIn!E496,TBIn!D496),0)</f>
        <v>0</v>
      </c>
      <c r="G14" s="2599">
        <f>IFERROR(IF(Flag=TRUE,L14-TBIn!E2031,TBIn!D2031),0)</f>
        <v>0</v>
      </c>
      <c r="H14" s="2599">
        <f>IFERROR(IF(Flag=TRUE,M14-TBIn!E2071,TBIn!D2071),0)</f>
        <v>0</v>
      </c>
      <c r="I14" s="552">
        <f t="shared" si="0"/>
        <v>0</v>
      </c>
      <c r="J14" s="608">
        <f t="shared" si="1"/>
        <v>0</v>
      </c>
      <c r="K14" s="721">
        <f>IFERROR(TBIn!E496,0)</f>
        <v>0</v>
      </c>
      <c r="L14" s="2574">
        <f>IFERROR(TBIn!E2031,0)</f>
        <v>0</v>
      </c>
      <c r="M14" s="2574">
        <f>IFERROR(TBIn!E2071,0)</f>
        <v>0</v>
      </c>
      <c r="N14" s="555">
        <f t="shared" si="7"/>
        <v>0</v>
      </c>
      <c r="O14" s="587">
        <f t="shared" si="2"/>
        <v>0</v>
      </c>
      <c r="P14" s="80">
        <v>11</v>
      </c>
      <c r="Q14" s="843">
        <v>0</v>
      </c>
      <c r="R14" s="843">
        <f t="shared" si="3"/>
        <v>0</v>
      </c>
      <c r="S14" s="843">
        <f t="shared" si="4"/>
        <v>0</v>
      </c>
      <c r="T14" s="843">
        <f t="shared" si="5"/>
        <v>0</v>
      </c>
      <c r="U14" s="843">
        <f t="shared" si="6"/>
        <v>0</v>
      </c>
    </row>
    <row r="15" spans="1:21" ht="15.75" customHeight="1">
      <c r="A15" s="80">
        <v>12</v>
      </c>
      <c r="B15" s="101" t="s">
        <v>122</v>
      </c>
      <c r="C15" s="1539" t="str">
        <f>OR_VEH!B364</f>
        <v>NE PAS UTILISER</v>
      </c>
      <c r="D15" s="1588"/>
      <c r="E15" s="776" t="s">
        <v>346</v>
      </c>
      <c r="F15" s="269">
        <f>IFERROR(IF(Flag=TRUE,K15-TBIn!E497,TBIn!D497),0)</f>
        <v>0</v>
      </c>
      <c r="G15" s="2599">
        <f>IFERROR(IF(Flag=TRUE,L15-TBIn!E2032,TBIn!D2032),0)</f>
        <v>0</v>
      </c>
      <c r="H15" s="2599">
        <f>IFERROR(IF(Flag=TRUE,M15-TBIn!E2072,TBIn!D2072),0)</f>
        <v>0</v>
      </c>
      <c r="I15" s="552">
        <f t="shared" si="0"/>
        <v>0</v>
      </c>
      <c r="J15" s="608">
        <f t="shared" si="1"/>
        <v>0</v>
      </c>
      <c r="K15" s="721">
        <f>IFERROR(TBIn!E497,0)</f>
        <v>0</v>
      </c>
      <c r="L15" s="2574">
        <f>IFERROR(TBIn!E2032,0)</f>
        <v>0</v>
      </c>
      <c r="M15" s="2574">
        <f>IFERROR(TBIn!E2072,0)</f>
        <v>0</v>
      </c>
      <c r="N15" s="555">
        <f t="shared" si="7"/>
        <v>0</v>
      </c>
      <c r="O15" s="587">
        <f t="shared" si="2"/>
        <v>0</v>
      </c>
      <c r="P15" s="80">
        <v>12</v>
      </c>
      <c r="Q15" s="843">
        <v>0</v>
      </c>
      <c r="R15" s="843">
        <f t="shared" si="3"/>
        <v>0</v>
      </c>
      <c r="S15" s="843">
        <f t="shared" si="4"/>
        <v>0</v>
      </c>
      <c r="T15" s="843">
        <f t="shared" si="5"/>
        <v>0</v>
      </c>
      <c r="U15" s="843">
        <f t="shared" si="6"/>
        <v>0</v>
      </c>
    </row>
    <row r="16" spans="1:21" ht="15.75" customHeight="1">
      <c r="A16" s="80">
        <v>13</v>
      </c>
      <c r="B16" s="101" t="s">
        <v>118</v>
      </c>
      <c r="C16" s="1539" t="str">
        <f>OR_VEH!B365</f>
        <v>NE PAS UTILISER</v>
      </c>
      <c r="D16" s="1588"/>
      <c r="E16" s="776" t="s">
        <v>347</v>
      </c>
      <c r="F16" s="269">
        <f>IFERROR(IF(Flag=TRUE,K16-TBIn!E498,TBIn!D498),0)</f>
        <v>0</v>
      </c>
      <c r="G16" s="2599">
        <f>IFERROR(IF(Flag=TRUE,L16-TBIn!E2033,TBIn!D2033),0)</f>
        <v>0</v>
      </c>
      <c r="H16" s="2599">
        <f>IFERROR(IF(Flag=TRUE,M16-TBIn!E2073,TBIn!D2073),0)</f>
        <v>0</v>
      </c>
      <c r="I16" s="552">
        <f t="shared" si="0"/>
        <v>0</v>
      </c>
      <c r="J16" s="608">
        <f t="shared" si="1"/>
        <v>0</v>
      </c>
      <c r="K16" s="721">
        <f>IFERROR(TBIn!E498,0)</f>
        <v>0</v>
      </c>
      <c r="L16" s="2574">
        <f>IFERROR(TBIn!E2033,0)</f>
        <v>0</v>
      </c>
      <c r="M16" s="2574">
        <f>IFERROR(TBIn!E2073,0)</f>
        <v>0</v>
      </c>
      <c r="N16" s="555">
        <f t="shared" si="7"/>
        <v>0</v>
      </c>
      <c r="O16" s="587">
        <f t="shared" si="2"/>
        <v>0</v>
      </c>
      <c r="P16" s="80">
        <v>13</v>
      </c>
      <c r="Q16" s="843">
        <v>0</v>
      </c>
      <c r="R16" s="843">
        <f t="shared" si="3"/>
        <v>0</v>
      </c>
      <c r="S16" s="843">
        <f t="shared" si="4"/>
        <v>0</v>
      </c>
      <c r="T16" s="843">
        <f t="shared" si="5"/>
        <v>0</v>
      </c>
      <c r="U16" s="843">
        <f t="shared" si="6"/>
        <v>0</v>
      </c>
    </row>
    <row r="17" spans="1:21" ht="15.75" customHeight="1">
      <c r="A17" s="80">
        <v>14</v>
      </c>
      <c r="B17" s="101" t="s">
        <v>110</v>
      </c>
      <c r="C17" s="1539" t="str">
        <f>OR_VEH!B366</f>
        <v>NE PAS UTILISER</v>
      </c>
      <c r="D17" s="1588"/>
      <c r="E17" s="776" t="s">
        <v>348</v>
      </c>
      <c r="F17" s="269">
        <f>IFERROR(IF(Flag=TRUE,K17-TBIn!E499,TBIn!D499),0)</f>
        <v>0</v>
      </c>
      <c r="G17" s="2599">
        <f>IFERROR(IF(Flag=TRUE,L17-TBIn!E2034,TBIn!D2034),0)</f>
        <v>0</v>
      </c>
      <c r="H17" s="2599">
        <f>IFERROR(IF(Flag=TRUE,M17-TBIn!E2074,TBIn!D2074),0)</f>
        <v>0</v>
      </c>
      <c r="I17" s="552">
        <f t="shared" si="0"/>
        <v>0</v>
      </c>
      <c r="J17" s="608">
        <f t="shared" si="1"/>
        <v>0</v>
      </c>
      <c r="K17" s="721">
        <f>IFERROR(TBIn!E499,0)</f>
        <v>0</v>
      </c>
      <c r="L17" s="2574">
        <f>IFERROR(TBIn!E2034,0)</f>
        <v>0</v>
      </c>
      <c r="M17" s="2574">
        <f>IFERROR(TBIn!E2074,0)</f>
        <v>0</v>
      </c>
      <c r="N17" s="555">
        <f t="shared" si="7"/>
        <v>0</v>
      </c>
      <c r="O17" s="587">
        <f t="shared" si="2"/>
        <v>0</v>
      </c>
      <c r="P17" s="80">
        <v>14</v>
      </c>
      <c r="Q17" s="843">
        <v>0</v>
      </c>
      <c r="R17" s="843">
        <f t="shared" si="3"/>
        <v>0</v>
      </c>
      <c r="S17" s="843">
        <f t="shared" si="4"/>
        <v>0</v>
      </c>
      <c r="T17" s="843">
        <f t="shared" si="5"/>
        <v>0</v>
      </c>
      <c r="U17" s="843">
        <f t="shared" si="6"/>
        <v>0</v>
      </c>
    </row>
    <row r="18" spans="1:21" ht="15.75" customHeight="1">
      <c r="A18" s="80">
        <v>15</v>
      </c>
      <c r="B18" s="275" t="s">
        <v>122</v>
      </c>
      <c r="C18" s="1539" t="str">
        <f>OR_VEH!B367</f>
        <v>NE PAS UTILISER</v>
      </c>
      <c r="D18" s="1588"/>
      <c r="E18" s="776" t="s">
        <v>349</v>
      </c>
      <c r="F18" s="269">
        <f>IFERROR(IF(Flag=TRUE,K18-TBIn!E500,TBIn!D500),0)</f>
        <v>0</v>
      </c>
      <c r="G18" s="2599">
        <f>IFERROR(IF(Flag=TRUE,L18-TBIn!E2035,TBIn!D2035),0)</f>
        <v>0</v>
      </c>
      <c r="H18" s="2599">
        <f>IFERROR(IF(Flag=TRUE,M18-TBIn!E2075,TBIn!D2075),0)</f>
        <v>0</v>
      </c>
      <c r="I18" s="552">
        <f t="shared" si="0"/>
        <v>0</v>
      </c>
      <c r="J18" s="608">
        <f t="shared" si="1"/>
        <v>0</v>
      </c>
      <c r="K18" s="721">
        <f>IFERROR(TBIn!E500,0)</f>
        <v>0</v>
      </c>
      <c r="L18" s="2574">
        <f>IFERROR(TBIn!E2035,0)</f>
        <v>0</v>
      </c>
      <c r="M18" s="2574">
        <f>IFERROR(TBIn!E2075,0)</f>
        <v>0</v>
      </c>
      <c r="N18" s="555">
        <f t="shared" si="7"/>
        <v>0</v>
      </c>
      <c r="O18" s="587">
        <f t="shared" si="2"/>
        <v>0</v>
      </c>
      <c r="P18" s="80">
        <v>15</v>
      </c>
      <c r="Q18" s="843">
        <v>0</v>
      </c>
      <c r="R18" s="843">
        <f t="shared" si="3"/>
        <v>0</v>
      </c>
      <c r="S18" s="843">
        <f t="shared" si="4"/>
        <v>0</v>
      </c>
      <c r="T18" s="843">
        <f t="shared" si="5"/>
        <v>0</v>
      </c>
      <c r="U18" s="843">
        <f t="shared" si="6"/>
        <v>0</v>
      </c>
    </row>
    <row r="19" spans="1:21" ht="16" customHeight="1">
      <c r="A19" s="80">
        <v>16</v>
      </c>
      <c r="B19" s="275" t="s">
        <v>124</v>
      </c>
      <c r="C19" s="1539" t="str">
        <f>OR_VEH!B368</f>
        <v>NE PAS UTILISER</v>
      </c>
      <c r="D19" s="1588"/>
      <c r="E19" s="776" t="s">
        <v>350</v>
      </c>
      <c r="F19" s="269">
        <f>IFERROR(IF(Flag=TRUE,K19-TBIn!E501,TBIn!D501),0)</f>
        <v>0</v>
      </c>
      <c r="G19" s="2599">
        <f>IFERROR(IF(Flag=TRUE,L19-TBIn!E2036,TBIn!D2036),0)</f>
        <v>0</v>
      </c>
      <c r="H19" s="2599">
        <f>IFERROR(IF(Flag=TRUE,M19-TBIn!E2076,TBIn!D2076),0)</f>
        <v>0</v>
      </c>
      <c r="I19" s="552">
        <f t="shared" si="0"/>
        <v>0</v>
      </c>
      <c r="J19" s="608">
        <f t="shared" si="1"/>
        <v>0</v>
      </c>
      <c r="K19" s="721">
        <f>IFERROR(TBIn!E501,0)</f>
        <v>0</v>
      </c>
      <c r="L19" s="2574">
        <f>IFERROR(TBIn!E2036,0)</f>
        <v>0</v>
      </c>
      <c r="M19" s="2574">
        <f>IFERROR(TBIn!E2076,0)</f>
        <v>0</v>
      </c>
      <c r="N19" s="555">
        <f t="shared" si="7"/>
        <v>0</v>
      </c>
      <c r="O19" s="587">
        <f t="shared" si="2"/>
        <v>0</v>
      </c>
      <c r="P19" s="80">
        <v>16</v>
      </c>
      <c r="Q19" s="843">
        <v>0</v>
      </c>
      <c r="R19" s="843">
        <f t="shared" si="3"/>
        <v>0</v>
      </c>
      <c r="S19" s="843">
        <f t="shared" si="4"/>
        <v>0</v>
      </c>
      <c r="T19" s="843">
        <f t="shared" si="5"/>
        <v>0</v>
      </c>
      <c r="U19" s="843">
        <f t="shared" si="6"/>
        <v>0</v>
      </c>
    </row>
    <row r="20" spans="1:21" ht="16" customHeight="1">
      <c r="A20" s="80">
        <v>17</v>
      </c>
      <c r="B20" s="275"/>
      <c r="C20" s="1539" t="str">
        <f>OR_VEH!B369</f>
        <v>NE PAS UTILISER</v>
      </c>
      <c r="D20" s="1588"/>
      <c r="E20" s="776" t="s">
        <v>351</v>
      </c>
      <c r="F20" s="269">
        <f>IFERROR(IF(Flag=TRUE,K20-TBIn!E502,TBIn!D502),0)</f>
        <v>0</v>
      </c>
      <c r="G20" s="2599">
        <f>IFERROR(IF(Flag=TRUE,L20-TBIn!E2037,TBIn!D2037),0)</f>
        <v>0</v>
      </c>
      <c r="H20" s="2599">
        <f>IFERROR(IF(Flag=TRUE,M20-TBIn!E2077,TBIn!D2077),0)</f>
        <v>0</v>
      </c>
      <c r="I20" s="552">
        <f t="shared" si="0"/>
        <v>0</v>
      </c>
      <c r="J20" s="608">
        <f t="shared" si="1"/>
        <v>0</v>
      </c>
      <c r="K20" s="721">
        <f>IFERROR(TBIn!E502,0)</f>
        <v>0</v>
      </c>
      <c r="L20" s="2574">
        <f>IFERROR(TBIn!E2037,0)</f>
        <v>0</v>
      </c>
      <c r="M20" s="2574">
        <f>IFERROR(TBIn!E2077,0)</f>
        <v>0</v>
      </c>
      <c r="N20" s="555">
        <f t="shared" si="7"/>
        <v>0</v>
      </c>
      <c r="O20" s="587">
        <f t="shared" si="2"/>
        <v>0</v>
      </c>
      <c r="P20" s="80">
        <v>17</v>
      </c>
      <c r="Q20" s="843">
        <v>0</v>
      </c>
      <c r="R20" s="843">
        <f t="shared" si="3"/>
        <v>0</v>
      </c>
      <c r="S20" s="843">
        <f t="shared" si="4"/>
        <v>0</v>
      </c>
      <c r="T20" s="843">
        <f t="shared" si="5"/>
        <v>0</v>
      </c>
      <c r="U20" s="843">
        <f t="shared" si="6"/>
        <v>0</v>
      </c>
    </row>
    <row r="21" spans="1:21" ht="16" customHeight="1">
      <c r="A21" s="80">
        <v>18</v>
      </c>
      <c r="B21" s="215"/>
      <c r="C21" s="1539" t="str">
        <f>OR_VEH!B370</f>
        <v>NE PAS UTILISER</v>
      </c>
      <c r="D21" s="1588"/>
      <c r="E21" s="776" t="s">
        <v>352</v>
      </c>
      <c r="F21" s="269">
        <f>IFERROR(IF(Flag=TRUE,K21-TBIn!E503,TBIn!D503),0)</f>
        <v>0</v>
      </c>
      <c r="G21" s="2599">
        <f>IFERROR(IF(Flag=TRUE,L21-TBIn!E2038,TBIn!D2038),0)</f>
        <v>0</v>
      </c>
      <c r="H21" s="2599">
        <f>IFERROR(IF(Flag=TRUE,M21-TBIn!E2078,TBIn!D2078),0)</f>
        <v>0</v>
      </c>
      <c r="I21" s="552">
        <f t="shared" si="0"/>
        <v>0</v>
      </c>
      <c r="J21" s="608">
        <f t="shared" si="1"/>
        <v>0</v>
      </c>
      <c r="K21" s="721">
        <f>IFERROR(TBIn!E503,0)</f>
        <v>0</v>
      </c>
      <c r="L21" s="2574">
        <f>IFERROR(TBIn!E2038,0)</f>
        <v>0</v>
      </c>
      <c r="M21" s="2574">
        <f>IFERROR(TBIn!E2078,0)</f>
        <v>0</v>
      </c>
      <c r="N21" s="555">
        <f t="shared" si="7"/>
        <v>0</v>
      </c>
      <c r="O21" s="587">
        <f t="shared" si="2"/>
        <v>0</v>
      </c>
      <c r="P21" s="80">
        <v>18</v>
      </c>
      <c r="Q21" s="843">
        <v>0</v>
      </c>
      <c r="R21" s="843">
        <f t="shared" si="3"/>
        <v>0</v>
      </c>
      <c r="S21" s="843">
        <f t="shared" si="4"/>
        <v>0</v>
      </c>
      <c r="T21" s="843">
        <f t="shared" si="5"/>
        <v>0</v>
      </c>
      <c r="U21" s="843">
        <f t="shared" si="6"/>
        <v>0</v>
      </c>
    </row>
    <row r="22" spans="1:21" ht="16" customHeight="1">
      <c r="A22" s="80">
        <v>19</v>
      </c>
      <c r="B22" s="215"/>
      <c r="C22" s="1589" t="str">
        <f>OR_VEH!B371</f>
        <v>NE PAS UTILISER</v>
      </c>
      <c r="D22" s="1590"/>
      <c r="E22" s="777" t="s">
        <v>353</v>
      </c>
      <c r="F22" s="270">
        <f>IFERROR(IF(Flag=TRUE,K22-TBIn!E504,TBIn!D504),0)</f>
        <v>0</v>
      </c>
      <c r="G22" s="2600">
        <f>IFERROR(IF(Flag=TRUE,L22-TBIn!E2039,TBIn!D2039),0)</f>
        <v>0</v>
      </c>
      <c r="H22" s="2600">
        <f>IFERROR(IF(Flag=TRUE,M22-TBIn!E2079,TBIn!D2079),0)</f>
        <v>0</v>
      </c>
      <c r="I22" s="553">
        <f t="shared" si="0"/>
        <v>0</v>
      </c>
      <c r="J22" s="847">
        <f t="shared" si="1"/>
        <v>0</v>
      </c>
      <c r="K22" s="722">
        <f>IFERROR(TBIn!E504,0)</f>
        <v>0</v>
      </c>
      <c r="L22" s="2603">
        <f>IFERROR(TBIn!E2039,0)</f>
        <v>0</v>
      </c>
      <c r="M22" s="2603">
        <f>IFERROR(TBIn!E2079,0)</f>
        <v>0</v>
      </c>
      <c r="N22" s="556">
        <f t="shared" si="7"/>
        <v>0</v>
      </c>
      <c r="O22" s="601">
        <f t="shared" si="2"/>
        <v>0</v>
      </c>
      <c r="P22" s="80">
        <v>19</v>
      </c>
      <c r="Q22" s="843">
        <v>0</v>
      </c>
      <c r="R22" s="843">
        <f t="shared" si="3"/>
        <v>0</v>
      </c>
      <c r="S22" s="843">
        <f t="shared" si="4"/>
        <v>0</v>
      </c>
      <c r="T22" s="843">
        <f t="shared" si="5"/>
        <v>0</v>
      </c>
      <c r="U22" s="843">
        <f t="shared" si="6"/>
        <v>0</v>
      </c>
    </row>
    <row r="23" spans="1:2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843"/>
      <c r="R23" s="843"/>
      <c r="S23" s="843"/>
      <c r="T23" s="843"/>
      <c r="U23" s="843"/>
    </row>
    <row r="24" spans="1:21" ht="16" customHeight="1">
      <c r="A24" s="80">
        <v>21</v>
      </c>
      <c r="B24" s="215"/>
      <c r="C24" s="1591" t="str">
        <f>OR_VEH!B373</f>
        <v>MÉMO* VENTES INTERNET VOITURES</v>
      </c>
      <c r="D24" s="1592"/>
      <c r="E24" s="779" t="s">
        <v>354</v>
      </c>
      <c r="F24" s="269">
        <f>IFERROR(IF(Flag=TRUE,K24-TBIn!E505,TBIn!D505),0)</f>
        <v>0</v>
      </c>
      <c r="G24" s="2599">
        <f>IFERROR(IF(Flag=TRUE,L24-TBIn!$E$152,TBIn!$D$152),0)</f>
        <v>0</v>
      </c>
      <c r="H24" s="2599">
        <f>IFERROR(IF(Flag=TRUE,M24-TBIn!$E$172,TBIn!$D$172),0)</f>
        <v>0</v>
      </c>
      <c r="I24" s="552">
        <f>G24-H24</f>
        <v>0</v>
      </c>
      <c r="J24" s="608">
        <f t="shared" si="1"/>
        <v>0</v>
      </c>
      <c r="K24" s="721">
        <f>IFERROR(TBIn!E505,0)</f>
        <v>0</v>
      </c>
      <c r="L24" s="2574">
        <f>IFERROR(TBIn!$E$152,0)</f>
        <v>0</v>
      </c>
      <c r="M24" s="2574">
        <f>IFERROR(TBIn!$E$172,0)</f>
        <v>0</v>
      </c>
      <c r="N24" s="555">
        <f>L24-M24</f>
        <v>0</v>
      </c>
      <c r="O24" s="587">
        <f t="shared" si="2"/>
        <v>0</v>
      </c>
      <c r="P24" s="80">
        <v>21</v>
      </c>
      <c r="Q24" s="843">
        <v>0</v>
      </c>
      <c r="R24" s="843">
        <f>IF(F24=0,0,IF(G24/F24&gt;Q24,1,0))</f>
        <v>0</v>
      </c>
      <c r="S24" s="843">
        <f>IF(K24=0,0,IF(OR(L24&lt;0,L24/K24&gt;Q24),1,0))</f>
        <v>0</v>
      </c>
      <c r="T24" s="843">
        <f>IF(OR(F24&lt;0,AND(G24&gt;0,F24=0),AND(G24=0,F24&gt;0)),1,0)</f>
        <v>0</v>
      </c>
      <c r="U24" s="843">
        <f>IF(OR(K24&lt;0,AND(L24&gt;0,K24=0),AND(K24&gt;0,L24=0)),1,0)</f>
        <v>0</v>
      </c>
    </row>
    <row r="25" spans="1:21" ht="20.5" customHeight="1">
      <c r="A25" s="80">
        <v>22</v>
      </c>
      <c r="B25" s="101"/>
      <c r="C25" s="1594" t="str">
        <f>OR_VEH!B374</f>
        <v>TOTAL PARCS - VOITURES</v>
      </c>
      <c r="D25" s="1595"/>
      <c r="E25" s="2525" t="s">
        <v>139</v>
      </c>
      <c r="F25" s="269">
        <f>IFERROR(IF(Flag=TRUE,K25-TBIn!E506,TBIn!D506),0)</f>
        <v>0</v>
      </c>
      <c r="G25" s="2599">
        <f>IFERROR(IF(Flag=TRUE,L25-TBIn!E2040,TBIn!D2040),0)</f>
        <v>0</v>
      </c>
      <c r="H25" s="2599">
        <f>IFERROR(IF(Flag=TRUE,M25-TBIn!E2080,TBIn!D2080),0)</f>
        <v>0</v>
      </c>
      <c r="I25" s="552">
        <f>G25-H25</f>
        <v>0</v>
      </c>
      <c r="J25" s="608">
        <f t="shared" si="1"/>
        <v>0</v>
      </c>
      <c r="K25" s="721">
        <f>IFERROR(TBIn!E506,0)</f>
        <v>0</v>
      </c>
      <c r="L25" s="2574">
        <f>IFERROR(TBIn!E2040,0)</f>
        <v>0</v>
      </c>
      <c r="M25" s="2574">
        <f>IFERROR(TBIn!E2080,0)</f>
        <v>0</v>
      </c>
      <c r="N25" s="555">
        <f>L25-M25</f>
        <v>0</v>
      </c>
      <c r="O25" s="587">
        <f t="shared" si="2"/>
        <v>0</v>
      </c>
      <c r="P25" s="80">
        <v>22</v>
      </c>
      <c r="Q25" s="843">
        <v>0</v>
      </c>
      <c r="R25" s="843">
        <f>IF(F25=0,0,IF(G25/F25&gt;Q25,1,0))</f>
        <v>0</v>
      </c>
      <c r="S25" s="843">
        <f>IF(K25=0,0,IF(OR(L25&lt;0,L25/K25&gt;Q25),1,0))</f>
        <v>0</v>
      </c>
      <c r="T25" s="843">
        <f>IF(OR(F25&lt;0,AND(G25&gt;0,F25=0),AND(G25=0,F25&gt;0)),1,0)</f>
        <v>0</v>
      </c>
      <c r="U25" s="843">
        <f>IF(OR(K25&lt;0,AND(L25&gt;0,K25=0),AND(K25&gt;0,L25=0)),1,0)</f>
        <v>0</v>
      </c>
    </row>
    <row r="26" spans="1:21" ht="16" customHeight="1">
      <c r="A26" s="80">
        <v>23</v>
      </c>
      <c r="B26" s="215"/>
      <c r="C26" s="1596" t="str">
        <f>OR_VEH!B375</f>
        <v>TOTAL INTERNE - VOITURES</v>
      </c>
      <c r="D26" s="1597"/>
      <c r="E26" s="780" t="s">
        <v>355</v>
      </c>
      <c r="F26" s="269">
        <f>IFERROR(IF(Flag=TRUE,K26-TBIn!E507,TBIn!D507),0)</f>
        <v>0</v>
      </c>
      <c r="G26" s="2599">
        <f>IFERROR(IF(Flag=TRUE,L26-TBIn!E2041,TBIn!D2041),0)</f>
        <v>0</v>
      </c>
      <c r="H26" s="2599">
        <f>IFERROR(IF(Flag=TRUE,M26-TBIn!E2081,TBIn!D2081),0)</f>
        <v>0</v>
      </c>
      <c r="I26" s="552">
        <f>G26-H26</f>
        <v>0</v>
      </c>
      <c r="J26" s="608">
        <f t="shared" si="1"/>
        <v>0</v>
      </c>
      <c r="K26" s="721">
        <f>IFERROR(TBIn!E507,0)</f>
        <v>0</v>
      </c>
      <c r="L26" s="2574">
        <f>IFERROR(TBIn!E2041,0)</f>
        <v>0</v>
      </c>
      <c r="M26" s="2574">
        <f>IFERROR(TBIn!E2081,0)</f>
        <v>0</v>
      </c>
      <c r="N26" s="555">
        <f>L26-M26</f>
        <v>0</v>
      </c>
      <c r="O26" s="587">
        <f t="shared" si="2"/>
        <v>0</v>
      </c>
      <c r="P26" s="80">
        <v>23</v>
      </c>
      <c r="Q26" s="843">
        <v>0</v>
      </c>
      <c r="R26" s="843">
        <f>IF(F26=0,0,IF(G26/F26&gt;Q26,1,0))</f>
        <v>0</v>
      </c>
      <c r="S26" s="843">
        <f>IF(K26=0,0,IF(OR(L26&lt;0,L26/K26&gt;Q26),1,0))</f>
        <v>0</v>
      </c>
      <c r="T26" s="843">
        <f>IF(OR(F26&lt;0,AND(G26&gt;0,F26=0),AND(G26=0,F26&gt;0)),1,0)</f>
        <v>0</v>
      </c>
      <c r="U26" s="843">
        <f>IF(OR(K26&lt;0,AND(L26&gt;0,K26=0),AND(K26&gt;0,L26=0)),1,0)</f>
        <v>0</v>
      </c>
    </row>
    <row r="27" spans="1:2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843"/>
      <c r="R27" s="843"/>
      <c r="S27" s="843"/>
      <c r="T27" s="843"/>
      <c r="U27" s="843"/>
    </row>
    <row r="28" spans="1:21" ht="16" customHeight="1">
      <c r="A28" s="80">
        <v>25</v>
      </c>
      <c r="B28" s="207"/>
      <c r="C28" s="1601" t="str">
        <f>OR_VEH!B377</f>
        <v>HUMMER EV SUT</v>
      </c>
      <c r="D28" s="1599"/>
      <c r="E28" s="779" t="s">
        <v>356</v>
      </c>
      <c r="F28" s="180">
        <f>IFERROR(IF(Flag=TRUE,K28-TBIn!E508,TBIn!D508),0)</f>
        <v>0</v>
      </c>
      <c r="G28" s="2601">
        <f>IFERROR(IF(Flag=TRUE,L28-TBIn!E2042,TBIn!D2042),0)</f>
        <v>0</v>
      </c>
      <c r="H28" s="2601">
        <f>IFERROR(IF(Flag=TRUE,M28-TBIn!E2082,TBIn!D2082),0)</f>
        <v>0</v>
      </c>
      <c r="I28" s="557">
        <f t="shared" ref="I28:I43" si="8">G28-H28</f>
        <v>0</v>
      </c>
      <c r="J28" s="271">
        <f t="shared" si="1"/>
        <v>0</v>
      </c>
      <c r="K28" s="723">
        <f>IFERROR(TBIn!E508,0)</f>
        <v>0</v>
      </c>
      <c r="L28" s="2604">
        <f>IFERROR(TBIn!E2042,0)</f>
        <v>0</v>
      </c>
      <c r="M28" s="2604">
        <f>IFERROR(TBIn!E2082,0)</f>
        <v>0</v>
      </c>
      <c r="N28" s="326">
        <f t="shared" ref="N28:N43" si="9">L28-M28</f>
        <v>0</v>
      </c>
      <c r="O28" s="272">
        <f t="shared" si="2"/>
        <v>0</v>
      </c>
      <c r="P28" s="80">
        <v>25</v>
      </c>
      <c r="Q28" s="843">
        <v>0</v>
      </c>
      <c r="R28" s="843">
        <f t="shared" ref="R28:R43" si="10">IF(F28=0,0,IF(G28/F28&gt;Q28,1,0))</f>
        <v>0</v>
      </c>
      <c r="S28" s="843">
        <f t="shared" ref="S28:S43" si="11">IF(K28=0,0,IF(OR(L28&lt;0,L28/K28&gt;Q28),1,0))</f>
        <v>0</v>
      </c>
      <c r="T28" s="843">
        <f t="shared" ref="T28:T43" si="12">IF(OR(F28&lt;0,AND(G28&gt;0,F28=0),AND(G28=0,F28&gt;0)),1,0)</f>
        <v>0</v>
      </c>
      <c r="U28" s="843">
        <f t="shared" ref="U28:U43" si="13">IF(OR(K28&lt;0,AND(L28&gt;0,K28=0),AND(K28&gt;0,L28=0)),1,0)</f>
        <v>0</v>
      </c>
    </row>
    <row r="29" spans="1:21" ht="16" customHeight="1">
      <c r="A29" s="80">
        <v>26</v>
      </c>
      <c r="B29" s="275" t="s">
        <v>143</v>
      </c>
      <c r="C29" s="1539" t="str">
        <f>OR_VEH!B378</f>
        <v>HUMMER EV SUV</v>
      </c>
      <c r="D29" s="1588"/>
      <c r="E29" s="779" t="s">
        <v>357</v>
      </c>
      <c r="F29" s="269">
        <f>IFERROR(IF(Flag=TRUE,K29-TBIn!E509,TBIn!D509),0)</f>
        <v>1</v>
      </c>
      <c r="G29" s="2599">
        <f>IFERROR(IF(Flag=TRUE,L29-TBIn!E2043,TBIn!D2043),0)</f>
        <v>139503</v>
      </c>
      <c r="H29" s="2601">
        <f>IFERROR(IF(Flag=TRUE,M29-TBIn!E2083,TBIn!D2083),0)</f>
        <v>132182</v>
      </c>
      <c r="I29" s="557">
        <f t="shared" si="8"/>
        <v>7321</v>
      </c>
      <c r="J29" s="608">
        <f t="shared" si="1"/>
        <v>7321</v>
      </c>
      <c r="K29" s="721">
        <f>IFERROR(TBIn!E509,0)</f>
        <v>6</v>
      </c>
      <c r="L29" s="2574">
        <f>IFERROR(TBIn!E2043,0)</f>
        <v>752856</v>
      </c>
      <c r="M29" s="2604">
        <f>IFERROR(TBIn!E2083,0)</f>
        <v>708229</v>
      </c>
      <c r="N29" s="326">
        <f t="shared" si="9"/>
        <v>44627</v>
      </c>
      <c r="O29" s="587">
        <f t="shared" si="2"/>
        <v>7437.833333333333</v>
      </c>
      <c r="P29" s="80">
        <v>26</v>
      </c>
      <c r="Q29" s="843">
        <v>0</v>
      </c>
      <c r="R29" s="843">
        <f t="shared" si="10"/>
        <v>1</v>
      </c>
      <c r="S29" s="843">
        <f t="shared" si="11"/>
        <v>1</v>
      </c>
      <c r="T29" s="843">
        <f t="shared" si="12"/>
        <v>0</v>
      </c>
      <c r="U29" s="843">
        <f t="shared" si="13"/>
        <v>0</v>
      </c>
    </row>
    <row r="30" spans="1:21" ht="16" customHeight="1">
      <c r="A30" s="80">
        <v>27</v>
      </c>
      <c r="B30" s="275" t="s">
        <v>145</v>
      </c>
      <c r="C30" s="1600" t="str">
        <f>OR_VEH!B379</f>
        <v>SIERRA EV</v>
      </c>
      <c r="D30" s="1588"/>
      <c r="E30" s="779" t="s">
        <v>358</v>
      </c>
      <c r="F30" s="269">
        <f>IFERROR(IF(Flag=TRUE,K30-TBIn!E510,TBIn!D510),0)</f>
        <v>0</v>
      </c>
      <c r="G30" s="2599">
        <f>IFERROR(IF(Flag=TRUE,L30-TBIn!E2044,TBIn!D2044),0)</f>
        <v>0</v>
      </c>
      <c r="H30" s="2601">
        <f>IFERROR(IF(Flag=TRUE,M30-TBIn!E2084,TBIn!D2084),0)</f>
        <v>0</v>
      </c>
      <c r="I30" s="557">
        <f t="shared" si="8"/>
        <v>0</v>
      </c>
      <c r="J30" s="608">
        <f t="shared" si="1"/>
        <v>0</v>
      </c>
      <c r="K30" s="721">
        <f>IFERROR(TBIn!E510,0)</f>
        <v>0</v>
      </c>
      <c r="L30" s="2574">
        <f>IFERROR(TBIn!E2044,0)</f>
        <v>0</v>
      </c>
      <c r="M30" s="2604">
        <f>IFERROR(TBIn!E2084,0)</f>
        <v>0</v>
      </c>
      <c r="N30" s="326">
        <f t="shared" si="9"/>
        <v>0</v>
      </c>
      <c r="O30" s="587">
        <f t="shared" si="2"/>
        <v>0</v>
      </c>
      <c r="P30" s="80">
        <v>27</v>
      </c>
      <c r="Q30" s="843">
        <v>0</v>
      </c>
      <c r="R30" s="843">
        <f t="shared" si="10"/>
        <v>0</v>
      </c>
      <c r="S30" s="843">
        <f t="shared" si="11"/>
        <v>0</v>
      </c>
      <c r="T30" s="843">
        <f t="shared" si="12"/>
        <v>0</v>
      </c>
      <c r="U30" s="843">
        <f t="shared" si="13"/>
        <v>0</v>
      </c>
    </row>
    <row r="31" spans="1:21" ht="16" customHeight="1">
      <c r="A31" s="80">
        <v>28</v>
      </c>
      <c r="B31" s="275" t="s">
        <v>147</v>
      </c>
      <c r="C31" s="1600" t="str">
        <f>OR_VEH!B380</f>
        <v>NE PAS UTILISER</v>
      </c>
      <c r="D31" s="1588"/>
      <c r="E31" s="779" t="s">
        <v>359</v>
      </c>
      <c r="F31" s="269">
        <f>IFERROR(IF(Flag=TRUE,K31-TBIn!E511,TBIn!D511),0)</f>
        <v>0</v>
      </c>
      <c r="G31" s="2599">
        <f>IFERROR(IF(Flag=TRUE,L31-TBIn!E2045,TBIn!D2045),0)</f>
        <v>0</v>
      </c>
      <c r="H31" s="2601">
        <f>IFERROR(IF(Flag=TRUE,M31-TBIn!E2085,TBIn!D2085),0)</f>
        <v>0</v>
      </c>
      <c r="I31" s="557">
        <f t="shared" si="8"/>
        <v>0</v>
      </c>
      <c r="J31" s="608">
        <f t="shared" si="1"/>
        <v>0</v>
      </c>
      <c r="K31" s="721">
        <f>IFERROR(TBIn!E511,0)</f>
        <v>0</v>
      </c>
      <c r="L31" s="2574">
        <f>IFERROR(TBIn!E2045,0)</f>
        <v>0</v>
      </c>
      <c r="M31" s="2604">
        <f>IFERROR(TBIn!E2085,0)</f>
        <v>0</v>
      </c>
      <c r="N31" s="326">
        <f t="shared" si="9"/>
        <v>0</v>
      </c>
      <c r="O31" s="587">
        <f t="shared" si="2"/>
        <v>0</v>
      </c>
      <c r="P31" s="80">
        <v>28</v>
      </c>
      <c r="Q31" s="843">
        <v>0</v>
      </c>
      <c r="R31" s="843">
        <f t="shared" si="10"/>
        <v>0</v>
      </c>
      <c r="S31" s="843">
        <f t="shared" si="11"/>
        <v>0</v>
      </c>
      <c r="T31" s="843">
        <f t="shared" si="12"/>
        <v>0</v>
      </c>
      <c r="U31" s="843">
        <f t="shared" si="13"/>
        <v>0</v>
      </c>
    </row>
    <row r="32" spans="1:21" ht="16" customHeight="1">
      <c r="A32" s="80">
        <v>29</v>
      </c>
      <c r="B32" s="275" t="s">
        <v>114</v>
      </c>
      <c r="C32" s="1600" t="str">
        <f>OR_VEH!B381</f>
        <v>NE PAS UTILISER</v>
      </c>
      <c r="D32" s="1588"/>
      <c r="E32" s="779" t="s">
        <v>360</v>
      </c>
      <c r="F32" s="269">
        <f>IFERROR(IF(Flag=TRUE,K32-TBIn!E512,TBIn!D512),0)</f>
        <v>0</v>
      </c>
      <c r="G32" s="2599">
        <f>IFERROR(IF(Flag=TRUE,L32-TBIn!E2046,TBIn!D2046),0)</f>
        <v>0</v>
      </c>
      <c r="H32" s="2601">
        <f>IFERROR(IF(Flag=TRUE,M32-TBIn!E2086,TBIn!D2086),0)</f>
        <v>0</v>
      </c>
      <c r="I32" s="557">
        <f t="shared" si="8"/>
        <v>0</v>
      </c>
      <c r="J32" s="608">
        <f t="shared" si="1"/>
        <v>0</v>
      </c>
      <c r="K32" s="721">
        <f>IFERROR(TBIn!E512,0)</f>
        <v>0</v>
      </c>
      <c r="L32" s="2574">
        <f>IFERROR(TBIn!E2046,0)</f>
        <v>0</v>
      </c>
      <c r="M32" s="2604">
        <f>IFERROR(TBIn!E2086,0)</f>
        <v>0</v>
      </c>
      <c r="N32" s="326">
        <f t="shared" si="9"/>
        <v>0</v>
      </c>
      <c r="O32" s="587">
        <f t="shared" si="2"/>
        <v>0</v>
      </c>
      <c r="P32" s="80">
        <v>29</v>
      </c>
      <c r="Q32" s="843">
        <v>0</v>
      </c>
      <c r="R32" s="843">
        <f t="shared" si="10"/>
        <v>0</v>
      </c>
      <c r="S32" s="843">
        <f t="shared" si="11"/>
        <v>0</v>
      </c>
      <c r="T32" s="843">
        <f t="shared" si="12"/>
        <v>0</v>
      </c>
      <c r="U32" s="843">
        <f t="shared" si="13"/>
        <v>0</v>
      </c>
    </row>
    <row r="33" spans="1:21" ht="16" customHeight="1">
      <c r="A33" s="80">
        <v>30</v>
      </c>
      <c r="B33" s="101" t="s">
        <v>112</v>
      </c>
      <c r="C33" s="1600" t="str">
        <f>OR_VEH!B382</f>
        <v>NE PAS UTILISER</v>
      </c>
      <c r="D33" s="1588"/>
      <c r="E33" s="779" t="s">
        <v>361</v>
      </c>
      <c r="F33" s="269">
        <f>IFERROR(IF(Flag=TRUE,K33-TBIn!E513,TBIn!D513),0)</f>
        <v>0</v>
      </c>
      <c r="G33" s="2599">
        <f>IFERROR(IF(Flag=TRUE,L33-TBIn!E2047,TBIn!D2047),0)</f>
        <v>0</v>
      </c>
      <c r="H33" s="2601">
        <f>IFERROR(IF(Flag=TRUE,M33-TBIn!E2087,TBIn!D2087),0)</f>
        <v>0</v>
      </c>
      <c r="I33" s="557">
        <f t="shared" si="8"/>
        <v>0</v>
      </c>
      <c r="J33" s="608">
        <f t="shared" si="1"/>
        <v>0</v>
      </c>
      <c r="K33" s="721">
        <f>IFERROR(TBIn!E513,0)</f>
        <v>0</v>
      </c>
      <c r="L33" s="2574">
        <f>IFERROR(TBIn!E2047,0)</f>
        <v>0</v>
      </c>
      <c r="M33" s="2604">
        <f>IFERROR(TBIn!E2087,0)</f>
        <v>0</v>
      </c>
      <c r="N33" s="326">
        <f t="shared" si="9"/>
        <v>0</v>
      </c>
      <c r="O33" s="587">
        <f t="shared" si="2"/>
        <v>0</v>
      </c>
      <c r="P33" s="80">
        <v>30</v>
      </c>
      <c r="Q33" s="843">
        <v>0</v>
      </c>
      <c r="R33" s="843">
        <f t="shared" si="10"/>
        <v>0</v>
      </c>
      <c r="S33" s="843">
        <f t="shared" si="11"/>
        <v>0</v>
      </c>
      <c r="T33" s="843">
        <f t="shared" si="12"/>
        <v>0</v>
      </c>
      <c r="U33" s="843">
        <f t="shared" si="13"/>
        <v>0</v>
      </c>
    </row>
    <row r="34" spans="1:21" ht="16" customHeight="1">
      <c r="A34" s="80">
        <v>31</v>
      </c>
      <c r="B34" s="101" t="s">
        <v>127</v>
      </c>
      <c r="C34" s="1600" t="str">
        <f>OR_VEH!B383</f>
        <v>NE PAS UTILISER</v>
      </c>
      <c r="D34" s="1588"/>
      <c r="E34" s="779" t="s">
        <v>362</v>
      </c>
      <c r="F34" s="269">
        <f>IFERROR(IF(Flag=TRUE,K34-TBIn!E514,TBIn!D514),0)</f>
        <v>0</v>
      </c>
      <c r="G34" s="2599">
        <f>IFERROR(IF(Flag=TRUE,L34-TBIn!E2048,TBIn!D2048),0)</f>
        <v>0</v>
      </c>
      <c r="H34" s="2601">
        <f>IFERROR(IF(Flag=TRUE,M34-TBIn!E2088,TBIn!D2088),0)</f>
        <v>0</v>
      </c>
      <c r="I34" s="557">
        <f t="shared" si="8"/>
        <v>0</v>
      </c>
      <c r="J34" s="608">
        <f t="shared" si="1"/>
        <v>0</v>
      </c>
      <c r="K34" s="721">
        <f>IFERROR(TBIn!E514,0)</f>
        <v>0</v>
      </c>
      <c r="L34" s="2574">
        <f>IFERROR(TBIn!E2048,0)</f>
        <v>0</v>
      </c>
      <c r="M34" s="2604">
        <f>IFERROR(TBIn!E2088,0)</f>
        <v>0</v>
      </c>
      <c r="N34" s="326">
        <f t="shared" si="9"/>
        <v>0</v>
      </c>
      <c r="O34" s="587">
        <f t="shared" si="2"/>
        <v>0</v>
      </c>
      <c r="P34" s="80">
        <v>31</v>
      </c>
      <c r="Q34" s="843">
        <v>0</v>
      </c>
      <c r="R34" s="843">
        <f t="shared" si="10"/>
        <v>0</v>
      </c>
      <c r="S34" s="843">
        <f t="shared" si="11"/>
        <v>0</v>
      </c>
      <c r="T34" s="843">
        <f t="shared" si="12"/>
        <v>0</v>
      </c>
      <c r="U34" s="843">
        <f t="shared" si="13"/>
        <v>0</v>
      </c>
    </row>
    <row r="35" spans="1:21" ht="16" customHeight="1">
      <c r="A35" s="80">
        <v>32</v>
      </c>
      <c r="B35" s="101" t="s">
        <v>124</v>
      </c>
      <c r="C35" s="1600" t="str">
        <f>OR_VEH!B384</f>
        <v>NE PAS UTILISER</v>
      </c>
      <c r="D35" s="1588"/>
      <c r="E35" s="779" t="s">
        <v>363</v>
      </c>
      <c r="F35" s="269">
        <f>IFERROR(IF(Flag=TRUE,K35-TBIn!E515,TBIn!D515),0)</f>
        <v>0</v>
      </c>
      <c r="G35" s="2599">
        <f>IFERROR(IF(Flag=TRUE,L35-TBIn!E2049,TBIn!D2049),0)</f>
        <v>0</v>
      </c>
      <c r="H35" s="2601">
        <f>IFERROR(IF(Flag=TRUE,M35-TBIn!E2089,TBIn!D2089),0)</f>
        <v>0</v>
      </c>
      <c r="I35" s="557">
        <f t="shared" si="8"/>
        <v>0</v>
      </c>
      <c r="J35" s="608">
        <f t="shared" si="1"/>
        <v>0</v>
      </c>
      <c r="K35" s="721">
        <f>IFERROR(TBIn!E515,0)</f>
        <v>0</v>
      </c>
      <c r="L35" s="2574">
        <f>IFERROR(TBIn!E2049,0)</f>
        <v>0</v>
      </c>
      <c r="M35" s="2604">
        <f>IFERROR(TBIn!E2089,0)</f>
        <v>0</v>
      </c>
      <c r="N35" s="326">
        <f t="shared" si="9"/>
        <v>0</v>
      </c>
      <c r="O35" s="587">
        <f t="shared" si="2"/>
        <v>0</v>
      </c>
      <c r="P35" s="80">
        <v>32</v>
      </c>
      <c r="Q35" s="843">
        <v>0</v>
      </c>
      <c r="R35" s="843">
        <f t="shared" si="10"/>
        <v>0</v>
      </c>
      <c r="S35" s="843">
        <f t="shared" si="11"/>
        <v>0</v>
      </c>
      <c r="T35" s="843">
        <f t="shared" si="12"/>
        <v>0</v>
      </c>
      <c r="U35" s="843">
        <f t="shared" si="13"/>
        <v>0</v>
      </c>
    </row>
    <row r="36" spans="1:21" ht="16" customHeight="1">
      <c r="A36" s="80">
        <v>33</v>
      </c>
      <c r="B36" s="101"/>
      <c r="C36" s="1600" t="str">
        <f>OR_VEH!B385</f>
        <v>NE PAS UTILISER</v>
      </c>
      <c r="D36" s="1588"/>
      <c r="E36" s="779" t="s">
        <v>364</v>
      </c>
      <c r="F36" s="269">
        <f>IFERROR(IF(Flag=TRUE,K36-TBIn!E516,TBIn!D516),0)</f>
        <v>0</v>
      </c>
      <c r="G36" s="2599">
        <f>IFERROR(IF(Flag=TRUE,L36-TBIn!E2050,TBIn!D2050),0)</f>
        <v>0</v>
      </c>
      <c r="H36" s="2601">
        <f>IFERROR(IF(Flag=TRUE,M36-TBIn!E2090,TBIn!D2090),0)</f>
        <v>0</v>
      </c>
      <c r="I36" s="557">
        <f t="shared" si="8"/>
        <v>0</v>
      </c>
      <c r="J36" s="608">
        <f t="shared" si="1"/>
        <v>0</v>
      </c>
      <c r="K36" s="721">
        <f>IFERROR(TBIn!E516,0)</f>
        <v>0</v>
      </c>
      <c r="L36" s="2574">
        <f>IFERROR(TBIn!E2050,0)</f>
        <v>0</v>
      </c>
      <c r="M36" s="2604">
        <f>IFERROR(TBIn!E2090,0)</f>
        <v>0</v>
      </c>
      <c r="N36" s="326">
        <f t="shared" si="9"/>
        <v>0</v>
      </c>
      <c r="O36" s="587">
        <f t="shared" si="2"/>
        <v>0</v>
      </c>
      <c r="P36" s="80">
        <v>33</v>
      </c>
      <c r="Q36" s="843">
        <v>0</v>
      </c>
      <c r="R36" s="843">
        <f t="shared" si="10"/>
        <v>0</v>
      </c>
      <c r="S36" s="843">
        <f t="shared" si="11"/>
        <v>0</v>
      </c>
      <c r="T36" s="843">
        <f t="shared" si="12"/>
        <v>0</v>
      </c>
      <c r="U36" s="843">
        <f t="shared" si="13"/>
        <v>0</v>
      </c>
    </row>
    <row r="37" spans="1:21" ht="16" customHeight="1">
      <c r="A37" s="80">
        <v>34</v>
      </c>
      <c r="B37" s="101" t="s">
        <v>127</v>
      </c>
      <c r="C37" s="1600" t="str">
        <f>OR_VEH!B386</f>
        <v>NE PAS UTILISER</v>
      </c>
      <c r="D37" s="1588"/>
      <c r="E37" s="779" t="s">
        <v>365</v>
      </c>
      <c r="F37" s="269">
        <f>IFERROR(IF(Flag=TRUE,K37-TBIn!E517,TBIn!D517),0)</f>
        <v>0</v>
      </c>
      <c r="G37" s="2599">
        <f>IFERROR(IF(Flag=TRUE,L37-TBIn!E2051,TBIn!D2051),0)</f>
        <v>0</v>
      </c>
      <c r="H37" s="2601">
        <f>IFERROR(IF(Flag=TRUE,M37-TBIn!E2091,TBIn!D2091),0)</f>
        <v>0</v>
      </c>
      <c r="I37" s="557">
        <f t="shared" si="8"/>
        <v>0</v>
      </c>
      <c r="J37" s="608">
        <f t="shared" si="1"/>
        <v>0</v>
      </c>
      <c r="K37" s="721">
        <f>IFERROR(TBIn!E517,0)</f>
        <v>0</v>
      </c>
      <c r="L37" s="2574">
        <f>IFERROR(TBIn!E2051,0)</f>
        <v>0</v>
      </c>
      <c r="M37" s="2604">
        <f>IFERROR(TBIn!E2091,0)</f>
        <v>0</v>
      </c>
      <c r="N37" s="326">
        <f t="shared" si="9"/>
        <v>0</v>
      </c>
      <c r="O37" s="587">
        <f t="shared" si="2"/>
        <v>0</v>
      </c>
      <c r="P37" s="80">
        <v>34</v>
      </c>
      <c r="Q37" s="843">
        <v>0</v>
      </c>
      <c r="R37" s="843">
        <f t="shared" si="10"/>
        <v>0</v>
      </c>
      <c r="S37" s="843">
        <f t="shared" si="11"/>
        <v>0</v>
      </c>
      <c r="T37" s="843">
        <f t="shared" si="12"/>
        <v>0</v>
      </c>
      <c r="U37" s="843">
        <f t="shared" si="13"/>
        <v>0</v>
      </c>
    </row>
    <row r="38" spans="1:21" ht="16" customHeight="1">
      <c r="A38" s="80">
        <v>35</v>
      </c>
      <c r="B38" s="101" t="s">
        <v>122</v>
      </c>
      <c r="C38" s="1600" t="str">
        <f>OR_VEH!B387</f>
        <v>NE PAS UTILISER</v>
      </c>
      <c r="D38" s="1588"/>
      <c r="E38" s="779" t="s">
        <v>366</v>
      </c>
      <c r="F38" s="269">
        <f>IFERROR(IF(Flag=TRUE,K38-TBIn!E518,TBIn!D518),0)</f>
        <v>0</v>
      </c>
      <c r="G38" s="2599">
        <f>IFERROR(IF(Flag=TRUE,L38-TBIn!E2052,TBIn!D2052),0)</f>
        <v>0</v>
      </c>
      <c r="H38" s="2601">
        <f>IFERROR(IF(Flag=TRUE,M38-TBIn!E2092,TBIn!D2092),0)</f>
        <v>0</v>
      </c>
      <c r="I38" s="557">
        <f t="shared" si="8"/>
        <v>0</v>
      </c>
      <c r="J38" s="608">
        <f t="shared" si="1"/>
        <v>0</v>
      </c>
      <c r="K38" s="721">
        <f>IFERROR(TBIn!E518,0)</f>
        <v>0</v>
      </c>
      <c r="L38" s="2574">
        <f>IFERROR(TBIn!E2052,0)</f>
        <v>0</v>
      </c>
      <c r="M38" s="2604">
        <f>IFERROR(TBIn!E2092,0)</f>
        <v>0</v>
      </c>
      <c r="N38" s="326">
        <f t="shared" si="9"/>
        <v>0</v>
      </c>
      <c r="O38" s="587">
        <f t="shared" si="2"/>
        <v>0</v>
      </c>
      <c r="P38" s="80">
        <v>35</v>
      </c>
      <c r="Q38" s="843">
        <v>0</v>
      </c>
      <c r="R38" s="843">
        <f t="shared" si="10"/>
        <v>0</v>
      </c>
      <c r="S38" s="843">
        <f t="shared" si="11"/>
        <v>0</v>
      </c>
      <c r="T38" s="843">
        <f t="shared" si="12"/>
        <v>0</v>
      </c>
      <c r="U38" s="843">
        <f t="shared" si="13"/>
        <v>0</v>
      </c>
    </row>
    <row r="39" spans="1:21" ht="16" customHeight="1">
      <c r="A39" s="80">
        <v>36</v>
      </c>
      <c r="B39" s="101" t="s">
        <v>118</v>
      </c>
      <c r="C39" s="1539" t="str">
        <f>OR_VEH!B388</f>
        <v>NE PAS UTILISER</v>
      </c>
      <c r="D39" s="1588"/>
      <c r="E39" s="779" t="s">
        <v>367</v>
      </c>
      <c r="F39" s="269">
        <f>IFERROR(IF(Flag=TRUE,K39-TBIn!E519,TBIn!D519),0)</f>
        <v>0</v>
      </c>
      <c r="G39" s="2599">
        <f>IFERROR(IF(Flag=TRUE,L39-TBIn!E2053,TBIn!D2053),0)</f>
        <v>0</v>
      </c>
      <c r="H39" s="2601">
        <f>IFERROR(IF(Flag=TRUE,M39-TBIn!E2093,TBIn!D2093),0)</f>
        <v>0</v>
      </c>
      <c r="I39" s="557">
        <f t="shared" si="8"/>
        <v>0</v>
      </c>
      <c r="J39" s="608">
        <f t="shared" si="1"/>
        <v>0</v>
      </c>
      <c r="K39" s="721">
        <f>IFERROR(TBIn!E519,0)</f>
        <v>0</v>
      </c>
      <c r="L39" s="2574">
        <f>IFERROR(TBIn!E2053,0)</f>
        <v>0</v>
      </c>
      <c r="M39" s="2604">
        <f>IFERROR(TBIn!E2093,0)</f>
        <v>0</v>
      </c>
      <c r="N39" s="326">
        <f t="shared" si="9"/>
        <v>0</v>
      </c>
      <c r="O39" s="587">
        <f t="shared" si="2"/>
        <v>0</v>
      </c>
      <c r="P39" s="80">
        <v>36</v>
      </c>
      <c r="Q39" s="843">
        <v>0</v>
      </c>
      <c r="R39" s="843">
        <f t="shared" si="10"/>
        <v>0</v>
      </c>
      <c r="S39" s="843">
        <f t="shared" si="11"/>
        <v>0</v>
      </c>
      <c r="T39" s="843">
        <f t="shared" si="12"/>
        <v>0</v>
      </c>
      <c r="U39" s="843">
        <f t="shared" si="13"/>
        <v>0</v>
      </c>
    </row>
    <row r="40" spans="1:21" ht="16" customHeight="1">
      <c r="A40" s="80">
        <v>37</v>
      </c>
      <c r="B40" s="101" t="s">
        <v>157</v>
      </c>
      <c r="C40" s="1600" t="str">
        <f>OR_VEH!B389</f>
        <v>NE PAS UTILISER</v>
      </c>
      <c r="D40" s="1588"/>
      <c r="E40" s="779" t="s">
        <v>368</v>
      </c>
      <c r="F40" s="269">
        <f>IFERROR(IF(Flag=TRUE,K40-TBIn!E520,TBIn!D520),0)</f>
        <v>0</v>
      </c>
      <c r="G40" s="2599">
        <f>IFERROR(IF(Flag=TRUE,L40-TBIn!E2054,TBIn!D2054),0)</f>
        <v>0</v>
      </c>
      <c r="H40" s="2601">
        <f>IFERROR(IF(Flag=TRUE,M40-TBIn!E2094,TBIn!D2094),0)</f>
        <v>0</v>
      </c>
      <c r="I40" s="557">
        <f t="shared" si="8"/>
        <v>0</v>
      </c>
      <c r="J40" s="608">
        <f t="shared" si="1"/>
        <v>0</v>
      </c>
      <c r="K40" s="721">
        <f>IFERROR(TBIn!E520,0)</f>
        <v>0</v>
      </c>
      <c r="L40" s="2574">
        <f>IFERROR(TBIn!E2054,0)</f>
        <v>0</v>
      </c>
      <c r="M40" s="2604">
        <f>IFERROR(TBIn!E2094,0)</f>
        <v>0</v>
      </c>
      <c r="N40" s="326">
        <f t="shared" si="9"/>
        <v>0</v>
      </c>
      <c r="O40" s="587">
        <f t="shared" si="2"/>
        <v>0</v>
      </c>
      <c r="P40" s="80">
        <v>37</v>
      </c>
      <c r="Q40" s="843">
        <v>0</v>
      </c>
      <c r="R40" s="843">
        <f t="shared" si="10"/>
        <v>0</v>
      </c>
      <c r="S40" s="843">
        <f t="shared" si="11"/>
        <v>0</v>
      </c>
      <c r="T40" s="843">
        <f t="shared" si="12"/>
        <v>0</v>
      </c>
      <c r="U40" s="843">
        <f t="shared" si="13"/>
        <v>0</v>
      </c>
    </row>
    <row r="41" spans="1:21" ht="16" customHeight="1">
      <c r="A41" s="80">
        <v>38</v>
      </c>
      <c r="B41" s="101" t="s">
        <v>124</v>
      </c>
      <c r="C41" s="1600" t="str">
        <f>OR_VEH!B390</f>
        <v>NE PAS UTILISER</v>
      </c>
      <c r="D41" s="1588"/>
      <c r="E41" s="779" t="s">
        <v>369</v>
      </c>
      <c r="F41" s="269">
        <f>IFERROR(IF(Flag=TRUE,K41-TBIn!E521,TBIn!D521),0)</f>
        <v>0</v>
      </c>
      <c r="G41" s="2599">
        <f>IFERROR(IF(Flag=TRUE,L41-TBIn!E2055,TBIn!D2055),0)</f>
        <v>0</v>
      </c>
      <c r="H41" s="2601">
        <f>IFERROR(IF(Flag=TRUE,M41-TBIn!E2095,TBIn!D2095),0)</f>
        <v>0</v>
      </c>
      <c r="I41" s="557">
        <f t="shared" si="8"/>
        <v>0</v>
      </c>
      <c r="J41" s="608">
        <f t="shared" si="1"/>
        <v>0</v>
      </c>
      <c r="K41" s="721">
        <f>IFERROR(TBIn!E521,0)</f>
        <v>0</v>
      </c>
      <c r="L41" s="2574">
        <f>IFERROR(TBIn!E2055,0)</f>
        <v>0</v>
      </c>
      <c r="M41" s="2604">
        <f>IFERROR(TBIn!E2095,0)</f>
        <v>0</v>
      </c>
      <c r="N41" s="326">
        <f t="shared" si="9"/>
        <v>0</v>
      </c>
      <c r="O41" s="587">
        <f t="shared" si="2"/>
        <v>0</v>
      </c>
      <c r="P41" s="80">
        <v>38</v>
      </c>
      <c r="Q41" s="843">
        <v>0</v>
      </c>
      <c r="R41" s="843">
        <f t="shared" si="10"/>
        <v>0</v>
      </c>
      <c r="S41" s="843">
        <f t="shared" si="11"/>
        <v>0</v>
      </c>
      <c r="T41" s="843">
        <f t="shared" si="12"/>
        <v>0</v>
      </c>
      <c r="U41" s="843">
        <f t="shared" si="13"/>
        <v>0</v>
      </c>
    </row>
    <row r="42" spans="1:21" ht="16" customHeight="1">
      <c r="A42" s="80">
        <v>39</v>
      </c>
      <c r="B42" s="101"/>
      <c r="C42" s="1600" t="str">
        <f>OR_VEH!B391</f>
        <v>NE PAS UTILISER</v>
      </c>
      <c r="D42" s="1588"/>
      <c r="E42" s="779" t="s">
        <v>370</v>
      </c>
      <c r="F42" s="269">
        <f>IFERROR(IF(Flag=TRUE,K42-TBIn!E522,TBIn!D522),0)</f>
        <v>0</v>
      </c>
      <c r="G42" s="2599">
        <f>IFERROR(IF(Flag=TRUE,L42-TBIn!E2056,TBIn!D2056),0)</f>
        <v>0</v>
      </c>
      <c r="H42" s="2601">
        <f>IFERROR(IF(Flag=TRUE,M42-TBIn!E2096,TBIn!D2096),0)</f>
        <v>0</v>
      </c>
      <c r="I42" s="557">
        <f t="shared" si="8"/>
        <v>0</v>
      </c>
      <c r="J42" s="608">
        <f t="shared" si="1"/>
        <v>0</v>
      </c>
      <c r="K42" s="721">
        <f>IFERROR(TBIn!E522,0)</f>
        <v>0</v>
      </c>
      <c r="L42" s="2574">
        <f>IFERROR(TBIn!E2056,0)</f>
        <v>0</v>
      </c>
      <c r="M42" s="2604">
        <f>IFERROR(TBIn!E2096,0)</f>
        <v>0</v>
      </c>
      <c r="N42" s="326">
        <f t="shared" si="9"/>
        <v>0</v>
      </c>
      <c r="O42" s="587">
        <f t="shared" si="2"/>
        <v>0</v>
      </c>
      <c r="P42" s="80">
        <v>39</v>
      </c>
      <c r="Q42" s="843">
        <v>0</v>
      </c>
      <c r="R42" s="843">
        <f t="shared" si="10"/>
        <v>0</v>
      </c>
      <c r="S42" s="843">
        <f t="shared" si="11"/>
        <v>0</v>
      </c>
      <c r="T42" s="843">
        <f t="shared" si="12"/>
        <v>0</v>
      </c>
      <c r="U42" s="843">
        <f t="shared" si="13"/>
        <v>0</v>
      </c>
    </row>
    <row r="43" spans="1:21" ht="16" customHeight="1">
      <c r="A43" s="80">
        <v>40</v>
      </c>
      <c r="B43" s="101"/>
      <c r="C43" s="1600" t="str">
        <f>OR_VEH!B392</f>
        <v>NE PAS UTILISER</v>
      </c>
      <c r="D43" s="1588"/>
      <c r="E43" s="779" t="s">
        <v>371</v>
      </c>
      <c r="F43" s="269">
        <f>IFERROR(IF(Flag=TRUE,K43-TBIn!E523,TBIn!D523),0)</f>
        <v>0</v>
      </c>
      <c r="G43" s="2599">
        <f>IFERROR(IF(Flag=TRUE,L43-TBIn!E2057,TBIn!D2057),0)</f>
        <v>0</v>
      </c>
      <c r="H43" s="2601">
        <f>IFERROR(IF(Flag=TRUE,M43-TBIn!E2097,TBIn!D2097),0)</f>
        <v>0</v>
      </c>
      <c r="I43" s="557">
        <f t="shared" si="8"/>
        <v>0</v>
      </c>
      <c r="J43" s="608">
        <f t="shared" si="1"/>
        <v>0</v>
      </c>
      <c r="K43" s="721">
        <f>IFERROR(TBIn!E523,0)</f>
        <v>0</v>
      </c>
      <c r="L43" s="2574">
        <f>IFERROR(TBIn!E2057,0)</f>
        <v>0</v>
      </c>
      <c r="M43" s="2604">
        <f>IFERROR(TBIn!E2097,0)</f>
        <v>0</v>
      </c>
      <c r="N43" s="326">
        <f t="shared" si="9"/>
        <v>0</v>
      </c>
      <c r="O43" s="587">
        <f t="shared" si="2"/>
        <v>0</v>
      </c>
      <c r="P43" s="80">
        <v>40</v>
      </c>
      <c r="Q43" s="843">
        <v>0</v>
      </c>
      <c r="R43" s="843">
        <f t="shared" si="10"/>
        <v>0</v>
      </c>
      <c r="S43" s="843">
        <f t="shared" si="11"/>
        <v>0</v>
      </c>
      <c r="T43" s="843">
        <f t="shared" si="12"/>
        <v>0</v>
      </c>
      <c r="U43" s="843">
        <f t="shared" si="13"/>
        <v>0</v>
      </c>
    </row>
    <row r="44" spans="1:21" ht="16" customHeight="1">
      <c r="A44" s="80">
        <v>41</v>
      </c>
      <c r="B44" s="101"/>
      <c r="C44" s="274" t="s">
        <v>162</v>
      </c>
      <c r="D44" s="264"/>
      <c r="E44" s="778"/>
      <c r="F44" s="715">
        <f>SUM(F28:F43)</f>
        <v>1</v>
      </c>
      <c r="G44" s="716">
        <f>SUM(G28:G43)</f>
        <v>139503</v>
      </c>
      <c r="H44" s="716">
        <f>SUM(H28:H43)</f>
        <v>132182</v>
      </c>
      <c r="I44" s="716">
        <f>SUM(I28:I43)</f>
        <v>7321</v>
      </c>
      <c r="J44" s="132">
        <f t="shared" si="1"/>
        <v>7321</v>
      </c>
      <c r="K44" s="2496">
        <f>SUM(K28:K43)</f>
        <v>6</v>
      </c>
      <c r="L44" s="949">
        <f>SUM(L28:L43)</f>
        <v>752856</v>
      </c>
      <c r="M44" s="949">
        <f>SUM(M28:M43)</f>
        <v>708229</v>
      </c>
      <c r="N44" s="716">
        <f>SUM(N28:N43)</f>
        <v>44627</v>
      </c>
      <c r="O44" s="132">
        <f t="shared" si="2"/>
        <v>7437.833333333333</v>
      </c>
      <c r="P44" s="80">
        <v>41</v>
      </c>
      <c r="Q44" s="843"/>
      <c r="R44" s="843"/>
      <c r="S44" s="843"/>
      <c r="T44" s="843"/>
      <c r="U44" s="843"/>
    </row>
    <row r="45" spans="1:21" ht="16" customHeight="1">
      <c r="A45" s="80">
        <v>42</v>
      </c>
      <c r="B45" s="215"/>
      <c r="C45" s="1602" t="str">
        <f>OR_VEH!B394</f>
        <v>MÉMO* VENTES INTERNET CAMIONS</v>
      </c>
      <c r="D45" s="1592"/>
      <c r="E45" s="779" t="s">
        <v>372</v>
      </c>
      <c r="F45" s="269">
        <f>IFERROR(IF(Flag=TRUE,K45-TBIn!E524,TBIn!D524),0)</f>
        <v>0</v>
      </c>
      <c r="G45" s="2599">
        <f>IFERROR(IF(Flag=TRUE,L45-TBIn!$E$162,TBIn!$D$162),0)</f>
        <v>0</v>
      </c>
      <c r="H45" s="2601">
        <f>IFERROR(IF(Flag=TRUE,M45-TBIn!$E$182,TBIn!$D$182),0)</f>
        <v>0</v>
      </c>
      <c r="I45" s="557">
        <f>G45-H45</f>
        <v>0</v>
      </c>
      <c r="J45" s="608">
        <f t="shared" si="1"/>
        <v>0</v>
      </c>
      <c r="K45" s="721">
        <f>IFERROR(TBIn!E524,0)</f>
        <v>0</v>
      </c>
      <c r="L45" s="2574">
        <f>IFERROR(TBIn!$E$162,0)</f>
        <v>0</v>
      </c>
      <c r="M45" s="2604">
        <f>IFERROR(TBIn!$E$182,0)</f>
        <v>0</v>
      </c>
      <c r="N45" s="326">
        <f>L45-M45</f>
        <v>0</v>
      </c>
      <c r="O45" s="587">
        <f t="shared" si="2"/>
        <v>0</v>
      </c>
      <c r="P45" s="80">
        <v>42</v>
      </c>
      <c r="Q45" s="843">
        <v>0</v>
      </c>
      <c r="R45" s="843">
        <f>IF(F45=0,0,IF(G45/F45&gt;Q45,1,0))</f>
        <v>0</v>
      </c>
      <c r="S45" s="843">
        <f>IF(K45=0,0,IF(OR(L45&lt;0,L45/K45&gt;Q45),1,0))</f>
        <v>0</v>
      </c>
      <c r="T45" s="843">
        <f>IF(OR(F45&lt;0,AND(G45&gt;0,F45=0),AND(G45=0,F45&gt;0)),1,0)</f>
        <v>0</v>
      </c>
      <c r="U45" s="843">
        <f>IF(OR(K45&lt;0,AND(L45&gt;0,K45=0),AND(K45&gt;0,L45=0)),1,0)</f>
        <v>0</v>
      </c>
    </row>
    <row r="46" spans="1:21" ht="20.5" customHeight="1">
      <c r="A46" s="80">
        <v>43</v>
      </c>
      <c r="B46" s="101"/>
      <c r="C46" s="1605" t="str">
        <f>OR_VEH!B395</f>
        <v>TOTAL PARCS - CAMIONS</v>
      </c>
      <c r="D46" s="1595"/>
      <c r="E46" s="2525" t="s">
        <v>139</v>
      </c>
      <c r="F46" s="269">
        <f>IFERROR(IF(Flag=TRUE,K46-TBIn!E525,TBIn!D525),0)</f>
        <v>0</v>
      </c>
      <c r="G46" s="2599">
        <f>IFERROR(IF(Flag=TRUE,L46-TBIn!E2058,TBIn!D2058),0)</f>
        <v>0</v>
      </c>
      <c r="H46" s="2599">
        <f>IFERROR(IF(Flag=TRUE,M46-TBIn!E2098,TBIn!D2098),0)</f>
        <v>0</v>
      </c>
      <c r="I46" s="552">
        <f>G46-H46</f>
        <v>0</v>
      </c>
      <c r="J46" s="608">
        <f t="shared" si="1"/>
        <v>0</v>
      </c>
      <c r="K46" s="721">
        <f>IFERROR(TBIn!E525,0)</f>
        <v>0</v>
      </c>
      <c r="L46" s="2574">
        <f>IFERROR(TBIn!E2058,0)</f>
        <v>0</v>
      </c>
      <c r="M46" s="2574">
        <f>IFERROR(TBIn!E2098,0)</f>
        <v>0</v>
      </c>
      <c r="N46" s="2679">
        <f>L46-M46</f>
        <v>0</v>
      </c>
      <c r="O46" s="587">
        <f t="shared" si="2"/>
        <v>0</v>
      </c>
      <c r="P46" s="80">
        <v>43</v>
      </c>
      <c r="Q46" s="843">
        <v>0</v>
      </c>
      <c r="R46" s="843">
        <f>IF(F46=0,0,IF(G46/F46&gt;Q46,1,0))</f>
        <v>0</v>
      </c>
      <c r="S46" s="843">
        <f>IF(K46=0,0,IF(OR(L46&lt;0,L46/K46&gt;Q46),1,0))</f>
        <v>0</v>
      </c>
      <c r="T46" s="843">
        <f>IF(OR(F46&lt;0,AND(G46&gt;0,F46=0),AND(G46=0,F46&gt;0)),1,0)</f>
        <v>0</v>
      </c>
      <c r="U46" s="843">
        <f>IF(OR(K46&lt;0,AND(L46&gt;0,K46=0),AND(K46&gt;0,L46=0)),1,0)</f>
        <v>0</v>
      </c>
    </row>
    <row r="47" spans="1:21" ht="16" customHeight="1">
      <c r="A47" s="80">
        <v>44</v>
      </c>
      <c r="B47" s="215"/>
      <c r="C47" s="1606" t="str">
        <f>OR_VEH!B396</f>
        <v xml:space="preserve">TOTAL IINTERNE - CAMIONS </v>
      </c>
      <c r="D47" s="1608"/>
      <c r="E47" s="780" t="s">
        <v>373</v>
      </c>
      <c r="F47" s="269">
        <f>IFERROR(IF(Flag=TRUE,K47-TBIn!E526,TBIn!D526),0)</f>
        <v>0</v>
      </c>
      <c r="G47" s="2599">
        <f>IFERROR(IF(Flag=TRUE,L47-TBIn!E2059,TBIn!D2059),0)</f>
        <v>0</v>
      </c>
      <c r="H47" s="2599">
        <f>IFERROR(IF(Flag=TRUE,M47-TBIn!E2099,TBIn!D2099),0)</f>
        <v>0</v>
      </c>
      <c r="I47" s="552">
        <f>G47-H47</f>
        <v>0</v>
      </c>
      <c r="J47" s="608">
        <f t="shared" si="1"/>
        <v>0</v>
      </c>
      <c r="K47" s="721">
        <f>IFERROR(TBIn!E526,0)</f>
        <v>0</v>
      </c>
      <c r="L47" s="2574">
        <f>IFERROR(TBIn!E2059,0)</f>
        <v>0</v>
      </c>
      <c r="M47" s="2574">
        <f>IFERROR(TBIn!E2099,0)</f>
        <v>0</v>
      </c>
      <c r="N47" s="555">
        <f>L47-M47</f>
        <v>0</v>
      </c>
      <c r="O47" s="587">
        <f t="shared" si="2"/>
        <v>0</v>
      </c>
      <c r="P47" s="80">
        <v>44</v>
      </c>
      <c r="Q47" s="843">
        <v>0</v>
      </c>
      <c r="R47" s="843">
        <f>IF(F47=0,0,IF(G47/F47&gt;Q47,1,0))</f>
        <v>0</v>
      </c>
      <c r="S47" s="843">
        <f>IF(K47=0,0,IF(OR(L47&lt;0,L47/K47&gt;Q47),1,0))</f>
        <v>0</v>
      </c>
      <c r="T47" s="843">
        <f>IF(OR(F47&lt;0,AND(G47&gt;0,F47=0),AND(G47=0,F47&gt;0)),1,0)</f>
        <v>0</v>
      </c>
      <c r="U47" s="843">
        <f>IF(OR(K47&lt;0,AND(L47&gt;0,K47=0),AND(K47&gt;0,L47=0)),1,0)</f>
        <v>0</v>
      </c>
    </row>
    <row r="48" spans="1:21" ht="16" customHeight="1">
      <c r="A48" s="80">
        <v>45</v>
      </c>
      <c r="B48" s="241"/>
      <c r="C48" s="229" t="s">
        <v>165</v>
      </c>
      <c r="D48" s="210"/>
      <c r="E48" s="781"/>
      <c r="F48" s="715">
        <f>F44+F46+F47</f>
        <v>1</v>
      </c>
      <c r="G48" s="716">
        <f>G44+G46+G47</f>
        <v>139503</v>
      </c>
      <c r="H48" s="716">
        <f>H44+H46+H47</f>
        <v>132182</v>
      </c>
      <c r="I48" s="716">
        <f>I44+I46+I47</f>
        <v>7321</v>
      </c>
      <c r="J48" s="132">
        <f t="shared" si="1"/>
        <v>7321</v>
      </c>
      <c r="K48" s="2496">
        <f>K44+K46+K47</f>
        <v>6</v>
      </c>
      <c r="L48" s="949">
        <f>L44+L46+L47</f>
        <v>752856</v>
      </c>
      <c r="M48" s="949">
        <f>M44+M46+M47</f>
        <v>708229</v>
      </c>
      <c r="N48" s="716">
        <f>N44+N46+N47</f>
        <v>44627</v>
      </c>
      <c r="O48" s="132">
        <f>IF(K48&gt;0,N48/K48,0)</f>
        <v>7437.833333333333</v>
      </c>
      <c r="P48" s="80">
        <v>45</v>
      </c>
      <c r="Q48" s="843"/>
      <c r="R48" s="843"/>
      <c r="S48" s="843"/>
      <c r="T48" s="843"/>
      <c r="U48" s="843"/>
    </row>
    <row r="49" spans="1:21" s="30" customFormat="1" ht="16" customHeight="1">
      <c r="A49" s="80">
        <v>46</v>
      </c>
      <c r="B49" s="96"/>
      <c r="C49" s="266" t="str">
        <f>OR_VEH!B398</f>
        <v xml:space="preserve"> </v>
      </c>
      <c r="D49" s="262"/>
      <c r="E49" s="779" t="s">
        <v>166</v>
      </c>
      <c r="F49" s="1965"/>
      <c r="G49" s="2599"/>
      <c r="H49" s="2601"/>
      <c r="I49" s="557"/>
      <c r="J49" s="831"/>
      <c r="K49" s="2678"/>
      <c r="L49" s="2698"/>
      <c r="M49" s="2699"/>
      <c r="N49" s="326"/>
      <c r="O49" s="597"/>
      <c r="P49" s="80">
        <v>46</v>
      </c>
      <c r="Q49" s="712">
        <v>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OR_VEH!B399</f>
        <v>ACCESSOIRES</v>
      </c>
      <c r="D50" s="1588"/>
      <c r="E50" s="779" t="s">
        <v>374</v>
      </c>
      <c r="F50" s="269">
        <f>IFERROR(IF(Flag=TRUE,K50-TBIn!E527,TBIn!D527),0)</f>
        <v>0</v>
      </c>
      <c r="G50" s="2599">
        <f>IFERROR(IF(Flag=TRUE,L50-TBIn!E2060,TBIn!D2060),0)</f>
        <v>0</v>
      </c>
      <c r="H50" s="2601">
        <f>IFERROR(IF(Flag=TRUE,M50-TBIn!E2100,TBIn!D2100),0)</f>
        <v>0</v>
      </c>
      <c r="I50" s="557">
        <f>G50-H50</f>
        <v>0</v>
      </c>
      <c r="J50" s="828">
        <f>IF(F51=0,0,I50/F$51)</f>
        <v>0</v>
      </c>
      <c r="K50" s="721">
        <f>IFERROR(TBIn!E527,0)</f>
        <v>0</v>
      </c>
      <c r="L50" s="2574">
        <f>IFERROR(TBIn!E2060,0)</f>
        <v>0</v>
      </c>
      <c r="M50" s="2604">
        <f>IFERROR(TBIn!E2100,0)</f>
        <v>0</v>
      </c>
      <c r="N50" s="326">
        <f>L50-M50</f>
        <v>0</v>
      </c>
      <c r="O50" s="830">
        <f>IF(K51=0,0,N50/K$51)</f>
        <v>0</v>
      </c>
      <c r="P50" s="80">
        <v>47</v>
      </c>
      <c r="Q50" s="712">
        <v>0</v>
      </c>
      <c r="R50" s="712">
        <f>IF(F50=0,0,IF(G50/F50&gt;Q50,1,0))</f>
        <v>0</v>
      </c>
      <c r="S50" s="712">
        <f>IF(K50=0,0,IF(OR(L50&lt;0,L50/K50&gt;Q50),1,0))</f>
        <v>0</v>
      </c>
      <c r="T50" s="712">
        <f>IF(OR(F50&lt;0,AND(G50&gt;0,F50=0),AND(G50=0,F50&gt;0)),1,0)</f>
        <v>0</v>
      </c>
      <c r="U50" s="712">
        <f>IF(OR(K50&lt;0,AND(L50&gt;0,K50=0),AND(K50&gt;0,L50=0)),1,0)</f>
        <v>0</v>
      </c>
    </row>
    <row r="51" spans="1:21" ht="16" customHeight="1">
      <c r="A51" s="179">
        <v>48</v>
      </c>
      <c r="B51" s="241"/>
      <c r="C51" s="229" t="s">
        <v>168</v>
      </c>
      <c r="D51" s="222"/>
      <c r="E51" s="216"/>
      <c r="F51" s="761">
        <f>IFERROR(IF(Flag=TRUE,F27+F48,TBIn!D528),0)</f>
        <v>1</v>
      </c>
      <c r="G51" s="716">
        <f>G27+G48+G50</f>
        <v>139503</v>
      </c>
      <c r="H51" s="848">
        <f>H27+H48+H50</f>
        <v>132182</v>
      </c>
      <c r="I51" s="1423">
        <f>IFERROR(IF(Flag=TRUE,I27+I48+I50,TBIn!D2101),0)</f>
        <v>7321</v>
      </c>
      <c r="J51" s="1087">
        <f>IF(F51=0,0,I51/F$51)</f>
        <v>7321</v>
      </c>
      <c r="K51" s="761">
        <f>IFERROR(IF(Flag=TRUE,K27+K48,TBIn!E528),0)</f>
        <v>6</v>
      </c>
      <c r="L51" s="716">
        <f>L27+L48+L50</f>
        <v>752856</v>
      </c>
      <c r="M51" s="848">
        <f>M27+M48+M50</f>
        <v>708229</v>
      </c>
      <c r="N51" s="1423">
        <f>IFERROR(IF(Flag=TRUE,N27+N48+N50,TBIn!E2101),0)</f>
        <v>44627</v>
      </c>
      <c r="O51" s="1087">
        <f>IF(K51=0,0,N51/K$51)</f>
        <v>7437.833333333333</v>
      </c>
      <c r="P51" s="179">
        <v>48</v>
      </c>
      <c r="Q51" s="843"/>
      <c r="R51" s="843"/>
      <c r="S51" s="843"/>
      <c r="T51" s="843"/>
      <c r="U51" s="843"/>
    </row>
    <row r="52" spans="1:21" ht="16" customHeight="1">
      <c r="A52" s="76"/>
      <c r="B52" s="84" t="s">
        <v>169</v>
      </c>
      <c r="C52" s="84"/>
      <c r="D52" s="84"/>
      <c r="E52" s="84"/>
      <c r="F52" s="84"/>
      <c r="G52" s="84"/>
      <c r="H52" s="84"/>
      <c r="I52" s="76"/>
      <c r="J52" s="267" t="s">
        <v>170</v>
      </c>
      <c r="K52" s="76"/>
      <c r="L52" s="76"/>
      <c r="M52" s="76"/>
      <c r="N52" s="76"/>
      <c r="O52" s="267" t="s">
        <v>170</v>
      </c>
      <c r="P52" s="76"/>
      <c r="Q52" s="843"/>
      <c r="R52" s="843"/>
      <c r="S52" s="843"/>
      <c r="T52" s="843"/>
      <c r="U52" s="843"/>
    </row>
    <row r="53" spans="1:21" hidden="1">
      <c r="A53" s="3"/>
      <c r="B53" s="3"/>
      <c r="C53" s="3"/>
      <c r="D53" s="3"/>
      <c r="E53" s="3"/>
      <c r="F53" s="3"/>
      <c r="G53" s="3"/>
      <c r="H53" s="3"/>
      <c r="I53" s="16"/>
      <c r="J53" s="3"/>
      <c r="K53" s="3"/>
      <c r="L53" s="3"/>
      <c r="M53" s="3"/>
      <c r="N53" s="3"/>
      <c r="O53" s="3"/>
      <c r="P53" s="3"/>
    </row>
    <row r="54" spans="1:21" hidden="1">
      <c r="A54" s="3"/>
      <c r="B54" s="3"/>
      <c r="C54" s="3"/>
      <c r="E54" s="3"/>
      <c r="F54" s="3"/>
      <c r="G54" s="3"/>
      <c r="H54" s="3"/>
      <c r="I54" s="3"/>
      <c r="J54" s="3"/>
      <c r="K54" s="3"/>
      <c r="L54" s="3"/>
      <c r="M54" s="3"/>
      <c r="N54" s="3"/>
      <c r="O54" s="3"/>
      <c r="P54" s="3"/>
    </row>
    <row r="56" spans="1:21" hidden="1">
      <c r="D56" s="30" t="s">
        <v>171</v>
      </c>
      <c r="E56" s="1239" t="s">
        <v>88</v>
      </c>
      <c r="F56" s="30" t="s">
        <v>172</v>
      </c>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igV1exS1dECV9cJ96Ti96HzlIClFKRxp0lXr1phSzoFkHC9S8oxVJ8op1n7NXxQ6FgsuKonHBH5u4kVzIbQAnQ==" saltValue="9jTK/wGbOFGI9z0wptV5fQ==" spinCount="100000" sheet="1" objects="1" scenarios="1"/>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900-000000000000}">
      <formula1>-999999999999</formula1>
      <formula2>9999999999999</formula2>
    </dataValidation>
  </dataValidations>
  <hyperlinks>
    <hyperlink ref="C4" r:id="rId1" tooltip="Lien au Manuel des méthodes comptables GM" display="http://gm-ca-fr.acctmanual.com/New_Vehicle/400-418_Voitures_neuves_au_d_tail.htm" xr:uid="{00000000-0004-0000-0900-000000000000}"/>
    <hyperlink ref="C24" r:id="rId2" tooltip="Lien au Manuel des méthodes comptables GM" display="http://gm-ca-fr.acctmanual.com/New_Vehicle/419_Voitures_neuves_Internet_(compte_m_mo).htm" xr:uid="{00000000-0004-0000-0900-000001000000}"/>
    <hyperlink ref="C25" r:id="rId3" tooltip="Lien au Manuel des méthodes comptables GM" display="http://gm-ca-fr.acctmanual.com/New_Vehicle/420_Voitures_neuves_-_Parcs.htm" xr:uid="{00000000-0004-0000-0900-000002000000}"/>
    <hyperlink ref="C26" r:id="rId4" tooltip="Lien au Manuel des méthodes comptables GM" display="http://gm-ca-fr.acctmanual.com/New_Vehicle/421_Voitures_neuves_-_Interne.htm" xr:uid="{00000000-0004-0000-0900-000003000000}"/>
    <hyperlink ref="C28" r:id="rId5" tooltip="Lien au Manuel des méthodes comptables GM" display="http://gm-ca-fr.acctmanual.com/New_Vehicle/423-438_Camions_neufs_-_au_d_tail.htm" xr:uid="{00000000-0004-0000-0900-000004000000}"/>
    <hyperlink ref="C45" r:id="rId6" tooltip="Lien au Manuel des méthodes comptables GM" display="http://gm-ca-fr.acctmanual.com/New_Vehicle/439_Camions_neufs_Internet_(compte_m_mo).htm" xr:uid="{00000000-0004-0000-0900-000005000000}"/>
    <hyperlink ref="C46" r:id="rId7" tooltip="Lien au Manuel des méthodes comptables GM" display="http://gm-ca-fr.acctmanual.com/New_Vehicle/440_Camions_neufs_-_Parcs.htm" xr:uid="{00000000-0004-0000-0900-000006000000}"/>
    <hyperlink ref="C47" r:id="rId8" tooltip="Lien au Manuel des méthodes comptables GM" display="http://gm-ca-fr.acctmanual.com/New_Vehicle/441_Camions_neufs_-_Interne.htm" xr:uid="{00000000-0004-0000-0900-000007000000}"/>
    <hyperlink ref="C50" r:id="rId9" tooltip="Lien au Manuel des méthodes comptables GM" display="http://gm-ca-fr.acctmanual.com/New_Vehicle/457_Accessoires.htm" xr:uid="{00000000-0004-0000-0900-000008000000}"/>
  </hyperlinks>
  <pageMargins left="0.25" right="0.25" top="0.25" bottom="0.25" header="0.5" footer="0.5"/>
  <pageSetup scale="63" orientation="portrait" horizontalDpi="180" verticalDpi="180"/>
  <headerFooter alignWithMargins="0"/>
  <drawing r:id="rId10"/>
  <legacyDrawing r:id="rId11"/>
  <controls>
    <mc:AlternateContent xmlns:mc="http://schemas.openxmlformats.org/markup-compatibility/2006">
      <mc:Choice Requires="x14">
        <control shapeId="22529" r:id="rId12" name="CommandButton5h">
          <controlPr defaultSize="0" print="0" autoFill="0" autoLine="0" r:id="rId13">
            <anchor moveWithCells="1">
              <from>
                <xdr:col>11</xdr:col>
                <xdr:colOff>393700</xdr:colOff>
                <xdr:row>0</xdr:row>
                <xdr:rowOff>0</xdr:rowOff>
              </from>
              <to>
                <xdr:col>12</xdr:col>
                <xdr:colOff>825500</xdr:colOff>
                <xdr:row>1</xdr:row>
                <xdr:rowOff>19050</xdr:rowOff>
              </to>
            </anchor>
          </controlPr>
        </control>
      </mc:Choice>
      <mc:Fallback>
        <control shapeId="22529" r:id="rId12" name="CommandButton5h"/>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2">
    <pageSetUpPr autoPageBreaks="0" fitToPage="1"/>
  </sheetPr>
  <dimension ref="A1:U61"/>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45312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s="569" customFormat="1" ht="21" customHeight="1">
      <c r="A1" s="76"/>
      <c r="B1" s="2762" t="str">
        <f>OR_VEH!B202</f>
        <v>CADILLAC</v>
      </c>
      <c r="C1" s="2762"/>
      <c r="D1" s="2762"/>
      <c r="E1" s="257"/>
      <c r="F1" s="491" t="s">
        <v>92</v>
      </c>
      <c r="G1" s="60"/>
      <c r="H1" s="60"/>
      <c r="I1" s="60"/>
      <c r="J1" s="60"/>
      <c r="K1" s="60"/>
      <c r="L1" s="61"/>
      <c r="M1" s="61"/>
      <c r="N1" s="61"/>
      <c r="O1" s="641"/>
      <c r="P1" s="62" t="str">
        <f>TBIn!$E$2458&amp;" - "&amp;TBIn!$AH$10&amp;" - PAGE 5 CAD MCI"</f>
        <v>319719 - 202504 - PAGE 5 CAD MCI</v>
      </c>
      <c r="Q1" s="643" t="s">
        <v>93</v>
      </c>
      <c r="R1" s="643" t="s">
        <v>94</v>
      </c>
      <c r="S1" s="643" t="s">
        <v>95</v>
      </c>
      <c r="T1" s="643" t="s">
        <v>94</v>
      </c>
      <c r="U1" s="643"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s="569" customFormat="1" ht="16" customHeight="1">
      <c r="A4" s="74">
        <v>1</v>
      </c>
      <c r="B4" s="215"/>
      <c r="C4" s="1535" t="str">
        <f>OR_VEH!B203</f>
        <v>NE PAS UTILISER</v>
      </c>
      <c r="D4" s="1536"/>
      <c r="E4" s="1037" t="s">
        <v>375</v>
      </c>
      <c r="F4" s="268">
        <f>IFERROR(IF(Flag=TRUE,K4-TBIn!E357,TBIn!D357),0)</f>
        <v>0</v>
      </c>
      <c r="G4" s="2598">
        <f>IFERROR(IF(Flag=TRUE,L4-TBIn!E1778,TBIn!D1778),0)</f>
        <v>0</v>
      </c>
      <c r="H4" s="2598">
        <f>IFERROR(IF(Flag=TRUE,M4-TBIn!E1818,TBIn!D1818),0)</f>
        <v>0</v>
      </c>
      <c r="I4" s="551">
        <f t="shared" ref="I4:I22" si="0">G4-H4</f>
        <v>0</v>
      </c>
      <c r="J4" s="584">
        <f t="shared" ref="J4:J48" si="1">IF(F4&gt;0,I4/F4,0)</f>
        <v>0</v>
      </c>
      <c r="K4" s="720">
        <f>IFERROR(TBIn!E357,0)</f>
        <v>0</v>
      </c>
      <c r="L4" s="2602">
        <f>IFERROR(TBIn!E1778,0)</f>
        <v>0</v>
      </c>
      <c r="M4" s="2602">
        <f>IFERROR(TBIn!E1818,0)</f>
        <v>0</v>
      </c>
      <c r="N4" s="554">
        <f>L4-M4</f>
        <v>0</v>
      </c>
      <c r="O4" s="585">
        <f t="shared" ref="O4:O47" si="2">IF(K4&gt;0,N4/K4,0)</f>
        <v>0</v>
      </c>
      <c r="P4" s="74">
        <v>1</v>
      </c>
      <c r="Q4" s="656">
        <v>0</v>
      </c>
      <c r="R4" s="656">
        <f>IF(F4=0,0,IF(G4/F4&gt;Q4,1,0))</f>
        <v>0</v>
      </c>
      <c r="S4" s="656">
        <f>IF(K4=0,0,IF(OR(L4&lt;0,L4/K4&gt;Q4),1,0))</f>
        <v>0</v>
      </c>
      <c r="T4" s="656">
        <f>IF(OR(F4&lt;0,AND(G4&gt;0,F4=0),AND(G4=0,F4&gt;0)),1,0)</f>
        <v>0</v>
      </c>
      <c r="U4" s="656">
        <f>IF(OR(K4&lt;0,AND(L4&gt;0,K4=0),AND(K4&gt;0,L4=0)),1,0)</f>
        <v>0</v>
      </c>
    </row>
    <row r="5" spans="1:21" s="569" customFormat="1" ht="16" customHeight="1">
      <c r="A5" s="80">
        <v>2</v>
      </c>
      <c r="B5" s="275" t="s">
        <v>110</v>
      </c>
      <c r="C5" s="1539" t="str">
        <f>OR_VEH!B204</f>
        <v>NE PAS UTILISER</v>
      </c>
      <c r="D5" s="1588"/>
      <c r="E5" s="776" t="s">
        <v>376</v>
      </c>
      <c r="F5" s="269">
        <f>IFERROR(IF(Flag=TRUE,K5-TBIn!E358,TBIn!D358),0)</f>
        <v>0</v>
      </c>
      <c r="G5" s="2599">
        <f>IFERROR(IF(Flag=TRUE,L5-TBIn!E1779,TBIn!D1779),0)</f>
        <v>0</v>
      </c>
      <c r="H5" s="2599">
        <f>IFERROR(IF(Flag=TRUE,M5-TBIn!E1819,TBIn!D1819),0)</f>
        <v>0</v>
      </c>
      <c r="I5" s="552">
        <f t="shared" si="0"/>
        <v>0</v>
      </c>
      <c r="J5" s="608">
        <f t="shared" si="1"/>
        <v>0</v>
      </c>
      <c r="K5" s="721">
        <f>IFERROR(TBIn!E358,0)</f>
        <v>0</v>
      </c>
      <c r="L5" s="2574">
        <f>IFERROR(TBIn!E1779,0)</f>
        <v>0</v>
      </c>
      <c r="M5" s="2574">
        <f>IFERROR(TBIn!E1819,0)</f>
        <v>0</v>
      </c>
      <c r="N5" s="555">
        <f t="shared" ref="N5:N22" si="3">L5-M5</f>
        <v>0</v>
      </c>
      <c r="O5" s="587">
        <f t="shared" si="2"/>
        <v>0</v>
      </c>
      <c r="P5" s="80">
        <v>2</v>
      </c>
      <c r="Q5" s="656">
        <v>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1" s="569" customFormat="1" ht="15.75" customHeight="1">
      <c r="A6" s="80">
        <v>3</v>
      </c>
      <c r="B6" s="275" t="s">
        <v>112</v>
      </c>
      <c r="C6" s="1539" t="str">
        <f>OR_VEH!B205</f>
        <v xml:space="preserve">CTS </v>
      </c>
      <c r="D6" s="1588"/>
      <c r="E6" s="776" t="s">
        <v>377</v>
      </c>
      <c r="F6" s="269">
        <f>IFERROR(IF(Flag=TRUE,K6-TBIn!E359,TBIn!D359),0)</f>
        <v>0</v>
      </c>
      <c r="G6" s="2599">
        <f>IFERROR(IF(Flag=TRUE,L6-TBIn!E1780,TBIn!D1780),0)</f>
        <v>0</v>
      </c>
      <c r="H6" s="2599">
        <f>IFERROR(IF(Flag=TRUE,M6-TBIn!E1820,TBIn!D1820),0)</f>
        <v>0</v>
      </c>
      <c r="I6" s="552">
        <f t="shared" si="0"/>
        <v>0</v>
      </c>
      <c r="J6" s="608">
        <f t="shared" si="1"/>
        <v>0</v>
      </c>
      <c r="K6" s="721">
        <f>IFERROR(TBIn!E359,0)</f>
        <v>0</v>
      </c>
      <c r="L6" s="2574">
        <f>IFERROR(TBIn!E1780,0)</f>
        <v>0</v>
      </c>
      <c r="M6" s="2574">
        <f>IFERROR(TBIn!E1820,0)</f>
        <v>0</v>
      </c>
      <c r="N6" s="555">
        <f t="shared" si="3"/>
        <v>0</v>
      </c>
      <c r="O6" s="587">
        <f t="shared" si="2"/>
        <v>0</v>
      </c>
      <c r="P6" s="80">
        <v>3</v>
      </c>
      <c r="Q6" s="656">
        <v>0</v>
      </c>
      <c r="R6" s="656">
        <f t="shared" si="4"/>
        <v>0</v>
      </c>
      <c r="S6" s="656">
        <f t="shared" si="5"/>
        <v>0</v>
      </c>
      <c r="T6" s="656">
        <f t="shared" si="6"/>
        <v>0</v>
      </c>
      <c r="U6" s="656">
        <f t="shared" si="7"/>
        <v>0</v>
      </c>
    </row>
    <row r="7" spans="1:21" s="569" customFormat="1" ht="15.75" customHeight="1">
      <c r="A7" s="80">
        <v>4</v>
      </c>
      <c r="B7" s="275" t="s">
        <v>114</v>
      </c>
      <c r="C7" s="1539" t="str">
        <f>OR_VEH!B206</f>
        <v>CTS-V</v>
      </c>
      <c r="D7" s="1588"/>
      <c r="E7" s="776" t="s">
        <v>378</v>
      </c>
      <c r="F7" s="269">
        <f>IFERROR(IF(Flag=TRUE,K7-TBIn!E360,TBIn!D360),0)</f>
        <v>0</v>
      </c>
      <c r="G7" s="2599">
        <f>IFERROR(IF(Flag=TRUE,L7-TBIn!E1781,TBIn!D1781),0)</f>
        <v>0</v>
      </c>
      <c r="H7" s="2599">
        <f>IFERROR(IF(Flag=TRUE,M7-TBIn!E1821,TBIn!D1821),0)</f>
        <v>0</v>
      </c>
      <c r="I7" s="552">
        <f t="shared" si="0"/>
        <v>0</v>
      </c>
      <c r="J7" s="608">
        <f t="shared" si="1"/>
        <v>0</v>
      </c>
      <c r="K7" s="721">
        <f>IFERROR(TBIn!E360,0)</f>
        <v>0</v>
      </c>
      <c r="L7" s="2574">
        <f>IFERROR(TBIn!E1781,0)</f>
        <v>0</v>
      </c>
      <c r="M7" s="2574">
        <f>IFERROR(TBIn!E1821,0)</f>
        <v>0</v>
      </c>
      <c r="N7" s="555">
        <f t="shared" si="3"/>
        <v>0</v>
      </c>
      <c r="O7" s="587">
        <f t="shared" si="2"/>
        <v>0</v>
      </c>
      <c r="P7" s="80">
        <v>4</v>
      </c>
      <c r="Q7" s="656">
        <v>0</v>
      </c>
      <c r="R7" s="656">
        <f t="shared" si="4"/>
        <v>0</v>
      </c>
      <c r="S7" s="656">
        <f t="shared" si="5"/>
        <v>0</v>
      </c>
      <c r="T7" s="656">
        <f t="shared" si="6"/>
        <v>0</v>
      </c>
      <c r="U7" s="656">
        <f t="shared" si="7"/>
        <v>0</v>
      </c>
    </row>
    <row r="8" spans="1:21" s="569" customFormat="1" ht="15.75" customHeight="1">
      <c r="A8" s="80">
        <v>5</v>
      </c>
      <c r="B8" s="275" t="s">
        <v>116</v>
      </c>
      <c r="C8" s="1539" t="str">
        <f>OR_VEH!B207</f>
        <v>CT4</v>
      </c>
      <c r="D8" s="1588"/>
      <c r="E8" s="776" t="s">
        <v>379</v>
      </c>
      <c r="F8" s="269">
        <f>IFERROR(IF(Flag=TRUE,K8-TBIn!E361,TBIn!D361),0)</f>
        <v>0</v>
      </c>
      <c r="G8" s="2599">
        <f>IFERROR(IF(Flag=TRUE,L8-TBIn!E1782,TBIn!D1782),0)</f>
        <v>0</v>
      </c>
      <c r="H8" s="2599">
        <f>IFERROR(IF(Flag=TRUE,M8-TBIn!E1822,TBIn!D1822),0)</f>
        <v>0</v>
      </c>
      <c r="I8" s="552">
        <f t="shared" si="0"/>
        <v>0</v>
      </c>
      <c r="J8" s="608">
        <f t="shared" si="1"/>
        <v>0</v>
      </c>
      <c r="K8" s="721">
        <f>IFERROR(TBIn!E361,0)</f>
        <v>0</v>
      </c>
      <c r="L8" s="2574">
        <f>IFERROR(TBIn!E1782,0)</f>
        <v>0</v>
      </c>
      <c r="M8" s="2574">
        <f>IFERROR(TBIn!E1822,0)</f>
        <v>0</v>
      </c>
      <c r="N8" s="555">
        <f t="shared" si="3"/>
        <v>0</v>
      </c>
      <c r="O8" s="587">
        <f t="shared" si="2"/>
        <v>0</v>
      </c>
      <c r="P8" s="80">
        <v>5</v>
      </c>
      <c r="Q8" s="656">
        <v>0</v>
      </c>
      <c r="R8" s="656">
        <f t="shared" si="4"/>
        <v>0</v>
      </c>
      <c r="S8" s="656">
        <f t="shared" si="5"/>
        <v>0</v>
      </c>
      <c r="T8" s="656">
        <f t="shared" si="6"/>
        <v>0</v>
      </c>
      <c r="U8" s="656">
        <f t="shared" si="7"/>
        <v>0</v>
      </c>
    </row>
    <row r="9" spans="1:21" s="569" customFormat="1" ht="15.75" customHeight="1">
      <c r="A9" s="80">
        <v>6</v>
      </c>
      <c r="B9" s="275" t="s">
        <v>118</v>
      </c>
      <c r="C9" s="1539" t="str">
        <f>OR_VEH!B208</f>
        <v>CT5</v>
      </c>
      <c r="D9" s="1588"/>
      <c r="E9" s="776" t="s">
        <v>380</v>
      </c>
      <c r="F9" s="269">
        <f>IFERROR(IF(Flag=TRUE,K9-TBIn!E362,TBIn!D362),0)</f>
        <v>0</v>
      </c>
      <c r="G9" s="2599">
        <f>IFERROR(IF(Flag=TRUE,L9-TBIn!E1783,TBIn!D1783),0)</f>
        <v>0</v>
      </c>
      <c r="H9" s="2599">
        <f>IFERROR(IF(Flag=TRUE,M9-TBIn!E1823,TBIn!D1823),0)</f>
        <v>0</v>
      </c>
      <c r="I9" s="552">
        <f t="shared" si="0"/>
        <v>0</v>
      </c>
      <c r="J9" s="608">
        <f t="shared" si="1"/>
        <v>0</v>
      </c>
      <c r="K9" s="721">
        <f>IFERROR(TBIn!E362,0)</f>
        <v>0</v>
      </c>
      <c r="L9" s="2574">
        <f>IFERROR(TBIn!E1783,0)</f>
        <v>0</v>
      </c>
      <c r="M9" s="2574">
        <f>IFERROR(TBIn!E1823,0)</f>
        <v>0</v>
      </c>
      <c r="N9" s="555">
        <f t="shared" si="3"/>
        <v>0</v>
      </c>
      <c r="O9" s="587">
        <f t="shared" si="2"/>
        <v>0</v>
      </c>
      <c r="P9" s="80">
        <v>6</v>
      </c>
      <c r="Q9" s="656">
        <v>0</v>
      </c>
      <c r="R9" s="656">
        <f t="shared" si="4"/>
        <v>0</v>
      </c>
      <c r="S9" s="656">
        <f t="shared" si="5"/>
        <v>0</v>
      </c>
      <c r="T9" s="656">
        <f t="shared" si="6"/>
        <v>0</v>
      </c>
      <c r="U9" s="656">
        <f t="shared" si="7"/>
        <v>0</v>
      </c>
    </row>
    <row r="10" spans="1:21" s="569" customFormat="1" ht="15.75" customHeight="1">
      <c r="A10" s="80">
        <v>7</v>
      </c>
      <c r="B10" s="101" t="s">
        <v>120</v>
      </c>
      <c r="C10" s="1539" t="str">
        <f>OR_VEH!B209</f>
        <v>NE PAS UTILISER</v>
      </c>
      <c r="D10" s="1588"/>
      <c r="E10" s="776" t="s">
        <v>381</v>
      </c>
      <c r="F10" s="269">
        <f>IFERROR(IF(Flag=TRUE,K10-TBIn!E363,TBIn!D363),0)</f>
        <v>0</v>
      </c>
      <c r="G10" s="2599">
        <f>IFERROR(IF(Flag=TRUE,L10-TBIn!E1784,TBIn!D1784),0)</f>
        <v>0</v>
      </c>
      <c r="H10" s="2599">
        <f>IFERROR(IF(Flag=TRUE,M10-TBIn!E1824,TBIn!D1824),0)</f>
        <v>0</v>
      </c>
      <c r="I10" s="552">
        <f t="shared" si="0"/>
        <v>0</v>
      </c>
      <c r="J10" s="608">
        <f t="shared" si="1"/>
        <v>0</v>
      </c>
      <c r="K10" s="721">
        <f>IFERROR(TBIn!E363,0)</f>
        <v>0</v>
      </c>
      <c r="L10" s="2574">
        <f>IFERROR(TBIn!E1784,0)</f>
        <v>0</v>
      </c>
      <c r="M10" s="2574">
        <f>IFERROR(TBIn!E1824,0)</f>
        <v>0</v>
      </c>
      <c r="N10" s="555">
        <f t="shared" si="3"/>
        <v>0</v>
      </c>
      <c r="O10" s="587">
        <f t="shared" si="2"/>
        <v>0</v>
      </c>
      <c r="P10" s="80">
        <v>7</v>
      </c>
      <c r="Q10" s="656">
        <v>0</v>
      </c>
      <c r="R10" s="656">
        <f t="shared" si="4"/>
        <v>0</v>
      </c>
      <c r="S10" s="656">
        <f t="shared" si="5"/>
        <v>0</v>
      </c>
      <c r="T10" s="656">
        <f t="shared" si="6"/>
        <v>0</v>
      </c>
      <c r="U10" s="656">
        <f t="shared" si="7"/>
        <v>0</v>
      </c>
    </row>
    <row r="11" spans="1:21" s="569" customFormat="1" ht="15.75" customHeight="1">
      <c r="A11" s="80">
        <v>8</v>
      </c>
      <c r="B11" s="101" t="s">
        <v>122</v>
      </c>
      <c r="C11" s="1539" t="str">
        <f>OR_VEH!B210</f>
        <v>NE PAS UTILISER</v>
      </c>
      <c r="D11" s="1588"/>
      <c r="E11" s="776" t="s">
        <v>382</v>
      </c>
      <c r="F11" s="269">
        <f>IFERROR(IF(Flag=TRUE,K11-TBIn!E364,TBIn!D364),0)</f>
        <v>0</v>
      </c>
      <c r="G11" s="2599">
        <f>IFERROR(IF(Flag=TRUE,L11-TBIn!E1785,TBIn!D1785),0)</f>
        <v>0</v>
      </c>
      <c r="H11" s="2599">
        <f>IFERROR(IF(Flag=TRUE,M11-TBIn!E1825,TBIn!D1825),0)</f>
        <v>0</v>
      </c>
      <c r="I11" s="552">
        <f t="shared" si="0"/>
        <v>0</v>
      </c>
      <c r="J11" s="608">
        <f t="shared" si="1"/>
        <v>0</v>
      </c>
      <c r="K11" s="721">
        <f>IFERROR(TBIn!E364,0)</f>
        <v>0</v>
      </c>
      <c r="L11" s="2574">
        <f>IFERROR(TBIn!E1785,0)</f>
        <v>0</v>
      </c>
      <c r="M11" s="2574">
        <f>IFERROR(TBIn!E1825,0)</f>
        <v>0</v>
      </c>
      <c r="N11" s="555">
        <f t="shared" si="3"/>
        <v>0</v>
      </c>
      <c r="O11" s="587">
        <f t="shared" si="2"/>
        <v>0</v>
      </c>
      <c r="P11" s="80">
        <v>8</v>
      </c>
      <c r="Q11" s="656">
        <v>0</v>
      </c>
      <c r="R11" s="656">
        <f t="shared" si="4"/>
        <v>0</v>
      </c>
      <c r="S11" s="656">
        <f t="shared" si="5"/>
        <v>0</v>
      </c>
      <c r="T11" s="656">
        <f t="shared" si="6"/>
        <v>0</v>
      </c>
      <c r="U11" s="656">
        <f t="shared" si="7"/>
        <v>0</v>
      </c>
    </row>
    <row r="12" spans="1:21" s="569" customFormat="1" ht="15.75" customHeight="1">
      <c r="A12" s="80">
        <v>9</v>
      </c>
      <c r="B12" s="101" t="s">
        <v>124</v>
      </c>
      <c r="C12" s="1539" t="str">
        <f>OR_VEH!B211</f>
        <v>ATS</v>
      </c>
      <c r="D12" s="1588"/>
      <c r="E12" s="776" t="s">
        <v>383</v>
      </c>
      <c r="F12" s="269">
        <f>IFERROR(IF(Flag=TRUE,K12-TBIn!E365,TBIn!D365),0)</f>
        <v>0</v>
      </c>
      <c r="G12" s="2599">
        <f>IFERROR(IF(Flag=TRUE,L12-TBIn!E1786,TBIn!D1786),0)</f>
        <v>0</v>
      </c>
      <c r="H12" s="2599">
        <f>IFERROR(IF(Flag=TRUE,M12-TBIn!E1826,TBIn!D1826),0)</f>
        <v>0</v>
      </c>
      <c r="I12" s="552">
        <f t="shared" si="0"/>
        <v>0</v>
      </c>
      <c r="J12" s="608">
        <f t="shared" si="1"/>
        <v>0</v>
      </c>
      <c r="K12" s="721">
        <f>IFERROR(TBIn!E365,0)</f>
        <v>0</v>
      </c>
      <c r="L12" s="2574">
        <f>IFERROR(TBIn!E1786,0)</f>
        <v>0</v>
      </c>
      <c r="M12" s="2574">
        <f>IFERROR(TBIn!E1826,0)</f>
        <v>0</v>
      </c>
      <c r="N12" s="555">
        <f t="shared" si="3"/>
        <v>0</v>
      </c>
      <c r="O12" s="587">
        <f t="shared" si="2"/>
        <v>0</v>
      </c>
      <c r="P12" s="80">
        <v>9</v>
      </c>
      <c r="Q12" s="656">
        <v>0</v>
      </c>
      <c r="R12" s="656">
        <f t="shared" si="4"/>
        <v>0</v>
      </c>
      <c r="S12" s="656">
        <f t="shared" si="5"/>
        <v>0</v>
      </c>
      <c r="T12" s="656">
        <f t="shared" si="6"/>
        <v>0</v>
      </c>
      <c r="U12" s="656">
        <f t="shared" si="7"/>
        <v>0</v>
      </c>
    </row>
    <row r="13" spans="1:21" s="569" customFormat="1" ht="15.75" customHeight="1">
      <c r="A13" s="80">
        <v>10</v>
      </c>
      <c r="B13" s="101"/>
      <c r="C13" s="1539" t="str">
        <f>OR_VEH!B212</f>
        <v>XTS</v>
      </c>
      <c r="D13" s="1588"/>
      <c r="E13" s="776" t="s">
        <v>384</v>
      </c>
      <c r="F13" s="269">
        <f>IFERROR(IF(Flag=TRUE,K13-TBIn!E366,TBIn!D366),0)</f>
        <v>0</v>
      </c>
      <c r="G13" s="2599">
        <f>IFERROR(IF(Flag=TRUE,L13-TBIn!E1787,TBIn!D1787),0)</f>
        <v>0</v>
      </c>
      <c r="H13" s="2599">
        <f>IFERROR(IF(Flag=TRUE,M13-TBIn!E1827,TBIn!D1827),0)</f>
        <v>0</v>
      </c>
      <c r="I13" s="552">
        <f t="shared" si="0"/>
        <v>0</v>
      </c>
      <c r="J13" s="608">
        <f t="shared" si="1"/>
        <v>0</v>
      </c>
      <c r="K13" s="721">
        <f>IFERROR(TBIn!E366,0)</f>
        <v>0</v>
      </c>
      <c r="L13" s="2574">
        <f>IFERROR(TBIn!E1787,0)</f>
        <v>0</v>
      </c>
      <c r="M13" s="2574">
        <f>IFERROR(TBIn!E1827,0)</f>
        <v>0</v>
      </c>
      <c r="N13" s="555">
        <f t="shared" si="3"/>
        <v>0</v>
      </c>
      <c r="O13" s="587">
        <f t="shared" si="2"/>
        <v>0</v>
      </c>
      <c r="P13" s="80">
        <v>10</v>
      </c>
      <c r="Q13" s="656">
        <v>0</v>
      </c>
      <c r="R13" s="656">
        <f t="shared" si="4"/>
        <v>0</v>
      </c>
      <c r="S13" s="656">
        <f t="shared" si="5"/>
        <v>0</v>
      </c>
      <c r="T13" s="656">
        <f t="shared" si="6"/>
        <v>0</v>
      </c>
      <c r="U13" s="656">
        <f t="shared" si="7"/>
        <v>0</v>
      </c>
    </row>
    <row r="14" spans="1:21" s="569" customFormat="1" ht="15.75" customHeight="1">
      <c r="A14" s="80">
        <v>11</v>
      </c>
      <c r="B14" s="101" t="s">
        <v>127</v>
      </c>
      <c r="C14" s="1539" t="str">
        <f>OR_VEH!B213</f>
        <v>ELR</v>
      </c>
      <c r="D14" s="1588"/>
      <c r="E14" s="776" t="s">
        <v>385</v>
      </c>
      <c r="F14" s="269">
        <f>IFERROR(IF(Flag=TRUE,K14-TBIn!E367,TBIn!D367),0)</f>
        <v>0</v>
      </c>
      <c r="G14" s="2599">
        <f>IFERROR(IF(Flag=TRUE,L14-TBIn!E1788,TBIn!D1788),0)</f>
        <v>0</v>
      </c>
      <c r="H14" s="2599">
        <f>IFERROR(IF(Flag=TRUE,M14-TBIn!E1828,TBIn!D1828),0)</f>
        <v>0</v>
      </c>
      <c r="I14" s="552">
        <f t="shared" si="0"/>
        <v>0</v>
      </c>
      <c r="J14" s="608">
        <f t="shared" si="1"/>
        <v>0</v>
      </c>
      <c r="K14" s="721">
        <f>IFERROR(TBIn!E367,0)</f>
        <v>0</v>
      </c>
      <c r="L14" s="2574">
        <f>IFERROR(TBIn!E1788,0)</f>
        <v>0</v>
      </c>
      <c r="M14" s="2574">
        <f>IFERROR(TBIn!E1828,0)</f>
        <v>0</v>
      </c>
      <c r="N14" s="555">
        <f t="shared" si="3"/>
        <v>0</v>
      </c>
      <c r="O14" s="587">
        <f t="shared" si="2"/>
        <v>0</v>
      </c>
      <c r="P14" s="80">
        <v>11</v>
      </c>
      <c r="Q14" s="656">
        <v>0</v>
      </c>
      <c r="R14" s="656">
        <f t="shared" si="4"/>
        <v>0</v>
      </c>
      <c r="S14" s="656">
        <f t="shared" si="5"/>
        <v>0</v>
      </c>
      <c r="T14" s="656">
        <f t="shared" si="6"/>
        <v>0</v>
      </c>
      <c r="U14" s="656">
        <f t="shared" si="7"/>
        <v>0</v>
      </c>
    </row>
    <row r="15" spans="1:21" s="569" customFormat="1" ht="15.75" customHeight="1">
      <c r="A15" s="80">
        <v>12</v>
      </c>
      <c r="B15" s="101" t="s">
        <v>122</v>
      </c>
      <c r="C15" s="1539" t="str">
        <f>OR_VEH!B214</f>
        <v>ATS-V</v>
      </c>
      <c r="D15" s="1588"/>
      <c r="E15" s="776" t="s">
        <v>386</v>
      </c>
      <c r="F15" s="269">
        <f>IFERROR(IF(Flag=TRUE,K15-TBIn!E368,TBIn!D368),0)</f>
        <v>0</v>
      </c>
      <c r="G15" s="2599">
        <f>IFERROR(IF(Flag=TRUE,L15-TBIn!E1789,TBIn!D1789),0)</f>
        <v>0</v>
      </c>
      <c r="H15" s="2599">
        <f>IFERROR(IF(Flag=TRUE,M15-TBIn!E1829,TBIn!D1829),0)</f>
        <v>0</v>
      </c>
      <c r="I15" s="552">
        <f t="shared" si="0"/>
        <v>0</v>
      </c>
      <c r="J15" s="608">
        <f t="shared" si="1"/>
        <v>0</v>
      </c>
      <c r="K15" s="721">
        <f>IFERROR(TBIn!E368,0)</f>
        <v>0</v>
      </c>
      <c r="L15" s="2574">
        <f>IFERROR(TBIn!E1789,0)</f>
        <v>0</v>
      </c>
      <c r="M15" s="2574">
        <f>IFERROR(TBIn!E1829,0)</f>
        <v>0</v>
      </c>
      <c r="N15" s="555">
        <f t="shared" si="3"/>
        <v>0</v>
      </c>
      <c r="O15" s="587">
        <f t="shared" si="2"/>
        <v>0</v>
      </c>
      <c r="P15" s="80">
        <v>12</v>
      </c>
      <c r="Q15" s="656">
        <v>0</v>
      </c>
      <c r="R15" s="656">
        <f t="shared" si="4"/>
        <v>0</v>
      </c>
      <c r="S15" s="656">
        <f t="shared" si="5"/>
        <v>0</v>
      </c>
      <c r="T15" s="656">
        <f t="shared" si="6"/>
        <v>0</v>
      </c>
      <c r="U15" s="656">
        <f t="shared" si="7"/>
        <v>0</v>
      </c>
    </row>
    <row r="16" spans="1:21" s="569" customFormat="1" ht="15.75" customHeight="1">
      <c r="A16" s="80">
        <v>13</v>
      </c>
      <c r="B16" s="101" t="s">
        <v>118</v>
      </c>
      <c r="C16" s="1539" t="str">
        <f>OR_VEH!B215</f>
        <v>CT6</v>
      </c>
      <c r="D16" s="1588"/>
      <c r="E16" s="776" t="s">
        <v>387</v>
      </c>
      <c r="F16" s="269">
        <f>IFERROR(IF(Flag=TRUE,K16-TBIn!E369,TBIn!D369),0)</f>
        <v>0</v>
      </c>
      <c r="G16" s="2599">
        <f>IFERROR(IF(Flag=TRUE,L16-TBIn!E1790,TBIn!D1790),0)</f>
        <v>0</v>
      </c>
      <c r="H16" s="2599">
        <f>IFERROR(IF(Flag=TRUE,M16-TBIn!E1830,TBIn!D1830),0)</f>
        <v>0</v>
      </c>
      <c r="I16" s="552">
        <f t="shared" si="0"/>
        <v>0</v>
      </c>
      <c r="J16" s="608">
        <f t="shared" si="1"/>
        <v>0</v>
      </c>
      <c r="K16" s="721">
        <f>IFERROR(TBIn!E369,0)</f>
        <v>0</v>
      </c>
      <c r="L16" s="2574">
        <f>IFERROR(TBIn!E1790,0)</f>
        <v>0</v>
      </c>
      <c r="M16" s="2574">
        <f>IFERROR(TBIn!E1830,0)</f>
        <v>0</v>
      </c>
      <c r="N16" s="555">
        <f t="shared" si="3"/>
        <v>0</v>
      </c>
      <c r="O16" s="587">
        <f t="shared" si="2"/>
        <v>0</v>
      </c>
      <c r="P16" s="80">
        <v>13</v>
      </c>
      <c r="Q16" s="656">
        <v>0</v>
      </c>
      <c r="R16" s="656">
        <f t="shared" si="4"/>
        <v>0</v>
      </c>
      <c r="S16" s="656">
        <f t="shared" si="5"/>
        <v>0</v>
      </c>
      <c r="T16" s="656">
        <f t="shared" si="6"/>
        <v>0</v>
      </c>
      <c r="U16" s="656">
        <f t="shared" si="7"/>
        <v>0</v>
      </c>
    </row>
    <row r="17" spans="1:21" s="569" customFormat="1" ht="15.75" customHeight="1">
      <c r="A17" s="80">
        <v>14</v>
      </c>
      <c r="B17" s="101" t="s">
        <v>110</v>
      </c>
      <c r="C17" s="1539" t="str">
        <f>OR_VEH!B216</f>
        <v>NE PAS UTILISER</v>
      </c>
      <c r="D17" s="1588"/>
      <c r="E17" s="776" t="s">
        <v>388</v>
      </c>
      <c r="F17" s="269">
        <f>IFERROR(IF(Flag=TRUE,K17-TBIn!E370,TBIn!D370),0)</f>
        <v>0</v>
      </c>
      <c r="G17" s="2599">
        <f>IFERROR(IF(Flag=TRUE,L17-TBIn!E1791,TBIn!D1791),0)</f>
        <v>0</v>
      </c>
      <c r="H17" s="2599">
        <f>IFERROR(IF(Flag=TRUE,M17-TBIn!E1831,TBIn!D1831),0)</f>
        <v>0</v>
      </c>
      <c r="I17" s="552">
        <f t="shared" si="0"/>
        <v>0</v>
      </c>
      <c r="J17" s="608">
        <f t="shared" si="1"/>
        <v>0</v>
      </c>
      <c r="K17" s="721">
        <f>IFERROR(TBIn!E370,0)</f>
        <v>0</v>
      </c>
      <c r="L17" s="2574">
        <f>IFERROR(TBIn!E1791,0)</f>
        <v>0</v>
      </c>
      <c r="M17" s="2574">
        <f>IFERROR(TBIn!E1831,0)</f>
        <v>0</v>
      </c>
      <c r="N17" s="555">
        <f t="shared" si="3"/>
        <v>0</v>
      </c>
      <c r="O17" s="587">
        <f t="shared" si="2"/>
        <v>0</v>
      </c>
      <c r="P17" s="80">
        <v>14</v>
      </c>
      <c r="Q17" s="656">
        <v>0</v>
      </c>
      <c r="R17" s="656">
        <f t="shared" si="4"/>
        <v>0</v>
      </c>
      <c r="S17" s="656">
        <f t="shared" si="5"/>
        <v>0</v>
      </c>
      <c r="T17" s="656">
        <f t="shared" si="6"/>
        <v>0</v>
      </c>
      <c r="U17" s="656">
        <f t="shared" si="7"/>
        <v>0</v>
      </c>
    </row>
    <row r="18" spans="1:21" s="569" customFormat="1" ht="15.75" customHeight="1">
      <c r="A18" s="80">
        <v>15</v>
      </c>
      <c r="B18" s="275" t="s">
        <v>122</v>
      </c>
      <c r="C18" s="1539" t="str">
        <f>OR_VEH!B217</f>
        <v>NE PAS UTILISER</v>
      </c>
      <c r="D18" s="1588"/>
      <c r="E18" s="776" t="s">
        <v>389</v>
      </c>
      <c r="F18" s="269">
        <f>IFERROR(IF(Flag=TRUE,K18-TBIn!E371,TBIn!D371),0)</f>
        <v>0</v>
      </c>
      <c r="G18" s="2599">
        <f>IFERROR(IF(Flag=TRUE,L18-TBIn!E1792,TBIn!D1792),0)</f>
        <v>0</v>
      </c>
      <c r="H18" s="2599">
        <f>IFERROR(IF(Flag=TRUE,M18-TBIn!E1832,TBIn!D1832),0)</f>
        <v>0</v>
      </c>
      <c r="I18" s="552">
        <f t="shared" si="0"/>
        <v>0</v>
      </c>
      <c r="J18" s="608">
        <f t="shared" si="1"/>
        <v>0</v>
      </c>
      <c r="K18" s="721">
        <f>IFERROR(TBIn!E371,0)</f>
        <v>0</v>
      </c>
      <c r="L18" s="2574">
        <f>IFERROR(TBIn!E1792,0)</f>
        <v>0</v>
      </c>
      <c r="M18" s="2574">
        <f>IFERROR(TBIn!E1832,0)</f>
        <v>0</v>
      </c>
      <c r="N18" s="555">
        <f t="shared" si="3"/>
        <v>0</v>
      </c>
      <c r="O18" s="587">
        <f t="shared" si="2"/>
        <v>0</v>
      </c>
      <c r="P18" s="80">
        <v>15</v>
      </c>
      <c r="Q18" s="656">
        <v>0</v>
      </c>
      <c r="R18" s="656">
        <f t="shared" si="4"/>
        <v>0</v>
      </c>
      <c r="S18" s="656">
        <f t="shared" si="5"/>
        <v>0</v>
      </c>
      <c r="T18" s="656">
        <f t="shared" si="6"/>
        <v>0</v>
      </c>
      <c r="U18" s="656">
        <f t="shared" si="7"/>
        <v>0</v>
      </c>
    </row>
    <row r="19" spans="1:21" s="569" customFormat="1" ht="16" customHeight="1">
      <c r="A19" s="80">
        <v>16</v>
      </c>
      <c r="B19" s="275" t="s">
        <v>124</v>
      </c>
      <c r="C19" s="1539" t="str">
        <f>OR_VEH!B218</f>
        <v>NE PAS UTILISER</v>
      </c>
      <c r="D19" s="1588"/>
      <c r="E19" s="776" t="s">
        <v>390</v>
      </c>
      <c r="F19" s="269">
        <f>IFERROR(IF(Flag=TRUE,K19-TBIn!E372,TBIn!D372),0)</f>
        <v>0</v>
      </c>
      <c r="G19" s="2599">
        <f>IFERROR(IF(Flag=TRUE,L19-TBIn!E1793,TBIn!D1793),0)</f>
        <v>0</v>
      </c>
      <c r="H19" s="2599">
        <f>IFERROR(IF(Flag=TRUE,M19-TBIn!E1833,TBIn!D1833),0)</f>
        <v>0</v>
      </c>
      <c r="I19" s="552">
        <f t="shared" si="0"/>
        <v>0</v>
      </c>
      <c r="J19" s="608">
        <f t="shared" si="1"/>
        <v>0</v>
      </c>
      <c r="K19" s="721">
        <f>IFERROR(TBIn!E372,0)</f>
        <v>0</v>
      </c>
      <c r="L19" s="2574">
        <f>IFERROR(TBIn!E1793,0)</f>
        <v>0</v>
      </c>
      <c r="M19" s="2574">
        <f>IFERROR(TBIn!E1833,0)</f>
        <v>0</v>
      </c>
      <c r="N19" s="555">
        <f t="shared" si="3"/>
        <v>0</v>
      </c>
      <c r="O19" s="587">
        <f t="shared" si="2"/>
        <v>0</v>
      </c>
      <c r="P19" s="80">
        <v>16</v>
      </c>
      <c r="Q19" s="656">
        <v>0</v>
      </c>
      <c r="R19" s="656">
        <f t="shared" si="4"/>
        <v>0</v>
      </c>
      <c r="S19" s="656">
        <f t="shared" si="5"/>
        <v>0</v>
      </c>
      <c r="T19" s="656">
        <f t="shared" si="6"/>
        <v>0</v>
      </c>
      <c r="U19" s="656">
        <f t="shared" si="7"/>
        <v>0</v>
      </c>
    </row>
    <row r="20" spans="1:21" s="569" customFormat="1" ht="16" customHeight="1">
      <c r="A20" s="80">
        <v>17</v>
      </c>
      <c r="B20" s="275"/>
      <c r="C20" s="1539" t="str">
        <f>OR_VEH!B219</f>
        <v>POUR USAGE FUTUR</v>
      </c>
      <c r="D20" s="1588"/>
      <c r="E20" s="776" t="s">
        <v>391</v>
      </c>
      <c r="F20" s="269">
        <f>IFERROR(IF(Flag=TRUE,K20-TBIn!E373,TBIn!D373),0)</f>
        <v>0</v>
      </c>
      <c r="G20" s="2599">
        <f>IFERROR(IF(Flag=TRUE,L20-TBIn!E1794,TBIn!D1794),0)</f>
        <v>0</v>
      </c>
      <c r="H20" s="2599">
        <f>IFERROR(IF(Flag=TRUE,M20-TBIn!E1834,TBIn!D1834),0)</f>
        <v>0</v>
      </c>
      <c r="I20" s="552">
        <f t="shared" si="0"/>
        <v>0</v>
      </c>
      <c r="J20" s="608">
        <f t="shared" si="1"/>
        <v>0</v>
      </c>
      <c r="K20" s="721">
        <f>IFERROR(TBIn!E373,0)</f>
        <v>0</v>
      </c>
      <c r="L20" s="2574">
        <f>IFERROR(TBIn!E1794,0)</f>
        <v>0</v>
      </c>
      <c r="M20" s="2574">
        <f>IFERROR(TBIn!E1834,0)</f>
        <v>0</v>
      </c>
      <c r="N20" s="555">
        <f t="shared" si="3"/>
        <v>0</v>
      </c>
      <c r="O20" s="587">
        <f t="shared" si="2"/>
        <v>0</v>
      </c>
      <c r="P20" s="80">
        <v>17</v>
      </c>
      <c r="Q20" s="656">
        <v>0</v>
      </c>
      <c r="R20" s="656">
        <f t="shared" si="4"/>
        <v>0</v>
      </c>
      <c r="S20" s="656">
        <f t="shared" si="5"/>
        <v>0</v>
      </c>
      <c r="T20" s="656">
        <f t="shared" si="6"/>
        <v>0</v>
      </c>
      <c r="U20" s="656">
        <f t="shared" si="7"/>
        <v>0</v>
      </c>
    </row>
    <row r="21" spans="1:21" s="569" customFormat="1" ht="16" customHeight="1">
      <c r="A21" s="80">
        <v>18</v>
      </c>
      <c r="B21" s="215"/>
      <c r="C21" s="1539" t="str">
        <f>OR_VEH!B220</f>
        <v>NE PAS UTILISER</v>
      </c>
      <c r="D21" s="1588"/>
      <c r="E21" s="776" t="s">
        <v>392</v>
      </c>
      <c r="F21" s="269">
        <f>IFERROR(IF(Flag=TRUE,K21-TBIn!E374,TBIn!D374),0)</f>
        <v>0</v>
      </c>
      <c r="G21" s="2599">
        <f>IFERROR(IF(Flag=TRUE,L21-TBIn!E1795,TBIn!D1795),0)</f>
        <v>0</v>
      </c>
      <c r="H21" s="2599">
        <f>IFERROR(IF(Flag=TRUE,M21-TBIn!E1835,TBIn!D1835),0)</f>
        <v>0</v>
      </c>
      <c r="I21" s="552">
        <f t="shared" si="0"/>
        <v>0</v>
      </c>
      <c r="J21" s="608">
        <f t="shared" si="1"/>
        <v>0</v>
      </c>
      <c r="K21" s="721">
        <f>IFERROR(TBIn!E374,0)</f>
        <v>0</v>
      </c>
      <c r="L21" s="2574">
        <f>IFERROR(TBIn!E1795,0)</f>
        <v>0</v>
      </c>
      <c r="M21" s="2574">
        <f>IFERROR(TBIn!E1835,0)</f>
        <v>0</v>
      </c>
      <c r="N21" s="555">
        <f t="shared" si="3"/>
        <v>0</v>
      </c>
      <c r="O21" s="587">
        <f t="shared" si="2"/>
        <v>0</v>
      </c>
      <c r="P21" s="80">
        <v>18</v>
      </c>
      <c r="Q21" s="656">
        <v>0</v>
      </c>
      <c r="R21" s="656">
        <f t="shared" si="4"/>
        <v>0</v>
      </c>
      <c r="S21" s="656">
        <f t="shared" si="5"/>
        <v>0</v>
      </c>
      <c r="T21" s="656">
        <f t="shared" si="6"/>
        <v>0</v>
      </c>
      <c r="U21" s="656">
        <f t="shared" si="7"/>
        <v>0</v>
      </c>
    </row>
    <row r="22" spans="1:21" s="569" customFormat="1" ht="16" customHeight="1">
      <c r="A22" s="80">
        <v>19</v>
      </c>
      <c r="B22" s="215"/>
      <c r="C22" s="1589" t="str">
        <f>OR_VEH!B221</f>
        <v>AUTRES CADILLAC</v>
      </c>
      <c r="D22" s="1590"/>
      <c r="E22" s="777" t="s">
        <v>393</v>
      </c>
      <c r="F22" s="270">
        <f>IFERROR(IF(Flag=TRUE,K22-TBIn!E375,TBIn!D375),0)</f>
        <v>0</v>
      </c>
      <c r="G22" s="2600">
        <f>IFERROR(IF(Flag=TRUE,L22-TBIn!E1796,TBIn!D1796),0)</f>
        <v>0</v>
      </c>
      <c r="H22" s="2600">
        <f>IFERROR(IF(Flag=TRUE,M22-TBIn!E1836,TBIn!D1836),0)</f>
        <v>0</v>
      </c>
      <c r="I22" s="553">
        <f t="shared" si="0"/>
        <v>0</v>
      </c>
      <c r="J22" s="847">
        <f t="shared" si="1"/>
        <v>0</v>
      </c>
      <c r="K22" s="722">
        <f>IFERROR(TBIn!E375,0)</f>
        <v>0</v>
      </c>
      <c r="L22" s="2603">
        <f>IFERROR(TBIn!E1796,0)</f>
        <v>0</v>
      </c>
      <c r="M22" s="2603">
        <f>IFERROR(TBIn!E1836,0)</f>
        <v>0</v>
      </c>
      <c r="N22" s="556">
        <f t="shared" si="3"/>
        <v>0</v>
      </c>
      <c r="O22" s="601">
        <f t="shared" si="2"/>
        <v>0</v>
      </c>
      <c r="P22" s="80">
        <v>19</v>
      </c>
      <c r="Q22" s="656">
        <v>0</v>
      </c>
      <c r="R22" s="656">
        <f t="shared" si="4"/>
        <v>0</v>
      </c>
      <c r="S22" s="656">
        <f t="shared" si="5"/>
        <v>0</v>
      </c>
      <c r="T22" s="656">
        <f t="shared" si="6"/>
        <v>0</v>
      </c>
      <c r="U22" s="656">
        <f t="shared" si="7"/>
        <v>0</v>
      </c>
    </row>
    <row r="23" spans="1:21"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56"/>
      <c r="R23" s="656"/>
      <c r="S23" s="656"/>
      <c r="T23" s="656"/>
      <c r="U23" s="656"/>
    </row>
    <row r="24" spans="1:21" s="569" customFormat="1" ht="16" customHeight="1">
      <c r="A24" s="80">
        <v>21</v>
      </c>
      <c r="B24" s="215"/>
      <c r="C24" s="1591" t="str">
        <f>OR_VEH!B223</f>
        <v>MÉMO* VENTES INTERNET VOITURES</v>
      </c>
      <c r="D24" s="1536"/>
      <c r="E24" s="779" t="s">
        <v>394</v>
      </c>
      <c r="F24" s="269">
        <f>IFERROR(IF(Flag=TRUE,K24-TBIn!E376,TBIn!D376),0)</f>
        <v>0</v>
      </c>
      <c r="G24" s="2599">
        <f>IFERROR(IF(Flag=TRUE,L24-TBIn!$E$149,TBIn!$D$149),0)</f>
        <v>0</v>
      </c>
      <c r="H24" s="2599">
        <f>IFERROR(IF(Flag=TRUE,M24-TBIn!$E$169,TBIn!$D$169),0)</f>
        <v>0</v>
      </c>
      <c r="I24" s="552">
        <f>G24-H24</f>
        <v>0</v>
      </c>
      <c r="J24" s="608">
        <f t="shared" si="1"/>
        <v>0</v>
      </c>
      <c r="K24" s="721">
        <f>IFERROR(TBIn!E376,0)</f>
        <v>0</v>
      </c>
      <c r="L24" s="2574">
        <f>IFERROR(TBIn!$E$149,0)</f>
        <v>0</v>
      </c>
      <c r="M24" s="2574">
        <f>IFERROR(TBIn!$E$169,0)</f>
        <v>0</v>
      </c>
      <c r="N24" s="555">
        <f>L24-M24</f>
        <v>0</v>
      </c>
      <c r="O24" s="587">
        <f t="shared" si="2"/>
        <v>0</v>
      </c>
      <c r="P24" s="80">
        <v>21</v>
      </c>
      <c r="Q24" s="656">
        <v>0</v>
      </c>
      <c r="R24" s="656">
        <f t="shared" si="4"/>
        <v>0</v>
      </c>
      <c r="S24" s="656">
        <f>IF(K24=0,0,IF(OR(L24&lt;0,L24/K24&gt;Q24),1,0))</f>
        <v>0</v>
      </c>
      <c r="T24" s="656">
        <f>IF(OR(F24&lt;0,AND(G24&gt;0,F24=0),AND(G24=0,F24&gt;0)),1,0)</f>
        <v>0</v>
      </c>
      <c r="U24" s="656">
        <f>IF(OR(K24&lt;0,AND(L24&gt;0,K24=0),AND(K24&gt;0,L24=0)),1,0)</f>
        <v>0</v>
      </c>
    </row>
    <row r="25" spans="1:21" s="569" customFormat="1" ht="19" customHeight="1">
      <c r="A25" s="80">
        <v>22</v>
      </c>
      <c r="B25" s="101"/>
      <c r="C25" s="1594" t="str">
        <f>OR_VEH!B224</f>
        <v>TOTAL PARCS - VOITURES</v>
      </c>
      <c r="D25" s="1588"/>
      <c r="E25" s="2525" t="s">
        <v>139</v>
      </c>
      <c r="F25" s="269">
        <f>IFERROR(IF(Flag=TRUE,K25-TBIn!E377,TBIn!D377),0)</f>
        <v>0</v>
      </c>
      <c r="G25" s="2599">
        <f>IFERROR(IF(Flag=TRUE,L25-TBIn!E1797,TBIn!D1797),0)</f>
        <v>0</v>
      </c>
      <c r="H25" s="2599">
        <f>IFERROR(IF(Flag=TRUE,M25-TBIn!E1837,TBIn!D1837),0)</f>
        <v>0</v>
      </c>
      <c r="I25" s="552">
        <f>G25-H25</f>
        <v>0</v>
      </c>
      <c r="J25" s="608">
        <f t="shared" si="1"/>
        <v>0</v>
      </c>
      <c r="K25" s="721">
        <f>IFERROR(TBIn!E377,0)</f>
        <v>0</v>
      </c>
      <c r="L25" s="2574">
        <f>IFERROR(TBIn!E1797,0)</f>
        <v>0</v>
      </c>
      <c r="M25" s="2574">
        <f>IFERROR(TBIn!E1837,0)</f>
        <v>0</v>
      </c>
      <c r="N25" s="2679">
        <f>L25-M25</f>
        <v>0</v>
      </c>
      <c r="O25" s="587">
        <f t="shared" si="2"/>
        <v>0</v>
      </c>
      <c r="P25" s="80">
        <v>22</v>
      </c>
      <c r="Q25" s="656">
        <v>0</v>
      </c>
      <c r="R25" s="656">
        <f t="shared" si="4"/>
        <v>0</v>
      </c>
      <c r="S25" s="656">
        <f>IF(K25=0,0,IF(OR(L25&lt;0,L25/K25&gt;Q25),1,0))</f>
        <v>0</v>
      </c>
      <c r="T25" s="656">
        <f>IF(OR(F25&lt;0,AND(G25&gt;0,F25=0),AND(G25=0,F25&gt;0)),1,0)</f>
        <v>0</v>
      </c>
      <c r="U25" s="656">
        <f>IF(OR(K25&lt;0,AND(L25&gt;0,K25=0),AND(K25&gt;0,L25=0)),1,0)</f>
        <v>0</v>
      </c>
    </row>
    <row r="26" spans="1:21" s="569" customFormat="1" ht="16" customHeight="1">
      <c r="A26" s="80">
        <v>23</v>
      </c>
      <c r="B26" s="215"/>
      <c r="C26" s="1596" t="str">
        <f>OR_VEH!B225</f>
        <v>TOTAL INTERNE - VOITURES</v>
      </c>
      <c r="D26" s="1598"/>
      <c r="E26" s="780" t="s">
        <v>395</v>
      </c>
      <c r="F26" s="269">
        <f>IFERROR(IF(Flag=TRUE,K26-TBIn!E378,TBIn!D378),0)</f>
        <v>0</v>
      </c>
      <c r="G26" s="2599">
        <f>IFERROR(IF(Flag=TRUE,L26-TBIn!E1798,TBIn!D1798),0)</f>
        <v>0</v>
      </c>
      <c r="H26" s="2599">
        <f>IFERROR(IF(Flag=TRUE,M26-TBIn!E1838,TBIn!D1838),0)</f>
        <v>0</v>
      </c>
      <c r="I26" s="552">
        <f>G26-H26</f>
        <v>0</v>
      </c>
      <c r="J26" s="608">
        <f t="shared" si="1"/>
        <v>0</v>
      </c>
      <c r="K26" s="721">
        <f>IFERROR(TBIn!E378,0)</f>
        <v>0</v>
      </c>
      <c r="L26" s="2574">
        <f>IFERROR(TBIn!E1798,0)</f>
        <v>0</v>
      </c>
      <c r="M26" s="2574">
        <f>IFERROR(TBIn!E1838,0)</f>
        <v>0</v>
      </c>
      <c r="N26" s="555">
        <f>L26-M26</f>
        <v>0</v>
      </c>
      <c r="O26" s="587">
        <f t="shared" si="2"/>
        <v>0</v>
      </c>
      <c r="P26" s="80">
        <v>23</v>
      </c>
      <c r="Q26" s="656">
        <v>0</v>
      </c>
      <c r="R26" s="656">
        <f t="shared" si="4"/>
        <v>0</v>
      </c>
      <c r="S26" s="656">
        <f>IF(K26=0,0,IF(OR(L26&lt;0,L26/K26&gt;Q26),1,0))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56"/>
      <c r="R27" s="656"/>
      <c r="S27" s="656"/>
      <c r="T27" s="656"/>
      <c r="U27" s="656"/>
    </row>
    <row r="28" spans="1:21" s="569" customFormat="1" ht="16" customHeight="1">
      <c r="A28" s="80">
        <v>25</v>
      </c>
      <c r="B28" s="207"/>
      <c r="C28" s="1601" t="str">
        <f>OR_VEH!B227</f>
        <v xml:space="preserve">ESCALADE   </v>
      </c>
      <c r="D28" s="1599"/>
      <c r="E28" s="779" t="s">
        <v>396</v>
      </c>
      <c r="F28" s="180">
        <f>IFERROR(IF(Flag=TRUE,K28-TBIn!E379,TBIn!D379),0)</f>
        <v>0</v>
      </c>
      <c r="G28" s="2601">
        <f>IFERROR(IF(Flag=TRUE,L28-TBIn!E1799,TBIn!D1799),0)</f>
        <v>0</v>
      </c>
      <c r="H28" s="2601">
        <f>IFERROR(IF(Flag=TRUE,M28-TBIn!E1839,TBIn!D1839),0)</f>
        <v>0</v>
      </c>
      <c r="I28" s="557">
        <f t="shared" ref="I28:I43" si="8">G28-H28</f>
        <v>0</v>
      </c>
      <c r="J28" s="271">
        <f t="shared" si="1"/>
        <v>0</v>
      </c>
      <c r="K28" s="723">
        <f>IFERROR(TBIn!E379,0)</f>
        <v>0</v>
      </c>
      <c r="L28" s="2604">
        <f>IFERROR(TBIn!E1799,0)</f>
        <v>0</v>
      </c>
      <c r="M28" s="2604">
        <f>IFERROR(TBIn!E1839,0)</f>
        <v>0</v>
      </c>
      <c r="N28" s="326">
        <f t="shared" ref="N28:N43" si="9">L28-M28</f>
        <v>0</v>
      </c>
      <c r="O28" s="272">
        <f t="shared" si="2"/>
        <v>0</v>
      </c>
      <c r="P28" s="80">
        <v>25</v>
      </c>
      <c r="Q28" s="656">
        <v>0</v>
      </c>
      <c r="R28" s="656">
        <f t="shared" si="4"/>
        <v>0</v>
      </c>
      <c r="S28" s="656">
        <f t="shared" ref="S28:S43" si="10">IF(K28=0,0,IF(OR(L28&lt;0,L28/K28&gt;Q28),1,0))</f>
        <v>0</v>
      </c>
      <c r="T28" s="656">
        <f t="shared" ref="T28:T43" si="11">IF(OR(F28&lt;0,AND(G28&gt;0,F28=0),AND(G28=0,F28&gt;0)),1,0)</f>
        <v>0</v>
      </c>
      <c r="U28" s="656">
        <f t="shared" ref="U28:U43" si="12">IF(OR(K28&lt;0,AND(L28&gt;0,K28=0),AND(K28&gt;0,L28=0)),1,0)</f>
        <v>0</v>
      </c>
    </row>
    <row r="29" spans="1:21" s="569" customFormat="1" ht="16" customHeight="1">
      <c r="A29" s="80">
        <v>26</v>
      </c>
      <c r="B29" s="275" t="s">
        <v>143</v>
      </c>
      <c r="C29" s="1539" t="str">
        <f>OR_VEH!B228</f>
        <v>NE PAS UTILISER</v>
      </c>
      <c r="D29" s="1588"/>
      <c r="E29" s="779" t="s">
        <v>397</v>
      </c>
      <c r="F29" s="269">
        <f>IFERROR(IF(Flag=TRUE,K29-TBIn!E380,TBIn!D380),0)</f>
        <v>0</v>
      </c>
      <c r="G29" s="2599">
        <f>IFERROR(IF(Flag=TRUE,L29-TBIn!E1800,TBIn!D1800),0)</f>
        <v>0</v>
      </c>
      <c r="H29" s="2601">
        <f>IFERROR(IF(Flag=TRUE,M29-TBIn!E1840,TBIn!D1840),0)</f>
        <v>0</v>
      </c>
      <c r="I29" s="557">
        <f t="shared" si="8"/>
        <v>0</v>
      </c>
      <c r="J29" s="608">
        <f t="shared" si="1"/>
        <v>0</v>
      </c>
      <c r="K29" s="721">
        <f>IFERROR(TBIn!E380,0)</f>
        <v>0</v>
      </c>
      <c r="L29" s="2574">
        <f>IFERROR(TBIn!E1800,0)</f>
        <v>0</v>
      </c>
      <c r="M29" s="2604">
        <f>IFERROR(TBIn!E1840,0)</f>
        <v>0</v>
      </c>
      <c r="N29" s="326">
        <f t="shared" si="9"/>
        <v>0</v>
      </c>
      <c r="O29" s="587">
        <f t="shared" si="2"/>
        <v>0</v>
      </c>
      <c r="P29" s="80">
        <v>26</v>
      </c>
      <c r="Q29" s="656">
        <v>0</v>
      </c>
      <c r="R29" s="656">
        <f t="shared" si="4"/>
        <v>0</v>
      </c>
      <c r="S29" s="656">
        <f t="shared" si="10"/>
        <v>0</v>
      </c>
      <c r="T29" s="656">
        <f t="shared" si="11"/>
        <v>0</v>
      </c>
      <c r="U29" s="656">
        <f t="shared" si="12"/>
        <v>0</v>
      </c>
    </row>
    <row r="30" spans="1:21" s="569" customFormat="1" ht="16" customHeight="1">
      <c r="A30" s="80">
        <v>27</v>
      </c>
      <c r="B30" s="275" t="s">
        <v>145</v>
      </c>
      <c r="C30" s="1600" t="str">
        <f>OR_VEH!B229</f>
        <v>ESCALADE-ESV</v>
      </c>
      <c r="D30" s="1588"/>
      <c r="E30" s="779" t="s">
        <v>398</v>
      </c>
      <c r="F30" s="269">
        <f>IFERROR(IF(Flag=TRUE,K30-TBIn!E381,TBIn!D381),0)</f>
        <v>4</v>
      </c>
      <c r="G30" s="2599">
        <f>IFERROR(IF(Flag=TRUE,L30-TBIn!E1801,TBIn!D1801),0)</f>
        <v>547993</v>
      </c>
      <c r="H30" s="2601">
        <f>IFERROR(IF(Flag=TRUE,M30-TBIn!E1841,TBIn!D1841),0)</f>
        <v>536408</v>
      </c>
      <c r="I30" s="557">
        <f t="shared" si="8"/>
        <v>11585</v>
      </c>
      <c r="J30" s="608">
        <f t="shared" si="1"/>
        <v>2896.25</v>
      </c>
      <c r="K30" s="721">
        <f>IFERROR(TBIn!E381,0)</f>
        <v>17</v>
      </c>
      <c r="L30" s="2574">
        <f>IFERROR(TBIn!E1801,0)</f>
        <v>2486616</v>
      </c>
      <c r="M30" s="2604">
        <f>IFERROR(TBIn!E1841,0)</f>
        <v>2393537</v>
      </c>
      <c r="N30" s="326">
        <f t="shared" si="9"/>
        <v>93079</v>
      </c>
      <c r="O30" s="587">
        <f t="shared" si="2"/>
        <v>5475.2352941176468</v>
      </c>
      <c r="P30" s="80">
        <v>27</v>
      </c>
      <c r="Q30" s="656">
        <v>0</v>
      </c>
      <c r="R30" s="656">
        <f t="shared" si="4"/>
        <v>1</v>
      </c>
      <c r="S30" s="656">
        <f t="shared" si="10"/>
        <v>1</v>
      </c>
      <c r="T30" s="656">
        <f t="shared" si="11"/>
        <v>0</v>
      </c>
      <c r="U30" s="656">
        <f t="shared" si="12"/>
        <v>0</v>
      </c>
    </row>
    <row r="31" spans="1:21" s="569" customFormat="1" ht="16" customHeight="1">
      <c r="A31" s="80">
        <v>28</v>
      </c>
      <c r="B31" s="275" t="s">
        <v>147</v>
      </c>
      <c r="C31" s="1600" t="str">
        <f>OR_VEH!B230</f>
        <v>SRX</v>
      </c>
      <c r="D31" s="1588"/>
      <c r="E31" s="779" t="s">
        <v>399</v>
      </c>
      <c r="F31" s="269">
        <f>IFERROR(IF(Flag=TRUE,K31-TBIn!E382,TBIn!D382),0)</f>
        <v>0</v>
      </c>
      <c r="G31" s="2599">
        <f>IFERROR(IF(Flag=TRUE,L31-TBIn!E1802,TBIn!D1802),0)</f>
        <v>0</v>
      </c>
      <c r="H31" s="2601">
        <f>IFERROR(IF(Flag=TRUE,M31-TBIn!E1842,TBIn!D1842),0)</f>
        <v>0</v>
      </c>
      <c r="I31" s="557">
        <f t="shared" si="8"/>
        <v>0</v>
      </c>
      <c r="J31" s="608">
        <f t="shared" si="1"/>
        <v>0</v>
      </c>
      <c r="K31" s="721">
        <f>IFERROR(TBIn!E382,0)</f>
        <v>0</v>
      </c>
      <c r="L31" s="2574">
        <f>IFERROR(TBIn!E1802,0)</f>
        <v>0</v>
      </c>
      <c r="M31" s="2604">
        <f>IFERROR(TBIn!E1842,0)</f>
        <v>0</v>
      </c>
      <c r="N31" s="326">
        <f t="shared" si="9"/>
        <v>0</v>
      </c>
      <c r="O31" s="587">
        <f t="shared" si="2"/>
        <v>0</v>
      </c>
      <c r="P31" s="80">
        <v>28</v>
      </c>
      <c r="Q31" s="656">
        <v>0</v>
      </c>
      <c r="R31" s="656">
        <f t="shared" si="4"/>
        <v>0</v>
      </c>
      <c r="S31" s="656">
        <f t="shared" si="10"/>
        <v>0</v>
      </c>
      <c r="T31" s="656">
        <f t="shared" si="11"/>
        <v>0</v>
      </c>
      <c r="U31" s="656">
        <f t="shared" si="12"/>
        <v>0</v>
      </c>
    </row>
    <row r="32" spans="1:21" s="569" customFormat="1" ht="16" customHeight="1">
      <c r="A32" s="80">
        <v>29</v>
      </c>
      <c r="B32" s="275" t="s">
        <v>114</v>
      </c>
      <c r="C32" s="1600" t="str">
        <f>OR_VEH!B231</f>
        <v>NE PAS UTILISER</v>
      </c>
      <c r="D32" s="1588"/>
      <c r="E32" s="779" t="s">
        <v>400</v>
      </c>
      <c r="F32" s="269">
        <f>IFERROR(IF(Flag=TRUE,K32-TBIn!E383,TBIn!D383),0)</f>
        <v>0</v>
      </c>
      <c r="G32" s="2599">
        <f>IFERROR(IF(Flag=TRUE,L32-TBIn!E1803,TBIn!D1803),0)</f>
        <v>0</v>
      </c>
      <c r="H32" s="2601">
        <f>IFERROR(IF(Flag=TRUE,M32-TBIn!E1843,TBIn!D1843),0)</f>
        <v>0</v>
      </c>
      <c r="I32" s="557">
        <f t="shared" si="8"/>
        <v>0</v>
      </c>
      <c r="J32" s="608">
        <f t="shared" si="1"/>
        <v>0</v>
      </c>
      <c r="K32" s="721">
        <f>IFERROR(TBIn!E383,0)</f>
        <v>0</v>
      </c>
      <c r="L32" s="2574">
        <f>IFERROR(TBIn!E1803,0)</f>
        <v>0</v>
      </c>
      <c r="M32" s="2604">
        <f>IFERROR(TBIn!E1843,0)</f>
        <v>0</v>
      </c>
      <c r="N32" s="326">
        <f t="shared" si="9"/>
        <v>0</v>
      </c>
      <c r="O32" s="587">
        <f t="shared" si="2"/>
        <v>0</v>
      </c>
      <c r="P32" s="80">
        <v>29</v>
      </c>
      <c r="Q32" s="656">
        <v>0</v>
      </c>
      <c r="R32" s="656">
        <f t="shared" si="4"/>
        <v>0</v>
      </c>
      <c r="S32" s="656">
        <f t="shared" si="10"/>
        <v>0</v>
      </c>
      <c r="T32" s="656">
        <f t="shared" si="11"/>
        <v>0</v>
      </c>
      <c r="U32" s="656">
        <f t="shared" si="12"/>
        <v>0</v>
      </c>
    </row>
    <row r="33" spans="1:21" s="569" customFormat="1" ht="16" customHeight="1">
      <c r="A33" s="80">
        <v>30</v>
      </c>
      <c r="B33" s="101" t="s">
        <v>112</v>
      </c>
      <c r="C33" s="1600" t="str">
        <f>OR_VEH!B232</f>
        <v>NE PAS UTILISER</v>
      </c>
      <c r="D33" s="1588"/>
      <c r="E33" s="779" t="s">
        <v>401</v>
      </c>
      <c r="F33" s="269">
        <f>IFERROR(IF(Flag=TRUE,K33-TBIn!E384,TBIn!D384),0)</f>
        <v>0</v>
      </c>
      <c r="G33" s="2599">
        <f>IFERROR(IF(Flag=TRUE,L33-TBIn!E1804,TBIn!D1804),0)</f>
        <v>0</v>
      </c>
      <c r="H33" s="2601">
        <f>IFERROR(IF(Flag=TRUE,M33-TBIn!E1844,TBIn!D1844),0)</f>
        <v>0</v>
      </c>
      <c r="I33" s="557">
        <f t="shared" si="8"/>
        <v>0</v>
      </c>
      <c r="J33" s="608">
        <f t="shared" si="1"/>
        <v>0</v>
      </c>
      <c r="K33" s="721">
        <f>IFERROR(TBIn!E384,0)</f>
        <v>0</v>
      </c>
      <c r="L33" s="2574">
        <f>IFERROR(TBIn!E1804,0)</f>
        <v>0</v>
      </c>
      <c r="M33" s="2604">
        <f>IFERROR(TBIn!E1844,0)</f>
        <v>0</v>
      </c>
      <c r="N33" s="326">
        <f t="shared" si="9"/>
        <v>0</v>
      </c>
      <c r="O33" s="587">
        <f t="shared" si="2"/>
        <v>0</v>
      </c>
      <c r="P33" s="80">
        <v>30</v>
      </c>
      <c r="Q33" s="656">
        <v>0</v>
      </c>
      <c r="R33" s="656">
        <f t="shared" si="4"/>
        <v>0</v>
      </c>
      <c r="S33" s="656">
        <f t="shared" si="10"/>
        <v>0</v>
      </c>
      <c r="T33" s="656">
        <f t="shared" si="11"/>
        <v>0</v>
      </c>
      <c r="U33" s="656">
        <f t="shared" si="12"/>
        <v>0</v>
      </c>
    </row>
    <row r="34" spans="1:21" s="569" customFormat="1" ht="16" customHeight="1">
      <c r="A34" s="80">
        <v>31</v>
      </c>
      <c r="B34" s="101" t="s">
        <v>127</v>
      </c>
      <c r="C34" s="1600" t="str">
        <f>OR_VEH!B233</f>
        <v>NE PAS UTILISER</v>
      </c>
      <c r="D34" s="1588"/>
      <c r="E34" s="779" t="s">
        <v>402</v>
      </c>
      <c r="F34" s="269">
        <f>IFERROR(IF(Flag=TRUE,K34-TBIn!E385,TBIn!D385),0)</f>
        <v>0</v>
      </c>
      <c r="G34" s="2599">
        <f>IFERROR(IF(Flag=TRUE,L34-TBIn!E1805,TBIn!D1805),0)</f>
        <v>0</v>
      </c>
      <c r="H34" s="2601">
        <f>IFERROR(IF(Flag=TRUE,M34-TBIn!E1845,TBIn!D1845),0)</f>
        <v>0</v>
      </c>
      <c r="I34" s="557">
        <f t="shared" si="8"/>
        <v>0</v>
      </c>
      <c r="J34" s="608">
        <f t="shared" si="1"/>
        <v>0</v>
      </c>
      <c r="K34" s="721">
        <f>IFERROR(TBIn!E385,0)</f>
        <v>0</v>
      </c>
      <c r="L34" s="2574">
        <f>IFERROR(TBIn!E1805,0)</f>
        <v>0</v>
      </c>
      <c r="M34" s="2604">
        <f>IFERROR(TBIn!E1845,0)</f>
        <v>0</v>
      </c>
      <c r="N34" s="326">
        <f t="shared" si="9"/>
        <v>0</v>
      </c>
      <c r="O34" s="587">
        <f t="shared" si="2"/>
        <v>0</v>
      </c>
      <c r="P34" s="80">
        <v>31</v>
      </c>
      <c r="Q34" s="656">
        <v>0</v>
      </c>
      <c r="R34" s="656">
        <f t="shared" si="4"/>
        <v>0</v>
      </c>
      <c r="S34" s="656">
        <f t="shared" si="10"/>
        <v>0</v>
      </c>
      <c r="T34" s="656">
        <f t="shared" si="11"/>
        <v>0</v>
      </c>
      <c r="U34" s="656">
        <f t="shared" si="12"/>
        <v>0</v>
      </c>
    </row>
    <row r="35" spans="1:21" s="569" customFormat="1" ht="16" customHeight="1">
      <c r="A35" s="80">
        <v>32</v>
      </c>
      <c r="B35" s="101" t="s">
        <v>124</v>
      </c>
      <c r="C35" s="1600" t="str">
        <f>OR_VEH!B234</f>
        <v>XT4</v>
      </c>
      <c r="D35" s="1588"/>
      <c r="E35" s="779" t="s">
        <v>403</v>
      </c>
      <c r="F35" s="269">
        <f>IFERROR(IF(Flag=TRUE,K35-TBIn!E386,TBIn!D386),0)</f>
        <v>1</v>
      </c>
      <c r="G35" s="2599">
        <f>IFERROR(IF(Flag=TRUE,L35-TBIn!E1806,TBIn!D1806),0)</f>
        <v>52454</v>
      </c>
      <c r="H35" s="2601">
        <f>IFERROR(IF(Flag=TRUE,M35-TBIn!E1846,TBIn!D1846),0)</f>
        <v>50819</v>
      </c>
      <c r="I35" s="557">
        <f t="shared" si="8"/>
        <v>1635</v>
      </c>
      <c r="J35" s="608">
        <f t="shared" si="1"/>
        <v>1635</v>
      </c>
      <c r="K35" s="721">
        <f>IFERROR(TBIn!E386,0)</f>
        <v>11</v>
      </c>
      <c r="L35" s="2574">
        <f>IFERROR(TBIn!E1806,0)</f>
        <v>606276</v>
      </c>
      <c r="M35" s="2604">
        <f>IFERROR(TBIn!E1846,0)</f>
        <v>587404</v>
      </c>
      <c r="N35" s="326">
        <f t="shared" si="9"/>
        <v>18872</v>
      </c>
      <c r="O35" s="587">
        <f t="shared" si="2"/>
        <v>1715.6363636363637</v>
      </c>
      <c r="P35" s="80">
        <v>32</v>
      </c>
      <c r="Q35" s="656">
        <v>0</v>
      </c>
      <c r="R35" s="656">
        <f t="shared" si="4"/>
        <v>1</v>
      </c>
      <c r="S35" s="656">
        <f t="shared" si="10"/>
        <v>1</v>
      </c>
      <c r="T35" s="656">
        <f t="shared" si="11"/>
        <v>0</v>
      </c>
      <c r="U35" s="656">
        <f t="shared" si="12"/>
        <v>0</v>
      </c>
    </row>
    <row r="36" spans="1:21" s="569" customFormat="1" ht="16" customHeight="1">
      <c r="A36" s="80">
        <v>33</v>
      </c>
      <c r="B36" s="101"/>
      <c r="C36" s="1600" t="str">
        <f>OR_VEH!B235</f>
        <v>XT5</v>
      </c>
      <c r="D36" s="1588"/>
      <c r="E36" s="779" t="s">
        <v>404</v>
      </c>
      <c r="F36" s="269">
        <f>IFERROR(IF(Flag=TRUE,K36-TBIn!E387,TBIn!D387),0)</f>
        <v>1</v>
      </c>
      <c r="G36" s="2599">
        <f>IFERROR(IF(Flag=TRUE,L36-TBIn!E1807,TBIn!D1807),0)</f>
        <v>61769</v>
      </c>
      <c r="H36" s="2601">
        <f>IFERROR(IF(Flag=TRUE,M36-TBIn!E1847,TBIn!D1847),0)</f>
        <v>60397</v>
      </c>
      <c r="I36" s="557">
        <f t="shared" si="8"/>
        <v>1372</v>
      </c>
      <c r="J36" s="608">
        <f t="shared" si="1"/>
        <v>1372</v>
      </c>
      <c r="K36" s="721">
        <f>IFERROR(TBIn!E387,0)</f>
        <v>7</v>
      </c>
      <c r="L36" s="2574">
        <f>IFERROR(TBIn!E1807,0)</f>
        <v>456636</v>
      </c>
      <c r="M36" s="2604">
        <f>IFERROR(TBIn!E1847,0)</f>
        <v>446087</v>
      </c>
      <c r="N36" s="326">
        <f t="shared" si="9"/>
        <v>10549</v>
      </c>
      <c r="O36" s="587">
        <f t="shared" si="2"/>
        <v>1507</v>
      </c>
      <c r="P36" s="80">
        <v>33</v>
      </c>
      <c r="Q36" s="656">
        <v>0</v>
      </c>
      <c r="R36" s="656">
        <f t="shared" si="4"/>
        <v>1</v>
      </c>
      <c r="S36" s="656">
        <f t="shared" si="10"/>
        <v>1</v>
      </c>
      <c r="T36" s="656">
        <f t="shared" si="11"/>
        <v>0</v>
      </c>
      <c r="U36" s="656">
        <f t="shared" si="12"/>
        <v>0</v>
      </c>
    </row>
    <row r="37" spans="1:21" s="569" customFormat="1" ht="16" customHeight="1">
      <c r="A37" s="80">
        <v>34</v>
      </c>
      <c r="B37" s="101" t="s">
        <v>127</v>
      </c>
      <c r="C37" s="1600" t="str">
        <f>OR_VEH!B236</f>
        <v>XT6</v>
      </c>
      <c r="D37" s="1588"/>
      <c r="E37" s="779" t="s">
        <v>405</v>
      </c>
      <c r="F37" s="269">
        <f>IFERROR(IF(Flag=TRUE,K37-TBIn!E388,TBIn!D388),0)</f>
        <v>0</v>
      </c>
      <c r="G37" s="2599">
        <f>IFERROR(IF(Flag=TRUE,L37-TBIn!E1808,TBIn!D1808),0)</f>
        <v>0</v>
      </c>
      <c r="H37" s="2601">
        <f>IFERROR(IF(Flag=TRUE,M37-TBIn!E1848,TBIn!D1848),0)</f>
        <v>0</v>
      </c>
      <c r="I37" s="557">
        <f t="shared" si="8"/>
        <v>0</v>
      </c>
      <c r="J37" s="608">
        <f t="shared" si="1"/>
        <v>0</v>
      </c>
      <c r="K37" s="721">
        <f>IFERROR(TBIn!E388,0)</f>
        <v>5</v>
      </c>
      <c r="L37" s="2574">
        <f>IFERROR(TBIn!E1808,0)</f>
        <v>341001</v>
      </c>
      <c r="M37" s="2604">
        <f>IFERROR(TBIn!E1848,0)</f>
        <v>324054</v>
      </c>
      <c r="N37" s="326">
        <f t="shared" si="9"/>
        <v>16947</v>
      </c>
      <c r="O37" s="587">
        <f t="shared" si="2"/>
        <v>3389.4</v>
      </c>
      <c r="P37" s="80">
        <v>34</v>
      </c>
      <c r="Q37" s="656">
        <v>0</v>
      </c>
      <c r="R37" s="656">
        <f t="shared" si="4"/>
        <v>0</v>
      </c>
      <c r="S37" s="656">
        <f t="shared" si="10"/>
        <v>1</v>
      </c>
      <c r="T37" s="656">
        <f t="shared" si="11"/>
        <v>0</v>
      </c>
      <c r="U37" s="656">
        <f t="shared" si="12"/>
        <v>0</v>
      </c>
    </row>
    <row r="38" spans="1:21" s="569" customFormat="1" ht="16" customHeight="1">
      <c r="A38" s="80">
        <v>35</v>
      </c>
      <c r="B38" s="101" t="s">
        <v>122</v>
      </c>
      <c r="C38" s="1600" t="str">
        <f>OR_VEH!B237</f>
        <v>NE PAS UTILISER</v>
      </c>
      <c r="D38" s="1588"/>
      <c r="E38" s="779" t="s">
        <v>406</v>
      </c>
      <c r="F38" s="269">
        <f>IFERROR(IF(Flag=TRUE,K38-TBIn!E389,TBIn!D389),0)</f>
        <v>0</v>
      </c>
      <c r="G38" s="2599">
        <f>IFERROR(IF(Flag=TRUE,L38-TBIn!E1809,TBIn!D1809),0)</f>
        <v>0</v>
      </c>
      <c r="H38" s="2601">
        <f>IFERROR(IF(Flag=TRUE,M38-TBIn!E1849,TBIn!D1849),0)</f>
        <v>0</v>
      </c>
      <c r="I38" s="557">
        <f t="shared" si="8"/>
        <v>0</v>
      </c>
      <c r="J38" s="608">
        <f t="shared" si="1"/>
        <v>0</v>
      </c>
      <c r="K38" s="721">
        <f>IFERROR(TBIn!E389,0)</f>
        <v>0</v>
      </c>
      <c r="L38" s="2574">
        <f>IFERROR(TBIn!E1809,0)</f>
        <v>0</v>
      </c>
      <c r="M38" s="2604">
        <f>IFERROR(TBIn!E1849,0)</f>
        <v>0</v>
      </c>
      <c r="N38" s="326">
        <f t="shared" si="9"/>
        <v>0</v>
      </c>
      <c r="O38" s="587">
        <f t="shared" si="2"/>
        <v>0</v>
      </c>
      <c r="P38" s="80">
        <v>35</v>
      </c>
      <c r="Q38" s="656">
        <v>0</v>
      </c>
      <c r="R38" s="656">
        <f t="shared" si="4"/>
        <v>0</v>
      </c>
      <c r="S38" s="656">
        <f t="shared" si="10"/>
        <v>0</v>
      </c>
      <c r="T38" s="656">
        <f t="shared" si="11"/>
        <v>0</v>
      </c>
      <c r="U38" s="656">
        <f t="shared" si="12"/>
        <v>0</v>
      </c>
    </row>
    <row r="39" spans="1:21" s="569" customFormat="1" ht="16" customHeight="1">
      <c r="A39" s="80">
        <v>36</v>
      </c>
      <c r="B39" s="101" t="s">
        <v>118</v>
      </c>
      <c r="C39" s="1539" t="str">
        <f>OR_VEH!B238</f>
        <v>ESCALADE V</v>
      </c>
      <c r="D39" s="1588"/>
      <c r="E39" s="779" t="s">
        <v>407</v>
      </c>
      <c r="F39" s="269">
        <f>IFERROR(IF(Flag=TRUE,K39-TBIn!E390,TBIn!D390),0)</f>
        <v>0</v>
      </c>
      <c r="G39" s="2599">
        <f>IFERROR(IF(Flag=TRUE,L39-TBIn!E1810,TBIn!D1810),0)</f>
        <v>0</v>
      </c>
      <c r="H39" s="2601">
        <f>IFERROR(IF(Flag=TRUE,M39-TBIn!E1850,TBIn!D1850),0)</f>
        <v>0</v>
      </c>
      <c r="I39" s="557">
        <f t="shared" si="8"/>
        <v>0</v>
      </c>
      <c r="J39" s="608">
        <f t="shared" si="1"/>
        <v>0</v>
      </c>
      <c r="K39" s="721">
        <f>IFERROR(TBIn!E390,0)</f>
        <v>0</v>
      </c>
      <c r="L39" s="2574">
        <f>IFERROR(TBIn!E1810,0)</f>
        <v>0</v>
      </c>
      <c r="M39" s="2604">
        <f>IFERROR(TBIn!E1850,0)</f>
        <v>0</v>
      </c>
      <c r="N39" s="326">
        <f t="shared" si="9"/>
        <v>0</v>
      </c>
      <c r="O39" s="587">
        <f t="shared" si="2"/>
        <v>0</v>
      </c>
      <c r="P39" s="80">
        <v>36</v>
      </c>
      <c r="Q39" s="656">
        <v>0</v>
      </c>
      <c r="R39" s="656">
        <f t="shared" si="4"/>
        <v>0</v>
      </c>
      <c r="S39" s="656">
        <f t="shared" si="10"/>
        <v>0</v>
      </c>
      <c r="T39" s="656">
        <f t="shared" si="11"/>
        <v>0</v>
      </c>
      <c r="U39" s="656">
        <f t="shared" si="12"/>
        <v>0</v>
      </c>
    </row>
    <row r="40" spans="1:21" s="569" customFormat="1" ht="16" customHeight="1">
      <c r="A40" s="80">
        <v>37</v>
      </c>
      <c r="B40" s="101" t="s">
        <v>157</v>
      </c>
      <c r="C40" s="1600" t="str">
        <f>OR_VEH!B239</f>
        <v>NE PAS UTILISER</v>
      </c>
      <c r="D40" s="1588"/>
      <c r="E40" s="779" t="s">
        <v>408</v>
      </c>
      <c r="F40" s="269">
        <f>IFERROR(IF(Flag=TRUE,K40-TBIn!E391,TBIn!D391),0)</f>
        <v>0</v>
      </c>
      <c r="G40" s="2599">
        <f>IFERROR(IF(Flag=TRUE,L40-TBIn!E1811,TBIn!D1811),0)</f>
        <v>0</v>
      </c>
      <c r="H40" s="2601">
        <f>IFERROR(IF(Flag=TRUE,M40-TBIn!E1851,TBIn!D1851),0)</f>
        <v>0</v>
      </c>
      <c r="I40" s="557">
        <f t="shared" si="8"/>
        <v>0</v>
      </c>
      <c r="J40" s="608">
        <f t="shared" si="1"/>
        <v>0</v>
      </c>
      <c r="K40" s="721">
        <f>IFERROR(TBIn!E391,0)</f>
        <v>0</v>
      </c>
      <c r="L40" s="2574">
        <f>IFERROR(TBIn!E1811,0)</f>
        <v>0</v>
      </c>
      <c r="M40" s="2604">
        <f>IFERROR(TBIn!E1851,0)</f>
        <v>0</v>
      </c>
      <c r="N40" s="326">
        <f t="shared" si="9"/>
        <v>0</v>
      </c>
      <c r="O40" s="587">
        <f t="shared" si="2"/>
        <v>0</v>
      </c>
      <c r="P40" s="80">
        <v>37</v>
      </c>
      <c r="Q40" s="656">
        <v>0</v>
      </c>
      <c r="R40" s="656">
        <f t="shared" si="4"/>
        <v>0</v>
      </c>
      <c r="S40" s="656">
        <f t="shared" si="10"/>
        <v>0</v>
      </c>
      <c r="T40" s="656">
        <f t="shared" si="11"/>
        <v>0</v>
      </c>
      <c r="U40" s="656">
        <f t="shared" si="12"/>
        <v>0</v>
      </c>
    </row>
    <row r="41" spans="1:21" s="569" customFormat="1" ht="16" customHeight="1">
      <c r="A41" s="80">
        <v>38</v>
      </c>
      <c r="B41" s="101" t="s">
        <v>124</v>
      </c>
      <c r="C41" s="1600" t="str">
        <f>OR_VEH!B240</f>
        <v>NE PAS UTILISER</v>
      </c>
      <c r="D41" s="1588"/>
      <c r="E41" s="779" t="s">
        <v>409</v>
      </c>
      <c r="F41" s="269">
        <f>IFERROR(IF(Flag=TRUE,K41-TBIn!E392,TBIn!D392),0)</f>
        <v>0</v>
      </c>
      <c r="G41" s="2599">
        <f>IFERROR(IF(Flag=TRUE,L41-TBIn!E1812,TBIn!D1812),0)</f>
        <v>0</v>
      </c>
      <c r="H41" s="2601">
        <f>IFERROR(IF(Flag=TRUE,M41-TBIn!E1852,TBIn!D1852),0)</f>
        <v>0</v>
      </c>
      <c r="I41" s="557">
        <f t="shared" si="8"/>
        <v>0</v>
      </c>
      <c r="J41" s="608">
        <f t="shared" si="1"/>
        <v>0</v>
      </c>
      <c r="K41" s="721">
        <f>IFERROR(TBIn!E392,0)</f>
        <v>0</v>
      </c>
      <c r="L41" s="2574">
        <f>IFERROR(TBIn!E1812,0)</f>
        <v>0</v>
      </c>
      <c r="M41" s="2604">
        <f>IFERROR(TBIn!E1852,0)</f>
        <v>0</v>
      </c>
      <c r="N41" s="326">
        <f t="shared" si="9"/>
        <v>0</v>
      </c>
      <c r="O41" s="587">
        <f t="shared" si="2"/>
        <v>0</v>
      </c>
      <c r="P41" s="80">
        <v>38</v>
      </c>
      <c r="Q41" s="656">
        <v>0</v>
      </c>
      <c r="R41" s="656">
        <f t="shared" si="4"/>
        <v>0</v>
      </c>
      <c r="S41" s="656">
        <f t="shared" si="10"/>
        <v>0</v>
      </c>
      <c r="T41" s="656">
        <f t="shared" si="11"/>
        <v>0</v>
      </c>
      <c r="U41" s="656">
        <f t="shared" si="12"/>
        <v>0</v>
      </c>
    </row>
    <row r="42" spans="1:21" s="569" customFormat="1" ht="16" customHeight="1">
      <c r="A42" s="80">
        <v>39</v>
      </c>
      <c r="B42" s="101"/>
      <c r="C42" s="1600" t="str">
        <f>OR_VEH!B241</f>
        <v>POUR USAGE FUTUR</v>
      </c>
      <c r="D42" s="1588"/>
      <c r="E42" s="779" t="s">
        <v>410</v>
      </c>
      <c r="F42" s="269">
        <f>IFERROR(IF(Flag=TRUE,K42-TBIn!E393,TBIn!D393),0)</f>
        <v>0</v>
      </c>
      <c r="G42" s="2599">
        <f>IFERROR(IF(Flag=TRUE,L42-TBIn!E1813,TBIn!D1813),0)</f>
        <v>0</v>
      </c>
      <c r="H42" s="2601">
        <f>IFERROR(IF(Flag=TRUE,M42-TBIn!E1853,TBIn!D1853),0)</f>
        <v>0</v>
      </c>
      <c r="I42" s="557">
        <f t="shared" si="8"/>
        <v>0</v>
      </c>
      <c r="J42" s="608">
        <f t="shared" si="1"/>
        <v>0</v>
      </c>
      <c r="K42" s="721">
        <f>IFERROR(TBIn!E393,0)</f>
        <v>0</v>
      </c>
      <c r="L42" s="2574">
        <f>IFERROR(TBIn!E1813,0)</f>
        <v>0</v>
      </c>
      <c r="M42" s="2604">
        <f>IFERROR(TBIn!E1853,0)</f>
        <v>0</v>
      </c>
      <c r="N42" s="326">
        <f t="shared" si="9"/>
        <v>0</v>
      </c>
      <c r="O42" s="587">
        <f t="shared" si="2"/>
        <v>0</v>
      </c>
      <c r="P42" s="80">
        <v>39</v>
      </c>
      <c r="Q42" s="656">
        <v>0</v>
      </c>
      <c r="R42" s="656">
        <f t="shared" si="4"/>
        <v>0</v>
      </c>
      <c r="S42" s="656">
        <f t="shared" si="10"/>
        <v>0</v>
      </c>
      <c r="T42" s="656">
        <f t="shared" si="11"/>
        <v>0</v>
      </c>
      <c r="U42" s="656">
        <f t="shared" si="12"/>
        <v>0</v>
      </c>
    </row>
    <row r="43" spans="1:21" s="569" customFormat="1" ht="16" customHeight="1">
      <c r="A43" s="80">
        <v>40</v>
      </c>
      <c r="B43" s="101"/>
      <c r="C43" s="1600" t="str">
        <f>OR_VEH!B242</f>
        <v>AUTRES CAMIONS CADILLAC</v>
      </c>
      <c r="D43" s="1588"/>
      <c r="E43" s="779" t="s">
        <v>411</v>
      </c>
      <c r="F43" s="269">
        <f>IFERROR(IF(Flag=TRUE,K43-TBIn!E394,TBIn!D394),0)</f>
        <v>0</v>
      </c>
      <c r="G43" s="2599">
        <f>IFERROR(IF(Flag=TRUE,L43-TBIn!E1814,TBIn!D1814),0)</f>
        <v>0</v>
      </c>
      <c r="H43" s="2601">
        <f>IFERROR(IF(Flag=TRUE,M43-TBIn!E1854,TBIn!D1854),0)</f>
        <v>0</v>
      </c>
      <c r="I43" s="557">
        <f t="shared" si="8"/>
        <v>0</v>
      </c>
      <c r="J43" s="608">
        <f t="shared" si="1"/>
        <v>0</v>
      </c>
      <c r="K43" s="721">
        <f>IFERROR(TBIn!E394,0)</f>
        <v>0</v>
      </c>
      <c r="L43" s="2574">
        <f>IFERROR(TBIn!E1814,0)</f>
        <v>0</v>
      </c>
      <c r="M43" s="2604">
        <f>IFERROR(TBIn!E1854,0)</f>
        <v>0</v>
      </c>
      <c r="N43" s="326">
        <f t="shared" si="9"/>
        <v>0</v>
      </c>
      <c r="O43" s="587">
        <f t="shared" si="2"/>
        <v>0</v>
      </c>
      <c r="P43" s="80">
        <v>40</v>
      </c>
      <c r="Q43" s="656">
        <v>0</v>
      </c>
      <c r="R43" s="656">
        <f t="shared" si="4"/>
        <v>0</v>
      </c>
      <c r="S43" s="656">
        <f t="shared" si="10"/>
        <v>0</v>
      </c>
      <c r="T43" s="656">
        <f t="shared" si="11"/>
        <v>0</v>
      </c>
      <c r="U43" s="656">
        <f t="shared" si="12"/>
        <v>0</v>
      </c>
    </row>
    <row r="44" spans="1:21" s="569" customFormat="1" ht="16" customHeight="1">
      <c r="A44" s="80">
        <v>41</v>
      </c>
      <c r="B44" s="101"/>
      <c r="C44" s="274" t="s">
        <v>162</v>
      </c>
      <c r="D44" s="264"/>
      <c r="E44" s="778"/>
      <c r="F44" s="715">
        <f>SUM(F28:F43)</f>
        <v>6</v>
      </c>
      <c r="G44" s="716">
        <f>SUM(G28:G43)</f>
        <v>662216</v>
      </c>
      <c r="H44" s="716">
        <f>SUM(H28:H43)</f>
        <v>647624</v>
      </c>
      <c r="I44" s="716">
        <f>SUM(I28:I43)</f>
        <v>14592</v>
      </c>
      <c r="J44" s="132">
        <f t="shared" si="1"/>
        <v>2432</v>
      </c>
      <c r="K44" s="2496">
        <f>SUM(K28:K43)</f>
        <v>40</v>
      </c>
      <c r="L44" s="949">
        <f>SUM(L28:L43)</f>
        <v>3890529</v>
      </c>
      <c r="M44" s="949">
        <f>SUM(M28:M43)</f>
        <v>3751082</v>
      </c>
      <c r="N44" s="716">
        <f>SUM(N28:N43)</f>
        <v>139447</v>
      </c>
      <c r="O44" s="132">
        <f t="shared" si="2"/>
        <v>3486.1750000000002</v>
      </c>
      <c r="P44" s="80">
        <v>41</v>
      </c>
      <c r="Q44" s="656"/>
      <c r="R44" s="656"/>
      <c r="S44" s="656"/>
      <c r="T44" s="656"/>
      <c r="U44" s="656"/>
    </row>
    <row r="45" spans="1:21" s="569" customFormat="1" ht="16" customHeight="1">
      <c r="A45" s="80">
        <v>42</v>
      </c>
      <c r="B45" s="215"/>
      <c r="C45" s="1602" t="str">
        <f>OR_VEH!B244</f>
        <v>MÉMO* VENTES INTERNET CAMIONS</v>
      </c>
      <c r="D45" s="1536"/>
      <c r="E45" s="779" t="s">
        <v>412</v>
      </c>
      <c r="F45" s="269">
        <f>IFERROR(IF(Flag=TRUE,K45-TBIn!E395,TBIn!D395),0)</f>
        <v>0</v>
      </c>
      <c r="G45" s="2599">
        <f>IFERROR(IF(Flag=TRUE,L45-TBIn!$E$159,TBIn!$D$159),0)</f>
        <v>0</v>
      </c>
      <c r="H45" s="2601">
        <f>IFERROR(IF(Flag=TRUE,M45-TBIn!$E$179,TBIn!$D$179),0)</f>
        <v>0</v>
      </c>
      <c r="I45" s="557">
        <f>G45-H45</f>
        <v>0</v>
      </c>
      <c r="J45" s="608">
        <f t="shared" si="1"/>
        <v>0</v>
      </c>
      <c r="K45" s="721">
        <f>IFERROR(TBIn!E395,0)</f>
        <v>0</v>
      </c>
      <c r="L45" s="2574">
        <f>IFERROR(TBIn!$E$159,0)</f>
        <v>0</v>
      </c>
      <c r="M45" s="2604">
        <f>IFERROR(TBIn!$E$179,0)</f>
        <v>0</v>
      </c>
      <c r="N45" s="326">
        <f>L45-M45</f>
        <v>0</v>
      </c>
      <c r="O45" s="587">
        <f t="shared" si="2"/>
        <v>0</v>
      </c>
      <c r="P45" s="80">
        <v>42</v>
      </c>
      <c r="Q45" s="656">
        <v>0</v>
      </c>
      <c r="R45" s="656">
        <f t="shared" si="4"/>
        <v>0</v>
      </c>
      <c r="S45" s="656">
        <f>IF(K45=0,0,IF(OR(L45&lt;0,L45/K45&gt;Q45),1,0))</f>
        <v>0</v>
      </c>
      <c r="T45" s="656">
        <f>IF(OR(F45&lt;0,AND(G45&gt;0,F45=0),AND(G45=0,F45&gt;0)),1,0)</f>
        <v>0</v>
      </c>
      <c r="U45" s="656">
        <f>IF(OR(K45&lt;0,AND(L45&gt;0,K45=0),AND(K45&gt;0,L45=0)),1,0)</f>
        <v>0</v>
      </c>
    </row>
    <row r="46" spans="1:21" s="569" customFormat="1" ht="20.149999999999999" customHeight="1">
      <c r="A46" s="80">
        <v>43</v>
      </c>
      <c r="B46" s="101"/>
      <c r="C46" s="1605" t="str">
        <f>OR_VEH!B245</f>
        <v>TOTAL PARCS - CAMIONS</v>
      </c>
      <c r="D46" s="1588"/>
      <c r="E46" s="2525" t="s">
        <v>139</v>
      </c>
      <c r="F46" s="269">
        <f>IFERROR(IF(Flag=TRUE,K46-TBIn!E396,TBIn!D396),0)</f>
        <v>0</v>
      </c>
      <c r="G46" s="2599">
        <f>IFERROR(IF(Flag=TRUE,L46-TBIn!E1815,TBIn!D1815),0)</f>
        <v>0</v>
      </c>
      <c r="H46" s="2599">
        <f>IFERROR(IF(Flag=TRUE,M46-TBIn!E1855,TBIn!D1855),0)</f>
        <v>0</v>
      </c>
      <c r="I46" s="552">
        <f>G46-H46</f>
        <v>0</v>
      </c>
      <c r="J46" s="608">
        <f t="shared" si="1"/>
        <v>0</v>
      </c>
      <c r="K46" s="721">
        <f>IFERROR(TBIn!E396,0)</f>
        <v>0</v>
      </c>
      <c r="L46" s="2574">
        <f>IFERROR(TBIn!E1815,0)</f>
        <v>0</v>
      </c>
      <c r="M46" s="2574">
        <f>IFERROR(TBIn!E1855,0)</f>
        <v>0</v>
      </c>
      <c r="N46" s="2679">
        <f>L46-M46</f>
        <v>0</v>
      </c>
      <c r="O46" s="587">
        <f t="shared" si="2"/>
        <v>0</v>
      </c>
      <c r="P46" s="80">
        <v>43</v>
      </c>
      <c r="Q46" s="656">
        <v>0</v>
      </c>
      <c r="R46" s="656">
        <f t="shared" si="4"/>
        <v>0</v>
      </c>
      <c r="S46" s="656">
        <f>IF(K46=0,0,IF(OR(L46&lt;0,L46/K46&gt;Q46),1,0))</f>
        <v>0</v>
      </c>
      <c r="T46" s="656">
        <f>IF(OR(F46&lt;0,AND(G46&gt;0,F46=0),AND(G46=0,F46&gt;0)),1,0)</f>
        <v>0</v>
      </c>
      <c r="U46" s="656">
        <f>IF(OR(K46&lt;0,AND(L46&gt;0,K46=0),AND(K46&gt;0,L46=0)),1,0)</f>
        <v>0</v>
      </c>
    </row>
    <row r="47" spans="1:21" s="569" customFormat="1" ht="16" customHeight="1">
      <c r="A47" s="80">
        <v>44</v>
      </c>
      <c r="B47" s="215"/>
      <c r="C47" s="1606" t="str">
        <f>OR_VEH!B246</f>
        <v xml:space="preserve">TOTAL IINTERNE - CAMIONS </v>
      </c>
      <c r="D47" s="1607"/>
      <c r="E47" s="780" t="s">
        <v>413</v>
      </c>
      <c r="F47" s="269">
        <f>IFERROR(IF(Flag=TRUE,K47-TBIn!E397,TBIn!D397),0)</f>
        <v>0</v>
      </c>
      <c r="G47" s="2599">
        <f>IFERROR(IF(Flag=TRUE,L47-TBIn!E1816,TBIn!D1816),0)</f>
        <v>0</v>
      </c>
      <c r="H47" s="2599">
        <f>IFERROR(IF(Flag=TRUE,M47-TBIn!E1856,TBIn!D1856),0)</f>
        <v>0</v>
      </c>
      <c r="I47" s="552">
        <f>G47-H47</f>
        <v>0</v>
      </c>
      <c r="J47" s="608">
        <f t="shared" si="1"/>
        <v>0</v>
      </c>
      <c r="K47" s="721">
        <f>IFERROR(TBIn!E397,0)</f>
        <v>0</v>
      </c>
      <c r="L47" s="2574">
        <f>IFERROR(TBIn!E1816,0)</f>
        <v>0</v>
      </c>
      <c r="M47" s="2574">
        <f>IFERROR(TBIn!E1856,0)</f>
        <v>0</v>
      </c>
      <c r="N47" s="555">
        <f>L47-M47</f>
        <v>0</v>
      </c>
      <c r="O47" s="587">
        <f t="shared" si="2"/>
        <v>0</v>
      </c>
      <c r="P47" s="80">
        <v>44</v>
      </c>
      <c r="Q47" s="656">
        <v>0</v>
      </c>
      <c r="R47" s="656">
        <f t="shared" si="4"/>
        <v>0</v>
      </c>
      <c r="S47" s="656">
        <f>IF(K47=0,0,IF(OR(L47&lt;0,L47/K47&gt;Q47),1,0))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715">
        <f>F44+F46+F47</f>
        <v>6</v>
      </c>
      <c r="G48" s="716">
        <f>G44+G46+G47</f>
        <v>662216</v>
      </c>
      <c r="H48" s="716">
        <f>H44+H46+H47</f>
        <v>647624</v>
      </c>
      <c r="I48" s="716">
        <f>I44+I46+I47</f>
        <v>14592</v>
      </c>
      <c r="J48" s="132">
        <f t="shared" si="1"/>
        <v>2432</v>
      </c>
      <c r="K48" s="2496">
        <f>K44+K46+K47</f>
        <v>40</v>
      </c>
      <c r="L48" s="949">
        <f>L44+L46+L47</f>
        <v>3890529</v>
      </c>
      <c r="M48" s="949">
        <f>M44+M46+M47</f>
        <v>3751082</v>
      </c>
      <c r="N48" s="716">
        <f>N44+N46+N47</f>
        <v>139447</v>
      </c>
      <c r="O48" s="132">
        <f>IF(K48&gt;0,N48/K48,0)</f>
        <v>3486.1750000000002</v>
      </c>
      <c r="P48" s="80">
        <v>45</v>
      </c>
      <c r="Q48" s="656"/>
      <c r="R48" s="656"/>
      <c r="S48" s="656"/>
      <c r="T48" s="656"/>
      <c r="U48" s="656"/>
    </row>
    <row r="49" spans="1:21" s="30" customFormat="1" ht="16" customHeight="1">
      <c r="A49" s="80">
        <v>46</v>
      </c>
      <c r="B49" s="96"/>
      <c r="C49" s="266" t="str">
        <f>OR_VEH!B248</f>
        <v xml:space="preserve"> </v>
      </c>
      <c r="D49" s="262"/>
      <c r="E49" s="779" t="s">
        <v>166</v>
      </c>
      <c r="F49" s="1965"/>
      <c r="G49" s="2599"/>
      <c r="H49" s="2601"/>
      <c r="I49" s="557"/>
      <c r="J49" s="831"/>
      <c r="K49" s="2678"/>
      <c r="L49" s="2698"/>
      <c r="M49" s="2699"/>
      <c r="N49" s="326"/>
      <c r="O49" s="597"/>
      <c r="P49" s="80">
        <v>46</v>
      </c>
      <c r="Q49" s="712">
        <v>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OR_VEH!B249</f>
        <v>ACCESSOIRES</v>
      </c>
      <c r="D50" s="1588"/>
      <c r="E50" s="779" t="s">
        <v>414</v>
      </c>
      <c r="F50" s="269">
        <f>IFERROR(IF(Flag=TRUE,K50-TBIn!E398,TBIn!D398),0)</f>
        <v>0</v>
      </c>
      <c r="G50" s="2599">
        <f>IFERROR(IF(Flag=TRUE,L50-TBIn!E1817,TBIn!D1817),0)</f>
        <v>0</v>
      </c>
      <c r="H50" s="2601">
        <f>IFERROR(IF(Flag=TRUE,M50-TBIn!E1857,TBIn!D1857),0)</f>
        <v>0</v>
      </c>
      <c r="I50" s="557">
        <f>G50-H50</f>
        <v>0</v>
      </c>
      <c r="J50" s="828">
        <f>IF(F51=0,0,I50/F$51)</f>
        <v>0</v>
      </c>
      <c r="K50" s="721">
        <f>IFERROR(TBIn!E398,0)</f>
        <v>0</v>
      </c>
      <c r="L50" s="2574">
        <f>IFERROR(TBIn!E1817,0)</f>
        <v>0</v>
      </c>
      <c r="M50" s="2604">
        <f>IFERROR(TBIn!E1857,0)</f>
        <v>0</v>
      </c>
      <c r="N50" s="326">
        <f>L50-M50</f>
        <v>0</v>
      </c>
      <c r="O50" s="830">
        <f>IF(K51=0,0,N50/K$51)</f>
        <v>0</v>
      </c>
      <c r="P50" s="80">
        <v>47</v>
      </c>
      <c r="Q50" s="712">
        <v>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IFERROR(IF(Flag=TRUE,F27+F48,TBIn!D399),0)</f>
        <v>6</v>
      </c>
      <c r="G51" s="716">
        <f>G27+G48+G50</f>
        <v>662216</v>
      </c>
      <c r="H51" s="848">
        <f>H27+H48+H50</f>
        <v>647624</v>
      </c>
      <c r="I51" s="1423">
        <f>IFERROR(IF(Flag=TRUE,I27+I48+I50,TBIn!D1858),0)</f>
        <v>14592</v>
      </c>
      <c r="J51" s="1087">
        <f>IF(F51=0,0,I51/F$51)</f>
        <v>2432</v>
      </c>
      <c r="K51" s="761">
        <f>IFERROR(IF(Flag=TRUE,K27+K48,TBIn!E399),0)</f>
        <v>40</v>
      </c>
      <c r="L51" s="716">
        <f>L27+L48+L50</f>
        <v>3890529</v>
      </c>
      <c r="M51" s="848">
        <f>M27+M48+M50</f>
        <v>3751082</v>
      </c>
      <c r="N51" s="1423">
        <f>IFERROR(IF(Flag=TRUE,N27+N48+N50,TBIn!E1858),0)</f>
        <v>139447</v>
      </c>
      <c r="O51" s="1087">
        <f>IF(K51=0,0,N51/K$51)</f>
        <v>3486.1750000000002</v>
      </c>
      <c r="P51" s="179">
        <v>48</v>
      </c>
      <c r="Q51" s="656"/>
      <c r="R51" s="656"/>
      <c r="S51" s="656"/>
      <c r="T51" s="656"/>
      <c r="U51" s="656"/>
    </row>
    <row r="52" spans="1:21" s="569" customFormat="1" ht="16" customHeight="1">
      <c r="A52" s="76"/>
      <c r="B52" s="84" t="s">
        <v>169</v>
      </c>
      <c r="C52" s="84"/>
      <c r="D52" s="84"/>
      <c r="E52" s="84"/>
      <c r="F52" s="84"/>
      <c r="G52" s="84"/>
      <c r="H52" s="84"/>
      <c r="I52" s="76"/>
      <c r="J52" s="267" t="s">
        <v>170</v>
      </c>
      <c r="K52" s="76"/>
      <c r="L52" s="76"/>
      <c r="M52" s="76"/>
      <c r="N52" s="76"/>
      <c r="O52" s="267" t="s">
        <v>170</v>
      </c>
      <c r="P52" s="76"/>
      <c r="Q52" s="656"/>
      <c r="R52" s="656"/>
      <c r="S52" s="656"/>
      <c r="T52" s="656"/>
      <c r="U52" s="656"/>
    </row>
    <row r="53" spans="1:21" hidden="1">
      <c r="A53" s="3"/>
      <c r="B53" s="3"/>
      <c r="C53" s="3"/>
      <c r="D53" s="3"/>
      <c r="E53" s="3"/>
      <c r="F53" s="3"/>
      <c r="G53" s="3"/>
      <c r="H53" s="3"/>
      <c r="I53" s="16"/>
      <c r="J53" s="3"/>
      <c r="K53" s="3"/>
      <c r="L53" s="3"/>
      <c r="M53" s="3"/>
      <c r="N53" s="3"/>
      <c r="O53" s="3"/>
      <c r="P53" s="3"/>
    </row>
    <row r="54" spans="1:21" hidden="1">
      <c r="A54" s="3"/>
      <c r="B54" s="3"/>
      <c r="C54" s="3"/>
      <c r="D54" s="30"/>
      <c r="E54" s="3"/>
      <c r="F54" s="3"/>
      <c r="G54" s="3"/>
      <c r="H54" s="3"/>
      <c r="I54" s="3"/>
      <c r="J54" s="3"/>
      <c r="K54" s="3"/>
      <c r="L54" s="3"/>
      <c r="M54" s="3"/>
      <c r="N54" s="3"/>
      <c r="O54" s="3"/>
      <c r="P54" s="3"/>
    </row>
    <row r="55" spans="1:21" hidden="1">
      <c r="D55" s="30"/>
    </row>
    <row r="56" spans="1:21" hidden="1">
      <c r="D56" s="30" t="s">
        <v>171</v>
      </c>
      <c r="E56" s="1239" t="s">
        <v>88</v>
      </c>
      <c r="F56" s="30" t="s">
        <v>172</v>
      </c>
    </row>
    <row r="57" spans="1:21" hidden="1">
      <c r="D57" s="30" t="s">
        <v>173</v>
      </c>
      <c r="E57" s="1239" t="s">
        <v>88</v>
      </c>
      <c r="F57" s="30" t="s">
        <v>174</v>
      </c>
    </row>
    <row r="60" spans="1:21" ht="13" hidden="1">
      <c r="D60" s="1325"/>
      <c r="E60" s="30"/>
      <c r="F60" s="30"/>
      <c r="G60" s="30"/>
      <c r="H60" s="30"/>
      <c r="I60" s="30"/>
      <c r="J60" s="30"/>
      <c r="K60" s="30"/>
      <c r="L60" s="30"/>
    </row>
    <row r="61" spans="1:21" ht="13" hidden="1">
      <c r="D61" s="1325"/>
      <c r="E61" s="30"/>
      <c r="F61" s="30"/>
      <c r="G61" s="30"/>
      <c r="H61" s="30"/>
      <c r="I61" s="30"/>
      <c r="J61" s="30"/>
      <c r="K61" s="30"/>
      <c r="L61" s="30"/>
    </row>
  </sheetData>
  <sheetProtection algorithmName="SHA-512" hashValue="27EBA0BrqSRIEuRZ9Xux4qOdXKIM8tAdzLTS1GeHDFhoAAbJVl9f2W5zNYBJrHUN8ulRjnFPZ0Rwe4I9gSzlxg==" saltValue="IVjO9nFHN4J0XAX9qvVdSg==" spinCount="100000" sheet="1" objects="1" scenarios="1"/>
  <customSheetViews>
    <customSheetView guid="{42A0DCD3-5C27-4BB4-A491-D2E7F84D8A17}" scale="80" showGridLines="0" fitToPage="1" printArea="1" hiddenRows="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fitToPage="1" hiddenRows="1" hiddenColumns="1" showRuler="0">
      <pane xSplit="5" ySplit="3" topLeftCell="F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A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A00-000000000000}"/>
    <hyperlink ref="C24" r:id="rId4" tooltip="Lien au Manuel des méthodes comptables GM" display="http://gm-ca-fr.acctmanual.com/New_Vehicle/419_Voitures_neuves_Internet_(compte_m_mo).htm" xr:uid="{00000000-0004-0000-0A00-000001000000}"/>
    <hyperlink ref="C25" r:id="rId5" tooltip="Lien au Manuel des méthodes comptables GM" display="http://gm-ca-fr.acctmanual.com/New_Vehicle/420_Voitures_neuves_-_Parcs.htm" xr:uid="{00000000-0004-0000-0A00-000002000000}"/>
    <hyperlink ref="C26" r:id="rId6" tooltip="Lien au Manuel des méthodes comptables GM" display="http://gm-ca-fr.acctmanual.com/New_Vehicle/421_Voitures_neuves_-_Interne.htm" xr:uid="{00000000-0004-0000-0A00-000003000000}"/>
    <hyperlink ref="C28" r:id="rId7" tooltip="Lien au Manuel des méthodes comptables GM" display="http://gm-ca-fr.acctmanual.com/New_Vehicle/423-438_Camions_neufs_-_au_d_tail.htm" xr:uid="{00000000-0004-0000-0A00-000004000000}"/>
    <hyperlink ref="C45" r:id="rId8" tooltip="Lien au Manuel des méthodes comptables GM" display="http://gm-ca-fr.acctmanual.com/New_Vehicle/439_Camions_neufs_Internet_(compte_m_mo).htm" xr:uid="{00000000-0004-0000-0A00-000005000000}"/>
    <hyperlink ref="C46" r:id="rId9" tooltip="Lien au Manuel des méthodes comptables GM" display="http://gm-ca-fr.acctmanual.com/New_Vehicle/440_Camions_neufs_-_Parcs.htm" xr:uid="{00000000-0004-0000-0A00-000006000000}"/>
    <hyperlink ref="C47" r:id="rId10" tooltip="Lien au Manuel des méthodes comptables GM" display="http://gm-ca-fr.acctmanual.com/New_Vehicle/441_Camions_neufs_-_Interne.htm" xr:uid="{00000000-0004-0000-0A00-000007000000}"/>
    <hyperlink ref="C50" r:id="rId11" tooltip="Lien au Manuel des méthodes comptables GM" display="http://gm-ca-fr.acctmanual.com/New_Vehicle/457_Accessoires.htm" xr:uid="{00000000-0004-0000-0A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4346" r:id="rId15" name="CommandButton5e">
          <controlPr defaultSize="0" print="0" autoFill="0" autoLine="0" r:id="rId16">
            <anchor moveWithCells="1">
              <from>
                <xdr:col>11</xdr:col>
                <xdr:colOff>419100</xdr:colOff>
                <xdr:row>0</xdr:row>
                <xdr:rowOff>0</xdr:rowOff>
              </from>
              <to>
                <xdr:col>12</xdr:col>
                <xdr:colOff>850900</xdr:colOff>
                <xdr:row>1</xdr:row>
                <xdr:rowOff>19050</xdr:rowOff>
              </to>
            </anchor>
          </controlPr>
        </control>
      </mc:Choice>
      <mc:Fallback>
        <control shapeId="14346" r:id="rId15" name="CommandButton5e"/>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4">
    <pageSetUpPr autoPageBreaks="0" fitToPage="1"/>
  </sheetPr>
  <dimension ref="A1:U62"/>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6.179687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s="569" customFormat="1" ht="21" customHeight="1">
      <c r="A1" s="76"/>
      <c r="B1" s="2762" t="str">
        <f>OR_VEH!B302</f>
        <v>CADILLAC - VE</v>
      </c>
      <c r="C1" s="2762"/>
      <c r="D1" s="2762"/>
      <c r="E1" s="257"/>
      <c r="F1" s="491" t="s">
        <v>92</v>
      </c>
      <c r="G1" s="60"/>
      <c r="H1" s="60"/>
      <c r="I1" s="60"/>
      <c r="J1" s="60"/>
      <c r="K1" s="60"/>
      <c r="L1" s="61"/>
      <c r="M1" s="61"/>
      <c r="N1" s="61"/>
      <c r="O1" s="641"/>
      <c r="P1" s="62" t="str">
        <f>TBIn!$E$2458&amp;" - "&amp;TBIn!$AH$10&amp;" - PAGE 5 CAD VE"</f>
        <v>319719 - 202504 - PAGE 5 CAD VE</v>
      </c>
      <c r="Q1" s="643" t="s">
        <v>93</v>
      </c>
      <c r="R1" s="643" t="s">
        <v>94</v>
      </c>
      <c r="S1" s="643" t="s">
        <v>95</v>
      </c>
      <c r="T1" s="643" t="s">
        <v>94</v>
      </c>
      <c r="U1" s="643"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s="569" customFormat="1" ht="16" customHeight="1">
      <c r="A4" s="74">
        <v>1</v>
      </c>
      <c r="B4" s="215"/>
      <c r="C4" s="1535" t="str">
        <f>OR_VEH!B303</f>
        <v>CELESTIQ</v>
      </c>
      <c r="D4" s="1536"/>
      <c r="E4" s="1037" t="s">
        <v>415</v>
      </c>
      <c r="F4" s="268">
        <f>IFERROR(IF(Flag=TRUE,K4-TBIn!E443,TBIn!D443),0)</f>
        <v>0</v>
      </c>
      <c r="G4" s="2598">
        <f>IFERROR(IF(Flag=TRUE,L4-TBIn!E1940,TBIn!D1940),0)</f>
        <v>0</v>
      </c>
      <c r="H4" s="2598">
        <f>IFERROR(IF(Flag=TRUE,M4-TBIn!E1980,TBIn!D1980),0)</f>
        <v>0</v>
      </c>
      <c r="I4" s="551">
        <f t="shared" ref="I4:I22" si="0">G4-H4</f>
        <v>0</v>
      </c>
      <c r="J4" s="584">
        <f t="shared" ref="J4:J48" si="1">IF(F4&gt;0,I4/F4,0)</f>
        <v>0</v>
      </c>
      <c r="K4" s="720">
        <f>IFERROR(TBIn!E443,0)</f>
        <v>0</v>
      </c>
      <c r="L4" s="2602">
        <f>IFERROR(TBIn!E1940,0)</f>
        <v>0</v>
      </c>
      <c r="M4" s="2602">
        <f>IFERROR(TBIn!E1980,0)</f>
        <v>0</v>
      </c>
      <c r="N4" s="554">
        <f>L4-M4</f>
        <v>0</v>
      </c>
      <c r="O4" s="585">
        <f t="shared" ref="O4:O47" si="2">IF(K4&gt;0,N4/K4,0)</f>
        <v>0</v>
      </c>
      <c r="P4" s="74">
        <v>1</v>
      </c>
      <c r="Q4" s="656">
        <v>0</v>
      </c>
      <c r="R4" s="656">
        <f>IF(F4=0,0,IF(G4/F4&gt;Q4,1,0))</f>
        <v>0</v>
      </c>
      <c r="S4" s="656">
        <f>IF(K4=0,0,IF(OR(L4&lt;0,L4/K4&gt;Q4),1,0))</f>
        <v>0</v>
      </c>
      <c r="T4" s="656">
        <f>IF(OR(F4&lt;0,AND(G4&gt;0,F4=0),AND(G4=0,F4&gt;0)),1,0)</f>
        <v>0</v>
      </c>
      <c r="U4" s="656">
        <f>IF(OR(K4&lt;0,AND(L4&gt;0,K4=0),AND(K4&gt;0,L4=0)),1,0)</f>
        <v>0</v>
      </c>
    </row>
    <row r="5" spans="1:21" s="569" customFormat="1" ht="16" customHeight="1">
      <c r="A5" s="80">
        <v>2</v>
      </c>
      <c r="B5" s="275" t="s">
        <v>110</v>
      </c>
      <c r="C5" s="1539" t="str">
        <f>OR_VEH!B304</f>
        <v>NE PAS UTILISER</v>
      </c>
      <c r="D5" s="1588"/>
      <c r="E5" s="776" t="s">
        <v>416</v>
      </c>
      <c r="F5" s="269">
        <f>IFERROR(IF(Flag=TRUE,K5-TBIn!E444,TBIn!D444),0)</f>
        <v>0</v>
      </c>
      <c r="G5" s="2599">
        <f>IFERROR(IF(Flag=TRUE,L5-TBIn!E1941,TBIn!D1941),0)</f>
        <v>0</v>
      </c>
      <c r="H5" s="2599">
        <f>IFERROR(IF(Flag=TRUE,M5-TBIn!E1981,TBIn!D1981),0)</f>
        <v>0</v>
      </c>
      <c r="I5" s="552">
        <f t="shared" si="0"/>
        <v>0</v>
      </c>
      <c r="J5" s="608">
        <f t="shared" si="1"/>
        <v>0</v>
      </c>
      <c r="K5" s="721">
        <f>IFERROR(TBIn!E444,0)</f>
        <v>0</v>
      </c>
      <c r="L5" s="2574">
        <f>IFERROR(TBIn!E1941,0)</f>
        <v>0</v>
      </c>
      <c r="M5" s="2574">
        <f>IFERROR(TBIn!E1981,0)</f>
        <v>0</v>
      </c>
      <c r="N5" s="555">
        <f t="shared" ref="N5:N22" si="3">L5-M5</f>
        <v>0</v>
      </c>
      <c r="O5" s="587">
        <f t="shared" si="2"/>
        <v>0</v>
      </c>
      <c r="P5" s="80">
        <v>2</v>
      </c>
      <c r="Q5" s="656">
        <v>0</v>
      </c>
      <c r="R5" s="656">
        <f t="shared" ref="R5:R50" si="4">IF(F5=0,0,IF(G5/F5&gt;Q5,1,0))</f>
        <v>0</v>
      </c>
      <c r="S5" s="656">
        <f t="shared" ref="S5:S22" si="5">IF(K5=0,0,IF(OR(L5&lt;0,L5/K5&gt;Q5),1,0))</f>
        <v>0</v>
      </c>
      <c r="T5" s="656">
        <f t="shared" ref="T5:T22" si="6">IF(OR(F5&lt;0,AND(G5&gt;0,F5=0),AND(G5=0,F5&gt;0)),1,0)</f>
        <v>0</v>
      </c>
      <c r="U5" s="656">
        <f t="shared" ref="U5:U22" si="7">IF(OR(K5&lt;0,AND(L5&gt;0,K5=0),AND(K5&gt;0,L5=0)),1,0)</f>
        <v>0</v>
      </c>
    </row>
    <row r="6" spans="1:21" s="569" customFormat="1" ht="15.75" customHeight="1">
      <c r="A6" s="80">
        <v>3</v>
      </c>
      <c r="B6" s="275" t="s">
        <v>112</v>
      </c>
      <c r="C6" s="1539" t="str">
        <f>OR_VEH!B305</f>
        <v>NE PAS UTILISER</v>
      </c>
      <c r="D6" s="1588"/>
      <c r="E6" s="776" t="s">
        <v>417</v>
      </c>
      <c r="F6" s="269">
        <f>IFERROR(IF(Flag=TRUE,K6-TBIn!E445,TBIn!D445),0)</f>
        <v>0</v>
      </c>
      <c r="G6" s="2599">
        <f>IFERROR(IF(Flag=TRUE,L6-TBIn!E1942,TBIn!D1942),0)</f>
        <v>0</v>
      </c>
      <c r="H6" s="2599">
        <f>IFERROR(IF(Flag=TRUE,M6-TBIn!E1982,TBIn!D1982),0)</f>
        <v>0</v>
      </c>
      <c r="I6" s="552">
        <f t="shared" si="0"/>
        <v>0</v>
      </c>
      <c r="J6" s="608">
        <f t="shared" si="1"/>
        <v>0</v>
      </c>
      <c r="K6" s="721">
        <f>IFERROR(TBIn!E445,0)</f>
        <v>0</v>
      </c>
      <c r="L6" s="2574">
        <f>IFERROR(TBIn!E1942,0)</f>
        <v>0</v>
      </c>
      <c r="M6" s="2574">
        <f>IFERROR(TBIn!E1982,0)</f>
        <v>0</v>
      </c>
      <c r="N6" s="555">
        <f t="shared" si="3"/>
        <v>0</v>
      </c>
      <c r="O6" s="587">
        <f t="shared" si="2"/>
        <v>0</v>
      </c>
      <c r="P6" s="80">
        <v>3</v>
      </c>
      <c r="Q6" s="656">
        <v>0</v>
      </c>
      <c r="R6" s="656">
        <f t="shared" si="4"/>
        <v>0</v>
      </c>
      <c r="S6" s="656">
        <f t="shared" si="5"/>
        <v>0</v>
      </c>
      <c r="T6" s="656">
        <f t="shared" si="6"/>
        <v>0</v>
      </c>
      <c r="U6" s="656">
        <f t="shared" si="7"/>
        <v>0</v>
      </c>
    </row>
    <row r="7" spans="1:21" s="569" customFormat="1" ht="15.75" customHeight="1">
      <c r="A7" s="80">
        <v>4</v>
      </c>
      <c r="B7" s="275" t="s">
        <v>114</v>
      </c>
      <c r="C7" s="1539" t="str">
        <f>OR_VEH!B306</f>
        <v>NE PAS UTILISER</v>
      </c>
      <c r="D7" s="1588"/>
      <c r="E7" s="776" t="s">
        <v>418</v>
      </c>
      <c r="F7" s="269">
        <f>IFERROR(IF(Flag=TRUE,K7-TBIn!E446,TBIn!D446),0)</f>
        <v>0</v>
      </c>
      <c r="G7" s="2599">
        <f>IFERROR(IF(Flag=TRUE,L7-TBIn!E1943,TBIn!D1943),0)</f>
        <v>0</v>
      </c>
      <c r="H7" s="2599">
        <f>IFERROR(IF(Flag=TRUE,M7-TBIn!E1983,TBIn!D1983),0)</f>
        <v>0</v>
      </c>
      <c r="I7" s="552">
        <f t="shared" si="0"/>
        <v>0</v>
      </c>
      <c r="J7" s="608">
        <f t="shared" si="1"/>
        <v>0</v>
      </c>
      <c r="K7" s="721">
        <f>IFERROR(TBIn!E446,0)</f>
        <v>0</v>
      </c>
      <c r="L7" s="2574">
        <f>IFERROR(TBIn!E1943,0)</f>
        <v>0</v>
      </c>
      <c r="M7" s="2574">
        <f>IFERROR(TBIn!E1983,0)</f>
        <v>0</v>
      </c>
      <c r="N7" s="555">
        <f t="shared" si="3"/>
        <v>0</v>
      </c>
      <c r="O7" s="587">
        <f t="shared" si="2"/>
        <v>0</v>
      </c>
      <c r="P7" s="80">
        <v>4</v>
      </c>
      <c r="Q7" s="656">
        <v>0</v>
      </c>
      <c r="R7" s="656">
        <f t="shared" si="4"/>
        <v>0</v>
      </c>
      <c r="S7" s="656">
        <f t="shared" si="5"/>
        <v>0</v>
      </c>
      <c r="T7" s="656">
        <f t="shared" si="6"/>
        <v>0</v>
      </c>
      <c r="U7" s="656">
        <f t="shared" si="7"/>
        <v>0</v>
      </c>
    </row>
    <row r="8" spans="1:21" s="569" customFormat="1" ht="15.75" customHeight="1">
      <c r="A8" s="80">
        <v>5</v>
      </c>
      <c r="B8" s="275" t="s">
        <v>116</v>
      </c>
      <c r="C8" s="1539" t="str">
        <f>OR_VEH!B307</f>
        <v>NE PAS UTILISER</v>
      </c>
      <c r="D8" s="1588"/>
      <c r="E8" s="776" t="s">
        <v>419</v>
      </c>
      <c r="F8" s="269">
        <f>IFERROR(IF(Flag=TRUE,K8-TBIn!E447,TBIn!D447),0)</f>
        <v>0</v>
      </c>
      <c r="G8" s="2599">
        <f>IFERROR(IF(Flag=TRUE,L8-TBIn!E1944,TBIn!D1944),0)</f>
        <v>0</v>
      </c>
      <c r="H8" s="2599">
        <f>IFERROR(IF(Flag=TRUE,M8-TBIn!E1984,TBIn!D1984),0)</f>
        <v>0</v>
      </c>
      <c r="I8" s="552">
        <f t="shared" si="0"/>
        <v>0</v>
      </c>
      <c r="J8" s="608">
        <f t="shared" si="1"/>
        <v>0</v>
      </c>
      <c r="K8" s="721">
        <f>IFERROR(TBIn!E447,0)</f>
        <v>0</v>
      </c>
      <c r="L8" s="2574">
        <f>IFERROR(TBIn!E1944,0)</f>
        <v>0</v>
      </c>
      <c r="M8" s="2574">
        <f>IFERROR(TBIn!E1984,0)</f>
        <v>0</v>
      </c>
      <c r="N8" s="555">
        <f t="shared" si="3"/>
        <v>0</v>
      </c>
      <c r="O8" s="587">
        <f t="shared" si="2"/>
        <v>0</v>
      </c>
      <c r="P8" s="80">
        <v>5</v>
      </c>
      <c r="Q8" s="656">
        <v>0</v>
      </c>
      <c r="R8" s="656">
        <f t="shared" si="4"/>
        <v>0</v>
      </c>
      <c r="S8" s="656">
        <f t="shared" si="5"/>
        <v>0</v>
      </c>
      <c r="T8" s="656">
        <f t="shared" si="6"/>
        <v>0</v>
      </c>
      <c r="U8" s="656">
        <f t="shared" si="7"/>
        <v>0</v>
      </c>
    </row>
    <row r="9" spans="1:21" s="569" customFormat="1" ht="15.75" customHeight="1">
      <c r="A9" s="80">
        <v>6</v>
      </c>
      <c r="B9" s="275" t="s">
        <v>118</v>
      </c>
      <c r="C9" s="1539" t="str">
        <f>OR_VEH!B308</f>
        <v>NE PAS UTILISER</v>
      </c>
      <c r="D9" s="1588"/>
      <c r="E9" s="776" t="s">
        <v>420</v>
      </c>
      <c r="F9" s="269">
        <f>IFERROR(IF(Flag=TRUE,K9-TBIn!E448,TBIn!D448),0)</f>
        <v>0</v>
      </c>
      <c r="G9" s="2599">
        <f>IFERROR(IF(Flag=TRUE,L9-TBIn!E1945,TBIn!D1945),0)</f>
        <v>0</v>
      </c>
      <c r="H9" s="2599">
        <f>IFERROR(IF(Flag=TRUE,M9-TBIn!E1985,TBIn!D1985),0)</f>
        <v>0</v>
      </c>
      <c r="I9" s="552">
        <f t="shared" si="0"/>
        <v>0</v>
      </c>
      <c r="J9" s="608">
        <f t="shared" si="1"/>
        <v>0</v>
      </c>
      <c r="K9" s="721">
        <f>IFERROR(TBIn!E448,0)</f>
        <v>0</v>
      </c>
      <c r="L9" s="2574">
        <f>IFERROR(TBIn!E1945,0)</f>
        <v>0</v>
      </c>
      <c r="M9" s="2574">
        <f>IFERROR(TBIn!E1985,0)</f>
        <v>0</v>
      </c>
      <c r="N9" s="555">
        <f t="shared" si="3"/>
        <v>0</v>
      </c>
      <c r="O9" s="587">
        <f t="shared" si="2"/>
        <v>0</v>
      </c>
      <c r="P9" s="80">
        <v>6</v>
      </c>
      <c r="Q9" s="656">
        <v>0</v>
      </c>
      <c r="R9" s="656">
        <f t="shared" si="4"/>
        <v>0</v>
      </c>
      <c r="S9" s="656">
        <f t="shared" si="5"/>
        <v>0</v>
      </c>
      <c r="T9" s="656">
        <f t="shared" si="6"/>
        <v>0</v>
      </c>
      <c r="U9" s="656">
        <f t="shared" si="7"/>
        <v>0</v>
      </c>
    </row>
    <row r="10" spans="1:21" s="569" customFormat="1" ht="15.75" customHeight="1">
      <c r="A10" s="80">
        <v>7</v>
      </c>
      <c r="B10" s="101" t="s">
        <v>120</v>
      </c>
      <c r="C10" s="1539" t="str">
        <f>OR_VEH!B309</f>
        <v>NE PAS UTILISER</v>
      </c>
      <c r="D10" s="1588"/>
      <c r="E10" s="776" t="s">
        <v>421</v>
      </c>
      <c r="F10" s="269">
        <f>IFERROR(IF(Flag=TRUE,K10-TBIn!E449,TBIn!D449),0)</f>
        <v>0</v>
      </c>
      <c r="G10" s="2599">
        <f>IFERROR(IF(Flag=TRUE,L10-TBIn!E1946,TBIn!D1946),0)</f>
        <v>0</v>
      </c>
      <c r="H10" s="2599">
        <f>IFERROR(IF(Flag=TRUE,M10-TBIn!E1986,TBIn!D1986),0)</f>
        <v>0</v>
      </c>
      <c r="I10" s="552">
        <f t="shared" si="0"/>
        <v>0</v>
      </c>
      <c r="J10" s="608">
        <f t="shared" si="1"/>
        <v>0</v>
      </c>
      <c r="K10" s="721">
        <f>IFERROR(TBIn!E449,0)</f>
        <v>0</v>
      </c>
      <c r="L10" s="2574">
        <f>IFERROR(TBIn!E1946,0)</f>
        <v>0</v>
      </c>
      <c r="M10" s="2574">
        <f>IFERROR(TBIn!E1986,0)</f>
        <v>0</v>
      </c>
      <c r="N10" s="555">
        <f t="shared" si="3"/>
        <v>0</v>
      </c>
      <c r="O10" s="587">
        <f t="shared" si="2"/>
        <v>0</v>
      </c>
      <c r="P10" s="80">
        <v>7</v>
      </c>
      <c r="Q10" s="656">
        <v>0</v>
      </c>
      <c r="R10" s="656">
        <f t="shared" si="4"/>
        <v>0</v>
      </c>
      <c r="S10" s="656">
        <f t="shared" si="5"/>
        <v>0</v>
      </c>
      <c r="T10" s="656">
        <f t="shared" si="6"/>
        <v>0</v>
      </c>
      <c r="U10" s="656">
        <f t="shared" si="7"/>
        <v>0</v>
      </c>
    </row>
    <row r="11" spans="1:21" s="569" customFormat="1" ht="15.75" customHeight="1">
      <c r="A11" s="80">
        <v>8</v>
      </c>
      <c r="B11" s="101" t="s">
        <v>122</v>
      </c>
      <c r="C11" s="1539" t="str">
        <f>OR_VEH!B310</f>
        <v>NE PAS UTILISER</v>
      </c>
      <c r="D11" s="1588"/>
      <c r="E11" s="776" t="s">
        <v>422</v>
      </c>
      <c r="F11" s="269">
        <f>IFERROR(IF(Flag=TRUE,K11-TBIn!E450,TBIn!D450),0)</f>
        <v>0</v>
      </c>
      <c r="G11" s="2599">
        <f>IFERROR(IF(Flag=TRUE,L11-TBIn!E1947,TBIn!D1947),0)</f>
        <v>0</v>
      </c>
      <c r="H11" s="2599">
        <f>IFERROR(IF(Flag=TRUE,M11-TBIn!E1987,TBIn!D1987),0)</f>
        <v>0</v>
      </c>
      <c r="I11" s="552">
        <f t="shared" si="0"/>
        <v>0</v>
      </c>
      <c r="J11" s="608">
        <f t="shared" si="1"/>
        <v>0</v>
      </c>
      <c r="K11" s="721">
        <f>IFERROR(TBIn!E450,0)</f>
        <v>0</v>
      </c>
      <c r="L11" s="2574">
        <f>IFERROR(TBIn!E1947,0)</f>
        <v>0</v>
      </c>
      <c r="M11" s="2574">
        <f>IFERROR(TBIn!E1987,0)</f>
        <v>0</v>
      </c>
      <c r="N11" s="555">
        <f t="shared" si="3"/>
        <v>0</v>
      </c>
      <c r="O11" s="587">
        <f t="shared" si="2"/>
        <v>0</v>
      </c>
      <c r="P11" s="80">
        <v>8</v>
      </c>
      <c r="Q11" s="656">
        <v>0</v>
      </c>
      <c r="R11" s="656">
        <f t="shared" si="4"/>
        <v>0</v>
      </c>
      <c r="S11" s="656">
        <f t="shared" si="5"/>
        <v>0</v>
      </c>
      <c r="T11" s="656">
        <f t="shared" si="6"/>
        <v>0</v>
      </c>
      <c r="U11" s="656">
        <f t="shared" si="7"/>
        <v>0</v>
      </c>
    </row>
    <row r="12" spans="1:21" s="569" customFormat="1" ht="15.75" customHeight="1">
      <c r="A12" s="80">
        <v>9</v>
      </c>
      <c r="B12" s="101" t="s">
        <v>124</v>
      </c>
      <c r="C12" s="1539" t="str">
        <f>OR_VEH!B311</f>
        <v>NE PAS UTILISER</v>
      </c>
      <c r="D12" s="1588"/>
      <c r="E12" s="776" t="s">
        <v>423</v>
      </c>
      <c r="F12" s="269">
        <f>IFERROR(IF(Flag=TRUE,K12-TBIn!E451,TBIn!D451),0)</f>
        <v>0</v>
      </c>
      <c r="G12" s="2599">
        <f>IFERROR(IF(Flag=TRUE,L12-TBIn!E1948,TBIn!D1948),0)</f>
        <v>0</v>
      </c>
      <c r="H12" s="2599">
        <f>IFERROR(IF(Flag=TRUE,M12-TBIn!E1988,TBIn!D1988),0)</f>
        <v>0</v>
      </c>
      <c r="I12" s="552">
        <f t="shared" si="0"/>
        <v>0</v>
      </c>
      <c r="J12" s="608">
        <f t="shared" si="1"/>
        <v>0</v>
      </c>
      <c r="K12" s="721">
        <f>IFERROR(TBIn!E451,0)</f>
        <v>0</v>
      </c>
      <c r="L12" s="2574">
        <f>IFERROR(TBIn!E1948,0)</f>
        <v>0</v>
      </c>
      <c r="M12" s="2574">
        <f>IFERROR(TBIn!E1988,0)</f>
        <v>0</v>
      </c>
      <c r="N12" s="555">
        <f t="shared" si="3"/>
        <v>0</v>
      </c>
      <c r="O12" s="587">
        <f t="shared" si="2"/>
        <v>0</v>
      </c>
      <c r="P12" s="80">
        <v>9</v>
      </c>
      <c r="Q12" s="656">
        <v>0</v>
      </c>
      <c r="R12" s="656">
        <f t="shared" si="4"/>
        <v>0</v>
      </c>
      <c r="S12" s="656">
        <f t="shared" si="5"/>
        <v>0</v>
      </c>
      <c r="T12" s="656">
        <f t="shared" si="6"/>
        <v>0</v>
      </c>
      <c r="U12" s="656">
        <f t="shared" si="7"/>
        <v>0</v>
      </c>
    </row>
    <row r="13" spans="1:21" s="569" customFormat="1" ht="15.75" customHeight="1">
      <c r="A13" s="80">
        <v>10</v>
      </c>
      <c r="B13" s="101"/>
      <c r="C13" s="1539" t="str">
        <f>OR_VEH!B312</f>
        <v>NE PAS UTILISER</v>
      </c>
      <c r="D13" s="1588"/>
      <c r="E13" s="776" t="s">
        <v>424</v>
      </c>
      <c r="F13" s="269">
        <f>IFERROR(IF(Flag=TRUE,K13-TBIn!E452,TBIn!D452),0)</f>
        <v>0</v>
      </c>
      <c r="G13" s="2599">
        <f>IFERROR(IF(Flag=TRUE,L13-TBIn!E1949,TBIn!D1949),0)</f>
        <v>0</v>
      </c>
      <c r="H13" s="2599">
        <f>IFERROR(IF(Flag=TRUE,M13-TBIn!E1989,TBIn!D1989),0)</f>
        <v>0</v>
      </c>
      <c r="I13" s="552">
        <f t="shared" si="0"/>
        <v>0</v>
      </c>
      <c r="J13" s="608">
        <f t="shared" si="1"/>
        <v>0</v>
      </c>
      <c r="K13" s="721">
        <f>IFERROR(TBIn!E452,0)</f>
        <v>0</v>
      </c>
      <c r="L13" s="2574">
        <f>IFERROR(TBIn!E1949,0)</f>
        <v>0</v>
      </c>
      <c r="M13" s="2574">
        <f>IFERROR(TBIn!E1989,0)</f>
        <v>0</v>
      </c>
      <c r="N13" s="555">
        <f t="shared" si="3"/>
        <v>0</v>
      </c>
      <c r="O13" s="587">
        <f t="shared" si="2"/>
        <v>0</v>
      </c>
      <c r="P13" s="80">
        <v>10</v>
      </c>
      <c r="Q13" s="656">
        <v>0</v>
      </c>
      <c r="R13" s="656">
        <f t="shared" si="4"/>
        <v>0</v>
      </c>
      <c r="S13" s="656">
        <f t="shared" si="5"/>
        <v>0</v>
      </c>
      <c r="T13" s="656">
        <f t="shared" si="6"/>
        <v>0</v>
      </c>
      <c r="U13" s="656">
        <f t="shared" si="7"/>
        <v>0</v>
      </c>
    </row>
    <row r="14" spans="1:21" s="569" customFormat="1" ht="15.75" customHeight="1">
      <c r="A14" s="80">
        <v>11</v>
      </c>
      <c r="B14" s="101" t="s">
        <v>127</v>
      </c>
      <c r="C14" s="1539" t="str">
        <f>OR_VEH!B313</f>
        <v>NE PAS UTILISER</v>
      </c>
      <c r="D14" s="1588"/>
      <c r="E14" s="776" t="s">
        <v>425</v>
      </c>
      <c r="F14" s="269">
        <f>IFERROR(IF(Flag=TRUE,K14-TBIn!E453,TBIn!D453),0)</f>
        <v>0</v>
      </c>
      <c r="G14" s="2599">
        <f>IFERROR(IF(Flag=TRUE,L14-TBIn!E1950,TBIn!D1950),0)</f>
        <v>0</v>
      </c>
      <c r="H14" s="2599">
        <f>IFERROR(IF(Flag=TRUE,M14-TBIn!E1990,TBIn!D1990),0)</f>
        <v>0</v>
      </c>
      <c r="I14" s="552">
        <f t="shared" si="0"/>
        <v>0</v>
      </c>
      <c r="J14" s="608">
        <f t="shared" si="1"/>
        <v>0</v>
      </c>
      <c r="K14" s="721">
        <f>IFERROR(TBIn!E453,0)</f>
        <v>0</v>
      </c>
      <c r="L14" s="2574">
        <f>IFERROR(TBIn!E1950,0)</f>
        <v>0</v>
      </c>
      <c r="M14" s="2574">
        <f>IFERROR(TBIn!E1990,0)</f>
        <v>0</v>
      </c>
      <c r="N14" s="555">
        <f t="shared" si="3"/>
        <v>0</v>
      </c>
      <c r="O14" s="587">
        <f t="shared" si="2"/>
        <v>0</v>
      </c>
      <c r="P14" s="80">
        <v>11</v>
      </c>
      <c r="Q14" s="656">
        <v>0</v>
      </c>
      <c r="R14" s="656">
        <f t="shared" si="4"/>
        <v>0</v>
      </c>
      <c r="S14" s="656">
        <f t="shared" si="5"/>
        <v>0</v>
      </c>
      <c r="T14" s="656">
        <f t="shared" si="6"/>
        <v>0</v>
      </c>
      <c r="U14" s="656">
        <f t="shared" si="7"/>
        <v>0</v>
      </c>
    </row>
    <row r="15" spans="1:21" s="569" customFormat="1" ht="15.75" customHeight="1">
      <c r="A15" s="80">
        <v>12</v>
      </c>
      <c r="B15" s="101" t="s">
        <v>122</v>
      </c>
      <c r="C15" s="1539" t="str">
        <f>OR_VEH!B314</f>
        <v>NE PAS UTILISER</v>
      </c>
      <c r="D15" s="1588"/>
      <c r="E15" s="776" t="s">
        <v>426</v>
      </c>
      <c r="F15" s="269">
        <f>IFERROR(IF(Flag=TRUE,K15-TBIn!E454,TBIn!D454),0)</f>
        <v>0</v>
      </c>
      <c r="G15" s="2599">
        <f>IFERROR(IF(Flag=TRUE,L15-TBIn!E1951,TBIn!D1951),0)</f>
        <v>0</v>
      </c>
      <c r="H15" s="2599">
        <f>IFERROR(IF(Flag=TRUE,M15-TBIn!E1991,TBIn!D1991),0)</f>
        <v>0</v>
      </c>
      <c r="I15" s="552">
        <f t="shared" si="0"/>
        <v>0</v>
      </c>
      <c r="J15" s="608">
        <f t="shared" si="1"/>
        <v>0</v>
      </c>
      <c r="K15" s="721">
        <f>IFERROR(TBIn!E454,0)</f>
        <v>0</v>
      </c>
      <c r="L15" s="2574">
        <f>IFERROR(TBIn!E1951,0)</f>
        <v>0</v>
      </c>
      <c r="M15" s="2574">
        <f>IFERROR(TBIn!E1991,0)</f>
        <v>0</v>
      </c>
      <c r="N15" s="555">
        <f t="shared" si="3"/>
        <v>0</v>
      </c>
      <c r="O15" s="587">
        <f t="shared" si="2"/>
        <v>0</v>
      </c>
      <c r="P15" s="80">
        <v>12</v>
      </c>
      <c r="Q15" s="656">
        <v>0</v>
      </c>
      <c r="R15" s="656">
        <f t="shared" si="4"/>
        <v>0</v>
      </c>
      <c r="S15" s="656">
        <f t="shared" si="5"/>
        <v>0</v>
      </c>
      <c r="T15" s="656">
        <f t="shared" si="6"/>
        <v>0</v>
      </c>
      <c r="U15" s="656">
        <f t="shared" si="7"/>
        <v>0</v>
      </c>
    </row>
    <row r="16" spans="1:21" s="569" customFormat="1" ht="15.75" customHeight="1">
      <c r="A16" s="80">
        <v>13</v>
      </c>
      <c r="B16" s="101" t="s">
        <v>118</v>
      </c>
      <c r="C16" s="1539" t="str">
        <f>OR_VEH!B315</f>
        <v>NE PAS UTILISER</v>
      </c>
      <c r="D16" s="1588"/>
      <c r="E16" s="776" t="s">
        <v>427</v>
      </c>
      <c r="F16" s="269">
        <f>IFERROR(IF(Flag=TRUE,K16-TBIn!E455,TBIn!D455),0)</f>
        <v>0</v>
      </c>
      <c r="G16" s="2599">
        <f>IFERROR(IF(Flag=TRUE,L16-TBIn!E1952,TBIn!D1952),0)</f>
        <v>0</v>
      </c>
      <c r="H16" s="2599">
        <f>IFERROR(IF(Flag=TRUE,M16-TBIn!E1992,TBIn!D1992),0)</f>
        <v>0</v>
      </c>
      <c r="I16" s="552">
        <f t="shared" si="0"/>
        <v>0</v>
      </c>
      <c r="J16" s="608">
        <f t="shared" si="1"/>
        <v>0</v>
      </c>
      <c r="K16" s="721">
        <f>IFERROR(TBIn!E455,0)</f>
        <v>0</v>
      </c>
      <c r="L16" s="2574">
        <f>IFERROR(TBIn!E1952,0)</f>
        <v>0</v>
      </c>
      <c r="M16" s="2574">
        <f>IFERROR(TBIn!E1992,0)</f>
        <v>0</v>
      </c>
      <c r="N16" s="555">
        <f t="shared" si="3"/>
        <v>0</v>
      </c>
      <c r="O16" s="587">
        <f t="shared" si="2"/>
        <v>0</v>
      </c>
      <c r="P16" s="80">
        <v>13</v>
      </c>
      <c r="Q16" s="656">
        <v>0</v>
      </c>
      <c r="R16" s="656">
        <f t="shared" si="4"/>
        <v>0</v>
      </c>
      <c r="S16" s="656">
        <f t="shared" si="5"/>
        <v>0</v>
      </c>
      <c r="T16" s="656">
        <f t="shared" si="6"/>
        <v>0</v>
      </c>
      <c r="U16" s="656">
        <f t="shared" si="7"/>
        <v>0</v>
      </c>
    </row>
    <row r="17" spans="1:21" s="569" customFormat="1" ht="15.75" customHeight="1">
      <c r="A17" s="80">
        <v>14</v>
      </c>
      <c r="B17" s="101" t="s">
        <v>110</v>
      </c>
      <c r="C17" s="1539" t="str">
        <f>OR_VEH!B316</f>
        <v>NE PAS UTILISER</v>
      </c>
      <c r="D17" s="1588"/>
      <c r="E17" s="776" t="s">
        <v>428</v>
      </c>
      <c r="F17" s="269">
        <f>IFERROR(IF(Flag=TRUE,K17-TBIn!E456,TBIn!D456),0)</f>
        <v>0</v>
      </c>
      <c r="G17" s="2599">
        <f>IFERROR(IF(Flag=TRUE,L17-TBIn!E1953,TBIn!D1953),0)</f>
        <v>0</v>
      </c>
      <c r="H17" s="2599">
        <f>IFERROR(IF(Flag=TRUE,M17-TBIn!E1993,TBIn!D1993),0)</f>
        <v>0</v>
      </c>
      <c r="I17" s="552">
        <f t="shared" si="0"/>
        <v>0</v>
      </c>
      <c r="J17" s="608">
        <f t="shared" si="1"/>
        <v>0</v>
      </c>
      <c r="K17" s="721">
        <f>IFERROR(TBIn!E456,0)</f>
        <v>0</v>
      </c>
      <c r="L17" s="2574">
        <f>IFERROR(TBIn!E1953,0)</f>
        <v>0</v>
      </c>
      <c r="M17" s="2574">
        <f>IFERROR(TBIn!E1993,0)</f>
        <v>0</v>
      </c>
      <c r="N17" s="555">
        <f t="shared" si="3"/>
        <v>0</v>
      </c>
      <c r="O17" s="587">
        <f t="shared" si="2"/>
        <v>0</v>
      </c>
      <c r="P17" s="80">
        <v>14</v>
      </c>
      <c r="Q17" s="656">
        <v>0</v>
      </c>
      <c r="R17" s="656">
        <f t="shared" si="4"/>
        <v>0</v>
      </c>
      <c r="S17" s="656">
        <f t="shared" si="5"/>
        <v>0</v>
      </c>
      <c r="T17" s="656">
        <f t="shared" si="6"/>
        <v>0</v>
      </c>
      <c r="U17" s="656">
        <f t="shared" si="7"/>
        <v>0</v>
      </c>
    </row>
    <row r="18" spans="1:21" s="569" customFormat="1" ht="15.75" customHeight="1">
      <c r="A18" s="80">
        <v>15</v>
      </c>
      <c r="B18" s="275" t="s">
        <v>122</v>
      </c>
      <c r="C18" s="1539" t="str">
        <f>OR_VEH!B317</f>
        <v>NE PAS UTILISER</v>
      </c>
      <c r="D18" s="1588"/>
      <c r="E18" s="776" t="s">
        <v>429</v>
      </c>
      <c r="F18" s="269">
        <f>IFERROR(IF(Flag=TRUE,K18-TBIn!E457,TBIn!D457),0)</f>
        <v>0</v>
      </c>
      <c r="G18" s="2599">
        <f>IFERROR(IF(Flag=TRUE,L18-TBIn!E1954,TBIn!D1954),0)</f>
        <v>0</v>
      </c>
      <c r="H18" s="2599">
        <f>IFERROR(IF(Flag=TRUE,M18-TBIn!E1994,TBIn!D1994),0)</f>
        <v>0</v>
      </c>
      <c r="I18" s="552">
        <f t="shared" si="0"/>
        <v>0</v>
      </c>
      <c r="J18" s="608">
        <f t="shared" si="1"/>
        <v>0</v>
      </c>
      <c r="K18" s="721">
        <f>IFERROR(TBIn!E457,0)</f>
        <v>0</v>
      </c>
      <c r="L18" s="2574">
        <f>IFERROR(TBIn!E1954,0)</f>
        <v>0</v>
      </c>
      <c r="M18" s="2574">
        <f>IFERROR(TBIn!E1994,0)</f>
        <v>0</v>
      </c>
      <c r="N18" s="555">
        <f t="shared" si="3"/>
        <v>0</v>
      </c>
      <c r="O18" s="587">
        <f t="shared" si="2"/>
        <v>0</v>
      </c>
      <c r="P18" s="80">
        <v>15</v>
      </c>
      <c r="Q18" s="656">
        <v>0</v>
      </c>
      <c r="R18" s="656">
        <f t="shared" si="4"/>
        <v>0</v>
      </c>
      <c r="S18" s="656">
        <f t="shared" si="5"/>
        <v>0</v>
      </c>
      <c r="T18" s="656">
        <f t="shared" si="6"/>
        <v>0</v>
      </c>
      <c r="U18" s="656">
        <f t="shared" si="7"/>
        <v>0</v>
      </c>
    </row>
    <row r="19" spans="1:21" s="569" customFormat="1" ht="16" customHeight="1">
      <c r="A19" s="80">
        <v>16</v>
      </c>
      <c r="B19" s="275" t="s">
        <v>124</v>
      </c>
      <c r="C19" s="1539" t="str">
        <f>OR_VEH!B318</f>
        <v>NE PAS UTILISER</v>
      </c>
      <c r="D19" s="1588"/>
      <c r="E19" s="776" t="s">
        <v>430</v>
      </c>
      <c r="F19" s="269">
        <f>IFERROR(IF(Flag=TRUE,K19-TBIn!E458,TBIn!D458),0)</f>
        <v>0</v>
      </c>
      <c r="G19" s="2599">
        <f>IFERROR(IF(Flag=TRUE,L19-TBIn!E1955,TBIn!D1955),0)</f>
        <v>0</v>
      </c>
      <c r="H19" s="2599">
        <f>IFERROR(IF(Flag=TRUE,M19-TBIn!E1995,TBIn!D1995),0)</f>
        <v>0</v>
      </c>
      <c r="I19" s="552">
        <f t="shared" si="0"/>
        <v>0</v>
      </c>
      <c r="J19" s="608">
        <f t="shared" si="1"/>
        <v>0</v>
      </c>
      <c r="K19" s="721">
        <f>IFERROR(TBIn!E458,0)</f>
        <v>0</v>
      </c>
      <c r="L19" s="2574">
        <f>IFERROR(TBIn!E1955,0)</f>
        <v>0</v>
      </c>
      <c r="M19" s="2574">
        <f>IFERROR(TBIn!E1995,0)</f>
        <v>0</v>
      </c>
      <c r="N19" s="555">
        <f t="shared" si="3"/>
        <v>0</v>
      </c>
      <c r="O19" s="587">
        <f t="shared" si="2"/>
        <v>0</v>
      </c>
      <c r="P19" s="80">
        <v>16</v>
      </c>
      <c r="Q19" s="656">
        <v>0</v>
      </c>
      <c r="R19" s="656">
        <f t="shared" si="4"/>
        <v>0</v>
      </c>
      <c r="S19" s="656">
        <f t="shared" si="5"/>
        <v>0</v>
      </c>
      <c r="T19" s="656">
        <f t="shared" si="6"/>
        <v>0</v>
      </c>
      <c r="U19" s="656">
        <f t="shared" si="7"/>
        <v>0</v>
      </c>
    </row>
    <row r="20" spans="1:21" s="569" customFormat="1" ht="16" customHeight="1">
      <c r="A20" s="80">
        <v>17</v>
      </c>
      <c r="B20" s="275"/>
      <c r="C20" s="1539" t="str">
        <f>OR_VEH!B319</f>
        <v>NE PAS UTILISER</v>
      </c>
      <c r="D20" s="1588"/>
      <c r="E20" s="776" t="s">
        <v>431</v>
      </c>
      <c r="F20" s="269">
        <f>IFERROR(IF(Flag=TRUE,K20-TBIn!E459,TBIn!D459),0)</f>
        <v>0</v>
      </c>
      <c r="G20" s="2599">
        <f>IFERROR(IF(Flag=TRUE,L20-TBIn!E1956,TBIn!D1956),0)</f>
        <v>0</v>
      </c>
      <c r="H20" s="2599">
        <f>IFERROR(IF(Flag=TRUE,M20-TBIn!E1996,TBIn!D1996),0)</f>
        <v>0</v>
      </c>
      <c r="I20" s="552">
        <f t="shared" si="0"/>
        <v>0</v>
      </c>
      <c r="J20" s="608">
        <f t="shared" si="1"/>
        <v>0</v>
      </c>
      <c r="K20" s="721">
        <f>IFERROR(TBIn!E459,0)</f>
        <v>0</v>
      </c>
      <c r="L20" s="2574">
        <f>IFERROR(TBIn!E1956,0)</f>
        <v>0</v>
      </c>
      <c r="M20" s="2574">
        <f>IFERROR(TBIn!E1996,0)</f>
        <v>0</v>
      </c>
      <c r="N20" s="555">
        <f t="shared" si="3"/>
        <v>0</v>
      </c>
      <c r="O20" s="587">
        <f t="shared" si="2"/>
        <v>0</v>
      </c>
      <c r="P20" s="80">
        <v>17</v>
      </c>
      <c r="Q20" s="656">
        <v>0</v>
      </c>
      <c r="R20" s="656">
        <f t="shared" si="4"/>
        <v>0</v>
      </c>
      <c r="S20" s="656">
        <f t="shared" si="5"/>
        <v>0</v>
      </c>
      <c r="T20" s="656">
        <f t="shared" si="6"/>
        <v>0</v>
      </c>
      <c r="U20" s="656">
        <f t="shared" si="7"/>
        <v>0</v>
      </c>
    </row>
    <row r="21" spans="1:21" s="569" customFormat="1" ht="16" customHeight="1">
      <c r="A21" s="80">
        <v>18</v>
      </c>
      <c r="B21" s="215"/>
      <c r="C21" s="1539" t="str">
        <f>OR_VEH!B320</f>
        <v>NE PAS UTILISER</v>
      </c>
      <c r="D21" s="1588"/>
      <c r="E21" s="776" t="s">
        <v>432</v>
      </c>
      <c r="F21" s="269">
        <f>IFERROR(IF(Flag=TRUE,K21-TBIn!E460,TBIn!D460),0)</f>
        <v>0</v>
      </c>
      <c r="G21" s="2599">
        <f>IFERROR(IF(Flag=TRUE,L21-TBIn!E1957,TBIn!D1957),0)</f>
        <v>0</v>
      </c>
      <c r="H21" s="2599">
        <f>IFERROR(IF(Flag=TRUE,M21-TBIn!E1997,TBIn!D1997),0)</f>
        <v>0</v>
      </c>
      <c r="I21" s="552">
        <f t="shared" si="0"/>
        <v>0</v>
      </c>
      <c r="J21" s="608">
        <f t="shared" si="1"/>
        <v>0</v>
      </c>
      <c r="K21" s="721">
        <f>IFERROR(TBIn!E460,0)</f>
        <v>0</v>
      </c>
      <c r="L21" s="2574">
        <f>IFERROR(TBIn!E1957,0)</f>
        <v>0</v>
      </c>
      <c r="M21" s="2574">
        <f>IFERROR(TBIn!E1997,0)</f>
        <v>0</v>
      </c>
      <c r="N21" s="555">
        <f t="shared" si="3"/>
        <v>0</v>
      </c>
      <c r="O21" s="587">
        <f t="shared" si="2"/>
        <v>0</v>
      </c>
      <c r="P21" s="80">
        <v>18</v>
      </c>
      <c r="Q21" s="656">
        <v>0</v>
      </c>
      <c r="R21" s="656">
        <f t="shared" si="4"/>
        <v>0</v>
      </c>
      <c r="S21" s="656">
        <f t="shared" si="5"/>
        <v>0</v>
      </c>
      <c r="T21" s="656">
        <f t="shared" si="6"/>
        <v>0</v>
      </c>
      <c r="U21" s="656">
        <f t="shared" si="7"/>
        <v>0</v>
      </c>
    </row>
    <row r="22" spans="1:21" s="569" customFormat="1" ht="16" customHeight="1">
      <c r="A22" s="80">
        <v>19</v>
      </c>
      <c r="B22" s="215"/>
      <c r="C22" s="1589" t="str">
        <f>OR_VEH!B321</f>
        <v>NE PAS UTILISER</v>
      </c>
      <c r="D22" s="1590"/>
      <c r="E22" s="777" t="s">
        <v>433</v>
      </c>
      <c r="F22" s="270">
        <f>IFERROR(IF(Flag=TRUE,K22-TBIn!E461,TBIn!D461),0)</f>
        <v>0</v>
      </c>
      <c r="G22" s="2600">
        <f>IFERROR(IF(Flag=TRUE,L22-TBIn!E1958,TBIn!D1958),0)</f>
        <v>0</v>
      </c>
      <c r="H22" s="2600">
        <f>IFERROR(IF(Flag=TRUE,M22-TBIn!E1998,TBIn!D1998),0)</f>
        <v>0</v>
      </c>
      <c r="I22" s="553">
        <f t="shared" si="0"/>
        <v>0</v>
      </c>
      <c r="J22" s="847">
        <f t="shared" si="1"/>
        <v>0</v>
      </c>
      <c r="K22" s="722">
        <f>IFERROR(TBIn!E461,0)</f>
        <v>0</v>
      </c>
      <c r="L22" s="2603">
        <f>IFERROR(TBIn!E1958,0)</f>
        <v>0</v>
      </c>
      <c r="M22" s="2603">
        <f>IFERROR(TBIn!E1998,0)</f>
        <v>0</v>
      </c>
      <c r="N22" s="556">
        <f t="shared" si="3"/>
        <v>0</v>
      </c>
      <c r="O22" s="601">
        <f t="shared" si="2"/>
        <v>0</v>
      </c>
      <c r="P22" s="80">
        <v>19</v>
      </c>
      <c r="Q22" s="656">
        <v>0</v>
      </c>
      <c r="R22" s="656">
        <f t="shared" si="4"/>
        <v>0</v>
      </c>
      <c r="S22" s="656">
        <f t="shared" si="5"/>
        <v>0</v>
      </c>
      <c r="T22" s="656">
        <f t="shared" si="6"/>
        <v>0</v>
      </c>
      <c r="U22" s="656">
        <f t="shared" si="7"/>
        <v>0</v>
      </c>
    </row>
    <row r="23" spans="1:21"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56"/>
      <c r="R23" s="656"/>
      <c r="S23" s="656"/>
      <c r="T23" s="656"/>
      <c r="U23" s="656"/>
    </row>
    <row r="24" spans="1:21" s="569" customFormat="1" ht="16" customHeight="1">
      <c r="A24" s="80">
        <v>21</v>
      </c>
      <c r="B24" s="215"/>
      <c r="C24" s="1591" t="str">
        <f>OR_VEH!B323</f>
        <v>MÉMO* VENTES INTERNET VOITURES</v>
      </c>
      <c r="D24" s="1592"/>
      <c r="E24" s="779" t="s">
        <v>434</v>
      </c>
      <c r="F24" s="269">
        <f>IFERROR(IF(Flag=TRUE,K24-TBIn!E462,TBIn!D462),0)</f>
        <v>0</v>
      </c>
      <c r="G24" s="2599">
        <f>IFERROR(IF(Flag=TRUE,L24-TBIn!$E$151,TBIn!$D$151),0)</f>
        <v>0</v>
      </c>
      <c r="H24" s="2599">
        <f>IFERROR(IF(Flag=TRUE,M24-TBIn!$E$171,TBIn!$D$171),0)</f>
        <v>0</v>
      </c>
      <c r="I24" s="552">
        <f>G24-H24</f>
        <v>0</v>
      </c>
      <c r="J24" s="608">
        <f t="shared" si="1"/>
        <v>0</v>
      </c>
      <c r="K24" s="721">
        <f>IFERROR(TBIn!E462,0)</f>
        <v>0</v>
      </c>
      <c r="L24" s="2574">
        <f>IFERROR(TBIn!$E$151,0)</f>
        <v>0</v>
      </c>
      <c r="M24" s="2574">
        <f>IFERROR(TBIn!$E$171,0)</f>
        <v>0</v>
      </c>
      <c r="N24" s="555">
        <f>L24-M24</f>
        <v>0</v>
      </c>
      <c r="O24" s="587">
        <f t="shared" si="2"/>
        <v>0</v>
      </c>
      <c r="P24" s="80">
        <v>21</v>
      </c>
      <c r="Q24" s="656">
        <v>0</v>
      </c>
      <c r="R24" s="656">
        <f t="shared" si="4"/>
        <v>0</v>
      </c>
      <c r="S24" s="656">
        <f>IF(K24=0,0,IF(OR(L24&lt;0,L24/K24&gt;Q24),1,0))</f>
        <v>0</v>
      </c>
      <c r="T24" s="656">
        <f>IF(OR(F24&lt;0,AND(G24&gt;0,F24=0),AND(G24=0,F24&gt;0)),1,0)</f>
        <v>0</v>
      </c>
      <c r="U24" s="656">
        <f>IF(OR(K24&lt;0,AND(L24&gt;0,K24=0),AND(K24&gt;0,L24=0)),1,0)</f>
        <v>0</v>
      </c>
    </row>
    <row r="25" spans="1:21" s="569" customFormat="1" ht="19" customHeight="1">
      <c r="A25" s="80">
        <v>22</v>
      </c>
      <c r="B25" s="101"/>
      <c r="C25" s="1594" t="str">
        <f>OR_VEH!B324</f>
        <v>TOTAL PARCS - VOITURES</v>
      </c>
      <c r="D25" s="1595"/>
      <c r="E25" s="2525" t="s">
        <v>139</v>
      </c>
      <c r="F25" s="269">
        <f>IFERROR(IF(Flag=TRUE,K25-TBIn!E463,TBIn!D463),0)</f>
        <v>0</v>
      </c>
      <c r="G25" s="2599">
        <f>IFERROR(IF(Flag=TRUE,L25-TBIn!E1959,TBIn!D1959),0)</f>
        <v>0</v>
      </c>
      <c r="H25" s="2599">
        <f>IFERROR(IF(Flag=TRUE,M25-TBIn!E1999,TBIn!D1999),0)</f>
        <v>0</v>
      </c>
      <c r="I25" s="552">
        <f>G25-H25</f>
        <v>0</v>
      </c>
      <c r="J25" s="608">
        <f t="shared" si="1"/>
        <v>0</v>
      </c>
      <c r="K25" s="721">
        <f>IFERROR(TBIn!E463,0)</f>
        <v>0</v>
      </c>
      <c r="L25" s="2574">
        <f>IFERROR(TBIn!E1959,0)</f>
        <v>0</v>
      </c>
      <c r="M25" s="2574">
        <f>IFERROR(TBIn!E1999,0)</f>
        <v>0</v>
      </c>
      <c r="N25" s="2679">
        <f>L25-M25</f>
        <v>0</v>
      </c>
      <c r="O25" s="587">
        <f t="shared" si="2"/>
        <v>0</v>
      </c>
      <c r="P25" s="80">
        <v>22</v>
      </c>
      <c r="Q25" s="656">
        <v>0</v>
      </c>
      <c r="R25" s="656">
        <f t="shared" si="4"/>
        <v>0</v>
      </c>
      <c r="S25" s="656">
        <f>IF(K25=0,0,IF(OR(L25&lt;0,L25/K25&gt;Q25),1,0))</f>
        <v>0</v>
      </c>
      <c r="T25" s="656">
        <f>IF(OR(F25&lt;0,AND(G25&gt;0,F25=0),AND(G25=0,F25&gt;0)),1,0)</f>
        <v>0</v>
      </c>
      <c r="U25" s="656">
        <f>IF(OR(K25&lt;0,AND(L25&gt;0,K25=0),AND(K25&gt;0,L25=0)),1,0)</f>
        <v>0</v>
      </c>
    </row>
    <row r="26" spans="1:21" s="569" customFormat="1" ht="16" customHeight="1">
      <c r="A26" s="80">
        <v>23</v>
      </c>
      <c r="B26" s="215"/>
      <c r="C26" s="1596" t="str">
        <f>OR_VEH!B325</f>
        <v>TOTAL INTERNE - VOITURES</v>
      </c>
      <c r="D26" s="1597"/>
      <c r="E26" s="780" t="s">
        <v>435</v>
      </c>
      <c r="F26" s="269">
        <f>IFERROR(IF(Flag=TRUE,K26-TBIn!E464,TBIn!D464),0)</f>
        <v>0</v>
      </c>
      <c r="G26" s="2599">
        <f>IFERROR(IF(Flag=TRUE,L26-TBIn!E1960,TBIn!D1960),0)</f>
        <v>0</v>
      </c>
      <c r="H26" s="2599">
        <f>IFERROR(IF(Flag=TRUE,M26-TBIn!E2000,TBIn!D2000),0)</f>
        <v>0</v>
      </c>
      <c r="I26" s="552">
        <f>G26-H26</f>
        <v>0</v>
      </c>
      <c r="J26" s="608">
        <f t="shared" si="1"/>
        <v>0</v>
      </c>
      <c r="K26" s="721">
        <f>IFERROR(TBIn!E464,0)</f>
        <v>0</v>
      </c>
      <c r="L26" s="2574">
        <f>IFERROR(TBIn!E1960,0)</f>
        <v>0</v>
      </c>
      <c r="M26" s="2574">
        <f>IFERROR(TBIn!E2000,0)</f>
        <v>0</v>
      </c>
      <c r="N26" s="555">
        <f>L26-M26</f>
        <v>0</v>
      </c>
      <c r="O26" s="587">
        <f t="shared" si="2"/>
        <v>0</v>
      </c>
      <c r="P26" s="80">
        <v>23</v>
      </c>
      <c r="Q26" s="656">
        <v>0</v>
      </c>
      <c r="R26" s="656">
        <f t="shared" si="4"/>
        <v>0</v>
      </c>
      <c r="S26" s="656">
        <f>IF(K26=0,0,IF(OR(L26&lt;0,L26/K26&gt;Q26),1,0))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56"/>
      <c r="R27" s="656"/>
      <c r="S27" s="656"/>
      <c r="T27" s="656"/>
      <c r="U27" s="656"/>
    </row>
    <row r="28" spans="1:21" s="569" customFormat="1" ht="16" customHeight="1">
      <c r="A28" s="80">
        <v>25</v>
      </c>
      <c r="B28" s="207"/>
      <c r="C28" s="1601" t="str">
        <f>OR_VEH!B327</f>
        <v>LYRIQ</v>
      </c>
      <c r="D28" s="1599"/>
      <c r="E28" s="779" t="s">
        <v>436</v>
      </c>
      <c r="F28" s="180">
        <f>IFERROR(IF(Flag=TRUE,K28-TBIn!E465,TBIn!D465),0)</f>
        <v>3</v>
      </c>
      <c r="G28" s="2601">
        <f>IFERROR(IF(Flag=TRUE,L28-TBIn!E1961,TBIn!D1961),0)</f>
        <v>267146</v>
      </c>
      <c r="H28" s="2601">
        <f>IFERROR(IF(Flag=TRUE,M28-TBIn!E2001,TBIn!D2001),0)</f>
        <v>258001</v>
      </c>
      <c r="I28" s="557">
        <f t="shared" ref="I28:I43" si="8">G28-H28</f>
        <v>9145</v>
      </c>
      <c r="J28" s="271">
        <f t="shared" si="1"/>
        <v>3048.3333333333335</v>
      </c>
      <c r="K28" s="723">
        <f>IFERROR(TBIn!E465,0)</f>
        <v>5</v>
      </c>
      <c r="L28" s="2604">
        <f>IFERROR(TBIn!E1961,0)</f>
        <v>409880</v>
      </c>
      <c r="M28" s="2604">
        <f>IFERROR(TBIn!E2001,0)</f>
        <v>395527</v>
      </c>
      <c r="N28" s="326">
        <f t="shared" ref="N28:N43" si="9">L28-M28</f>
        <v>14353</v>
      </c>
      <c r="O28" s="272">
        <f t="shared" si="2"/>
        <v>2870.6</v>
      </c>
      <c r="P28" s="80">
        <v>25</v>
      </c>
      <c r="Q28" s="656">
        <v>0</v>
      </c>
      <c r="R28" s="656">
        <f t="shared" si="4"/>
        <v>1</v>
      </c>
      <c r="S28" s="656">
        <f t="shared" ref="S28:S43" si="10">IF(K28=0,0,IF(OR(L28&lt;0,L28/K28&gt;Q28),1,0))</f>
        <v>1</v>
      </c>
      <c r="T28" s="656">
        <f t="shared" ref="T28:T43" si="11">IF(OR(F28&lt;0,AND(G28&gt;0,F28=0),AND(G28=0,F28&gt;0)),1,0)</f>
        <v>0</v>
      </c>
      <c r="U28" s="656">
        <f t="shared" ref="U28:U43" si="12">IF(OR(K28&lt;0,AND(L28&gt;0,K28=0),AND(K28&gt;0,L28=0)),1,0)</f>
        <v>0</v>
      </c>
    </row>
    <row r="29" spans="1:21" s="569" customFormat="1" ht="16" customHeight="1">
      <c r="A29" s="80">
        <v>26</v>
      </c>
      <c r="B29" s="275" t="s">
        <v>143</v>
      </c>
      <c r="C29" s="1539" t="str">
        <f>OR_VEH!B328</f>
        <v>OPTIQ</v>
      </c>
      <c r="D29" s="1588"/>
      <c r="E29" s="779" t="s">
        <v>437</v>
      </c>
      <c r="F29" s="269">
        <f>IFERROR(IF(Flag=TRUE,K29-TBIn!E466,TBIn!D466),0)</f>
        <v>1</v>
      </c>
      <c r="G29" s="2599">
        <f>IFERROR(IF(Flag=TRUE,L29-TBIn!E1962,TBIn!D1962),0)</f>
        <v>68172</v>
      </c>
      <c r="H29" s="2601">
        <f>IFERROR(IF(Flag=TRUE,M29-TBIn!E2002,TBIn!D2002),0)</f>
        <v>65438</v>
      </c>
      <c r="I29" s="557">
        <f t="shared" si="8"/>
        <v>2734</v>
      </c>
      <c r="J29" s="608">
        <f t="shared" si="1"/>
        <v>2734</v>
      </c>
      <c r="K29" s="721">
        <f>IFERROR(TBIn!E466,0)</f>
        <v>3</v>
      </c>
      <c r="L29" s="2574">
        <f>IFERROR(TBIn!E1962,0)</f>
        <v>195870</v>
      </c>
      <c r="M29" s="2604">
        <f>IFERROR(TBIn!E2002,0)</f>
        <v>188243</v>
      </c>
      <c r="N29" s="326">
        <f t="shared" si="9"/>
        <v>7627</v>
      </c>
      <c r="O29" s="587">
        <f t="shared" si="2"/>
        <v>2542.3333333333335</v>
      </c>
      <c r="P29" s="80">
        <v>26</v>
      </c>
      <c r="Q29" s="656">
        <v>0</v>
      </c>
      <c r="R29" s="656">
        <f t="shared" si="4"/>
        <v>1</v>
      </c>
      <c r="S29" s="656">
        <f t="shared" si="10"/>
        <v>1</v>
      </c>
      <c r="T29" s="656">
        <f t="shared" si="11"/>
        <v>0</v>
      </c>
      <c r="U29" s="656">
        <f t="shared" si="12"/>
        <v>0</v>
      </c>
    </row>
    <row r="30" spans="1:21" s="569" customFormat="1" ht="16" customHeight="1">
      <c r="A30" s="80">
        <v>27</v>
      </c>
      <c r="B30" s="275" t="s">
        <v>145</v>
      </c>
      <c r="C30" s="1600" t="str">
        <f>OR_VEH!B329</f>
        <v>ESCALADE IQ</v>
      </c>
      <c r="D30" s="1588"/>
      <c r="E30" s="779" t="s">
        <v>438</v>
      </c>
      <c r="F30" s="269">
        <f>IFERROR(IF(Flag=TRUE,K30-TBIn!E467,TBIn!D467),0)</f>
        <v>1</v>
      </c>
      <c r="G30" s="2599">
        <f>IFERROR(IF(Flag=TRUE,L30-TBIn!E1963,TBIn!D1963),0)</f>
        <v>194219</v>
      </c>
      <c r="H30" s="2601">
        <f>IFERROR(IF(Flag=TRUE,M30-TBIn!E2003,TBIn!D2003),0)</f>
        <v>185608</v>
      </c>
      <c r="I30" s="557">
        <f t="shared" si="8"/>
        <v>8611</v>
      </c>
      <c r="J30" s="608">
        <f t="shared" si="1"/>
        <v>8611</v>
      </c>
      <c r="K30" s="721">
        <f>IFERROR(TBIn!E467,0)</f>
        <v>2</v>
      </c>
      <c r="L30" s="2574">
        <f>IFERROR(TBIn!E1963,0)</f>
        <v>355447</v>
      </c>
      <c r="M30" s="2604">
        <f>IFERROR(TBIn!E2003,0)</f>
        <v>339113</v>
      </c>
      <c r="N30" s="326">
        <f t="shared" si="9"/>
        <v>16334</v>
      </c>
      <c r="O30" s="587">
        <f t="shared" si="2"/>
        <v>8167</v>
      </c>
      <c r="P30" s="80">
        <v>27</v>
      </c>
      <c r="Q30" s="656">
        <v>0</v>
      </c>
      <c r="R30" s="656">
        <f t="shared" si="4"/>
        <v>1</v>
      </c>
      <c r="S30" s="656">
        <f t="shared" si="10"/>
        <v>1</v>
      </c>
      <c r="T30" s="656">
        <f t="shared" si="11"/>
        <v>0</v>
      </c>
      <c r="U30" s="656">
        <f t="shared" si="12"/>
        <v>0</v>
      </c>
    </row>
    <row r="31" spans="1:21" s="569" customFormat="1" ht="16" customHeight="1">
      <c r="A31" s="80">
        <v>28</v>
      </c>
      <c r="B31" s="275" t="s">
        <v>147</v>
      </c>
      <c r="C31" s="1600" t="str">
        <f>OR_VEH!B330</f>
        <v>VISTIQ</v>
      </c>
      <c r="D31" s="1588"/>
      <c r="E31" s="779" t="s">
        <v>439</v>
      </c>
      <c r="F31" s="269">
        <f>IFERROR(IF(Flag=TRUE,K31-TBIn!E468,TBIn!D468),0)</f>
        <v>0</v>
      </c>
      <c r="G31" s="2599">
        <f>IFERROR(IF(Flag=TRUE,L31-TBIn!E1964,TBIn!D1964),0)</f>
        <v>0</v>
      </c>
      <c r="H31" s="2601">
        <f>IFERROR(IF(Flag=TRUE,M31-TBIn!E2004,TBIn!D2004),0)</f>
        <v>0</v>
      </c>
      <c r="I31" s="557">
        <f t="shared" si="8"/>
        <v>0</v>
      </c>
      <c r="J31" s="608">
        <f t="shared" si="1"/>
        <v>0</v>
      </c>
      <c r="K31" s="721">
        <f>IFERROR(TBIn!E468,0)</f>
        <v>0</v>
      </c>
      <c r="L31" s="2574">
        <f>IFERROR(TBIn!E1964,0)</f>
        <v>0</v>
      </c>
      <c r="M31" s="2604">
        <f>IFERROR(TBIn!E2004,0)</f>
        <v>0</v>
      </c>
      <c r="N31" s="326">
        <f t="shared" si="9"/>
        <v>0</v>
      </c>
      <c r="O31" s="587">
        <f t="shared" si="2"/>
        <v>0</v>
      </c>
      <c r="P31" s="80">
        <v>28</v>
      </c>
      <c r="Q31" s="656">
        <v>0</v>
      </c>
      <c r="R31" s="656">
        <f t="shared" si="4"/>
        <v>0</v>
      </c>
      <c r="S31" s="656">
        <f t="shared" si="10"/>
        <v>0</v>
      </c>
      <c r="T31" s="656">
        <f t="shared" si="11"/>
        <v>0</v>
      </c>
      <c r="U31" s="656">
        <f t="shared" si="12"/>
        <v>0</v>
      </c>
    </row>
    <row r="32" spans="1:21" s="569" customFormat="1" ht="16" customHeight="1">
      <c r="A32" s="80">
        <v>29</v>
      </c>
      <c r="B32" s="275" t="s">
        <v>114</v>
      </c>
      <c r="C32" s="1600" t="str">
        <f>OR_VEH!B331</f>
        <v>ESCALADE IQL</v>
      </c>
      <c r="D32" s="1588"/>
      <c r="E32" s="779" t="s">
        <v>440</v>
      </c>
      <c r="F32" s="269">
        <f>IFERROR(IF(Flag=TRUE,K32-TBIn!E469,TBIn!D469),0)</f>
        <v>0</v>
      </c>
      <c r="G32" s="2599">
        <f>IFERROR(IF(Flag=TRUE,L32-TBIn!E1965,TBIn!D1965),0)</f>
        <v>0</v>
      </c>
      <c r="H32" s="2601">
        <f>IFERROR(IF(Flag=TRUE,M32-TBIn!E2005,TBIn!D2005),0)</f>
        <v>0</v>
      </c>
      <c r="I32" s="557">
        <f t="shared" si="8"/>
        <v>0</v>
      </c>
      <c r="J32" s="608">
        <f t="shared" si="1"/>
        <v>0</v>
      </c>
      <c r="K32" s="721">
        <f>IFERROR(TBIn!E469,0)</f>
        <v>0</v>
      </c>
      <c r="L32" s="2574">
        <f>IFERROR(TBIn!E1965,0)</f>
        <v>0</v>
      </c>
      <c r="M32" s="2604">
        <f>IFERROR(TBIn!E2005,0)</f>
        <v>0</v>
      </c>
      <c r="N32" s="326">
        <f t="shared" si="9"/>
        <v>0</v>
      </c>
      <c r="O32" s="587">
        <f t="shared" si="2"/>
        <v>0</v>
      </c>
      <c r="P32" s="80">
        <v>29</v>
      </c>
      <c r="Q32" s="656">
        <v>0</v>
      </c>
      <c r="R32" s="656">
        <f t="shared" si="4"/>
        <v>0</v>
      </c>
      <c r="S32" s="656">
        <f t="shared" si="10"/>
        <v>0</v>
      </c>
      <c r="T32" s="656">
        <f t="shared" si="11"/>
        <v>0</v>
      </c>
      <c r="U32" s="656">
        <f t="shared" si="12"/>
        <v>0</v>
      </c>
    </row>
    <row r="33" spans="1:21" s="569" customFormat="1" ht="16" customHeight="1">
      <c r="A33" s="80">
        <v>30</v>
      </c>
      <c r="B33" s="101" t="s">
        <v>112</v>
      </c>
      <c r="C33" s="1600" t="str">
        <f>OR_VEH!B332</f>
        <v>NE PAS UTILISER</v>
      </c>
      <c r="D33" s="1588"/>
      <c r="E33" s="779" t="s">
        <v>441</v>
      </c>
      <c r="F33" s="269">
        <f>IFERROR(IF(Flag=TRUE,K33-TBIn!E470,TBIn!D470),0)</f>
        <v>0</v>
      </c>
      <c r="G33" s="2599">
        <f>IFERROR(IF(Flag=TRUE,L33-TBIn!E1966,TBIn!D1966),0)</f>
        <v>0</v>
      </c>
      <c r="H33" s="2601">
        <f>IFERROR(IF(Flag=TRUE,M33-TBIn!E2006,TBIn!D2006),0)</f>
        <v>0</v>
      </c>
      <c r="I33" s="557">
        <f t="shared" si="8"/>
        <v>0</v>
      </c>
      <c r="J33" s="608">
        <f t="shared" si="1"/>
        <v>0</v>
      </c>
      <c r="K33" s="721">
        <f>IFERROR(TBIn!E470,0)</f>
        <v>0</v>
      </c>
      <c r="L33" s="2574">
        <f>IFERROR(TBIn!E1966,0)</f>
        <v>0</v>
      </c>
      <c r="M33" s="2604">
        <f>IFERROR(TBIn!E2006,0)</f>
        <v>0</v>
      </c>
      <c r="N33" s="326">
        <f t="shared" si="9"/>
        <v>0</v>
      </c>
      <c r="O33" s="587">
        <f t="shared" si="2"/>
        <v>0</v>
      </c>
      <c r="P33" s="80">
        <v>30</v>
      </c>
      <c r="Q33" s="656">
        <v>0</v>
      </c>
      <c r="R33" s="656">
        <f t="shared" si="4"/>
        <v>0</v>
      </c>
      <c r="S33" s="656">
        <f t="shared" si="10"/>
        <v>0</v>
      </c>
      <c r="T33" s="656">
        <f t="shared" si="11"/>
        <v>0</v>
      </c>
      <c r="U33" s="656">
        <f t="shared" si="12"/>
        <v>0</v>
      </c>
    </row>
    <row r="34" spans="1:21" s="569" customFormat="1" ht="16" customHeight="1">
      <c r="A34" s="80">
        <v>31</v>
      </c>
      <c r="B34" s="101" t="s">
        <v>127</v>
      </c>
      <c r="C34" s="1600" t="str">
        <f>OR_VEH!B333</f>
        <v>NE PAS UTILISER</v>
      </c>
      <c r="D34" s="1588"/>
      <c r="E34" s="779" t="s">
        <v>442</v>
      </c>
      <c r="F34" s="269">
        <f>IFERROR(IF(Flag=TRUE,K34-TBIn!E471,TBIn!D471),0)</f>
        <v>0</v>
      </c>
      <c r="G34" s="2599">
        <f>IFERROR(IF(Flag=TRUE,L34-TBIn!E1967,TBIn!D1967),0)</f>
        <v>0</v>
      </c>
      <c r="H34" s="2601">
        <f>IFERROR(IF(Flag=TRUE,M34-TBIn!E2007,TBIn!D2007),0)</f>
        <v>0</v>
      </c>
      <c r="I34" s="557">
        <f t="shared" si="8"/>
        <v>0</v>
      </c>
      <c r="J34" s="608">
        <f t="shared" si="1"/>
        <v>0</v>
      </c>
      <c r="K34" s="721">
        <f>IFERROR(TBIn!E471,0)</f>
        <v>0</v>
      </c>
      <c r="L34" s="2574">
        <f>IFERROR(TBIn!E1967,0)</f>
        <v>0</v>
      </c>
      <c r="M34" s="2604">
        <f>IFERROR(TBIn!E2007,0)</f>
        <v>0</v>
      </c>
      <c r="N34" s="326">
        <f t="shared" si="9"/>
        <v>0</v>
      </c>
      <c r="O34" s="587">
        <f t="shared" si="2"/>
        <v>0</v>
      </c>
      <c r="P34" s="80">
        <v>31</v>
      </c>
      <c r="Q34" s="656">
        <v>0</v>
      </c>
      <c r="R34" s="656">
        <f t="shared" si="4"/>
        <v>0</v>
      </c>
      <c r="S34" s="656">
        <f t="shared" si="10"/>
        <v>0</v>
      </c>
      <c r="T34" s="656">
        <f t="shared" si="11"/>
        <v>0</v>
      </c>
      <c r="U34" s="656">
        <f t="shared" si="12"/>
        <v>0</v>
      </c>
    </row>
    <row r="35" spans="1:21" s="569" customFormat="1" ht="16" customHeight="1">
      <c r="A35" s="80">
        <v>32</v>
      </c>
      <c r="B35" s="101" t="s">
        <v>124</v>
      </c>
      <c r="C35" s="1600" t="str">
        <f>OR_VEH!B334</f>
        <v>NE PAS UTILISER</v>
      </c>
      <c r="D35" s="1588"/>
      <c r="E35" s="779" t="s">
        <v>443</v>
      </c>
      <c r="F35" s="269">
        <f>IFERROR(IF(Flag=TRUE,K35-TBIn!E472,TBIn!D472),0)</f>
        <v>0</v>
      </c>
      <c r="G35" s="2599">
        <f>IFERROR(IF(Flag=TRUE,L35-TBIn!E1968,TBIn!D1968),0)</f>
        <v>0</v>
      </c>
      <c r="H35" s="2601">
        <f>IFERROR(IF(Flag=TRUE,M35-TBIn!E2008,TBIn!D2008),0)</f>
        <v>0</v>
      </c>
      <c r="I35" s="557">
        <f t="shared" si="8"/>
        <v>0</v>
      </c>
      <c r="J35" s="608">
        <f t="shared" si="1"/>
        <v>0</v>
      </c>
      <c r="K35" s="721">
        <f>IFERROR(TBIn!E472,0)</f>
        <v>0</v>
      </c>
      <c r="L35" s="2574">
        <f>IFERROR(TBIn!E1968,0)</f>
        <v>0</v>
      </c>
      <c r="M35" s="2604">
        <f>IFERROR(TBIn!E2008,0)</f>
        <v>0</v>
      </c>
      <c r="N35" s="326">
        <f t="shared" si="9"/>
        <v>0</v>
      </c>
      <c r="O35" s="587">
        <f t="shared" si="2"/>
        <v>0</v>
      </c>
      <c r="P35" s="80">
        <v>32</v>
      </c>
      <c r="Q35" s="656">
        <v>0</v>
      </c>
      <c r="R35" s="656">
        <f t="shared" si="4"/>
        <v>0</v>
      </c>
      <c r="S35" s="656">
        <f t="shared" si="10"/>
        <v>0</v>
      </c>
      <c r="T35" s="656">
        <f t="shared" si="11"/>
        <v>0</v>
      </c>
      <c r="U35" s="656">
        <f t="shared" si="12"/>
        <v>0</v>
      </c>
    </row>
    <row r="36" spans="1:21" s="569" customFormat="1" ht="16" customHeight="1">
      <c r="A36" s="80">
        <v>33</v>
      </c>
      <c r="B36" s="101"/>
      <c r="C36" s="1600" t="str">
        <f>OR_VEH!B335</f>
        <v>NE PAS UTILISER</v>
      </c>
      <c r="D36" s="1588"/>
      <c r="E36" s="779" t="s">
        <v>444</v>
      </c>
      <c r="F36" s="269">
        <f>IFERROR(IF(Flag=TRUE,K36-TBIn!E473,TBIn!D473),0)</f>
        <v>0</v>
      </c>
      <c r="G36" s="2599">
        <f>IFERROR(IF(Flag=TRUE,L36-TBIn!E1969,TBIn!D1969),0)</f>
        <v>0</v>
      </c>
      <c r="H36" s="2601">
        <f>IFERROR(IF(Flag=TRUE,M36-TBIn!E2009,TBIn!D2009),0)</f>
        <v>0</v>
      </c>
      <c r="I36" s="557">
        <f t="shared" si="8"/>
        <v>0</v>
      </c>
      <c r="J36" s="608">
        <f t="shared" si="1"/>
        <v>0</v>
      </c>
      <c r="K36" s="721">
        <f>IFERROR(TBIn!E473,0)</f>
        <v>0</v>
      </c>
      <c r="L36" s="2574">
        <f>IFERROR(TBIn!E1969,0)</f>
        <v>0</v>
      </c>
      <c r="M36" s="2604">
        <f>IFERROR(TBIn!E2009,0)</f>
        <v>0</v>
      </c>
      <c r="N36" s="326">
        <f t="shared" si="9"/>
        <v>0</v>
      </c>
      <c r="O36" s="587">
        <f t="shared" si="2"/>
        <v>0</v>
      </c>
      <c r="P36" s="80">
        <v>33</v>
      </c>
      <c r="Q36" s="656">
        <v>0</v>
      </c>
      <c r="R36" s="656">
        <f t="shared" si="4"/>
        <v>0</v>
      </c>
      <c r="S36" s="656">
        <f t="shared" si="10"/>
        <v>0</v>
      </c>
      <c r="T36" s="656">
        <f t="shared" si="11"/>
        <v>0</v>
      </c>
      <c r="U36" s="656">
        <f t="shared" si="12"/>
        <v>0</v>
      </c>
    </row>
    <row r="37" spans="1:21" s="569" customFormat="1" ht="16" customHeight="1">
      <c r="A37" s="80">
        <v>34</v>
      </c>
      <c r="B37" s="101" t="s">
        <v>127</v>
      </c>
      <c r="C37" s="1600" t="str">
        <f>OR_VEH!B336</f>
        <v>NE PAS UTILISER</v>
      </c>
      <c r="D37" s="1588"/>
      <c r="E37" s="779" t="s">
        <v>445</v>
      </c>
      <c r="F37" s="269">
        <f>IFERROR(IF(Flag=TRUE,K37-TBIn!E474,TBIn!D474),0)</f>
        <v>0</v>
      </c>
      <c r="G37" s="2599">
        <f>IFERROR(IF(Flag=TRUE,L37-TBIn!E1970,TBIn!D1970),0)</f>
        <v>0</v>
      </c>
      <c r="H37" s="2601">
        <f>IFERROR(IF(Flag=TRUE,M37-TBIn!E2010,TBIn!D2010),0)</f>
        <v>0</v>
      </c>
      <c r="I37" s="557">
        <f t="shared" si="8"/>
        <v>0</v>
      </c>
      <c r="J37" s="608">
        <f t="shared" si="1"/>
        <v>0</v>
      </c>
      <c r="K37" s="721">
        <f>IFERROR(TBIn!E474,0)</f>
        <v>0</v>
      </c>
      <c r="L37" s="2574">
        <f>IFERROR(TBIn!E1970,0)</f>
        <v>0</v>
      </c>
      <c r="M37" s="2604">
        <f>IFERROR(TBIn!E2010,0)</f>
        <v>0</v>
      </c>
      <c r="N37" s="326">
        <f t="shared" si="9"/>
        <v>0</v>
      </c>
      <c r="O37" s="587">
        <f t="shared" si="2"/>
        <v>0</v>
      </c>
      <c r="P37" s="80">
        <v>34</v>
      </c>
      <c r="Q37" s="656">
        <v>0</v>
      </c>
      <c r="R37" s="656">
        <f t="shared" si="4"/>
        <v>0</v>
      </c>
      <c r="S37" s="656">
        <f t="shared" si="10"/>
        <v>0</v>
      </c>
      <c r="T37" s="656">
        <f t="shared" si="11"/>
        <v>0</v>
      </c>
      <c r="U37" s="656">
        <f t="shared" si="12"/>
        <v>0</v>
      </c>
    </row>
    <row r="38" spans="1:21" s="569" customFormat="1" ht="16" customHeight="1">
      <c r="A38" s="80">
        <v>35</v>
      </c>
      <c r="B38" s="101" t="s">
        <v>122</v>
      </c>
      <c r="C38" s="1600" t="str">
        <f>OR_VEH!B337</f>
        <v>NE PAS UTILISER</v>
      </c>
      <c r="D38" s="1588"/>
      <c r="E38" s="779" t="s">
        <v>446</v>
      </c>
      <c r="F38" s="269">
        <f>IFERROR(IF(Flag=TRUE,K38-TBIn!E475,TBIn!D475),0)</f>
        <v>0</v>
      </c>
      <c r="G38" s="2599">
        <f>IFERROR(IF(Flag=TRUE,L38-TBIn!E1971,TBIn!D1971),0)</f>
        <v>0</v>
      </c>
      <c r="H38" s="2601">
        <f>IFERROR(IF(Flag=TRUE,M38-TBIn!E2011,TBIn!D2011),0)</f>
        <v>0</v>
      </c>
      <c r="I38" s="557">
        <f t="shared" si="8"/>
        <v>0</v>
      </c>
      <c r="J38" s="608">
        <f t="shared" si="1"/>
        <v>0</v>
      </c>
      <c r="K38" s="721">
        <f>IFERROR(TBIn!E475,0)</f>
        <v>0</v>
      </c>
      <c r="L38" s="2574">
        <f>IFERROR(TBIn!E1971,0)</f>
        <v>0</v>
      </c>
      <c r="M38" s="2604">
        <f>IFERROR(TBIn!E2011,0)</f>
        <v>0</v>
      </c>
      <c r="N38" s="326">
        <f t="shared" si="9"/>
        <v>0</v>
      </c>
      <c r="O38" s="587">
        <f t="shared" si="2"/>
        <v>0</v>
      </c>
      <c r="P38" s="80">
        <v>35</v>
      </c>
      <c r="Q38" s="656">
        <v>0</v>
      </c>
      <c r="R38" s="656">
        <f t="shared" si="4"/>
        <v>0</v>
      </c>
      <c r="S38" s="656">
        <f t="shared" si="10"/>
        <v>0</v>
      </c>
      <c r="T38" s="656">
        <f t="shared" si="11"/>
        <v>0</v>
      </c>
      <c r="U38" s="656">
        <f t="shared" si="12"/>
        <v>0</v>
      </c>
    </row>
    <row r="39" spans="1:21" s="569" customFormat="1" ht="16" customHeight="1">
      <c r="A39" s="80">
        <v>36</v>
      </c>
      <c r="B39" s="101" t="s">
        <v>118</v>
      </c>
      <c r="C39" s="1539" t="str">
        <f>OR_VEH!B338</f>
        <v>NE PAS UTILISER</v>
      </c>
      <c r="D39" s="1588"/>
      <c r="E39" s="779" t="s">
        <v>447</v>
      </c>
      <c r="F39" s="269">
        <f>IFERROR(IF(Flag=TRUE,K39-TBIn!E476,TBIn!D476),0)</f>
        <v>0</v>
      </c>
      <c r="G39" s="2599">
        <f>IFERROR(IF(Flag=TRUE,L39-TBIn!E1972,TBIn!D1972),0)</f>
        <v>0</v>
      </c>
      <c r="H39" s="2601">
        <f>IFERROR(IF(Flag=TRUE,M39-TBIn!E2012,TBIn!D2012),0)</f>
        <v>0</v>
      </c>
      <c r="I39" s="557">
        <f t="shared" si="8"/>
        <v>0</v>
      </c>
      <c r="J39" s="608">
        <f t="shared" si="1"/>
        <v>0</v>
      </c>
      <c r="K39" s="721">
        <f>IFERROR(TBIn!E476,0)</f>
        <v>0</v>
      </c>
      <c r="L39" s="2574">
        <f>IFERROR(TBIn!E1972,0)</f>
        <v>0</v>
      </c>
      <c r="M39" s="2604">
        <f>IFERROR(TBIn!E2012,0)</f>
        <v>0</v>
      </c>
      <c r="N39" s="326">
        <f t="shared" si="9"/>
        <v>0</v>
      </c>
      <c r="O39" s="587">
        <f t="shared" si="2"/>
        <v>0</v>
      </c>
      <c r="P39" s="80">
        <v>36</v>
      </c>
      <c r="Q39" s="656">
        <v>0</v>
      </c>
      <c r="R39" s="656">
        <f t="shared" si="4"/>
        <v>0</v>
      </c>
      <c r="S39" s="656">
        <f t="shared" si="10"/>
        <v>0</v>
      </c>
      <c r="T39" s="656">
        <f t="shared" si="11"/>
        <v>0</v>
      </c>
      <c r="U39" s="656">
        <f t="shared" si="12"/>
        <v>0</v>
      </c>
    </row>
    <row r="40" spans="1:21" s="569" customFormat="1" ht="16" customHeight="1">
      <c r="A40" s="80">
        <v>37</v>
      </c>
      <c r="B40" s="101" t="s">
        <v>157</v>
      </c>
      <c r="C40" s="1600" t="str">
        <f>OR_VEH!B339</f>
        <v>NE PAS UTILISER</v>
      </c>
      <c r="D40" s="1588"/>
      <c r="E40" s="779" t="s">
        <v>448</v>
      </c>
      <c r="F40" s="269">
        <f>IFERROR(IF(Flag=TRUE,K40-TBIn!E477,TBIn!D477),0)</f>
        <v>0</v>
      </c>
      <c r="G40" s="2599">
        <f>IFERROR(IF(Flag=TRUE,L40-TBIn!E1973,TBIn!D1973),0)</f>
        <v>0</v>
      </c>
      <c r="H40" s="2601">
        <f>IFERROR(IF(Flag=TRUE,M40-TBIn!E2013,TBIn!D2013),0)</f>
        <v>0</v>
      </c>
      <c r="I40" s="557">
        <f t="shared" si="8"/>
        <v>0</v>
      </c>
      <c r="J40" s="608">
        <f t="shared" si="1"/>
        <v>0</v>
      </c>
      <c r="K40" s="721">
        <f>IFERROR(TBIn!E477,0)</f>
        <v>0</v>
      </c>
      <c r="L40" s="2574">
        <f>IFERROR(TBIn!E1973,0)</f>
        <v>0</v>
      </c>
      <c r="M40" s="2604">
        <f>IFERROR(TBIn!E2013,0)</f>
        <v>0</v>
      </c>
      <c r="N40" s="326">
        <f t="shared" si="9"/>
        <v>0</v>
      </c>
      <c r="O40" s="587">
        <f t="shared" si="2"/>
        <v>0</v>
      </c>
      <c r="P40" s="80">
        <v>37</v>
      </c>
      <c r="Q40" s="656">
        <v>0</v>
      </c>
      <c r="R40" s="656">
        <f t="shared" si="4"/>
        <v>0</v>
      </c>
      <c r="S40" s="656">
        <f t="shared" si="10"/>
        <v>0</v>
      </c>
      <c r="T40" s="656">
        <f t="shared" si="11"/>
        <v>0</v>
      </c>
      <c r="U40" s="656">
        <f t="shared" si="12"/>
        <v>0</v>
      </c>
    </row>
    <row r="41" spans="1:21" s="569" customFormat="1" ht="16" customHeight="1">
      <c r="A41" s="80">
        <v>38</v>
      </c>
      <c r="B41" s="101" t="s">
        <v>124</v>
      </c>
      <c r="C41" s="1600" t="str">
        <f>OR_VEH!B340</f>
        <v>NE PAS UTILISER</v>
      </c>
      <c r="D41" s="1588"/>
      <c r="E41" s="779" t="s">
        <v>449</v>
      </c>
      <c r="F41" s="269">
        <f>IFERROR(IF(Flag=TRUE,K41-TBIn!E478,TBIn!D478),0)</f>
        <v>0</v>
      </c>
      <c r="G41" s="2599">
        <f>IFERROR(IF(Flag=TRUE,L41-TBIn!E1974,TBIn!D1974),0)</f>
        <v>0</v>
      </c>
      <c r="H41" s="2601">
        <f>IFERROR(IF(Flag=TRUE,M41-TBIn!E2014,TBIn!D2014),0)</f>
        <v>0</v>
      </c>
      <c r="I41" s="557">
        <f t="shared" si="8"/>
        <v>0</v>
      </c>
      <c r="J41" s="608">
        <f t="shared" si="1"/>
        <v>0</v>
      </c>
      <c r="K41" s="721">
        <f>IFERROR(TBIn!E478,0)</f>
        <v>0</v>
      </c>
      <c r="L41" s="2574">
        <f>IFERROR(TBIn!E1974,0)</f>
        <v>0</v>
      </c>
      <c r="M41" s="2604">
        <f>IFERROR(TBIn!E2014,0)</f>
        <v>0</v>
      </c>
      <c r="N41" s="326">
        <f t="shared" si="9"/>
        <v>0</v>
      </c>
      <c r="O41" s="587">
        <f t="shared" si="2"/>
        <v>0</v>
      </c>
      <c r="P41" s="80">
        <v>38</v>
      </c>
      <c r="Q41" s="656">
        <v>0</v>
      </c>
      <c r="R41" s="656">
        <f t="shared" si="4"/>
        <v>0</v>
      </c>
      <c r="S41" s="656">
        <f t="shared" si="10"/>
        <v>0</v>
      </c>
      <c r="T41" s="656">
        <f t="shared" si="11"/>
        <v>0</v>
      </c>
      <c r="U41" s="656">
        <f t="shared" si="12"/>
        <v>0</v>
      </c>
    </row>
    <row r="42" spans="1:21" s="569" customFormat="1" ht="16" customHeight="1">
      <c r="A42" s="80">
        <v>39</v>
      </c>
      <c r="B42" s="101"/>
      <c r="C42" s="1600" t="str">
        <f>OR_VEH!B341</f>
        <v>NE PAS UTILISER</v>
      </c>
      <c r="D42" s="1588"/>
      <c r="E42" s="779" t="s">
        <v>450</v>
      </c>
      <c r="F42" s="269">
        <f>IFERROR(IF(Flag=TRUE,K42-TBIn!E479,TBIn!D479),0)</f>
        <v>0</v>
      </c>
      <c r="G42" s="2599">
        <f>IFERROR(IF(Flag=TRUE,L42-TBIn!E1975,TBIn!D1975),0)</f>
        <v>0</v>
      </c>
      <c r="H42" s="2601">
        <f>IFERROR(IF(Flag=TRUE,M42-TBIn!E2015,TBIn!D2015),0)</f>
        <v>0</v>
      </c>
      <c r="I42" s="557">
        <f t="shared" si="8"/>
        <v>0</v>
      </c>
      <c r="J42" s="608">
        <f t="shared" si="1"/>
        <v>0</v>
      </c>
      <c r="K42" s="721">
        <f>IFERROR(TBIn!E479,0)</f>
        <v>0</v>
      </c>
      <c r="L42" s="2574">
        <f>IFERROR(TBIn!E1975,0)</f>
        <v>0</v>
      </c>
      <c r="M42" s="2604">
        <f>IFERROR(TBIn!E2015,0)</f>
        <v>0</v>
      </c>
      <c r="N42" s="326">
        <f t="shared" si="9"/>
        <v>0</v>
      </c>
      <c r="O42" s="587">
        <f t="shared" si="2"/>
        <v>0</v>
      </c>
      <c r="P42" s="80">
        <v>39</v>
      </c>
      <c r="Q42" s="656">
        <v>0</v>
      </c>
      <c r="R42" s="656">
        <f t="shared" si="4"/>
        <v>0</v>
      </c>
      <c r="S42" s="656">
        <f t="shared" si="10"/>
        <v>0</v>
      </c>
      <c r="T42" s="656">
        <f t="shared" si="11"/>
        <v>0</v>
      </c>
      <c r="U42" s="656">
        <f t="shared" si="12"/>
        <v>0</v>
      </c>
    </row>
    <row r="43" spans="1:21" s="569" customFormat="1" ht="16" customHeight="1">
      <c r="A43" s="80">
        <v>40</v>
      </c>
      <c r="B43" s="101"/>
      <c r="C43" s="1600" t="str">
        <f>OR_VEH!B342</f>
        <v>NE PAS UTILISER</v>
      </c>
      <c r="D43" s="1588"/>
      <c r="E43" s="779" t="s">
        <v>451</v>
      </c>
      <c r="F43" s="269">
        <f>IFERROR(IF(Flag=TRUE,K43-TBIn!E480,TBIn!D480),0)</f>
        <v>0</v>
      </c>
      <c r="G43" s="2599">
        <f>IFERROR(IF(Flag=TRUE,L43-TBIn!E1976,TBIn!D1976),0)</f>
        <v>0</v>
      </c>
      <c r="H43" s="2601">
        <f>IFERROR(IF(Flag=TRUE,M43-TBIn!E2016,TBIn!D2016),0)</f>
        <v>0</v>
      </c>
      <c r="I43" s="557">
        <f t="shared" si="8"/>
        <v>0</v>
      </c>
      <c r="J43" s="608">
        <f t="shared" si="1"/>
        <v>0</v>
      </c>
      <c r="K43" s="721">
        <f>IFERROR(TBIn!E480,0)</f>
        <v>0</v>
      </c>
      <c r="L43" s="2574">
        <f>IFERROR(TBIn!E1976,0)</f>
        <v>0</v>
      </c>
      <c r="M43" s="2604">
        <f>IFERROR(TBIn!E2016,0)</f>
        <v>0</v>
      </c>
      <c r="N43" s="326">
        <f t="shared" si="9"/>
        <v>0</v>
      </c>
      <c r="O43" s="587">
        <f t="shared" si="2"/>
        <v>0</v>
      </c>
      <c r="P43" s="80">
        <v>40</v>
      </c>
      <c r="Q43" s="656">
        <v>0</v>
      </c>
      <c r="R43" s="656">
        <f t="shared" si="4"/>
        <v>0</v>
      </c>
      <c r="S43" s="656">
        <f t="shared" si="10"/>
        <v>0</v>
      </c>
      <c r="T43" s="656">
        <f t="shared" si="11"/>
        <v>0</v>
      </c>
      <c r="U43" s="656">
        <f t="shared" si="12"/>
        <v>0</v>
      </c>
    </row>
    <row r="44" spans="1:21" s="569" customFormat="1" ht="16" customHeight="1">
      <c r="A44" s="80">
        <v>41</v>
      </c>
      <c r="B44" s="101"/>
      <c r="C44" s="274" t="s">
        <v>162</v>
      </c>
      <c r="D44" s="264"/>
      <c r="E44" s="778"/>
      <c r="F44" s="715">
        <f>SUM(F28:F43)</f>
        <v>5</v>
      </c>
      <c r="G44" s="716">
        <f>SUM(G28:G43)</f>
        <v>529537</v>
      </c>
      <c r="H44" s="716">
        <f>SUM(H28:H43)</f>
        <v>509047</v>
      </c>
      <c r="I44" s="716">
        <f>SUM(I28:I43)</f>
        <v>20490</v>
      </c>
      <c r="J44" s="132">
        <f t="shared" si="1"/>
        <v>4098</v>
      </c>
      <c r="K44" s="2496">
        <f>SUM(K28:K43)</f>
        <v>10</v>
      </c>
      <c r="L44" s="949">
        <f>SUM(L28:L43)</f>
        <v>961197</v>
      </c>
      <c r="M44" s="949">
        <f>SUM(M28:M43)</f>
        <v>922883</v>
      </c>
      <c r="N44" s="716">
        <f>SUM(N28:N43)</f>
        <v>38314</v>
      </c>
      <c r="O44" s="132">
        <f t="shared" si="2"/>
        <v>3831.4</v>
      </c>
      <c r="P44" s="80">
        <v>41</v>
      </c>
      <c r="Q44" s="656"/>
      <c r="R44" s="656"/>
      <c r="S44" s="656"/>
      <c r="T44" s="656"/>
      <c r="U44" s="656"/>
    </row>
    <row r="45" spans="1:21" s="569" customFormat="1" ht="16" customHeight="1">
      <c r="A45" s="80">
        <v>42</v>
      </c>
      <c r="B45" s="215"/>
      <c r="C45" s="1602" t="str">
        <f>OR_VEH!B344</f>
        <v>MÉMO* VENTES INTERNET CAMIONS</v>
      </c>
      <c r="D45" s="1536"/>
      <c r="E45" s="779" t="s">
        <v>452</v>
      </c>
      <c r="F45" s="269">
        <f>IFERROR(IF(Flag=TRUE,K45-TBIn!E481,TBIn!D481),0)</f>
        <v>0</v>
      </c>
      <c r="G45" s="2599">
        <f>IFERROR(IF(Flag=TRUE,L45-TBIn!$E$161,TBIn!$D$161),0)</f>
        <v>0</v>
      </c>
      <c r="H45" s="2601">
        <f>IFERROR(IF(Flag=TRUE,M45-TBIn!$E$181,TBIn!$D$181),0)</f>
        <v>0</v>
      </c>
      <c r="I45" s="557">
        <f>G45-H45</f>
        <v>0</v>
      </c>
      <c r="J45" s="608">
        <f t="shared" si="1"/>
        <v>0</v>
      </c>
      <c r="K45" s="721">
        <f>IFERROR(TBIn!E481,0)</f>
        <v>0</v>
      </c>
      <c r="L45" s="2574">
        <f>IFERROR(TBIn!$E$161,0)</f>
        <v>0</v>
      </c>
      <c r="M45" s="2604">
        <f>IFERROR(TBIn!$E$181,0)</f>
        <v>0</v>
      </c>
      <c r="N45" s="326">
        <f>L45-M45</f>
        <v>0</v>
      </c>
      <c r="O45" s="587">
        <f t="shared" si="2"/>
        <v>0</v>
      </c>
      <c r="P45" s="80">
        <v>42</v>
      </c>
      <c r="Q45" s="656">
        <v>0</v>
      </c>
      <c r="R45" s="656">
        <f t="shared" si="4"/>
        <v>0</v>
      </c>
      <c r="S45" s="656">
        <f>IF(K45=0,0,IF(OR(L45&lt;0,L45/K45&gt;Q45),1,0))</f>
        <v>0</v>
      </c>
      <c r="T45" s="656">
        <f>IF(OR(F45&lt;0,AND(G45&gt;0,F45=0),AND(G45=0,F45&gt;0)),1,0)</f>
        <v>0</v>
      </c>
      <c r="U45" s="656">
        <f>IF(OR(K45&lt;0,AND(L45&gt;0,K45=0),AND(K45&gt;0,L45=0)),1,0)</f>
        <v>0</v>
      </c>
    </row>
    <row r="46" spans="1:21" s="569" customFormat="1" ht="21.65" customHeight="1">
      <c r="A46" s="80">
        <v>43</v>
      </c>
      <c r="B46" s="101"/>
      <c r="C46" s="1605" t="str">
        <f>OR_VEH!B345</f>
        <v>TOTAL PARCS - CAMIONS</v>
      </c>
      <c r="D46" s="1588"/>
      <c r="E46" s="2525" t="s">
        <v>139</v>
      </c>
      <c r="F46" s="269">
        <f>IFERROR(IF(Flag=TRUE,K46-TBIn!E482,TBIn!D482),0)</f>
        <v>0</v>
      </c>
      <c r="G46" s="2599">
        <f>IFERROR(IF(Flag=TRUE,L46-TBIn!E1977,TBIn!D1977),0)</f>
        <v>0</v>
      </c>
      <c r="H46" s="2599">
        <f>IFERROR(IF(Flag=TRUE,M46-TBIn!E2017,TBIn!D2017),0)</f>
        <v>0</v>
      </c>
      <c r="I46" s="552">
        <f>G46-H46</f>
        <v>0</v>
      </c>
      <c r="J46" s="608">
        <f t="shared" si="1"/>
        <v>0</v>
      </c>
      <c r="K46" s="721">
        <f>IFERROR(TBIn!E482,0)</f>
        <v>0</v>
      </c>
      <c r="L46" s="2574">
        <f>IFERROR(TBIn!E1977,0)</f>
        <v>0</v>
      </c>
      <c r="M46" s="2574">
        <f>IFERROR(TBIn!E2017,0)</f>
        <v>0</v>
      </c>
      <c r="N46" s="2679">
        <f>L46-M46</f>
        <v>0</v>
      </c>
      <c r="O46" s="587">
        <f t="shared" si="2"/>
        <v>0</v>
      </c>
      <c r="P46" s="80">
        <v>43</v>
      </c>
      <c r="Q46" s="656">
        <v>0</v>
      </c>
      <c r="R46" s="656">
        <f t="shared" si="4"/>
        <v>0</v>
      </c>
      <c r="S46" s="656">
        <f>IF(K46=0,0,IF(OR(L46&lt;0,L46/K46&gt;Q46),1,0))</f>
        <v>0</v>
      </c>
      <c r="T46" s="656">
        <f>IF(OR(F46&lt;0,AND(G46&gt;0,F46=0),AND(G46=0,F46&gt;0)),1,0)</f>
        <v>0</v>
      </c>
      <c r="U46" s="656">
        <f>IF(OR(K46&lt;0,AND(L46&gt;0,K46=0),AND(K46&gt;0,L46=0)),1,0)</f>
        <v>0</v>
      </c>
    </row>
    <row r="47" spans="1:21" s="569" customFormat="1" ht="16" customHeight="1">
      <c r="A47" s="80">
        <v>44</v>
      </c>
      <c r="B47" s="215"/>
      <c r="C47" s="1606" t="str">
        <f>OR_VEH!B346</f>
        <v xml:space="preserve">TOTAL IINTERNE - CAMIONS </v>
      </c>
      <c r="D47" s="1607"/>
      <c r="E47" s="780" t="s">
        <v>453</v>
      </c>
      <c r="F47" s="269">
        <f>IFERROR(IF(Flag=TRUE,K47-TBIn!E483,TBIn!D483),0)</f>
        <v>0</v>
      </c>
      <c r="G47" s="2599">
        <f>IFERROR(IF(Flag=TRUE,L47-TBIn!E1978,TBIn!D1978),0)</f>
        <v>0</v>
      </c>
      <c r="H47" s="2599">
        <f>IFERROR(IF(Flag=TRUE,M47-TBIn!E2018,TBIn!D2018),0)</f>
        <v>0</v>
      </c>
      <c r="I47" s="552">
        <f>G47-H47</f>
        <v>0</v>
      </c>
      <c r="J47" s="608">
        <f t="shared" si="1"/>
        <v>0</v>
      </c>
      <c r="K47" s="721">
        <f>IFERROR(TBIn!E483,0)</f>
        <v>0</v>
      </c>
      <c r="L47" s="2574">
        <f>IFERROR(TBIn!E1978,0)</f>
        <v>0</v>
      </c>
      <c r="M47" s="2574">
        <f>IFERROR(TBIn!E2018,0)</f>
        <v>0</v>
      </c>
      <c r="N47" s="555">
        <f>L47-M47</f>
        <v>0</v>
      </c>
      <c r="O47" s="587">
        <f t="shared" si="2"/>
        <v>0</v>
      </c>
      <c r="P47" s="80">
        <v>44</v>
      </c>
      <c r="Q47" s="656">
        <v>0</v>
      </c>
      <c r="R47" s="656">
        <f t="shared" si="4"/>
        <v>0</v>
      </c>
      <c r="S47" s="656">
        <f>IF(K47=0,0,IF(OR(L47&lt;0,L47/K47&gt;Q47),1,0))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715">
        <f>F44+F46+F47</f>
        <v>5</v>
      </c>
      <c r="G48" s="716">
        <f>G44+G46+G47</f>
        <v>529537</v>
      </c>
      <c r="H48" s="716">
        <f>H44+H46+H47</f>
        <v>509047</v>
      </c>
      <c r="I48" s="716">
        <f>I44+I46+I47</f>
        <v>20490</v>
      </c>
      <c r="J48" s="132">
        <f t="shared" si="1"/>
        <v>4098</v>
      </c>
      <c r="K48" s="2496">
        <f>K44+K46+K47</f>
        <v>10</v>
      </c>
      <c r="L48" s="949">
        <f>L44+L46+L47</f>
        <v>961197</v>
      </c>
      <c r="M48" s="949">
        <f>M44+M46+M47</f>
        <v>922883</v>
      </c>
      <c r="N48" s="716">
        <f>N44+N46+N47</f>
        <v>38314</v>
      </c>
      <c r="O48" s="132">
        <f>IF(K48&gt;0,N48/K48,0)</f>
        <v>3831.4</v>
      </c>
      <c r="P48" s="80">
        <v>45</v>
      </c>
      <c r="Q48" s="656"/>
      <c r="R48" s="656"/>
      <c r="S48" s="656"/>
      <c r="T48" s="656"/>
      <c r="U48" s="656"/>
    </row>
    <row r="49" spans="1:21" s="30" customFormat="1" ht="16" customHeight="1">
      <c r="A49" s="80">
        <v>46</v>
      </c>
      <c r="B49" s="96"/>
      <c r="C49" s="266" t="str">
        <f>OR_VEH!B348</f>
        <v xml:space="preserve"> </v>
      </c>
      <c r="D49" s="262"/>
      <c r="E49" s="779" t="s">
        <v>166</v>
      </c>
      <c r="F49" s="1965"/>
      <c r="G49" s="2599"/>
      <c r="H49" s="2601"/>
      <c r="I49" s="557"/>
      <c r="J49" s="831"/>
      <c r="K49" s="2678"/>
      <c r="L49" s="2698"/>
      <c r="M49" s="2699"/>
      <c r="N49" s="326"/>
      <c r="O49" s="597"/>
      <c r="P49" s="80">
        <v>46</v>
      </c>
      <c r="Q49" s="712">
        <v>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OR_VEH!B349</f>
        <v>ACCESSOIRES</v>
      </c>
      <c r="D50" s="1588"/>
      <c r="E50" s="779" t="s">
        <v>454</v>
      </c>
      <c r="F50" s="269">
        <f>IFERROR(IF(Flag=TRUE,K50-TBIn!E484,TBIn!D484),0)</f>
        <v>0</v>
      </c>
      <c r="G50" s="2599">
        <f>IFERROR(IF(Flag=TRUE,L50-TBIn!E1979,TBIn!D1979),0)</f>
        <v>0</v>
      </c>
      <c r="H50" s="2601">
        <f>IFERROR(IF(Flag=TRUE,M50-TBIn!E2019,TBIn!D2019),0)</f>
        <v>0</v>
      </c>
      <c r="I50" s="557">
        <f>G50-H50</f>
        <v>0</v>
      </c>
      <c r="J50" s="828">
        <f>IF(F51=0,0,I50/F$51)</f>
        <v>0</v>
      </c>
      <c r="K50" s="721">
        <f>IFERROR(TBIn!E484,0)</f>
        <v>0</v>
      </c>
      <c r="L50" s="2574">
        <f>IFERROR(TBIn!E1979,0)</f>
        <v>0</v>
      </c>
      <c r="M50" s="2604">
        <f>IFERROR(TBIn!E2019,0)</f>
        <v>0</v>
      </c>
      <c r="N50" s="326">
        <f>L50-M50</f>
        <v>0</v>
      </c>
      <c r="O50" s="830">
        <f>IF(K51=0,0,N50/K$51)</f>
        <v>0</v>
      </c>
      <c r="P50" s="80">
        <v>47</v>
      </c>
      <c r="Q50" s="712">
        <v>0</v>
      </c>
      <c r="R50" s="712">
        <f t="shared" si="4"/>
        <v>0</v>
      </c>
      <c r="S50" s="712">
        <f>IF(K50=0,0,IF(OR(L50&lt;0,L50/K50&gt;Q50),1,0))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IFERROR(IF(Flag=TRUE,F27+F48,TBIn!D485),0)</f>
        <v>5</v>
      </c>
      <c r="G51" s="716">
        <f>G27+G48+G50</f>
        <v>529537</v>
      </c>
      <c r="H51" s="848">
        <f>H27+H48+H50</f>
        <v>509047</v>
      </c>
      <c r="I51" s="1423">
        <f>IFERROR(IF(Flag=TRUE,I27+I48+I50,TBIn!D2020),0)</f>
        <v>20490</v>
      </c>
      <c r="J51" s="1087">
        <f>IF(F51=0,0,I51/F$51)</f>
        <v>4098</v>
      </c>
      <c r="K51" s="761">
        <f>IFERROR(IF(Flag=TRUE,K27+K48,TBIn!E485),0)</f>
        <v>10</v>
      </c>
      <c r="L51" s="716">
        <f>L27+L48+L50</f>
        <v>961197</v>
      </c>
      <c r="M51" s="848">
        <f>M27+M48+M50</f>
        <v>922883</v>
      </c>
      <c r="N51" s="1423">
        <f>IFERROR(IF(Flag=TRUE,N27+N48+N50,TBIn!E2020),0)</f>
        <v>38314</v>
      </c>
      <c r="O51" s="1087">
        <f>IF(K51=0,0,N51/K$51)</f>
        <v>3831.4</v>
      </c>
      <c r="P51" s="179">
        <v>48</v>
      </c>
      <c r="Q51" s="656"/>
      <c r="R51" s="656"/>
      <c r="S51" s="656"/>
      <c r="T51" s="656"/>
      <c r="U51" s="656"/>
    </row>
    <row r="52" spans="1:21" s="569" customFormat="1" ht="16" customHeight="1">
      <c r="A52" s="76"/>
      <c r="B52" s="84" t="s">
        <v>169</v>
      </c>
      <c r="C52" s="84"/>
      <c r="D52" s="84"/>
      <c r="E52" s="84"/>
      <c r="F52" s="84"/>
      <c r="G52" s="84"/>
      <c r="H52" s="84"/>
      <c r="I52" s="76"/>
      <c r="J52" s="267" t="s">
        <v>170</v>
      </c>
      <c r="K52" s="76"/>
      <c r="L52" s="76"/>
      <c r="M52" s="76"/>
      <c r="N52" s="76"/>
      <c r="O52" s="267" t="s">
        <v>170</v>
      </c>
      <c r="P52" s="76"/>
      <c r="Q52" s="656"/>
      <c r="R52" s="656"/>
      <c r="S52" s="656"/>
      <c r="T52" s="656"/>
      <c r="U52" s="656"/>
    </row>
    <row r="53" spans="1:21" hidden="1">
      <c r="A53" s="3"/>
      <c r="B53" s="3"/>
      <c r="C53" s="3"/>
      <c r="D53" s="3"/>
      <c r="E53" s="3"/>
      <c r="F53" s="3"/>
      <c r="G53" s="3"/>
      <c r="H53" s="3"/>
      <c r="I53" s="16"/>
      <c r="J53" s="3"/>
      <c r="K53" s="3"/>
      <c r="L53" s="3"/>
      <c r="M53" s="3"/>
      <c r="N53" s="3"/>
      <c r="O53" s="3"/>
      <c r="P53" s="3"/>
    </row>
    <row r="54" spans="1:21" hidden="1">
      <c r="A54" s="3"/>
      <c r="B54" s="3"/>
      <c r="C54" s="3"/>
      <c r="D54" s="30"/>
      <c r="E54" s="3"/>
      <c r="F54" s="3"/>
      <c r="G54" s="3"/>
      <c r="H54" s="3"/>
      <c r="I54" s="3"/>
      <c r="J54" s="3"/>
      <c r="K54" s="3"/>
      <c r="L54" s="3"/>
      <c r="M54" s="3"/>
      <c r="N54" s="3"/>
      <c r="O54" s="3"/>
      <c r="P54" s="3"/>
    </row>
    <row r="55" spans="1:21" hidden="1">
      <c r="D55" s="30"/>
    </row>
    <row r="56" spans="1:21" hidden="1">
      <c r="D56" s="30" t="s">
        <v>171</v>
      </c>
      <c r="E56" s="1239" t="s">
        <v>88</v>
      </c>
      <c r="F56" s="30" t="s">
        <v>172</v>
      </c>
    </row>
    <row r="57" spans="1:21" hidden="1">
      <c r="D57" s="30" t="s">
        <v>173</v>
      </c>
      <c r="E57" s="1239" t="s">
        <v>88</v>
      </c>
      <c r="F57" s="30" t="s">
        <v>174</v>
      </c>
    </row>
    <row r="61" spans="1:21" ht="13" hidden="1">
      <c r="D61" s="1325"/>
      <c r="E61" s="30"/>
      <c r="F61" s="30"/>
      <c r="G61" s="30"/>
      <c r="H61" s="30"/>
      <c r="I61" s="30"/>
      <c r="J61" s="30"/>
      <c r="K61" s="30"/>
      <c r="L61" s="30"/>
    </row>
    <row r="62" spans="1:21" ht="13" hidden="1">
      <c r="D62" s="1325"/>
      <c r="E62" s="30"/>
      <c r="F62" s="30"/>
      <c r="G62" s="30"/>
      <c r="H62" s="30"/>
      <c r="I62" s="30"/>
      <c r="J62" s="30"/>
      <c r="K62" s="30"/>
      <c r="L62" s="30"/>
    </row>
  </sheetData>
  <sheetProtection algorithmName="SHA-512" hashValue="XZLbNVbut9poBj+KUGMRZ1mCHMpSreDuOld+Pdybzs6c0m+9RgRl2frJQW7LyW8R344K6wyJNUyfRPoNr7hsPw==" saltValue="nzVUtzaDDtU4E9gee2pArg==" spinCount="100000" sheet="1" objects="1" scenarios="1"/>
  <customSheetViews>
    <customSheetView guid="{42A0DCD3-5C27-4BB4-A491-D2E7F84D8A17}" scale="80" showGridLines="0" fitToPage="1" printArea="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topLeftCell="A37">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showGridLines="0" showRowCol="0" fitToPage="1" hiddenRows="1" hiddenColumns="1" showRuler="0">
      <pane xSplit="5" ySplit="3" topLeftCell="F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B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B00-000000000000}"/>
    <hyperlink ref="C24" r:id="rId4" tooltip="Lien au Manuel des méthodes comptables GM" display="http://gm-ca-fr.acctmanual.com/New_Vehicle/419_Voitures_neuves_Internet_(compte_m_mo).htm" xr:uid="{00000000-0004-0000-0B00-000001000000}"/>
    <hyperlink ref="C25" r:id="rId5" tooltip="Lien au Manuel des méthodes comptables GM" display="http://gm-ca-fr.acctmanual.com/New_Vehicle/420_Voitures_neuves_-_Parcs.htm" xr:uid="{00000000-0004-0000-0B00-000002000000}"/>
    <hyperlink ref="C26" r:id="rId6" tooltip="Lien au Manuel des méthodes comptables GM" display="http://gm-ca-fr.acctmanual.com/New_Vehicle/421_Voitures_neuves_-_Interne.htm" xr:uid="{00000000-0004-0000-0B00-000003000000}"/>
    <hyperlink ref="C28" r:id="rId7" tooltip="Lien au Manuel des méthodes comptables GM" display="http://gm-ca-fr.acctmanual.com/New_Vehicle/423-438_Camions_neufs_-_au_d_tail.htm" xr:uid="{00000000-0004-0000-0B00-000004000000}"/>
    <hyperlink ref="C45" r:id="rId8" tooltip="Lien au Manuel des méthodes comptables GM" display="http://gm-ca-fr.acctmanual.com/New_Vehicle/439_Camions_neufs_Internet_(compte_m_mo).htm" xr:uid="{00000000-0004-0000-0B00-000005000000}"/>
    <hyperlink ref="C46" r:id="rId9" tooltip="Lien au Manuel des méthodes comptables GM" display="http://gm-ca-fr.acctmanual.com/New_Vehicle/440_Camions_neufs_-_Parcs.htm" xr:uid="{00000000-0004-0000-0B00-000006000000}"/>
    <hyperlink ref="C47" r:id="rId10" tooltip="Lien au Manuel des méthodes comptables GM" display="http://gm-ca-fr.acctmanual.com/New_Vehicle/441_Camions_neufs_-_Interne.htm" xr:uid="{00000000-0004-0000-0B00-000007000000}"/>
    <hyperlink ref="C50" r:id="rId11" tooltip="Lien au Manuel des méthodes comptables GM" display="http://gm-ca-fr.acctmanual.com/New_Vehicle/457_Accessoires.htm" xr:uid="{00000000-0004-0000-0B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6395" r:id="rId15" name="CommandButton5g">
          <controlPr defaultSize="0" print="0" autoFill="0" autoLine="0" r:id="rId16">
            <anchor moveWithCells="1">
              <from>
                <xdr:col>11</xdr:col>
                <xdr:colOff>381000</xdr:colOff>
                <xdr:row>0</xdr:row>
                <xdr:rowOff>12700</xdr:rowOff>
              </from>
              <to>
                <xdr:col>12</xdr:col>
                <xdr:colOff>812800</xdr:colOff>
                <xdr:row>1</xdr:row>
                <xdr:rowOff>31750</xdr:rowOff>
              </to>
            </anchor>
          </controlPr>
        </control>
      </mc:Choice>
      <mc:Fallback>
        <control shapeId="16395" r:id="rId15" name="CommandButton5g"/>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pageSetUpPr autoPageBreaks="0" fitToPage="1"/>
  </sheetPr>
  <dimension ref="A1:AB122"/>
  <sheetViews>
    <sheetView showGridLines="0" showRowColHeaders="0" workbookViewId="0"/>
  </sheetViews>
  <sheetFormatPr baseColWidth="10" defaultColWidth="0" defaultRowHeight="12.65" customHeight="1" zeroHeight="1"/>
  <cols>
    <col min="1" max="1" width="3.81640625" style="654" customWidth="1"/>
    <col min="2" max="2" width="2.81640625" style="654" customWidth="1"/>
    <col min="3" max="3" width="3.1796875" style="654" customWidth="1"/>
    <col min="4" max="4" width="30.453125" style="654" customWidth="1"/>
    <col min="5" max="5" width="5.179687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8.81640625" style="661" hidden="1" customWidth="1"/>
    <col min="22" max="24" width="8.81640625" style="654" hidden="1" customWidth="1"/>
    <col min="25" max="25" width="5.54296875" style="654" hidden="1" customWidth="1"/>
    <col min="26" max="26" width="6.1796875" style="654" hidden="1" customWidth="1"/>
    <col min="27" max="27" width="12" style="654" hidden="1" customWidth="1"/>
    <col min="28" max="28" width="0" style="654" hidden="1" customWidth="1"/>
    <col min="29" max="29" width="8.81640625" style="654" hidden="1" customWidth="1"/>
    <col min="30" max="16384" width="8.81640625" style="654" hidden="1"/>
  </cols>
  <sheetData>
    <row r="1" spans="1:24" s="569" customFormat="1" ht="24.75" customHeight="1">
      <c r="A1" s="76"/>
      <c r="B1" s="2763"/>
      <c r="C1" s="2763"/>
      <c r="D1" s="2763"/>
      <c r="E1" s="59" t="s">
        <v>455</v>
      </c>
      <c r="F1" s="60"/>
      <c r="G1" s="60"/>
      <c r="H1" s="60"/>
      <c r="I1" s="60"/>
      <c r="J1" s="60"/>
      <c r="K1" s="60"/>
      <c r="L1" s="61"/>
      <c r="M1" s="61"/>
      <c r="N1" s="273"/>
      <c r="O1" s="641"/>
      <c r="P1" s="62" t="str">
        <f>TBIn!$E$2458&amp;" - "&amp;TBIn!$AH$10&amp;" - PAGE 5 PARCS GOUV"</f>
        <v>319719 - 202504 - PAGE 5 PARCS GOUV</v>
      </c>
      <c r="Q1" s="643" t="s">
        <v>93</v>
      </c>
      <c r="R1" s="643" t="s">
        <v>94</v>
      </c>
      <c r="S1" s="643" t="s">
        <v>95</v>
      </c>
      <c r="T1" s="643" t="s">
        <v>94</v>
      </c>
      <c r="U1" s="643" t="s">
        <v>95</v>
      </c>
      <c r="V1" s="568"/>
      <c r="W1" s="568"/>
      <c r="X1" s="568"/>
    </row>
    <row r="2" spans="1:24" s="569" customFormat="1" ht="16" customHeight="1">
      <c r="A2" s="67" t="s">
        <v>1</v>
      </c>
      <c r="B2" s="318"/>
      <c r="C2" s="2764" t="s">
        <v>456</v>
      </c>
      <c r="D2" s="2765"/>
      <c r="E2" s="189" t="s">
        <v>97</v>
      </c>
      <c r="F2" s="1240"/>
      <c r="G2" s="1241" t="s">
        <v>7</v>
      </c>
      <c r="H2" s="1241"/>
      <c r="I2" s="1241"/>
      <c r="J2" s="1242"/>
      <c r="K2" s="1243"/>
      <c r="L2" s="347" t="s">
        <v>8</v>
      </c>
      <c r="M2" s="1244"/>
      <c r="N2" s="1244"/>
      <c r="O2" s="1245"/>
      <c r="P2" s="67" t="s">
        <v>1</v>
      </c>
      <c r="Q2" s="643" t="s">
        <v>98</v>
      </c>
      <c r="R2" s="643" t="s">
        <v>98</v>
      </c>
      <c r="S2" s="643" t="s">
        <v>98</v>
      </c>
      <c r="T2" s="643" t="s">
        <v>99</v>
      </c>
      <c r="U2" s="643" t="s">
        <v>99</v>
      </c>
      <c r="V2" s="568"/>
      <c r="W2" s="568"/>
      <c r="X2" s="568"/>
    </row>
    <row r="3" spans="1:24" s="569" customFormat="1" ht="16" customHeight="1">
      <c r="A3" s="71" t="s">
        <v>6</v>
      </c>
      <c r="B3" s="1112"/>
      <c r="C3" s="2766"/>
      <c r="D3" s="2767"/>
      <c r="E3" s="275" t="s">
        <v>101</v>
      </c>
      <c r="F3" s="2407" t="s">
        <v>102</v>
      </c>
      <c r="G3" s="2408" t="s">
        <v>103</v>
      </c>
      <c r="H3" s="2408" t="s">
        <v>104</v>
      </c>
      <c r="I3" s="2408" t="s">
        <v>105</v>
      </c>
      <c r="J3" s="2409" t="s">
        <v>106</v>
      </c>
      <c r="K3" s="2411" t="s">
        <v>102</v>
      </c>
      <c r="L3" s="2412" t="s">
        <v>103</v>
      </c>
      <c r="M3" s="2412" t="s">
        <v>104</v>
      </c>
      <c r="N3" s="2412" t="s">
        <v>105</v>
      </c>
      <c r="O3" s="2413" t="s">
        <v>106</v>
      </c>
      <c r="P3" s="71" t="s">
        <v>6</v>
      </c>
      <c r="Q3" s="643" t="s">
        <v>107</v>
      </c>
      <c r="R3" s="643" t="s">
        <v>108</v>
      </c>
      <c r="S3" s="643" t="s">
        <v>108</v>
      </c>
      <c r="T3" s="643" t="s">
        <v>108</v>
      </c>
      <c r="U3" s="643" t="s">
        <v>108</v>
      </c>
      <c r="V3" s="568"/>
      <c r="W3" s="568"/>
      <c r="X3" s="568"/>
    </row>
    <row r="4" spans="1:24" s="569" customFormat="1" ht="16" customHeight="1">
      <c r="A4" s="74">
        <v>1</v>
      </c>
      <c r="B4" s="215"/>
      <c r="C4" s="1809" t="str">
        <f>OR_VEH!B536</f>
        <v>CHEVROLET VOITURES MCI</v>
      </c>
      <c r="D4" s="2300"/>
      <c r="E4" s="2353" t="s">
        <v>457</v>
      </c>
      <c r="F4" s="2327">
        <f>IF(Flag=TRUE,K4-TBIn!E792,TBIn!D792)</f>
        <v>0</v>
      </c>
      <c r="G4" s="2598">
        <f>IF(Flag=TRUE,L4-TBIn!E724,TBIn!D724)</f>
        <v>0</v>
      </c>
      <c r="H4" s="2598">
        <f>IF(Flag=TRUE,M4-TBIn!E758,TBIn!D758)</f>
        <v>0</v>
      </c>
      <c r="I4" s="2328">
        <f>G4-H4</f>
        <v>0</v>
      </c>
      <c r="J4" s="2374">
        <f>IF(F4&gt;0,I4/F4,0)</f>
        <v>0</v>
      </c>
      <c r="K4" s="2334">
        <f>TBIn!E792</f>
        <v>0</v>
      </c>
      <c r="L4" s="2602">
        <f>TBIn!E724</f>
        <v>0</v>
      </c>
      <c r="M4" s="2602">
        <f>TBIn!E758</f>
        <v>0</v>
      </c>
      <c r="N4" s="944">
        <f>L4-M4</f>
        <v>0</v>
      </c>
      <c r="O4" s="2335">
        <f>IF(K4&gt;0,N4/K4,0)</f>
        <v>0</v>
      </c>
      <c r="P4" s="2410">
        <v>1</v>
      </c>
      <c r="Q4" s="644">
        <v>0</v>
      </c>
      <c r="R4" s="656">
        <f>IF(F4=0,0,IF(G4/F4&gt;Q4,1,0))</f>
        <v>0</v>
      </c>
      <c r="S4" s="656">
        <f>IF(K4=0,0,IF(OR(L4&lt;0,L4/K4&gt;Q4),1,0))</f>
        <v>0</v>
      </c>
      <c r="T4" s="656">
        <f>IF(OR(F4&lt;0,AND(G4&gt;0,F4=0),AND(G4=0,F4&gt;0)),1,0)</f>
        <v>0</v>
      </c>
      <c r="U4" s="656">
        <f>IF(OR(K4&lt;0,AND(L4&gt;0,K4=0),AND(K4&gt;0,L4=0)),1,0)</f>
        <v>0</v>
      </c>
      <c r="V4" s="568"/>
      <c r="W4" s="568"/>
      <c r="X4" s="568"/>
    </row>
    <row r="5" spans="1:24" s="569" customFormat="1" ht="16" customHeight="1">
      <c r="A5" s="80">
        <v>2</v>
      </c>
      <c r="B5" s="275" t="s">
        <v>145</v>
      </c>
      <c r="C5" s="1809" t="str">
        <f>OR_VEH!B537</f>
        <v>CHEVROLET VOITURES VE</v>
      </c>
      <c r="D5" s="2301"/>
      <c r="E5" s="2353" t="s">
        <v>458</v>
      </c>
      <c r="F5" s="2330">
        <f>IF(Flag=TRUE,K5-TBIn!E793,TBIn!D793)</f>
        <v>0</v>
      </c>
      <c r="G5" s="2613">
        <f>IF(Flag=TRUE,L5-TBIn!E725,TBIn!D725)</f>
        <v>0</v>
      </c>
      <c r="H5" s="2613">
        <f>IF(Flag=TRUE,M5-TBIn!E759,TBIn!D759)</f>
        <v>0</v>
      </c>
      <c r="I5" s="2306">
        <f t="shared" ref="I5:I35" si="0">G5-H5</f>
        <v>0</v>
      </c>
      <c r="J5" s="2375">
        <f t="shared" ref="J5:J34" si="1">IF(F5&gt;0,I5/F5,0)</f>
        <v>0</v>
      </c>
      <c r="K5" s="1867">
        <f>TBIn!E793</f>
        <v>0</v>
      </c>
      <c r="L5" s="2615">
        <f>TBIn!E725</f>
        <v>0</v>
      </c>
      <c r="M5" s="2615">
        <f>TBIn!E759</f>
        <v>0</v>
      </c>
      <c r="N5" s="945">
        <f t="shared" ref="N5:N35" si="2">L5-M5</f>
        <v>0</v>
      </c>
      <c r="O5" s="2336">
        <f t="shared" ref="O5:O37" si="3">IF(K5&gt;0,N5/K5,0)</f>
        <v>0</v>
      </c>
      <c r="P5" s="2305">
        <v>2</v>
      </c>
      <c r="Q5" s="644">
        <v>45000</v>
      </c>
      <c r="R5" s="656">
        <f t="shared" ref="R5:R37" si="4">IF(F5=0,0,IF(G5/F5&gt;Q5,1,0))</f>
        <v>0</v>
      </c>
      <c r="S5" s="656">
        <f t="shared" ref="S5:S22" si="5">IF(K5=0,0,IF(OR(L5&lt;0,L5/K5&gt;Q5),1,0))</f>
        <v>0</v>
      </c>
      <c r="T5" s="656">
        <f t="shared" ref="T5:T22" si="6">IF(OR(F5&lt;0,AND(G5&gt;0,F5=0),AND(G5=0,F5&gt;0)),1,0)</f>
        <v>0</v>
      </c>
      <c r="U5" s="656">
        <f t="shared" ref="U5:U22" si="7">IF(OR(K5&lt;0,AND(L5&gt;0,K5=0),AND(K5&gt;0,L5=0)),1,0)</f>
        <v>0</v>
      </c>
      <c r="V5" s="568"/>
      <c r="W5" s="568"/>
      <c r="X5" s="568"/>
    </row>
    <row r="6" spans="1:24" s="569" customFormat="1" ht="15.75" customHeight="1">
      <c r="A6" s="80">
        <v>3</v>
      </c>
      <c r="B6" s="275" t="s">
        <v>118</v>
      </c>
      <c r="C6" s="1809" t="str">
        <f>OR_VEH!B538</f>
        <v>BUICK VOITURES MCI</v>
      </c>
      <c r="D6" s="2301"/>
      <c r="E6" s="2353" t="s">
        <v>459</v>
      </c>
      <c r="F6" s="2330">
        <f>IF(Flag=TRUE,K6-TBIn!E794,TBIn!D794)</f>
        <v>0</v>
      </c>
      <c r="G6" s="2613">
        <f>IF(Flag=TRUE,L6-TBIn!E726,TBIn!D726)</f>
        <v>0</v>
      </c>
      <c r="H6" s="2613">
        <f>IF(Flag=TRUE,M6-TBIn!E760,TBIn!D760)</f>
        <v>0</v>
      </c>
      <c r="I6" s="2306">
        <f t="shared" si="0"/>
        <v>0</v>
      </c>
      <c r="J6" s="2375">
        <f t="shared" si="1"/>
        <v>0</v>
      </c>
      <c r="K6" s="1867">
        <f>TBIn!E794</f>
        <v>0</v>
      </c>
      <c r="L6" s="2615">
        <f>TBIn!E726</f>
        <v>0</v>
      </c>
      <c r="M6" s="2615">
        <f>TBIn!E760</f>
        <v>0</v>
      </c>
      <c r="N6" s="945">
        <f t="shared" si="2"/>
        <v>0</v>
      </c>
      <c r="O6" s="2336">
        <f t="shared" si="3"/>
        <v>0</v>
      </c>
      <c r="P6" s="2305">
        <v>3</v>
      </c>
      <c r="Q6" s="644">
        <v>50000</v>
      </c>
      <c r="R6" s="656">
        <f t="shared" si="4"/>
        <v>0</v>
      </c>
      <c r="S6" s="656">
        <f t="shared" si="5"/>
        <v>0</v>
      </c>
      <c r="T6" s="656">
        <f t="shared" si="6"/>
        <v>0</v>
      </c>
      <c r="U6" s="656">
        <f t="shared" si="7"/>
        <v>0</v>
      </c>
      <c r="V6" s="568"/>
      <c r="W6" s="568"/>
      <c r="X6" s="568"/>
    </row>
    <row r="7" spans="1:24" s="569" customFormat="1" ht="15.75" customHeight="1">
      <c r="A7" s="80">
        <v>4</v>
      </c>
      <c r="B7" s="275" t="s">
        <v>116</v>
      </c>
      <c r="C7" s="1809" t="str">
        <f>OR_VEH!B539</f>
        <v>BUICK VOITURES VE</v>
      </c>
      <c r="D7" s="2301"/>
      <c r="E7" s="2353" t="s">
        <v>460</v>
      </c>
      <c r="F7" s="2330">
        <f>IF(Flag=TRUE,K7-TBIn!E795,TBIn!D795)</f>
        <v>0</v>
      </c>
      <c r="G7" s="2613">
        <f>IF(Flag=TRUE,L7-TBIn!E727,TBIn!D727)</f>
        <v>0</v>
      </c>
      <c r="H7" s="2613">
        <f>IF(Flag=TRUE,M7-TBIn!E761,TBIn!D761)</f>
        <v>0</v>
      </c>
      <c r="I7" s="2306">
        <f t="shared" si="0"/>
        <v>0</v>
      </c>
      <c r="J7" s="2375">
        <f t="shared" si="1"/>
        <v>0</v>
      </c>
      <c r="K7" s="1867">
        <f>TBIn!E795</f>
        <v>0</v>
      </c>
      <c r="L7" s="2615">
        <f>TBIn!E727</f>
        <v>0</v>
      </c>
      <c r="M7" s="2615">
        <f>TBIn!E761</f>
        <v>0</v>
      </c>
      <c r="N7" s="945">
        <f t="shared" si="2"/>
        <v>0</v>
      </c>
      <c r="O7" s="2336">
        <f t="shared" si="3"/>
        <v>0</v>
      </c>
      <c r="P7" s="2305">
        <v>4</v>
      </c>
      <c r="Q7" s="644">
        <v>55000</v>
      </c>
      <c r="R7" s="656">
        <f t="shared" si="4"/>
        <v>0</v>
      </c>
      <c r="S7" s="656">
        <f t="shared" si="5"/>
        <v>0</v>
      </c>
      <c r="T7" s="656">
        <f t="shared" si="6"/>
        <v>0</v>
      </c>
      <c r="U7" s="656">
        <f t="shared" si="7"/>
        <v>0</v>
      </c>
      <c r="V7" s="568"/>
      <c r="W7" s="568"/>
      <c r="X7" s="568"/>
    </row>
    <row r="8" spans="1:24" s="569" customFormat="1" ht="15.75" customHeight="1">
      <c r="A8" s="80">
        <v>5</v>
      </c>
      <c r="B8" s="275" t="s">
        <v>112</v>
      </c>
      <c r="C8" s="1809" t="str">
        <f>OR_VEH!B540</f>
        <v>CADILLAC VOITURES MCI</v>
      </c>
      <c r="D8" s="2301"/>
      <c r="E8" s="2353" t="s">
        <v>461</v>
      </c>
      <c r="F8" s="2330">
        <f>IF(Flag=TRUE,K8-TBIn!E796,TBIn!D796)</f>
        <v>0</v>
      </c>
      <c r="G8" s="2613">
        <f>IF(Flag=TRUE,L8-TBIn!E728,TBIn!D728)</f>
        <v>0</v>
      </c>
      <c r="H8" s="2613">
        <f>IF(Flag=TRUE,M8-TBIn!E762,TBIn!D762)</f>
        <v>0</v>
      </c>
      <c r="I8" s="2306">
        <f t="shared" si="0"/>
        <v>0</v>
      </c>
      <c r="J8" s="2375">
        <f t="shared" si="1"/>
        <v>0</v>
      </c>
      <c r="K8" s="1867">
        <f>TBIn!E796</f>
        <v>0</v>
      </c>
      <c r="L8" s="2615">
        <f>TBIn!E728</f>
        <v>0</v>
      </c>
      <c r="M8" s="2615">
        <f>TBIn!E762</f>
        <v>0</v>
      </c>
      <c r="N8" s="945">
        <f t="shared" si="2"/>
        <v>0</v>
      </c>
      <c r="O8" s="2336">
        <f t="shared" si="3"/>
        <v>0</v>
      </c>
      <c r="P8" s="2305">
        <v>5</v>
      </c>
      <c r="Q8" s="644">
        <v>40000</v>
      </c>
      <c r="R8" s="656">
        <f t="shared" si="4"/>
        <v>0</v>
      </c>
      <c r="S8" s="656">
        <f t="shared" si="5"/>
        <v>0</v>
      </c>
      <c r="T8" s="656">
        <f t="shared" si="6"/>
        <v>0</v>
      </c>
      <c r="U8" s="656">
        <f t="shared" si="7"/>
        <v>0</v>
      </c>
      <c r="V8" s="568"/>
      <c r="W8" s="568"/>
      <c r="X8" s="568"/>
    </row>
    <row r="9" spans="1:24" s="569" customFormat="1" ht="15.75" customHeight="1">
      <c r="A9" s="80">
        <v>6</v>
      </c>
      <c r="B9" s="275" t="s">
        <v>124</v>
      </c>
      <c r="C9" s="1809" t="str">
        <f>OR_VEH!B541</f>
        <v>CADILLAC VOITURES VE</v>
      </c>
      <c r="D9" s="2301"/>
      <c r="E9" s="2353" t="s">
        <v>462</v>
      </c>
      <c r="F9" s="2330">
        <f>IF(Flag=TRUE,K9-TBIn!E797,TBIn!D797)</f>
        <v>0</v>
      </c>
      <c r="G9" s="2613">
        <f>IF(Flag=TRUE,L9-TBIn!E729,TBIn!D729)</f>
        <v>0</v>
      </c>
      <c r="H9" s="2613">
        <f>IF(Flag=TRUE,M9-TBIn!E763,TBIn!D763)</f>
        <v>0</v>
      </c>
      <c r="I9" s="2306">
        <f t="shared" si="0"/>
        <v>0</v>
      </c>
      <c r="J9" s="2375">
        <f t="shared" si="1"/>
        <v>0</v>
      </c>
      <c r="K9" s="1867">
        <f>TBIn!E797</f>
        <v>0</v>
      </c>
      <c r="L9" s="2615">
        <f>TBIn!E729</f>
        <v>0</v>
      </c>
      <c r="M9" s="2615">
        <f>TBIn!E763</f>
        <v>0</v>
      </c>
      <c r="N9" s="945">
        <f t="shared" si="2"/>
        <v>0</v>
      </c>
      <c r="O9" s="2336">
        <f t="shared" si="3"/>
        <v>0</v>
      </c>
      <c r="P9" s="2305">
        <v>6</v>
      </c>
      <c r="Q9" s="827">
        <v>60000</v>
      </c>
      <c r="R9" s="712">
        <f t="shared" si="4"/>
        <v>0</v>
      </c>
      <c r="S9" s="656">
        <f t="shared" si="5"/>
        <v>0</v>
      </c>
      <c r="T9" s="656">
        <f t="shared" si="6"/>
        <v>0</v>
      </c>
      <c r="U9" s="656">
        <f t="shared" si="7"/>
        <v>0</v>
      </c>
      <c r="V9" s="568"/>
      <c r="W9" s="568"/>
      <c r="X9" s="568"/>
    </row>
    <row r="10" spans="1:24" s="569" customFormat="1" ht="15.75" customHeight="1">
      <c r="A10" s="80">
        <v>7</v>
      </c>
      <c r="B10" s="275"/>
      <c r="C10" s="1809" t="str">
        <f>OR_VEH!B542</f>
        <v>NE PAS UTILISER</v>
      </c>
      <c r="D10" s="2301"/>
      <c r="E10" s="2353" t="s">
        <v>463</v>
      </c>
      <c r="F10" s="2330">
        <f>IF(Flag=TRUE,K10-TBIn!E798,TBIn!D798)</f>
        <v>0</v>
      </c>
      <c r="G10" s="2613">
        <f>IF(Flag=TRUE,L10-TBIn!E730,TBIn!D730)</f>
        <v>0</v>
      </c>
      <c r="H10" s="2613">
        <f>IF(Flag=TRUE,M10-TBIn!E764,TBIn!D764)</f>
        <v>0</v>
      </c>
      <c r="I10" s="2306">
        <f t="shared" si="0"/>
        <v>0</v>
      </c>
      <c r="J10" s="2375">
        <f t="shared" si="1"/>
        <v>0</v>
      </c>
      <c r="K10" s="1867">
        <f>TBIn!E798</f>
        <v>0</v>
      </c>
      <c r="L10" s="2615">
        <f>TBIn!E730</f>
        <v>0</v>
      </c>
      <c r="M10" s="2615">
        <f>TBIn!E764</f>
        <v>0</v>
      </c>
      <c r="N10" s="945">
        <f t="shared" si="2"/>
        <v>0</v>
      </c>
      <c r="O10" s="2336">
        <f t="shared" si="3"/>
        <v>0</v>
      </c>
      <c r="P10" s="2305">
        <v>7</v>
      </c>
      <c r="Q10" s="644">
        <v>45000</v>
      </c>
      <c r="R10" s="656">
        <f t="shared" si="4"/>
        <v>0</v>
      </c>
      <c r="S10" s="656">
        <f t="shared" si="5"/>
        <v>0</v>
      </c>
      <c r="T10" s="656">
        <f t="shared" si="6"/>
        <v>0</v>
      </c>
      <c r="U10" s="656">
        <f t="shared" si="7"/>
        <v>0</v>
      </c>
      <c r="V10" s="568"/>
      <c r="W10" s="568"/>
      <c r="X10" s="568"/>
    </row>
    <row r="11" spans="1:24" s="569" customFormat="1" ht="15.75" customHeight="1">
      <c r="A11" s="80">
        <v>8</v>
      </c>
      <c r="B11" s="275"/>
      <c r="C11" s="2360" t="str">
        <f>OR_VEH!B543</f>
        <v>NE PAS UTILISER</v>
      </c>
      <c r="D11" s="2310"/>
      <c r="E11" s="2354" t="s">
        <v>464</v>
      </c>
      <c r="F11" s="2332">
        <f>IF(Flag=TRUE,K11-TBIn!E799,TBIn!D799)</f>
        <v>0</v>
      </c>
      <c r="G11" s="2618">
        <f>IF(Flag=TRUE,L11-TBIn!E731,TBIn!D731)</f>
        <v>0</v>
      </c>
      <c r="H11" s="2618">
        <f>IF(Flag=TRUE,M11-TBIn!E765,TBIn!D765)</f>
        <v>0</v>
      </c>
      <c r="I11" s="2333">
        <f t="shared" si="0"/>
        <v>0</v>
      </c>
      <c r="J11" s="2376">
        <f t="shared" si="1"/>
        <v>0</v>
      </c>
      <c r="K11" s="2337">
        <f>TBIn!E799</f>
        <v>0</v>
      </c>
      <c r="L11" s="2619">
        <f>TBIn!E731</f>
        <v>0</v>
      </c>
      <c r="M11" s="2619">
        <f>TBIn!E765</f>
        <v>0</v>
      </c>
      <c r="N11" s="2338">
        <f t="shared" si="2"/>
        <v>0</v>
      </c>
      <c r="O11" s="2339">
        <f t="shared" si="3"/>
        <v>0</v>
      </c>
      <c r="P11" s="2305">
        <v>8</v>
      </c>
      <c r="Q11" s="644">
        <v>0</v>
      </c>
      <c r="R11" s="656">
        <f t="shared" si="4"/>
        <v>0</v>
      </c>
      <c r="S11" s="656">
        <f t="shared" si="5"/>
        <v>0</v>
      </c>
      <c r="T11" s="656">
        <f t="shared" si="6"/>
        <v>0</v>
      </c>
      <c r="U11" s="656">
        <f t="shared" si="7"/>
        <v>0</v>
      </c>
      <c r="V11" s="568"/>
      <c r="W11" s="568"/>
      <c r="X11" s="568"/>
    </row>
    <row r="12" spans="1:24" s="569" customFormat="1" ht="15.75" customHeight="1">
      <c r="A12" s="80">
        <v>9</v>
      </c>
      <c r="B12" s="195"/>
      <c r="C12" s="2488" t="s">
        <v>465</v>
      </c>
      <c r="D12" s="2312"/>
      <c r="E12" s="2361"/>
      <c r="F12" s="2321">
        <f>SUM(F4:F11)</f>
        <v>0</v>
      </c>
      <c r="G12" s="2321">
        <f t="shared" ref="G12:H12" si="8">SUM(G4:G11)</f>
        <v>0</v>
      </c>
      <c r="H12" s="2321">
        <f t="shared" si="8"/>
        <v>0</v>
      </c>
      <c r="I12" s="2321">
        <f t="shared" si="0"/>
        <v>0</v>
      </c>
      <c r="J12" s="2322">
        <f t="shared" si="1"/>
        <v>0</v>
      </c>
      <c r="K12" s="2321">
        <f>SUM(K4:K11)</f>
        <v>0</v>
      </c>
      <c r="L12" s="2321">
        <f t="shared" ref="L12:M12" si="9">SUM(L4:L11)</f>
        <v>0</v>
      </c>
      <c r="M12" s="2321">
        <f t="shared" si="9"/>
        <v>0</v>
      </c>
      <c r="N12" s="2321">
        <f t="shared" si="2"/>
        <v>0</v>
      </c>
      <c r="O12" s="2322">
        <f t="shared" si="3"/>
        <v>0</v>
      </c>
      <c r="P12" s="80">
        <v>9</v>
      </c>
      <c r="Q12" s="644">
        <v>0</v>
      </c>
      <c r="R12" s="656">
        <f t="shared" si="4"/>
        <v>0</v>
      </c>
      <c r="S12" s="656">
        <f t="shared" si="5"/>
        <v>0</v>
      </c>
      <c r="T12" s="656">
        <f t="shared" si="6"/>
        <v>0</v>
      </c>
      <c r="U12" s="656">
        <f t="shared" si="7"/>
        <v>0</v>
      </c>
      <c r="V12" s="568"/>
      <c r="W12" s="568"/>
      <c r="X12" s="568"/>
    </row>
    <row r="13" spans="1:24" s="569" customFormat="1" ht="15.75" customHeight="1">
      <c r="A13" s="80">
        <v>10</v>
      </c>
      <c r="B13" s="275" t="s">
        <v>143</v>
      </c>
      <c r="C13" s="2397" t="str">
        <f>OR_VEH!B545</f>
        <v>BUICK / CADILLAC PETIT VUS VE</v>
      </c>
      <c r="D13" s="2301"/>
      <c r="E13" s="2352" t="s">
        <v>466</v>
      </c>
      <c r="F13" s="2327">
        <f>IF(Flag=TRUE,K13-TBIn!E801,TBIn!D801)</f>
        <v>0</v>
      </c>
      <c r="G13" s="2598">
        <f>IF(Flag=TRUE,L13-TBIn!E733,TBIn!D733)</f>
        <v>0</v>
      </c>
      <c r="H13" s="2598">
        <f>IF(Flag=TRUE,M13-TBIn!E767,TBIn!D767)</f>
        <v>0</v>
      </c>
      <c r="I13" s="2328">
        <f t="shared" si="0"/>
        <v>0</v>
      </c>
      <c r="J13" s="2374">
        <f t="shared" si="1"/>
        <v>0</v>
      </c>
      <c r="K13" s="2334">
        <f>TBIn!E801</f>
        <v>0</v>
      </c>
      <c r="L13" s="2602">
        <f>TBIn!E733</f>
        <v>0</v>
      </c>
      <c r="M13" s="2602">
        <f>TBIn!E767</f>
        <v>0</v>
      </c>
      <c r="N13" s="944">
        <f t="shared" si="2"/>
        <v>0</v>
      </c>
      <c r="O13" s="2335">
        <f t="shared" si="3"/>
        <v>0</v>
      </c>
      <c r="P13" s="2305">
        <v>10</v>
      </c>
      <c r="Q13" s="644">
        <v>0</v>
      </c>
      <c r="R13" s="656">
        <f t="shared" si="4"/>
        <v>0</v>
      </c>
      <c r="S13" s="656">
        <f t="shared" si="5"/>
        <v>0</v>
      </c>
      <c r="T13" s="656">
        <f t="shared" si="6"/>
        <v>0</v>
      </c>
      <c r="U13" s="656">
        <f t="shared" si="7"/>
        <v>0</v>
      </c>
      <c r="V13" s="568"/>
      <c r="W13" s="568"/>
      <c r="X13" s="568"/>
    </row>
    <row r="14" spans="1:24" s="569" customFormat="1" ht="15.75" customHeight="1">
      <c r="A14" s="80">
        <v>11</v>
      </c>
      <c r="B14" s="275" t="s">
        <v>145</v>
      </c>
      <c r="C14" s="1809" t="str">
        <f>OR_VEH!B546</f>
        <v>BUICK / CADILLAC PETIT VUS MCI</v>
      </c>
      <c r="D14" s="2301"/>
      <c r="E14" s="2353" t="s">
        <v>467</v>
      </c>
      <c r="F14" s="2330">
        <f>IF(Flag=TRUE,K14-TBIn!E802,TBIn!D802)</f>
        <v>0</v>
      </c>
      <c r="G14" s="2613">
        <f>IF(Flag=TRUE,L14-TBIn!E734,TBIn!D734)</f>
        <v>0</v>
      </c>
      <c r="H14" s="2613">
        <f>IF(Flag=TRUE,M14-TBIn!E768,TBIn!D768)</f>
        <v>0</v>
      </c>
      <c r="I14" s="2306">
        <f t="shared" si="0"/>
        <v>0</v>
      </c>
      <c r="J14" s="2375">
        <f t="shared" si="1"/>
        <v>0</v>
      </c>
      <c r="K14" s="1867">
        <f>TBIn!E802</f>
        <v>0</v>
      </c>
      <c r="L14" s="2615">
        <f>TBIn!E734</f>
        <v>0</v>
      </c>
      <c r="M14" s="2615">
        <f>TBIn!E768</f>
        <v>0</v>
      </c>
      <c r="N14" s="945">
        <f t="shared" si="2"/>
        <v>0</v>
      </c>
      <c r="O14" s="2336">
        <f t="shared" si="3"/>
        <v>0</v>
      </c>
      <c r="P14" s="2305">
        <v>11</v>
      </c>
      <c r="Q14" s="644">
        <v>0</v>
      </c>
      <c r="R14" s="656">
        <f t="shared" si="4"/>
        <v>0</v>
      </c>
      <c r="S14" s="656">
        <f t="shared" si="5"/>
        <v>0</v>
      </c>
      <c r="T14" s="656">
        <f t="shared" si="6"/>
        <v>0</v>
      </c>
      <c r="U14" s="656">
        <f t="shared" si="7"/>
        <v>0</v>
      </c>
      <c r="V14" s="568"/>
      <c r="W14" s="568"/>
      <c r="X14" s="568"/>
    </row>
    <row r="15" spans="1:24" s="569" customFormat="1" ht="15.75" customHeight="1">
      <c r="A15" s="80">
        <v>12</v>
      </c>
      <c r="B15" s="275" t="s">
        <v>147</v>
      </c>
      <c r="C15" s="1809" t="str">
        <f>OR_VEH!B547</f>
        <v>BUICK / CADILLAC MOYEN VUS VE</v>
      </c>
      <c r="D15" s="2301"/>
      <c r="E15" s="2353" t="s">
        <v>468</v>
      </c>
      <c r="F15" s="2330">
        <f>IF(Flag=TRUE,K15-TBIn!E803,TBIn!D803)</f>
        <v>0</v>
      </c>
      <c r="G15" s="2613">
        <f>IF(Flag=TRUE,L15-TBIn!E735,TBIn!D735)</f>
        <v>0</v>
      </c>
      <c r="H15" s="2613">
        <f>IF(Flag=TRUE,M15-TBIn!E769,TBIn!D769)</f>
        <v>0</v>
      </c>
      <c r="I15" s="2306">
        <f t="shared" si="0"/>
        <v>0</v>
      </c>
      <c r="J15" s="2375">
        <f t="shared" si="1"/>
        <v>0</v>
      </c>
      <c r="K15" s="1867">
        <f>TBIn!E803</f>
        <v>0</v>
      </c>
      <c r="L15" s="2615">
        <f>TBIn!E735</f>
        <v>0</v>
      </c>
      <c r="M15" s="2615">
        <f>TBIn!E769</f>
        <v>0</v>
      </c>
      <c r="N15" s="945">
        <f t="shared" si="2"/>
        <v>0</v>
      </c>
      <c r="O15" s="2336">
        <f t="shared" si="3"/>
        <v>0</v>
      </c>
      <c r="P15" s="2305">
        <v>12</v>
      </c>
      <c r="Q15" s="644">
        <v>0</v>
      </c>
      <c r="R15" s="656">
        <f t="shared" si="4"/>
        <v>0</v>
      </c>
      <c r="S15" s="656">
        <f t="shared" si="5"/>
        <v>0</v>
      </c>
      <c r="T15" s="656">
        <f t="shared" si="6"/>
        <v>0</v>
      </c>
      <c r="U15" s="656">
        <f t="shared" si="7"/>
        <v>0</v>
      </c>
      <c r="V15" s="568"/>
      <c r="W15" s="568"/>
      <c r="X15" s="568"/>
    </row>
    <row r="16" spans="1:24" s="569" customFormat="1" ht="15.75" customHeight="1">
      <c r="A16" s="80">
        <v>13</v>
      </c>
      <c r="B16" s="275" t="s">
        <v>114</v>
      </c>
      <c r="C16" s="1809" t="str">
        <f>OR_VEH!B548</f>
        <v>BUICK / CADILLAC MOYEN VUS MCI</v>
      </c>
      <c r="D16" s="2301"/>
      <c r="E16" s="2353" t="s">
        <v>469</v>
      </c>
      <c r="F16" s="2330">
        <f>IF(Flag=TRUE,K16-TBIn!E804,TBIn!D804)</f>
        <v>0</v>
      </c>
      <c r="G16" s="2613">
        <f>IF(Flag=TRUE,L16-TBIn!E736,TBIn!D736)</f>
        <v>0</v>
      </c>
      <c r="H16" s="2613">
        <f>IF(Flag=TRUE,M16-TBIn!E770,TBIn!D770)</f>
        <v>0</v>
      </c>
      <c r="I16" s="2306">
        <f t="shared" si="0"/>
        <v>0</v>
      </c>
      <c r="J16" s="2375">
        <f t="shared" si="1"/>
        <v>0</v>
      </c>
      <c r="K16" s="1867">
        <f>TBIn!E804</f>
        <v>0</v>
      </c>
      <c r="L16" s="2615">
        <f>TBIn!E736</f>
        <v>0</v>
      </c>
      <c r="M16" s="2615">
        <f>TBIn!E770</f>
        <v>0</v>
      </c>
      <c r="N16" s="945">
        <f t="shared" si="2"/>
        <v>0</v>
      </c>
      <c r="O16" s="2336">
        <f t="shared" si="3"/>
        <v>0</v>
      </c>
      <c r="P16" s="2305">
        <v>13</v>
      </c>
      <c r="Q16" s="644">
        <v>0</v>
      </c>
      <c r="R16" s="656">
        <f t="shared" si="4"/>
        <v>0</v>
      </c>
      <c r="S16" s="656">
        <f t="shared" si="5"/>
        <v>0</v>
      </c>
      <c r="T16" s="656">
        <f t="shared" si="6"/>
        <v>0</v>
      </c>
      <c r="U16" s="656">
        <f t="shared" si="7"/>
        <v>0</v>
      </c>
      <c r="V16" s="568"/>
      <c r="W16" s="568"/>
      <c r="X16" s="568"/>
    </row>
    <row r="17" spans="1:28" s="569" customFormat="1" ht="15.75" customHeight="1">
      <c r="A17" s="80">
        <v>14</v>
      </c>
      <c r="B17" s="101" t="s">
        <v>112</v>
      </c>
      <c r="C17" s="1809" t="str">
        <f>OR_VEH!B549</f>
        <v>BUICK / CADILLAC GRAND VUS VE</v>
      </c>
      <c r="D17" s="2301"/>
      <c r="E17" s="2353" t="s">
        <v>470</v>
      </c>
      <c r="F17" s="2330">
        <f>IF(Flag=TRUE,K17-TBIn!E805,TBIn!D805)</f>
        <v>0</v>
      </c>
      <c r="G17" s="2613">
        <f>IF(Flag=TRUE,L17-TBIn!E737,TBIn!D737)</f>
        <v>0</v>
      </c>
      <c r="H17" s="2613">
        <f>IF(Flag=TRUE,M17-TBIn!E771,TBIn!D771)</f>
        <v>0</v>
      </c>
      <c r="I17" s="2306">
        <f t="shared" si="0"/>
        <v>0</v>
      </c>
      <c r="J17" s="2375">
        <f t="shared" si="1"/>
        <v>0</v>
      </c>
      <c r="K17" s="1867">
        <f>TBIn!E805</f>
        <v>0</v>
      </c>
      <c r="L17" s="2615">
        <f>TBIn!E737</f>
        <v>0</v>
      </c>
      <c r="M17" s="2615">
        <f>TBIn!E771</f>
        <v>0</v>
      </c>
      <c r="N17" s="945">
        <f t="shared" si="2"/>
        <v>0</v>
      </c>
      <c r="O17" s="2336">
        <f t="shared" si="3"/>
        <v>0</v>
      </c>
      <c r="P17" s="2305">
        <v>14</v>
      </c>
      <c r="Q17" s="644">
        <v>0</v>
      </c>
      <c r="R17" s="656">
        <f t="shared" si="4"/>
        <v>0</v>
      </c>
      <c r="S17" s="656">
        <f t="shared" si="5"/>
        <v>0</v>
      </c>
      <c r="T17" s="656">
        <f t="shared" si="6"/>
        <v>0</v>
      </c>
      <c r="U17" s="656">
        <f t="shared" si="7"/>
        <v>0</v>
      </c>
      <c r="V17" s="568"/>
      <c r="W17" s="568"/>
      <c r="X17" s="568"/>
    </row>
    <row r="18" spans="1:28" s="569" customFormat="1" ht="15.75" customHeight="1">
      <c r="A18" s="80">
        <v>15</v>
      </c>
      <c r="B18" s="101" t="s">
        <v>127</v>
      </c>
      <c r="C18" s="1809" t="str">
        <f>OR_VEH!B550</f>
        <v>BUICK / CADILLAC GRAND VUS MCI</v>
      </c>
      <c r="D18" s="2301"/>
      <c r="E18" s="2353" t="s">
        <v>471</v>
      </c>
      <c r="F18" s="2330">
        <f>IF(Flag=TRUE,K18-TBIn!E806,TBIn!D806)</f>
        <v>0</v>
      </c>
      <c r="G18" s="2613">
        <f>IF(Flag=TRUE,L18-TBIn!E738,TBIn!D738)</f>
        <v>0</v>
      </c>
      <c r="H18" s="2613">
        <f>IF(Flag=TRUE,M18-TBIn!E772,TBIn!D772)</f>
        <v>0</v>
      </c>
      <c r="I18" s="2306">
        <f t="shared" si="0"/>
        <v>0</v>
      </c>
      <c r="J18" s="2375">
        <f t="shared" si="1"/>
        <v>0</v>
      </c>
      <c r="K18" s="1867">
        <f>TBIn!E806</f>
        <v>0</v>
      </c>
      <c r="L18" s="2615">
        <f>TBIn!E738</f>
        <v>0</v>
      </c>
      <c r="M18" s="2615">
        <f>TBIn!E772</f>
        <v>0</v>
      </c>
      <c r="N18" s="945">
        <f t="shared" si="2"/>
        <v>0</v>
      </c>
      <c r="O18" s="2336">
        <f t="shared" si="3"/>
        <v>0</v>
      </c>
      <c r="P18" s="2305">
        <v>15</v>
      </c>
      <c r="Q18" s="644">
        <v>0</v>
      </c>
      <c r="R18" s="656">
        <f t="shared" si="4"/>
        <v>0</v>
      </c>
      <c r="S18" s="656">
        <f t="shared" si="5"/>
        <v>0</v>
      </c>
      <c r="T18" s="656">
        <f t="shared" si="6"/>
        <v>0</v>
      </c>
      <c r="U18" s="656">
        <f t="shared" si="7"/>
        <v>0</v>
      </c>
      <c r="V18" s="568"/>
      <c r="W18" s="568"/>
      <c r="X18" s="568"/>
    </row>
    <row r="19" spans="1:28" s="569" customFormat="1" ht="16" customHeight="1">
      <c r="A19" s="80">
        <v>16</v>
      </c>
      <c r="B19" s="101" t="s">
        <v>124</v>
      </c>
      <c r="C19" s="1809" t="str">
        <f>OR_VEH!B551</f>
        <v>CHEVROLET / GMC PETIT VUS VE</v>
      </c>
      <c r="D19" s="2301"/>
      <c r="E19" s="2353" t="s">
        <v>472</v>
      </c>
      <c r="F19" s="2330">
        <f>IF(Flag=TRUE,K19-TBIn!E807,TBIn!D807)</f>
        <v>0</v>
      </c>
      <c r="G19" s="2613">
        <f>IF(Flag=TRUE,L19-TBIn!E739,TBIn!D739)</f>
        <v>0</v>
      </c>
      <c r="H19" s="2613">
        <f>IF(Flag=TRUE,M19-TBIn!E773,TBIn!D773)</f>
        <v>0</v>
      </c>
      <c r="I19" s="2306">
        <f t="shared" si="0"/>
        <v>0</v>
      </c>
      <c r="J19" s="2375">
        <f t="shared" si="1"/>
        <v>0</v>
      </c>
      <c r="K19" s="1867">
        <f>TBIn!E807</f>
        <v>0</v>
      </c>
      <c r="L19" s="2615">
        <f>TBIn!E739</f>
        <v>0</v>
      </c>
      <c r="M19" s="2615">
        <f>TBIn!E773</f>
        <v>0</v>
      </c>
      <c r="N19" s="945">
        <f t="shared" si="2"/>
        <v>0</v>
      </c>
      <c r="O19" s="2336">
        <f t="shared" si="3"/>
        <v>0</v>
      </c>
      <c r="P19" s="2305">
        <v>16</v>
      </c>
      <c r="Q19" s="644">
        <v>0</v>
      </c>
      <c r="R19" s="656">
        <f t="shared" si="4"/>
        <v>0</v>
      </c>
      <c r="S19" s="656">
        <f t="shared" si="5"/>
        <v>0</v>
      </c>
      <c r="T19" s="656">
        <f t="shared" si="6"/>
        <v>0</v>
      </c>
      <c r="U19" s="656">
        <f t="shared" si="7"/>
        <v>0</v>
      </c>
      <c r="V19" s="568"/>
      <c r="W19" s="568"/>
      <c r="X19" s="568"/>
    </row>
    <row r="20" spans="1:28" s="569" customFormat="1" ht="16" customHeight="1">
      <c r="A20" s="80">
        <v>17</v>
      </c>
      <c r="B20" s="101"/>
      <c r="C20" s="1809" t="str">
        <f>OR_VEH!B552</f>
        <v>CHEVROLET / GMC PETIT VUS MCI</v>
      </c>
      <c r="D20" s="2301"/>
      <c r="E20" s="2353" t="s">
        <v>473</v>
      </c>
      <c r="F20" s="2330">
        <f>IF(Flag=TRUE,K20-TBIn!E808,TBIn!D808)</f>
        <v>0</v>
      </c>
      <c r="G20" s="2613">
        <f>IF(Flag=TRUE,L20-TBIn!E740,TBIn!D740)</f>
        <v>0</v>
      </c>
      <c r="H20" s="2613">
        <f>IF(Flag=TRUE,M20-TBIn!E774,TBIn!D774)</f>
        <v>0</v>
      </c>
      <c r="I20" s="2306">
        <f t="shared" si="0"/>
        <v>0</v>
      </c>
      <c r="J20" s="2375">
        <f t="shared" si="1"/>
        <v>0</v>
      </c>
      <c r="K20" s="1867">
        <f>TBIn!E808</f>
        <v>0</v>
      </c>
      <c r="L20" s="2615">
        <f>TBIn!E740</f>
        <v>0</v>
      </c>
      <c r="M20" s="2615">
        <f>TBIn!E774</f>
        <v>0</v>
      </c>
      <c r="N20" s="945">
        <f t="shared" si="2"/>
        <v>0</v>
      </c>
      <c r="O20" s="2336">
        <f t="shared" si="3"/>
        <v>0</v>
      </c>
      <c r="P20" s="2305">
        <v>17</v>
      </c>
      <c r="Q20" s="644">
        <v>0</v>
      </c>
      <c r="R20" s="656">
        <f t="shared" si="4"/>
        <v>0</v>
      </c>
      <c r="S20" s="656">
        <f t="shared" si="5"/>
        <v>0</v>
      </c>
      <c r="T20" s="656">
        <f t="shared" si="6"/>
        <v>0</v>
      </c>
      <c r="U20" s="656">
        <f t="shared" si="7"/>
        <v>0</v>
      </c>
      <c r="V20" s="568"/>
      <c r="W20" s="568"/>
      <c r="X20" s="568"/>
    </row>
    <row r="21" spans="1:28" s="569" customFormat="1" ht="16" customHeight="1">
      <c r="A21" s="80">
        <v>18</v>
      </c>
      <c r="B21" s="215"/>
      <c r="C21" s="1809" t="str">
        <f>OR_VEH!B553</f>
        <v>CHEVROLET / GMC MOYEN VUS VE</v>
      </c>
      <c r="D21" s="2301"/>
      <c r="E21" s="2353" t="s">
        <v>474</v>
      </c>
      <c r="F21" s="2330">
        <f>IF(Flag=TRUE,K21-TBIn!E809,TBIn!D809)</f>
        <v>0</v>
      </c>
      <c r="G21" s="2613">
        <f>IF(Flag=TRUE,L21-TBIn!E741,TBIn!D741)</f>
        <v>0</v>
      </c>
      <c r="H21" s="2613">
        <f>IF(Flag=TRUE,M21-TBIn!E775,TBIn!D775)</f>
        <v>0</v>
      </c>
      <c r="I21" s="2306">
        <f t="shared" si="0"/>
        <v>0</v>
      </c>
      <c r="J21" s="2375">
        <f t="shared" si="1"/>
        <v>0</v>
      </c>
      <c r="K21" s="1867">
        <f>TBIn!E809</f>
        <v>0</v>
      </c>
      <c r="L21" s="2615">
        <f>TBIn!E741</f>
        <v>0</v>
      </c>
      <c r="M21" s="2615">
        <f>TBIn!E775</f>
        <v>0</v>
      </c>
      <c r="N21" s="945">
        <f t="shared" si="2"/>
        <v>0</v>
      </c>
      <c r="O21" s="2336">
        <f t="shared" si="3"/>
        <v>0</v>
      </c>
      <c r="P21" s="2305">
        <v>18</v>
      </c>
      <c r="Q21" s="644">
        <v>0</v>
      </c>
      <c r="R21" s="656">
        <f t="shared" si="4"/>
        <v>0</v>
      </c>
      <c r="S21" s="656">
        <f t="shared" si="5"/>
        <v>0</v>
      </c>
      <c r="T21" s="656">
        <f t="shared" si="6"/>
        <v>0</v>
      </c>
      <c r="U21" s="656">
        <f t="shared" si="7"/>
        <v>0</v>
      </c>
      <c r="V21" s="568"/>
      <c r="W21" s="568"/>
      <c r="X21" s="568"/>
    </row>
    <row r="22" spans="1:28" s="569" customFormat="1" ht="16" customHeight="1">
      <c r="A22" s="80">
        <v>19</v>
      </c>
      <c r="B22" s="200"/>
      <c r="C22" s="1809" t="str">
        <f>OR_VEH!B554</f>
        <v>CHEVROLET / GMC MOYEN VUS MCI</v>
      </c>
      <c r="D22" s="2309"/>
      <c r="E22" s="2353" t="s">
        <v>475</v>
      </c>
      <c r="F22" s="2330">
        <f>IF(Flag=TRUE,K22-TBIn!E810,TBIn!D810)</f>
        <v>10</v>
      </c>
      <c r="G22" s="2613">
        <f>IF(Flag=TRUE,L22-TBIn!E742,TBIn!D742)</f>
        <v>619285</v>
      </c>
      <c r="H22" s="2613">
        <f>IF(Flag=TRUE,M22-TBIn!E776,TBIn!D776)</f>
        <v>611136</v>
      </c>
      <c r="I22" s="2306">
        <f t="shared" si="0"/>
        <v>8149</v>
      </c>
      <c r="J22" s="2375">
        <f t="shared" si="1"/>
        <v>814.9</v>
      </c>
      <c r="K22" s="1867">
        <f>TBIn!E810</f>
        <v>34</v>
      </c>
      <c r="L22" s="2615">
        <f>TBIn!E742</f>
        <v>2326463</v>
      </c>
      <c r="M22" s="2615">
        <f>TBIn!E776</f>
        <v>2310310</v>
      </c>
      <c r="N22" s="945">
        <f t="shared" si="2"/>
        <v>16153</v>
      </c>
      <c r="O22" s="2336">
        <f t="shared" si="3"/>
        <v>475.08823529411762</v>
      </c>
      <c r="P22" s="2305">
        <v>19</v>
      </c>
      <c r="Q22" s="644">
        <v>0</v>
      </c>
      <c r="R22" s="656">
        <f t="shared" si="4"/>
        <v>1</v>
      </c>
      <c r="S22" s="656">
        <f t="shared" si="5"/>
        <v>1</v>
      </c>
      <c r="T22" s="656">
        <f t="shared" si="6"/>
        <v>0</v>
      </c>
      <c r="U22" s="656">
        <f t="shared" si="7"/>
        <v>0</v>
      </c>
      <c r="V22" s="568"/>
      <c r="W22" s="568"/>
      <c r="X22" s="568"/>
    </row>
    <row r="23" spans="1:28" s="569" customFormat="1" ht="16" customHeight="1">
      <c r="A23" s="80">
        <v>20</v>
      </c>
      <c r="B23" s="215"/>
      <c r="C23" s="1809" t="str">
        <f>OR_VEH!B555</f>
        <v>CHEVROLET / GMC / HUMMER GRAND VUS VE</v>
      </c>
      <c r="D23" s="2309"/>
      <c r="E23" s="2353" t="s">
        <v>476</v>
      </c>
      <c r="F23" s="2330">
        <f>IF(Flag=TRUE,K23-TBIn!E811,TBIn!D811)</f>
        <v>0</v>
      </c>
      <c r="G23" s="2613">
        <f>IF(Flag=TRUE,L23-TBIn!E743,TBIn!D743)</f>
        <v>0</v>
      </c>
      <c r="H23" s="2613">
        <f>IF(Flag=TRUE,M23-TBIn!E777,TBIn!D777)</f>
        <v>0</v>
      </c>
      <c r="I23" s="2306">
        <f t="shared" si="0"/>
        <v>0</v>
      </c>
      <c r="J23" s="2375">
        <f t="shared" si="1"/>
        <v>0</v>
      </c>
      <c r="K23" s="1867">
        <f>TBIn!E811</f>
        <v>0</v>
      </c>
      <c r="L23" s="2615">
        <f>TBIn!E743</f>
        <v>0</v>
      </c>
      <c r="M23" s="2615">
        <f>TBIn!E777</f>
        <v>0</v>
      </c>
      <c r="N23" s="945">
        <f t="shared" si="2"/>
        <v>0</v>
      </c>
      <c r="O23" s="2336">
        <f t="shared" si="3"/>
        <v>0</v>
      </c>
      <c r="P23" s="2305">
        <v>20</v>
      </c>
      <c r="Q23" s="644"/>
      <c r="R23" s="656"/>
      <c r="S23" s="656"/>
      <c r="T23" s="656"/>
      <c r="U23" s="656"/>
      <c r="V23" s="568"/>
      <c r="W23" s="568"/>
      <c r="X23" s="568"/>
    </row>
    <row r="24" spans="1:28" s="569" customFormat="1" ht="16" customHeight="1">
      <c r="A24" s="80">
        <v>21</v>
      </c>
      <c r="B24" s="215"/>
      <c r="C24" s="1809" t="str">
        <f>OR_VEH!B556</f>
        <v>CHEVROLET / GMC GRAND VUS MCI</v>
      </c>
      <c r="D24" s="2309"/>
      <c r="E24" s="2353" t="s">
        <v>477</v>
      </c>
      <c r="F24" s="2330">
        <f>IF(Flag=TRUE,K24-TBIn!E812,TBIn!D812)</f>
        <v>0</v>
      </c>
      <c r="G24" s="2613">
        <f>IF(Flag=TRUE,L24-TBIn!E744,TBIn!D744)</f>
        <v>0</v>
      </c>
      <c r="H24" s="2613">
        <f>IF(Flag=TRUE,M24-TBIn!E778,TBIn!D778)</f>
        <v>0</v>
      </c>
      <c r="I24" s="2306">
        <f t="shared" si="0"/>
        <v>0</v>
      </c>
      <c r="J24" s="2375">
        <f t="shared" si="1"/>
        <v>0</v>
      </c>
      <c r="K24" s="1867">
        <f>TBIn!E812</f>
        <v>0</v>
      </c>
      <c r="L24" s="2615">
        <f>TBIn!E744</f>
        <v>0</v>
      </c>
      <c r="M24" s="2615">
        <f>TBIn!E778</f>
        <v>0</v>
      </c>
      <c r="N24" s="945">
        <f t="shared" si="2"/>
        <v>0</v>
      </c>
      <c r="O24" s="2336">
        <f t="shared" si="3"/>
        <v>0</v>
      </c>
      <c r="P24" s="2305">
        <v>21</v>
      </c>
      <c r="Q24" s="644">
        <v>65000</v>
      </c>
      <c r="R24" s="656">
        <f t="shared" si="4"/>
        <v>0</v>
      </c>
      <c r="S24" s="656">
        <f>IF(K24=0,0,IF(OR(L24&lt;0,L24/K24&gt;Q24),1,0))</f>
        <v>0</v>
      </c>
      <c r="T24" s="656">
        <f>IF(OR(F24&lt;0,AND(G24&gt;0,F24=0),AND(G24=0,F24&gt;0)),1,0)</f>
        <v>0</v>
      </c>
      <c r="U24" s="656">
        <f>IF(OR(K24&lt;0,AND(L24&gt;0,K24=0),AND(K24&gt;0,L24=0)),1,0)</f>
        <v>0</v>
      </c>
      <c r="V24" s="568"/>
      <c r="W24" s="568"/>
      <c r="X24" s="568"/>
    </row>
    <row r="25" spans="1:28" s="569" customFormat="1" ht="16" customHeight="1">
      <c r="A25" s="80">
        <v>22</v>
      </c>
      <c r="B25" s="2314"/>
      <c r="C25" s="1809" t="str">
        <f>OR_VEH!B557</f>
        <v>SILVERADO/SIERRA POIDS LOURD MCI (2500/3500)</v>
      </c>
      <c r="D25" s="2309"/>
      <c r="E25" s="2353" t="s">
        <v>478</v>
      </c>
      <c r="F25" s="2330">
        <f>IF(Flag=TRUE,K25-TBIn!E813,TBIn!D813)</f>
        <v>0</v>
      </c>
      <c r="G25" s="2613">
        <f>IF(Flag=TRUE,L25-TBIn!E745,TBIn!D745)</f>
        <v>0</v>
      </c>
      <c r="H25" s="2613">
        <f>IF(Flag=TRUE,M25-TBIn!E779,TBIn!D779)</f>
        <v>0</v>
      </c>
      <c r="I25" s="2306">
        <f t="shared" si="0"/>
        <v>0</v>
      </c>
      <c r="J25" s="2375">
        <f t="shared" si="1"/>
        <v>0</v>
      </c>
      <c r="K25" s="1867">
        <f>TBIn!E813</f>
        <v>0</v>
      </c>
      <c r="L25" s="2615">
        <f>TBIn!E745</f>
        <v>0</v>
      </c>
      <c r="M25" s="2615">
        <f>TBIn!E779</f>
        <v>0</v>
      </c>
      <c r="N25" s="945">
        <f t="shared" si="2"/>
        <v>0</v>
      </c>
      <c r="O25" s="2336">
        <f t="shared" si="3"/>
        <v>0</v>
      </c>
      <c r="P25" s="2305">
        <v>22</v>
      </c>
      <c r="Q25" s="656"/>
      <c r="R25" s="656"/>
      <c r="S25" s="656"/>
      <c r="T25" s="656"/>
      <c r="U25" s="656"/>
      <c r="V25" s="2256">
        <f>Page5_CHV_MCI!F25+Page5_CHV_VE!F25+Page5_BUI_VE!F25+Page5_BUI_MCI!F25+Page5_CAD_MCI!F25+Page5_GMC_MCI!F25+Page5_GMC_VE!F25+Page5_CAD_VE!F25+Page5j_SANS_OBJECT!F25</f>
        <v>0</v>
      </c>
      <c r="W25" s="2256">
        <f>Page5_CHV_MCI!G25+Page5_CHV_VE!G25+Page5_BUI_VE!G25+Page5_BUI_MCI!G25+Page5_CAD_MCI!G25+Page5_GMC_MCI!G25+Page5_GMC_VE!G25+Page5_CAD_VE!G25+Page5j_SANS_OBJECT!G25</f>
        <v>0</v>
      </c>
      <c r="X25" s="2256">
        <f>Page5_CHV_MCI!I25+Page5_CHV_VE!I25+Page5_BUI_VE!I25+Page5_BUI_MCI!I25+Page5_CAD_MCI!I25+Page5_GMC_MCI!I25+Page5_GMC_VE!I25+Page5_CAD_VE!I25+Page5j_SANS_OBJECT!I25</f>
        <v>0</v>
      </c>
      <c r="Z25" s="660">
        <f>Page5_CHV_MCI!K25+Page5_CHV_VE!K25+Page5_BUI_VE!K25+Page5_BUI_MCI!K25+Page5_CAD_MCI!K25+Page5_GMC_MCI!K25+Page5_GMC_VE!K25+Page5_CAD_VE!K25+Page5j_SANS_OBJECT!K25</f>
        <v>0</v>
      </c>
      <c r="AA25" s="660">
        <f>Page5_CHV_MCI!L25+Page5_CHV_VE!L25+Page5_BUI_VE!L25+Page5_BUI_MCI!L25+Page5_CAD_MCI!L25+Page5_GMC_MCI!L25+Page5_GMC_VE!L25+Page5_CAD_VE!L25+Page5j_SANS_OBJECT!L25</f>
        <v>0</v>
      </c>
      <c r="AB25" s="660">
        <f>Page5_CHV_MCI!N25+Page5_CHV_VE!N25+Page5_BUI_VE!N25+Page5_BUI_MCI!N25+Page5_CAD_MCI!N25+Page5_GMC_MCI!N25+Page5_GMC_VE!N25+Page5_CAD_VE!N25+Page5j_SANS_OBJECT!N25</f>
        <v>0</v>
      </c>
    </row>
    <row r="26" spans="1:28" s="569" customFormat="1" ht="16" customHeight="1">
      <c r="A26" s="80">
        <v>23</v>
      </c>
      <c r="B26" s="215"/>
      <c r="C26" s="1809" t="str">
        <f>OR_VEH!B558</f>
        <v>NE PAS UTILISER</v>
      </c>
      <c r="D26" s="2309"/>
      <c r="E26" s="2353" t="s">
        <v>479</v>
      </c>
      <c r="F26" s="2330">
        <f>IF(Flag=TRUE,K26-TBIn!E814,TBIn!D814)</f>
        <v>0</v>
      </c>
      <c r="G26" s="2613">
        <f>IF(Flag=TRUE,L26-TBIn!E746,TBIn!D746)</f>
        <v>0</v>
      </c>
      <c r="H26" s="2613">
        <f>IF(Flag=TRUE,M26-TBIn!E780,TBIn!D780)</f>
        <v>0</v>
      </c>
      <c r="I26" s="2306">
        <f t="shared" si="0"/>
        <v>0</v>
      </c>
      <c r="J26" s="2375">
        <f t="shared" si="1"/>
        <v>0</v>
      </c>
      <c r="K26" s="1867">
        <f>TBIn!E814</f>
        <v>0</v>
      </c>
      <c r="L26" s="2615">
        <f>TBIn!E746</f>
        <v>0</v>
      </c>
      <c r="M26" s="2615">
        <f>TBIn!E780</f>
        <v>0</v>
      </c>
      <c r="N26" s="945">
        <f t="shared" si="2"/>
        <v>0</v>
      </c>
      <c r="O26" s="2336">
        <f t="shared" si="3"/>
        <v>0</v>
      </c>
      <c r="P26" s="2305">
        <v>23</v>
      </c>
      <c r="Q26" s="644">
        <v>40000</v>
      </c>
      <c r="R26" s="656">
        <f t="shared" si="4"/>
        <v>0</v>
      </c>
      <c r="S26" s="656">
        <f>IF(K26=0,0,IF(OR(L26&lt;0,L26/K26&gt;Q26),1,0))</f>
        <v>0</v>
      </c>
      <c r="T26" s="656">
        <f t="shared" ref="T26:T37" si="10">IF(OR(F26&lt;0,AND(G26&gt;0,F26=0),AND(G26=0,F26&gt;0)),1,0)</f>
        <v>0</v>
      </c>
      <c r="U26" s="656">
        <f t="shared" ref="U26:U37" si="11">IF(OR(K26&lt;0,AND(L26&gt;0,K26=0),AND(K26&gt;0,L26=0)),1,0)</f>
        <v>0</v>
      </c>
      <c r="V26" s="568"/>
      <c r="W26" s="568"/>
      <c r="X26" s="568"/>
    </row>
    <row r="27" spans="1:28" s="569" customFormat="1" ht="16" customHeight="1">
      <c r="A27" s="80">
        <v>24</v>
      </c>
      <c r="B27" s="275"/>
      <c r="C27" s="1809" t="str">
        <f>OR_VEH!B559</f>
        <v>SILVERADO/SIERRA POIDS LÉGER MCI (1500)</v>
      </c>
      <c r="D27" s="2301"/>
      <c r="E27" s="2353" t="s">
        <v>480</v>
      </c>
      <c r="F27" s="2330">
        <f>IF(Flag=TRUE,K27-TBIn!E815,TBIn!D815)</f>
        <v>0</v>
      </c>
      <c r="G27" s="2613">
        <f>IF(Flag=TRUE,L27-TBIn!E747,TBIn!D747)</f>
        <v>0</v>
      </c>
      <c r="H27" s="2613">
        <f>IF(Flag=TRUE,M27-TBIn!E781,TBIn!D781)</f>
        <v>0</v>
      </c>
      <c r="I27" s="2306">
        <f t="shared" si="0"/>
        <v>0</v>
      </c>
      <c r="J27" s="2375">
        <f t="shared" si="1"/>
        <v>0</v>
      </c>
      <c r="K27" s="1867">
        <f>TBIn!E815</f>
        <v>0</v>
      </c>
      <c r="L27" s="2615">
        <f>TBIn!E747</f>
        <v>0</v>
      </c>
      <c r="M27" s="2615">
        <f>TBIn!E781</f>
        <v>0</v>
      </c>
      <c r="N27" s="945">
        <f t="shared" si="2"/>
        <v>0</v>
      </c>
      <c r="O27" s="2336">
        <f t="shared" si="3"/>
        <v>0</v>
      </c>
      <c r="P27" s="2305">
        <v>24</v>
      </c>
      <c r="Q27" s="644">
        <v>40000</v>
      </c>
      <c r="R27" s="656">
        <f t="shared" si="4"/>
        <v>0</v>
      </c>
      <c r="S27" s="656">
        <f t="shared" ref="S27:S37" si="12">IF(K27=0,0,IF(OR(L27&lt;0,L27/K27&gt;Q27),1,0))</f>
        <v>0</v>
      </c>
      <c r="T27" s="656">
        <f t="shared" si="10"/>
        <v>0</v>
      </c>
      <c r="U27" s="656">
        <f t="shared" si="11"/>
        <v>0</v>
      </c>
      <c r="V27" s="568"/>
      <c r="W27" s="568"/>
      <c r="X27" s="568"/>
    </row>
    <row r="28" spans="1:28" s="569" customFormat="1" ht="16" customHeight="1">
      <c r="A28" s="80">
        <v>25</v>
      </c>
      <c r="B28" s="275"/>
      <c r="C28" s="1809" t="str">
        <f>OR_VEH!B560</f>
        <v>SILVERADO/SIERRA/HUMMER POIDS LOURD VE</v>
      </c>
      <c r="D28" s="2301"/>
      <c r="E28" s="2353" t="s">
        <v>481</v>
      </c>
      <c r="F28" s="2330">
        <f>IF(Flag=TRUE,K28-TBIn!E816,TBIn!D816)</f>
        <v>0</v>
      </c>
      <c r="G28" s="2613">
        <f>IF(Flag=TRUE,L28-TBIn!E748,TBIn!D748)</f>
        <v>0</v>
      </c>
      <c r="H28" s="2613">
        <f>IF(Flag=TRUE,M28-TBIn!E782,TBIn!D782)</f>
        <v>0</v>
      </c>
      <c r="I28" s="2306">
        <f t="shared" si="0"/>
        <v>0</v>
      </c>
      <c r="J28" s="2375">
        <f t="shared" si="1"/>
        <v>0</v>
      </c>
      <c r="K28" s="1867">
        <f>TBIn!E816</f>
        <v>0</v>
      </c>
      <c r="L28" s="2615">
        <f>TBIn!E748</f>
        <v>0</v>
      </c>
      <c r="M28" s="2615">
        <f>TBIn!E782</f>
        <v>0</v>
      </c>
      <c r="N28" s="945">
        <f t="shared" si="2"/>
        <v>0</v>
      </c>
      <c r="O28" s="2336">
        <f t="shared" si="3"/>
        <v>0</v>
      </c>
      <c r="P28" s="2305">
        <v>25</v>
      </c>
      <c r="Q28" s="644">
        <v>40000</v>
      </c>
      <c r="R28" s="656">
        <f t="shared" si="4"/>
        <v>0</v>
      </c>
      <c r="S28" s="656">
        <f t="shared" si="12"/>
        <v>0</v>
      </c>
      <c r="T28" s="656">
        <f t="shared" si="10"/>
        <v>0</v>
      </c>
      <c r="U28" s="656">
        <f t="shared" si="11"/>
        <v>0</v>
      </c>
      <c r="V28" s="568"/>
      <c r="W28" s="568"/>
      <c r="X28" s="568"/>
    </row>
    <row r="29" spans="1:28" s="569" customFormat="1" ht="16" customHeight="1">
      <c r="A29" s="80">
        <v>26</v>
      </c>
      <c r="B29" s="275"/>
      <c r="C29" s="1809" t="str">
        <f>OR_VEH!B561</f>
        <v>COLORADO/CANYON MCI</v>
      </c>
      <c r="D29" s="2301"/>
      <c r="E29" s="2353" t="s">
        <v>482</v>
      </c>
      <c r="F29" s="2330">
        <f>IF(Flag=TRUE,K29-TBIn!E817,TBIn!D817)</f>
        <v>0</v>
      </c>
      <c r="G29" s="2613">
        <f>IF(Flag=TRUE,L29-TBIn!E749,TBIn!D749)</f>
        <v>0</v>
      </c>
      <c r="H29" s="2613">
        <f>IF(Flag=TRUE,M29-TBIn!E783,TBIn!D783)</f>
        <v>0</v>
      </c>
      <c r="I29" s="2306">
        <f t="shared" si="0"/>
        <v>0</v>
      </c>
      <c r="J29" s="2375">
        <f t="shared" si="1"/>
        <v>0</v>
      </c>
      <c r="K29" s="1867">
        <f>TBIn!E817</f>
        <v>0</v>
      </c>
      <c r="L29" s="2615">
        <f>TBIn!E749</f>
        <v>0</v>
      </c>
      <c r="M29" s="2615">
        <f>TBIn!E783</f>
        <v>0</v>
      </c>
      <c r="N29" s="945">
        <f t="shared" si="2"/>
        <v>0</v>
      </c>
      <c r="O29" s="2336">
        <f t="shared" si="3"/>
        <v>0</v>
      </c>
      <c r="P29" s="2305">
        <v>26</v>
      </c>
      <c r="Q29" s="644">
        <v>40000</v>
      </c>
      <c r="R29" s="656">
        <f t="shared" si="4"/>
        <v>0</v>
      </c>
      <c r="S29" s="656">
        <f t="shared" si="12"/>
        <v>0</v>
      </c>
      <c r="T29" s="656">
        <f t="shared" si="10"/>
        <v>0</v>
      </c>
      <c r="U29" s="656">
        <f t="shared" si="11"/>
        <v>0</v>
      </c>
      <c r="V29" s="568"/>
      <c r="W29" s="568"/>
      <c r="X29" s="568"/>
    </row>
    <row r="30" spans="1:28" s="569" customFormat="1" ht="16" customHeight="1">
      <c r="A30" s="80">
        <v>27</v>
      </c>
      <c r="B30" s="275"/>
      <c r="C30" s="1809" t="str">
        <f>OR_VEH!B562</f>
        <v>NE PAS UTILISER</v>
      </c>
      <c r="D30" s="2301"/>
      <c r="E30" s="2353" t="s">
        <v>483</v>
      </c>
      <c r="F30" s="2330">
        <f>IF(Flag=TRUE,K30-TBIn!E818,TBIn!D818)</f>
        <v>0</v>
      </c>
      <c r="G30" s="2613">
        <f>IF(Flag=TRUE,L30-TBIn!E750,TBIn!D750)</f>
        <v>0</v>
      </c>
      <c r="H30" s="2613">
        <f>IF(Flag=TRUE,M30-TBIn!E784,TBIn!D784)</f>
        <v>0</v>
      </c>
      <c r="I30" s="2306">
        <f t="shared" si="0"/>
        <v>0</v>
      </c>
      <c r="J30" s="2375">
        <f t="shared" si="1"/>
        <v>0</v>
      </c>
      <c r="K30" s="1867">
        <f>TBIn!E818</f>
        <v>0</v>
      </c>
      <c r="L30" s="2615">
        <f>TBIn!E750</f>
        <v>0</v>
      </c>
      <c r="M30" s="2615">
        <f>TBIn!E784</f>
        <v>0</v>
      </c>
      <c r="N30" s="945">
        <f t="shared" si="2"/>
        <v>0</v>
      </c>
      <c r="O30" s="2336">
        <f t="shared" si="3"/>
        <v>0</v>
      </c>
      <c r="P30" s="2305">
        <v>27</v>
      </c>
      <c r="Q30" s="644">
        <v>40000</v>
      </c>
      <c r="R30" s="656">
        <f t="shared" si="4"/>
        <v>0</v>
      </c>
      <c r="S30" s="656">
        <f t="shared" si="12"/>
        <v>0</v>
      </c>
      <c r="T30" s="656">
        <f t="shared" si="10"/>
        <v>0</v>
      </c>
      <c r="U30" s="656">
        <f t="shared" si="11"/>
        <v>0</v>
      </c>
      <c r="V30" s="568"/>
      <c r="W30" s="568"/>
      <c r="X30" s="568"/>
    </row>
    <row r="31" spans="1:28" s="569" customFormat="1" ht="16" customHeight="1">
      <c r="A31" s="80">
        <v>28</v>
      </c>
      <c r="B31" s="275"/>
      <c r="C31" s="1809" t="str">
        <f>OR_VEH!B563</f>
        <v>SILVERADO CHASSIS (4500+)</v>
      </c>
      <c r="D31" s="2301"/>
      <c r="E31" s="2353" t="s">
        <v>484</v>
      </c>
      <c r="F31" s="2330">
        <f>IF(Flag=TRUE,K31-TBIn!E819,TBIn!D819)</f>
        <v>0</v>
      </c>
      <c r="G31" s="2613">
        <f>IF(Flag=TRUE,L31-TBIn!E751,TBIn!D751)</f>
        <v>0</v>
      </c>
      <c r="H31" s="2613">
        <f>IF(Flag=TRUE,M31-TBIn!E785,TBIn!D785)</f>
        <v>0</v>
      </c>
      <c r="I31" s="2306">
        <f t="shared" si="0"/>
        <v>0</v>
      </c>
      <c r="J31" s="2375">
        <f t="shared" si="1"/>
        <v>0</v>
      </c>
      <c r="K31" s="1867">
        <f>TBIn!E819</f>
        <v>0</v>
      </c>
      <c r="L31" s="2615">
        <f>TBIn!E751</f>
        <v>0</v>
      </c>
      <c r="M31" s="2615">
        <f>TBIn!E785</f>
        <v>0</v>
      </c>
      <c r="N31" s="945">
        <f t="shared" si="2"/>
        <v>0</v>
      </c>
      <c r="O31" s="2336">
        <f t="shared" si="3"/>
        <v>0</v>
      </c>
      <c r="P31" s="2305">
        <v>28</v>
      </c>
      <c r="Q31" s="644">
        <v>55000</v>
      </c>
      <c r="R31" s="656">
        <f t="shared" si="4"/>
        <v>0</v>
      </c>
      <c r="S31" s="656">
        <f t="shared" si="12"/>
        <v>0</v>
      </c>
      <c r="T31" s="656">
        <f t="shared" si="10"/>
        <v>0</v>
      </c>
      <c r="U31" s="656">
        <f t="shared" si="11"/>
        <v>0</v>
      </c>
      <c r="V31" s="568"/>
      <c r="W31" s="568"/>
      <c r="X31" s="568"/>
    </row>
    <row r="32" spans="1:28" s="569" customFormat="1" ht="16" customHeight="1">
      <c r="A32" s="80">
        <v>29</v>
      </c>
      <c r="B32" s="275"/>
      <c r="C32" s="1809" t="str">
        <f>OR_VEH!B564</f>
        <v>CHEVROLET/GMC LCF/CONV</v>
      </c>
      <c r="D32" s="2301"/>
      <c r="E32" s="2353" t="s">
        <v>485</v>
      </c>
      <c r="F32" s="2330">
        <f>IF(Flag=TRUE,K32-TBIn!E820,TBIn!D820)</f>
        <v>0</v>
      </c>
      <c r="G32" s="2613">
        <f>IF(Flag=TRUE,L32-TBIn!E752,TBIn!D752)</f>
        <v>0</v>
      </c>
      <c r="H32" s="2613">
        <f>IF(Flag=TRUE,M32-TBIn!E786,TBIn!D786)</f>
        <v>0</v>
      </c>
      <c r="I32" s="2306">
        <f t="shared" si="0"/>
        <v>0</v>
      </c>
      <c r="J32" s="2375">
        <f t="shared" si="1"/>
        <v>0</v>
      </c>
      <c r="K32" s="1867">
        <f>TBIn!E820</f>
        <v>0</v>
      </c>
      <c r="L32" s="2615">
        <f>TBIn!E752</f>
        <v>0</v>
      </c>
      <c r="M32" s="2615">
        <f>TBIn!E786</f>
        <v>0</v>
      </c>
      <c r="N32" s="945">
        <f t="shared" si="2"/>
        <v>0</v>
      </c>
      <c r="O32" s="2336">
        <f t="shared" si="3"/>
        <v>0</v>
      </c>
      <c r="P32" s="2305">
        <v>29</v>
      </c>
      <c r="Q32" s="644">
        <v>40000</v>
      </c>
      <c r="R32" s="656">
        <f t="shared" si="4"/>
        <v>0</v>
      </c>
      <c r="S32" s="656">
        <f t="shared" si="12"/>
        <v>0</v>
      </c>
      <c r="T32" s="656">
        <f t="shared" si="10"/>
        <v>0</v>
      </c>
      <c r="U32" s="656">
        <f t="shared" si="11"/>
        <v>0</v>
      </c>
      <c r="V32" s="568"/>
      <c r="W32" s="568"/>
      <c r="X32" s="568"/>
    </row>
    <row r="33" spans="1:24" s="569" customFormat="1" ht="16" customHeight="1">
      <c r="A33" s="80">
        <v>30</v>
      </c>
      <c r="B33" s="275"/>
      <c r="C33" s="1809" t="str">
        <f>OR_VEH!B565</f>
        <v>EXPRESS/SAVANA MCI</v>
      </c>
      <c r="D33" s="2301"/>
      <c r="E33" s="2353" t="s">
        <v>486</v>
      </c>
      <c r="F33" s="2330">
        <f>IF(Flag=TRUE,K33-TBIn!E821,TBIn!D821)</f>
        <v>0</v>
      </c>
      <c r="G33" s="2613">
        <f>IF(Flag=TRUE,L33-TBIn!E753,TBIn!D753)</f>
        <v>0</v>
      </c>
      <c r="H33" s="2613">
        <f>IF(Flag=TRUE,M33-TBIn!E787,TBIn!D787)</f>
        <v>0</v>
      </c>
      <c r="I33" s="2306">
        <f t="shared" si="0"/>
        <v>0</v>
      </c>
      <c r="J33" s="2375">
        <f t="shared" si="1"/>
        <v>0</v>
      </c>
      <c r="K33" s="1867">
        <f>TBIn!E821</f>
        <v>0</v>
      </c>
      <c r="L33" s="2615">
        <f>TBIn!E753</f>
        <v>0</v>
      </c>
      <c r="M33" s="2615">
        <f>TBIn!E787</f>
        <v>0</v>
      </c>
      <c r="N33" s="945">
        <f t="shared" si="2"/>
        <v>0</v>
      </c>
      <c r="O33" s="2336">
        <f t="shared" si="3"/>
        <v>0</v>
      </c>
      <c r="P33" s="2305">
        <v>30</v>
      </c>
      <c r="Q33" s="644">
        <v>40000</v>
      </c>
      <c r="R33" s="656">
        <f t="shared" si="4"/>
        <v>0</v>
      </c>
      <c r="S33" s="656">
        <f t="shared" si="12"/>
        <v>0</v>
      </c>
      <c r="T33" s="656">
        <f t="shared" si="10"/>
        <v>0</v>
      </c>
      <c r="U33" s="656">
        <f t="shared" si="11"/>
        <v>0</v>
      </c>
      <c r="V33" s="568"/>
      <c r="W33" s="568"/>
      <c r="X33" s="568"/>
    </row>
    <row r="34" spans="1:24" s="569" customFormat="1" ht="16" customHeight="1">
      <c r="A34" s="80">
        <v>31</v>
      </c>
      <c r="B34" s="275"/>
      <c r="C34" s="1809" t="str">
        <f>OR_VEH!B566</f>
        <v>BRIGHTDROP</v>
      </c>
      <c r="D34" s="2301"/>
      <c r="E34" s="2353" t="s">
        <v>487</v>
      </c>
      <c r="F34" s="2330">
        <f>IF(Flag=TRUE,K34-TBIn!E822,TBIn!D822)</f>
        <v>0</v>
      </c>
      <c r="G34" s="2613">
        <f>IF(Flag=TRUE,L34-TBIn!E754,TBIn!D754)</f>
        <v>0</v>
      </c>
      <c r="H34" s="2613">
        <f>IF(Flag=TRUE,M34-TBIn!E788,TBIn!D788)</f>
        <v>0</v>
      </c>
      <c r="I34" s="2306">
        <f t="shared" si="0"/>
        <v>0</v>
      </c>
      <c r="J34" s="2375">
        <f t="shared" si="1"/>
        <v>0</v>
      </c>
      <c r="K34" s="1867">
        <f>TBIn!E822</f>
        <v>0</v>
      </c>
      <c r="L34" s="2615">
        <f>TBIn!E754</f>
        <v>0</v>
      </c>
      <c r="M34" s="2615">
        <f>TBIn!E788</f>
        <v>0</v>
      </c>
      <c r="N34" s="945">
        <f t="shared" si="2"/>
        <v>0</v>
      </c>
      <c r="O34" s="2336">
        <f t="shared" si="3"/>
        <v>0</v>
      </c>
      <c r="P34" s="2305">
        <v>31</v>
      </c>
      <c r="Q34" s="644">
        <v>40000</v>
      </c>
      <c r="R34" s="656">
        <f t="shared" si="4"/>
        <v>0</v>
      </c>
      <c r="S34" s="656">
        <f t="shared" si="12"/>
        <v>0</v>
      </c>
      <c r="T34" s="656">
        <f t="shared" si="10"/>
        <v>0</v>
      </c>
      <c r="U34" s="656">
        <f t="shared" si="11"/>
        <v>0</v>
      </c>
      <c r="V34" s="568"/>
      <c r="W34" s="568"/>
      <c r="X34" s="568"/>
    </row>
    <row r="35" spans="1:24" s="569" customFormat="1" ht="16" customHeight="1">
      <c r="A35" s="80">
        <v>32</v>
      </c>
      <c r="B35" s="187"/>
      <c r="C35" s="2360" t="str">
        <f>OR_VEH!B567</f>
        <v>NE PAS UTILISER</v>
      </c>
      <c r="D35" s="2398"/>
      <c r="E35" s="2354" t="s">
        <v>488</v>
      </c>
      <c r="F35" s="2332">
        <f>IF(Flag=TRUE,K35-TBIn!E823,TBIn!D823)</f>
        <v>0</v>
      </c>
      <c r="G35" s="2618">
        <f>IF(Flag=TRUE,L35-TBIn!E755,TBIn!D755)</f>
        <v>0</v>
      </c>
      <c r="H35" s="2618">
        <f>IF(Flag=TRUE,M35-TBIn!E789,TBIn!D789)</f>
        <v>0</v>
      </c>
      <c r="I35" s="2333">
        <f t="shared" si="0"/>
        <v>0</v>
      </c>
      <c r="J35" s="2376">
        <f>IF(F35&gt;0,I35/F35,0)</f>
        <v>0</v>
      </c>
      <c r="K35" s="2337">
        <f>TBIn!E823</f>
        <v>0</v>
      </c>
      <c r="L35" s="2619">
        <f>TBIn!E755</f>
        <v>0</v>
      </c>
      <c r="M35" s="2619">
        <f>TBIn!E789</f>
        <v>0</v>
      </c>
      <c r="N35" s="2338">
        <f t="shared" si="2"/>
        <v>0</v>
      </c>
      <c r="O35" s="2339">
        <f t="shared" si="3"/>
        <v>0</v>
      </c>
      <c r="P35" s="2305">
        <v>32</v>
      </c>
      <c r="Q35" s="644">
        <v>40000</v>
      </c>
      <c r="R35" s="656">
        <f t="shared" si="4"/>
        <v>0</v>
      </c>
      <c r="S35" s="656">
        <f t="shared" si="12"/>
        <v>0</v>
      </c>
      <c r="T35" s="656">
        <f t="shared" si="10"/>
        <v>0</v>
      </c>
      <c r="U35" s="656">
        <f t="shared" si="11"/>
        <v>0</v>
      </c>
      <c r="V35" s="568"/>
      <c r="W35" s="568"/>
      <c r="X35" s="568"/>
    </row>
    <row r="36" spans="1:24" s="569" customFormat="1" ht="16" customHeight="1">
      <c r="A36" s="80">
        <v>33</v>
      </c>
      <c r="B36" s="187"/>
      <c r="C36" s="263" t="s">
        <v>489</v>
      </c>
      <c r="D36" s="2399"/>
      <c r="E36" s="2400"/>
      <c r="F36" s="2418">
        <f>SUM(F13:F35)</f>
        <v>10</v>
      </c>
      <c r="G36" s="2414">
        <f t="shared" ref="G36:H36" si="13">SUM(G13:G35)</f>
        <v>619285</v>
      </c>
      <c r="H36" s="2414">
        <f t="shared" si="13"/>
        <v>611136</v>
      </c>
      <c r="I36" s="2414">
        <f>G36-H36</f>
        <v>8149</v>
      </c>
      <c r="J36" s="2378">
        <f>IF(F36&gt;0,I36/F36,0)</f>
        <v>814.9</v>
      </c>
      <c r="K36" s="2418">
        <f>SUM(K13:K35)</f>
        <v>34</v>
      </c>
      <c r="L36" s="2414">
        <f t="shared" ref="L36:M36" si="14">SUM(L13:L35)</f>
        <v>2326463</v>
      </c>
      <c r="M36" s="2414">
        <f t="shared" si="14"/>
        <v>2310310</v>
      </c>
      <c r="N36" s="2414">
        <f>L36-M36</f>
        <v>16153</v>
      </c>
      <c r="O36" s="2378">
        <f t="shared" si="3"/>
        <v>475.08823529411762</v>
      </c>
      <c r="P36" s="80">
        <v>33</v>
      </c>
      <c r="Q36" s="644">
        <v>40000</v>
      </c>
      <c r="R36" s="656">
        <f t="shared" si="4"/>
        <v>1</v>
      </c>
      <c r="S36" s="656">
        <f t="shared" si="12"/>
        <v>1</v>
      </c>
      <c r="T36" s="656">
        <f t="shared" si="10"/>
        <v>0</v>
      </c>
      <c r="U36" s="656">
        <f t="shared" si="11"/>
        <v>0</v>
      </c>
      <c r="V36" s="568"/>
      <c r="W36" s="568"/>
      <c r="X36" s="568"/>
    </row>
    <row r="37" spans="1:24" s="569" customFormat="1" ht="16" customHeight="1">
      <c r="A37" s="80">
        <v>34</v>
      </c>
      <c r="B37" s="187"/>
      <c r="C37" s="2489" t="s">
        <v>490</v>
      </c>
      <c r="D37" s="2315"/>
      <c r="E37" s="2316"/>
      <c r="F37" s="2418">
        <f>F12+F36</f>
        <v>10</v>
      </c>
      <c r="G37" s="2414">
        <f t="shared" ref="G37:H37" si="15">G12+G36</f>
        <v>619285</v>
      </c>
      <c r="H37" s="2414">
        <f t="shared" si="15"/>
        <v>611136</v>
      </c>
      <c r="I37" s="2414">
        <f>G37-H37</f>
        <v>8149</v>
      </c>
      <c r="J37" s="2378">
        <f>IF(F37&gt;0,I37/F37,0)</f>
        <v>814.9</v>
      </c>
      <c r="K37" s="2418">
        <f>K12+K36</f>
        <v>34</v>
      </c>
      <c r="L37" s="2414">
        <f t="shared" ref="L37:M37" si="16">L12+L36</f>
        <v>2326463</v>
      </c>
      <c r="M37" s="2414">
        <f t="shared" si="16"/>
        <v>2310310</v>
      </c>
      <c r="N37" s="2414">
        <f>L37-M37</f>
        <v>16153</v>
      </c>
      <c r="O37" s="2378">
        <f t="shared" si="3"/>
        <v>475.08823529411762</v>
      </c>
      <c r="P37" s="80">
        <v>34</v>
      </c>
      <c r="Q37" s="644">
        <v>35000</v>
      </c>
      <c r="R37" s="656">
        <f t="shared" si="4"/>
        <v>1</v>
      </c>
      <c r="S37" s="656">
        <f t="shared" si="12"/>
        <v>1</v>
      </c>
      <c r="T37" s="656">
        <f t="shared" si="10"/>
        <v>0</v>
      </c>
      <c r="U37" s="656">
        <f t="shared" si="11"/>
        <v>0</v>
      </c>
      <c r="V37" s="568"/>
      <c r="W37" s="568"/>
      <c r="X37" s="568"/>
    </row>
    <row r="38" spans="1:24" ht="16" customHeight="1">
      <c r="A38" s="80">
        <v>35</v>
      </c>
      <c r="B38" s="187"/>
      <c r="C38" s="2768" t="s">
        <v>491</v>
      </c>
      <c r="D38" s="2769"/>
      <c r="E38" s="2349"/>
      <c r="F38" s="2345"/>
      <c r="G38" s="2345"/>
      <c r="H38" s="2345"/>
      <c r="I38" s="2345"/>
      <c r="J38" s="2345"/>
      <c r="K38" s="2345"/>
      <c r="L38" s="2345"/>
      <c r="M38" s="2345"/>
      <c r="N38" s="2345"/>
      <c r="O38" s="2345"/>
      <c r="P38" s="80">
        <v>35</v>
      </c>
      <c r="Q38" s="2256"/>
      <c r="R38" s="843"/>
      <c r="S38" s="843"/>
      <c r="T38" s="843"/>
      <c r="U38" s="843"/>
      <c r="V38" s="677"/>
      <c r="W38" s="677"/>
      <c r="X38" s="677"/>
    </row>
    <row r="39" spans="1:24" ht="16" customHeight="1">
      <c r="A39" s="80">
        <v>36</v>
      </c>
      <c r="B39" s="187"/>
      <c r="C39" s="2770"/>
      <c r="D39" s="2771"/>
      <c r="E39" s="2350"/>
      <c r="F39" s="2345"/>
      <c r="G39" s="2345"/>
      <c r="H39" s="2345"/>
      <c r="I39" s="2345"/>
      <c r="J39" s="2345"/>
      <c r="K39" s="2345"/>
      <c r="L39" s="2345"/>
      <c r="M39" s="2345"/>
      <c r="N39" s="2345"/>
      <c r="O39" s="2345"/>
      <c r="P39" s="80">
        <v>36</v>
      </c>
      <c r="Q39" s="2256"/>
      <c r="R39" s="843"/>
      <c r="S39" s="843"/>
      <c r="T39" s="843"/>
      <c r="U39" s="843"/>
      <c r="V39" s="677"/>
      <c r="W39" s="677"/>
      <c r="X39" s="677"/>
    </row>
    <row r="40" spans="1:24" ht="16" customHeight="1">
      <c r="A40" s="80">
        <v>37</v>
      </c>
      <c r="B40" s="187" t="s">
        <v>145</v>
      </c>
      <c r="C40" s="2365" t="str">
        <f>OR_VEH!B570</f>
        <v>CHEVROLET VOITURES MCI</v>
      </c>
      <c r="D40" s="2351"/>
      <c r="E40" s="2352" t="s">
        <v>492</v>
      </c>
      <c r="F40" s="2327">
        <f>IF(Flag=TRUE,K40-TBIn!E894,TBIn!D894)</f>
        <v>0</v>
      </c>
      <c r="G40" s="2598">
        <f>IF(Flag=TRUE,L40-TBIn!E826,TBIn!D826)</f>
        <v>0</v>
      </c>
      <c r="H40" s="2323">
        <f>IF(Flag=TRUE,M40-TBIn!E860,TBIn!D860)</f>
        <v>0</v>
      </c>
      <c r="I40" s="2324">
        <f>G40-H40</f>
        <v>0</v>
      </c>
      <c r="J40" s="2374">
        <f>IF(F40&gt;0,I40/F40,0)</f>
        <v>0</v>
      </c>
      <c r="K40" s="2334">
        <f>TBIn!E894</f>
        <v>0</v>
      </c>
      <c r="L40" s="2602">
        <f>TBIn!E826</f>
        <v>0</v>
      </c>
      <c r="M40" s="2620">
        <f>TBIn!E860</f>
        <v>0</v>
      </c>
      <c r="N40" s="2325">
        <f>L40-M40</f>
        <v>0</v>
      </c>
      <c r="O40" s="2335">
        <f>IF(K40&gt;0,N40/K40,0)</f>
        <v>0</v>
      </c>
      <c r="P40" s="2305">
        <v>37</v>
      </c>
      <c r="Q40" s="2256"/>
      <c r="R40" s="843"/>
      <c r="S40" s="843"/>
      <c r="T40" s="843"/>
      <c r="U40" s="843"/>
      <c r="V40" s="677"/>
      <c r="W40" s="677"/>
      <c r="X40" s="677"/>
    </row>
    <row r="41" spans="1:24" ht="16" customHeight="1">
      <c r="A41" s="80">
        <v>38</v>
      </c>
      <c r="B41" s="187" t="s">
        <v>118</v>
      </c>
      <c r="C41" s="2365" t="str">
        <f>OR_VEH!B571</f>
        <v>CHEVROLET VOITURES VE</v>
      </c>
      <c r="D41" s="2351"/>
      <c r="E41" s="2353" t="s">
        <v>493</v>
      </c>
      <c r="F41" s="2330">
        <f>IF(Flag=TRUE,K41-TBIn!E895,TBIn!D895)</f>
        <v>0</v>
      </c>
      <c r="G41" s="2613">
        <f>IF(Flag=TRUE,L41-TBIn!E827,TBIn!D827)</f>
        <v>0</v>
      </c>
      <c r="H41" s="2148">
        <f>IF(Flag=TRUE,M41-TBIn!E861,TBIn!D861)</f>
        <v>0</v>
      </c>
      <c r="I41" s="2307">
        <f t="shared" ref="I41:I49" si="17">G41-H41</f>
        <v>0</v>
      </c>
      <c r="J41" s="2375">
        <f t="shared" ref="J41:J49" si="18">IF(F41&gt;0,I41/F41,0)</f>
        <v>0</v>
      </c>
      <c r="K41" s="1867">
        <f>TBIn!E895</f>
        <v>0</v>
      </c>
      <c r="L41" s="2615">
        <f>TBIn!E827</f>
        <v>0</v>
      </c>
      <c r="M41" s="2621">
        <f>TBIn!E861</f>
        <v>0</v>
      </c>
      <c r="N41" s="2308">
        <f t="shared" ref="N41:N71" si="19">L41-M41</f>
        <v>0</v>
      </c>
      <c r="O41" s="2336">
        <f t="shared" ref="O41:O71" si="20">IF(K41&gt;0,N41/K41,0)</f>
        <v>0</v>
      </c>
      <c r="P41" s="2305">
        <v>38</v>
      </c>
      <c r="Q41" s="2256"/>
      <c r="R41" s="843"/>
      <c r="S41" s="843"/>
      <c r="T41" s="843"/>
      <c r="U41" s="843"/>
      <c r="V41" s="677"/>
      <c r="W41" s="677"/>
      <c r="X41" s="677"/>
    </row>
    <row r="42" spans="1:24" ht="16" customHeight="1">
      <c r="A42" s="80">
        <v>39</v>
      </c>
      <c r="B42" s="187" t="s">
        <v>116</v>
      </c>
      <c r="C42" s="2365" t="str">
        <f>OR_VEH!B572</f>
        <v>BUICK VOITURES MCI</v>
      </c>
      <c r="D42" s="2351"/>
      <c r="E42" s="2353" t="s">
        <v>494</v>
      </c>
      <c r="F42" s="2330">
        <f>IF(Flag=TRUE,K42-TBIn!E896,TBIn!D896)</f>
        <v>0</v>
      </c>
      <c r="G42" s="2613">
        <f>IF(Flag=TRUE,L42-TBIn!E828,TBIn!D828)</f>
        <v>0</v>
      </c>
      <c r="H42" s="2148">
        <f>IF(Flag=TRUE,M42-TBIn!E862,TBIn!D862)</f>
        <v>0</v>
      </c>
      <c r="I42" s="2307">
        <f t="shared" si="17"/>
        <v>0</v>
      </c>
      <c r="J42" s="2375">
        <f t="shared" si="18"/>
        <v>0</v>
      </c>
      <c r="K42" s="1867">
        <f>TBIn!E896</f>
        <v>0</v>
      </c>
      <c r="L42" s="2615">
        <f>TBIn!E828</f>
        <v>0</v>
      </c>
      <c r="M42" s="2621">
        <f>TBIn!E862</f>
        <v>0</v>
      </c>
      <c r="N42" s="2308">
        <f t="shared" si="19"/>
        <v>0</v>
      </c>
      <c r="O42" s="2336">
        <f t="shared" si="20"/>
        <v>0</v>
      </c>
      <c r="P42" s="2305">
        <v>39</v>
      </c>
      <c r="Q42" s="2256"/>
      <c r="R42" s="843"/>
      <c r="S42" s="843"/>
      <c r="T42" s="843"/>
      <c r="U42" s="843"/>
      <c r="V42" s="677"/>
      <c r="W42" s="677"/>
      <c r="X42" s="677"/>
    </row>
    <row r="43" spans="1:24" ht="16" customHeight="1">
      <c r="A43" s="80">
        <v>40</v>
      </c>
      <c r="B43" s="187" t="s">
        <v>112</v>
      </c>
      <c r="C43" s="2365" t="str">
        <f>OR_VEH!B573</f>
        <v>BUICK VOITURES VE</v>
      </c>
      <c r="D43" s="2351"/>
      <c r="E43" s="2353" t="s">
        <v>495</v>
      </c>
      <c r="F43" s="2330">
        <f>IF(Flag=TRUE,K43-TBIn!E897,TBIn!D897)</f>
        <v>0</v>
      </c>
      <c r="G43" s="2613">
        <f>IF(Flag=TRUE,L43-TBIn!E829,TBIn!D829)</f>
        <v>0</v>
      </c>
      <c r="H43" s="2148">
        <f>IF(Flag=TRUE,M43-TBIn!E863,TBIn!D863)</f>
        <v>0</v>
      </c>
      <c r="I43" s="2307">
        <f t="shared" si="17"/>
        <v>0</v>
      </c>
      <c r="J43" s="2375">
        <f t="shared" si="18"/>
        <v>0</v>
      </c>
      <c r="K43" s="1867">
        <f>TBIn!E897</f>
        <v>0</v>
      </c>
      <c r="L43" s="2615">
        <f>TBIn!E829</f>
        <v>0</v>
      </c>
      <c r="M43" s="2621">
        <f>TBIn!E863</f>
        <v>0</v>
      </c>
      <c r="N43" s="2308">
        <f t="shared" si="19"/>
        <v>0</v>
      </c>
      <c r="O43" s="2336">
        <f t="shared" si="20"/>
        <v>0</v>
      </c>
      <c r="P43" s="2305">
        <v>40</v>
      </c>
      <c r="Q43" s="2256"/>
      <c r="R43" s="843"/>
      <c r="S43" s="843"/>
      <c r="T43" s="843"/>
      <c r="U43" s="843"/>
      <c r="V43" s="677"/>
      <c r="W43" s="677"/>
      <c r="X43" s="677"/>
    </row>
    <row r="44" spans="1:24" ht="16" customHeight="1">
      <c r="A44" s="80">
        <v>41</v>
      </c>
      <c r="B44" s="187" t="s">
        <v>124</v>
      </c>
      <c r="C44" s="2365" t="str">
        <f>OR_VEH!B574</f>
        <v>CADILLAC VOITURES MCI</v>
      </c>
      <c r="D44" s="2351"/>
      <c r="E44" s="2353" t="s">
        <v>496</v>
      </c>
      <c r="F44" s="2330">
        <f>IF(Flag=TRUE,K44-TBIn!E898,TBIn!D898)</f>
        <v>0</v>
      </c>
      <c r="G44" s="2613">
        <f>IF(Flag=TRUE,L44-TBIn!E830,TBIn!D830)</f>
        <v>0</v>
      </c>
      <c r="H44" s="2148">
        <f>IF(Flag=TRUE,M44-TBIn!E864,TBIn!D864)</f>
        <v>0</v>
      </c>
      <c r="I44" s="2307">
        <f t="shared" si="17"/>
        <v>0</v>
      </c>
      <c r="J44" s="2375">
        <f t="shared" si="18"/>
        <v>0</v>
      </c>
      <c r="K44" s="1867">
        <f>TBIn!E898</f>
        <v>0</v>
      </c>
      <c r="L44" s="2615">
        <f>TBIn!E830</f>
        <v>0</v>
      </c>
      <c r="M44" s="2621">
        <f>TBIn!E864</f>
        <v>0</v>
      </c>
      <c r="N44" s="2308">
        <f t="shared" si="19"/>
        <v>0</v>
      </c>
      <c r="O44" s="2336">
        <f t="shared" si="20"/>
        <v>0</v>
      </c>
      <c r="P44" s="2305">
        <v>41</v>
      </c>
      <c r="Q44" s="2256"/>
      <c r="R44" s="843"/>
      <c r="S44" s="843"/>
      <c r="T44" s="843"/>
      <c r="U44" s="843"/>
      <c r="V44" s="677"/>
      <c r="W44" s="677"/>
      <c r="X44" s="677"/>
    </row>
    <row r="45" spans="1:24" ht="16" customHeight="1">
      <c r="A45" s="80">
        <v>42</v>
      </c>
      <c r="B45" s="187"/>
      <c r="C45" s="2365" t="str">
        <f>OR_VEH!B575</f>
        <v>CADILLAC VOITURES VE</v>
      </c>
      <c r="D45" s="2351"/>
      <c r="E45" s="2353" t="s">
        <v>497</v>
      </c>
      <c r="F45" s="2330">
        <f>IF(Flag=TRUE,K45-TBIn!E899,TBIn!D899)</f>
        <v>0</v>
      </c>
      <c r="G45" s="2613">
        <f>IF(Flag=TRUE,L45-TBIn!E831,TBIn!D831)</f>
        <v>0</v>
      </c>
      <c r="H45" s="2148">
        <f>IF(Flag=TRUE,M45-TBIn!E865,TBIn!D865)</f>
        <v>0</v>
      </c>
      <c r="I45" s="2307">
        <f t="shared" si="17"/>
        <v>0</v>
      </c>
      <c r="J45" s="2375">
        <f t="shared" si="18"/>
        <v>0</v>
      </c>
      <c r="K45" s="1867">
        <f>TBIn!E899</f>
        <v>0</v>
      </c>
      <c r="L45" s="2615">
        <f>TBIn!E831</f>
        <v>0</v>
      </c>
      <c r="M45" s="2621">
        <f>TBIn!E865</f>
        <v>0</v>
      </c>
      <c r="N45" s="2308">
        <f t="shared" si="19"/>
        <v>0</v>
      </c>
      <c r="O45" s="2336">
        <f t="shared" si="20"/>
        <v>0</v>
      </c>
      <c r="P45" s="2305">
        <v>42</v>
      </c>
      <c r="Q45" s="2256"/>
      <c r="R45" s="843"/>
      <c r="S45" s="843"/>
      <c r="T45" s="843"/>
      <c r="U45" s="843"/>
      <c r="V45" s="677"/>
      <c r="W45" s="677"/>
      <c r="X45" s="677"/>
    </row>
    <row r="46" spans="1:24" ht="16" customHeight="1">
      <c r="A46" s="80">
        <v>43</v>
      </c>
      <c r="B46" s="187"/>
      <c r="C46" s="2365" t="str">
        <f>OR_VEH!B576</f>
        <v>NE PAS UTILISER</v>
      </c>
      <c r="D46" s="2351"/>
      <c r="E46" s="2353" t="s">
        <v>498</v>
      </c>
      <c r="F46" s="2330">
        <f>IF(Flag=TRUE,K46-TBIn!E900,TBIn!D900)</f>
        <v>0</v>
      </c>
      <c r="G46" s="2613">
        <f>IF(Flag=TRUE,L46-TBIn!E832,TBIn!D832)</f>
        <v>0</v>
      </c>
      <c r="H46" s="2148">
        <f>IF(Flag=TRUE,M46-TBIn!E866,TBIn!D866)</f>
        <v>0</v>
      </c>
      <c r="I46" s="2307">
        <f t="shared" si="17"/>
        <v>0</v>
      </c>
      <c r="J46" s="2375">
        <f t="shared" si="18"/>
        <v>0</v>
      </c>
      <c r="K46" s="1867">
        <f>TBIn!E900</f>
        <v>0</v>
      </c>
      <c r="L46" s="2615">
        <f>TBIn!E832</f>
        <v>0</v>
      </c>
      <c r="M46" s="2621">
        <f>TBIn!E866</f>
        <v>0</v>
      </c>
      <c r="N46" s="2308">
        <f t="shared" si="19"/>
        <v>0</v>
      </c>
      <c r="O46" s="2336">
        <f t="shared" si="20"/>
        <v>0</v>
      </c>
      <c r="P46" s="2305">
        <v>43</v>
      </c>
      <c r="Q46" s="2256"/>
      <c r="R46" s="843"/>
      <c r="S46" s="843"/>
      <c r="T46" s="843"/>
      <c r="U46" s="843"/>
      <c r="V46" s="677"/>
      <c r="W46" s="677"/>
      <c r="X46" s="677"/>
    </row>
    <row r="47" spans="1:24" ht="16" customHeight="1">
      <c r="A47" s="80">
        <v>44</v>
      </c>
      <c r="B47" s="187"/>
      <c r="C47" s="2366" t="str">
        <f>OR_VEH!B577</f>
        <v>NE PAS UTILISER</v>
      </c>
      <c r="D47" s="2367"/>
      <c r="E47" s="2354" t="s">
        <v>499</v>
      </c>
      <c r="F47" s="2332">
        <f>IF(Flag=TRUE,K47-TBIn!E901,TBIn!D901)</f>
        <v>0</v>
      </c>
      <c r="G47" s="2618">
        <f>IF(Flag=TRUE,L47-TBIn!E833,TBIn!D833)</f>
        <v>0</v>
      </c>
      <c r="H47" s="2355">
        <f>IF(Flag=TRUE,M47-TBIn!E867,TBIn!D867)</f>
        <v>0</v>
      </c>
      <c r="I47" s="2356">
        <f t="shared" si="17"/>
        <v>0</v>
      </c>
      <c r="J47" s="2376">
        <f t="shared" si="18"/>
        <v>0</v>
      </c>
      <c r="K47" s="2337">
        <f>TBIn!E901</f>
        <v>0</v>
      </c>
      <c r="L47" s="2619">
        <f>TBIn!E833</f>
        <v>0</v>
      </c>
      <c r="M47" s="2622">
        <f>TBIn!E867</f>
        <v>0</v>
      </c>
      <c r="N47" s="2357">
        <f t="shared" si="19"/>
        <v>0</v>
      </c>
      <c r="O47" s="2339">
        <f t="shared" si="20"/>
        <v>0</v>
      </c>
      <c r="P47" s="2305">
        <v>44</v>
      </c>
      <c r="Q47" s="2256"/>
      <c r="R47" s="843"/>
      <c r="S47" s="843"/>
      <c r="T47" s="843"/>
      <c r="U47" s="843"/>
      <c r="V47" s="677"/>
      <c r="W47" s="677"/>
      <c r="X47" s="677"/>
    </row>
    <row r="48" spans="1:24" ht="16" customHeight="1">
      <c r="A48" s="80">
        <v>45</v>
      </c>
      <c r="B48" s="187"/>
      <c r="C48" s="2490" t="s">
        <v>500</v>
      </c>
      <c r="D48" s="2346"/>
      <c r="E48" s="2361"/>
      <c r="F48" s="2416">
        <f>SUM(F40:F47)</f>
        <v>0</v>
      </c>
      <c r="G48" s="2416">
        <f t="shared" ref="G48:H48" si="21">SUM(G40:G47)</f>
        <v>0</v>
      </c>
      <c r="H48" s="2416">
        <f t="shared" si="21"/>
        <v>0</v>
      </c>
      <c r="I48" s="2416">
        <f t="shared" si="17"/>
        <v>0</v>
      </c>
      <c r="J48" s="2321">
        <f t="shared" si="18"/>
        <v>0</v>
      </c>
      <c r="K48" s="2321">
        <f>SUM(K40:K47)</f>
        <v>0</v>
      </c>
      <c r="L48" s="2321">
        <f t="shared" ref="L48:M48" si="22">SUM(L40:L47)</f>
        <v>0</v>
      </c>
      <c r="M48" s="2321">
        <f t="shared" si="22"/>
        <v>0</v>
      </c>
      <c r="N48" s="2416">
        <f t="shared" si="19"/>
        <v>0</v>
      </c>
      <c r="O48" s="2417">
        <f t="shared" si="20"/>
        <v>0</v>
      </c>
      <c r="P48" s="80">
        <v>45</v>
      </c>
      <c r="Q48" s="2256"/>
      <c r="R48" s="843"/>
      <c r="S48" s="843"/>
      <c r="T48" s="843"/>
      <c r="U48" s="843"/>
      <c r="V48" s="677"/>
      <c r="W48" s="677"/>
      <c r="X48" s="677"/>
    </row>
    <row r="49" spans="1:24" ht="16" customHeight="1">
      <c r="A49" s="80">
        <v>46</v>
      </c>
      <c r="B49" s="187" t="s">
        <v>143</v>
      </c>
      <c r="C49" s="2368" t="str">
        <f>OR_VEH!B579</f>
        <v>BUICK / CADILLAC PETIT VUS VE</v>
      </c>
      <c r="D49" s="2369"/>
      <c r="E49" s="2352" t="s">
        <v>501</v>
      </c>
      <c r="F49" s="2327">
        <f>IF(Flag=TRUE,K49-TBIn!E903,TBIn!D903)</f>
        <v>0</v>
      </c>
      <c r="G49" s="2598">
        <f>IF(Flag=TRUE,L49-TBIn!E835,TBIn!D835)</f>
        <v>0</v>
      </c>
      <c r="H49" s="2323">
        <f>IF(Flag=TRUE,M49-TBIn!E869,TBIn!D869)</f>
        <v>0</v>
      </c>
      <c r="I49" s="2324">
        <f t="shared" si="17"/>
        <v>0</v>
      </c>
      <c r="J49" s="2329">
        <f t="shared" si="18"/>
        <v>0</v>
      </c>
      <c r="K49" s="2415">
        <f>TBIn!E903</f>
        <v>0</v>
      </c>
      <c r="L49" s="2602">
        <f>TBIn!E835</f>
        <v>0</v>
      </c>
      <c r="M49" s="2620">
        <f>TBIn!E869</f>
        <v>0</v>
      </c>
      <c r="N49" s="2325">
        <f t="shared" si="19"/>
        <v>0</v>
      </c>
      <c r="O49" s="2335">
        <f t="shared" si="20"/>
        <v>0</v>
      </c>
      <c r="P49" s="2305">
        <v>46</v>
      </c>
      <c r="Q49" s="2256"/>
      <c r="R49" s="843"/>
      <c r="S49" s="843"/>
      <c r="T49" s="843"/>
      <c r="U49" s="843"/>
      <c r="V49" s="677"/>
      <c r="W49" s="677"/>
      <c r="X49" s="677"/>
    </row>
    <row r="50" spans="1:24" ht="16" customHeight="1">
      <c r="A50" s="80">
        <v>47</v>
      </c>
      <c r="B50" s="187" t="s">
        <v>145</v>
      </c>
      <c r="C50" s="2365" t="str">
        <f>OR_VEH!B580</f>
        <v>BUICK / CADILLAC PETIT VUS MCI</v>
      </c>
      <c r="D50" s="2351"/>
      <c r="E50" s="2353" t="s">
        <v>502</v>
      </c>
      <c r="F50" s="2330">
        <f>IF(Flag=TRUE,K50-TBIn!E904,TBIn!D904)</f>
        <v>0</v>
      </c>
      <c r="G50" s="2613">
        <f>IF(Flag=TRUE,L50-TBIn!E836,TBIn!D836)</f>
        <v>0</v>
      </c>
      <c r="H50" s="2148">
        <f>IF(Flag=TRUE,M50-TBIn!E870,TBIn!D870)</f>
        <v>0</v>
      </c>
      <c r="I50" s="2307">
        <f t="shared" ref="I50:I71" si="23">G50-H50</f>
        <v>0</v>
      </c>
      <c r="J50" s="2331">
        <f t="shared" ref="J50:J74" si="24">IF(F50&gt;0,I50/F50,0)</f>
        <v>0</v>
      </c>
      <c r="K50" s="1864">
        <f>TBIn!E904</f>
        <v>0</v>
      </c>
      <c r="L50" s="2615">
        <f>TBIn!E836</f>
        <v>0</v>
      </c>
      <c r="M50" s="2621">
        <f>TBIn!E870</f>
        <v>0</v>
      </c>
      <c r="N50" s="2308">
        <f t="shared" si="19"/>
        <v>0</v>
      </c>
      <c r="O50" s="2336">
        <f t="shared" si="20"/>
        <v>0</v>
      </c>
      <c r="P50" s="2305">
        <v>47</v>
      </c>
      <c r="Q50" s="2256"/>
      <c r="R50" s="843"/>
      <c r="S50" s="843"/>
      <c r="T50" s="843"/>
      <c r="U50" s="843"/>
      <c r="V50" s="677"/>
      <c r="W50" s="677"/>
      <c r="X50" s="677"/>
    </row>
    <row r="51" spans="1:24" ht="16" customHeight="1">
      <c r="A51" s="80">
        <v>48</v>
      </c>
      <c r="B51" s="187" t="s">
        <v>147</v>
      </c>
      <c r="C51" s="2365" t="str">
        <f>OR_VEH!B581</f>
        <v>BUICK / CADILLAC MOYEN VUS VE</v>
      </c>
      <c r="D51" s="2351"/>
      <c r="E51" s="2353" t="s">
        <v>503</v>
      </c>
      <c r="F51" s="2330">
        <f>IF(Flag=TRUE,K51-TBIn!E905,TBIn!D905)</f>
        <v>0</v>
      </c>
      <c r="G51" s="2613">
        <f>IF(Flag=TRUE,L51-TBIn!E837,TBIn!D837)</f>
        <v>0</v>
      </c>
      <c r="H51" s="2148">
        <f>IF(Flag=TRUE,M51-TBIn!E871,TBIn!D871)</f>
        <v>0</v>
      </c>
      <c r="I51" s="2307">
        <f t="shared" si="23"/>
        <v>0</v>
      </c>
      <c r="J51" s="2331">
        <f t="shared" si="24"/>
        <v>0</v>
      </c>
      <c r="K51" s="1864">
        <f>TBIn!E905</f>
        <v>0</v>
      </c>
      <c r="L51" s="2615">
        <f>TBIn!E837</f>
        <v>0</v>
      </c>
      <c r="M51" s="2621">
        <f>TBIn!E871</f>
        <v>0</v>
      </c>
      <c r="N51" s="2308">
        <f t="shared" si="19"/>
        <v>0</v>
      </c>
      <c r="O51" s="2336">
        <f t="shared" si="20"/>
        <v>0</v>
      </c>
      <c r="P51" s="2305">
        <v>48</v>
      </c>
      <c r="Q51" s="2256"/>
      <c r="R51" s="843"/>
      <c r="S51" s="843"/>
      <c r="T51" s="843"/>
      <c r="U51" s="843"/>
      <c r="V51" s="677"/>
      <c r="W51" s="677"/>
      <c r="X51" s="677"/>
    </row>
    <row r="52" spans="1:24" ht="16" customHeight="1">
      <c r="A52" s="80">
        <v>49</v>
      </c>
      <c r="B52" s="187" t="s">
        <v>114</v>
      </c>
      <c r="C52" s="2365" t="str">
        <f>OR_VEH!B582</f>
        <v>BUICK / CADILLAC MOYEN VUS MCI</v>
      </c>
      <c r="D52" s="2351"/>
      <c r="E52" s="2353" t="s">
        <v>504</v>
      </c>
      <c r="F52" s="2330">
        <f>IF(Flag=TRUE,K52-TBIn!E906,TBIn!D906)</f>
        <v>0</v>
      </c>
      <c r="G52" s="2613">
        <f>IF(Flag=TRUE,L52-TBIn!E838,TBIn!D838)</f>
        <v>0</v>
      </c>
      <c r="H52" s="2148">
        <f>IF(Flag=TRUE,M52-TBIn!E872,TBIn!D872)</f>
        <v>0</v>
      </c>
      <c r="I52" s="2307">
        <f t="shared" si="23"/>
        <v>0</v>
      </c>
      <c r="J52" s="2331">
        <f t="shared" si="24"/>
        <v>0</v>
      </c>
      <c r="K52" s="1864">
        <f>TBIn!E906</f>
        <v>0</v>
      </c>
      <c r="L52" s="2615">
        <f>TBIn!E838</f>
        <v>0</v>
      </c>
      <c r="M52" s="2621">
        <f>TBIn!E872</f>
        <v>0</v>
      </c>
      <c r="N52" s="2308">
        <f t="shared" si="19"/>
        <v>0</v>
      </c>
      <c r="O52" s="2336">
        <f t="shared" si="20"/>
        <v>0</v>
      </c>
      <c r="P52" s="2305">
        <v>49</v>
      </c>
      <c r="Q52" s="2256"/>
      <c r="R52" s="843"/>
      <c r="S52" s="843"/>
      <c r="T52" s="843"/>
      <c r="U52" s="843"/>
      <c r="V52" s="677"/>
      <c r="W52" s="677"/>
      <c r="X52" s="677"/>
    </row>
    <row r="53" spans="1:24" ht="16" customHeight="1">
      <c r="A53" s="80">
        <v>50</v>
      </c>
      <c r="B53" s="187" t="s">
        <v>112</v>
      </c>
      <c r="C53" s="2365" t="str">
        <f>OR_VEH!B583</f>
        <v>BUICK / CADILLAC GRAND VUS VE</v>
      </c>
      <c r="D53" s="2351"/>
      <c r="E53" s="2353" t="s">
        <v>505</v>
      </c>
      <c r="F53" s="2330">
        <f>IF(Flag=TRUE,K53-TBIn!E907,TBIn!D907)</f>
        <v>0</v>
      </c>
      <c r="G53" s="2613">
        <f>IF(Flag=TRUE,L53-TBIn!E839,TBIn!D839)</f>
        <v>0</v>
      </c>
      <c r="H53" s="2148">
        <f>IF(Flag=TRUE,M53-TBIn!E873,TBIn!D873)</f>
        <v>0</v>
      </c>
      <c r="I53" s="2307">
        <f t="shared" si="23"/>
        <v>0</v>
      </c>
      <c r="J53" s="2331">
        <f t="shared" si="24"/>
        <v>0</v>
      </c>
      <c r="K53" s="1864">
        <f>TBIn!E907</f>
        <v>0</v>
      </c>
      <c r="L53" s="2615">
        <f>TBIn!E839</f>
        <v>0</v>
      </c>
      <c r="M53" s="2621">
        <f>TBIn!E873</f>
        <v>0</v>
      </c>
      <c r="N53" s="2308">
        <f t="shared" si="19"/>
        <v>0</v>
      </c>
      <c r="O53" s="2336">
        <f t="shared" si="20"/>
        <v>0</v>
      </c>
      <c r="P53" s="2305">
        <v>50</v>
      </c>
      <c r="Q53" s="2256"/>
      <c r="R53" s="843"/>
      <c r="S53" s="843"/>
      <c r="T53" s="843"/>
      <c r="U53" s="843"/>
      <c r="V53" s="677"/>
      <c r="W53" s="677"/>
      <c r="X53" s="677"/>
    </row>
    <row r="54" spans="1:24" ht="16" customHeight="1">
      <c r="A54" s="80">
        <v>51</v>
      </c>
      <c r="B54" s="187" t="s">
        <v>127</v>
      </c>
      <c r="C54" s="2365" t="str">
        <f>OR_VEH!B584</f>
        <v>BUICK / CADILLAC GRAND VUS MCI</v>
      </c>
      <c r="D54" s="2351"/>
      <c r="E54" s="2353" t="s">
        <v>506</v>
      </c>
      <c r="F54" s="2330">
        <f>IF(Flag=TRUE,K54-TBIn!E908,TBIn!D908)</f>
        <v>0</v>
      </c>
      <c r="G54" s="2613">
        <f>IF(Flag=TRUE,L54-TBIn!E840,TBIn!D840)</f>
        <v>0</v>
      </c>
      <c r="H54" s="2148">
        <f>IF(Flag=TRUE,M54-TBIn!E874,TBIn!D874)</f>
        <v>0</v>
      </c>
      <c r="I54" s="2307">
        <f t="shared" si="23"/>
        <v>0</v>
      </c>
      <c r="J54" s="2331">
        <f t="shared" si="24"/>
        <v>0</v>
      </c>
      <c r="K54" s="1864">
        <f>TBIn!E908</f>
        <v>0</v>
      </c>
      <c r="L54" s="2615">
        <f>TBIn!E840</f>
        <v>0</v>
      </c>
      <c r="M54" s="2621">
        <f>TBIn!E874</f>
        <v>0</v>
      </c>
      <c r="N54" s="2308">
        <f t="shared" si="19"/>
        <v>0</v>
      </c>
      <c r="O54" s="2336">
        <f t="shared" si="20"/>
        <v>0</v>
      </c>
      <c r="P54" s="2305">
        <v>51</v>
      </c>
      <c r="Q54" s="2256"/>
      <c r="R54" s="843"/>
      <c r="S54" s="843"/>
      <c r="T54" s="843"/>
      <c r="U54" s="843"/>
      <c r="V54" s="677"/>
      <c r="W54" s="677"/>
      <c r="X54" s="677"/>
    </row>
    <row r="55" spans="1:24" ht="16" customHeight="1">
      <c r="A55" s="80">
        <v>52</v>
      </c>
      <c r="B55" s="187" t="s">
        <v>124</v>
      </c>
      <c r="C55" s="2365" t="str">
        <f>OR_VEH!B585</f>
        <v>CHEVROLET / GMC PETIT VUS VE</v>
      </c>
      <c r="D55" s="2351"/>
      <c r="E55" s="2353" t="s">
        <v>507</v>
      </c>
      <c r="F55" s="2330">
        <f>IF(Flag=TRUE,K55-TBIn!E909,TBIn!D909)</f>
        <v>0</v>
      </c>
      <c r="G55" s="2613">
        <f>IF(Flag=TRUE,L55-TBIn!E841,TBIn!D841)</f>
        <v>0</v>
      </c>
      <c r="H55" s="2148">
        <f>IF(Flag=TRUE,M55-TBIn!E875,TBIn!D875)</f>
        <v>0</v>
      </c>
      <c r="I55" s="2307">
        <f t="shared" si="23"/>
        <v>0</v>
      </c>
      <c r="J55" s="2331">
        <f t="shared" si="24"/>
        <v>0</v>
      </c>
      <c r="K55" s="1864">
        <f>TBIn!E909</f>
        <v>0</v>
      </c>
      <c r="L55" s="2615">
        <f>TBIn!E841</f>
        <v>0</v>
      </c>
      <c r="M55" s="2621">
        <f>TBIn!E875</f>
        <v>0</v>
      </c>
      <c r="N55" s="2308">
        <f t="shared" si="19"/>
        <v>0</v>
      </c>
      <c r="O55" s="2336">
        <f t="shared" si="20"/>
        <v>0</v>
      </c>
      <c r="P55" s="2305">
        <v>52</v>
      </c>
      <c r="Q55" s="2256"/>
      <c r="R55" s="843"/>
      <c r="S55" s="843"/>
      <c r="T55" s="843"/>
      <c r="U55" s="843"/>
      <c r="V55" s="677"/>
      <c r="W55" s="677"/>
      <c r="X55" s="677"/>
    </row>
    <row r="56" spans="1:24" ht="16" customHeight="1">
      <c r="A56" s="80">
        <v>53</v>
      </c>
      <c r="B56" s="187"/>
      <c r="C56" s="2365" t="str">
        <f>OR_VEH!B586</f>
        <v>CHEVROLET / GMC PETIT VUS MCI</v>
      </c>
      <c r="D56" s="2351"/>
      <c r="E56" s="2353" t="s">
        <v>508</v>
      </c>
      <c r="F56" s="2330">
        <f>IF(Flag=TRUE,K56-TBIn!E910,TBIn!D910)</f>
        <v>0</v>
      </c>
      <c r="G56" s="2613">
        <f>IF(Flag=TRUE,L56-TBIn!E842,TBIn!D842)</f>
        <v>0</v>
      </c>
      <c r="H56" s="2148">
        <f>IF(Flag=TRUE,M56-TBIn!E876,TBIn!D876)</f>
        <v>0</v>
      </c>
      <c r="I56" s="2307">
        <f t="shared" si="23"/>
        <v>0</v>
      </c>
      <c r="J56" s="2331">
        <f t="shared" si="24"/>
        <v>0</v>
      </c>
      <c r="K56" s="1864">
        <f>TBIn!E910</f>
        <v>0</v>
      </c>
      <c r="L56" s="2615">
        <f>TBIn!E842</f>
        <v>0</v>
      </c>
      <c r="M56" s="2621">
        <f>TBIn!E876</f>
        <v>0</v>
      </c>
      <c r="N56" s="2308">
        <f t="shared" si="19"/>
        <v>0</v>
      </c>
      <c r="O56" s="2336">
        <f t="shared" si="20"/>
        <v>0</v>
      </c>
      <c r="P56" s="2305">
        <v>53</v>
      </c>
      <c r="Q56" s="2256"/>
      <c r="R56" s="843"/>
      <c r="S56" s="843"/>
      <c r="T56" s="843"/>
      <c r="U56" s="843"/>
      <c r="V56" s="677"/>
      <c r="W56" s="677"/>
      <c r="X56" s="677"/>
    </row>
    <row r="57" spans="1:24" ht="16" customHeight="1">
      <c r="A57" s="80">
        <v>54</v>
      </c>
      <c r="B57" s="187"/>
      <c r="C57" s="2365" t="str">
        <f>OR_VEH!B587</f>
        <v>CHEVROLET / GMC MOYEN VUS VE</v>
      </c>
      <c r="D57" s="2351"/>
      <c r="E57" s="2353" t="s">
        <v>509</v>
      </c>
      <c r="F57" s="2330">
        <f>IF(Flag=TRUE,K57-TBIn!E911,TBIn!D911)</f>
        <v>0</v>
      </c>
      <c r="G57" s="2613">
        <f>IF(Flag=TRUE,L57-TBIn!E843,TBIn!D843)</f>
        <v>0</v>
      </c>
      <c r="H57" s="2148">
        <f>IF(Flag=TRUE,M57-TBIn!E877,TBIn!D877)</f>
        <v>0</v>
      </c>
      <c r="I57" s="2307">
        <f t="shared" si="23"/>
        <v>0</v>
      </c>
      <c r="J57" s="2331">
        <f t="shared" si="24"/>
        <v>0</v>
      </c>
      <c r="K57" s="1864">
        <f>TBIn!E911</f>
        <v>0</v>
      </c>
      <c r="L57" s="2615">
        <f>TBIn!E843</f>
        <v>0</v>
      </c>
      <c r="M57" s="2621">
        <f>TBIn!E877</f>
        <v>0</v>
      </c>
      <c r="N57" s="2308">
        <f t="shared" si="19"/>
        <v>0</v>
      </c>
      <c r="O57" s="2336">
        <f t="shared" si="20"/>
        <v>0</v>
      </c>
      <c r="P57" s="2305">
        <v>54</v>
      </c>
      <c r="Q57" s="2256"/>
      <c r="R57" s="843"/>
      <c r="S57" s="843"/>
      <c r="T57" s="843"/>
      <c r="U57" s="843"/>
      <c r="V57" s="677"/>
      <c r="W57" s="677"/>
      <c r="X57" s="677"/>
    </row>
    <row r="58" spans="1:24" ht="16" customHeight="1">
      <c r="A58" s="80">
        <v>55</v>
      </c>
      <c r="B58" s="187"/>
      <c r="C58" s="2365" t="str">
        <f>OR_VEH!B588</f>
        <v>CHEVROLET / GMC MOYEN VUS MCI</v>
      </c>
      <c r="D58" s="2351"/>
      <c r="E58" s="2353" t="s">
        <v>510</v>
      </c>
      <c r="F58" s="2330">
        <f>IF(Flag=TRUE,K58-TBIn!E912,TBIn!D912)</f>
        <v>0</v>
      </c>
      <c r="G58" s="2613">
        <f>IF(Flag=TRUE,L58-TBIn!E844,TBIn!D844)</f>
        <v>0</v>
      </c>
      <c r="H58" s="2148">
        <f>IF(Flag=TRUE,M58-TBIn!E878,TBIn!D878)</f>
        <v>0</v>
      </c>
      <c r="I58" s="2307">
        <f t="shared" si="23"/>
        <v>0</v>
      </c>
      <c r="J58" s="2331">
        <f t="shared" si="24"/>
        <v>0</v>
      </c>
      <c r="K58" s="1864">
        <f>TBIn!E912</f>
        <v>0</v>
      </c>
      <c r="L58" s="2615">
        <f>TBIn!E844</f>
        <v>0</v>
      </c>
      <c r="M58" s="2621">
        <f>TBIn!E878</f>
        <v>0</v>
      </c>
      <c r="N58" s="2308">
        <f t="shared" si="19"/>
        <v>0</v>
      </c>
      <c r="O58" s="2336">
        <f t="shared" si="20"/>
        <v>0</v>
      </c>
      <c r="P58" s="2305">
        <v>55</v>
      </c>
      <c r="Q58" s="2256"/>
      <c r="R58" s="843"/>
      <c r="S58" s="843"/>
      <c r="T58" s="843"/>
      <c r="U58" s="843"/>
      <c r="V58" s="677"/>
      <c r="W58" s="677"/>
      <c r="X58" s="677"/>
    </row>
    <row r="59" spans="1:24" ht="16" customHeight="1">
      <c r="A59" s="80">
        <v>56</v>
      </c>
      <c r="B59" s="187"/>
      <c r="C59" s="2365" t="str">
        <f>OR_VEH!B589</f>
        <v>CHEVROLET / GMC / HUMMER GRAND VUS VE</v>
      </c>
      <c r="D59" s="2351"/>
      <c r="E59" s="2353" t="s">
        <v>511</v>
      </c>
      <c r="F59" s="2330">
        <f>IF(Flag=TRUE,K59-TBIn!E913,TBIn!D913)</f>
        <v>0</v>
      </c>
      <c r="G59" s="2613">
        <f>IF(Flag=TRUE,L59-TBIn!E845,TBIn!D845)</f>
        <v>0</v>
      </c>
      <c r="H59" s="2148">
        <f>IF(Flag=TRUE,M59-TBIn!E879,TBIn!D879)</f>
        <v>0</v>
      </c>
      <c r="I59" s="2307">
        <f t="shared" si="23"/>
        <v>0</v>
      </c>
      <c r="J59" s="2331">
        <f t="shared" si="24"/>
        <v>0</v>
      </c>
      <c r="K59" s="1864">
        <f>TBIn!E913</f>
        <v>0</v>
      </c>
      <c r="L59" s="2615">
        <f>TBIn!E845</f>
        <v>0</v>
      </c>
      <c r="M59" s="2621">
        <f>TBIn!E879</f>
        <v>0</v>
      </c>
      <c r="N59" s="2308">
        <f t="shared" si="19"/>
        <v>0</v>
      </c>
      <c r="O59" s="2336">
        <f t="shared" si="20"/>
        <v>0</v>
      </c>
      <c r="P59" s="2305">
        <v>56</v>
      </c>
      <c r="Q59" s="2256"/>
      <c r="R59" s="843"/>
      <c r="S59" s="843"/>
      <c r="T59" s="843"/>
      <c r="U59" s="843"/>
      <c r="V59" s="677"/>
      <c r="W59" s="677"/>
      <c r="X59" s="677"/>
    </row>
    <row r="60" spans="1:24" ht="16" customHeight="1">
      <c r="A60" s="80">
        <v>57</v>
      </c>
      <c r="B60" s="187"/>
      <c r="C60" s="2365" t="str">
        <f>OR_VEH!B590</f>
        <v>CHEVROLET / GMC GRAND VUS MCI</v>
      </c>
      <c r="D60" s="2351"/>
      <c r="E60" s="2353" t="s">
        <v>512</v>
      </c>
      <c r="F60" s="2330">
        <f>IF(Flag=TRUE,K60-TBIn!E914,TBIn!D914)</f>
        <v>0</v>
      </c>
      <c r="G60" s="2613">
        <f>IF(Flag=TRUE,L60-TBIn!E846,TBIn!D846)</f>
        <v>0</v>
      </c>
      <c r="H60" s="2148">
        <f>IF(Flag=TRUE,M60-TBIn!E880,TBIn!D880)</f>
        <v>0</v>
      </c>
      <c r="I60" s="2307">
        <f t="shared" si="23"/>
        <v>0</v>
      </c>
      <c r="J60" s="2331">
        <f t="shared" si="24"/>
        <v>0</v>
      </c>
      <c r="K60" s="1864">
        <f>TBIn!E914</f>
        <v>0</v>
      </c>
      <c r="L60" s="2615">
        <f>TBIn!E846</f>
        <v>0</v>
      </c>
      <c r="M60" s="2621">
        <f>TBIn!E880</f>
        <v>0</v>
      </c>
      <c r="N60" s="2308">
        <f t="shared" si="19"/>
        <v>0</v>
      </c>
      <c r="O60" s="2336">
        <f t="shared" si="20"/>
        <v>0</v>
      </c>
      <c r="P60" s="2305">
        <v>57</v>
      </c>
      <c r="Q60" s="2256"/>
      <c r="R60" s="843"/>
      <c r="S60" s="843"/>
      <c r="T60" s="843"/>
      <c r="U60" s="843"/>
      <c r="V60" s="677"/>
      <c r="W60" s="677"/>
      <c r="X60" s="677"/>
    </row>
    <row r="61" spans="1:24" ht="16" customHeight="1">
      <c r="A61" s="80">
        <v>58</v>
      </c>
      <c r="B61" s="187"/>
      <c r="C61" s="2365" t="str">
        <f>OR_VEH!B591</f>
        <v>SILVERADO/SIERRA POIDS LOURD MCI (2500/3500)</v>
      </c>
      <c r="D61" s="2351"/>
      <c r="E61" s="2353" t="s">
        <v>513</v>
      </c>
      <c r="F61" s="2330">
        <f>IF(Flag=TRUE,K61-TBIn!E915,TBIn!D915)</f>
        <v>0</v>
      </c>
      <c r="G61" s="2613">
        <f>IF(Flag=TRUE,L61-TBIn!E847,TBIn!D847)</f>
        <v>0</v>
      </c>
      <c r="H61" s="2148">
        <f>IF(Flag=TRUE,M61-TBIn!E881,TBIn!D881)</f>
        <v>0</v>
      </c>
      <c r="I61" s="2307">
        <f t="shared" si="23"/>
        <v>0</v>
      </c>
      <c r="J61" s="2331">
        <f t="shared" si="24"/>
        <v>0</v>
      </c>
      <c r="K61" s="1864">
        <f>TBIn!E915</f>
        <v>0</v>
      </c>
      <c r="L61" s="2615">
        <f>TBIn!E847</f>
        <v>0</v>
      </c>
      <c r="M61" s="2621">
        <f>TBIn!E881</f>
        <v>0</v>
      </c>
      <c r="N61" s="2308">
        <f t="shared" si="19"/>
        <v>0</v>
      </c>
      <c r="O61" s="2336">
        <f t="shared" si="20"/>
        <v>0</v>
      </c>
      <c r="P61" s="2305">
        <v>58</v>
      </c>
      <c r="Q61" s="2256"/>
      <c r="R61" s="843"/>
      <c r="S61" s="843"/>
      <c r="T61" s="843"/>
      <c r="U61" s="843"/>
      <c r="V61" s="677"/>
      <c r="W61" s="677"/>
      <c r="X61" s="677"/>
    </row>
    <row r="62" spans="1:24" ht="16" customHeight="1">
      <c r="A62" s="80">
        <v>59</v>
      </c>
      <c r="B62" s="187"/>
      <c r="C62" s="2365" t="str">
        <f>OR_VEH!B592</f>
        <v>NE PAS UTILISER</v>
      </c>
      <c r="D62" s="2351"/>
      <c r="E62" s="2353" t="s">
        <v>514</v>
      </c>
      <c r="F62" s="2330">
        <f>IF(Flag=TRUE,K62-TBIn!E916,TBIn!D916)</f>
        <v>0</v>
      </c>
      <c r="G62" s="2613">
        <f>IF(Flag=TRUE,L62-TBIn!E848,TBIn!D848)</f>
        <v>0</v>
      </c>
      <c r="H62" s="2148">
        <f>IF(Flag=TRUE,M62-TBIn!E882,TBIn!D882)</f>
        <v>0</v>
      </c>
      <c r="I62" s="2307">
        <f t="shared" si="23"/>
        <v>0</v>
      </c>
      <c r="J62" s="2331">
        <f t="shared" si="24"/>
        <v>0</v>
      </c>
      <c r="K62" s="1864">
        <f>TBIn!E916</f>
        <v>0</v>
      </c>
      <c r="L62" s="2615">
        <f>TBIn!E848</f>
        <v>0</v>
      </c>
      <c r="M62" s="2621">
        <f>TBIn!E882</f>
        <v>0</v>
      </c>
      <c r="N62" s="2308">
        <f t="shared" si="19"/>
        <v>0</v>
      </c>
      <c r="O62" s="2336">
        <f t="shared" si="20"/>
        <v>0</v>
      </c>
      <c r="P62" s="2305">
        <v>59</v>
      </c>
      <c r="Q62" s="2256"/>
      <c r="R62" s="843"/>
      <c r="S62" s="843"/>
      <c r="T62" s="843"/>
      <c r="U62" s="843"/>
      <c r="V62" s="677"/>
      <c r="W62" s="677"/>
      <c r="X62" s="677"/>
    </row>
    <row r="63" spans="1:24" ht="16" customHeight="1">
      <c r="A63" s="80">
        <v>60</v>
      </c>
      <c r="B63" s="187"/>
      <c r="C63" s="2365" t="str">
        <f>OR_VEH!B593</f>
        <v>SILVERADO/SIERRA POIDS LÉGER MCI (1500)</v>
      </c>
      <c r="D63" s="2351"/>
      <c r="E63" s="2353" t="s">
        <v>515</v>
      </c>
      <c r="F63" s="2330">
        <f>IF(Flag=TRUE,K63-TBIn!E917,TBIn!D917)</f>
        <v>0</v>
      </c>
      <c r="G63" s="2613">
        <f>IF(Flag=TRUE,L63-TBIn!E849,TBIn!D849)</f>
        <v>0</v>
      </c>
      <c r="H63" s="2148">
        <f>IF(Flag=TRUE,M63-TBIn!E883,TBIn!D883)</f>
        <v>0</v>
      </c>
      <c r="I63" s="2307">
        <f t="shared" si="23"/>
        <v>0</v>
      </c>
      <c r="J63" s="2331">
        <f t="shared" si="24"/>
        <v>0</v>
      </c>
      <c r="K63" s="1864">
        <f>TBIn!E917</f>
        <v>0</v>
      </c>
      <c r="L63" s="2615">
        <f>TBIn!E849</f>
        <v>0</v>
      </c>
      <c r="M63" s="2621">
        <f>TBIn!E883</f>
        <v>0</v>
      </c>
      <c r="N63" s="2308">
        <f t="shared" si="19"/>
        <v>0</v>
      </c>
      <c r="O63" s="2336">
        <f t="shared" si="20"/>
        <v>0</v>
      </c>
      <c r="P63" s="2305">
        <v>60</v>
      </c>
      <c r="Q63" s="2256"/>
      <c r="R63" s="843"/>
      <c r="S63" s="843"/>
      <c r="T63" s="843"/>
      <c r="U63" s="843"/>
      <c r="V63" s="677"/>
      <c r="W63" s="677"/>
      <c r="X63" s="677"/>
    </row>
    <row r="64" spans="1:24" ht="16" customHeight="1">
      <c r="A64" s="80">
        <v>61</v>
      </c>
      <c r="B64" s="187"/>
      <c r="C64" s="2365" t="str">
        <f>OR_VEH!B594</f>
        <v>SILVERADO/SIERRA/HUMMER POIDS LOURD VE</v>
      </c>
      <c r="D64" s="2351"/>
      <c r="E64" s="2353" t="s">
        <v>516</v>
      </c>
      <c r="F64" s="2330">
        <f>IF(Flag=TRUE,K64-TBIn!E918,TBIn!D918)</f>
        <v>0</v>
      </c>
      <c r="G64" s="2613">
        <f>IF(Flag=TRUE,L64-TBIn!E850,TBIn!D850)</f>
        <v>0</v>
      </c>
      <c r="H64" s="2148">
        <f>IF(Flag=TRUE,M64-TBIn!E884,TBIn!D884)</f>
        <v>0</v>
      </c>
      <c r="I64" s="2307">
        <f t="shared" si="23"/>
        <v>0</v>
      </c>
      <c r="J64" s="2331">
        <f t="shared" si="24"/>
        <v>0</v>
      </c>
      <c r="K64" s="1864">
        <f>TBIn!E918</f>
        <v>0</v>
      </c>
      <c r="L64" s="2615">
        <f>TBIn!E850</f>
        <v>0</v>
      </c>
      <c r="M64" s="2621">
        <f>TBIn!E884</f>
        <v>0</v>
      </c>
      <c r="N64" s="2308">
        <f t="shared" si="19"/>
        <v>0</v>
      </c>
      <c r="O64" s="2336">
        <f t="shared" si="20"/>
        <v>0</v>
      </c>
      <c r="P64" s="2305">
        <v>61</v>
      </c>
      <c r="Q64" s="2256"/>
      <c r="R64" s="843"/>
      <c r="S64" s="843"/>
      <c r="T64" s="843"/>
      <c r="U64" s="843"/>
      <c r="V64" s="677"/>
      <c r="W64" s="677"/>
      <c r="X64" s="677"/>
    </row>
    <row r="65" spans="1:24" ht="16" customHeight="1">
      <c r="A65" s="80">
        <v>62</v>
      </c>
      <c r="B65" s="187"/>
      <c r="C65" s="2365" t="str">
        <f>OR_VEH!B595</f>
        <v>COLORADO/CANYON MCI</v>
      </c>
      <c r="D65" s="2351"/>
      <c r="E65" s="2353" t="s">
        <v>517</v>
      </c>
      <c r="F65" s="2330">
        <f>IF(Flag=TRUE,K65-TBIn!E919,TBIn!D919)</f>
        <v>0</v>
      </c>
      <c r="G65" s="2613">
        <f>IF(Flag=TRUE,L65-TBIn!E851,TBIn!D851)</f>
        <v>0</v>
      </c>
      <c r="H65" s="2148">
        <f>IF(Flag=TRUE,M65-TBIn!E885,TBIn!D885)</f>
        <v>0</v>
      </c>
      <c r="I65" s="2307">
        <f t="shared" si="23"/>
        <v>0</v>
      </c>
      <c r="J65" s="2331">
        <f t="shared" si="24"/>
        <v>0</v>
      </c>
      <c r="K65" s="1864">
        <f>TBIn!E919</f>
        <v>0</v>
      </c>
      <c r="L65" s="2615">
        <f>TBIn!E851</f>
        <v>0</v>
      </c>
      <c r="M65" s="2621">
        <f>TBIn!E885</f>
        <v>0</v>
      </c>
      <c r="N65" s="2308">
        <f t="shared" si="19"/>
        <v>0</v>
      </c>
      <c r="O65" s="2336">
        <f t="shared" si="20"/>
        <v>0</v>
      </c>
      <c r="P65" s="2305">
        <v>62</v>
      </c>
      <c r="Q65" s="2256"/>
      <c r="R65" s="843"/>
      <c r="S65" s="843"/>
      <c r="T65" s="843"/>
      <c r="U65" s="843"/>
      <c r="V65" s="677"/>
      <c r="W65" s="677"/>
      <c r="X65" s="677"/>
    </row>
    <row r="66" spans="1:24" ht="16" customHeight="1">
      <c r="A66" s="80">
        <v>63</v>
      </c>
      <c r="B66" s="187"/>
      <c r="C66" s="2365" t="str">
        <f>OR_VEH!B596</f>
        <v>NE PAS UTILISER</v>
      </c>
      <c r="D66" s="2351"/>
      <c r="E66" s="2353" t="s">
        <v>518</v>
      </c>
      <c r="F66" s="2330">
        <f>IF(Flag=TRUE,K66-TBIn!E920,TBIn!D920)</f>
        <v>0</v>
      </c>
      <c r="G66" s="2613">
        <f>IF(Flag=TRUE,L66-TBIn!E852,TBIn!D852)</f>
        <v>0</v>
      </c>
      <c r="H66" s="2148">
        <f>IF(Flag=TRUE,M66-TBIn!E886,TBIn!D886)</f>
        <v>0</v>
      </c>
      <c r="I66" s="2307">
        <f t="shared" si="23"/>
        <v>0</v>
      </c>
      <c r="J66" s="2331">
        <f t="shared" si="24"/>
        <v>0</v>
      </c>
      <c r="K66" s="1864">
        <f>TBIn!E920</f>
        <v>0</v>
      </c>
      <c r="L66" s="2615">
        <f>TBIn!E852</f>
        <v>0</v>
      </c>
      <c r="M66" s="2621">
        <f>TBIn!E886</f>
        <v>0</v>
      </c>
      <c r="N66" s="2308">
        <f t="shared" si="19"/>
        <v>0</v>
      </c>
      <c r="O66" s="2336">
        <f t="shared" si="20"/>
        <v>0</v>
      </c>
      <c r="P66" s="2305">
        <v>63</v>
      </c>
      <c r="Q66" s="2256"/>
      <c r="R66" s="843"/>
      <c r="S66" s="843"/>
      <c r="T66" s="843"/>
      <c r="U66" s="843"/>
      <c r="V66" s="677"/>
      <c r="W66" s="677"/>
      <c r="X66" s="677"/>
    </row>
    <row r="67" spans="1:24" ht="16" customHeight="1">
      <c r="A67" s="80">
        <v>64</v>
      </c>
      <c r="B67" s="187"/>
      <c r="C67" s="2365" t="str">
        <f>OR_VEH!B597</f>
        <v>SILVERADO CHASSIS (4500+)</v>
      </c>
      <c r="D67" s="2351"/>
      <c r="E67" s="2353" t="s">
        <v>519</v>
      </c>
      <c r="F67" s="2330">
        <f>IF(Flag=TRUE,K67-TBIn!E921,TBIn!D921)</f>
        <v>0</v>
      </c>
      <c r="G67" s="2613">
        <f>IF(Flag=TRUE,L67-TBIn!E853,TBIn!D853)</f>
        <v>0</v>
      </c>
      <c r="H67" s="2148">
        <f>IF(Flag=TRUE,M67-TBIn!E887,TBIn!D887)</f>
        <v>0</v>
      </c>
      <c r="I67" s="2307">
        <f t="shared" si="23"/>
        <v>0</v>
      </c>
      <c r="J67" s="2331">
        <f t="shared" si="24"/>
        <v>0</v>
      </c>
      <c r="K67" s="1864">
        <f>TBIn!E921</f>
        <v>0</v>
      </c>
      <c r="L67" s="2615">
        <f>TBIn!E853</f>
        <v>0</v>
      </c>
      <c r="M67" s="2621">
        <f>TBIn!E887</f>
        <v>0</v>
      </c>
      <c r="N67" s="2308">
        <f t="shared" si="19"/>
        <v>0</v>
      </c>
      <c r="O67" s="2336">
        <f t="shared" si="20"/>
        <v>0</v>
      </c>
      <c r="P67" s="2305">
        <v>64</v>
      </c>
      <c r="Q67" s="2256"/>
      <c r="R67" s="843"/>
      <c r="S67" s="843"/>
      <c r="T67" s="843"/>
      <c r="U67" s="843"/>
      <c r="V67" s="677"/>
      <c r="W67" s="677"/>
      <c r="X67" s="677"/>
    </row>
    <row r="68" spans="1:24" ht="16" customHeight="1">
      <c r="A68" s="80">
        <v>65</v>
      </c>
      <c r="B68" s="187"/>
      <c r="C68" s="2365" t="str">
        <f>OR_VEH!B598</f>
        <v>CHEVROLET/GMC LCF/CONV</v>
      </c>
      <c r="D68" s="2351"/>
      <c r="E68" s="2353" t="s">
        <v>520</v>
      </c>
      <c r="F68" s="2330">
        <f>IF(Flag=TRUE,K68-TBIn!E922,TBIn!D922)</f>
        <v>0</v>
      </c>
      <c r="G68" s="2613">
        <f>IF(Flag=TRUE,L68-TBIn!E854,TBIn!D854)</f>
        <v>0</v>
      </c>
      <c r="H68" s="2148">
        <f>IF(Flag=TRUE,M68-TBIn!E888,TBIn!D888)</f>
        <v>0</v>
      </c>
      <c r="I68" s="2307">
        <f t="shared" si="23"/>
        <v>0</v>
      </c>
      <c r="J68" s="2331">
        <f t="shared" si="24"/>
        <v>0</v>
      </c>
      <c r="K68" s="1864">
        <f>TBIn!E922</f>
        <v>0</v>
      </c>
      <c r="L68" s="2615">
        <f>TBIn!E854</f>
        <v>0</v>
      </c>
      <c r="M68" s="2621">
        <f>TBIn!E888</f>
        <v>0</v>
      </c>
      <c r="N68" s="2308">
        <f t="shared" si="19"/>
        <v>0</v>
      </c>
      <c r="O68" s="2336">
        <f t="shared" si="20"/>
        <v>0</v>
      </c>
      <c r="P68" s="2305">
        <v>65</v>
      </c>
      <c r="Q68" s="2256"/>
      <c r="R68" s="843"/>
      <c r="S68" s="843"/>
      <c r="T68" s="843"/>
      <c r="U68" s="843"/>
      <c r="V68" s="677"/>
      <c r="W68" s="677"/>
      <c r="X68" s="677"/>
    </row>
    <row r="69" spans="1:24" ht="16" customHeight="1">
      <c r="A69" s="80">
        <v>66</v>
      </c>
      <c r="B69" s="187"/>
      <c r="C69" s="2365" t="str">
        <f>OR_VEH!B599</f>
        <v>EXPRESS/SAVANA MCI</v>
      </c>
      <c r="D69" s="2351"/>
      <c r="E69" s="2353" t="s">
        <v>521</v>
      </c>
      <c r="F69" s="2330">
        <f>IF(Flag=TRUE,K69-TBIn!E923,TBIn!D923)</f>
        <v>0</v>
      </c>
      <c r="G69" s="2613">
        <f>IF(Flag=TRUE,L69-TBIn!E855,TBIn!D855)</f>
        <v>0</v>
      </c>
      <c r="H69" s="2148">
        <f>IF(Flag=TRUE,M69-TBIn!E889,TBIn!D889)</f>
        <v>0</v>
      </c>
      <c r="I69" s="2307">
        <f t="shared" si="23"/>
        <v>0</v>
      </c>
      <c r="J69" s="2331">
        <f t="shared" si="24"/>
        <v>0</v>
      </c>
      <c r="K69" s="1864">
        <f>TBIn!E923</f>
        <v>0</v>
      </c>
      <c r="L69" s="2615">
        <f>TBIn!E855</f>
        <v>0</v>
      </c>
      <c r="M69" s="2621">
        <f>TBIn!E889</f>
        <v>0</v>
      </c>
      <c r="N69" s="2308">
        <f t="shared" si="19"/>
        <v>0</v>
      </c>
      <c r="O69" s="2336">
        <f t="shared" si="20"/>
        <v>0</v>
      </c>
      <c r="P69" s="2305">
        <v>66</v>
      </c>
      <c r="Q69" s="2256"/>
      <c r="R69" s="843"/>
      <c r="S69" s="843"/>
      <c r="T69" s="843"/>
      <c r="U69" s="843"/>
      <c r="V69" s="677"/>
      <c r="W69" s="677"/>
      <c r="X69" s="677"/>
    </row>
    <row r="70" spans="1:24" ht="16" customHeight="1">
      <c r="A70" s="80">
        <v>67</v>
      </c>
      <c r="B70" s="187"/>
      <c r="C70" s="2365" t="str">
        <f>OR_VEH!B600</f>
        <v>NE PAS UTILISER</v>
      </c>
      <c r="D70" s="2351"/>
      <c r="E70" s="2353" t="s">
        <v>522</v>
      </c>
      <c r="F70" s="2330">
        <f>IF(Flag=TRUE,K70-TBIn!E924,TBIn!D924)</f>
        <v>0</v>
      </c>
      <c r="G70" s="2613">
        <f>IF(Flag=TRUE,L70-TBIn!E856,TBIn!D856)</f>
        <v>0</v>
      </c>
      <c r="H70" s="2148">
        <f>IF(Flag=TRUE,M70-TBIn!E890,TBIn!D890)</f>
        <v>0</v>
      </c>
      <c r="I70" s="2307">
        <f t="shared" si="23"/>
        <v>0</v>
      </c>
      <c r="J70" s="2331">
        <f t="shared" si="24"/>
        <v>0</v>
      </c>
      <c r="K70" s="1864">
        <f>TBIn!E924</f>
        <v>0</v>
      </c>
      <c r="L70" s="2615">
        <f>TBIn!E856</f>
        <v>0</v>
      </c>
      <c r="M70" s="2621">
        <f>TBIn!E890</f>
        <v>0</v>
      </c>
      <c r="N70" s="2308">
        <f t="shared" si="19"/>
        <v>0</v>
      </c>
      <c r="O70" s="2336">
        <f t="shared" si="20"/>
        <v>0</v>
      </c>
      <c r="P70" s="2305">
        <v>67</v>
      </c>
      <c r="Q70" s="2256"/>
      <c r="R70" s="843"/>
      <c r="S70" s="843"/>
      <c r="T70" s="843"/>
      <c r="U70" s="843"/>
      <c r="V70" s="677"/>
      <c r="W70" s="677"/>
      <c r="X70" s="677"/>
    </row>
    <row r="71" spans="1:24" ht="16" customHeight="1">
      <c r="A71" s="80">
        <v>68</v>
      </c>
      <c r="B71" s="187"/>
      <c r="C71" s="2365" t="str">
        <f>OR_VEH!B601</f>
        <v>NE PAS UTILISER</v>
      </c>
      <c r="D71" s="2351"/>
      <c r="E71" s="2354" t="s">
        <v>523</v>
      </c>
      <c r="F71" s="2383">
        <f>IF(Flag=TRUE,K71-TBIn!E925,TBIn!D925)</f>
        <v>0</v>
      </c>
      <c r="G71" s="2614">
        <f>IF(Flag=TRUE,L71-TBIn!E857,TBIn!D857)</f>
        <v>0</v>
      </c>
      <c r="H71" s="2536">
        <f>IF(Flag=TRUE,M71-TBIn!E891,TBIn!D891)</f>
        <v>0</v>
      </c>
      <c r="I71" s="2537">
        <f t="shared" si="23"/>
        <v>0</v>
      </c>
      <c r="J71" s="2538">
        <f t="shared" si="24"/>
        <v>0</v>
      </c>
      <c r="K71" s="2547">
        <f>TBIn!E925</f>
        <v>0</v>
      </c>
      <c r="L71" s="2616">
        <f>TBIn!E857</f>
        <v>0</v>
      </c>
      <c r="M71" s="2623">
        <f>TBIn!E891</f>
        <v>0</v>
      </c>
      <c r="N71" s="2548">
        <f t="shared" si="19"/>
        <v>0</v>
      </c>
      <c r="O71" s="2393">
        <f t="shared" si="20"/>
        <v>0</v>
      </c>
      <c r="P71" s="2305">
        <v>68</v>
      </c>
      <c r="Q71" s="2256"/>
      <c r="R71" s="843"/>
      <c r="S71" s="843"/>
      <c r="T71" s="843"/>
      <c r="U71" s="843"/>
      <c r="V71" s="677"/>
      <c r="W71" s="677"/>
      <c r="X71" s="677"/>
    </row>
    <row r="72" spans="1:24" ht="16" customHeight="1">
      <c r="A72" s="80">
        <v>69</v>
      </c>
      <c r="B72" s="187"/>
      <c r="C72" s="2491" t="s">
        <v>524</v>
      </c>
      <c r="D72" s="2346"/>
      <c r="E72" s="2347"/>
      <c r="F72" s="2540">
        <f>SUM(F49:F71)</f>
        <v>0</v>
      </c>
      <c r="G72" s="2541">
        <f>SUM(G49:G71)</f>
        <v>0</v>
      </c>
      <c r="H72" s="2541">
        <f>SUM(H49:H71)</f>
        <v>0</v>
      </c>
      <c r="I72" s="2541">
        <f>G72-H72</f>
        <v>0</v>
      </c>
      <c r="J72" s="2389">
        <f t="shared" si="24"/>
        <v>0</v>
      </c>
      <c r="K72" s="2540">
        <f>SUM(K49:K71)</f>
        <v>0</v>
      </c>
      <c r="L72" s="2541">
        <f t="shared" ref="L72:M72" si="25">SUM(L49:L71)</f>
        <v>0</v>
      </c>
      <c r="M72" s="2541">
        <f t="shared" si="25"/>
        <v>0</v>
      </c>
      <c r="N72" s="2541">
        <f>L72-M72</f>
        <v>0</v>
      </c>
      <c r="O72" s="2388">
        <f>IF(K72&gt;0,N72/K72,0)</f>
        <v>0</v>
      </c>
      <c r="P72" s="2305">
        <v>69</v>
      </c>
      <c r="Q72" s="2256"/>
      <c r="R72" s="843"/>
      <c r="S72" s="843"/>
      <c r="T72" s="843"/>
      <c r="U72" s="843"/>
      <c r="V72" s="677"/>
      <c r="W72" s="677"/>
      <c r="X72" s="677"/>
    </row>
    <row r="73" spans="1:24" ht="16" customHeight="1">
      <c r="A73" s="80">
        <v>70</v>
      </c>
      <c r="B73" s="187"/>
      <c r="C73" s="2489" t="s">
        <v>525</v>
      </c>
      <c r="D73" s="2315"/>
      <c r="E73" s="2348"/>
      <c r="F73" s="2542">
        <f>F48+F72</f>
        <v>0</v>
      </c>
      <c r="G73" s="2539">
        <f t="shared" ref="G73:H73" si="26">G48+G72</f>
        <v>0</v>
      </c>
      <c r="H73" s="2539">
        <f t="shared" si="26"/>
        <v>0</v>
      </c>
      <c r="I73" s="2539">
        <f t="shared" ref="I73:I74" si="27">G73-H73</f>
        <v>0</v>
      </c>
      <c r="J73" s="2546">
        <f t="shared" si="24"/>
        <v>0</v>
      </c>
      <c r="K73" s="2542">
        <f>K48+K72</f>
        <v>0</v>
      </c>
      <c r="L73" s="2539">
        <f t="shared" ref="L73:M73" si="28">L48+L72</f>
        <v>0</v>
      </c>
      <c r="M73" s="2539">
        <f t="shared" si="28"/>
        <v>0</v>
      </c>
      <c r="N73" s="2539">
        <f t="shared" ref="N73:N74" si="29">L73-M73</f>
        <v>0</v>
      </c>
      <c r="O73" s="2543">
        <f t="shared" ref="O73:O74" si="30">IF(K73&gt;0,N73/K73,0)</f>
        <v>0</v>
      </c>
      <c r="P73" s="2305">
        <v>70</v>
      </c>
      <c r="Q73" s="2256"/>
      <c r="R73" s="843"/>
      <c r="S73" s="843"/>
      <c r="T73" s="843"/>
      <c r="U73" s="843"/>
      <c r="V73" s="677"/>
      <c r="W73" s="677"/>
      <c r="X73" s="677"/>
    </row>
    <row r="74" spans="1:24" ht="16" customHeight="1">
      <c r="A74" s="80">
        <v>71</v>
      </c>
      <c r="B74" s="187"/>
      <c r="C74" s="2489" t="s">
        <v>526</v>
      </c>
      <c r="D74" s="2315"/>
      <c r="E74" s="2348"/>
      <c r="F74" s="2544">
        <f>F37+F73</f>
        <v>10</v>
      </c>
      <c r="G74" s="2545">
        <f t="shared" ref="G74:H74" si="31">G37+G73</f>
        <v>619285</v>
      </c>
      <c r="H74" s="2545">
        <f t="shared" si="31"/>
        <v>611136</v>
      </c>
      <c r="I74" s="2545">
        <f t="shared" si="27"/>
        <v>8149</v>
      </c>
      <c r="J74" s="2390">
        <f t="shared" si="24"/>
        <v>814.9</v>
      </c>
      <c r="K74" s="2544">
        <f>K37+K73</f>
        <v>34</v>
      </c>
      <c r="L74" s="2545">
        <f t="shared" ref="L74:M74" si="32">L37+L73</f>
        <v>2326463</v>
      </c>
      <c r="M74" s="2545">
        <f t="shared" si="32"/>
        <v>2310310</v>
      </c>
      <c r="N74" s="2545">
        <f t="shared" si="29"/>
        <v>16153</v>
      </c>
      <c r="O74" s="2380">
        <f t="shared" si="30"/>
        <v>475.08823529411762</v>
      </c>
      <c r="P74" s="2305">
        <v>71</v>
      </c>
      <c r="Q74" s="2256"/>
      <c r="R74" s="843"/>
      <c r="S74" s="843"/>
      <c r="T74" s="843"/>
      <c r="U74" s="843"/>
      <c r="V74" s="677"/>
      <c r="W74" s="677"/>
      <c r="X74" s="677"/>
    </row>
    <row r="75" spans="1:24" ht="16" customHeight="1">
      <c r="A75" s="76"/>
      <c r="B75" s="76"/>
      <c r="C75" s="76"/>
      <c r="D75" s="76"/>
      <c r="E75" s="76"/>
      <c r="P75" s="76"/>
      <c r="Q75" s="2256"/>
      <c r="R75" s="843"/>
      <c r="S75" s="843"/>
      <c r="T75" s="843"/>
      <c r="U75" s="843"/>
      <c r="V75" s="677"/>
      <c r="W75" s="677"/>
      <c r="X75" s="677"/>
    </row>
    <row r="76" spans="1:24" ht="12.5" hidden="1">
      <c r="A76" s="3"/>
      <c r="B76" s="3"/>
      <c r="C76" s="3"/>
      <c r="D76" s="3"/>
      <c r="E76" s="3"/>
      <c r="F76" s="3"/>
      <c r="G76" s="3"/>
      <c r="H76" s="3"/>
      <c r="I76" s="16"/>
      <c r="J76" s="3"/>
      <c r="K76" s="3"/>
      <c r="L76" s="3"/>
      <c r="M76" s="3"/>
      <c r="N76" s="3"/>
      <c r="O76" s="3"/>
      <c r="P76" s="3"/>
      <c r="Q76" s="660"/>
    </row>
    <row r="77" spans="1:24" ht="12.5" hidden="1">
      <c r="A77" s="3"/>
      <c r="B77" s="3"/>
      <c r="C77" s="3"/>
      <c r="D77" s="3"/>
      <c r="E77" s="3"/>
      <c r="F77" s="3"/>
      <c r="G77" s="3"/>
      <c r="H77" s="3"/>
      <c r="I77" s="3"/>
      <c r="J77" s="3"/>
      <c r="K77" s="3"/>
      <c r="L77" s="3"/>
      <c r="M77" s="3"/>
      <c r="N77" s="16"/>
      <c r="O77" s="3"/>
      <c r="P77" s="3"/>
      <c r="Q77" s="660"/>
    </row>
    <row r="78" spans="1:24" ht="12.5" hidden="1">
      <c r="D78" s="654" t="s">
        <v>171</v>
      </c>
      <c r="E78" s="2344" t="s">
        <v>88</v>
      </c>
      <c r="F78" s="654" t="s">
        <v>172</v>
      </c>
      <c r="I78" s="655"/>
    </row>
    <row r="79" spans="1:24" ht="12.5" hidden="1">
      <c r="D79" s="654" t="s">
        <v>173</v>
      </c>
      <c r="E79" s="2344" t="s">
        <v>88</v>
      </c>
      <c r="F79" s="654" t="s">
        <v>174</v>
      </c>
    </row>
    <row r="80" spans="1:24" ht="12.5" hidden="1"/>
    <row r="81" ht="12.5" hidden="1"/>
    <row r="82" ht="12.5" hidden="1"/>
    <row r="83" ht="12.5" hidden="1"/>
    <row r="84" ht="12.5" hidden="1"/>
    <row r="85" ht="12.5" hidden="1"/>
    <row r="86" ht="12.5" hidden="1"/>
    <row r="87" ht="12.5" hidden="1"/>
    <row r="88" ht="12.5" hidden="1"/>
    <row r="89" ht="12.5" hidden="1"/>
    <row r="90" ht="12.5" hidden="1"/>
    <row r="91" ht="12.5" hidden="1"/>
    <row r="92" ht="12.5" hidden="1"/>
    <row r="93" ht="12.5" hidden="1"/>
    <row r="94" ht="12.5" hidden="1"/>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sheetData>
  <sheetProtection algorithmName="SHA-512" hashValue="Yf1ugkWeShVTBJ11VhyNwKBQV7eo5Q4smKDO2znucT3O2ZUiUJ/I+n0w+vEsc8TW9cTEQXi5zaIQSG++F3qpxw==" saltValue="TRzhaLCByD0NhlrjiIh4rg==" spinCount="100000" sheet="1" objects="1" scenarios="1"/>
  <mergeCells count="3">
    <mergeCell ref="B1:D1"/>
    <mergeCell ref="C2:D3"/>
    <mergeCell ref="C38:D39"/>
  </mergeCells>
  <phoneticPr fontId="7" type="noConversion"/>
  <dataValidations count="1">
    <dataValidation type="whole" allowBlank="1" showInputMessage="1" showErrorMessage="1" errorTitle="Erreur d'Entrée!" error="Seulement des valeurs numériques peuvent être enregistrées dans ce champ!_x000a_" sqref="K49:M71 F49:H71 F13:H35 K4:M11 F4:H11 K40:M47 F40:H47 K13:M35" xr:uid="{00000000-0002-0000-0C00-000000000000}">
      <formula1>-999999999999</formula1>
      <formula2>9999999999999</formula2>
    </dataValidation>
  </dataValidations>
  <pageMargins left="0.25" right="0.25" top="0.25" bottom="0.25" header="0.5" footer="0.5"/>
  <pageSetup scale="63" orientation="portrait" horizontalDpi="180" verticalDpi="180"/>
  <headerFooter alignWithMargins="0"/>
  <drawing r:id="rId1"/>
  <legacyDrawing r:id="rId2"/>
  <controls>
    <mc:AlternateContent xmlns:mc="http://schemas.openxmlformats.org/markup-compatibility/2006">
      <mc:Choice Requires="x14">
        <control shapeId="40961" r:id="rId3" name="CommandButton5l">
          <controlPr defaultSize="0" print="0" autoFill="0" autoLine="0" r:id="rId4">
            <anchor moveWithCells="1">
              <from>
                <xdr:col>11</xdr:col>
                <xdr:colOff>717550</xdr:colOff>
                <xdr:row>0</xdr:row>
                <xdr:rowOff>0</xdr:rowOff>
              </from>
              <to>
                <xdr:col>13</xdr:col>
                <xdr:colOff>114300</xdr:colOff>
                <xdr:row>0</xdr:row>
                <xdr:rowOff>285750</xdr:rowOff>
              </to>
            </anchor>
          </controlPr>
        </control>
      </mc:Choice>
      <mc:Fallback>
        <control shapeId="40961" r:id="rId3" name="CommandButton5l"/>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pageSetUpPr autoPageBreaks="0" fitToPage="1"/>
  </sheetPr>
  <dimension ref="A1:AB76"/>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3.1796875" style="654" customWidth="1"/>
    <col min="4" max="4" width="36.453125" style="654" customWidth="1"/>
    <col min="5" max="5" width="5.179687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8.81640625" style="661" hidden="1" customWidth="1"/>
    <col min="22" max="24" width="8.81640625" style="654" hidden="1" customWidth="1"/>
    <col min="25" max="25" width="5.54296875" style="654" hidden="1" customWidth="1"/>
    <col min="26" max="26" width="6.1796875" style="654" hidden="1" customWidth="1"/>
    <col min="27" max="27" width="12" style="654" hidden="1" customWidth="1"/>
    <col min="28" max="28" width="0" style="654" hidden="1" customWidth="1"/>
    <col min="29" max="29" width="8.81640625" style="654" hidden="1" customWidth="1"/>
    <col min="30" max="16384" width="8.81640625" style="654" hidden="1"/>
  </cols>
  <sheetData>
    <row r="1" spans="1:24" s="569" customFormat="1" ht="24.75" customHeight="1">
      <c r="A1" s="76"/>
      <c r="B1" s="2763"/>
      <c r="C1" s="2763"/>
      <c r="D1" s="2763"/>
      <c r="E1" s="59" t="s">
        <v>455</v>
      </c>
      <c r="F1" s="60"/>
      <c r="G1" s="60"/>
      <c r="H1" s="60"/>
      <c r="I1" s="60"/>
      <c r="J1" s="60"/>
      <c r="K1" s="60"/>
      <c r="L1" s="61"/>
      <c r="M1" s="61"/>
      <c r="N1" s="273"/>
      <c r="O1" s="641"/>
      <c r="P1" s="62" t="str">
        <f>TBIn!$E$2458&amp;" - "&amp;TBIn!$AH$10&amp;" - PAGE 5 PARCS"</f>
        <v>319719 - 202504 - PAGE 5 PARCS</v>
      </c>
      <c r="Q1" s="643" t="s">
        <v>93</v>
      </c>
      <c r="R1" s="643" t="s">
        <v>94</v>
      </c>
      <c r="S1" s="643" t="s">
        <v>95</v>
      </c>
      <c r="T1" s="643" t="s">
        <v>94</v>
      </c>
      <c r="U1" s="643" t="s">
        <v>95</v>
      </c>
      <c r="V1" s="568"/>
      <c r="W1" s="568"/>
      <c r="X1" s="568"/>
    </row>
    <row r="2" spans="1:24" s="569" customFormat="1" ht="16" customHeight="1">
      <c r="A2" s="67" t="s">
        <v>1</v>
      </c>
      <c r="B2" s="318" t="s">
        <v>527</v>
      </c>
      <c r="C2" s="1111"/>
      <c r="D2" s="259"/>
      <c r="E2" s="189" t="s">
        <v>97</v>
      </c>
      <c r="F2" s="1240"/>
      <c r="G2" s="1241" t="s">
        <v>7</v>
      </c>
      <c r="H2" s="1241"/>
      <c r="I2" s="1241"/>
      <c r="J2" s="1242"/>
      <c r="K2" s="1243"/>
      <c r="L2" s="347" t="s">
        <v>8</v>
      </c>
      <c r="M2" s="1244"/>
      <c r="N2" s="1244"/>
      <c r="O2" s="1245"/>
      <c r="P2" s="67" t="s">
        <v>1</v>
      </c>
      <c r="Q2" s="643" t="s">
        <v>98</v>
      </c>
      <c r="R2" s="643" t="s">
        <v>98</v>
      </c>
      <c r="S2" s="643" t="s">
        <v>98</v>
      </c>
      <c r="T2" s="643" t="s">
        <v>99</v>
      </c>
      <c r="U2" s="643" t="s">
        <v>99</v>
      </c>
      <c r="V2" s="568"/>
      <c r="W2" s="568"/>
      <c r="X2" s="568"/>
    </row>
    <row r="3" spans="1:24" s="569" customFormat="1" ht="16" customHeight="1">
      <c r="A3" s="71" t="s">
        <v>6</v>
      </c>
      <c r="B3" s="1112"/>
      <c r="C3" s="1113"/>
      <c r="D3" s="261"/>
      <c r="E3" s="275" t="s">
        <v>101</v>
      </c>
      <c r="F3" s="1232" t="s">
        <v>102</v>
      </c>
      <c r="G3" s="1233" t="s">
        <v>103</v>
      </c>
      <c r="H3" s="1233" t="s">
        <v>104</v>
      </c>
      <c r="I3" s="1233" t="s">
        <v>105</v>
      </c>
      <c r="J3" s="1234" t="s">
        <v>106</v>
      </c>
      <c r="K3" s="1235" t="s">
        <v>102</v>
      </c>
      <c r="L3" s="1236" t="s">
        <v>103</v>
      </c>
      <c r="M3" s="1236" t="s">
        <v>104</v>
      </c>
      <c r="N3" s="1236" t="s">
        <v>105</v>
      </c>
      <c r="O3" s="1237" t="s">
        <v>106</v>
      </c>
      <c r="P3" s="71" t="s">
        <v>6</v>
      </c>
      <c r="Q3" s="643" t="s">
        <v>107</v>
      </c>
      <c r="R3" s="643" t="s">
        <v>108</v>
      </c>
      <c r="S3" s="643" t="s">
        <v>108</v>
      </c>
      <c r="T3" s="643" t="s">
        <v>108</v>
      </c>
      <c r="U3" s="643" t="s">
        <v>108</v>
      </c>
      <c r="V3" s="568"/>
      <c r="W3" s="568"/>
      <c r="X3" s="568"/>
    </row>
    <row r="4" spans="1:24" s="569" customFormat="1" ht="16" customHeight="1">
      <c r="A4" s="74">
        <v>1</v>
      </c>
      <c r="B4" s="215"/>
      <c r="C4" s="124" t="str">
        <f>OR_VEH!B502</f>
        <v>CHEVROLET VOITURES MCI</v>
      </c>
      <c r="D4" s="2300"/>
      <c r="E4" s="2304" t="s">
        <v>528</v>
      </c>
      <c r="F4" s="2302">
        <f>IF(Flag=TRUE,K4-TBIn!E689,TBIn!D689)</f>
        <v>0</v>
      </c>
      <c r="G4" s="2599">
        <f>IF(Flag=TRUE,L4-TBIn!E615,TBIn!D615)</f>
        <v>0</v>
      </c>
      <c r="H4" s="2598">
        <f>IF(Flag=TRUE,M4-(TBIn!E649),TBIn!D649)</f>
        <v>0</v>
      </c>
      <c r="I4" s="551">
        <f t="shared" ref="I4:I12" si="0">G4-H4</f>
        <v>0</v>
      </c>
      <c r="J4" s="1507">
        <f>IF(F4&gt;0,I4/F4,0)</f>
        <v>0</v>
      </c>
      <c r="K4" s="720">
        <f>TBIn!E689</f>
        <v>0</v>
      </c>
      <c r="L4" s="2602">
        <f>TBIn!E615</f>
        <v>0</v>
      </c>
      <c r="M4" s="2602">
        <f>TBIn!E649</f>
        <v>0</v>
      </c>
      <c r="N4" s="554">
        <f>L4-M4</f>
        <v>0</v>
      </c>
      <c r="O4" s="646">
        <f t="shared" ref="O4:O11" si="1">IF(K4&gt;0,N4/K4,0)</f>
        <v>0</v>
      </c>
      <c r="P4" s="74">
        <v>1</v>
      </c>
      <c r="Q4" s="644">
        <v>0</v>
      </c>
      <c r="R4" s="656">
        <f>IF(F4=0,0,IF(G4/F4&gt;Q4,1,0))</f>
        <v>0</v>
      </c>
      <c r="S4" s="656">
        <f>IF(K4=0,0,IF(OR(L4&lt;0,L4/K4&gt;Q4),1,0))</f>
        <v>0</v>
      </c>
      <c r="T4" s="656">
        <f>IF(OR(F4&lt;0,AND(G4&gt;0,F4=0),AND(G4=0,F4&gt;0)),1,0)</f>
        <v>0</v>
      </c>
      <c r="U4" s="656">
        <f>IF(OR(K4&lt;0,AND(L4&gt;0,K4=0),AND(K4&gt;0,L4=0)),1,0)</f>
        <v>0</v>
      </c>
      <c r="V4" s="568"/>
      <c r="W4" s="568"/>
      <c r="X4" s="568"/>
    </row>
    <row r="5" spans="1:24" s="569" customFormat="1" ht="16" customHeight="1">
      <c r="A5" s="80">
        <v>2</v>
      </c>
      <c r="B5" s="275" t="s">
        <v>145</v>
      </c>
      <c r="C5" s="124" t="str">
        <f>OR_VEH!B503</f>
        <v>CHEVROLET VOITURES VE</v>
      </c>
      <c r="D5" s="2301"/>
      <c r="E5" s="2304" t="s">
        <v>529</v>
      </c>
      <c r="F5" s="2303">
        <f>IF(Flag=TRUE,K5-TBIn!E690,TBIn!D690)</f>
        <v>0</v>
      </c>
      <c r="G5" s="2599">
        <f>IF(Flag=TRUE,L5-TBIn!E616,TBIn!D616)</f>
        <v>0</v>
      </c>
      <c r="H5" s="2599">
        <f>IF(Flag=TRUE,M5-(TBIn!E650),TBIn!D650)</f>
        <v>0</v>
      </c>
      <c r="I5" s="552">
        <f t="shared" si="0"/>
        <v>0</v>
      </c>
      <c r="J5" s="647">
        <f t="shared" ref="J5:J13" si="2">IF(F5&gt;0,I5/F5,0)</f>
        <v>0</v>
      </c>
      <c r="K5" s="721">
        <f>TBIn!E690</f>
        <v>0</v>
      </c>
      <c r="L5" s="2574">
        <f>TBIn!E616</f>
        <v>0</v>
      </c>
      <c r="M5" s="2574">
        <f>TBIn!E650</f>
        <v>0</v>
      </c>
      <c r="N5" s="555">
        <f t="shared" ref="N5:N11" si="3">L5-M5</f>
        <v>0</v>
      </c>
      <c r="O5" s="648">
        <f t="shared" si="1"/>
        <v>0</v>
      </c>
      <c r="P5" s="80">
        <v>2</v>
      </c>
      <c r="Q5" s="644">
        <v>45000</v>
      </c>
      <c r="R5" s="656">
        <f t="shared" ref="R5:R51" si="4">IF(F5=0,0,IF(G5/F5&gt;Q5,1,0))</f>
        <v>0</v>
      </c>
      <c r="S5" s="656">
        <f t="shared" ref="S5:S22" si="5">IF(K5=0,0,IF(OR(L5&lt;0,L5/K5&gt;Q5),1,0))</f>
        <v>0</v>
      </c>
      <c r="T5" s="656">
        <f t="shared" ref="T5:T22" si="6">IF(OR(F5&lt;0,AND(G5&gt;0,F5=0),AND(G5=0,F5&gt;0)),1,0)</f>
        <v>0</v>
      </c>
      <c r="U5" s="656">
        <f t="shared" ref="U5:U22" si="7">IF(OR(K5&lt;0,AND(L5&gt;0,K5=0),AND(K5&gt;0,L5=0)),1,0)</f>
        <v>0</v>
      </c>
      <c r="V5" s="568"/>
      <c r="W5" s="568"/>
      <c r="X5" s="568"/>
    </row>
    <row r="6" spans="1:24" s="569" customFormat="1" ht="15.75" customHeight="1">
      <c r="A6" s="80">
        <v>3</v>
      </c>
      <c r="B6" s="275" t="s">
        <v>118</v>
      </c>
      <c r="C6" s="124" t="str">
        <f>OR_VEH!B504</f>
        <v>BUICK VOITURES MCI</v>
      </c>
      <c r="D6" s="2301"/>
      <c r="E6" s="2304" t="s">
        <v>530</v>
      </c>
      <c r="F6" s="2303">
        <f>IF(Flag=TRUE,K6-TBIn!E691,TBIn!D691)</f>
        <v>0</v>
      </c>
      <c r="G6" s="2599">
        <f>IF(Flag=TRUE,L6-TBIn!E617,TBIn!D617)</f>
        <v>0</v>
      </c>
      <c r="H6" s="2599">
        <f>IF(Flag=TRUE,M6-(TBIn!E651),TBIn!D651)</f>
        <v>0</v>
      </c>
      <c r="I6" s="552">
        <f t="shared" si="0"/>
        <v>0</v>
      </c>
      <c r="J6" s="647">
        <f t="shared" si="2"/>
        <v>0</v>
      </c>
      <c r="K6" s="721">
        <f>TBIn!E691</f>
        <v>0</v>
      </c>
      <c r="L6" s="2574">
        <f>TBIn!E617</f>
        <v>0</v>
      </c>
      <c r="M6" s="2574">
        <f>TBIn!E651</f>
        <v>0</v>
      </c>
      <c r="N6" s="555">
        <f t="shared" si="3"/>
        <v>0</v>
      </c>
      <c r="O6" s="648">
        <f t="shared" si="1"/>
        <v>0</v>
      </c>
      <c r="P6" s="80">
        <v>3</v>
      </c>
      <c r="Q6" s="644">
        <v>50000</v>
      </c>
      <c r="R6" s="656">
        <f t="shared" si="4"/>
        <v>0</v>
      </c>
      <c r="S6" s="656">
        <f t="shared" si="5"/>
        <v>0</v>
      </c>
      <c r="T6" s="656">
        <f t="shared" si="6"/>
        <v>0</v>
      </c>
      <c r="U6" s="656">
        <f t="shared" si="7"/>
        <v>0</v>
      </c>
      <c r="V6" s="568"/>
      <c r="W6" s="568"/>
      <c r="X6" s="568"/>
    </row>
    <row r="7" spans="1:24" s="569" customFormat="1" ht="15.75" customHeight="1">
      <c r="A7" s="80">
        <v>4</v>
      </c>
      <c r="B7" s="275" t="s">
        <v>116</v>
      </c>
      <c r="C7" s="124" t="str">
        <f>OR_VEH!B505</f>
        <v>BUICK VOITURES VE</v>
      </c>
      <c r="D7" s="2301"/>
      <c r="E7" s="2304" t="s">
        <v>531</v>
      </c>
      <c r="F7" s="2303">
        <f>IF(Flag=TRUE,K7-TBIn!E692,TBIn!D692)</f>
        <v>0</v>
      </c>
      <c r="G7" s="2599">
        <f>IF(Flag=TRUE,L7-TBIn!E618,TBIn!D618)</f>
        <v>0</v>
      </c>
      <c r="H7" s="2599">
        <f>IF(Flag=TRUE,M7-(TBIn!E652),TBIn!D652)</f>
        <v>0</v>
      </c>
      <c r="I7" s="552">
        <f t="shared" si="0"/>
        <v>0</v>
      </c>
      <c r="J7" s="647">
        <f t="shared" si="2"/>
        <v>0</v>
      </c>
      <c r="K7" s="721">
        <f>TBIn!E692</f>
        <v>0</v>
      </c>
      <c r="L7" s="2574">
        <f>TBIn!E618</f>
        <v>0</v>
      </c>
      <c r="M7" s="2574">
        <f>TBIn!E652</f>
        <v>0</v>
      </c>
      <c r="N7" s="555">
        <f t="shared" si="3"/>
        <v>0</v>
      </c>
      <c r="O7" s="648">
        <f t="shared" si="1"/>
        <v>0</v>
      </c>
      <c r="P7" s="80">
        <v>4</v>
      </c>
      <c r="Q7" s="644">
        <v>55000</v>
      </c>
      <c r="R7" s="656">
        <f t="shared" si="4"/>
        <v>0</v>
      </c>
      <c r="S7" s="656">
        <f t="shared" si="5"/>
        <v>0</v>
      </c>
      <c r="T7" s="656">
        <f t="shared" si="6"/>
        <v>0</v>
      </c>
      <c r="U7" s="656">
        <f t="shared" si="7"/>
        <v>0</v>
      </c>
      <c r="V7" s="568"/>
      <c r="W7" s="568"/>
      <c r="X7" s="568"/>
    </row>
    <row r="8" spans="1:24" s="569" customFormat="1" ht="15.75" customHeight="1">
      <c r="A8" s="80">
        <v>5</v>
      </c>
      <c r="B8" s="275" t="s">
        <v>112</v>
      </c>
      <c r="C8" s="124" t="str">
        <f>OR_VEH!B506</f>
        <v>CADILLAC VOITURES MCI</v>
      </c>
      <c r="D8" s="2301"/>
      <c r="E8" s="2304" t="s">
        <v>532</v>
      </c>
      <c r="F8" s="2303">
        <f>IF(Flag=TRUE,K8-TBIn!E693,TBIn!D693)</f>
        <v>0</v>
      </c>
      <c r="G8" s="2599">
        <f>IF(Flag=TRUE,L8-TBIn!E619,TBIn!D619)</f>
        <v>0</v>
      </c>
      <c r="H8" s="2599">
        <f>IF(Flag=TRUE,M8-(TBIn!E653),TBIn!D653)</f>
        <v>0</v>
      </c>
      <c r="I8" s="552">
        <f t="shared" si="0"/>
        <v>0</v>
      </c>
      <c r="J8" s="647">
        <f t="shared" si="2"/>
        <v>0</v>
      </c>
      <c r="K8" s="721">
        <f>TBIn!E693</f>
        <v>0</v>
      </c>
      <c r="L8" s="2574">
        <f>TBIn!E619</f>
        <v>0</v>
      </c>
      <c r="M8" s="2574">
        <f>TBIn!E653</f>
        <v>0</v>
      </c>
      <c r="N8" s="555">
        <f t="shared" si="3"/>
        <v>0</v>
      </c>
      <c r="O8" s="648">
        <f t="shared" si="1"/>
        <v>0</v>
      </c>
      <c r="P8" s="80">
        <v>5</v>
      </c>
      <c r="Q8" s="644">
        <v>40000</v>
      </c>
      <c r="R8" s="656">
        <f t="shared" si="4"/>
        <v>0</v>
      </c>
      <c r="S8" s="656">
        <f t="shared" si="5"/>
        <v>0</v>
      </c>
      <c r="T8" s="656">
        <f t="shared" si="6"/>
        <v>0</v>
      </c>
      <c r="U8" s="656">
        <f t="shared" si="7"/>
        <v>0</v>
      </c>
      <c r="V8" s="568"/>
      <c r="W8" s="568"/>
      <c r="X8" s="568"/>
    </row>
    <row r="9" spans="1:24" s="569" customFormat="1" ht="15.75" customHeight="1">
      <c r="A9" s="80">
        <v>6</v>
      </c>
      <c r="B9" s="275" t="s">
        <v>124</v>
      </c>
      <c r="C9" s="124" t="str">
        <f>OR_VEH!B507</f>
        <v>CADILLAC VOITURES VE</v>
      </c>
      <c r="D9" s="2301"/>
      <c r="E9" s="2304" t="s">
        <v>533</v>
      </c>
      <c r="F9" s="2303">
        <f>IF(Flag=TRUE,K9-TBIn!E694,TBIn!D694)</f>
        <v>0</v>
      </c>
      <c r="G9" s="2599">
        <f>IF(Flag=TRUE,L9-TBIn!E620,TBIn!D620)</f>
        <v>0</v>
      </c>
      <c r="H9" s="2599">
        <f>IF(Flag=TRUE,M9-(TBIn!E654),TBIn!D654)</f>
        <v>0</v>
      </c>
      <c r="I9" s="552">
        <f t="shared" si="0"/>
        <v>0</v>
      </c>
      <c r="J9" s="647">
        <f t="shared" si="2"/>
        <v>0</v>
      </c>
      <c r="K9" s="721">
        <f>TBIn!E694</f>
        <v>0</v>
      </c>
      <c r="L9" s="2574">
        <f>TBIn!E620</f>
        <v>0</v>
      </c>
      <c r="M9" s="2574">
        <f>TBIn!E654</f>
        <v>0</v>
      </c>
      <c r="N9" s="555">
        <f t="shared" si="3"/>
        <v>0</v>
      </c>
      <c r="O9" s="587">
        <f t="shared" si="1"/>
        <v>0</v>
      </c>
      <c r="P9" s="80">
        <v>6</v>
      </c>
      <c r="Q9" s="827">
        <v>60000</v>
      </c>
      <c r="R9" s="712">
        <f t="shared" si="4"/>
        <v>0</v>
      </c>
      <c r="S9" s="656">
        <f t="shared" si="5"/>
        <v>0</v>
      </c>
      <c r="T9" s="656">
        <f t="shared" si="6"/>
        <v>0</v>
      </c>
      <c r="U9" s="656">
        <f t="shared" si="7"/>
        <v>0</v>
      </c>
      <c r="V9" s="568"/>
      <c r="W9" s="568"/>
      <c r="X9" s="568"/>
    </row>
    <row r="10" spans="1:24" s="569" customFormat="1" ht="15.75" customHeight="1">
      <c r="A10" s="80">
        <v>7</v>
      </c>
      <c r="B10" s="275"/>
      <c r="C10" s="124" t="str">
        <f>OR_VEH!B508</f>
        <v>NE PAS UTILISER</v>
      </c>
      <c r="D10" s="2301"/>
      <c r="E10" s="2304" t="s">
        <v>534</v>
      </c>
      <c r="F10" s="2303">
        <f>IF(Flag=TRUE,K10-TBIn!E695,TBIn!D695)</f>
        <v>0</v>
      </c>
      <c r="G10" s="2599">
        <f>IF(Flag=TRUE,L10-TBIn!E621,TBIn!D621)</f>
        <v>0</v>
      </c>
      <c r="H10" s="2599">
        <f>IF(Flag=TRUE,M10-(TBIn!E655),TBIn!D655)</f>
        <v>0</v>
      </c>
      <c r="I10" s="552">
        <f t="shared" si="0"/>
        <v>0</v>
      </c>
      <c r="J10" s="647">
        <f t="shared" si="2"/>
        <v>0</v>
      </c>
      <c r="K10" s="721">
        <f>TBIn!E695</f>
        <v>0</v>
      </c>
      <c r="L10" s="2574">
        <f>TBIn!E621</f>
        <v>0</v>
      </c>
      <c r="M10" s="2574">
        <f>TBIn!E655</f>
        <v>0</v>
      </c>
      <c r="N10" s="555">
        <f t="shared" si="3"/>
        <v>0</v>
      </c>
      <c r="O10" s="648">
        <f t="shared" si="1"/>
        <v>0</v>
      </c>
      <c r="P10" s="80">
        <v>7</v>
      </c>
      <c r="Q10" s="644">
        <v>45000</v>
      </c>
      <c r="R10" s="656">
        <f t="shared" si="4"/>
        <v>0</v>
      </c>
      <c r="S10" s="656">
        <f t="shared" si="5"/>
        <v>0</v>
      </c>
      <c r="T10" s="656">
        <f t="shared" si="6"/>
        <v>0</v>
      </c>
      <c r="U10" s="656">
        <f t="shared" si="7"/>
        <v>0</v>
      </c>
      <c r="V10" s="568"/>
      <c r="W10" s="568"/>
      <c r="X10" s="568"/>
    </row>
    <row r="11" spans="1:24" s="569" customFormat="1" ht="15.75" customHeight="1">
      <c r="A11" s="80">
        <v>8</v>
      </c>
      <c r="B11" s="275"/>
      <c r="C11" s="2370" t="str">
        <f>OR_VEH!B509</f>
        <v>NE PAS UTILISER</v>
      </c>
      <c r="D11" s="2310"/>
      <c r="E11" s="2311" t="s">
        <v>535</v>
      </c>
      <c r="F11" s="2141">
        <f>IF(Flag=TRUE,K11-TBIn!E696,TBIn!D696)</f>
        <v>0</v>
      </c>
      <c r="G11" s="2600">
        <f>IF(Flag=TRUE,L11-TBIn!E622,TBIn!D622)</f>
        <v>0</v>
      </c>
      <c r="H11" s="2600">
        <f>IF(Flag=TRUE,M11-(TBIn!E656),TBIn!D656)</f>
        <v>0</v>
      </c>
      <c r="I11" s="553">
        <f t="shared" si="0"/>
        <v>0</v>
      </c>
      <c r="J11" s="657">
        <f t="shared" si="2"/>
        <v>0</v>
      </c>
      <c r="K11" s="722">
        <f>TBIn!E696</f>
        <v>0</v>
      </c>
      <c r="L11" s="2603">
        <f>TBIn!E622</f>
        <v>0</v>
      </c>
      <c r="M11" s="2603">
        <f>TBIn!E656</f>
        <v>0</v>
      </c>
      <c r="N11" s="556">
        <f t="shared" si="3"/>
        <v>0</v>
      </c>
      <c r="O11" s="658">
        <f t="shared" si="1"/>
        <v>0</v>
      </c>
      <c r="P11" s="80">
        <v>8</v>
      </c>
      <c r="Q11" s="644">
        <v>0</v>
      </c>
      <c r="R11" s="656">
        <f t="shared" si="4"/>
        <v>0</v>
      </c>
      <c r="S11" s="656">
        <f t="shared" si="5"/>
        <v>0</v>
      </c>
      <c r="T11" s="656">
        <f t="shared" si="6"/>
        <v>0</v>
      </c>
      <c r="U11" s="656">
        <f t="shared" si="7"/>
        <v>0</v>
      </c>
      <c r="V11" s="568"/>
      <c r="W11" s="568"/>
      <c r="X11" s="568"/>
    </row>
    <row r="12" spans="1:24" s="569" customFormat="1" ht="15.75" customHeight="1">
      <c r="A12" s="80">
        <v>9</v>
      </c>
      <c r="B12" s="195"/>
      <c r="C12" s="2487" t="s">
        <v>536</v>
      </c>
      <c r="D12" s="2312"/>
      <c r="E12" s="2361"/>
      <c r="F12" s="2377">
        <f>SUM(F4:F11)</f>
        <v>0</v>
      </c>
      <c r="G12" s="2358">
        <f t="shared" ref="G12:H12" si="8">SUM(G4:G11)</f>
        <v>0</v>
      </c>
      <c r="H12" s="2358">
        <f t="shared" si="8"/>
        <v>0</v>
      </c>
      <c r="I12" s="2358">
        <f t="shared" si="0"/>
        <v>0</v>
      </c>
      <c r="J12" s="2378">
        <f t="shared" si="2"/>
        <v>0</v>
      </c>
      <c r="K12" s="2394">
        <f>SUM(K4:K11)</f>
        <v>0</v>
      </c>
      <c r="L12" s="2358">
        <f t="shared" ref="L12:M12" si="9">SUM(L4:L11)</f>
        <v>0</v>
      </c>
      <c r="M12" s="2358">
        <f t="shared" si="9"/>
        <v>0</v>
      </c>
      <c r="N12" s="2358">
        <f t="shared" ref="N12:N16" si="10">L12-M12</f>
        <v>0</v>
      </c>
      <c r="O12" s="2359">
        <f t="shared" ref="O12:O16" si="11">IF(K12&gt;0,N12/K12,0)</f>
        <v>0</v>
      </c>
      <c r="P12" s="80">
        <v>9</v>
      </c>
      <c r="Q12" s="644">
        <v>0</v>
      </c>
      <c r="R12" s="656">
        <f t="shared" si="4"/>
        <v>0</v>
      </c>
      <c r="S12" s="656">
        <f t="shared" si="5"/>
        <v>0</v>
      </c>
      <c r="T12" s="656">
        <f t="shared" si="6"/>
        <v>0</v>
      </c>
      <c r="U12" s="656">
        <f t="shared" si="7"/>
        <v>0</v>
      </c>
      <c r="V12" s="568"/>
      <c r="W12" s="568"/>
      <c r="X12" s="568"/>
    </row>
    <row r="13" spans="1:24" s="569" customFormat="1" ht="15.75" customHeight="1">
      <c r="A13" s="80">
        <v>10</v>
      </c>
      <c r="B13" s="189" t="s">
        <v>143</v>
      </c>
      <c r="C13" s="103" t="str">
        <f>OR_VEH!B511</f>
        <v>BUICK / CADILLAC PETIT VUS VE</v>
      </c>
      <c r="D13" s="2301"/>
      <c r="E13" s="2352" t="s">
        <v>537</v>
      </c>
      <c r="F13" s="2142">
        <f>IF(Flag=TRUE,K13-TBIn!E698,TBIn!D698)</f>
        <v>0</v>
      </c>
      <c r="G13" s="2599">
        <f>IF(Flag=TRUE,L13-TBIn!E624,TBIn!D624)</f>
        <v>0</v>
      </c>
      <c r="H13" s="2599">
        <f>IF(Flag=TRUE,M13-(TBIn!E658),TBIn!D658)</f>
        <v>0</v>
      </c>
      <c r="I13" s="2299">
        <f>G13-H13</f>
        <v>0</v>
      </c>
      <c r="J13" s="2395">
        <f t="shared" si="2"/>
        <v>0</v>
      </c>
      <c r="K13" s="2334">
        <f>TBIn!E698</f>
        <v>0</v>
      </c>
      <c r="L13" s="2602">
        <f>TBIn!E624</f>
        <v>0</v>
      </c>
      <c r="M13" s="2602">
        <f>TBIn!E658</f>
        <v>0</v>
      </c>
      <c r="N13" s="944">
        <f t="shared" si="10"/>
        <v>0</v>
      </c>
      <c r="O13" s="2335">
        <f t="shared" si="11"/>
        <v>0</v>
      </c>
      <c r="P13" s="2305">
        <v>10</v>
      </c>
      <c r="Q13" s="644">
        <v>0</v>
      </c>
      <c r="R13" s="656">
        <f t="shared" si="4"/>
        <v>0</v>
      </c>
      <c r="S13" s="656">
        <f t="shared" si="5"/>
        <v>0</v>
      </c>
      <c r="T13" s="656">
        <f t="shared" si="6"/>
        <v>0</v>
      </c>
      <c r="U13" s="656">
        <f t="shared" si="7"/>
        <v>0</v>
      </c>
      <c r="V13" s="568"/>
      <c r="W13" s="568"/>
      <c r="X13" s="568"/>
    </row>
    <row r="14" spans="1:24" s="569" customFormat="1" ht="15.75" customHeight="1">
      <c r="A14" s="80">
        <v>11</v>
      </c>
      <c r="B14" s="275" t="s">
        <v>145</v>
      </c>
      <c r="C14" s="2318" t="str">
        <f>OR_VEH!B512</f>
        <v>BUICK / CADILLAC PETIT VUS MCI</v>
      </c>
      <c r="D14" s="2301"/>
      <c r="E14" s="2353" t="s">
        <v>538</v>
      </c>
      <c r="F14" s="2330">
        <f>IF(Flag=TRUE,K14-TBIn!E699,TBIn!D699)</f>
        <v>2</v>
      </c>
      <c r="G14" s="2613">
        <f>IF(Flag=TRUE,L14-TBIn!E625,TBIn!D625)</f>
        <v>91712</v>
      </c>
      <c r="H14" s="2613">
        <f>IF(Flag=TRUE,M14-(TBIn!E659),TBIn!D659)</f>
        <v>88815</v>
      </c>
      <c r="I14" s="2306">
        <f t="shared" ref="I14:I35" si="12">G14-H14</f>
        <v>2897</v>
      </c>
      <c r="J14" s="2375">
        <f t="shared" ref="J14:J35" si="13">IF(F14&gt;0,I14/F14,0)</f>
        <v>1448.5</v>
      </c>
      <c r="K14" s="1867">
        <f>TBIn!E699</f>
        <v>3</v>
      </c>
      <c r="L14" s="2615">
        <f>TBIn!E625</f>
        <v>137560</v>
      </c>
      <c r="M14" s="2615">
        <f>TBIn!E659</f>
        <v>135376</v>
      </c>
      <c r="N14" s="945">
        <f t="shared" si="10"/>
        <v>2184</v>
      </c>
      <c r="O14" s="2336">
        <f t="shared" si="11"/>
        <v>728</v>
      </c>
      <c r="P14" s="2305">
        <v>11</v>
      </c>
      <c r="Q14" s="644">
        <v>0</v>
      </c>
      <c r="R14" s="656">
        <f t="shared" si="4"/>
        <v>1</v>
      </c>
      <c r="S14" s="656">
        <f t="shared" si="5"/>
        <v>1</v>
      </c>
      <c r="T14" s="656">
        <f t="shared" si="6"/>
        <v>0</v>
      </c>
      <c r="U14" s="656">
        <f t="shared" si="7"/>
        <v>0</v>
      </c>
      <c r="V14" s="568"/>
      <c r="W14" s="568"/>
      <c r="X14" s="568"/>
    </row>
    <row r="15" spans="1:24" s="569" customFormat="1" ht="15.75" customHeight="1">
      <c r="A15" s="80">
        <v>12</v>
      </c>
      <c r="B15" s="275" t="s">
        <v>147</v>
      </c>
      <c r="C15" s="2318" t="str">
        <f>OR_VEH!B513</f>
        <v>BUICK / CADILLAC MOYEN VUS VE</v>
      </c>
      <c r="D15" s="2301"/>
      <c r="E15" s="2353" t="s">
        <v>539</v>
      </c>
      <c r="F15" s="2330">
        <f>IF(Flag=TRUE,K15-TBIn!E700,TBIn!D700)</f>
        <v>0</v>
      </c>
      <c r="G15" s="2613">
        <f>IF(Flag=TRUE,L15-TBIn!E626,TBIn!D626)</f>
        <v>0</v>
      </c>
      <c r="H15" s="2613">
        <f>IF(Flag=TRUE,M15-(TBIn!E660),TBIn!D660)</f>
        <v>0</v>
      </c>
      <c r="I15" s="2306">
        <f t="shared" si="12"/>
        <v>0</v>
      </c>
      <c r="J15" s="2375">
        <f t="shared" si="13"/>
        <v>0</v>
      </c>
      <c r="K15" s="1867">
        <f>TBIn!E700</f>
        <v>0</v>
      </c>
      <c r="L15" s="2615">
        <f>TBIn!E626</f>
        <v>0</v>
      </c>
      <c r="M15" s="2615">
        <f>TBIn!E660</f>
        <v>0</v>
      </c>
      <c r="N15" s="945">
        <f t="shared" si="10"/>
        <v>0</v>
      </c>
      <c r="O15" s="2336">
        <f t="shared" si="11"/>
        <v>0</v>
      </c>
      <c r="P15" s="2305">
        <v>12</v>
      </c>
      <c r="Q15" s="644">
        <v>0</v>
      </c>
      <c r="R15" s="656">
        <f t="shared" si="4"/>
        <v>0</v>
      </c>
      <c r="S15" s="656">
        <f t="shared" si="5"/>
        <v>0</v>
      </c>
      <c r="T15" s="656">
        <f t="shared" si="6"/>
        <v>0</v>
      </c>
      <c r="U15" s="656">
        <f t="shared" si="7"/>
        <v>0</v>
      </c>
      <c r="V15" s="568"/>
      <c r="W15" s="568"/>
      <c r="X15" s="568"/>
    </row>
    <row r="16" spans="1:24" s="569" customFormat="1" ht="15.75" customHeight="1">
      <c r="A16" s="80">
        <v>13</v>
      </c>
      <c r="B16" s="275"/>
      <c r="C16" s="2318" t="str">
        <f>OR_VEH!B514</f>
        <v>BUICK / CADILLAC MOYEN VUS MCI</v>
      </c>
      <c r="D16" s="2301"/>
      <c r="E16" s="2353" t="s">
        <v>540</v>
      </c>
      <c r="F16" s="2330">
        <f>IF(Flag=TRUE,K16-TBIn!E701,TBIn!D701)</f>
        <v>0</v>
      </c>
      <c r="G16" s="2613">
        <f>IF(Flag=TRUE,L16-TBIn!E627,TBIn!D627)</f>
        <v>0</v>
      </c>
      <c r="H16" s="2613">
        <f>IF(Flag=TRUE,M16-(TBIn!E661),TBIn!D661)</f>
        <v>0</v>
      </c>
      <c r="I16" s="2306">
        <f t="shared" si="12"/>
        <v>0</v>
      </c>
      <c r="J16" s="2375">
        <f t="shared" si="13"/>
        <v>0</v>
      </c>
      <c r="K16" s="1867">
        <f>TBIn!E701</f>
        <v>0</v>
      </c>
      <c r="L16" s="2615">
        <f>TBIn!E627</f>
        <v>0</v>
      </c>
      <c r="M16" s="2615">
        <f>TBIn!E661</f>
        <v>0</v>
      </c>
      <c r="N16" s="945">
        <f t="shared" si="10"/>
        <v>0</v>
      </c>
      <c r="O16" s="2336">
        <f t="shared" si="11"/>
        <v>0</v>
      </c>
      <c r="P16" s="2305">
        <v>13</v>
      </c>
      <c r="Q16" s="644">
        <v>0</v>
      </c>
      <c r="R16" s="656">
        <f t="shared" si="4"/>
        <v>0</v>
      </c>
      <c r="S16" s="656">
        <f t="shared" si="5"/>
        <v>0</v>
      </c>
      <c r="T16" s="656">
        <f t="shared" si="6"/>
        <v>0</v>
      </c>
      <c r="U16" s="656">
        <f t="shared" si="7"/>
        <v>0</v>
      </c>
      <c r="V16" s="568"/>
      <c r="W16" s="568"/>
      <c r="X16" s="568"/>
    </row>
    <row r="17" spans="1:28" s="569" customFormat="1" ht="15.75" customHeight="1">
      <c r="A17" s="80">
        <v>14</v>
      </c>
      <c r="B17" s="275"/>
      <c r="C17" s="2318" t="str">
        <f>OR_VEH!B515</f>
        <v>BUICK / CADILLAC GRAND VUS VE</v>
      </c>
      <c r="D17" s="2301"/>
      <c r="E17" s="2353" t="s">
        <v>541</v>
      </c>
      <c r="F17" s="2330">
        <f>IF(Flag=TRUE,K17-TBIn!E702,TBIn!D702)</f>
        <v>0</v>
      </c>
      <c r="G17" s="2613">
        <f>IF(Flag=TRUE,L17-TBIn!E628,TBIn!D628)</f>
        <v>0</v>
      </c>
      <c r="H17" s="2613">
        <f>IF(Flag=TRUE,M17-(TBIn!E662),TBIn!D662)</f>
        <v>0</v>
      </c>
      <c r="I17" s="2306">
        <f t="shared" si="12"/>
        <v>0</v>
      </c>
      <c r="J17" s="2375">
        <f t="shared" si="13"/>
        <v>0</v>
      </c>
      <c r="K17" s="1867">
        <f>TBIn!E702</f>
        <v>0</v>
      </c>
      <c r="L17" s="2615">
        <f>TBIn!E628</f>
        <v>0</v>
      </c>
      <c r="M17" s="2615">
        <f>TBIn!E662</f>
        <v>0</v>
      </c>
      <c r="N17" s="945">
        <f t="shared" ref="N17:N35" si="14">L17-M17</f>
        <v>0</v>
      </c>
      <c r="O17" s="2336">
        <f t="shared" ref="O17:O34" si="15">IF(K17&gt;0,N17/K17,0)</f>
        <v>0</v>
      </c>
      <c r="P17" s="2305">
        <v>14</v>
      </c>
      <c r="Q17" s="644">
        <v>0</v>
      </c>
      <c r="R17" s="656">
        <f t="shared" si="4"/>
        <v>0</v>
      </c>
      <c r="S17" s="656">
        <f t="shared" si="5"/>
        <v>0</v>
      </c>
      <c r="T17" s="656">
        <f t="shared" si="6"/>
        <v>0</v>
      </c>
      <c r="U17" s="656">
        <f t="shared" si="7"/>
        <v>0</v>
      </c>
      <c r="V17" s="568"/>
      <c r="W17" s="568"/>
      <c r="X17" s="568"/>
    </row>
    <row r="18" spans="1:28" s="569" customFormat="1" ht="15.75" customHeight="1">
      <c r="A18" s="80">
        <v>15</v>
      </c>
      <c r="B18" s="275"/>
      <c r="C18" s="2318" t="str">
        <f>OR_VEH!B516</f>
        <v>BUICK / CADILLAC GRAND VUS MCI</v>
      </c>
      <c r="D18" s="2301"/>
      <c r="E18" s="2353" t="s">
        <v>542</v>
      </c>
      <c r="F18" s="2330">
        <f>IF(Flag=TRUE,K18-TBIn!E703,TBIn!D703)</f>
        <v>0</v>
      </c>
      <c r="G18" s="2613">
        <f>IF(Flag=TRUE,L18-TBIn!E629,TBIn!D629)</f>
        <v>0</v>
      </c>
      <c r="H18" s="2613">
        <f>IF(Flag=TRUE,M18-(TBIn!E663),TBIn!D663)</f>
        <v>0</v>
      </c>
      <c r="I18" s="2306">
        <f t="shared" si="12"/>
        <v>0</v>
      </c>
      <c r="J18" s="2375">
        <f t="shared" si="13"/>
        <v>0</v>
      </c>
      <c r="K18" s="1867">
        <f>TBIn!E703</f>
        <v>0</v>
      </c>
      <c r="L18" s="2615">
        <f>TBIn!E629</f>
        <v>0</v>
      </c>
      <c r="M18" s="2615">
        <f>TBIn!E663</f>
        <v>0</v>
      </c>
      <c r="N18" s="945">
        <f t="shared" si="14"/>
        <v>0</v>
      </c>
      <c r="O18" s="2336">
        <f t="shared" si="15"/>
        <v>0</v>
      </c>
      <c r="P18" s="2305">
        <v>15</v>
      </c>
      <c r="Q18" s="644">
        <v>0</v>
      </c>
      <c r="R18" s="656">
        <f t="shared" si="4"/>
        <v>0</v>
      </c>
      <c r="S18" s="656">
        <f t="shared" si="5"/>
        <v>0</v>
      </c>
      <c r="T18" s="656">
        <f t="shared" si="6"/>
        <v>0</v>
      </c>
      <c r="U18" s="656">
        <f t="shared" si="7"/>
        <v>0</v>
      </c>
      <c r="V18" s="568"/>
      <c r="W18" s="568"/>
      <c r="X18" s="568"/>
    </row>
    <row r="19" spans="1:28" s="569" customFormat="1" ht="16" customHeight="1">
      <c r="A19" s="80">
        <v>16</v>
      </c>
      <c r="B19" s="275"/>
      <c r="C19" s="2318" t="str">
        <f>OR_VEH!B517</f>
        <v>CHEVROLET / GMC PETIT VUS VE</v>
      </c>
      <c r="D19" s="2301"/>
      <c r="E19" s="2353" t="s">
        <v>543</v>
      </c>
      <c r="F19" s="2330">
        <f>IF(Flag=TRUE,K19-TBIn!E704,TBIn!D704)</f>
        <v>0</v>
      </c>
      <c r="G19" s="2613">
        <f>IF(Flag=TRUE,L19-TBIn!E630,TBIn!D630)</f>
        <v>0</v>
      </c>
      <c r="H19" s="2613">
        <f>IF(Flag=TRUE,M19-(TBIn!E664),TBIn!D664)</f>
        <v>0</v>
      </c>
      <c r="I19" s="2306">
        <f t="shared" si="12"/>
        <v>0</v>
      </c>
      <c r="J19" s="2375">
        <f t="shared" si="13"/>
        <v>0</v>
      </c>
      <c r="K19" s="1867">
        <f>TBIn!E704</f>
        <v>0</v>
      </c>
      <c r="L19" s="2615">
        <f>TBIn!E630</f>
        <v>0</v>
      </c>
      <c r="M19" s="2615">
        <f>TBIn!E664</f>
        <v>0</v>
      </c>
      <c r="N19" s="945">
        <f t="shared" si="14"/>
        <v>0</v>
      </c>
      <c r="O19" s="2336">
        <f t="shared" si="15"/>
        <v>0</v>
      </c>
      <c r="P19" s="2305">
        <v>16</v>
      </c>
      <c r="Q19" s="644">
        <v>0</v>
      </c>
      <c r="R19" s="656">
        <f t="shared" si="4"/>
        <v>0</v>
      </c>
      <c r="S19" s="656">
        <f t="shared" si="5"/>
        <v>0</v>
      </c>
      <c r="T19" s="656">
        <f t="shared" si="6"/>
        <v>0</v>
      </c>
      <c r="U19" s="656">
        <f t="shared" si="7"/>
        <v>0</v>
      </c>
      <c r="V19" s="568"/>
      <c r="W19" s="568"/>
      <c r="X19" s="568"/>
    </row>
    <row r="20" spans="1:28" s="569" customFormat="1" ht="16" customHeight="1">
      <c r="A20" s="80">
        <v>17</v>
      </c>
      <c r="B20" s="275"/>
      <c r="C20" s="2318" t="str">
        <f>OR_VEH!B518</f>
        <v>CHEVROLET / GMC PETIT VUS MCI</v>
      </c>
      <c r="D20" s="2301"/>
      <c r="E20" s="2353" t="s">
        <v>544</v>
      </c>
      <c r="F20" s="2330">
        <f>IF(Flag=TRUE,K20-TBIn!E705,TBIn!D705)</f>
        <v>0</v>
      </c>
      <c r="G20" s="2613">
        <f>IF(Flag=TRUE,L20-TBIn!E631,TBIn!D631)</f>
        <v>0</v>
      </c>
      <c r="H20" s="2613">
        <f>IF(Flag=TRUE,M20-(TBIn!E665),TBIn!D665)</f>
        <v>0</v>
      </c>
      <c r="I20" s="2306">
        <f t="shared" si="12"/>
        <v>0</v>
      </c>
      <c r="J20" s="2375">
        <f t="shared" si="13"/>
        <v>0</v>
      </c>
      <c r="K20" s="1867">
        <f>TBIn!E705</f>
        <v>0</v>
      </c>
      <c r="L20" s="2615">
        <f>TBIn!E631</f>
        <v>0</v>
      </c>
      <c r="M20" s="2615">
        <f>TBIn!E665</f>
        <v>0</v>
      </c>
      <c r="N20" s="945">
        <f t="shared" si="14"/>
        <v>0</v>
      </c>
      <c r="O20" s="2336">
        <f t="shared" si="15"/>
        <v>0</v>
      </c>
      <c r="P20" s="2305">
        <v>17</v>
      </c>
      <c r="Q20" s="644">
        <v>0</v>
      </c>
      <c r="R20" s="656">
        <f t="shared" si="4"/>
        <v>0</v>
      </c>
      <c r="S20" s="656">
        <f t="shared" si="5"/>
        <v>0</v>
      </c>
      <c r="T20" s="656">
        <f t="shared" si="6"/>
        <v>0</v>
      </c>
      <c r="U20" s="656">
        <f t="shared" si="7"/>
        <v>0</v>
      </c>
      <c r="V20" s="568"/>
      <c r="W20" s="568"/>
      <c r="X20" s="568"/>
    </row>
    <row r="21" spans="1:28" s="569" customFormat="1" ht="16" customHeight="1">
      <c r="A21" s="80">
        <v>18</v>
      </c>
      <c r="B21" s="215"/>
      <c r="C21" s="2318" t="str">
        <f>OR_VEH!B519</f>
        <v>CHEVROLET / GMC MOYEN VUS VE</v>
      </c>
      <c r="D21" s="2301"/>
      <c r="E21" s="2353" t="s">
        <v>545</v>
      </c>
      <c r="F21" s="2330">
        <f>IF(Flag=TRUE,K21-TBIn!E706,TBIn!D706)</f>
        <v>0</v>
      </c>
      <c r="G21" s="2613">
        <f>IF(Flag=TRUE,L21-TBIn!E632,TBIn!D632)</f>
        <v>0</v>
      </c>
      <c r="H21" s="2613">
        <f>IF(Flag=TRUE,M21-(TBIn!E666),TBIn!D666)</f>
        <v>0</v>
      </c>
      <c r="I21" s="2306">
        <f t="shared" si="12"/>
        <v>0</v>
      </c>
      <c r="J21" s="2375">
        <f t="shared" si="13"/>
        <v>0</v>
      </c>
      <c r="K21" s="1867">
        <f>TBIn!E706</f>
        <v>0</v>
      </c>
      <c r="L21" s="2615">
        <f>TBIn!E632</f>
        <v>0</v>
      </c>
      <c r="M21" s="2615">
        <f>TBIn!E666</f>
        <v>0</v>
      </c>
      <c r="N21" s="945">
        <f t="shared" si="14"/>
        <v>0</v>
      </c>
      <c r="O21" s="2336">
        <f t="shared" si="15"/>
        <v>0</v>
      </c>
      <c r="P21" s="2305">
        <v>18</v>
      </c>
      <c r="Q21" s="644">
        <v>0</v>
      </c>
      <c r="R21" s="656">
        <f t="shared" si="4"/>
        <v>0</v>
      </c>
      <c r="S21" s="656">
        <f t="shared" si="5"/>
        <v>0</v>
      </c>
      <c r="T21" s="656">
        <f t="shared" si="6"/>
        <v>0</v>
      </c>
      <c r="U21" s="656">
        <f t="shared" si="7"/>
        <v>0</v>
      </c>
      <c r="V21" s="568"/>
      <c r="W21" s="568"/>
      <c r="X21" s="568"/>
    </row>
    <row r="22" spans="1:28" s="569" customFormat="1" ht="16" customHeight="1">
      <c r="A22" s="80">
        <v>19</v>
      </c>
      <c r="B22" s="215"/>
      <c r="C22" s="2318" t="str">
        <f>OR_VEH!B520</f>
        <v>CHEVROLET / GMC MOYEN VUS MCI</v>
      </c>
      <c r="D22" s="2309"/>
      <c r="E22" s="2353" t="s">
        <v>546</v>
      </c>
      <c r="F22" s="2330">
        <f>IF(Flag=TRUE,K22-TBIn!E707,TBIn!D707)</f>
        <v>0</v>
      </c>
      <c r="G22" s="2613">
        <f>IF(Flag=TRUE,L22-TBIn!E633,TBIn!D633)</f>
        <v>0</v>
      </c>
      <c r="H22" s="2613">
        <f>IF(Flag=TRUE,M22-(TBIn!E667),TBIn!D667)</f>
        <v>0</v>
      </c>
      <c r="I22" s="2306">
        <f t="shared" si="12"/>
        <v>0</v>
      </c>
      <c r="J22" s="2375">
        <f t="shared" si="13"/>
        <v>0</v>
      </c>
      <c r="K22" s="1867">
        <f>TBIn!E707</f>
        <v>0</v>
      </c>
      <c r="L22" s="2615">
        <f>TBIn!E633</f>
        <v>0</v>
      </c>
      <c r="M22" s="2615">
        <f>TBIn!E667</f>
        <v>0</v>
      </c>
      <c r="N22" s="945">
        <f t="shared" si="14"/>
        <v>0</v>
      </c>
      <c r="O22" s="2336">
        <f t="shared" si="15"/>
        <v>0</v>
      </c>
      <c r="P22" s="2305">
        <v>19</v>
      </c>
      <c r="Q22" s="644">
        <v>0</v>
      </c>
      <c r="R22" s="656">
        <f t="shared" si="4"/>
        <v>0</v>
      </c>
      <c r="S22" s="656">
        <f t="shared" si="5"/>
        <v>0</v>
      </c>
      <c r="T22" s="656">
        <f t="shared" si="6"/>
        <v>0</v>
      </c>
      <c r="U22" s="656">
        <f t="shared" si="7"/>
        <v>0</v>
      </c>
      <c r="V22" s="568"/>
      <c r="W22" s="568"/>
      <c r="X22" s="568"/>
    </row>
    <row r="23" spans="1:28" s="569" customFormat="1" ht="16" customHeight="1">
      <c r="A23" s="80">
        <v>20</v>
      </c>
      <c r="B23" s="215"/>
      <c r="C23" s="2318" t="str">
        <f>OR_VEH!B521</f>
        <v>CHEVROLET / GMC / HUMMER GRAND VUS VE</v>
      </c>
      <c r="D23" s="2309"/>
      <c r="E23" s="2353" t="s">
        <v>547</v>
      </c>
      <c r="F23" s="2330">
        <f>IF(Flag=TRUE,K23-TBIn!E708,TBIn!D708)</f>
        <v>0</v>
      </c>
      <c r="G23" s="2613">
        <f>IF(Flag=TRUE,L23-TBIn!E634,TBIn!D634)</f>
        <v>0</v>
      </c>
      <c r="H23" s="2613">
        <f>IF(Flag=TRUE,M23-(TBIn!E668),TBIn!D668)</f>
        <v>0</v>
      </c>
      <c r="I23" s="2306">
        <f t="shared" si="12"/>
        <v>0</v>
      </c>
      <c r="J23" s="2375">
        <f t="shared" si="13"/>
        <v>0</v>
      </c>
      <c r="K23" s="1867">
        <f>TBIn!E708</f>
        <v>0</v>
      </c>
      <c r="L23" s="2615">
        <f>TBIn!E634</f>
        <v>0</v>
      </c>
      <c r="M23" s="2615">
        <f>TBIn!E668</f>
        <v>0</v>
      </c>
      <c r="N23" s="945">
        <f t="shared" si="14"/>
        <v>0</v>
      </c>
      <c r="O23" s="2336">
        <f t="shared" si="15"/>
        <v>0</v>
      </c>
      <c r="P23" s="2305">
        <v>20</v>
      </c>
      <c r="Q23" s="644"/>
      <c r="R23" s="656"/>
      <c r="S23" s="656"/>
      <c r="T23" s="656"/>
      <c r="U23" s="656"/>
      <c r="V23" s="568"/>
      <c r="W23" s="568"/>
      <c r="X23" s="568"/>
    </row>
    <row r="24" spans="1:28" s="569" customFormat="1" ht="16" customHeight="1">
      <c r="A24" s="80">
        <v>21</v>
      </c>
      <c r="B24" s="215"/>
      <c r="C24" s="2318" t="str">
        <f>OR_VEH!B522</f>
        <v>CHEVROLET / GMC GRAND VUS MCI</v>
      </c>
      <c r="D24" s="2309"/>
      <c r="E24" s="2353" t="s">
        <v>548</v>
      </c>
      <c r="F24" s="2330">
        <f>IF(Flag=TRUE,K24-TBIn!E709,TBIn!D709)</f>
        <v>0</v>
      </c>
      <c r="G24" s="2613">
        <f>IF(Flag=TRUE,L24-TBIn!E635,TBIn!D635)</f>
        <v>0</v>
      </c>
      <c r="H24" s="2613">
        <f>IF(Flag=TRUE,M24-(TBIn!E669),TBIn!D669)</f>
        <v>0</v>
      </c>
      <c r="I24" s="2306">
        <f t="shared" si="12"/>
        <v>0</v>
      </c>
      <c r="J24" s="2375">
        <f t="shared" si="13"/>
        <v>0</v>
      </c>
      <c r="K24" s="1867">
        <f>TBIn!E709</f>
        <v>0</v>
      </c>
      <c r="L24" s="2615">
        <f>TBIn!E635</f>
        <v>0</v>
      </c>
      <c r="M24" s="2615">
        <f>TBIn!E669</f>
        <v>0</v>
      </c>
      <c r="N24" s="945">
        <f t="shared" si="14"/>
        <v>0</v>
      </c>
      <c r="O24" s="2336">
        <f t="shared" si="15"/>
        <v>0</v>
      </c>
      <c r="P24" s="2305">
        <v>21</v>
      </c>
      <c r="Q24" s="644">
        <v>65000</v>
      </c>
      <c r="R24" s="656">
        <f t="shared" si="4"/>
        <v>0</v>
      </c>
      <c r="S24" s="656">
        <f>IF(K24=0,0,IF(OR(L24&lt;0,L24/K24&gt;Q24),1,0))</f>
        <v>0</v>
      </c>
      <c r="T24" s="656">
        <f>IF(OR(F24&lt;0,AND(G24&gt;0,F24=0),AND(G24=0,F24&gt;0)),1,0)</f>
        <v>0</v>
      </c>
      <c r="U24" s="656">
        <f>IF(OR(K24&lt;0,AND(L24&gt;0,K24=0),AND(K24&gt;0,L24=0)),1,0)</f>
        <v>0</v>
      </c>
      <c r="V24" s="568"/>
      <c r="W24" s="568"/>
      <c r="X24" s="568"/>
    </row>
    <row r="25" spans="1:28" s="569" customFormat="1" ht="16" customHeight="1">
      <c r="A25" s="80">
        <v>22</v>
      </c>
      <c r="B25" s="275"/>
      <c r="C25" s="2318" t="str">
        <f>OR_VEH!B523</f>
        <v>SILVERADO/SIERRA POIDS LOURD MCI (2500/3500)</v>
      </c>
      <c r="D25" s="2309"/>
      <c r="E25" s="2353" t="s">
        <v>549</v>
      </c>
      <c r="F25" s="2330">
        <f>IF(Flag=TRUE,K25-TBIn!E710,TBIn!D710)</f>
        <v>0</v>
      </c>
      <c r="G25" s="2613">
        <f>IF(Flag=TRUE,L25-TBIn!E636,TBIn!D636)</f>
        <v>0</v>
      </c>
      <c r="H25" s="2613">
        <f>IF(Flag=TRUE,M25-(TBIn!E670),TBIn!D670)</f>
        <v>0</v>
      </c>
      <c r="I25" s="2306">
        <f t="shared" si="12"/>
        <v>0</v>
      </c>
      <c r="J25" s="2375">
        <f t="shared" si="13"/>
        <v>0</v>
      </c>
      <c r="K25" s="1867">
        <f>TBIn!E710</f>
        <v>0</v>
      </c>
      <c r="L25" s="2615">
        <f>TBIn!E636</f>
        <v>0</v>
      </c>
      <c r="M25" s="2615">
        <f>TBIn!E670</f>
        <v>0</v>
      </c>
      <c r="N25" s="945">
        <f t="shared" si="14"/>
        <v>0</v>
      </c>
      <c r="O25" s="2336">
        <f t="shared" si="15"/>
        <v>0</v>
      </c>
      <c r="P25" s="2305">
        <v>22</v>
      </c>
      <c r="Q25" s="656"/>
      <c r="R25" s="656"/>
      <c r="S25" s="656"/>
      <c r="T25" s="656"/>
      <c r="U25" s="656"/>
      <c r="V25" s="2256">
        <f>Page5_CHV_MCI!F25+Page5_CHV_VE!F25+Page5_BUI_VE!F25+Page5_BUI_MCI!F25+Page5_CAD_MCI!F25+Page5_GMC_MCI!F25+Page5_GMC_VE!F25+Page5_CAD_VE!F25+Page5j_SANS_OBJECT!F25</f>
        <v>0</v>
      </c>
      <c r="W25" s="2256">
        <f>Page5_CHV_MCI!G25+Page5_CHV_VE!G25+Page5_BUI_VE!G25+Page5_BUI_MCI!G25+Page5_CAD_MCI!G25+Page5_GMC_MCI!G25+Page5_GMC_VE!G25+Page5_CAD_VE!G25+Page5j_SANS_OBJECT!G25</f>
        <v>0</v>
      </c>
      <c r="X25" s="2256">
        <f>Page5_CHV_MCI!I25+Page5_CHV_VE!I25+Page5_BUI_VE!I25+Page5_BUI_MCI!I25+Page5_CAD_MCI!I25+Page5_GMC_MCI!I25+Page5_GMC_VE!I25+Page5_CAD_VE!I25+Page5j_SANS_OBJECT!I25</f>
        <v>0</v>
      </c>
      <c r="Z25" s="660">
        <f>Page5_CHV_MCI!K25+Page5_CHV_VE!K25+Page5_BUI_VE!K25+Page5_BUI_MCI!K25+Page5_CAD_MCI!K25+Page5_GMC_MCI!K25+Page5_GMC_VE!K25+Page5_CAD_VE!K25+Page5j_SANS_OBJECT!K25</f>
        <v>0</v>
      </c>
      <c r="AA25" s="660">
        <f>Page5_CHV_MCI!L25+Page5_CHV_VE!L25+Page5_BUI_VE!L25+Page5_BUI_MCI!L25+Page5_CAD_MCI!L25+Page5_GMC_MCI!L25+Page5_GMC_VE!L25+Page5_CAD_VE!L25+Page5j_SANS_OBJECT!L25</f>
        <v>0</v>
      </c>
      <c r="AB25" s="660">
        <f>Page5_CHV_MCI!N25+Page5_CHV_VE!N25+Page5_BUI_VE!N25+Page5_BUI_MCI!N25+Page5_CAD_MCI!N25+Page5_GMC_MCI!N25+Page5_GMC_VE!N25+Page5_CAD_VE!N25+Page5j_SANS_OBJECT!N25</f>
        <v>0</v>
      </c>
    </row>
    <row r="26" spans="1:28" s="569" customFormat="1" ht="16" customHeight="1">
      <c r="A26" s="80">
        <v>23</v>
      </c>
      <c r="B26" s="215"/>
      <c r="C26" s="2318" t="str">
        <f>OR_VEH!B524</f>
        <v>NE PAS UTILISER</v>
      </c>
      <c r="D26" s="2309"/>
      <c r="E26" s="2353" t="s">
        <v>550</v>
      </c>
      <c r="F26" s="2330">
        <f>IF(Flag=TRUE,K26-TBIn!E711,TBIn!D711)</f>
        <v>0</v>
      </c>
      <c r="G26" s="2613">
        <f>IF(Flag=TRUE,L26-TBIn!E637,TBIn!D637)</f>
        <v>0</v>
      </c>
      <c r="H26" s="2613">
        <f>IF(Flag=TRUE,M26-(TBIn!E671),TBIn!D671)</f>
        <v>0</v>
      </c>
      <c r="I26" s="2306">
        <f t="shared" si="12"/>
        <v>0</v>
      </c>
      <c r="J26" s="2375">
        <f t="shared" si="13"/>
        <v>0</v>
      </c>
      <c r="K26" s="1867">
        <f>TBIn!E711</f>
        <v>0</v>
      </c>
      <c r="L26" s="2615">
        <f>TBIn!E637</f>
        <v>0</v>
      </c>
      <c r="M26" s="2615">
        <f>TBIn!E671</f>
        <v>0</v>
      </c>
      <c r="N26" s="945">
        <f t="shared" si="14"/>
        <v>0</v>
      </c>
      <c r="O26" s="2336">
        <f t="shared" si="15"/>
        <v>0</v>
      </c>
      <c r="P26" s="2305">
        <v>23</v>
      </c>
      <c r="Q26" s="644">
        <v>40000</v>
      </c>
      <c r="R26" s="656">
        <f t="shared" si="4"/>
        <v>0</v>
      </c>
      <c r="S26" s="656">
        <f>IF(K26=0,0,IF(OR(L26&lt;0,L26/K26&gt;Q26),1,0))</f>
        <v>0</v>
      </c>
      <c r="T26" s="656">
        <f t="shared" ref="T26:T43" si="16">IF(OR(F26&lt;0,AND(G26&gt;0,F26=0),AND(G26=0,F26&gt;0)),1,0)</f>
        <v>0</v>
      </c>
      <c r="U26" s="656">
        <f t="shared" ref="U26:U43" si="17">IF(OR(K26&lt;0,AND(L26&gt;0,K26=0),AND(K26&gt;0,L26=0)),1,0)</f>
        <v>0</v>
      </c>
      <c r="V26" s="568"/>
      <c r="W26" s="568"/>
      <c r="X26" s="568"/>
    </row>
    <row r="27" spans="1:28" s="569" customFormat="1" ht="16" customHeight="1">
      <c r="A27" s="80">
        <v>24</v>
      </c>
      <c r="B27" s="275"/>
      <c r="C27" s="2318" t="str">
        <f>OR_VEH!B525</f>
        <v>SILVERADO/SIERRA POIDS LÉGER MCI (1500)</v>
      </c>
      <c r="D27" s="2301"/>
      <c r="E27" s="2353" t="s">
        <v>551</v>
      </c>
      <c r="F27" s="2330">
        <f>IF(Flag=TRUE,K27-TBIn!E712,TBIn!D712)</f>
        <v>0</v>
      </c>
      <c r="G27" s="2613">
        <f>IF(Flag=TRUE,L27-TBIn!E638,TBIn!D638)</f>
        <v>0</v>
      </c>
      <c r="H27" s="2613">
        <f>IF(Flag=TRUE,M27-(TBIn!E672),TBIn!D672)</f>
        <v>0</v>
      </c>
      <c r="I27" s="2306">
        <f t="shared" si="12"/>
        <v>0</v>
      </c>
      <c r="J27" s="2375">
        <f t="shared" si="13"/>
        <v>0</v>
      </c>
      <c r="K27" s="1867">
        <f>TBIn!E712</f>
        <v>0</v>
      </c>
      <c r="L27" s="2615">
        <f>TBIn!E638</f>
        <v>0</v>
      </c>
      <c r="M27" s="2615">
        <f>TBIn!E672</f>
        <v>0</v>
      </c>
      <c r="N27" s="945">
        <f t="shared" si="14"/>
        <v>0</v>
      </c>
      <c r="O27" s="2336">
        <f t="shared" si="15"/>
        <v>0</v>
      </c>
      <c r="P27" s="2305">
        <v>24</v>
      </c>
      <c r="Q27" s="644">
        <v>40000</v>
      </c>
      <c r="R27" s="656">
        <f t="shared" si="4"/>
        <v>0</v>
      </c>
      <c r="S27" s="656">
        <f t="shared" ref="S27:S43" si="18">IF(K27=0,0,IF(OR(L27&lt;0,L27/K27&gt;Q27),1,0))</f>
        <v>0</v>
      </c>
      <c r="T27" s="656">
        <f t="shared" si="16"/>
        <v>0</v>
      </c>
      <c r="U27" s="656">
        <f t="shared" si="17"/>
        <v>0</v>
      </c>
      <c r="V27" s="568"/>
      <c r="W27" s="568"/>
      <c r="X27" s="568"/>
    </row>
    <row r="28" spans="1:28" s="569" customFormat="1" ht="16" customHeight="1">
      <c r="A28" s="80">
        <v>25</v>
      </c>
      <c r="B28" s="275"/>
      <c r="C28" s="2318" t="str">
        <f>OR_VEH!B526</f>
        <v>SILVERADO/SIERRA/HUMMER POIDS LOURD VE</v>
      </c>
      <c r="D28" s="2301"/>
      <c r="E28" s="2353" t="s">
        <v>552</v>
      </c>
      <c r="F28" s="2330">
        <f>IF(Flag=TRUE,K28-TBIn!E713,TBIn!D713)</f>
        <v>0</v>
      </c>
      <c r="G28" s="2613">
        <f>IF(Flag=TRUE,L28-TBIn!E639,TBIn!D639)</f>
        <v>0</v>
      </c>
      <c r="H28" s="2613">
        <f>IF(Flag=TRUE,M28-(TBIn!E673),TBIn!D673)</f>
        <v>0</v>
      </c>
      <c r="I28" s="2306">
        <f t="shared" si="12"/>
        <v>0</v>
      </c>
      <c r="J28" s="2375">
        <f t="shared" si="13"/>
        <v>0</v>
      </c>
      <c r="K28" s="1867">
        <f>TBIn!E713</f>
        <v>0</v>
      </c>
      <c r="L28" s="2615">
        <f>TBIn!E639</f>
        <v>0</v>
      </c>
      <c r="M28" s="2615">
        <f>TBIn!E673</f>
        <v>0</v>
      </c>
      <c r="N28" s="945">
        <f t="shared" si="14"/>
        <v>0</v>
      </c>
      <c r="O28" s="2336">
        <f t="shared" si="15"/>
        <v>0</v>
      </c>
      <c r="P28" s="2305">
        <v>25</v>
      </c>
      <c r="Q28" s="644">
        <v>40000</v>
      </c>
      <c r="R28" s="656">
        <f t="shared" si="4"/>
        <v>0</v>
      </c>
      <c r="S28" s="656">
        <f t="shared" si="18"/>
        <v>0</v>
      </c>
      <c r="T28" s="656">
        <f t="shared" si="16"/>
        <v>0</v>
      </c>
      <c r="U28" s="656">
        <f t="shared" si="17"/>
        <v>0</v>
      </c>
      <c r="V28" s="568"/>
      <c r="W28" s="568"/>
      <c r="X28" s="568"/>
    </row>
    <row r="29" spans="1:28" s="569" customFormat="1" ht="16" customHeight="1">
      <c r="A29" s="80">
        <v>26</v>
      </c>
      <c r="B29" s="275"/>
      <c r="C29" s="2318" t="str">
        <f>OR_VEH!B527</f>
        <v>COLORADO/CANYON MCI</v>
      </c>
      <c r="D29" s="2301"/>
      <c r="E29" s="2353" t="s">
        <v>553</v>
      </c>
      <c r="F29" s="2330">
        <f>IF(Flag=TRUE,K29-TBIn!E714,TBIn!D714)</f>
        <v>0</v>
      </c>
      <c r="G29" s="2613">
        <f>IF(Flag=TRUE,L29-TBIn!E640,TBIn!D640)</f>
        <v>0</v>
      </c>
      <c r="H29" s="2613">
        <f>IF(Flag=TRUE,M29-(TBIn!E674),TBIn!D674)</f>
        <v>0</v>
      </c>
      <c r="I29" s="2306">
        <f t="shared" si="12"/>
        <v>0</v>
      </c>
      <c r="J29" s="2375">
        <f t="shared" si="13"/>
        <v>0</v>
      </c>
      <c r="K29" s="1867">
        <f>TBIn!E714</f>
        <v>0</v>
      </c>
      <c r="L29" s="2615">
        <f>TBIn!E640</f>
        <v>0</v>
      </c>
      <c r="M29" s="2615">
        <f>TBIn!E674</f>
        <v>0</v>
      </c>
      <c r="N29" s="945">
        <f t="shared" si="14"/>
        <v>0</v>
      </c>
      <c r="O29" s="2336">
        <f t="shared" si="15"/>
        <v>0</v>
      </c>
      <c r="P29" s="2305">
        <v>26</v>
      </c>
      <c r="Q29" s="644">
        <v>40000</v>
      </c>
      <c r="R29" s="656">
        <f t="shared" si="4"/>
        <v>0</v>
      </c>
      <c r="S29" s="656">
        <f t="shared" si="18"/>
        <v>0</v>
      </c>
      <c r="T29" s="656">
        <f t="shared" si="16"/>
        <v>0</v>
      </c>
      <c r="U29" s="656">
        <f t="shared" si="17"/>
        <v>0</v>
      </c>
      <c r="V29" s="568"/>
      <c r="W29" s="568"/>
      <c r="X29" s="568"/>
    </row>
    <row r="30" spans="1:28" s="569" customFormat="1" ht="16" customHeight="1">
      <c r="A30" s="80">
        <v>27</v>
      </c>
      <c r="B30" s="275"/>
      <c r="C30" s="2318" t="str">
        <f>OR_VEH!B528</f>
        <v>NE PAS UTILISER</v>
      </c>
      <c r="D30" s="2301"/>
      <c r="E30" s="2353" t="s">
        <v>554</v>
      </c>
      <c r="F30" s="2330">
        <f>IF(Flag=TRUE,K30-TBIn!E715,TBIn!D715)</f>
        <v>0</v>
      </c>
      <c r="G30" s="2613">
        <f>IF(Flag=TRUE,L30-TBIn!E641,TBIn!D641)</f>
        <v>0</v>
      </c>
      <c r="H30" s="2613">
        <f>IF(Flag=TRUE,M30-(TBIn!E675),TBIn!D675)</f>
        <v>0</v>
      </c>
      <c r="I30" s="2306">
        <f t="shared" si="12"/>
        <v>0</v>
      </c>
      <c r="J30" s="2375">
        <f t="shared" si="13"/>
        <v>0</v>
      </c>
      <c r="K30" s="1867">
        <f>TBIn!E715</f>
        <v>0</v>
      </c>
      <c r="L30" s="2615">
        <f>TBIn!E641</f>
        <v>0</v>
      </c>
      <c r="M30" s="2615">
        <f>TBIn!E675</f>
        <v>0</v>
      </c>
      <c r="N30" s="945">
        <f t="shared" si="14"/>
        <v>0</v>
      </c>
      <c r="O30" s="2336">
        <f t="shared" si="15"/>
        <v>0</v>
      </c>
      <c r="P30" s="2305">
        <v>27</v>
      </c>
      <c r="Q30" s="644">
        <v>40000</v>
      </c>
      <c r="R30" s="656">
        <f t="shared" si="4"/>
        <v>0</v>
      </c>
      <c r="S30" s="656">
        <f t="shared" si="18"/>
        <v>0</v>
      </c>
      <c r="T30" s="656">
        <f t="shared" si="16"/>
        <v>0</v>
      </c>
      <c r="U30" s="656">
        <f t="shared" si="17"/>
        <v>0</v>
      </c>
      <c r="V30" s="568"/>
      <c r="W30" s="568"/>
      <c r="X30" s="568"/>
    </row>
    <row r="31" spans="1:28" s="569" customFormat="1" ht="16" customHeight="1">
      <c r="A31" s="80">
        <v>28</v>
      </c>
      <c r="B31" s="275"/>
      <c r="C31" s="2318" t="str">
        <f>OR_VEH!B529</f>
        <v>SILVERADO CHASSIS (4500+)</v>
      </c>
      <c r="D31" s="2301"/>
      <c r="E31" s="2353" t="s">
        <v>555</v>
      </c>
      <c r="F31" s="2330">
        <f>IF(Flag=TRUE,K31-TBIn!E716,TBIn!D716)</f>
        <v>0</v>
      </c>
      <c r="G31" s="2613">
        <f>IF(Flag=TRUE,L31-TBIn!E642,TBIn!D642)</f>
        <v>0</v>
      </c>
      <c r="H31" s="2613">
        <f>IF(Flag=TRUE,M31-(TBIn!E676),TBIn!D676)</f>
        <v>0</v>
      </c>
      <c r="I31" s="2306">
        <f t="shared" si="12"/>
        <v>0</v>
      </c>
      <c r="J31" s="2375">
        <f t="shared" si="13"/>
        <v>0</v>
      </c>
      <c r="K31" s="1867">
        <f>TBIn!E716</f>
        <v>0</v>
      </c>
      <c r="L31" s="2615">
        <f>TBIn!E642</f>
        <v>0</v>
      </c>
      <c r="M31" s="2615">
        <f>TBIn!E676</f>
        <v>0</v>
      </c>
      <c r="N31" s="945">
        <f t="shared" si="14"/>
        <v>0</v>
      </c>
      <c r="O31" s="2336">
        <f t="shared" si="15"/>
        <v>0</v>
      </c>
      <c r="P31" s="2305">
        <v>28</v>
      </c>
      <c r="Q31" s="644">
        <v>55000</v>
      </c>
      <c r="R31" s="656">
        <f t="shared" si="4"/>
        <v>0</v>
      </c>
      <c r="S31" s="656">
        <f t="shared" si="18"/>
        <v>0</v>
      </c>
      <c r="T31" s="656">
        <f t="shared" si="16"/>
        <v>0</v>
      </c>
      <c r="U31" s="656">
        <f t="shared" si="17"/>
        <v>0</v>
      </c>
      <c r="V31" s="568"/>
      <c r="W31" s="568"/>
      <c r="X31" s="568"/>
    </row>
    <row r="32" spans="1:28" s="569" customFormat="1" ht="16" customHeight="1">
      <c r="A32" s="80">
        <v>29</v>
      </c>
      <c r="B32" s="275"/>
      <c r="C32" s="2318" t="str">
        <f>OR_VEH!B530</f>
        <v>CHEVROLET/GMC LCF/CONV</v>
      </c>
      <c r="D32" s="2301"/>
      <c r="E32" s="2353" t="s">
        <v>556</v>
      </c>
      <c r="F32" s="2330">
        <f>IF(Flag=TRUE,K32-TBIn!E717,TBIn!D717)</f>
        <v>0</v>
      </c>
      <c r="G32" s="2613">
        <f>IF(Flag=TRUE,L32-TBIn!E643,TBIn!D643)</f>
        <v>0</v>
      </c>
      <c r="H32" s="2613">
        <f>IF(Flag=TRUE,M32-(TBIn!E677),TBIn!D677)</f>
        <v>0</v>
      </c>
      <c r="I32" s="2306">
        <f t="shared" si="12"/>
        <v>0</v>
      </c>
      <c r="J32" s="2375">
        <f t="shared" si="13"/>
        <v>0</v>
      </c>
      <c r="K32" s="1867">
        <f>TBIn!E717</f>
        <v>0</v>
      </c>
      <c r="L32" s="2615">
        <f>TBIn!E643</f>
        <v>0</v>
      </c>
      <c r="M32" s="2615">
        <f>TBIn!E677</f>
        <v>0</v>
      </c>
      <c r="N32" s="945">
        <f t="shared" si="14"/>
        <v>0</v>
      </c>
      <c r="O32" s="2336">
        <f t="shared" si="15"/>
        <v>0</v>
      </c>
      <c r="P32" s="2305">
        <v>29</v>
      </c>
      <c r="Q32" s="644">
        <v>40000</v>
      </c>
      <c r="R32" s="656">
        <f t="shared" si="4"/>
        <v>0</v>
      </c>
      <c r="S32" s="656">
        <f t="shared" si="18"/>
        <v>0</v>
      </c>
      <c r="T32" s="656">
        <f t="shared" si="16"/>
        <v>0</v>
      </c>
      <c r="U32" s="656">
        <f t="shared" si="17"/>
        <v>0</v>
      </c>
      <c r="V32" s="568"/>
      <c r="W32" s="568"/>
      <c r="X32" s="568"/>
    </row>
    <row r="33" spans="1:24" s="569" customFormat="1" ht="16" customHeight="1">
      <c r="A33" s="80">
        <v>30</v>
      </c>
      <c r="B33" s="275"/>
      <c r="C33" s="2318" t="str">
        <f>OR_VEH!B531</f>
        <v>EXPRESS/SAVANA MCI</v>
      </c>
      <c r="D33" s="2301"/>
      <c r="E33" s="2353" t="s">
        <v>557</v>
      </c>
      <c r="F33" s="2330">
        <f>IF(Flag=TRUE,K33-TBIn!E718,TBIn!D718)</f>
        <v>0</v>
      </c>
      <c r="G33" s="2613">
        <f>IF(Flag=TRUE,L33-TBIn!E644,TBIn!D644)</f>
        <v>0</v>
      </c>
      <c r="H33" s="2613">
        <f>IF(Flag=TRUE,M33-(TBIn!E678),TBIn!D678)</f>
        <v>0</v>
      </c>
      <c r="I33" s="2306">
        <f t="shared" si="12"/>
        <v>0</v>
      </c>
      <c r="J33" s="2375">
        <f t="shared" si="13"/>
        <v>0</v>
      </c>
      <c r="K33" s="1867">
        <f>TBIn!E718</f>
        <v>0</v>
      </c>
      <c r="L33" s="2615">
        <f>TBIn!E644</f>
        <v>0</v>
      </c>
      <c r="M33" s="2615">
        <f>TBIn!E678</f>
        <v>0</v>
      </c>
      <c r="N33" s="945">
        <f t="shared" si="14"/>
        <v>0</v>
      </c>
      <c r="O33" s="2336">
        <f t="shared" si="15"/>
        <v>0</v>
      </c>
      <c r="P33" s="2305">
        <v>30</v>
      </c>
      <c r="Q33" s="644">
        <v>40000</v>
      </c>
      <c r="R33" s="656">
        <f t="shared" si="4"/>
        <v>0</v>
      </c>
      <c r="S33" s="656">
        <f t="shared" si="18"/>
        <v>0</v>
      </c>
      <c r="T33" s="656">
        <f t="shared" si="16"/>
        <v>0</v>
      </c>
      <c r="U33" s="656">
        <f t="shared" si="17"/>
        <v>0</v>
      </c>
      <c r="V33" s="568"/>
      <c r="W33" s="568"/>
      <c r="X33" s="568"/>
    </row>
    <row r="34" spans="1:24" s="569" customFormat="1" ht="16" customHeight="1">
      <c r="A34" s="80">
        <v>31</v>
      </c>
      <c r="B34" s="275"/>
      <c r="C34" s="2318" t="str">
        <f>OR_VEH!B532</f>
        <v>NE PAS UTILISER</v>
      </c>
      <c r="D34" s="2301"/>
      <c r="E34" s="2353" t="s">
        <v>558</v>
      </c>
      <c r="F34" s="2330">
        <f>IF(Flag=TRUE,K34-TBIn!E719,TBIn!D719)</f>
        <v>0</v>
      </c>
      <c r="G34" s="2613">
        <f>IF(Flag=TRUE,L34-TBIn!E645,TBIn!D645)</f>
        <v>0</v>
      </c>
      <c r="H34" s="2613">
        <f>IF(Flag=TRUE,M34-(TBIn!E679),TBIn!D679)</f>
        <v>0</v>
      </c>
      <c r="I34" s="2306">
        <f t="shared" si="12"/>
        <v>0</v>
      </c>
      <c r="J34" s="2375">
        <f t="shared" si="13"/>
        <v>0</v>
      </c>
      <c r="K34" s="1867">
        <f>TBIn!E719</f>
        <v>0</v>
      </c>
      <c r="L34" s="2615">
        <f>TBIn!E645</f>
        <v>0</v>
      </c>
      <c r="M34" s="2615">
        <f>TBIn!E679</f>
        <v>0</v>
      </c>
      <c r="N34" s="945">
        <f t="shared" si="14"/>
        <v>0</v>
      </c>
      <c r="O34" s="2336">
        <f t="shared" si="15"/>
        <v>0</v>
      </c>
      <c r="P34" s="2305">
        <v>31</v>
      </c>
      <c r="Q34" s="644">
        <v>40000</v>
      </c>
      <c r="R34" s="656">
        <f t="shared" si="4"/>
        <v>0</v>
      </c>
      <c r="S34" s="656">
        <f t="shared" si="18"/>
        <v>0</v>
      </c>
      <c r="T34" s="656">
        <f t="shared" si="16"/>
        <v>0</v>
      </c>
      <c r="U34" s="656">
        <f t="shared" si="17"/>
        <v>0</v>
      </c>
      <c r="V34" s="568"/>
      <c r="W34" s="568"/>
      <c r="X34" s="568"/>
    </row>
    <row r="35" spans="1:24" s="569" customFormat="1" ht="16" customHeight="1">
      <c r="A35" s="80">
        <v>32</v>
      </c>
      <c r="B35" s="275"/>
      <c r="C35" s="2318" t="str">
        <f>OR_VEH!B533</f>
        <v>NE PAS UTILISER</v>
      </c>
      <c r="D35" s="2309"/>
      <c r="E35" s="2354" t="s">
        <v>559</v>
      </c>
      <c r="F35" s="2383">
        <f>IF(Flag=TRUE,K35-TBIn!E720,TBIn!D720)</f>
        <v>0</v>
      </c>
      <c r="G35" s="2614">
        <f>IF(Flag=TRUE,L35-TBIn!E646,TBIn!D646)</f>
        <v>0</v>
      </c>
      <c r="H35" s="2614">
        <f>IF(Flag=TRUE,M35-(TBIn!E680),TBIn!D680)</f>
        <v>0</v>
      </c>
      <c r="I35" s="2384">
        <f t="shared" si="12"/>
        <v>0</v>
      </c>
      <c r="J35" s="2385">
        <f t="shared" si="13"/>
        <v>0</v>
      </c>
      <c r="K35" s="2391">
        <f>TBIn!E720</f>
        <v>0</v>
      </c>
      <c r="L35" s="2616">
        <f>TBIn!E646</f>
        <v>0</v>
      </c>
      <c r="M35" s="2616">
        <f>TBIn!E680</f>
        <v>0</v>
      </c>
      <c r="N35" s="2392">
        <f t="shared" si="14"/>
        <v>0</v>
      </c>
      <c r="O35" s="2393">
        <f>IF(K35&gt;0,N35/K35,0)</f>
        <v>0</v>
      </c>
      <c r="P35" s="2305">
        <v>32</v>
      </c>
      <c r="Q35" s="644">
        <v>40000</v>
      </c>
      <c r="R35" s="656">
        <f t="shared" si="4"/>
        <v>0</v>
      </c>
      <c r="S35" s="656">
        <f t="shared" si="18"/>
        <v>0</v>
      </c>
      <c r="T35" s="656">
        <f t="shared" si="16"/>
        <v>0</v>
      </c>
      <c r="U35" s="656">
        <f t="shared" si="17"/>
        <v>0</v>
      </c>
      <c r="V35" s="568"/>
      <c r="W35" s="568"/>
      <c r="X35" s="568"/>
    </row>
    <row r="36" spans="1:24" s="569" customFormat="1" ht="16" customHeight="1">
      <c r="A36" s="80">
        <v>33</v>
      </c>
      <c r="B36" s="275"/>
      <c r="C36" s="2319" t="s">
        <v>560</v>
      </c>
      <c r="D36" s="654"/>
      <c r="E36" s="2382"/>
      <c r="F36" s="2386">
        <f>SUM(F13:F35)</f>
        <v>2</v>
      </c>
      <c r="G36" s="2387">
        <f t="shared" ref="G36:H36" si="19">SUM(G13:G35)</f>
        <v>91712</v>
      </c>
      <c r="H36" s="2387">
        <f t="shared" si="19"/>
        <v>88815</v>
      </c>
      <c r="I36" s="2387">
        <f t="shared" ref="I36:I37" si="20">G36-H36</f>
        <v>2897</v>
      </c>
      <c r="J36" s="2389">
        <f t="shared" ref="J36:J37" si="21">IF(F36&gt;0,I36/F36,0)</f>
        <v>1448.5</v>
      </c>
      <c r="K36" s="2386">
        <f>SUM(K13:K35)</f>
        <v>3</v>
      </c>
      <c r="L36" s="2387">
        <f t="shared" ref="L36:M36" si="22">SUM(L13:L35)</f>
        <v>137560</v>
      </c>
      <c r="M36" s="2387">
        <f t="shared" si="22"/>
        <v>135376</v>
      </c>
      <c r="N36" s="2387">
        <f t="shared" ref="N36:N37" si="23">L36-M36</f>
        <v>2184</v>
      </c>
      <c r="O36" s="2388">
        <f t="shared" ref="O36:O37" si="24">IF(K36&gt;0,N36/K36,0)</f>
        <v>728</v>
      </c>
      <c r="P36" s="2305">
        <v>33</v>
      </c>
      <c r="Q36" s="644">
        <v>40000</v>
      </c>
      <c r="R36" s="656">
        <f t="shared" si="4"/>
        <v>1</v>
      </c>
      <c r="S36" s="656">
        <f t="shared" si="18"/>
        <v>1</v>
      </c>
      <c r="T36" s="656">
        <f t="shared" si="16"/>
        <v>0</v>
      </c>
      <c r="U36" s="656">
        <f t="shared" si="17"/>
        <v>0</v>
      </c>
      <c r="V36" s="568"/>
      <c r="W36" s="568"/>
      <c r="X36" s="568"/>
    </row>
    <row r="37" spans="1:24" s="569" customFormat="1" ht="16" customHeight="1">
      <c r="A37" s="80">
        <v>34</v>
      </c>
      <c r="B37" s="275"/>
      <c r="C37" s="2523" t="s">
        <v>561</v>
      </c>
      <c r="D37" s="2315"/>
      <c r="E37" s="2348"/>
      <c r="F37" s="2379">
        <f>F36+F12</f>
        <v>2</v>
      </c>
      <c r="G37" s="2381">
        <f t="shared" ref="G37:H37" si="25">G36+G12</f>
        <v>91712</v>
      </c>
      <c r="H37" s="2381">
        <f t="shared" si="25"/>
        <v>88815</v>
      </c>
      <c r="I37" s="2381">
        <f t="shared" si="20"/>
        <v>2897</v>
      </c>
      <c r="J37" s="2390">
        <f t="shared" si="21"/>
        <v>1448.5</v>
      </c>
      <c r="K37" s="2379">
        <f>K12+K36</f>
        <v>3</v>
      </c>
      <c r="L37" s="2381">
        <f t="shared" ref="L37:M37" si="26">L12+L36</f>
        <v>137560</v>
      </c>
      <c r="M37" s="2381">
        <f t="shared" si="26"/>
        <v>135376</v>
      </c>
      <c r="N37" s="2381">
        <f t="shared" si="23"/>
        <v>2184</v>
      </c>
      <c r="O37" s="2380">
        <f t="shared" si="24"/>
        <v>728</v>
      </c>
      <c r="P37" s="2305">
        <v>34</v>
      </c>
      <c r="Q37" s="644">
        <v>35000</v>
      </c>
      <c r="R37" s="656">
        <f t="shared" si="4"/>
        <v>1</v>
      </c>
      <c r="S37" s="656">
        <f t="shared" si="18"/>
        <v>1</v>
      </c>
      <c r="T37" s="656">
        <f t="shared" si="16"/>
        <v>0</v>
      </c>
      <c r="U37" s="656">
        <f t="shared" si="17"/>
        <v>0</v>
      </c>
      <c r="V37" s="568"/>
      <c r="W37" s="568"/>
      <c r="X37" s="568"/>
    </row>
    <row r="38" spans="1:24" ht="16" customHeight="1">
      <c r="A38" s="80">
        <v>35</v>
      </c>
      <c r="B38" s="2396"/>
      <c r="C38" s="2313"/>
      <c r="D38" s="2313"/>
      <c r="E38" s="2313"/>
      <c r="F38" s="2313"/>
      <c r="G38" s="2313"/>
      <c r="H38" s="2313"/>
      <c r="I38" s="2313"/>
      <c r="J38" s="2313"/>
      <c r="K38" s="2313"/>
      <c r="L38" s="2313"/>
      <c r="M38" s="2313"/>
      <c r="N38" s="2313"/>
      <c r="O38" s="2313"/>
      <c r="P38" s="2305">
        <v>35</v>
      </c>
      <c r="Q38" s="2256"/>
      <c r="R38" s="843"/>
      <c r="S38" s="843"/>
      <c r="T38" s="843"/>
      <c r="U38" s="843"/>
      <c r="V38" s="677"/>
      <c r="W38" s="677"/>
      <c r="X38" s="677"/>
    </row>
    <row r="39" spans="1:24" s="569" customFormat="1" ht="16" customHeight="1">
      <c r="A39" s="80">
        <v>36</v>
      </c>
      <c r="B39" s="189"/>
      <c r="C39" s="2773" t="s">
        <v>562</v>
      </c>
      <c r="D39" s="2774"/>
      <c r="E39" s="2774"/>
      <c r="F39" s="268"/>
      <c r="G39" s="1241" t="s">
        <v>7</v>
      </c>
      <c r="H39" s="2526"/>
      <c r="I39" s="2527"/>
      <c r="J39" s="1507"/>
      <c r="K39" s="1842"/>
      <c r="L39" s="347" t="s">
        <v>8</v>
      </c>
      <c r="M39" s="2528"/>
      <c r="N39" s="2529"/>
      <c r="O39" s="2530"/>
      <c r="P39" s="2305">
        <v>36</v>
      </c>
      <c r="Q39" s="644">
        <v>0</v>
      </c>
      <c r="R39" s="656">
        <f t="shared" si="4"/>
        <v>0</v>
      </c>
      <c r="S39" s="656">
        <f t="shared" si="18"/>
        <v>0</v>
      </c>
      <c r="T39" s="656">
        <f t="shared" si="16"/>
        <v>1</v>
      </c>
      <c r="U39" s="656">
        <f t="shared" si="17"/>
        <v>1</v>
      </c>
      <c r="V39" s="568"/>
      <c r="W39" s="568"/>
      <c r="X39" s="568"/>
    </row>
    <row r="40" spans="1:24" s="569" customFormat="1" ht="16" customHeight="1">
      <c r="A40" s="80">
        <v>37</v>
      </c>
      <c r="B40" s="275"/>
      <c r="C40" s="2775"/>
      <c r="D40" s="2775"/>
      <c r="E40" s="2775"/>
      <c r="F40" s="1232" t="s">
        <v>102</v>
      </c>
      <c r="G40" s="1233" t="s">
        <v>103</v>
      </c>
      <c r="H40" s="1233" t="s">
        <v>104</v>
      </c>
      <c r="I40" s="1233" t="s">
        <v>105</v>
      </c>
      <c r="J40" s="1234" t="s">
        <v>106</v>
      </c>
      <c r="K40" s="1235" t="s">
        <v>102</v>
      </c>
      <c r="L40" s="1236" t="s">
        <v>103</v>
      </c>
      <c r="M40" s="1236" t="s">
        <v>104</v>
      </c>
      <c r="N40" s="1236" t="s">
        <v>105</v>
      </c>
      <c r="O40" s="1237" t="s">
        <v>106</v>
      </c>
      <c r="P40" s="2305">
        <v>37</v>
      </c>
      <c r="Q40" s="644">
        <v>0</v>
      </c>
      <c r="R40" s="656" t="e">
        <f t="shared" si="4"/>
        <v>#VALUE!</v>
      </c>
      <c r="S40" s="656" t="e">
        <f t="shared" si="18"/>
        <v>#VALUE!</v>
      </c>
      <c r="T40" s="656">
        <f t="shared" si="16"/>
        <v>0</v>
      </c>
      <c r="U40" s="656">
        <f t="shared" si="17"/>
        <v>0</v>
      </c>
      <c r="V40" s="568"/>
      <c r="W40" s="568"/>
      <c r="X40" s="568"/>
    </row>
    <row r="41" spans="1:24" s="569" customFormat="1" ht="16" customHeight="1">
      <c r="A41" s="80">
        <v>38</v>
      </c>
      <c r="B41" s="275"/>
      <c r="C41" s="2426" t="s">
        <v>563</v>
      </c>
      <c r="D41" s="2427"/>
      <c r="E41" s="2326"/>
      <c r="F41" s="2340">
        <f>F4+F6+F8</f>
        <v>0</v>
      </c>
      <c r="G41" s="2605">
        <f t="shared" ref="G41:H41" si="27">G4+G6+G8</f>
        <v>0</v>
      </c>
      <c r="H41" s="2605">
        <f t="shared" si="27"/>
        <v>0</v>
      </c>
      <c r="I41" s="2324">
        <f>G41-H41</f>
        <v>0</v>
      </c>
      <c r="J41" s="2466">
        <f>IF(F41&gt;0,I41/F41,0)</f>
        <v>0</v>
      </c>
      <c r="K41" s="2477">
        <f>K4+K6+K8</f>
        <v>0</v>
      </c>
      <c r="L41" s="2617">
        <f t="shared" ref="L41:M41" si="28">L4+L6+L8</f>
        <v>0</v>
      </c>
      <c r="M41" s="2617">
        <f t="shared" si="28"/>
        <v>0</v>
      </c>
      <c r="N41" s="2325">
        <f>L41-M41</f>
        <v>0</v>
      </c>
      <c r="O41" s="2335">
        <f>IF(K41&gt;0,N41/K41,0)</f>
        <v>0</v>
      </c>
      <c r="P41" s="2305">
        <v>38</v>
      </c>
      <c r="Q41" s="644">
        <v>0</v>
      </c>
      <c r="R41" s="656">
        <f t="shared" si="4"/>
        <v>0</v>
      </c>
      <c r="S41" s="656">
        <f t="shared" si="18"/>
        <v>0</v>
      </c>
      <c r="T41" s="656">
        <f t="shared" si="16"/>
        <v>0</v>
      </c>
      <c r="U41" s="656">
        <f t="shared" si="17"/>
        <v>0</v>
      </c>
      <c r="V41" s="568"/>
      <c r="W41" s="568"/>
      <c r="X41" s="568"/>
    </row>
    <row r="42" spans="1:24" ht="16" customHeight="1">
      <c r="A42" s="80">
        <v>39</v>
      </c>
      <c r="B42" s="275"/>
      <c r="C42" s="2317" t="s">
        <v>564</v>
      </c>
      <c r="D42" s="2427"/>
      <c r="E42" s="2326"/>
      <c r="F42" s="2341">
        <f>Page5_PARCS_GOUV!F4+Page5_PARCS_GOUV!F6+Page5_PARCS_GOUV!F8</f>
        <v>0</v>
      </c>
      <c r="G42" s="2606">
        <f>Page5_PARCS_GOUV!G4+Page5_PARCS_GOUV!G6+Page5_PARCS_GOUV!G8</f>
        <v>0</v>
      </c>
      <c r="H42" s="2606">
        <f>Page5_PARCS_GOUV!H4+Page5_PARCS_GOUV!H6+Page5_PARCS_GOUV!H8</f>
        <v>0</v>
      </c>
      <c r="I42" s="2307">
        <f t="shared" ref="I42:I58" si="29">G42-H42</f>
        <v>0</v>
      </c>
      <c r="J42" s="2467">
        <f t="shared" ref="J42:J58" si="30">IF(F42&gt;0,I42/F42,0)</f>
        <v>0</v>
      </c>
      <c r="K42" s="2463">
        <f>Page5_PARCS_GOUV!K4+Page5_PARCS_GOUV!K6+Page5_PARCS_GOUV!K8</f>
        <v>0</v>
      </c>
      <c r="L42" s="2610">
        <f>Page5_PARCS_GOUV!L4+Page5_PARCS_GOUV!L6+Page5_PARCS_GOUV!L8</f>
        <v>0</v>
      </c>
      <c r="M42" s="2610">
        <f>Page5_PARCS_GOUV!M4+Page5_PARCS_GOUV!M6+Page5_PARCS_GOUV!M8</f>
        <v>0</v>
      </c>
      <c r="N42" s="2308">
        <f t="shared" ref="N42:N58" si="31">L42-M42</f>
        <v>0</v>
      </c>
      <c r="O42" s="2336">
        <f t="shared" ref="O42:O58" si="32">IF(K42&gt;0,N42/K42,0)</f>
        <v>0</v>
      </c>
      <c r="P42" s="2305">
        <v>39</v>
      </c>
      <c r="Q42" s="2256"/>
      <c r="R42" s="843"/>
      <c r="S42" s="843"/>
      <c r="T42" s="843"/>
      <c r="U42" s="843"/>
      <c r="V42" s="677"/>
      <c r="W42" s="677"/>
      <c r="X42" s="677"/>
    </row>
    <row r="43" spans="1:24" s="569" customFormat="1" ht="16" customHeight="1">
      <c r="A43" s="80">
        <v>40</v>
      </c>
      <c r="B43" s="275"/>
      <c r="C43" s="2317" t="s">
        <v>565</v>
      </c>
      <c r="D43" s="2427"/>
      <c r="E43" s="2326"/>
      <c r="F43" s="2478">
        <f>Page5_PARCS_GOUV!F40+Page5_PARCS_GOUV!F42+Page5_PARCS_GOUV!F44</f>
        <v>0</v>
      </c>
      <c r="G43" s="2607">
        <f>Page5_PARCS_GOUV!G40+Page5_PARCS_GOUV!G42+Page5_PARCS_GOUV!G44</f>
        <v>0</v>
      </c>
      <c r="H43" s="2607">
        <f>Page5_PARCS_GOUV!H40+Page5_PARCS_GOUV!H42+Page5_PARCS_GOUV!H44</f>
        <v>0</v>
      </c>
      <c r="I43" s="2356">
        <f t="shared" si="29"/>
        <v>0</v>
      </c>
      <c r="J43" s="2468">
        <f t="shared" si="30"/>
        <v>0</v>
      </c>
      <c r="K43" s="2479">
        <f>Page5_PARCS_GOUV!K40+Page5_PARCS_GOUV!K42+Page5_PARCS_GOUV!K44</f>
        <v>0</v>
      </c>
      <c r="L43" s="2611">
        <f>Page5_PARCS_GOUV!L40+Page5_PARCS_GOUV!L42+Page5_PARCS_GOUV!L44</f>
        <v>0</v>
      </c>
      <c r="M43" s="2611">
        <f>Page5_PARCS_GOUV!M40+Page5_PARCS_GOUV!M42+Page5_PARCS_GOUV!M44</f>
        <v>0</v>
      </c>
      <c r="N43" s="2357">
        <f t="shared" si="31"/>
        <v>0</v>
      </c>
      <c r="O43" s="2339">
        <f t="shared" si="32"/>
        <v>0</v>
      </c>
      <c r="P43" s="2305">
        <v>40</v>
      </c>
      <c r="Q43" s="644">
        <v>0</v>
      </c>
      <c r="R43" s="656">
        <f t="shared" si="4"/>
        <v>0</v>
      </c>
      <c r="S43" s="656">
        <f t="shared" si="18"/>
        <v>0</v>
      </c>
      <c r="T43" s="656">
        <f t="shared" si="16"/>
        <v>0</v>
      </c>
      <c r="U43" s="656">
        <f t="shared" si="17"/>
        <v>0</v>
      </c>
      <c r="V43" s="568"/>
      <c r="W43" s="568"/>
      <c r="X43" s="568"/>
    </row>
    <row r="44" spans="1:24" s="569" customFormat="1" ht="16" customHeight="1">
      <c r="A44" s="80">
        <v>41</v>
      </c>
      <c r="B44" s="275"/>
      <c r="C44" s="2772" t="s">
        <v>566</v>
      </c>
      <c r="D44" s="2772"/>
      <c r="E44" s="2772"/>
      <c r="F44" s="2416">
        <f>SUM(F41:F43)</f>
        <v>0</v>
      </c>
      <c r="G44" s="2416">
        <f t="shared" ref="G44:H44" si="33">SUM(G41:G43)</f>
        <v>0</v>
      </c>
      <c r="H44" s="2416">
        <f t="shared" si="33"/>
        <v>0</v>
      </c>
      <c r="I44" s="2416">
        <f t="shared" si="29"/>
        <v>0</v>
      </c>
      <c r="J44" s="2322">
        <f t="shared" si="30"/>
        <v>0</v>
      </c>
      <c r="K44" s="2416">
        <f>SUM(K41:K43)</f>
        <v>0</v>
      </c>
      <c r="L44" s="2416">
        <f t="shared" ref="L44:M44" si="34">SUM(L41:L43)</f>
        <v>0</v>
      </c>
      <c r="M44" s="2416">
        <f t="shared" si="34"/>
        <v>0</v>
      </c>
      <c r="N44" s="2416">
        <f t="shared" si="31"/>
        <v>0</v>
      </c>
      <c r="O44" s="2322">
        <f t="shared" si="32"/>
        <v>0</v>
      </c>
      <c r="P44" s="2305">
        <v>41</v>
      </c>
      <c r="Q44" s="644"/>
      <c r="R44" s="656"/>
      <c r="S44" s="656"/>
      <c r="T44" s="656"/>
      <c r="U44" s="656"/>
      <c r="V44" s="568"/>
      <c r="W44" s="568"/>
      <c r="X44" s="568"/>
    </row>
    <row r="45" spans="1:24" s="569" customFormat="1" ht="16" customHeight="1">
      <c r="A45" s="80">
        <v>42</v>
      </c>
      <c r="B45" s="215"/>
      <c r="C45" s="2426" t="s">
        <v>567</v>
      </c>
      <c r="D45" s="2427"/>
      <c r="E45" s="2326"/>
      <c r="F45" s="2340">
        <f>F5+F7+F9</f>
        <v>0</v>
      </c>
      <c r="G45" s="2605">
        <f t="shared" ref="G45:H45" si="35">G5+G7+G9</f>
        <v>0</v>
      </c>
      <c r="H45" s="2605">
        <f t="shared" si="35"/>
        <v>0</v>
      </c>
      <c r="I45" s="2324">
        <f t="shared" si="29"/>
        <v>0</v>
      </c>
      <c r="J45" s="2466">
        <f t="shared" si="30"/>
        <v>0</v>
      </c>
      <c r="K45" s="2477">
        <f>K5+K7+K9</f>
        <v>0</v>
      </c>
      <c r="L45" s="2617">
        <f t="shared" ref="L45:M45" si="36">L5+L7+L9</f>
        <v>0</v>
      </c>
      <c r="M45" s="2617">
        <f t="shared" si="36"/>
        <v>0</v>
      </c>
      <c r="N45" s="2325">
        <f t="shared" si="31"/>
        <v>0</v>
      </c>
      <c r="O45" s="2335">
        <f t="shared" si="32"/>
        <v>0</v>
      </c>
      <c r="P45" s="2305">
        <v>42</v>
      </c>
      <c r="Q45" s="644">
        <v>60000</v>
      </c>
      <c r="R45" s="656">
        <f t="shared" si="4"/>
        <v>0</v>
      </c>
      <c r="S45" s="656">
        <f>IF(K45=0,0,IF(OR(L45&lt;0,L45/K45&gt;Q45),1,0))</f>
        <v>0</v>
      </c>
      <c r="T45" s="656">
        <f>IF(OR(F45&lt;0,AND(G45&gt;0,F45=0),AND(G45=0,F45&gt;0)),1,0)</f>
        <v>0</v>
      </c>
      <c r="U45" s="656">
        <f>IF(OR(K45&lt;0,AND(L45&gt;0,K45=0),AND(K45&gt;0,L45=0)),1,0)</f>
        <v>0</v>
      </c>
      <c r="V45" s="568"/>
      <c r="W45" s="568"/>
      <c r="X45" s="568"/>
    </row>
    <row r="46" spans="1:24" ht="16" customHeight="1">
      <c r="A46" s="80">
        <v>43</v>
      </c>
      <c r="B46" s="215"/>
      <c r="C46" s="2317" t="s">
        <v>568</v>
      </c>
      <c r="D46" s="2427"/>
      <c r="E46" s="2326"/>
      <c r="F46" s="2341">
        <f>Page5_PARCS_GOUV!F5+Page5_PARCS_GOUV!F7+Page5_PARCS_GOUV!F9</f>
        <v>0</v>
      </c>
      <c r="G46" s="2606">
        <f>Page5_PARCS_GOUV!G5+Page5_PARCS_GOUV!G7+Page5_PARCS_GOUV!G9</f>
        <v>0</v>
      </c>
      <c r="H46" s="2606">
        <f>Page5_PARCS_GOUV!H5+Page5_PARCS_GOUV!H7+Page5_PARCS_GOUV!H9</f>
        <v>0</v>
      </c>
      <c r="I46" s="2307">
        <f t="shared" si="29"/>
        <v>0</v>
      </c>
      <c r="J46" s="2467">
        <f t="shared" si="30"/>
        <v>0</v>
      </c>
      <c r="K46" s="2463">
        <f>Page5_PARCS_GOUV!K5+Page5_PARCS_GOUV!K7+Page5_PARCS_GOUV!K9</f>
        <v>0</v>
      </c>
      <c r="L46" s="2610">
        <f>Page5_PARCS_GOUV!L5+Page5_PARCS_GOUV!L7+Page5_PARCS_GOUV!L9</f>
        <v>0</v>
      </c>
      <c r="M46" s="2610">
        <f>Page5_PARCS_GOUV!M5+Page5_PARCS_GOUV!M7+Page5_PARCS_GOUV!M9</f>
        <v>0</v>
      </c>
      <c r="N46" s="2308">
        <f t="shared" si="31"/>
        <v>0</v>
      </c>
      <c r="O46" s="2336">
        <f t="shared" si="32"/>
        <v>0</v>
      </c>
      <c r="P46" s="2305">
        <v>43</v>
      </c>
      <c r="Q46" s="2256"/>
      <c r="R46" s="843"/>
      <c r="S46" s="843"/>
      <c r="T46" s="843"/>
      <c r="U46" s="843"/>
      <c r="V46" s="677"/>
      <c r="W46" s="677"/>
      <c r="X46" s="677"/>
    </row>
    <row r="47" spans="1:24" ht="16" customHeight="1">
      <c r="A47" s="80">
        <v>44</v>
      </c>
      <c r="B47" s="215"/>
      <c r="C47" s="2317" t="s">
        <v>569</v>
      </c>
      <c r="D47" s="2427"/>
      <c r="E47" s="2326"/>
      <c r="F47" s="2478">
        <f>Page5_PARCS_GOUV!F41+Page5_PARCS_GOUV!F43+Page5_PARCS_GOUV!F45</f>
        <v>0</v>
      </c>
      <c r="G47" s="2607">
        <f>Page5_PARCS_GOUV!G41+Page5_PARCS_GOUV!G43+Page5_PARCS_GOUV!G45</f>
        <v>0</v>
      </c>
      <c r="H47" s="2607">
        <f>Page5_PARCS_GOUV!H41+Page5_PARCS_GOUV!H43+Page5_PARCS_GOUV!H45</f>
        <v>0</v>
      </c>
      <c r="I47" s="2356">
        <f t="shared" si="29"/>
        <v>0</v>
      </c>
      <c r="J47" s="2468">
        <f t="shared" si="30"/>
        <v>0</v>
      </c>
      <c r="K47" s="2479">
        <f>Page5_PARCS_GOUV!K41+Page5_PARCS_GOUV!K43+Page5_PARCS_GOUV!K45</f>
        <v>0</v>
      </c>
      <c r="L47" s="2611">
        <f>Page5_PARCS_GOUV!L41+Page5_PARCS_GOUV!L43+Page5_PARCS_GOUV!L45</f>
        <v>0</v>
      </c>
      <c r="M47" s="2611">
        <f>Page5_PARCS_GOUV!M41+Page5_PARCS_GOUV!M43+Page5_PARCS_GOUV!M45</f>
        <v>0</v>
      </c>
      <c r="N47" s="2357">
        <f t="shared" si="31"/>
        <v>0</v>
      </c>
      <c r="O47" s="2339">
        <f t="shared" si="32"/>
        <v>0</v>
      </c>
      <c r="P47" s="2305">
        <v>44</v>
      </c>
      <c r="Q47" s="2256"/>
      <c r="R47" s="843"/>
      <c r="S47" s="843"/>
      <c r="T47" s="843"/>
      <c r="U47" s="843"/>
      <c r="V47" s="677"/>
      <c r="W47" s="677"/>
      <c r="X47" s="677"/>
    </row>
    <row r="48" spans="1:24" s="569" customFormat="1" ht="16" customHeight="1">
      <c r="A48" s="80">
        <v>45</v>
      </c>
      <c r="B48" s="215"/>
      <c r="C48" s="2772" t="s">
        <v>570</v>
      </c>
      <c r="D48" s="2772"/>
      <c r="E48" s="2772"/>
      <c r="F48" s="2416">
        <f>SUM(F45:F47)</f>
        <v>0</v>
      </c>
      <c r="G48" s="2416">
        <f t="shared" ref="G48:H48" si="37">SUM(G45:G47)</f>
        <v>0</v>
      </c>
      <c r="H48" s="2416">
        <f t="shared" si="37"/>
        <v>0</v>
      </c>
      <c r="I48" s="2416">
        <f t="shared" si="29"/>
        <v>0</v>
      </c>
      <c r="J48" s="2322">
        <f t="shared" si="30"/>
        <v>0</v>
      </c>
      <c r="K48" s="2416">
        <f>SUM(K45:K47)</f>
        <v>0</v>
      </c>
      <c r="L48" s="2416">
        <f t="shared" ref="L48:M48" si="38">SUM(L45:L47)</f>
        <v>0</v>
      </c>
      <c r="M48" s="2416">
        <f t="shared" si="38"/>
        <v>0</v>
      </c>
      <c r="N48" s="2416">
        <f t="shared" si="31"/>
        <v>0</v>
      </c>
      <c r="O48" s="2322">
        <f t="shared" si="32"/>
        <v>0</v>
      </c>
      <c r="P48" s="2305">
        <v>45</v>
      </c>
      <c r="Q48" s="644"/>
      <c r="R48" s="656"/>
      <c r="S48" s="656"/>
      <c r="T48" s="656"/>
      <c r="U48" s="656"/>
      <c r="V48" s="568"/>
      <c r="W48" s="568"/>
      <c r="X48" s="568"/>
    </row>
    <row r="49" spans="1:28" s="569" customFormat="1" ht="16" customHeight="1">
      <c r="A49" s="80">
        <v>46</v>
      </c>
      <c r="B49" s="215"/>
      <c r="C49" s="2317" t="s">
        <v>571</v>
      </c>
      <c r="D49" s="2427"/>
      <c r="E49" s="2326"/>
      <c r="F49" s="2340">
        <f>F14+F16+F18+F20+F22+F24+F25+F27+F29+F31+F32+F33</f>
        <v>2</v>
      </c>
      <c r="G49" s="2605">
        <f t="shared" ref="G49:H49" si="39">G14+G16+G18+G20+G22+G24+G25+G27+G29+G31+G32+G33</f>
        <v>91712</v>
      </c>
      <c r="H49" s="2605">
        <f t="shared" si="39"/>
        <v>88815</v>
      </c>
      <c r="I49" s="2324">
        <f t="shared" si="29"/>
        <v>2897</v>
      </c>
      <c r="J49" s="2466">
        <f t="shared" si="30"/>
        <v>1448.5</v>
      </c>
      <c r="K49" s="2453">
        <f>K14+K16+K18+K20+K22+K24+K25+K27+K29+K31+K32+K33</f>
        <v>3</v>
      </c>
      <c r="L49" s="2609">
        <f t="shared" ref="L49:M49" si="40">L14+L16+L18+L20+L22+L24+L25+L27+L29+L31+L32+L33</f>
        <v>137560</v>
      </c>
      <c r="M49" s="2609">
        <f t="shared" si="40"/>
        <v>135376</v>
      </c>
      <c r="N49" s="2325">
        <f t="shared" si="31"/>
        <v>2184</v>
      </c>
      <c r="O49" s="2335">
        <f t="shared" si="32"/>
        <v>728</v>
      </c>
      <c r="P49" s="2305">
        <v>46</v>
      </c>
      <c r="Q49" s="644"/>
      <c r="R49" s="656"/>
      <c r="S49" s="656"/>
      <c r="T49" s="656"/>
      <c r="U49" s="656"/>
      <c r="V49" s="568"/>
      <c r="W49" s="568"/>
      <c r="X49" s="568"/>
    </row>
    <row r="50" spans="1:28" ht="16" customHeight="1">
      <c r="A50" s="80">
        <v>47</v>
      </c>
      <c r="B50" s="215"/>
      <c r="C50" s="2317" t="s">
        <v>572</v>
      </c>
      <c r="D50" s="2427"/>
      <c r="E50" s="2326"/>
      <c r="F50" s="2341">
        <f>Page5_PARCS_GOUV!F14+Page5_PARCS_GOUV!F16+Page5_PARCS_GOUV!F18+Page5_PARCS_GOUV!F20+Page5_PARCS_GOUV!F22+Page5_PARCS_GOUV!F24+Page5_PARCS_GOUV!F25+Page5_PARCS_GOUV!F27+Page5_PARCS_GOUV!F29+Page5_PARCS_GOUV!F31+Page5_PARCS_GOUV!F32+Page5_PARCS_GOUV!F33</f>
        <v>10</v>
      </c>
      <c r="G50" s="2606">
        <f>Page5_PARCS_GOUV!G14+Page5_PARCS_GOUV!G16+Page5_PARCS_GOUV!G18+Page5_PARCS_GOUV!G20+Page5_PARCS_GOUV!G22+Page5_PARCS_GOUV!G24+Page5_PARCS_GOUV!G25+Page5_PARCS_GOUV!G27+Page5_PARCS_GOUV!G29+Page5_PARCS_GOUV!G31+Page5_PARCS_GOUV!G32+Page5_PARCS_GOUV!G33</f>
        <v>619285</v>
      </c>
      <c r="H50" s="2606">
        <f>Page5_PARCS_GOUV!H14+Page5_PARCS_GOUV!H16+Page5_PARCS_GOUV!H18+Page5_PARCS_GOUV!H20+Page5_PARCS_GOUV!H22+Page5_PARCS_GOUV!H24+Page5_PARCS_GOUV!H25+Page5_PARCS_GOUV!H27+Page5_PARCS_GOUV!H29+Page5_PARCS_GOUV!H31+Page5_PARCS_GOUV!H32+Page5_PARCS_GOUV!H33</f>
        <v>611136</v>
      </c>
      <c r="I50" s="2307">
        <f t="shared" si="29"/>
        <v>8149</v>
      </c>
      <c r="J50" s="2467">
        <f t="shared" si="30"/>
        <v>814.9</v>
      </c>
      <c r="K50" s="2463">
        <f>Page5_PARCS_GOUV!K14+Page5_PARCS_GOUV!K16+Page5_PARCS_GOUV!K18+Page5_PARCS_GOUV!K20+Page5_PARCS_GOUV!K22+Page5_PARCS_GOUV!K24+Page5_PARCS_GOUV!K25+Page5_PARCS_GOUV!K27+Page5_PARCS_GOUV!K29+Page5_PARCS_GOUV!K31+Page5_PARCS_GOUV!K32+Page5_PARCS_GOUV!K33</f>
        <v>34</v>
      </c>
      <c r="L50" s="2610">
        <f>Page5_PARCS_GOUV!L14+Page5_PARCS_GOUV!L16+Page5_PARCS_GOUV!L18+Page5_PARCS_GOUV!L20+Page5_PARCS_GOUV!L22+Page5_PARCS_GOUV!L24+Page5_PARCS_GOUV!L25+Page5_PARCS_GOUV!L27+Page5_PARCS_GOUV!L29+Page5_PARCS_GOUV!L31+Page5_PARCS_GOUV!L32+Page5_PARCS_GOUV!L33</f>
        <v>2326463</v>
      </c>
      <c r="M50" s="2610">
        <f>Page5_PARCS_GOUV!M14+Page5_PARCS_GOUV!M16+Page5_PARCS_GOUV!M18+Page5_PARCS_GOUV!M20+Page5_PARCS_GOUV!M22+Page5_PARCS_GOUV!M24+Page5_PARCS_GOUV!M25+Page5_PARCS_GOUV!M27+Page5_PARCS_GOUV!M29+Page5_PARCS_GOUV!M31+Page5_PARCS_GOUV!M32+Page5_PARCS_GOUV!M33</f>
        <v>2310310</v>
      </c>
      <c r="N50" s="2308">
        <f t="shared" si="31"/>
        <v>16153</v>
      </c>
      <c r="O50" s="2336">
        <f t="shared" si="32"/>
        <v>475.08823529411762</v>
      </c>
      <c r="P50" s="2305">
        <v>47</v>
      </c>
      <c r="Q50" s="2256"/>
      <c r="R50" s="843"/>
      <c r="S50" s="843"/>
      <c r="T50" s="843"/>
      <c r="U50" s="843"/>
      <c r="V50" s="677"/>
      <c r="W50" s="677"/>
      <c r="X50" s="677"/>
    </row>
    <row r="51" spans="1:28" s="569" customFormat="1" ht="16" customHeight="1">
      <c r="A51" s="80">
        <v>48</v>
      </c>
      <c r="B51" s="215"/>
      <c r="C51" s="2317" t="s">
        <v>573</v>
      </c>
      <c r="D51" s="2427"/>
      <c r="E51" s="2326"/>
      <c r="F51" s="2478">
        <f>Page5_PARCS_GOUV!F50+Page5_PARCS_GOUV!F52+Page5_PARCS_GOUV!F54+Page5_PARCS_GOUV!F56+Page5_PARCS_GOUV!F58+Page5_PARCS_GOUV!F60+Page5_PARCS_GOUV!F61+Page5_PARCS_GOUV!F63+Page5_PARCS_GOUV!F65+Page5_PARCS_GOUV!F67+Page5_PARCS_GOUV!F68+Page5_PARCS_GOUV!F69</f>
        <v>0</v>
      </c>
      <c r="G51" s="2607">
        <f>Page5_PARCS_GOUV!G50+Page5_PARCS_GOUV!G52+Page5_PARCS_GOUV!G54+Page5_PARCS_GOUV!G56+Page5_PARCS_GOUV!G58+Page5_PARCS_GOUV!G60+Page5_PARCS_GOUV!G61+Page5_PARCS_GOUV!G63+Page5_PARCS_GOUV!G65+Page5_PARCS_GOUV!G67+Page5_PARCS_GOUV!G68+Page5_PARCS_GOUV!G69</f>
        <v>0</v>
      </c>
      <c r="H51" s="2607">
        <f>Page5_PARCS_GOUV!H50+Page5_PARCS_GOUV!H52+Page5_PARCS_GOUV!H54+Page5_PARCS_GOUV!H56+Page5_PARCS_GOUV!H58+Page5_PARCS_GOUV!H60+Page5_PARCS_GOUV!H61+Page5_PARCS_GOUV!H63+Page5_PARCS_GOUV!H65+Page5_PARCS_GOUV!H67+Page5_PARCS_GOUV!H68+Page5_PARCS_GOUV!H69</f>
        <v>0</v>
      </c>
      <c r="I51" s="2356">
        <f t="shared" si="29"/>
        <v>0</v>
      </c>
      <c r="J51" s="2468">
        <f t="shared" si="30"/>
        <v>0</v>
      </c>
      <c r="K51" s="2479">
        <f>Page5_PARCS_GOUV!K50+Page5_PARCS_GOUV!K52+Page5_PARCS_GOUV!K54+Page5_PARCS_GOUV!K56+Page5_PARCS_GOUV!K58+Page5_PARCS_GOUV!K60+Page5_PARCS_GOUV!K61+Page5_PARCS_GOUV!K63+Page5_PARCS_GOUV!K65+Page5_PARCS_GOUV!K67+Page5_PARCS_GOUV!K68+Page5_PARCS_GOUV!K69</f>
        <v>0</v>
      </c>
      <c r="L51" s="2611">
        <f>Page5_PARCS_GOUV!L50+Page5_PARCS_GOUV!L52+Page5_PARCS_GOUV!L54+Page5_PARCS_GOUV!L56+Page5_PARCS_GOUV!L58+Page5_PARCS_GOUV!L60+Page5_PARCS_GOUV!L61+Page5_PARCS_GOUV!L63+Page5_PARCS_GOUV!L65+Page5_PARCS_GOUV!L67+Page5_PARCS_GOUV!L68+Page5_PARCS_GOUV!L69</f>
        <v>0</v>
      </c>
      <c r="M51" s="2611">
        <f>Page5_PARCS_GOUV!M50+Page5_PARCS_GOUV!M52+Page5_PARCS_GOUV!M54+Page5_PARCS_GOUV!M56+Page5_PARCS_GOUV!M58+Page5_PARCS_GOUV!M60+Page5_PARCS_GOUV!M61+Page5_PARCS_GOUV!M63+Page5_PARCS_GOUV!M65+Page5_PARCS_GOUV!M67+Page5_PARCS_GOUV!M68+Page5_PARCS_GOUV!M69</f>
        <v>0</v>
      </c>
      <c r="N51" s="2357">
        <f t="shared" si="31"/>
        <v>0</v>
      </c>
      <c r="O51" s="2339">
        <f t="shared" si="32"/>
        <v>0</v>
      </c>
      <c r="P51" s="2305">
        <v>48</v>
      </c>
      <c r="Q51" s="644">
        <v>10000</v>
      </c>
      <c r="R51" s="656">
        <f t="shared" si="4"/>
        <v>0</v>
      </c>
      <c r="S51" s="656">
        <f>IF(K51=0,0,IF(OR(L51&lt;0,L51/K51&gt;Q51),1,0))</f>
        <v>0</v>
      </c>
      <c r="T51" s="656">
        <f>IF(OR(F51&lt;0,AND(G51&gt;0,F51=0),AND(G51=0,F51&gt;0)),1,0)</f>
        <v>0</v>
      </c>
      <c r="U51" s="656">
        <f>IF(OR(K51&lt;0,AND(L51&gt;0,K51=0),AND(K51&gt;0,L51=0)),1,0)</f>
        <v>0</v>
      </c>
      <c r="V51" s="2256">
        <f>Page5_CHV_MCI!F46+Page5_CHV_VE!F46+Page5_BUI_VE!F46+Page5_BUI_MCI!F46+Page5_CAD_MCI!F46+Page5_GMC_MCI!F46+Page5_GMC_VE!F46+Page5_CAD_VE!F46+Page5j_SANS_OBJECT!F46</f>
        <v>10</v>
      </c>
      <c r="W51" s="2256">
        <f>Page5_CHV_MCI!G46+Page5_CHV_VE!G46+Page5_BUI_VE!G46+Page5_BUI_MCI!G46+Page5_CAD_MCI!G46+Page5_GMC_MCI!G46+Page5_GMC_VE!G46+Page5_CAD_VE!G46+Page5j_SANS_OBJECT!G46</f>
        <v>619285</v>
      </c>
      <c r="X51" s="2256">
        <f>Page5_CHV_MCI!I46+Page5_CHV_VE!I46+Page5_BUI_VE!I46+Page5_BUI_MCI!I46+Page5_CAD_MCI!I46+Page5_GMC_MCI!I46+Page5_GMC_VE!I46+Page5_CAD_VE!I46+Page5j_SANS_OBJECT!I46</f>
        <v>8149</v>
      </c>
      <c r="Z51" s="660">
        <f>Page5_CHV_MCI!K46+Page5_CHV_VE!K46+Page5_BUI_VE!K46+Page5_BUI_MCI!K46+Page5_CAD_MCI!K46+Page5_GMC_MCI!K46+Page5_GMC_VE!K46+Page5_CAD_VE!K46+Page5j_SANS_OBJECT!K46</f>
        <v>34</v>
      </c>
      <c r="AA51" s="660">
        <f>Page5_CHV_MCI!L46+Page5_CHV_VE!L46+Page5_BUI_VE!L46+Page5_BUI_MCI!L46+Page5_CAD_MCI!L46+Page5_GMC_MCI!L46+Page5_GMC_VE!L46+Page5_CAD_VE!L46+Page5j_SANS_OBJECT!L46</f>
        <v>2326463</v>
      </c>
      <c r="AB51" s="660">
        <f>Page5_CHV_MCI!N46+Page5_CHV_VE!N46+Page5_BUI_VE!N46+Page5_BUI_MCI!N46+Page5_CAD_MCI!N46+Page5_GMC_MCI!N46+Page5_GMC_VE!N46+Page5_CAD_VE!N46+Page5j_SANS_OBJECT!N46</f>
        <v>16153</v>
      </c>
    </row>
    <row r="52" spans="1:28" s="569" customFormat="1" ht="16" customHeight="1">
      <c r="A52" s="80">
        <v>49</v>
      </c>
      <c r="B52" s="2320"/>
      <c r="C52" s="2772" t="s">
        <v>574</v>
      </c>
      <c r="D52" s="2772"/>
      <c r="E52" s="2772"/>
      <c r="F52" s="2416">
        <f>SUM(F49:F51)</f>
        <v>12</v>
      </c>
      <c r="G52" s="2416">
        <f t="shared" ref="G52:H52" si="41">SUM(G49:G51)</f>
        <v>710997</v>
      </c>
      <c r="H52" s="2416">
        <f t="shared" si="41"/>
        <v>699951</v>
      </c>
      <c r="I52" s="2416">
        <f t="shared" si="29"/>
        <v>11046</v>
      </c>
      <c r="J52" s="2322">
        <f t="shared" si="30"/>
        <v>920.5</v>
      </c>
      <c r="K52" s="2416">
        <f>SUM(K49:K51)</f>
        <v>37</v>
      </c>
      <c r="L52" s="2416">
        <f t="shared" ref="L52:M52" si="42">SUM(L49:L51)</f>
        <v>2464023</v>
      </c>
      <c r="M52" s="2416">
        <f t="shared" si="42"/>
        <v>2445686</v>
      </c>
      <c r="N52" s="2416">
        <f t="shared" si="31"/>
        <v>18337</v>
      </c>
      <c r="O52" s="2322">
        <f t="shared" si="32"/>
        <v>495.59459459459458</v>
      </c>
      <c r="P52" s="2305">
        <v>49</v>
      </c>
      <c r="Q52" s="644"/>
      <c r="R52" s="656"/>
      <c r="S52" s="656"/>
      <c r="T52" s="656"/>
      <c r="U52" s="656"/>
      <c r="V52" s="568"/>
      <c r="W52" s="568"/>
      <c r="X52" s="568"/>
    </row>
    <row r="53" spans="1:28" ht="16" customHeight="1">
      <c r="A53" s="80">
        <v>50</v>
      </c>
      <c r="B53" s="2420"/>
      <c r="C53" s="2454" t="s">
        <v>575</v>
      </c>
      <c r="D53" s="2455"/>
      <c r="E53" s="2469"/>
      <c r="F53" s="191">
        <f>F13+F15+F17+F19+F21+F23+F28</f>
        <v>0</v>
      </c>
      <c r="G53" s="2605">
        <f t="shared" ref="G53:H53" si="43">G13+G15+G17+G19+G21+G23+G28</f>
        <v>0</v>
      </c>
      <c r="H53" s="2605">
        <f t="shared" si="43"/>
        <v>0</v>
      </c>
      <c r="I53" s="2324">
        <f t="shared" si="29"/>
        <v>0</v>
      </c>
      <c r="J53" s="2466">
        <f t="shared" si="30"/>
        <v>0</v>
      </c>
      <c r="K53" s="2464">
        <f>K13+K15+K17+K19+K21+K23+K28</f>
        <v>0</v>
      </c>
      <c r="L53" s="2609">
        <f t="shared" ref="L53:M53" si="44">L13+L15+L17+L19+L21+L23+L28</f>
        <v>0</v>
      </c>
      <c r="M53" s="2609">
        <f t="shared" si="44"/>
        <v>0</v>
      </c>
      <c r="N53" s="2325">
        <f t="shared" si="31"/>
        <v>0</v>
      </c>
      <c r="O53" s="2335">
        <f t="shared" si="32"/>
        <v>0</v>
      </c>
      <c r="P53" s="2305">
        <v>50</v>
      </c>
      <c r="Q53" s="2256"/>
      <c r="R53" s="843"/>
      <c r="S53" s="843"/>
      <c r="T53" s="843"/>
      <c r="U53" s="843"/>
      <c r="V53" s="677"/>
      <c r="W53" s="677"/>
      <c r="X53" s="677"/>
    </row>
    <row r="54" spans="1:28" ht="16" customHeight="1">
      <c r="A54" s="80">
        <v>51</v>
      </c>
      <c r="B54" s="2420"/>
      <c r="C54" s="2456" t="s">
        <v>576</v>
      </c>
      <c r="D54" s="2427"/>
      <c r="E54" s="2326"/>
      <c r="F54" s="194">
        <f>Page5_PARCS_GOUV!F13+Page5_PARCS_GOUV!F15+Page5_PARCS_GOUV!F17+Page5_PARCS_GOUV!F19+Page5_PARCS_GOUV!F21+Page5_PARCS_GOUV!F23+Page5_PARCS_GOUV!F28+Page5_PARCS_GOUV!F34</f>
        <v>0</v>
      </c>
      <c r="G54" s="2606">
        <f>Page5_PARCS_GOUV!G13+Page5_PARCS_GOUV!G15+Page5_PARCS_GOUV!G17+Page5_PARCS_GOUV!G19+Page5_PARCS_GOUV!G21+Page5_PARCS_GOUV!G23+Page5_PARCS_GOUV!G28+Page5_PARCS_GOUV!G34</f>
        <v>0</v>
      </c>
      <c r="H54" s="2606">
        <f>Page5_PARCS_GOUV!H13+Page5_PARCS_GOUV!H15+Page5_PARCS_GOUV!H17+Page5_PARCS_GOUV!H19+Page5_PARCS_GOUV!H21+Page5_PARCS_GOUV!H23+Page5_PARCS_GOUV!H28+Page5_PARCS_GOUV!H34</f>
        <v>0</v>
      </c>
      <c r="I54" s="2307">
        <f t="shared" si="29"/>
        <v>0</v>
      </c>
      <c r="J54" s="2467">
        <f t="shared" si="30"/>
        <v>0</v>
      </c>
      <c r="K54" s="2465">
        <f>Page5_PARCS_GOUV!K13+Page5_PARCS_GOUV!K15+Page5_PARCS_GOUV!K17+Page5_PARCS_GOUV!K19+Page5_PARCS_GOUV!K21+Page5_PARCS_GOUV!K23+Page5_PARCS_GOUV!K28+Page5_PARCS_GOUV!K34</f>
        <v>0</v>
      </c>
      <c r="L54" s="2610">
        <f>Page5_PARCS_GOUV!L13+Page5_PARCS_GOUV!L15+Page5_PARCS_GOUV!L17+Page5_PARCS_GOUV!L19+Page5_PARCS_GOUV!L21+Page5_PARCS_GOUV!L23+Page5_PARCS_GOUV!L28+Page5_PARCS_GOUV!L34</f>
        <v>0</v>
      </c>
      <c r="M54" s="2610">
        <f>Page5_PARCS_GOUV!M13+Page5_PARCS_GOUV!M15+Page5_PARCS_GOUV!M17+Page5_PARCS_GOUV!M19+Page5_PARCS_GOUV!M21+Page5_PARCS_GOUV!M23+Page5_PARCS_GOUV!M28+Page5_PARCS_GOUV!M34</f>
        <v>0</v>
      </c>
      <c r="N54" s="2308">
        <f t="shared" si="31"/>
        <v>0</v>
      </c>
      <c r="O54" s="2336">
        <f t="shared" si="32"/>
        <v>0</v>
      </c>
      <c r="P54" s="2305">
        <v>51</v>
      </c>
      <c r="Q54" s="2256"/>
      <c r="R54" s="843"/>
      <c r="S54" s="843"/>
      <c r="T54" s="843"/>
      <c r="U54" s="843"/>
      <c r="V54" s="677"/>
      <c r="W54" s="677"/>
      <c r="X54" s="677"/>
    </row>
    <row r="55" spans="1:28" ht="16" customHeight="1">
      <c r="A55" s="80">
        <v>52</v>
      </c>
      <c r="B55" s="2420"/>
      <c r="C55" s="2457" t="s">
        <v>573</v>
      </c>
      <c r="D55" s="2458"/>
      <c r="E55" s="2470"/>
      <c r="F55" s="2471">
        <f>Page5_PARCS_GOUV!F49+Page5_PARCS_GOUV!F51+Page5_PARCS_GOUV!F53+Page5_PARCS_GOUV!F55+Page5_PARCS_GOUV!F57+Page5_PARCS_GOUV!F59+Page5_PARCS_GOUV!F64</f>
        <v>0</v>
      </c>
      <c r="G55" s="2607">
        <f>Page5_PARCS_GOUV!G49+Page5_PARCS_GOUV!G51+Page5_PARCS_GOUV!G53+Page5_PARCS_GOUV!G55+Page5_PARCS_GOUV!G57+Page5_PARCS_GOUV!G59+Page5_PARCS_GOUV!G64</f>
        <v>0</v>
      </c>
      <c r="H55" s="2607">
        <f>Page5_PARCS_GOUV!H49+Page5_PARCS_GOUV!H51+Page5_PARCS_GOUV!H53+Page5_PARCS_GOUV!H55+Page5_PARCS_GOUV!H57+Page5_PARCS_GOUV!H59+Page5_PARCS_GOUV!H64</f>
        <v>0</v>
      </c>
      <c r="I55" s="2356">
        <f t="shared" si="29"/>
        <v>0</v>
      </c>
      <c r="J55" s="2468">
        <f t="shared" si="30"/>
        <v>0</v>
      </c>
      <c r="K55" s="2472">
        <f>Page5_PARCS_GOUV!K49+Page5_PARCS_GOUV!K51+Page5_PARCS_GOUV!K53+Page5_PARCS_GOUV!K55+Page5_PARCS_GOUV!K57+Page5_PARCS_GOUV!K59+Page5_PARCS_GOUV!K64</f>
        <v>0</v>
      </c>
      <c r="L55" s="2611">
        <f>Page5_PARCS_GOUV!L49+Page5_PARCS_GOUV!L51+Page5_PARCS_GOUV!L53+Page5_PARCS_GOUV!L55+Page5_PARCS_GOUV!L57+Page5_PARCS_GOUV!L59+Page5_PARCS_GOUV!L64</f>
        <v>0</v>
      </c>
      <c r="M55" s="2611">
        <f>Page5_PARCS_GOUV!M49+Page5_PARCS_GOUV!M51+Page5_PARCS_GOUV!M53+Page5_PARCS_GOUV!M55+Page5_PARCS_GOUV!M57+Page5_PARCS_GOUV!M59+Page5_PARCS_GOUV!M64</f>
        <v>0</v>
      </c>
      <c r="N55" s="2357">
        <f t="shared" si="31"/>
        <v>0</v>
      </c>
      <c r="O55" s="2339">
        <f t="shared" si="32"/>
        <v>0</v>
      </c>
      <c r="P55" s="2305">
        <v>52</v>
      </c>
      <c r="Q55" s="2256"/>
      <c r="R55" s="843"/>
      <c r="S55" s="843"/>
      <c r="T55" s="843"/>
      <c r="U55" s="843"/>
      <c r="V55" s="677"/>
      <c r="W55" s="677"/>
      <c r="X55" s="677"/>
    </row>
    <row r="56" spans="1:28" ht="16" customHeight="1">
      <c r="A56" s="80">
        <v>53</v>
      </c>
      <c r="B56" s="2420"/>
      <c r="C56" s="2772" t="s">
        <v>577</v>
      </c>
      <c r="D56" s="2772"/>
      <c r="E56" s="2772"/>
      <c r="F56" s="2416">
        <f>SUM(F53:F55)</f>
        <v>0</v>
      </c>
      <c r="G56" s="2416">
        <f t="shared" ref="G56:H56" si="45">SUM(G53:G55)</f>
        <v>0</v>
      </c>
      <c r="H56" s="2416">
        <f t="shared" si="45"/>
        <v>0</v>
      </c>
      <c r="I56" s="2416">
        <f t="shared" si="29"/>
        <v>0</v>
      </c>
      <c r="J56" s="2322">
        <f t="shared" si="30"/>
        <v>0</v>
      </c>
      <c r="K56" s="2416">
        <f>SUM(K53:K55)</f>
        <v>0</v>
      </c>
      <c r="L56" s="2416">
        <f t="shared" ref="L56:M56" si="46">SUM(L53:L55)</f>
        <v>0</v>
      </c>
      <c r="M56" s="2416">
        <f t="shared" si="46"/>
        <v>0</v>
      </c>
      <c r="N56" s="2416">
        <f t="shared" si="31"/>
        <v>0</v>
      </c>
      <c r="O56" s="2322">
        <f t="shared" si="32"/>
        <v>0</v>
      </c>
      <c r="P56" s="2305">
        <v>53</v>
      </c>
      <c r="Q56" s="2256"/>
      <c r="R56" s="843"/>
      <c r="S56" s="843"/>
      <c r="T56" s="843"/>
      <c r="U56" s="843"/>
      <c r="V56" s="677"/>
      <c r="W56" s="677"/>
      <c r="X56" s="677"/>
    </row>
    <row r="57" spans="1:28" ht="16" customHeight="1">
      <c r="A57" s="80">
        <v>54</v>
      </c>
      <c r="B57" s="2420"/>
      <c r="C57" s="2459" t="s">
        <v>578</v>
      </c>
      <c r="D57" s="2460"/>
      <c r="E57" s="2473"/>
      <c r="F57" s="191">
        <f>F44+F48</f>
        <v>0</v>
      </c>
      <c r="G57" s="2328">
        <f t="shared" ref="G57:H57" si="47">G44+G48</f>
        <v>0</v>
      </c>
      <c r="H57" s="2328">
        <f t="shared" si="47"/>
        <v>0</v>
      </c>
      <c r="I57" s="2324">
        <f t="shared" si="29"/>
        <v>0</v>
      </c>
      <c r="J57" s="2531">
        <f t="shared" si="30"/>
        <v>0</v>
      </c>
      <c r="K57" s="2533">
        <f>K44+K48</f>
        <v>0</v>
      </c>
      <c r="L57" s="2533">
        <f t="shared" ref="L57:M57" si="48">L44+L48</f>
        <v>0</v>
      </c>
      <c r="M57" s="2533">
        <f t="shared" si="48"/>
        <v>0</v>
      </c>
      <c r="N57" s="2325">
        <f t="shared" si="31"/>
        <v>0</v>
      </c>
      <c r="O57" s="2335">
        <f t="shared" si="32"/>
        <v>0</v>
      </c>
      <c r="P57" s="2305">
        <v>54</v>
      </c>
      <c r="Q57" s="2256"/>
      <c r="R57" s="843"/>
      <c r="S57" s="843"/>
      <c r="T57" s="843"/>
      <c r="U57" s="843"/>
      <c r="V57" s="677"/>
      <c r="W57" s="677"/>
      <c r="X57" s="677"/>
    </row>
    <row r="58" spans="1:28" ht="16" customHeight="1">
      <c r="A58" s="80">
        <v>55</v>
      </c>
      <c r="B58" s="2420"/>
      <c r="C58" s="2461" t="s">
        <v>579</v>
      </c>
      <c r="D58" s="2462"/>
      <c r="E58" s="2474"/>
      <c r="F58" s="2471">
        <f>F52+F56</f>
        <v>12</v>
      </c>
      <c r="G58" s="2333">
        <f t="shared" ref="G58:H58" si="49">G52+G56</f>
        <v>710997</v>
      </c>
      <c r="H58" s="2333">
        <f t="shared" si="49"/>
        <v>699951</v>
      </c>
      <c r="I58" s="2356">
        <f t="shared" si="29"/>
        <v>11046</v>
      </c>
      <c r="J58" s="2532">
        <f t="shared" si="30"/>
        <v>920.5</v>
      </c>
      <c r="K58" s="2534">
        <f>K52+K56</f>
        <v>37</v>
      </c>
      <c r="L58" s="2534">
        <f t="shared" ref="L58:M58" si="50">L52+L56</f>
        <v>2464023</v>
      </c>
      <c r="M58" s="2534">
        <f t="shared" si="50"/>
        <v>2445686</v>
      </c>
      <c r="N58" s="2357">
        <f t="shared" si="31"/>
        <v>18337</v>
      </c>
      <c r="O58" s="2339">
        <f t="shared" si="32"/>
        <v>495.59459459459458</v>
      </c>
      <c r="P58" s="2305">
        <v>55</v>
      </c>
      <c r="Q58" s="2256"/>
      <c r="R58" s="843"/>
      <c r="S58" s="843"/>
      <c r="T58" s="843"/>
      <c r="U58" s="843"/>
      <c r="V58" s="677"/>
      <c r="W58" s="677"/>
      <c r="X58" s="677"/>
    </row>
    <row r="59" spans="1:28" ht="16" customHeight="1">
      <c r="A59" s="80">
        <v>56</v>
      </c>
      <c r="B59" s="276"/>
      <c r="C59" s="229"/>
      <c r="D59" s="229"/>
      <c r="E59" s="229"/>
      <c r="F59" s="2475"/>
      <c r="G59" s="2475"/>
      <c r="H59" s="2475"/>
      <c r="I59" s="2475"/>
      <c r="J59" s="2475"/>
      <c r="K59" s="2475"/>
      <c r="L59" s="2475"/>
      <c r="M59" s="2475"/>
      <c r="N59" s="2475"/>
      <c r="O59" s="2476"/>
      <c r="P59" s="2305">
        <v>56</v>
      </c>
      <c r="Q59" s="2256"/>
      <c r="R59" s="843"/>
      <c r="S59" s="843"/>
      <c r="T59" s="843"/>
      <c r="U59" s="843"/>
      <c r="V59" s="677"/>
      <c r="W59" s="677"/>
      <c r="X59" s="677"/>
    </row>
    <row r="60" spans="1:28" s="569" customFormat="1" ht="16" customHeight="1">
      <c r="A60" s="80">
        <v>57</v>
      </c>
      <c r="B60" s="187"/>
      <c r="C60" s="170" t="s">
        <v>580</v>
      </c>
      <c r="D60" s="2450" t="s">
        <v>581</v>
      </c>
      <c r="E60" s="201" t="s">
        <v>582</v>
      </c>
      <c r="F60" s="1017"/>
      <c r="G60" s="1018"/>
      <c r="H60" s="2608"/>
      <c r="I60" s="552">
        <f>IF(Flag=TRUE,N60-TBIn!E682,TBIn!D682)</f>
        <v>0</v>
      </c>
      <c r="J60" s="726">
        <f t="shared" ref="J60:J67" si="51">IF(I$52=0,0,I60/I$52)</f>
        <v>0</v>
      </c>
      <c r="K60" s="1018"/>
      <c r="L60" s="1018"/>
      <c r="M60" s="919"/>
      <c r="N60" s="2574">
        <f>TBIn!E682</f>
        <v>0</v>
      </c>
      <c r="O60" s="729">
        <f t="shared" ref="O60:O67" si="52">IF(N$52=0,0,N60/N$52)</f>
        <v>0</v>
      </c>
      <c r="P60" s="2305">
        <v>57</v>
      </c>
      <c r="Q60" s="644"/>
      <c r="R60" s="656"/>
      <c r="S60" s="656"/>
      <c r="T60" s="656"/>
      <c r="U60" s="656"/>
      <c r="V60" s="568"/>
      <c r="W60" s="568"/>
      <c r="X60" s="568"/>
    </row>
    <row r="61" spans="1:28" s="30" customFormat="1" ht="16" customHeight="1">
      <c r="A61" s="80">
        <v>58</v>
      </c>
      <c r="B61" s="187" t="s">
        <v>157</v>
      </c>
      <c r="C61" s="101" t="s">
        <v>114</v>
      </c>
      <c r="D61" s="2342" t="s">
        <v>583</v>
      </c>
      <c r="E61" s="193" t="s">
        <v>584</v>
      </c>
      <c r="F61" s="1019"/>
      <c r="G61" s="2156"/>
      <c r="H61" s="2608"/>
      <c r="I61" s="552">
        <f>IF(Flag=TRUE,N61-TBIn!E683,TBIn!D683)</f>
        <v>0</v>
      </c>
      <c r="J61" s="726">
        <f t="shared" si="51"/>
        <v>0</v>
      </c>
      <c r="K61" s="1020"/>
      <c r="L61" s="2156"/>
      <c r="M61" s="2157"/>
      <c r="N61" s="2615">
        <f>TBIn!E683</f>
        <v>0</v>
      </c>
      <c r="O61" s="730">
        <f t="shared" si="52"/>
        <v>0</v>
      </c>
      <c r="P61" s="2305">
        <v>58</v>
      </c>
      <c r="Q61" s="827"/>
      <c r="R61" s="712"/>
      <c r="S61" s="712"/>
      <c r="T61" s="712"/>
      <c r="U61" s="712"/>
      <c r="V61" s="576"/>
      <c r="W61" s="576"/>
      <c r="X61" s="576"/>
    </row>
    <row r="62" spans="1:28" s="30" customFormat="1" ht="16" customHeight="1">
      <c r="A62" s="80">
        <v>59</v>
      </c>
      <c r="B62" s="187" t="s">
        <v>120</v>
      </c>
      <c r="C62" s="101" t="s">
        <v>120</v>
      </c>
      <c r="D62" s="2342" t="s">
        <v>34</v>
      </c>
      <c r="E62" s="193" t="s">
        <v>585</v>
      </c>
      <c r="F62" s="1019"/>
      <c r="G62" s="2156"/>
      <c r="H62" s="2608"/>
      <c r="I62" s="552">
        <f>IF(Flag=TRUE,N62-TBIn!E684,TBIn!D684)</f>
        <v>0</v>
      </c>
      <c r="J62" s="726">
        <f t="shared" si="51"/>
        <v>0</v>
      </c>
      <c r="K62" s="1020"/>
      <c r="L62" s="2156"/>
      <c r="M62" s="2157"/>
      <c r="N62" s="2615">
        <f>TBIn!E684</f>
        <v>0</v>
      </c>
      <c r="O62" s="730">
        <f t="shared" si="52"/>
        <v>0</v>
      </c>
      <c r="P62" s="2305">
        <v>59</v>
      </c>
      <c r="Q62" s="827"/>
      <c r="R62" s="712"/>
      <c r="S62" s="712"/>
      <c r="T62" s="712"/>
      <c r="U62" s="712"/>
      <c r="V62" s="576"/>
      <c r="W62" s="576"/>
      <c r="X62" s="576"/>
    </row>
    <row r="63" spans="1:28" s="569" customFormat="1" ht="16" customHeight="1">
      <c r="A63" s="80">
        <v>60</v>
      </c>
      <c r="B63" s="187" t="s">
        <v>145</v>
      </c>
      <c r="C63" s="101" t="s">
        <v>122</v>
      </c>
      <c r="D63" s="2342" t="s">
        <v>586</v>
      </c>
      <c r="E63" s="193" t="s">
        <v>587</v>
      </c>
      <c r="F63" s="1017"/>
      <c r="G63" s="1020"/>
      <c r="H63" s="2608"/>
      <c r="I63" s="552">
        <f>IF(Flag=TRUE,N63-TBIn!E685,TBIn!D685)</f>
        <v>0</v>
      </c>
      <c r="J63" s="726">
        <f t="shared" si="51"/>
        <v>0</v>
      </c>
      <c r="K63" s="1018"/>
      <c r="L63" s="1020"/>
      <c r="M63" s="859"/>
      <c r="N63" s="2574">
        <f>TBIn!E685</f>
        <v>0</v>
      </c>
      <c r="O63" s="729">
        <f t="shared" si="52"/>
        <v>0</v>
      </c>
      <c r="P63" s="2305">
        <v>60</v>
      </c>
      <c r="Q63" s="644"/>
      <c r="R63" s="656"/>
      <c r="S63" s="656"/>
      <c r="T63" s="656"/>
      <c r="U63" s="656"/>
      <c r="V63" s="568"/>
      <c r="W63" s="568"/>
      <c r="X63" s="568"/>
    </row>
    <row r="64" spans="1:28" s="569" customFormat="1" ht="16" customHeight="1">
      <c r="A64" s="80">
        <v>61</v>
      </c>
      <c r="B64" s="187" t="s">
        <v>114</v>
      </c>
      <c r="C64" s="101" t="s">
        <v>143</v>
      </c>
      <c r="D64" s="2342" t="s">
        <v>588</v>
      </c>
      <c r="E64" s="277" t="s">
        <v>589</v>
      </c>
      <c r="F64" s="1017"/>
      <c r="G64" s="1018"/>
      <c r="H64" s="2608"/>
      <c r="I64" s="552">
        <f>IF(Flag=TRUE,N64-TBIn!E686,TBIn!D686)</f>
        <v>0</v>
      </c>
      <c r="J64" s="726">
        <f t="shared" si="51"/>
        <v>0</v>
      </c>
      <c r="K64" s="1018"/>
      <c r="L64" s="1018"/>
      <c r="M64" s="919"/>
      <c r="N64" s="2574">
        <f>TBIn!E686</f>
        <v>0</v>
      </c>
      <c r="O64" s="729">
        <f t="shared" si="52"/>
        <v>0</v>
      </c>
      <c r="P64" s="2305">
        <v>61</v>
      </c>
      <c r="Q64" s="644"/>
      <c r="R64" s="656"/>
      <c r="S64" s="656"/>
      <c r="T64" s="656"/>
      <c r="U64" s="656"/>
      <c r="V64" s="568"/>
      <c r="W64" s="568"/>
      <c r="X64" s="568"/>
    </row>
    <row r="65" spans="1:24" s="569" customFormat="1" ht="16" customHeight="1">
      <c r="A65" s="80">
        <v>62</v>
      </c>
      <c r="B65" s="187" t="s">
        <v>124</v>
      </c>
      <c r="C65" s="101" t="s">
        <v>116</v>
      </c>
      <c r="D65" s="2342" t="s">
        <v>590</v>
      </c>
      <c r="E65" s="277" t="s">
        <v>591</v>
      </c>
      <c r="F65" s="1017"/>
      <c r="G65" s="1018"/>
      <c r="H65" s="2608"/>
      <c r="I65" s="552">
        <f>IF(Flag=TRUE,N65-TBIn!E687,TBIn!D687)</f>
        <v>0</v>
      </c>
      <c r="J65" s="726">
        <f t="shared" si="51"/>
        <v>0</v>
      </c>
      <c r="K65" s="1018"/>
      <c r="L65" s="1018"/>
      <c r="M65" s="919"/>
      <c r="N65" s="2574">
        <f>TBIn!E687</f>
        <v>0</v>
      </c>
      <c r="O65" s="729">
        <f t="shared" si="52"/>
        <v>0</v>
      </c>
      <c r="P65" s="2305">
        <v>62</v>
      </c>
      <c r="Q65" s="644"/>
      <c r="R65" s="656"/>
      <c r="S65" s="656"/>
      <c r="T65" s="656"/>
      <c r="U65" s="656"/>
      <c r="V65" s="568"/>
      <c r="W65" s="568"/>
      <c r="X65" s="568"/>
    </row>
    <row r="66" spans="1:24" s="569" customFormat="1" ht="16" customHeight="1">
      <c r="A66" s="80">
        <v>63</v>
      </c>
      <c r="B66" s="187"/>
      <c r="C66" s="101" t="s">
        <v>124</v>
      </c>
      <c r="D66" s="2343" t="s">
        <v>592</v>
      </c>
      <c r="E66" s="1621" t="s">
        <v>593</v>
      </c>
      <c r="F66" s="1017"/>
      <c r="G66" s="1018"/>
      <c r="H66" s="2608"/>
      <c r="I66" s="2132">
        <f>IF(Flag=TRUE,N66-TBIn!E688,TBIn!D688)</f>
        <v>0</v>
      </c>
      <c r="J66" s="727">
        <f t="shared" si="51"/>
        <v>0</v>
      </c>
      <c r="K66" s="1018"/>
      <c r="L66" s="1018"/>
      <c r="M66" s="919"/>
      <c r="N66" s="2619">
        <f>TBIn!E688</f>
        <v>0</v>
      </c>
      <c r="O66" s="731">
        <f t="shared" si="52"/>
        <v>0</v>
      </c>
      <c r="P66" s="2305">
        <v>63</v>
      </c>
      <c r="Q66" s="644"/>
      <c r="R66" s="656"/>
      <c r="S66" s="656"/>
      <c r="T66" s="656"/>
      <c r="U66" s="656"/>
      <c r="V66" s="568"/>
      <c r="W66" s="568"/>
      <c r="X66" s="568"/>
    </row>
    <row r="67" spans="1:24" s="569" customFormat="1" ht="16" customHeight="1">
      <c r="A67" s="80">
        <v>64</v>
      </c>
      <c r="B67" s="315"/>
      <c r="C67" s="278"/>
      <c r="D67" s="1248" t="s">
        <v>594</v>
      </c>
      <c r="E67" s="279"/>
      <c r="F67" s="1021"/>
      <c r="G67" s="1016"/>
      <c r="H67" s="2608"/>
      <c r="I67" s="659">
        <f>SUM(I60:I66)</f>
        <v>0</v>
      </c>
      <c r="J67" s="728">
        <f t="shared" si="51"/>
        <v>0</v>
      </c>
      <c r="K67" s="1022"/>
      <c r="L67" s="1022"/>
      <c r="M67" s="919"/>
      <c r="N67" s="2612">
        <f>SUM(N60:N66)</f>
        <v>0</v>
      </c>
      <c r="O67" s="732">
        <f t="shared" si="52"/>
        <v>0</v>
      </c>
      <c r="P67" s="2305">
        <v>64</v>
      </c>
      <c r="Q67" s="644"/>
      <c r="R67" s="656"/>
      <c r="S67" s="656"/>
      <c r="T67" s="656"/>
      <c r="U67" s="656"/>
      <c r="V67" s="568"/>
      <c r="W67" s="568"/>
      <c r="X67" s="568"/>
    </row>
    <row r="68" spans="1:24" s="569" customFormat="1" ht="16" customHeight="1">
      <c r="A68" s="80">
        <v>65</v>
      </c>
      <c r="B68" s="276" t="s">
        <v>595</v>
      </c>
      <c r="C68" s="229"/>
      <c r="D68" s="210"/>
      <c r="E68" s="222"/>
      <c r="F68" s="761">
        <f>IF(Flag=TRUE,(F57+F58),TBIn!D723)</f>
        <v>12</v>
      </c>
      <c r="G68" s="957">
        <f>G57+G58</f>
        <v>710997</v>
      </c>
      <c r="H68" s="1424"/>
      <c r="I68" s="1320">
        <f>IF(Flag=TRUE,(I57+I58)-I67,TBIn!$D681)</f>
        <v>11046</v>
      </c>
      <c r="J68" s="849">
        <f>IF(F68=0,0,I68/F68)</f>
        <v>920.5</v>
      </c>
      <c r="K68" s="761">
        <f>IF(Flag=TRUE,K57+K58,TBIn!E723)</f>
        <v>37</v>
      </c>
      <c r="L68" s="949">
        <f>L57+L58</f>
        <v>2464023</v>
      </c>
      <c r="M68" s="1424"/>
      <c r="N68" s="762">
        <f>IF(Flag=TRUE,(N57+N58)-N67,TBIn!$E681)</f>
        <v>18337</v>
      </c>
      <c r="O68" s="2556">
        <f>IF(K$68=0,0,N68/K68)</f>
        <v>495.59459459459458</v>
      </c>
      <c r="P68" s="2305">
        <v>65</v>
      </c>
      <c r="Q68" s="644"/>
      <c r="R68" s="656"/>
      <c r="S68" s="656"/>
      <c r="T68" s="656"/>
      <c r="U68" s="656"/>
      <c r="V68" s="568"/>
      <c r="W68" s="568"/>
      <c r="X68" s="568"/>
    </row>
    <row r="69" spans="1:24" s="569" customFormat="1" ht="16" customHeight="1">
      <c r="A69" s="76"/>
      <c r="B69" s="76"/>
      <c r="C69" s="76"/>
      <c r="D69" s="76"/>
      <c r="E69" s="76"/>
      <c r="F69" s="76"/>
      <c r="G69" s="76"/>
      <c r="H69" s="76"/>
      <c r="I69" s="76"/>
      <c r="J69" s="267" t="s">
        <v>170</v>
      </c>
      <c r="K69" s="76"/>
      <c r="L69" s="76"/>
      <c r="M69" s="76"/>
      <c r="N69" s="76"/>
      <c r="O69" s="267" t="s">
        <v>170</v>
      </c>
      <c r="P69" s="76"/>
      <c r="Q69" s="644"/>
      <c r="R69" s="656"/>
      <c r="S69" s="656"/>
      <c r="T69" s="656"/>
      <c r="U69" s="656"/>
      <c r="V69" s="568"/>
      <c r="W69" s="568"/>
      <c r="X69" s="568"/>
    </row>
    <row r="70" spans="1:24" hidden="1">
      <c r="A70" s="3"/>
      <c r="B70" s="3"/>
      <c r="C70" s="3"/>
      <c r="D70" s="3"/>
      <c r="E70" s="3"/>
      <c r="F70" s="3"/>
      <c r="G70" s="3"/>
      <c r="H70" s="3"/>
      <c r="I70" s="16"/>
      <c r="J70" s="3"/>
      <c r="K70" s="3"/>
      <c r="L70" s="3"/>
      <c r="M70" s="3"/>
      <c r="N70" s="3"/>
      <c r="O70" s="3"/>
      <c r="P70" s="3"/>
      <c r="Q70" s="660"/>
    </row>
    <row r="71" spans="1:24" hidden="1">
      <c r="A71" s="3"/>
      <c r="B71" s="3"/>
      <c r="C71" s="3"/>
      <c r="D71" s="3"/>
      <c r="E71" s="3"/>
      <c r="F71" s="3"/>
      <c r="G71" s="3"/>
      <c r="H71" s="3"/>
      <c r="I71" s="3"/>
      <c r="J71" s="3"/>
      <c r="K71" s="3"/>
      <c r="L71" s="3"/>
      <c r="M71" s="3"/>
      <c r="N71" s="16"/>
      <c r="O71" s="3"/>
      <c r="P71" s="3"/>
      <c r="Q71" s="660"/>
    </row>
    <row r="72" spans="1:24" hidden="1">
      <c r="D72" s="30" t="s">
        <v>171</v>
      </c>
      <c r="E72" s="1239" t="s">
        <v>88</v>
      </c>
      <c r="F72" s="30" t="s">
        <v>172</v>
      </c>
      <c r="I72" s="37"/>
    </row>
    <row r="73" spans="1:24" hidden="1">
      <c r="D73" s="30" t="s">
        <v>173</v>
      </c>
      <c r="E73" s="1239" t="s">
        <v>88</v>
      </c>
      <c r="F73" s="30" t="s">
        <v>174</v>
      </c>
    </row>
    <row r="76" spans="1:24" hidden="1">
      <c r="D76" s="30"/>
    </row>
  </sheetData>
  <sheetProtection algorithmName="SHA-512" hashValue="JX/ICa/3EuhX06ikslNUo2+LBbOlIGumqSLMACq8WPj/QFl8rQQWXf6QN6SMP+WhT5xLluJ4zPxiOcXUzabUTw==" saltValue="qDpQi21/8Cfnc9UxGv7Q5w==" spinCount="100000" sheet="1" objects="1" scenarios="1"/>
  <customSheetViews>
    <customSheetView guid="{42A0DCD3-5C27-4BB4-A491-D2E7F84D8A17}" scale="80" showGridLines="0" fitToPage="1" printArea="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topLeftCell="A40">
      <selection activeCell="N1" sqref="N1:T65536"/>
      <pageMargins left="0.25" right="0.25" top="0.25" bottom="0.25" header="0.5" footer="0.5"/>
      <pageSetup scale="80" orientation="portrait" horizontalDpi="180" verticalDpi="180" r:id="rId2"/>
      <headerFooter alignWithMargins="0"/>
    </customSheetView>
    <customSheetView guid="{FA29746F-8847-4779-9FAE-66945DB06B8D}" scale="80" showGridLines="0" showRowCol="0" fitToPage="1" hiddenColumns="1" showRuler="0">
      <pane xSplit="5" ySplit="3" topLeftCell="G4" activePane="bottomRight" state="frozen"/>
      <selection pane="bottomRight" activeCell="F4" sqref="F4"/>
      <pageMargins left="0.25" right="0.25" top="0.25" bottom="0.25" header="0.5" footer="0.5"/>
      <pageSetup scale="80" orientation="portrait" horizontalDpi="180" verticalDpi="180"/>
      <headerFooter alignWithMargins="0"/>
    </customSheetView>
  </customSheetViews>
  <mergeCells count="6">
    <mergeCell ref="C56:E56"/>
    <mergeCell ref="B1:D1"/>
    <mergeCell ref="C39:E40"/>
    <mergeCell ref="C44:E44"/>
    <mergeCell ref="C48:E48"/>
    <mergeCell ref="C52:E52"/>
  </mergeCells>
  <phoneticPr fontId="7" type="noConversion"/>
  <dataValidations count="1">
    <dataValidation type="whole" allowBlank="1" showInputMessage="1" showErrorMessage="1" errorTitle="Erreur d'Entrée!" error="Seulement des valeurs numériques peuvent être enregistrées dans ce champ!_x000a_" sqref="N68 N60:N66 K68 K49:M51 F49:H51 I60:I66 I68 F68 F13:H35 F41:H43 F45:H47 F39 M39 K39 H39 K13:M35 K41:M43 F4:H11 K4:M11 K45:M47" xr:uid="{00000000-0002-0000-0D00-000000000000}">
      <formula1>-999999999999</formula1>
      <formula2>9999999999999</formula2>
    </dataValidation>
  </dataValidations>
  <pageMargins left="0.25" right="0.25" top="0.25" bottom="0.25" header="0.5" footer="0.5"/>
  <pageSetup scale="63" orientation="portrait" horizontalDpi="180" verticalDpi="180" r:id="rId3"/>
  <headerFooter alignWithMargins="0"/>
  <drawing r:id="rId4"/>
  <legacyDrawing r:id="rId5"/>
  <controls>
    <mc:AlternateContent xmlns:mc="http://schemas.openxmlformats.org/markup-compatibility/2006">
      <mc:Choice Requires="x14">
        <control shapeId="10266" r:id="rId6" name="CommandButton5k">
          <controlPr defaultSize="0" print="0" autoFill="0" autoLine="0" r:id="rId7">
            <anchor moveWithCells="1">
              <from>
                <xdr:col>11</xdr:col>
                <xdr:colOff>717550</xdr:colOff>
                <xdr:row>0</xdr:row>
                <xdr:rowOff>0</xdr:rowOff>
              </from>
              <to>
                <xdr:col>13</xdr:col>
                <xdr:colOff>114300</xdr:colOff>
                <xdr:row>0</xdr:row>
                <xdr:rowOff>285750</xdr:rowOff>
              </to>
            </anchor>
          </controlPr>
        </control>
      </mc:Choice>
      <mc:Fallback>
        <control shapeId="10266" r:id="rId6" name="CommandButton5k"/>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8">
    <pageSetUpPr autoPageBreaks="0" fitToPage="1"/>
  </sheetPr>
  <dimension ref="A1:U62"/>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5.8164062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ht="21" customHeight="1">
      <c r="A1" s="76"/>
      <c r="B1" s="2762" t="str">
        <f>OR_VEH!B402</f>
        <v>SANS OBJECT</v>
      </c>
      <c r="C1" s="2762"/>
      <c r="D1" s="2762"/>
      <c r="E1" s="257"/>
      <c r="F1" s="491" t="s">
        <v>92</v>
      </c>
      <c r="G1" s="60"/>
      <c r="H1" s="752"/>
      <c r="I1" s="60"/>
      <c r="J1" s="60"/>
      <c r="K1" s="60"/>
      <c r="L1" s="61"/>
      <c r="M1" s="61"/>
      <c r="N1" s="61"/>
      <c r="O1" s="841"/>
      <c r="P1" s="62" t="str">
        <f>TBIn!$E$2458&amp;" - "&amp;TBIn!$AH$10&amp;" - PAGE 5 SANS OBJECT"</f>
        <v>319719 - 202504 - PAGE 5 SANS OBJECT</v>
      </c>
      <c r="Q1" s="842" t="s">
        <v>93</v>
      </c>
      <c r="R1" s="842" t="s">
        <v>94</v>
      </c>
      <c r="S1" s="842" t="s">
        <v>95</v>
      </c>
      <c r="T1" s="842" t="s">
        <v>94</v>
      </c>
      <c r="U1" s="842"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ht="16" customHeight="1">
      <c r="A4" s="74">
        <v>1</v>
      </c>
      <c r="B4" s="215"/>
      <c r="C4" s="1535" t="str">
        <f>OR_VEH!B403</f>
        <v>NE PAS UTILISER</v>
      </c>
      <c r="D4" s="1536"/>
      <c r="E4" s="1037" t="s">
        <v>596</v>
      </c>
      <c r="F4" s="268">
        <f>IFERROR(IF(Flag=TRUE,K4-TBIn!E529,TBIn!D529),0)</f>
        <v>0</v>
      </c>
      <c r="G4" s="2598">
        <f>IFERROR(IF(Flag=TRUE,L4-TBIn!E2102,TBIn!D2102),0)</f>
        <v>0</v>
      </c>
      <c r="H4" s="2598">
        <f>IFERROR(IF(Flag=TRUE,M4-TBIn!E2142,TBIn!D2142),0)</f>
        <v>0</v>
      </c>
      <c r="I4" s="551">
        <f t="shared" ref="I4:I22" si="0">G4-H4</f>
        <v>0</v>
      </c>
      <c r="J4" s="584">
        <f t="shared" ref="J4:J48" si="1">IF(F4&gt;0,I4/F4,0)</f>
        <v>0</v>
      </c>
      <c r="K4" s="720">
        <f>IFERROR(TBIn!E529,0)</f>
        <v>0</v>
      </c>
      <c r="L4" s="2602">
        <f>IFERROR(TBIn!E2102,0)</f>
        <v>0</v>
      </c>
      <c r="M4" s="2602">
        <f>IFERROR(TBIn!E2142,0)</f>
        <v>0</v>
      </c>
      <c r="N4" s="554">
        <f>L4-M4</f>
        <v>0</v>
      </c>
      <c r="O4" s="585">
        <f t="shared" ref="O4:O47" si="2">IF(K4&gt;0,N4/K4,0)</f>
        <v>0</v>
      </c>
      <c r="P4" s="74">
        <v>1</v>
      </c>
      <c r="Q4" s="843">
        <v>0</v>
      </c>
      <c r="R4" s="843">
        <f t="shared" ref="R4:R22" si="3">IF(F4=0,0,IF(G4/F4&gt;Q4,1,0))</f>
        <v>0</v>
      </c>
      <c r="S4" s="843">
        <f t="shared" ref="S4:S22" si="4">IF(K4=0,0,IF(OR(L4&lt;0,L4/K4&gt;Q4),1,0))</f>
        <v>0</v>
      </c>
      <c r="T4" s="843">
        <f t="shared" ref="T4:T22" si="5">IF(OR(F4&lt;0,AND(G4&gt;0,F4=0),AND(G4=0,F4&gt;0)),1,0)</f>
        <v>0</v>
      </c>
      <c r="U4" s="843">
        <f t="shared" ref="U4:U22" si="6">IF(OR(K4&lt;0,AND(L4&gt;0,K4=0),AND(K4&gt;0,L4=0)),1,0)</f>
        <v>0</v>
      </c>
    </row>
    <row r="5" spans="1:21" ht="16" customHeight="1">
      <c r="A5" s="80">
        <v>2</v>
      </c>
      <c r="B5" s="275" t="s">
        <v>110</v>
      </c>
      <c r="C5" s="1539" t="str">
        <f>OR_VEH!B404</f>
        <v>NE PAS UTILISER</v>
      </c>
      <c r="D5" s="1588"/>
      <c r="E5" s="776" t="s">
        <v>597</v>
      </c>
      <c r="F5" s="269">
        <f>IFERROR(IF(Flag=TRUE,K5-TBIn!E530,TBIn!D530),0)</f>
        <v>0</v>
      </c>
      <c r="G5" s="2599">
        <f>IFERROR(IF(Flag=TRUE,L5-TBIn!E2103,TBIn!D2103),0)</f>
        <v>0</v>
      </c>
      <c r="H5" s="2599">
        <f>IFERROR(IF(Flag=TRUE,M5-TBIn!E2143,TBIn!D2143),0)</f>
        <v>0</v>
      </c>
      <c r="I5" s="552">
        <f t="shared" si="0"/>
        <v>0</v>
      </c>
      <c r="J5" s="608">
        <f t="shared" si="1"/>
        <v>0</v>
      </c>
      <c r="K5" s="721">
        <f>IFERROR(TBIn!E530,0)</f>
        <v>0</v>
      </c>
      <c r="L5" s="2574">
        <f>IFERROR(TBIn!E2103,0)</f>
        <v>0</v>
      </c>
      <c r="M5" s="2574">
        <f>IFERROR(TBIn!E2143,0)</f>
        <v>0</v>
      </c>
      <c r="N5" s="555">
        <f t="shared" ref="N5:N22" si="7">L5-M5</f>
        <v>0</v>
      </c>
      <c r="O5" s="587">
        <f t="shared" si="2"/>
        <v>0</v>
      </c>
      <c r="P5" s="80">
        <v>2</v>
      </c>
      <c r="Q5" s="843">
        <v>0</v>
      </c>
      <c r="R5" s="843">
        <f t="shared" si="3"/>
        <v>0</v>
      </c>
      <c r="S5" s="843">
        <f t="shared" si="4"/>
        <v>0</v>
      </c>
      <c r="T5" s="843">
        <f t="shared" si="5"/>
        <v>0</v>
      </c>
      <c r="U5" s="843">
        <f t="shared" si="6"/>
        <v>0</v>
      </c>
    </row>
    <row r="6" spans="1:21" ht="15.75" customHeight="1">
      <c r="A6" s="80">
        <v>3</v>
      </c>
      <c r="B6" s="275" t="s">
        <v>112</v>
      </c>
      <c r="C6" s="1539" t="str">
        <f>OR_VEH!B405</f>
        <v>NE PAS UTILISER</v>
      </c>
      <c r="D6" s="1588"/>
      <c r="E6" s="776" t="s">
        <v>598</v>
      </c>
      <c r="F6" s="269">
        <f>IFERROR(IF(Flag=TRUE,K6-TBIn!E531,TBIn!D531),0)</f>
        <v>0</v>
      </c>
      <c r="G6" s="2599">
        <f>IFERROR(IF(Flag=TRUE,L6-TBIn!E2104,TBIn!D2104),0)</f>
        <v>0</v>
      </c>
      <c r="H6" s="2599">
        <f>IFERROR(IF(Flag=TRUE,M6-TBIn!E2144,TBIn!D2144),0)</f>
        <v>0</v>
      </c>
      <c r="I6" s="552">
        <f t="shared" si="0"/>
        <v>0</v>
      </c>
      <c r="J6" s="608">
        <f t="shared" si="1"/>
        <v>0</v>
      </c>
      <c r="K6" s="721">
        <f>IFERROR(TBIn!E531,0)</f>
        <v>0</v>
      </c>
      <c r="L6" s="2574">
        <f>IFERROR(TBIn!E2104,0)</f>
        <v>0</v>
      </c>
      <c r="M6" s="2574">
        <f>IFERROR(TBIn!E2144,0)</f>
        <v>0</v>
      </c>
      <c r="N6" s="555">
        <f t="shared" si="7"/>
        <v>0</v>
      </c>
      <c r="O6" s="587">
        <f t="shared" si="2"/>
        <v>0</v>
      </c>
      <c r="P6" s="80">
        <v>3</v>
      </c>
      <c r="Q6" s="843">
        <v>0</v>
      </c>
      <c r="R6" s="843">
        <f t="shared" si="3"/>
        <v>0</v>
      </c>
      <c r="S6" s="843">
        <f t="shared" si="4"/>
        <v>0</v>
      </c>
      <c r="T6" s="843">
        <f t="shared" si="5"/>
        <v>0</v>
      </c>
      <c r="U6" s="843">
        <f t="shared" si="6"/>
        <v>0</v>
      </c>
    </row>
    <row r="7" spans="1:21" ht="15.75" customHeight="1">
      <c r="A7" s="80">
        <v>4</v>
      </c>
      <c r="B7" s="275" t="s">
        <v>114</v>
      </c>
      <c r="C7" s="1539" t="str">
        <f>OR_VEH!B406</f>
        <v>NE PAS UTILISER</v>
      </c>
      <c r="D7" s="1588"/>
      <c r="E7" s="776" t="s">
        <v>599</v>
      </c>
      <c r="F7" s="269">
        <f>IFERROR(IF(Flag=TRUE,K7-TBIn!E532,TBIn!D532),0)</f>
        <v>0</v>
      </c>
      <c r="G7" s="2599">
        <f>IFERROR(IF(Flag=TRUE,L7-TBIn!E2105,TBIn!D2105),0)</f>
        <v>0</v>
      </c>
      <c r="H7" s="2599">
        <f>IFERROR(IF(Flag=TRUE,M7-TBIn!E2145,TBIn!D2145),0)</f>
        <v>0</v>
      </c>
      <c r="I7" s="552">
        <f t="shared" si="0"/>
        <v>0</v>
      </c>
      <c r="J7" s="608">
        <f t="shared" si="1"/>
        <v>0</v>
      </c>
      <c r="K7" s="721">
        <f>IFERROR(TBIn!E532,0)</f>
        <v>0</v>
      </c>
      <c r="L7" s="2574">
        <f>IFERROR(TBIn!E2105,0)</f>
        <v>0</v>
      </c>
      <c r="M7" s="2574">
        <f>IFERROR(TBIn!E2145,0)</f>
        <v>0</v>
      </c>
      <c r="N7" s="555">
        <f t="shared" si="7"/>
        <v>0</v>
      </c>
      <c r="O7" s="587">
        <f t="shared" si="2"/>
        <v>0</v>
      </c>
      <c r="P7" s="80">
        <v>4</v>
      </c>
      <c r="Q7" s="843">
        <v>0</v>
      </c>
      <c r="R7" s="843">
        <f t="shared" si="3"/>
        <v>0</v>
      </c>
      <c r="S7" s="843">
        <f t="shared" si="4"/>
        <v>0</v>
      </c>
      <c r="T7" s="843">
        <f t="shared" si="5"/>
        <v>0</v>
      </c>
      <c r="U7" s="843">
        <f t="shared" si="6"/>
        <v>0</v>
      </c>
    </row>
    <row r="8" spans="1:21" ht="15.75" customHeight="1">
      <c r="A8" s="80">
        <v>5</v>
      </c>
      <c r="B8" s="275" t="s">
        <v>116</v>
      </c>
      <c r="C8" s="1539" t="str">
        <f>OR_VEH!B407</f>
        <v>NE PAS UTILISER</v>
      </c>
      <c r="D8" s="1588"/>
      <c r="E8" s="776" t="s">
        <v>600</v>
      </c>
      <c r="F8" s="269">
        <f>IFERROR(IF(Flag=TRUE,K8-TBIn!E533,TBIn!D533),0)</f>
        <v>0</v>
      </c>
      <c r="G8" s="2599">
        <f>IFERROR(IF(Flag=TRUE,L8-TBIn!E2106,TBIn!D2106),0)</f>
        <v>0</v>
      </c>
      <c r="H8" s="2599">
        <f>IFERROR(IF(Flag=TRUE,M8-TBIn!E2146,TBIn!D2146),0)</f>
        <v>0</v>
      </c>
      <c r="I8" s="552">
        <f t="shared" si="0"/>
        <v>0</v>
      </c>
      <c r="J8" s="608">
        <f t="shared" si="1"/>
        <v>0</v>
      </c>
      <c r="K8" s="721">
        <f>IFERROR(TBIn!E533,0)</f>
        <v>0</v>
      </c>
      <c r="L8" s="2574">
        <f>IFERROR(TBIn!E2106,0)</f>
        <v>0</v>
      </c>
      <c r="M8" s="2574">
        <f>IFERROR(TBIn!E2146,0)</f>
        <v>0</v>
      </c>
      <c r="N8" s="555">
        <f t="shared" si="7"/>
        <v>0</v>
      </c>
      <c r="O8" s="587">
        <f t="shared" si="2"/>
        <v>0</v>
      </c>
      <c r="P8" s="80">
        <v>5</v>
      </c>
      <c r="Q8" s="843">
        <v>0</v>
      </c>
      <c r="R8" s="843">
        <f t="shared" si="3"/>
        <v>0</v>
      </c>
      <c r="S8" s="843">
        <f t="shared" si="4"/>
        <v>0</v>
      </c>
      <c r="T8" s="843">
        <f t="shared" si="5"/>
        <v>0</v>
      </c>
      <c r="U8" s="843">
        <f t="shared" si="6"/>
        <v>0</v>
      </c>
    </row>
    <row r="9" spans="1:21" ht="15.75" customHeight="1">
      <c r="A9" s="80">
        <v>6</v>
      </c>
      <c r="B9" s="275" t="s">
        <v>118</v>
      </c>
      <c r="C9" s="1539" t="str">
        <f>OR_VEH!B408</f>
        <v>NE PAS UTILISER</v>
      </c>
      <c r="D9" s="1588"/>
      <c r="E9" s="776" t="s">
        <v>601</v>
      </c>
      <c r="F9" s="269">
        <f>IFERROR(IF(Flag=TRUE,K9-TBIn!E534,TBIn!D534),0)</f>
        <v>0</v>
      </c>
      <c r="G9" s="2599">
        <f>IFERROR(IF(Flag=TRUE,L9-TBIn!E2107,TBIn!D2107),0)</f>
        <v>0</v>
      </c>
      <c r="H9" s="2599">
        <f>IFERROR(IF(Flag=TRUE,M9-TBIn!E2147,TBIn!D2147),0)</f>
        <v>0</v>
      </c>
      <c r="I9" s="552">
        <f t="shared" si="0"/>
        <v>0</v>
      </c>
      <c r="J9" s="608">
        <f t="shared" si="1"/>
        <v>0</v>
      </c>
      <c r="K9" s="721">
        <f>IFERROR(TBIn!E534,0)</f>
        <v>0</v>
      </c>
      <c r="L9" s="2574">
        <f>IFERROR(TBIn!E2107,0)</f>
        <v>0</v>
      </c>
      <c r="M9" s="2574">
        <f>IFERROR(TBIn!E2147,0)</f>
        <v>0</v>
      </c>
      <c r="N9" s="555">
        <f t="shared" si="7"/>
        <v>0</v>
      </c>
      <c r="O9" s="587">
        <f t="shared" si="2"/>
        <v>0</v>
      </c>
      <c r="P9" s="80">
        <v>6</v>
      </c>
      <c r="Q9" s="843">
        <v>0</v>
      </c>
      <c r="R9" s="843">
        <f t="shared" si="3"/>
        <v>0</v>
      </c>
      <c r="S9" s="843">
        <f t="shared" si="4"/>
        <v>0</v>
      </c>
      <c r="T9" s="843">
        <f t="shared" si="5"/>
        <v>0</v>
      </c>
      <c r="U9" s="843">
        <f t="shared" si="6"/>
        <v>0</v>
      </c>
    </row>
    <row r="10" spans="1:21" ht="15.75" customHeight="1">
      <c r="A10" s="80">
        <v>7</v>
      </c>
      <c r="B10" s="101" t="s">
        <v>120</v>
      </c>
      <c r="C10" s="1539" t="str">
        <f>OR_VEH!B409</f>
        <v>NE PAS UTILISER</v>
      </c>
      <c r="D10" s="1588"/>
      <c r="E10" s="776" t="s">
        <v>602</v>
      </c>
      <c r="F10" s="269">
        <f>IFERROR(IF(Flag=TRUE,K10-TBIn!E535,TBIn!D535),0)</f>
        <v>0</v>
      </c>
      <c r="G10" s="2599">
        <f>IFERROR(IF(Flag=TRUE,L10-TBIn!E2108,TBIn!D2108),0)</f>
        <v>0</v>
      </c>
      <c r="H10" s="2599">
        <f>IFERROR(IF(Flag=TRUE,M10-TBIn!E2148,TBIn!D2148),0)</f>
        <v>0</v>
      </c>
      <c r="I10" s="552">
        <f t="shared" si="0"/>
        <v>0</v>
      </c>
      <c r="J10" s="608">
        <f t="shared" si="1"/>
        <v>0</v>
      </c>
      <c r="K10" s="721">
        <f>IFERROR(TBIn!E535,0)</f>
        <v>0</v>
      </c>
      <c r="L10" s="2574">
        <f>IFERROR(TBIn!E2108,0)</f>
        <v>0</v>
      </c>
      <c r="M10" s="2574">
        <f>IFERROR(TBIn!E2148,0)</f>
        <v>0</v>
      </c>
      <c r="N10" s="555">
        <f t="shared" si="7"/>
        <v>0</v>
      </c>
      <c r="O10" s="587">
        <f t="shared" si="2"/>
        <v>0</v>
      </c>
      <c r="P10" s="80">
        <v>7</v>
      </c>
      <c r="Q10" s="843">
        <v>0</v>
      </c>
      <c r="R10" s="843">
        <f t="shared" si="3"/>
        <v>0</v>
      </c>
      <c r="S10" s="843">
        <f t="shared" si="4"/>
        <v>0</v>
      </c>
      <c r="T10" s="843">
        <f t="shared" si="5"/>
        <v>0</v>
      </c>
      <c r="U10" s="843">
        <f t="shared" si="6"/>
        <v>0</v>
      </c>
    </row>
    <row r="11" spans="1:21" ht="15.75" customHeight="1">
      <c r="A11" s="80">
        <v>8</v>
      </c>
      <c r="B11" s="101" t="s">
        <v>122</v>
      </c>
      <c r="C11" s="1539" t="str">
        <f>OR_VEH!B410</f>
        <v>NE PAS UTILISER</v>
      </c>
      <c r="D11" s="1588"/>
      <c r="E11" s="776" t="s">
        <v>603</v>
      </c>
      <c r="F11" s="269">
        <f>IFERROR(IF(Flag=TRUE,K11-TBIn!E536,TBIn!D536),0)</f>
        <v>0</v>
      </c>
      <c r="G11" s="2599">
        <f>IFERROR(IF(Flag=TRUE,L11-TBIn!E2109,TBIn!D2109),0)</f>
        <v>0</v>
      </c>
      <c r="H11" s="2599">
        <f>IFERROR(IF(Flag=TRUE,M11-TBIn!E2149,TBIn!D2149),0)</f>
        <v>0</v>
      </c>
      <c r="I11" s="552">
        <f t="shared" si="0"/>
        <v>0</v>
      </c>
      <c r="J11" s="608">
        <f t="shared" si="1"/>
        <v>0</v>
      </c>
      <c r="K11" s="721">
        <f>IFERROR(TBIn!E536,0)</f>
        <v>0</v>
      </c>
      <c r="L11" s="2574">
        <f>IFERROR(TBIn!E2109,0)</f>
        <v>0</v>
      </c>
      <c r="M11" s="2574">
        <f>IFERROR(TBIn!E2149,0)</f>
        <v>0</v>
      </c>
      <c r="N11" s="555">
        <f t="shared" si="7"/>
        <v>0</v>
      </c>
      <c r="O11" s="587">
        <f t="shared" si="2"/>
        <v>0</v>
      </c>
      <c r="P11" s="80">
        <v>8</v>
      </c>
      <c r="Q11" s="843">
        <v>0</v>
      </c>
      <c r="R11" s="843">
        <f t="shared" si="3"/>
        <v>0</v>
      </c>
      <c r="S11" s="843">
        <f t="shared" si="4"/>
        <v>0</v>
      </c>
      <c r="T11" s="843">
        <f t="shared" si="5"/>
        <v>0</v>
      </c>
      <c r="U11" s="843">
        <f t="shared" si="6"/>
        <v>0</v>
      </c>
    </row>
    <row r="12" spans="1:21" ht="15.75" customHeight="1">
      <c r="A12" s="80">
        <v>9</v>
      </c>
      <c r="B12" s="101" t="s">
        <v>124</v>
      </c>
      <c r="C12" s="1539" t="str">
        <f>OR_VEH!B411</f>
        <v>NE PAS UTILISER</v>
      </c>
      <c r="D12" s="1588"/>
      <c r="E12" s="776" t="s">
        <v>604</v>
      </c>
      <c r="F12" s="269">
        <f>IFERROR(IF(Flag=TRUE,K12-TBIn!E537,TBIn!D537),0)</f>
        <v>0</v>
      </c>
      <c r="G12" s="2599">
        <f>IFERROR(IF(Flag=TRUE,L12-TBIn!E2110,TBIn!D2110),0)</f>
        <v>0</v>
      </c>
      <c r="H12" s="2599">
        <f>IFERROR(IF(Flag=TRUE,M12-TBIn!E2150,TBIn!D2150),0)</f>
        <v>0</v>
      </c>
      <c r="I12" s="552">
        <f t="shared" si="0"/>
        <v>0</v>
      </c>
      <c r="J12" s="608">
        <f t="shared" si="1"/>
        <v>0</v>
      </c>
      <c r="K12" s="721">
        <f>IFERROR(TBIn!E537,0)</f>
        <v>0</v>
      </c>
      <c r="L12" s="2574">
        <f>IFERROR(TBIn!E2110,0)</f>
        <v>0</v>
      </c>
      <c r="M12" s="2574">
        <f>IFERROR(TBIn!E2150,0)</f>
        <v>0</v>
      </c>
      <c r="N12" s="555">
        <f t="shared" si="7"/>
        <v>0</v>
      </c>
      <c r="O12" s="587">
        <f t="shared" si="2"/>
        <v>0</v>
      </c>
      <c r="P12" s="80">
        <v>9</v>
      </c>
      <c r="Q12" s="843">
        <v>0</v>
      </c>
      <c r="R12" s="843">
        <f t="shared" si="3"/>
        <v>0</v>
      </c>
      <c r="S12" s="843">
        <f t="shared" si="4"/>
        <v>0</v>
      </c>
      <c r="T12" s="843">
        <f t="shared" si="5"/>
        <v>0</v>
      </c>
      <c r="U12" s="843">
        <f t="shared" si="6"/>
        <v>0</v>
      </c>
    </row>
    <row r="13" spans="1:21" ht="15.75" customHeight="1">
      <c r="A13" s="80">
        <v>10</v>
      </c>
      <c r="B13" s="101"/>
      <c r="C13" s="1539" t="str">
        <f>OR_VEH!B412</f>
        <v>NE PAS UTILISER</v>
      </c>
      <c r="D13" s="1588"/>
      <c r="E13" s="776" t="s">
        <v>605</v>
      </c>
      <c r="F13" s="269">
        <f>IFERROR(IF(Flag=TRUE,K13-TBIn!E538,TBIn!D538),0)</f>
        <v>0</v>
      </c>
      <c r="G13" s="2599">
        <f>IFERROR(IF(Flag=TRUE,L13-TBIn!E2111,TBIn!D2111),0)</f>
        <v>0</v>
      </c>
      <c r="H13" s="2599">
        <f>IFERROR(IF(Flag=TRUE,M13-TBIn!E2151,TBIn!D2151),0)</f>
        <v>0</v>
      </c>
      <c r="I13" s="552">
        <f t="shared" si="0"/>
        <v>0</v>
      </c>
      <c r="J13" s="608">
        <f t="shared" si="1"/>
        <v>0</v>
      </c>
      <c r="K13" s="721">
        <f>IFERROR(TBIn!E538,0)</f>
        <v>0</v>
      </c>
      <c r="L13" s="2574">
        <f>IFERROR(TBIn!E2111,0)</f>
        <v>0</v>
      </c>
      <c r="M13" s="2574">
        <f>IFERROR(TBIn!E2151,0)</f>
        <v>0</v>
      </c>
      <c r="N13" s="555">
        <f t="shared" si="7"/>
        <v>0</v>
      </c>
      <c r="O13" s="587">
        <f t="shared" si="2"/>
        <v>0</v>
      </c>
      <c r="P13" s="80">
        <v>10</v>
      </c>
      <c r="Q13" s="843">
        <v>0</v>
      </c>
      <c r="R13" s="843">
        <f t="shared" si="3"/>
        <v>0</v>
      </c>
      <c r="S13" s="843">
        <f t="shared" si="4"/>
        <v>0</v>
      </c>
      <c r="T13" s="843">
        <f t="shared" si="5"/>
        <v>0</v>
      </c>
      <c r="U13" s="843">
        <f t="shared" si="6"/>
        <v>0</v>
      </c>
    </row>
    <row r="14" spans="1:21" ht="15.75" customHeight="1">
      <c r="A14" s="80">
        <v>11</v>
      </c>
      <c r="B14" s="101" t="s">
        <v>127</v>
      </c>
      <c r="C14" s="1539" t="str">
        <f>OR_VEH!B413</f>
        <v>NE PAS UTILISER</v>
      </c>
      <c r="D14" s="1588"/>
      <c r="E14" s="776" t="s">
        <v>606</v>
      </c>
      <c r="F14" s="269">
        <f>IFERROR(IF(Flag=TRUE,K14-TBIn!E539,TBIn!D539),0)</f>
        <v>0</v>
      </c>
      <c r="G14" s="2599">
        <f>IFERROR(IF(Flag=TRUE,L14-TBIn!E2112,TBIn!D2112),0)</f>
        <v>0</v>
      </c>
      <c r="H14" s="2599">
        <f>IFERROR(IF(Flag=TRUE,M14-TBIn!E2152,TBIn!D2152),0)</f>
        <v>0</v>
      </c>
      <c r="I14" s="552">
        <f t="shared" si="0"/>
        <v>0</v>
      </c>
      <c r="J14" s="608">
        <f t="shared" si="1"/>
        <v>0</v>
      </c>
      <c r="K14" s="721">
        <f>IFERROR(TBIn!E539,0)</f>
        <v>0</v>
      </c>
      <c r="L14" s="2574">
        <f>IFERROR(TBIn!E2112,0)</f>
        <v>0</v>
      </c>
      <c r="M14" s="2574">
        <f>IFERROR(TBIn!E2152,0)</f>
        <v>0</v>
      </c>
      <c r="N14" s="555">
        <f t="shared" si="7"/>
        <v>0</v>
      </c>
      <c r="O14" s="587">
        <f t="shared" si="2"/>
        <v>0</v>
      </c>
      <c r="P14" s="80">
        <v>11</v>
      </c>
      <c r="Q14" s="843">
        <v>0</v>
      </c>
      <c r="R14" s="843">
        <f t="shared" si="3"/>
        <v>0</v>
      </c>
      <c r="S14" s="843">
        <f t="shared" si="4"/>
        <v>0</v>
      </c>
      <c r="T14" s="843">
        <f t="shared" si="5"/>
        <v>0</v>
      </c>
      <c r="U14" s="843">
        <f t="shared" si="6"/>
        <v>0</v>
      </c>
    </row>
    <row r="15" spans="1:21" ht="15.75" customHeight="1">
      <c r="A15" s="80">
        <v>12</v>
      </c>
      <c r="B15" s="101" t="s">
        <v>122</v>
      </c>
      <c r="C15" s="1539" t="str">
        <f>OR_VEH!B414</f>
        <v>NE PAS UTILISER</v>
      </c>
      <c r="D15" s="1588"/>
      <c r="E15" s="776" t="s">
        <v>607</v>
      </c>
      <c r="F15" s="269">
        <f>IFERROR(IF(Flag=TRUE,K15-TBIn!E540,TBIn!D540),0)</f>
        <v>0</v>
      </c>
      <c r="G15" s="2599">
        <f>IFERROR(IF(Flag=TRUE,L15-TBIn!E2113,TBIn!D2113),0)</f>
        <v>0</v>
      </c>
      <c r="H15" s="2599">
        <f>IFERROR(IF(Flag=TRUE,M15-TBIn!E2153,TBIn!D2153),0)</f>
        <v>0</v>
      </c>
      <c r="I15" s="552">
        <f t="shared" si="0"/>
        <v>0</v>
      </c>
      <c r="J15" s="608">
        <f t="shared" si="1"/>
        <v>0</v>
      </c>
      <c r="K15" s="721">
        <f>IFERROR(TBIn!E540,0)</f>
        <v>0</v>
      </c>
      <c r="L15" s="2574">
        <f>IFERROR(TBIn!E2113,0)</f>
        <v>0</v>
      </c>
      <c r="M15" s="2574">
        <f>IFERROR(TBIn!E2153,0)</f>
        <v>0</v>
      </c>
      <c r="N15" s="555">
        <f t="shared" si="7"/>
        <v>0</v>
      </c>
      <c r="O15" s="587">
        <f t="shared" si="2"/>
        <v>0</v>
      </c>
      <c r="P15" s="80">
        <v>12</v>
      </c>
      <c r="Q15" s="843">
        <v>0</v>
      </c>
      <c r="R15" s="843">
        <f t="shared" si="3"/>
        <v>0</v>
      </c>
      <c r="S15" s="843">
        <f t="shared" si="4"/>
        <v>0</v>
      </c>
      <c r="T15" s="843">
        <f t="shared" si="5"/>
        <v>0</v>
      </c>
      <c r="U15" s="843">
        <f t="shared" si="6"/>
        <v>0</v>
      </c>
    </row>
    <row r="16" spans="1:21" ht="15.75" customHeight="1">
      <c r="A16" s="80">
        <v>13</v>
      </c>
      <c r="B16" s="101" t="s">
        <v>118</v>
      </c>
      <c r="C16" s="1539" t="str">
        <f>OR_VEH!B415</f>
        <v>NE PAS UTILISER</v>
      </c>
      <c r="D16" s="1588"/>
      <c r="E16" s="776" t="s">
        <v>608</v>
      </c>
      <c r="F16" s="269">
        <f>IFERROR(IF(Flag=TRUE,K16-TBIn!E541,TBIn!D541),0)</f>
        <v>0</v>
      </c>
      <c r="G16" s="2599">
        <f>IFERROR(IF(Flag=TRUE,L16-TBIn!E2114,TBIn!D2114),0)</f>
        <v>0</v>
      </c>
      <c r="H16" s="2599">
        <f>IFERROR(IF(Flag=TRUE,M16-TBIn!E2154,TBIn!D2154),0)</f>
        <v>0</v>
      </c>
      <c r="I16" s="552">
        <f t="shared" si="0"/>
        <v>0</v>
      </c>
      <c r="J16" s="608">
        <f t="shared" si="1"/>
        <v>0</v>
      </c>
      <c r="K16" s="721">
        <f>IFERROR(TBIn!E541,0)</f>
        <v>0</v>
      </c>
      <c r="L16" s="2574">
        <f>IFERROR(TBIn!E2114,0)</f>
        <v>0</v>
      </c>
      <c r="M16" s="2574">
        <f>IFERROR(TBIn!E2154,0)</f>
        <v>0</v>
      </c>
      <c r="N16" s="555">
        <f t="shared" si="7"/>
        <v>0</v>
      </c>
      <c r="O16" s="587">
        <f t="shared" si="2"/>
        <v>0</v>
      </c>
      <c r="P16" s="80">
        <v>13</v>
      </c>
      <c r="Q16" s="843">
        <v>0</v>
      </c>
      <c r="R16" s="843">
        <f t="shared" si="3"/>
        <v>0</v>
      </c>
      <c r="S16" s="843">
        <f t="shared" si="4"/>
        <v>0</v>
      </c>
      <c r="T16" s="843">
        <f t="shared" si="5"/>
        <v>0</v>
      </c>
      <c r="U16" s="843">
        <f t="shared" si="6"/>
        <v>0</v>
      </c>
    </row>
    <row r="17" spans="1:21" ht="15.75" customHeight="1">
      <c r="A17" s="80">
        <v>14</v>
      </c>
      <c r="B17" s="101" t="s">
        <v>110</v>
      </c>
      <c r="C17" s="1539" t="str">
        <f>OR_VEH!B416</f>
        <v>NE PAS UTILISER</v>
      </c>
      <c r="D17" s="1588"/>
      <c r="E17" s="776" t="s">
        <v>609</v>
      </c>
      <c r="F17" s="269">
        <f>IFERROR(IF(Flag=TRUE,K17-TBIn!E542,TBIn!D542),0)</f>
        <v>0</v>
      </c>
      <c r="G17" s="2599">
        <f>IFERROR(IF(Flag=TRUE,L17-TBIn!E2115,TBIn!D2115),0)</f>
        <v>0</v>
      </c>
      <c r="H17" s="2599">
        <f>IFERROR(IF(Flag=TRUE,M17-TBIn!E2155,TBIn!D2155),0)</f>
        <v>0</v>
      </c>
      <c r="I17" s="552">
        <f t="shared" si="0"/>
        <v>0</v>
      </c>
      <c r="J17" s="608">
        <f t="shared" si="1"/>
        <v>0</v>
      </c>
      <c r="K17" s="721">
        <f>IFERROR(TBIn!E542,0)</f>
        <v>0</v>
      </c>
      <c r="L17" s="2574">
        <f>IFERROR(TBIn!E2115,0)</f>
        <v>0</v>
      </c>
      <c r="M17" s="2574">
        <f>IFERROR(TBIn!E2155,0)</f>
        <v>0</v>
      </c>
      <c r="N17" s="555">
        <f t="shared" si="7"/>
        <v>0</v>
      </c>
      <c r="O17" s="587">
        <f t="shared" si="2"/>
        <v>0</v>
      </c>
      <c r="P17" s="80">
        <v>14</v>
      </c>
      <c r="Q17" s="843">
        <v>0</v>
      </c>
      <c r="R17" s="843">
        <f t="shared" si="3"/>
        <v>0</v>
      </c>
      <c r="S17" s="843">
        <f t="shared" si="4"/>
        <v>0</v>
      </c>
      <c r="T17" s="843">
        <f t="shared" si="5"/>
        <v>0</v>
      </c>
      <c r="U17" s="843">
        <f t="shared" si="6"/>
        <v>0</v>
      </c>
    </row>
    <row r="18" spans="1:21" ht="15.75" customHeight="1">
      <c r="A18" s="80">
        <v>15</v>
      </c>
      <c r="B18" s="275" t="s">
        <v>122</v>
      </c>
      <c r="C18" s="1539" t="str">
        <f>OR_VEH!B417</f>
        <v>NE PAS UTILISER</v>
      </c>
      <c r="D18" s="1588"/>
      <c r="E18" s="776" t="s">
        <v>610</v>
      </c>
      <c r="F18" s="269">
        <f>IFERROR(IF(Flag=TRUE,K18-TBIn!E543,TBIn!D543),0)</f>
        <v>0</v>
      </c>
      <c r="G18" s="2599">
        <f>IFERROR(IF(Flag=TRUE,L18-TBIn!E2116,TBIn!D2116),0)</f>
        <v>0</v>
      </c>
      <c r="H18" s="2599">
        <f>IFERROR(IF(Flag=TRUE,M18-TBIn!E2156,TBIn!D2156),0)</f>
        <v>0</v>
      </c>
      <c r="I18" s="552">
        <f t="shared" si="0"/>
        <v>0</v>
      </c>
      <c r="J18" s="608">
        <f t="shared" si="1"/>
        <v>0</v>
      </c>
      <c r="K18" s="721">
        <f>IFERROR(TBIn!E543,0)</f>
        <v>0</v>
      </c>
      <c r="L18" s="2574">
        <f>IFERROR(TBIn!E2116,0)</f>
        <v>0</v>
      </c>
      <c r="M18" s="2574">
        <f>IFERROR(TBIn!E2156,0)</f>
        <v>0</v>
      </c>
      <c r="N18" s="555">
        <f t="shared" si="7"/>
        <v>0</v>
      </c>
      <c r="O18" s="587">
        <f t="shared" si="2"/>
        <v>0</v>
      </c>
      <c r="P18" s="80">
        <v>15</v>
      </c>
      <c r="Q18" s="843">
        <v>0</v>
      </c>
      <c r="R18" s="843">
        <f t="shared" si="3"/>
        <v>0</v>
      </c>
      <c r="S18" s="843">
        <f t="shared" si="4"/>
        <v>0</v>
      </c>
      <c r="T18" s="843">
        <f t="shared" si="5"/>
        <v>0</v>
      </c>
      <c r="U18" s="843">
        <f t="shared" si="6"/>
        <v>0</v>
      </c>
    </row>
    <row r="19" spans="1:21" ht="16" customHeight="1">
      <c r="A19" s="80">
        <v>16</v>
      </c>
      <c r="B19" s="275" t="s">
        <v>124</v>
      </c>
      <c r="C19" s="1539" t="str">
        <f>OR_VEH!B418</f>
        <v>NE PAS UTILISER</v>
      </c>
      <c r="D19" s="1588"/>
      <c r="E19" s="776" t="s">
        <v>611</v>
      </c>
      <c r="F19" s="269">
        <f>IFERROR(IF(Flag=TRUE,K19-TBIn!E544,TBIn!D544),0)</f>
        <v>0</v>
      </c>
      <c r="G19" s="2599">
        <f>IFERROR(IF(Flag=TRUE,L19-TBIn!E2117,TBIn!D2117),0)</f>
        <v>0</v>
      </c>
      <c r="H19" s="2599">
        <f>IFERROR(IF(Flag=TRUE,M19-TBIn!E2157,TBIn!D2157),0)</f>
        <v>0</v>
      </c>
      <c r="I19" s="552">
        <f t="shared" si="0"/>
        <v>0</v>
      </c>
      <c r="J19" s="608">
        <f t="shared" si="1"/>
        <v>0</v>
      </c>
      <c r="K19" s="721">
        <f>IFERROR(TBIn!E544,0)</f>
        <v>0</v>
      </c>
      <c r="L19" s="2574">
        <f>IFERROR(TBIn!E2117,0)</f>
        <v>0</v>
      </c>
      <c r="M19" s="2574">
        <f>IFERROR(TBIn!E2157,0)</f>
        <v>0</v>
      </c>
      <c r="N19" s="555">
        <f t="shared" si="7"/>
        <v>0</v>
      </c>
      <c r="O19" s="587">
        <f t="shared" si="2"/>
        <v>0</v>
      </c>
      <c r="P19" s="80">
        <v>16</v>
      </c>
      <c r="Q19" s="843">
        <v>0</v>
      </c>
      <c r="R19" s="843">
        <f t="shared" si="3"/>
        <v>0</v>
      </c>
      <c r="S19" s="843">
        <f t="shared" si="4"/>
        <v>0</v>
      </c>
      <c r="T19" s="843">
        <f t="shared" si="5"/>
        <v>0</v>
      </c>
      <c r="U19" s="843">
        <f t="shared" si="6"/>
        <v>0</v>
      </c>
    </row>
    <row r="20" spans="1:21" ht="16" customHeight="1">
      <c r="A20" s="80">
        <v>17</v>
      </c>
      <c r="B20" s="275"/>
      <c r="C20" s="1539" t="str">
        <f>OR_VEH!B419</f>
        <v>NE PAS UTILISER</v>
      </c>
      <c r="D20" s="1588"/>
      <c r="E20" s="776" t="s">
        <v>612</v>
      </c>
      <c r="F20" s="269">
        <f>IFERROR(IF(Flag=TRUE,K20-TBIn!E545,TBIn!D545),0)</f>
        <v>0</v>
      </c>
      <c r="G20" s="2599">
        <f>IFERROR(IF(Flag=TRUE,L20-TBIn!E2118,TBIn!D2118),0)</f>
        <v>0</v>
      </c>
      <c r="H20" s="2599">
        <f>IFERROR(IF(Flag=TRUE,M20-TBIn!E2158,TBIn!D2158),0)</f>
        <v>0</v>
      </c>
      <c r="I20" s="552">
        <f t="shared" si="0"/>
        <v>0</v>
      </c>
      <c r="J20" s="608">
        <f t="shared" si="1"/>
        <v>0</v>
      </c>
      <c r="K20" s="721">
        <f>IFERROR(TBIn!E545,0)</f>
        <v>0</v>
      </c>
      <c r="L20" s="2574">
        <f>IFERROR(TBIn!E2118,0)</f>
        <v>0</v>
      </c>
      <c r="M20" s="2574">
        <f>IFERROR(TBIn!E2158,0)</f>
        <v>0</v>
      </c>
      <c r="N20" s="555">
        <f t="shared" si="7"/>
        <v>0</v>
      </c>
      <c r="O20" s="587">
        <f t="shared" si="2"/>
        <v>0</v>
      </c>
      <c r="P20" s="80">
        <v>17</v>
      </c>
      <c r="Q20" s="843">
        <v>0</v>
      </c>
      <c r="R20" s="843">
        <f t="shared" si="3"/>
        <v>0</v>
      </c>
      <c r="S20" s="843">
        <f t="shared" si="4"/>
        <v>0</v>
      </c>
      <c r="T20" s="843">
        <f t="shared" si="5"/>
        <v>0</v>
      </c>
      <c r="U20" s="843">
        <f t="shared" si="6"/>
        <v>0</v>
      </c>
    </row>
    <row r="21" spans="1:21" ht="16" customHeight="1">
      <c r="A21" s="80">
        <v>18</v>
      </c>
      <c r="B21" s="215"/>
      <c r="C21" s="1539" t="str">
        <f>OR_VEH!B420</f>
        <v>NE PAS UTILISER</v>
      </c>
      <c r="D21" s="1588"/>
      <c r="E21" s="776" t="s">
        <v>613</v>
      </c>
      <c r="F21" s="269">
        <f>IFERROR(IF(Flag=TRUE,K21-TBIn!E546,TBIn!D546),0)</f>
        <v>0</v>
      </c>
      <c r="G21" s="2599">
        <f>IFERROR(IF(Flag=TRUE,L21-TBIn!E2119,TBIn!D2119),0)</f>
        <v>0</v>
      </c>
      <c r="H21" s="2599">
        <f>IFERROR(IF(Flag=TRUE,M21-TBIn!E2159,TBIn!D2159),0)</f>
        <v>0</v>
      </c>
      <c r="I21" s="552">
        <f t="shared" si="0"/>
        <v>0</v>
      </c>
      <c r="J21" s="608">
        <f t="shared" si="1"/>
        <v>0</v>
      </c>
      <c r="K21" s="721">
        <f>IFERROR(TBIn!E546,0)</f>
        <v>0</v>
      </c>
      <c r="L21" s="2574">
        <f>IFERROR(TBIn!E2119,0)</f>
        <v>0</v>
      </c>
      <c r="M21" s="2574">
        <f>IFERROR(TBIn!E2159,0)</f>
        <v>0</v>
      </c>
      <c r="N21" s="555">
        <f t="shared" si="7"/>
        <v>0</v>
      </c>
      <c r="O21" s="587">
        <f t="shared" si="2"/>
        <v>0</v>
      </c>
      <c r="P21" s="80">
        <v>18</v>
      </c>
      <c r="Q21" s="843">
        <v>0</v>
      </c>
      <c r="R21" s="843">
        <f t="shared" si="3"/>
        <v>0</v>
      </c>
      <c r="S21" s="843">
        <f t="shared" si="4"/>
        <v>0</v>
      </c>
      <c r="T21" s="843">
        <f t="shared" si="5"/>
        <v>0</v>
      </c>
      <c r="U21" s="843">
        <f t="shared" si="6"/>
        <v>0</v>
      </c>
    </row>
    <row r="22" spans="1:21" ht="16" customHeight="1">
      <c r="A22" s="80">
        <v>19</v>
      </c>
      <c r="B22" s="215"/>
      <c r="C22" s="1589" t="str">
        <f>OR_VEH!B421</f>
        <v>NE PAS UTILISER</v>
      </c>
      <c r="D22" s="1590"/>
      <c r="E22" s="777" t="s">
        <v>614</v>
      </c>
      <c r="F22" s="270">
        <f>IFERROR(IF(Flag=TRUE,K22-TBIn!E547,TBIn!D547),0)</f>
        <v>0</v>
      </c>
      <c r="G22" s="2600">
        <f>IFERROR(IF(Flag=TRUE,L22-TBIn!E2120,TBIn!D2120),0)</f>
        <v>0</v>
      </c>
      <c r="H22" s="2600">
        <f>IFERROR(IF(Flag=TRUE,M22-TBIn!E2160,TBIn!D2160),0)</f>
        <v>0</v>
      </c>
      <c r="I22" s="553">
        <f t="shared" si="0"/>
        <v>0</v>
      </c>
      <c r="J22" s="847">
        <f t="shared" si="1"/>
        <v>0</v>
      </c>
      <c r="K22" s="722">
        <f>IFERROR(TBIn!E547,0)</f>
        <v>0</v>
      </c>
      <c r="L22" s="2603">
        <f>IFERROR(TBIn!E2120,0)</f>
        <v>0</v>
      </c>
      <c r="M22" s="2603">
        <f>IFERROR(TBIn!E2160,0)</f>
        <v>0</v>
      </c>
      <c r="N22" s="556">
        <f t="shared" si="7"/>
        <v>0</v>
      </c>
      <c r="O22" s="601">
        <f t="shared" si="2"/>
        <v>0</v>
      </c>
      <c r="P22" s="80">
        <v>19</v>
      </c>
      <c r="Q22" s="843">
        <v>0</v>
      </c>
      <c r="R22" s="843">
        <f t="shared" si="3"/>
        <v>0</v>
      </c>
      <c r="S22" s="843">
        <f t="shared" si="4"/>
        <v>0</v>
      </c>
      <c r="T22" s="843">
        <f t="shared" si="5"/>
        <v>0</v>
      </c>
      <c r="U22" s="843">
        <f t="shared" si="6"/>
        <v>0</v>
      </c>
    </row>
    <row r="23" spans="1:2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843"/>
      <c r="R23" s="843"/>
      <c r="S23" s="843"/>
      <c r="T23" s="843"/>
      <c r="U23" s="843"/>
    </row>
    <row r="24" spans="1:21" ht="16" customHeight="1">
      <c r="A24" s="80">
        <v>21</v>
      </c>
      <c r="B24" s="215"/>
      <c r="C24" s="1591" t="str">
        <f>OR_VEH!B423</f>
        <v>MÉMO* VENTES INTERNET VOITURES</v>
      </c>
      <c r="D24" s="1592"/>
      <c r="E24" s="779" t="s">
        <v>615</v>
      </c>
      <c r="F24" s="269">
        <f>IFERROR(IF(Flag=TRUE,K24-TBIn!E548,TBIn!D548),0)</f>
        <v>0</v>
      </c>
      <c r="G24" s="2599">
        <f>IFERROR(IF(Flag=TRUE,L24-TBIn!$E$153,TBIn!$D$153),0)</f>
        <v>0</v>
      </c>
      <c r="H24" s="2599">
        <f>IFERROR(IF(Flag=TRUE,M24-TBIn!$E$173,TBIn!$D$173),0)</f>
        <v>0</v>
      </c>
      <c r="I24" s="552">
        <f>G24-H24</f>
        <v>0</v>
      </c>
      <c r="J24" s="608">
        <f t="shared" si="1"/>
        <v>0</v>
      </c>
      <c r="K24" s="721">
        <f>IFERROR(TBIn!E548,0)</f>
        <v>0</v>
      </c>
      <c r="L24" s="2574">
        <f>IFERROR(TBIn!$E$153,0)</f>
        <v>0</v>
      </c>
      <c r="M24" s="2574">
        <f>IFERROR(TBIn!$E$173,0)</f>
        <v>0</v>
      </c>
      <c r="N24" s="555">
        <f>L24-M24</f>
        <v>0</v>
      </c>
      <c r="O24" s="587">
        <f t="shared" si="2"/>
        <v>0</v>
      </c>
      <c r="P24" s="80">
        <v>21</v>
      </c>
      <c r="Q24" s="843">
        <v>0</v>
      </c>
      <c r="R24" s="843">
        <f>IF(F24=0,0,IF(G24/F24&gt;Q24,1,0))</f>
        <v>0</v>
      </c>
      <c r="S24" s="843">
        <f>IF(K24=0,0,IF(OR(L24&lt;0,L24/K24&gt;Q24),1,0))</f>
        <v>0</v>
      </c>
      <c r="T24" s="843">
        <f>IF(OR(F24&lt;0,AND(G24&gt;0,F24=0),AND(G24=0,F24&gt;0)),1,0)</f>
        <v>0</v>
      </c>
      <c r="U24" s="843">
        <f>IF(OR(K24&lt;0,AND(L24&gt;0,K24=0),AND(K24&gt;0,L24=0)),1,0)</f>
        <v>0</v>
      </c>
    </row>
    <row r="25" spans="1:21" ht="16" customHeight="1">
      <c r="A25" s="80">
        <v>22</v>
      </c>
      <c r="B25" s="101"/>
      <c r="C25" s="1594" t="str">
        <f>OR_VEH!B424</f>
        <v>TOTAL PARCS - VOITURES</v>
      </c>
      <c r="D25" s="1595"/>
      <c r="E25" s="779" t="s">
        <v>616</v>
      </c>
      <c r="F25" s="269">
        <f>IFERROR(IF(Flag=TRUE,K25-TBIn!E549,TBIn!D549),0)</f>
        <v>0</v>
      </c>
      <c r="G25" s="2599">
        <f>IFERROR(IF(Flag=TRUE,L25-TBIn!E2121,TBIn!D2121),0)</f>
        <v>0</v>
      </c>
      <c r="H25" s="2599">
        <f>IFERROR(IF(Flag=TRUE,M25-TBIn!E2161,TBIn!D2161),0)</f>
        <v>0</v>
      </c>
      <c r="I25" s="552">
        <f>G25-H25</f>
        <v>0</v>
      </c>
      <c r="J25" s="608">
        <f t="shared" si="1"/>
        <v>0</v>
      </c>
      <c r="K25" s="721">
        <f>IFERROR(TBIn!E549,0)</f>
        <v>0</v>
      </c>
      <c r="L25" s="2574">
        <f>IFERROR(TBIn!E2121,0)</f>
        <v>0</v>
      </c>
      <c r="M25" s="2574">
        <f>IFERROR(TBIn!E2161,0)</f>
        <v>0</v>
      </c>
      <c r="N25" s="555">
        <f>L25-M25</f>
        <v>0</v>
      </c>
      <c r="O25" s="587">
        <f t="shared" si="2"/>
        <v>0</v>
      </c>
      <c r="P25" s="80">
        <v>22</v>
      </c>
      <c r="Q25" s="843">
        <v>0</v>
      </c>
      <c r="R25" s="843">
        <f>IF(F25=0,0,IF(G25/F25&gt;Q25,1,0))</f>
        <v>0</v>
      </c>
      <c r="S25" s="843">
        <f>IF(K25=0,0,IF(OR(L25&lt;0,L25/K25&gt;Q25),1,0))</f>
        <v>0</v>
      </c>
      <c r="T25" s="843">
        <f>IF(OR(F25&lt;0,AND(G25&gt;0,F25=0),AND(G25=0,F25&gt;0)),1,0)</f>
        <v>0</v>
      </c>
      <c r="U25" s="843">
        <f>IF(OR(K25&lt;0,AND(L25&gt;0,K25=0),AND(K25&gt;0,L25=0)),1,0)</f>
        <v>0</v>
      </c>
    </row>
    <row r="26" spans="1:21" ht="16" customHeight="1">
      <c r="A26" s="80">
        <v>23</v>
      </c>
      <c r="B26" s="215"/>
      <c r="C26" s="1596" t="str">
        <f>OR_VEH!B425</f>
        <v>TOTAL INTERNE - VOITURES</v>
      </c>
      <c r="D26" s="1597"/>
      <c r="E26" s="780" t="s">
        <v>617</v>
      </c>
      <c r="F26" s="269">
        <f>IFERROR(IF(Flag=TRUE,K26-TBIn!E550,TBIn!D550),0)</f>
        <v>0</v>
      </c>
      <c r="G26" s="2599">
        <f>IFERROR(IF(Flag=TRUE,L26-TBIn!E2122,TBIn!D2122),0)</f>
        <v>0</v>
      </c>
      <c r="H26" s="2599">
        <f>IFERROR(IF(Flag=TRUE,M26-TBIn!E2162,TBIn!D2162),0)</f>
        <v>0</v>
      </c>
      <c r="I26" s="552">
        <f>G26-H26</f>
        <v>0</v>
      </c>
      <c r="J26" s="608">
        <f t="shared" si="1"/>
        <v>0</v>
      </c>
      <c r="K26" s="721">
        <f>IFERROR(TBIn!E550,0)</f>
        <v>0</v>
      </c>
      <c r="L26" s="2574">
        <f>IFERROR(TBIn!E2122,0)</f>
        <v>0</v>
      </c>
      <c r="M26" s="2574">
        <f>IFERROR(TBIn!E2162,0)</f>
        <v>0</v>
      </c>
      <c r="N26" s="555">
        <f>L26-M26</f>
        <v>0</v>
      </c>
      <c r="O26" s="587">
        <f t="shared" si="2"/>
        <v>0</v>
      </c>
      <c r="P26" s="80">
        <v>23</v>
      </c>
      <c r="Q26" s="843">
        <v>0</v>
      </c>
      <c r="R26" s="843">
        <f>IF(F26=0,0,IF(G26/F26&gt;Q26,1,0))</f>
        <v>0</v>
      </c>
      <c r="S26" s="843">
        <f>IF(K26=0,0,IF(OR(L26&lt;0,L26/K26&gt;Q26),1,0))</f>
        <v>0</v>
      </c>
      <c r="T26" s="843">
        <f>IF(OR(F26&lt;0,AND(G26&gt;0,F26=0),AND(G26=0,F26&gt;0)),1,0)</f>
        <v>0</v>
      </c>
      <c r="U26" s="843">
        <f>IF(OR(K26&lt;0,AND(L26&gt;0,K26=0),AND(K26&gt;0,L26=0)),1,0)</f>
        <v>0</v>
      </c>
    </row>
    <row r="27" spans="1:2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843"/>
      <c r="R27" s="843"/>
      <c r="S27" s="843"/>
      <c r="T27" s="843"/>
      <c r="U27" s="843"/>
    </row>
    <row r="28" spans="1:21" ht="16" customHeight="1">
      <c r="A28" s="80">
        <v>25</v>
      </c>
      <c r="B28" s="207"/>
      <c r="C28" s="1601" t="str">
        <f>OR_VEH!B427</f>
        <v>NE PAS UTILISER</v>
      </c>
      <c r="D28" s="1599"/>
      <c r="E28" s="779" t="s">
        <v>618</v>
      </c>
      <c r="F28" s="180">
        <f>IFERROR(IF(Flag=TRUE,K28-TBIn!E551,TBIn!D551),0)</f>
        <v>0</v>
      </c>
      <c r="G28" s="2601">
        <f>IFERROR(IF(Flag=TRUE,L28-TBIn!E2123,TBIn!D2123),0)</f>
        <v>0</v>
      </c>
      <c r="H28" s="2601">
        <f>IFERROR(IF(Flag=TRUE,M28-TBIn!E2163,TBIn!D2163),0)</f>
        <v>0</v>
      </c>
      <c r="I28" s="557">
        <f t="shared" ref="I28:I43" si="8">G28-H28</f>
        <v>0</v>
      </c>
      <c r="J28" s="271">
        <f t="shared" si="1"/>
        <v>0</v>
      </c>
      <c r="K28" s="723">
        <f>IFERROR(TBIn!E551,0)</f>
        <v>0</v>
      </c>
      <c r="L28" s="2604">
        <f>IFERROR(TBIn!E2123,0)</f>
        <v>0</v>
      </c>
      <c r="M28" s="2604">
        <f>IFERROR(TBIn!E2163,0)</f>
        <v>0</v>
      </c>
      <c r="N28" s="326">
        <f t="shared" ref="N28:N43" si="9">L28-M28</f>
        <v>0</v>
      </c>
      <c r="O28" s="272">
        <f t="shared" si="2"/>
        <v>0</v>
      </c>
      <c r="P28" s="80">
        <v>25</v>
      </c>
      <c r="Q28" s="843">
        <v>0</v>
      </c>
      <c r="R28" s="843">
        <f t="shared" ref="R28:R43" si="10">IF(F28=0,0,IF(G28/F28&gt;Q28,1,0))</f>
        <v>0</v>
      </c>
      <c r="S28" s="843">
        <f t="shared" ref="S28:S43" si="11">IF(K28=0,0,IF(OR(L28&lt;0,L28/K28&gt;Q28),1,0))</f>
        <v>0</v>
      </c>
      <c r="T28" s="843">
        <f t="shared" ref="T28:T43" si="12">IF(OR(F28&lt;0,AND(G28&gt;0,F28=0),AND(G28=0,F28&gt;0)),1,0)</f>
        <v>0</v>
      </c>
      <c r="U28" s="843">
        <f t="shared" ref="U28:U43" si="13">IF(OR(K28&lt;0,AND(L28&gt;0,K28=0),AND(K28&gt;0,L28=0)),1,0)</f>
        <v>0</v>
      </c>
    </row>
    <row r="29" spans="1:21" ht="16" customHeight="1">
      <c r="A29" s="80">
        <v>26</v>
      </c>
      <c r="B29" s="275" t="s">
        <v>143</v>
      </c>
      <c r="C29" s="1539" t="str">
        <f>OR_VEH!B428</f>
        <v>NE PAS UTILISER</v>
      </c>
      <c r="D29" s="1588"/>
      <c r="E29" s="779" t="s">
        <v>619</v>
      </c>
      <c r="F29" s="269">
        <f>IFERROR(IF(Flag=TRUE,K29-TBIn!E552,TBIn!D552),0)</f>
        <v>0</v>
      </c>
      <c r="G29" s="2599">
        <f>IFERROR(IF(Flag=TRUE,L29-TBIn!E2124,TBIn!D2124),0)</f>
        <v>0</v>
      </c>
      <c r="H29" s="2601">
        <f>IFERROR(IF(Flag=TRUE,M29-TBIn!E2164,TBIn!D2164),0)</f>
        <v>0</v>
      </c>
      <c r="I29" s="557">
        <f t="shared" si="8"/>
        <v>0</v>
      </c>
      <c r="J29" s="608">
        <f t="shared" si="1"/>
        <v>0</v>
      </c>
      <c r="K29" s="721">
        <f>IFERROR(TBIn!E552,0)</f>
        <v>0</v>
      </c>
      <c r="L29" s="2574">
        <f>IFERROR(TBIn!E2124,0)</f>
        <v>0</v>
      </c>
      <c r="M29" s="2604">
        <f>IFERROR(TBIn!E2164,0)</f>
        <v>0</v>
      </c>
      <c r="N29" s="326">
        <f t="shared" si="9"/>
        <v>0</v>
      </c>
      <c r="O29" s="587">
        <f t="shared" si="2"/>
        <v>0</v>
      </c>
      <c r="P29" s="80">
        <v>26</v>
      </c>
      <c r="Q29" s="843">
        <v>0</v>
      </c>
      <c r="R29" s="843">
        <f t="shared" si="10"/>
        <v>0</v>
      </c>
      <c r="S29" s="843">
        <f t="shared" si="11"/>
        <v>0</v>
      </c>
      <c r="T29" s="843">
        <f t="shared" si="12"/>
        <v>0</v>
      </c>
      <c r="U29" s="843">
        <f t="shared" si="13"/>
        <v>0</v>
      </c>
    </row>
    <row r="30" spans="1:21" ht="16" customHeight="1">
      <c r="A30" s="80">
        <v>27</v>
      </c>
      <c r="B30" s="275" t="s">
        <v>145</v>
      </c>
      <c r="C30" s="1600" t="str">
        <f>OR_VEH!B429</f>
        <v>NE PAS UTILISER</v>
      </c>
      <c r="D30" s="1588"/>
      <c r="E30" s="779" t="s">
        <v>620</v>
      </c>
      <c r="F30" s="269">
        <f>IFERROR(IF(Flag=TRUE,K30-TBIn!E553,TBIn!D553),0)</f>
        <v>0</v>
      </c>
      <c r="G30" s="2599">
        <f>IFERROR(IF(Flag=TRUE,L30-TBIn!E2125,TBIn!D2125),0)</f>
        <v>0</v>
      </c>
      <c r="H30" s="2601">
        <f>IFERROR(IF(Flag=TRUE,M30-TBIn!E2165,TBIn!D2165),0)</f>
        <v>0</v>
      </c>
      <c r="I30" s="557">
        <f t="shared" si="8"/>
        <v>0</v>
      </c>
      <c r="J30" s="608">
        <f t="shared" si="1"/>
        <v>0</v>
      </c>
      <c r="K30" s="721">
        <f>IFERROR(TBIn!E553,0)</f>
        <v>0</v>
      </c>
      <c r="L30" s="2574">
        <f>IFERROR(TBIn!E2125,0)</f>
        <v>0</v>
      </c>
      <c r="M30" s="2604">
        <f>IFERROR(TBIn!E2165,0)</f>
        <v>0</v>
      </c>
      <c r="N30" s="326">
        <f t="shared" si="9"/>
        <v>0</v>
      </c>
      <c r="O30" s="587">
        <f t="shared" si="2"/>
        <v>0</v>
      </c>
      <c r="P30" s="80">
        <v>27</v>
      </c>
      <c r="Q30" s="843">
        <v>0</v>
      </c>
      <c r="R30" s="843">
        <f t="shared" si="10"/>
        <v>0</v>
      </c>
      <c r="S30" s="843">
        <f t="shared" si="11"/>
        <v>0</v>
      </c>
      <c r="T30" s="843">
        <f t="shared" si="12"/>
        <v>0</v>
      </c>
      <c r="U30" s="843">
        <f t="shared" si="13"/>
        <v>0</v>
      </c>
    </row>
    <row r="31" spans="1:21" ht="16" customHeight="1">
      <c r="A31" s="80">
        <v>28</v>
      </c>
      <c r="B31" s="275" t="s">
        <v>147</v>
      </c>
      <c r="C31" s="1600" t="str">
        <f>OR_VEH!B430</f>
        <v>NE PAS UTILISER</v>
      </c>
      <c r="D31" s="1588"/>
      <c r="E31" s="779" t="s">
        <v>621</v>
      </c>
      <c r="F31" s="269">
        <f>IFERROR(IF(Flag=TRUE,K31-TBIn!E554,TBIn!D554),0)</f>
        <v>0</v>
      </c>
      <c r="G31" s="2599">
        <f>IFERROR(IF(Flag=TRUE,L31-TBIn!E2126,TBIn!D2126),0)</f>
        <v>0</v>
      </c>
      <c r="H31" s="2601">
        <f>IFERROR(IF(Flag=TRUE,M31-TBIn!E2166,TBIn!D2166),0)</f>
        <v>0</v>
      </c>
      <c r="I31" s="557">
        <f t="shared" si="8"/>
        <v>0</v>
      </c>
      <c r="J31" s="608">
        <f t="shared" si="1"/>
        <v>0</v>
      </c>
      <c r="K31" s="721">
        <f>IFERROR(TBIn!E554,0)</f>
        <v>0</v>
      </c>
      <c r="L31" s="2574">
        <f>IFERROR(TBIn!E2126,0)</f>
        <v>0</v>
      </c>
      <c r="M31" s="2604">
        <f>IFERROR(TBIn!E2166,0)</f>
        <v>0</v>
      </c>
      <c r="N31" s="326">
        <f t="shared" si="9"/>
        <v>0</v>
      </c>
      <c r="O31" s="587">
        <f t="shared" si="2"/>
        <v>0</v>
      </c>
      <c r="P31" s="80">
        <v>28</v>
      </c>
      <c r="Q31" s="843">
        <v>0</v>
      </c>
      <c r="R31" s="843">
        <f t="shared" si="10"/>
        <v>0</v>
      </c>
      <c r="S31" s="843">
        <f t="shared" si="11"/>
        <v>0</v>
      </c>
      <c r="T31" s="843">
        <f t="shared" si="12"/>
        <v>0</v>
      </c>
      <c r="U31" s="843">
        <f t="shared" si="13"/>
        <v>0</v>
      </c>
    </row>
    <row r="32" spans="1:21" ht="16" customHeight="1">
      <c r="A32" s="80">
        <v>29</v>
      </c>
      <c r="B32" s="275" t="s">
        <v>114</v>
      </c>
      <c r="C32" s="1600" t="str">
        <f>OR_VEH!B431</f>
        <v>NE PAS UTILISER</v>
      </c>
      <c r="D32" s="1588"/>
      <c r="E32" s="779" t="s">
        <v>622</v>
      </c>
      <c r="F32" s="269">
        <f>IFERROR(IF(Flag=TRUE,K32-TBIn!E555,TBIn!D555),0)</f>
        <v>0</v>
      </c>
      <c r="G32" s="2599">
        <f>IFERROR(IF(Flag=TRUE,L32-TBIn!E2127,TBIn!D2127),0)</f>
        <v>0</v>
      </c>
      <c r="H32" s="2601">
        <f>IFERROR(IF(Flag=TRUE,M32-TBIn!E2167,TBIn!D2167),0)</f>
        <v>0</v>
      </c>
      <c r="I32" s="557">
        <f t="shared" si="8"/>
        <v>0</v>
      </c>
      <c r="J32" s="608">
        <f t="shared" si="1"/>
        <v>0</v>
      </c>
      <c r="K32" s="721">
        <f>IFERROR(TBIn!E555,0)</f>
        <v>0</v>
      </c>
      <c r="L32" s="2574">
        <f>IFERROR(TBIn!E2127,0)</f>
        <v>0</v>
      </c>
      <c r="M32" s="2604">
        <f>IFERROR(TBIn!E2167,0)</f>
        <v>0</v>
      </c>
      <c r="N32" s="326">
        <f t="shared" si="9"/>
        <v>0</v>
      </c>
      <c r="O32" s="587">
        <f t="shared" si="2"/>
        <v>0</v>
      </c>
      <c r="P32" s="80">
        <v>29</v>
      </c>
      <c r="Q32" s="843">
        <v>0</v>
      </c>
      <c r="R32" s="843">
        <f t="shared" si="10"/>
        <v>0</v>
      </c>
      <c r="S32" s="843">
        <f t="shared" si="11"/>
        <v>0</v>
      </c>
      <c r="T32" s="843">
        <f t="shared" si="12"/>
        <v>0</v>
      </c>
      <c r="U32" s="843">
        <f t="shared" si="13"/>
        <v>0</v>
      </c>
    </row>
    <row r="33" spans="1:21" ht="16" customHeight="1">
      <c r="A33" s="80">
        <v>30</v>
      </c>
      <c r="B33" s="101" t="s">
        <v>112</v>
      </c>
      <c r="C33" s="1600" t="str">
        <f>OR_VEH!B432</f>
        <v>NE PAS UTILISER</v>
      </c>
      <c r="D33" s="1588"/>
      <c r="E33" s="779" t="s">
        <v>623</v>
      </c>
      <c r="F33" s="269">
        <f>IFERROR(IF(Flag=TRUE,K33-TBIn!E556,TBIn!D556),0)</f>
        <v>0</v>
      </c>
      <c r="G33" s="2599">
        <f>IFERROR(IF(Flag=TRUE,L33-TBIn!E2128,TBIn!D2128),0)</f>
        <v>0</v>
      </c>
      <c r="H33" s="2601">
        <f>IFERROR(IF(Flag=TRUE,M33-TBIn!E2168,TBIn!D2168),0)</f>
        <v>0</v>
      </c>
      <c r="I33" s="557">
        <f t="shared" si="8"/>
        <v>0</v>
      </c>
      <c r="J33" s="608">
        <f t="shared" si="1"/>
        <v>0</v>
      </c>
      <c r="K33" s="721">
        <f>IFERROR(TBIn!E556,0)</f>
        <v>0</v>
      </c>
      <c r="L33" s="2574">
        <f>IFERROR(TBIn!E2128,0)</f>
        <v>0</v>
      </c>
      <c r="M33" s="2604">
        <f>IFERROR(TBIn!E2168,0)</f>
        <v>0</v>
      </c>
      <c r="N33" s="326">
        <f t="shared" si="9"/>
        <v>0</v>
      </c>
      <c r="O33" s="587">
        <f t="shared" si="2"/>
        <v>0</v>
      </c>
      <c r="P33" s="80">
        <v>30</v>
      </c>
      <c r="Q33" s="843">
        <v>0</v>
      </c>
      <c r="R33" s="843">
        <f t="shared" si="10"/>
        <v>0</v>
      </c>
      <c r="S33" s="843">
        <f t="shared" si="11"/>
        <v>0</v>
      </c>
      <c r="T33" s="843">
        <f t="shared" si="12"/>
        <v>0</v>
      </c>
      <c r="U33" s="843">
        <f t="shared" si="13"/>
        <v>0</v>
      </c>
    </row>
    <row r="34" spans="1:21" ht="16" customHeight="1">
      <c r="A34" s="80">
        <v>31</v>
      </c>
      <c r="B34" s="101" t="s">
        <v>127</v>
      </c>
      <c r="C34" s="1600" t="str">
        <f>OR_VEH!B433</f>
        <v>NE PAS UTILISER</v>
      </c>
      <c r="D34" s="1588"/>
      <c r="E34" s="779" t="s">
        <v>624</v>
      </c>
      <c r="F34" s="269">
        <f>IFERROR(IF(Flag=TRUE,K34-TBIn!E557,TBIn!D557),0)</f>
        <v>0</v>
      </c>
      <c r="G34" s="2599">
        <f>IFERROR(IF(Flag=TRUE,L34-TBIn!E2129,TBIn!D2129),0)</f>
        <v>0</v>
      </c>
      <c r="H34" s="2601">
        <f>IFERROR(IF(Flag=TRUE,M34-TBIn!E2169,TBIn!D2169),0)</f>
        <v>0</v>
      </c>
      <c r="I34" s="557">
        <f t="shared" si="8"/>
        <v>0</v>
      </c>
      <c r="J34" s="608">
        <f t="shared" si="1"/>
        <v>0</v>
      </c>
      <c r="K34" s="721">
        <f>IFERROR(TBIn!E557,0)</f>
        <v>0</v>
      </c>
      <c r="L34" s="2574">
        <f>IFERROR(TBIn!E2129,0)</f>
        <v>0</v>
      </c>
      <c r="M34" s="2604">
        <f>IFERROR(TBIn!E2169,0)</f>
        <v>0</v>
      </c>
      <c r="N34" s="326">
        <f t="shared" si="9"/>
        <v>0</v>
      </c>
      <c r="O34" s="587">
        <f t="shared" si="2"/>
        <v>0</v>
      </c>
      <c r="P34" s="80">
        <v>31</v>
      </c>
      <c r="Q34" s="843">
        <v>0</v>
      </c>
      <c r="R34" s="843">
        <f t="shared" si="10"/>
        <v>0</v>
      </c>
      <c r="S34" s="843">
        <f t="shared" si="11"/>
        <v>0</v>
      </c>
      <c r="T34" s="843">
        <f t="shared" si="12"/>
        <v>0</v>
      </c>
      <c r="U34" s="843">
        <f t="shared" si="13"/>
        <v>0</v>
      </c>
    </row>
    <row r="35" spans="1:21" ht="16" customHeight="1">
      <c r="A35" s="80">
        <v>32</v>
      </c>
      <c r="B35" s="101" t="s">
        <v>124</v>
      </c>
      <c r="C35" s="1600" t="str">
        <f>OR_VEH!B434</f>
        <v>NE PAS UTILISER</v>
      </c>
      <c r="D35" s="1588"/>
      <c r="E35" s="779" t="s">
        <v>625</v>
      </c>
      <c r="F35" s="269">
        <f>IFERROR(IF(Flag=TRUE,K35-TBIn!E558,TBIn!D558),0)</f>
        <v>0</v>
      </c>
      <c r="G35" s="2599">
        <f>IFERROR(IF(Flag=TRUE,L35-TBIn!E2130,TBIn!D2130),0)</f>
        <v>0</v>
      </c>
      <c r="H35" s="2601">
        <f>IFERROR(IF(Flag=TRUE,M35-TBIn!E2170,TBIn!D2170),0)</f>
        <v>0</v>
      </c>
      <c r="I35" s="557">
        <f t="shared" si="8"/>
        <v>0</v>
      </c>
      <c r="J35" s="608">
        <f t="shared" si="1"/>
        <v>0</v>
      </c>
      <c r="K35" s="721">
        <f>IFERROR(TBIn!E558,0)</f>
        <v>0</v>
      </c>
      <c r="L35" s="2574">
        <f>IFERROR(TBIn!E2130,0)</f>
        <v>0</v>
      </c>
      <c r="M35" s="2604">
        <f>IFERROR(TBIn!E2170,0)</f>
        <v>0</v>
      </c>
      <c r="N35" s="326">
        <f t="shared" si="9"/>
        <v>0</v>
      </c>
      <c r="O35" s="587">
        <f t="shared" si="2"/>
        <v>0</v>
      </c>
      <c r="P35" s="80">
        <v>32</v>
      </c>
      <c r="Q35" s="843">
        <v>0</v>
      </c>
      <c r="R35" s="843">
        <f t="shared" si="10"/>
        <v>0</v>
      </c>
      <c r="S35" s="843">
        <f t="shared" si="11"/>
        <v>0</v>
      </c>
      <c r="T35" s="843">
        <f t="shared" si="12"/>
        <v>0</v>
      </c>
      <c r="U35" s="843">
        <f t="shared" si="13"/>
        <v>0</v>
      </c>
    </row>
    <row r="36" spans="1:21" ht="16" customHeight="1">
      <c r="A36" s="80">
        <v>33</v>
      </c>
      <c r="B36" s="101"/>
      <c r="C36" s="1600" t="str">
        <f>OR_VEH!B435</f>
        <v>NE PAS UTILISER</v>
      </c>
      <c r="D36" s="1588"/>
      <c r="E36" s="779" t="s">
        <v>626</v>
      </c>
      <c r="F36" s="269">
        <f>IFERROR(IF(Flag=TRUE,K36-TBIn!E559,TBIn!D559),0)</f>
        <v>0</v>
      </c>
      <c r="G36" s="2599">
        <f>IFERROR(IF(Flag=TRUE,L36-TBIn!E2131,TBIn!D2131),0)</f>
        <v>0</v>
      </c>
      <c r="H36" s="2601">
        <f>IFERROR(IF(Flag=TRUE,M36-TBIn!E2171,TBIn!D2171),0)</f>
        <v>0</v>
      </c>
      <c r="I36" s="557">
        <f t="shared" si="8"/>
        <v>0</v>
      </c>
      <c r="J36" s="608">
        <f t="shared" si="1"/>
        <v>0</v>
      </c>
      <c r="K36" s="721">
        <f>IFERROR(TBIn!E559,0)</f>
        <v>0</v>
      </c>
      <c r="L36" s="2574">
        <f>IFERROR(TBIn!E2131,0)</f>
        <v>0</v>
      </c>
      <c r="M36" s="2604">
        <f>IFERROR(TBIn!E2171,0)</f>
        <v>0</v>
      </c>
      <c r="N36" s="326">
        <f t="shared" si="9"/>
        <v>0</v>
      </c>
      <c r="O36" s="587">
        <f t="shared" si="2"/>
        <v>0</v>
      </c>
      <c r="P36" s="80">
        <v>33</v>
      </c>
      <c r="Q36" s="843">
        <v>0</v>
      </c>
      <c r="R36" s="843">
        <f t="shared" si="10"/>
        <v>0</v>
      </c>
      <c r="S36" s="843">
        <f t="shared" si="11"/>
        <v>0</v>
      </c>
      <c r="T36" s="843">
        <f t="shared" si="12"/>
        <v>0</v>
      </c>
      <c r="U36" s="843">
        <f t="shared" si="13"/>
        <v>0</v>
      </c>
    </row>
    <row r="37" spans="1:21" ht="16" customHeight="1">
      <c r="A37" s="80">
        <v>34</v>
      </c>
      <c r="B37" s="101" t="s">
        <v>127</v>
      </c>
      <c r="C37" s="1600" t="str">
        <f>OR_VEH!B436</f>
        <v>NE PAS UTILISER</v>
      </c>
      <c r="D37" s="1588"/>
      <c r="E37" s="779" t="s">
        <v>627</v>
      </c>
      <c r="F37" s="269">
        <f>IFERROR(IF(Flag=TRUE,K37-TBIn!E560,TBIn!D560),0)</f>
        <v>0</v>
      </c>
      <c r="G37" s="2599">
        <f>IFERROR(IF(Flag=TRUE,L37-TBIn!E2132,TBIn!D2132),0)</f>
        <v>0</v>
      </c>
      <c r="H37" s="2601">
        <f>IFERROR(IF(Flag=TRUE,M37-TBIn!E2172,TBIn!D2172),0)</f>
        <v>0</v>
      </c>
      <c r="I37" s="557">
        <f t="shared" si="8"/>
        <v>0</v>
      </c>
      <c r="J37" s="608">
        <f t="shared" si="1"/>
        <v>0</v>
      </c>
      <c r="K37" s="721">
        <f>IFERROR(TBIn!E560,0)</f>
        <v>0</v>
      </c>
      <c r="L37" s="2574">
        <f>IFERROR(TBIn!E2132,0)</f>
        <v>0</v>
      </c>
      <c r="M37" s="2604">
        <f>IFERROR(TBIn!E2172,0)</f>
        <v>0</v>
      </c>
      <c r="N37" s="326">
        <f t="shared" si="9"/>
        <v>0</v>
      </c>
      <c r="O37" s="587">
        <f t="shared" si="2"/>
        <v>0</v>
      </c>
      <c r="P37" s="80">
        <v>34</v>
      </c>
      <c r="Q37" s="843">
        <v>0</v>
      </c>
      <c r="R37" s="843">
        <f t="shared" si="10"/>
        <v>0</v>
      </c>
      <c r="S37" s="843">
        <f t="shared" si="11"/>
        <v>0</v>
      </c>
      <c r="T37" s="843">
        <f t="shared" si="12"/>
        <v>0</v>
      </c>
      <c r="U37" s="843">
        <f t="shared" si="13"/>
        <v>0</v>
      </c>
    </row>
    <row r="38" spans="1:21" ht="16" customHeight="1">
      <c r="A38" s="80">
        <v>35</v>
      </c>
      <c r="B38" s="101" t="s">
        <v>122</v>
      </c>
      <c r="C38" s="1600" t="str">
        <f>OR_VEH!B437</f>
        <v>NE PAS UTILISER</v>
      </c>
      <c r="D38" s="1588"/>
      <c r="E38" s="779" t="s">
        <v>628</v>
      </c>
      <c r="F38" s="269">
        <f>IFERROR(IF(Flag=TRUE,K38-TBIn!E561,TBIn!D561),0)</f>
        <v>0</v>
      </c>
      <c r="G38" s="2599">
        <f>IFERROR(IF(Flag=TRUE,L38-TBIn!E2133,TBIn!D2133),0)</f>
        <v>0</v>
      </c>
      <c r="H38" s="2601">
        <f>IFERROR(IF(Flag=TRUE,M38-TBIn!E2173,TBIn!D2173),0)</f>
        <v>0</v>
      </c>
      <c r="I38" s="557">
        <f t="shared" si="8"/>
        <v>0</v>
      </c>
      <c r="J38" s="608">
        <f t="shared" si="1"/>
        <v>0</v>
      </c>
      <c r="K38" s="721">
        <f>IFERROR(TBIn!E561,0)</f>
        <v>0</v>
      </c>
      <c r="L38" s="2574">
        <f>IFERROR(TBIn!E2133,0)</f>
        <v>0</v>
      </c>
      <c r="M38" s="2604">
        <f>IFERROR(TBIn!E2173,0)</f>
        <v>0</v>
      </c>
      <c r="N38" s="326">
        <f t="shared" si="9"/>
        <v>0</v>
      </c>
      <c r="O38" s="587">
        <f t="shared" si="2"/>
        <v>0</v>
      </c>
      <c r="P38" s="80">
        <v>35</v>
      </c>
      <c r="Q38" s="843">
        <v>0</v>
      </c>
      <c r="R38" s="843">
        <f t="shared" si="10"/>
        <v>0</v>
      </c>
      <c r="S38" s="843">
        <f t="shared" si="11"/>
        <v>0</v>
      </c>
      <c r="T38" s="843">
        <f t="shared" si="12"/>
        <v>0</v>
      </c>
      <c r="U38" s="843">
        <f t="shared" si="13"/>
        <v>0</v>
      </c>
    </row>
    <row r="39" spans="1:21" ht="16" customHeight="1">
      <c r="A39" s="80">
        <v>36</v>
      </c>
      <c r="B39" s="101" t="s">
        <v>118</v>
      </c>
      <c r="C39" s="1539" t="str">
        <f>OR_VEH!B438</f>
        <v>NE PAS UTILISER</v>
      </c>
      <c r="D39" s="1588"/>
      <c r="E39" s="779" t="s">
        <v>629</v>
      </c>
      <c r="F39" s="269">
        <f>IFERROR(IF(Flag=TRUE,K39-TBIn!E562,TBIn!D562),0)</f>
        <v>0</v>
      </c>
      <c r="G39" s="2599">
        <f>IFERROR(IF(Flag=TRUE,L39-TBIn!E2134,TBIn!D2134),0)</f>
        <v>0</v>
      </c>
      <c r="H39" s="2601">
        <f>IFERROR(IF(Flag=TRUE,M39-TBIn!E2174,TBIn!D2174),0)</f>
        <v>0</v>
      </c>
      <c r="I39" s="557">
        <f t="shared" si="8"/>
        <v>0</v>
      </c>
      <c r="J39" s="608">
        <f t="shared" si="1"/>
        <v>0</v>
      </c>
      <c r="K39" s="721">
        <f>IFERROR(TBIn!E562,0)</f>
        <v>0</v>
      </c>
      <c r="L39" s="2574">
        <f>IFERROR(TBIn!E2134,0)</f>
        <v>0</v>
      </c>
      <c r="M39" s="2604">
        <f>IFERROR(TBIn!E2174,0)</f>
        <v>0</v>
      </c>
      <c r="N39" s="326">
        <f t="shared" si="9"/>
        <v>0</v>
      </c>
      <c r="O39" s="587">
        <f t="shared" si="2"/>
        <v>0</v>
      </c>
      <c r="P39" s="80">
        <v>36</v>
      </c>
      <c r="Q39" s="843">
        <v>0</v>
      </c>
      <c r="R39" s="843">
        <f t="shared" si="10"/>
        <v>0</v>
      </c>
      <c r="S39" s="843">
        <f t="shared" si="11"/>
        <v>0</v>
      </c>
      <c r="T39" s="843">
        <f t="shared" si="12"/>
        <v>0</v>
      </c>
      <c r="U39" s="843">
        <f t="shared" si="13"/>
        <v>0</v>
      </c>
    </row>
    <row r="40" spans="1:21" ht="16" customHeight="1">
      <c r="A40" s="80">
        <v>37</v>
      </c>
      <c r="B40" s="101" t="s">
        <v>157</v>
      </c>
      <c r="C40" s="1600" t="str">
        <f>OR_VEH!B439</f>
        <v>NE PAS UTILISER</v>
      </c>
      <c r="D40" s="1588"/>
      <c r="E40" s="779" t="s">
        <v>630</v>
      </c>
      <c r="F40" s="269">
        <f>IFERROR(IF(Flag=TRUE,K40-TBIn!E563,TBIn!D563),0)</f>
        <v>0</v>
      </c>
      <c r="G40" s="2599">
        <f>IFERROR(IF(Flag=TRUE,L40-TBIn!E2135,TBIn!D2135),0)</f>
        <v>0</v>
      </c>
      <c r="H40" s="2601">
        <f>IFERROR(IF(Flag=TRUE,M40-TBIn!E2175,TBIn!D2175),0)</f>
        <v>0</v>
      </c>
      <c r="I40" s="557">
        <f t="shared" si="8"/>
        <v>0</v>
      </c>
      <c r="J40" s="608">
        <f t="shared" si="1"/>
        <v>0</v>
      </c>
      <c r="K40" s="721">
        <f>IFERROR(TBIn!E563,0)</f>
        <v>0</v>
      </c>
      <c r="L40" s="2574">
        <f>IFERROR(TBIn!E2135,0)</f>
        <v>0</v>
      </c>
      <c r="M40" s="2604">
        <f>IFERROR(TBIn!E2175,0)</f>
        <v>0</v>
      </c>
      <c r="N40" s="326">
        <f t="shared" si="9"/>
        <v>0</v>
      </c>
      <c r="O40" s="587">
        <f t="shared" si="2"/>
        <v>0</v>
      </c>
      <c r="P40" s="80">
        <v>37</v>
      </c>
      <c r="Q40" s="843">
        <v>0</v>
      </c>
      <c r="R40" s="843">
        <f t="shared" si="10"/>
        <v>0</v>
      </c>
      <c r="S40" s="843">
        <f t="shared" si="11"/>
        <v>0</v>
      </c>
      <c r="T40" s="843">
        <f t="shared" si="12"/>
        <v>0</v>
      </c>
      <c r="U40" s="843">
        <f t="shared" si="13"/>
        <v>0</v>
      </c>
    </row>
    <row r="41" spans="1:21" ht="16" customHeight="1">
      <c r="A41" s="80">
        <v>38</v>
      </c>
      <c r="B41" s="101" t="s">
        <v>124</v>
      </c>
      <c r="C41" s="1600" t="str">
        <f>OR_VEH!B440</f>
        <v>NE PAS UTILISER</v>
      </c>
      <c r="D41" s="1588"/>
      <c r="E41" s="779" t="s">
        <v>631</v>
      </c>
      <c r="F41" s="269">
        <f>IFERROR(IF(Flag=TRUE,K41-TBIn!E564,TBIn!D564),0)</f>
        <v>0</v>
      </c>
      <c r="G41" s="2599">
        <f>IFERROR(IF(Flag=TRUE,L41-TBIn!E2136,TBIn!D2136),0)</f>
        <v>0</v>
      </c>
      <c r="H41" s="2601">
        <f>IFERROR(IF(Flag=TRUE,M41-TBIn!E2176,TBIn!D2176),0)</f>
        <v>0</v>
      </c>
      <c r="I41" s="557">
        <f t="shared" si="8"/>
        <v>0</v>
      </c>
      <c r="J41" s="608">
        <f t="shared" si="1"/>
        <v>0</v>
      </c>
      <c r="K41" s="721">
        <f>IFERROR(TBIn!E564,0)</f>
        <v>0</v>
      </c>
      <c r="L41" s="2574">
        <f>IFERROR(TBIn!E2136,0)</f>
        <v>0</v>
      </c>
      <c r="M41" s="2604">
        <f>IFERROR(TBIn!E2176,0)</f>
        <v>0</v>
      </c>
      <c r="N41" s="326">
        <f t="shared" si="9"/>
        <v>0</v>
      </c>
      <c r="O41" s="587">
        <f t="shared" si="2"/>
        <v>0</v>
      </c>
      <c r="P41" s="80">
        <v>38</v>
      </c>
      <c r="Q41" s="843">
        <v>0</v>
      </c>
      <c r="R41" s="843">
        <f t="shared" si="10"/>
        <v>0</v>
      </c>
      <c r="S41" s="843">
        <f t="shared" si="11"/>
        <v>0</v>
      </c>
      <c r="T41" s="843">
        <f t="shared" si="12"/>
        <v>0</v>
      </c>
      <c r="U41" s="843">
        <f t="shared" si="13"/>
        <v>0</v>
      </c>
    </row>
    <row r="42" spans="1:21" ht="16" customHeight="1">
      <c r="A42" s="80">
        <v>39</v>
      </c>
      <c r="B42" s="101"/>
      <c r="C42" s="1600" t="str">
        <f>OR_VEH!B441</f>
        <v>POUR USAGE FUTUR</v>
      </c>
      <c r="D42" s="1588"/>
      <c r="E42" s="779" t="s">
        <v>632</v>
      </c>
      <c r="F42" s="269">
        <f>IFERROR(IF(Flag=TRUE,K42-TBIn!E565,TBIn!D565),0)</f>
        <v>0</v>
      </c>
      <c r="G42" s="2599">
        <f>IFERROR(IF(Flag=TRUE,L42-TBIn!E2137,TBIn!D2137),0)</f>
        <v>0</v>
      </c>
      <c r="H42" s="2601">
        <f>IFERROR(IF(Flag=TRUE,M42-TBIn!E2177,TBIn!D2177),0)</f>
        <v>0</v>
      </c>
      <c r="I42" s="557">
        <f t="shared" si="8"/>
        <v>0</v>
      </c>
      <c r="J42" s="608">
        <f t="shared" si="1"/>
        <v>0</v>
      </c>
      <c r="K42" s="721">
        <f>IFERROR(TBIn!E565,0)</f>
        <v>0</v>
      </c>
      <c r="L42" s="2574">
        <f>IFERROR(TBIn!E2137,0)</f>
        <v>0</v>
      </c>
      <c r="M42" s="2604">
        <f>IFERROR(TBIn!E2177,0)</f>
        <v>0</v>
      </c>
      <c r="N42" s="326">
        <f t="shared" si="9"/>
        <v>0</v>
      </c>
      <c r="O42" s="587">
        <f t="shared" si="2"/>
        <v>0</v>
      </c>
      <c r="P42" s="80">
        <v>39</v>
      </c>
      <c r="Q42" s="843">
        <v>0</v>
      </c>
      <c r="R42" s="843">
        <f t="shared" si="10"/>
        <v>0</v>
      </c>
      <c r="S42" s="843">
        <f t="shared" si="11"/>
        <v>0</v>
      </c>
      <c r="T42" s="843">
        <f t="shared" si="12"/>
        <v>0</v>
      </c>
      <c r="U42" s="843">
        <f t="shared" si="13"/>
        <v>0</v>
      </c>
    </row>
    <row r="43" spans="1:21" ht="16" customHeight="1">
      <c r="A43" s="80">
        <v>40</v>
      </c>
      <c r="B43" s="101"/>
      <c r="C43" s="1600" t="str">
        <f>OR_VEH!B442</f>
        <v>AUTRES POIDS MOYEN</v>
      </c>
      <c r="D43" s="1588"/>
      <c r="E43" s="779" t="s">
        <v>633</v>
      </c>
      <c r="F43" s="269">
        <f>IFERROR(IF(Flag=TRUE,K43-TBIn!E566,TBIn!D566),0)</f>
        <v>0</v>
      </c>
      <c r="G43" s="2599">
        <f>IFERROR(IF(Flag=TRUE,L43-TBIn!E2138,TBIn!D2138),0)</f>
        <v>0</v>
      </c>
      <c r="H43" s="2601">
        <f>IFERROR(IF(Flag=TRUE,M43-TBIn!E2178,TBIn!D2178),0)</f>
        <v>0</v>
      </c>
      <c r="I43" s="557">
        <f t="shared" si="8"/>
        <v>0</v>
      </c>
      <c r="J43" s="608">
        <f t="shared" si="1"/>
        <v>0</v>
      </c>
      <c r="K43" s="721">
        <f>IFERROR(TBIn!E566,0)</f>
        <v>0</v>
      </c>
      <c r="L43" s="2574">
        <f>IFERROR(TBIn!E2138,0)</f>
        <v>0</v>
      </c>
      <c r="M43" s="2604">
        <f>IFERROR(TBIn!E2178,0)</f>
        <v>0</v>
      </c>
      <c r="N43" s="326">
        <f t="shared" si="9"/>
        <v>0</v>
      </c>
      <c r="O43" s="587">
        <f t="shared" si="2"/>
        <v>0</v>
      </c>
      <c r="P43" s="80">
        <v>40</v>
      </c>
      <c r="Q43" s="843">
        <v>0</v>
      </c>
      <c r="R43" s="843">
        <f t="shared" si="10"/>
        <v>0</v>
      </c>
      <c r="S43" s="843">
        <f t="shared" si="11"/>
        <v>0</v>
      </c>
      <c r="T43" s="843">
        <f t="shared" si="12"/>
        <v>0</v>
      </c>
      <c r="U43" s="843">
        <f t="shared" si="13"/>
        <v>0</v>
      </c>
    </row>
    <row r="44" spans="1:21" ht="16" customHeight="1">
      <c r="A44" s="80">
        <v>41</v>
      </c>
      <c r="B44" s="101"/>
      <c r="C44" s="274" t="s">
        <v>162</v>
      </c>
      <c r="D44" s="264"/>
      <c r="E44" s="778"/>
      <c r="F44" s="715">
        <f>SUM(F28:F43)</f>
        <v>0</v>
      </c>
      <c r="G44" s="716">
        <f>SUM(G28:G43)</f>
        <v>0</v>
      </c>
      <c r="H44" s="716">
        <f>SUM(H28:H43)</f>
        <v>0</v>
      </c>
      <c r="I44" s="716">
        <f>SUM(I28:I43)</f>
        <v>0</v>
      </c>
      <c r="J44" s="132">
        <f t="shared" si="1"/>
        <v>0</v>
      </c>
      <c r="K44" s="2496">
        <f>SUM(K28:K43)</f>
        <v>0</v>
      </c>
      <c r="L44" s="949">
        <f>SUM(L28:L43)</f>
        <v>0</v>
      </c>
      <c r="M44" s="949">
        <f>SUM(M28:M43)</f>
        <v>0</v>
      </c>
      <c r="N44" s="716">
        <f>SUM(N28:N43)</f>
        <v>0</v>
      </c>
      <c r="O44" s="132">
        <f t="shared" si="2"/>
        <v>0</v>
      </c>
      <c r="P44" s="80">
        <v>41</v>
      </c>
      <c r="Q44" s="843"/>
      <c r="R44" s="843"/>
      <c r="S44" s="843"/>
      <c r="T44" s="843"/>
      <c r="U44" s="843"/>
    </row>
    <row r="45" spans="1:21" ht="16" customHeight="1">
      <c r="A45" s="80">
        <v>42</v>
      </c>
      <c r="B45" s="215"/>
      <c r="C45" s="1602" t="str">
        <f>OR_VEH!B444</f>
        <v>MÉMO* VENTES INTERNET CAMIONS</v>
      </c>
      <c r="D45" s="1592"/>
      <c r="E45" s="779" t="s">
        <v>634</v>
      </c>
      <c r="F45" s="269">
        <f>IFERROR(IF(Flag=TRUE,K45-TBIn!E567,TBIn!D567),0)</f>
        <v>0</v>
      </c>
      <c r="G45" s="2599">
        <f>IFERROR(IF(Flag=TRUE,L45-TBIn!$E$163,TBIn!$D$163),0)</f>
        <v>0</v>
      </c>
      <c r="H45" s="2601">
        <f>IFERROR(IF(Flag=TRUE,M45-TBIn!$E$183,TBIn!$D$183),0)</f>
        <v>0</v>
      </c>
      <c r="I45" s="557">
        <f>G45-H45</f>
        <v>0</v>
      </c>
      <c r="J45" s="608">
        <f t="shared" si="1"/>
        <v>0</v>
      </c>
      <c r="K45" s="721">
        <f>IFERROR(TBIn!E567,0)</f>
        <v>0</v>
      </c>
      <c r="L45" s="2574">
        <f>IFERROR(TBIn!$E$163,0)</f>
        <v>0</v>
      </c>
      <c r="M45" s="2604">
        <f>IFERROR(TBIn!$E$183,0)</f>
        <v>0</v>
      </c>
      <c r="N45" s="326">
        <f>L45-M45</f>
        <v>0</v>
      </c>
      <c r="O45" s="587">
        <f t="shared" si="2"/>
        <v>0</v>
      </c>
      <c r="P45" s="80">
        <v>42</v>
      </c>
      <c r="Q45" s="843">
        <v>0</v>
      </c>
      <c r="R45" s="843">
        <f>IF(F45=0,0,IF(G45/F45&gt;Q45,1,0))</f>
        <v>0</v>
      </c>
      <c r="S45" s="843">
        <f>IF(K45=0,0,IF(OR(L45&lt;0,L45/K45&gt;Q45),1,0))</f>
        <v>0</v>
      </c>
      <c r="T45" s="843">
        <f>IF(OR(F45&lt;0,AND(G45&gt;0,F45=0),AND(G45=0,F45&gt;0)),1,0)</f>
        <v>0</v>
      </c>
      <c r="U45" s="843">
        <f>IF(OR(K45&lt;0,AND(L45&gt;0,K45=0),AND(K45&gt;0,L45=0)),1,0)</f>
        <v>0</v>
      </c>
    </row>
    <row r="46" spans="1:21" ht="16" customHeight="1">
      <c r="A46" s="80">
        <v>43</v>
      </c>
      <c r="B46" s="101"/>
      <c r="C46" s="1605" t="str">
        <f>OR_VEH!B445</f>
        <v>TOTAL PARCS - CAMIONS</v>
      </c>
      <c r="D46" s="1595"/>
      <c r="E46" s="779" t="s">
        <v>635</v>
      </c>
      <c r="F46" s="269">
        <f>IFERROR(IF(Flag=TRUE,K46-TBIn!E568,TBIn!D568),0)</f>
        <v>0</v>
      </c>
      <c r="G46" s="2599">
        <f>IFERROR(IF(Flag=TRUE,L46-TBIn!E2139,TBIn!D2139),0)</f>
        <v>0</v>
      </c>
      <c r="H46" s="2599">
        <f>IFERROR(IF(Flag=TRUE,M46-TBIn!E2179,TBIn!D2179),0)</f>
        <v>0</v>
      </c>
      <c r="I46" s="552">
        <f>G46-H46</f>
        <v>0</v>
      </c>
      <c r="J46" s="608">
        <f t="shared" si="1"/>
        <v>0</v>
      </c>
      <c r="K46" s="721">
        <f>IFERROR(TBIn!E568,0)</f>
        <v>0</v>
      </c>
      <c r="L46" s="2574">
        <f>IFERROR(TBIn!E2139,0)</f>
        <v>0</v>
      </c>
      <c r="M46" s="2574">
        <f>IFERROR(TBIn!E2179,0)</f>
        <v>0</v>
      </c>
      <c r="N46" s="555">
        <f>L46-M46</f>
        <v>0</v>
      </c>
      <c r="O46" s="587">
        <f t="shared" si="2"/>
        <v>0</v>
      </c>
      <c r="P46" s="80">
        <v>43</v>
      </c>
      <c r="Q46" s="843">
        <v>0</v>
      </c>
      <c r="R46" s="843">
        <f>IF(F46=0,0,IF(G46/F46&gt;Q46,1,0))</f>
        <v>0</v>
      </c>
      <c r="S46" s="843">
        <f>IF(K46=0,0,IF(OR(L46&lt;0,L46/K46&gt;Q46),1,0))</f>
        <v>0</v>
      </c>
      <c r="T46" s="843">
        <f>IF(OR(F46&lt;0,AND(G46&gt;0,F46=0),AND(G46=0,F46&gt;0)),1,0)</f>
        <v>0</v>
      </c>
      <c r="U46" s="843">
        <f>IF(OR(K46&lt;0,AND(L46&gt;0,K46=0),AND(K46&gt;0,L46=0)),1,0)</f>
        <v>0</v>
      </c>
    </row>
    <row r="47" spans="1:21" ht="16" customHeight="1">
      <c r="A47" s="80">
        <v>44</v>
      </c>
      <c r="B47" s="215"/>
      <c r="C47" s="1606" t="str">
        <f>OR_VEH!B446</f>
        <v xml:space="preserve">TOTAL IINTERNE - CAMIONS </v>
      </c>
      <c r="D47" s="1608"/>
      <c r="E47" s="780" t="s">
        <v>636</v>
      </c>
      <c r="F47" s="269">
        <f>IFERROR(IF(Flag=TRUE,K47-TBIn!E569,TBIn!D569),0)</f>
        <v>0</v>
      </c>
      <c r="G47" s="2599">
        <f>IFERROR(IF(Flag=TRUE,L47-TBIn!E2140,TBIn!D2140),0)</f>
        <v>0</v>
      </c>
      <c r="H47" s="2599">
        <f>IFERROR(IF(Flag=TRUE,M47-TBIn!E2180,TBIn!D2180),0)</f>
        <v>0</v>
      </c>
      <c r="I47" s="552">
        <f>G47-H47</f>
        <v>0</v>
      </c>
      <c r="J47" s="608">
        <f t="shared" si="1"/>
        <v>0</v>
      </c>
      <c r="K47" s="721">
        <f>IFERROR(TBIn!E569,0)</f>
        <v>0</v>
      </c>
      <c r="L47" s="2574">
        <f>IFERROR(TBIn!E2140,0)</f>
        <v>0</v>
      </c>
      <c r="M47" s="2574">
        <f>IFERROR(TBIn!E2180,0)</f>
        <v>0</v>
      </c>
      <c r="N47" s="555">
        <f>L47-M47</f>
        <v>0</v>
      </c>
      <c r="O47" s="587">
        <f t="shared" si="2"/>
        <v>0</v>
      </c>
      <c r="P47" s="80">
        <v>44</v>
      </c>
      <c r="Q47" s="843">
        <v>0</v>
      </c>
      <c r="R47" s="843">
        <f>IF(F47=0,0,IF(G47/F47&gt;Q47,1,0))</f>
        <v>0</v>
      </c>
      <c r="S47" s="843">
        <f>IF(K47=0,0,IF(OR(L47&lt;0,L47/K47&gt;Q47),1,0))</f>
        <v>0</v>
      </c>
      <c r="T47" s="843">
        <f>IF(OR(F47&lt;0,AND(G47&gt;0,F47=0),AND(G47=0,F47&gt;0)),1,0)</f>
        <v>0</v>
      </c>
      <c r="U47" s="843">
        <f>IF(OR(K47&lt;0,AND(L47&gt;0,K47=0),AND(K47&gt;0,L47=0)),1,0)</f>
        <v>0</v>
      </c>
    </row>
    <row r="48" spans="1:21" ht="16" customHeight="1">
      <c r="A48" s="80">
        <v>45</v>
      </c>
      <c r="B48" s="241"/>
      <c r="C48" s="229" t="s">
        <v>165</v>
      </c>
      <c r="D48" s="210"/>
      <c r="E48" s="781"/>
      <c r="F48" s="715">
        <f>F44+F46+F47</f>
        <v>0</v>
      </c>
      <c r="G48" s="716">
        <f>G44+G46+G47</f>
        <v>0</v>
      </c>
      <c r="H48" s="716">
        <f>H44+H46+H47</f>
        <v>0</v>
      </c>
      <c r="I48" s="716">
        <f>I44+I46+I47</f>
        <v>0</v>
      </c>
      <c r="J48" s="132">
        <f t="shared" si="1"/>
        <v>0</v>
      </c>
      <c r="K48" s="2496">
        <f>K44+K46+K47</f>
        <v>0</v>
      </c>
      <c r="L48" s="949">
        <f>L44+L46+L47</f>
        <v>0</v>
      </c>
      <c r="M48" s="949">
        <f>M44+M46+M47</f>
        <v>0</v>
      </c>
      <c r="N48" s="716">
        <f>N44+N46+N47</f>
        <v>0</v>
      </c>
      <c r="O48" s="132">
        <f>IF(K48&gt;0,N48/K48,0)</f>
        <v>0</v>
      </c>
      <c r="P48" s="80">
        <v>45</v>
      </c>
      <c r="Q48" s="843"/>
      <c r="R48" s="843"/>
      <c r="S48" s="843"/>
      <c r="T48" s="843"/>
      <c r="U48" s="843"/>
    </row>
    <row r="49" spans="1:21" s="30" customFormat="1" ht="16" customHeight="1">
      <c r="A49" s="80">
        <v>46</v>
      </c>
      <c r="B49" s="96"/>
      <c r="C49" s="266"/>
      <c r="D49" s="262"/>
      <c r="E49" s="779" t="s">
        <v>637</v>
      </c>
      <c r="F49" s="1965"/>
      <c r="G49" s="2599"/>
      <c r="H49" s="2601"/>
      <c r="I49" s="557"/>
      <c r="J49" s="831"/>
      <c r="K49" s="2680"/>
      <c r="L49" s="2698"/>
      <c r="M49" s="2699"/>
      <c r="N49" s="326"/>
      <c r="O49" s="597"/>
      <c r="P49" s="80">
        <v>46</v>
      </c>
      <c r="Q49" s="712">
        <v>0</v>
      </c>
      <c r="R49" s="712">
        <f>IF(F49=0,0,IF(G49/F49&gt;Q49,1,0))</f>
        <v>0</v>
      </c>
      <c r="S49" s="712">
        <f>IF(K49=0,0,IF(OR(L49&lt;0,L49/K49&gt;Q49),1,0))</f>
        <v>0</v>
      </c>
      <c r="T49" s="712">
        <f>IF(OR(F49&lt;0,AND(G49&gt;0,F49=0),AND(G49=0,F49&gt;0)),1,0)</f>
        <v>0</v>
      </c>
      <c r="U49" s="712">
        <f>IF(OR(K49&lt;0,AND(L49&gt;0,K49=0),AND(K49&gt;0,L49=0)),1,0)</f>
        <v>0</v>
      </c>
    </row>
    <row r="50" spans="1:21" s="30" customFormat="1" ht="16" customHeight="1">
      <c r="A50" s="80">
        <v>47</v>
      </c>
      <c r="B50" s="96"/>
      <c r="C50" s="1600" t="str">
        <f>OR_VEH!B449</f>
        <v>ACCESSOIRES</v>
      </c>
      <c r="D50" s="1588"/>
      <c r="E50" s="779" t="s">
        <v>638</v>
      </c>
      <c r="F50" s="269">
        <f>IFERROR(IF(Flag=TRUE,K50-TBIn!E570,TBIn!D570),0)</f>
        <v>0</v>
      </c>
      <c r="G50" s="2599">
        <f>IFERROR(IF(Flag=TRUE,L50-TBIn!E2141,TBIn!D2141),0)</f>
        <v>0</v>
      </c>
      <c r="H50" s="2601">
        <f>IFERROR(IF(Flag=TRUE,M50-TBIn!E2181,TBIn!D2181),0)</f>
        <v>0</v>
      </c>
      <c r="I50" s="557">
        <f>G50-H50</f>
        <v>0</v>
      </c>
      <c r="J50" s="828">
        <f>IF(F51=0,0,I50/F$51)</f>
        <v>0</v>
      </c>
      <c r="K50" s="721">
        <f>IFERROR(TBIn!E570,0)</f>
        <v>0</v>
      </c>
      <c r="L50" s="2574">
        <f>IFERROR(TBIn!E2141,0)</f>
        <v>0</v>
      </c>
      <c r="M50" s="2604">
        <f>IFERROR(TBIn!E2181,0)</f>
        <v>0</v>
      </c>
      <c r="N50" s="326">
        <f>L50-M50</f>
        <v>0</v>
      </c>
      <c r="O50" s="830">
        <f>IF(K51=0,0,N50/K$51)</f>
        <v>0</v>
      </c>
      <c r="P50" s="80">
        <v>47</v>
      </c>
      <c r="Q50" s="712">
        <v>0</v>
      </c>
      <c r="R50" s="712">
        <f>IF(F50=0,0,IF(G50/F50&gt;Q50,1,0))</f>
        <v>0</v>
      </c>
      <c r="S50" s="712">
        <f>IF(K50=0,0,IF(OR(L50&lt;0,L50/K50&gt;Q50),1,0))</f>
        <v>0</v>
      </c>
      <c r="T50" s="712">
        <f>IF(OR(F50&lt;0,AND(G50&gt;0,F50=0),AND(G50=0,F50&gt;0)),1,0)</f>
        <v>0</v>
      </c>
      <c r="U50" s="712">
        <f>IF(OR(K50&lt;0,AND(L50&gt;0,K50=0),AND(K50&gt;0,L50=0)),1,0)</f>
        <v>0</v>
      </c>
    </row>
    <row r="51" spans="1:21" ht="16" customHeight="1">
      <c r="A51" s="179">
        <v>48</v>
      </c>
      <c r="B51" s="241"/>
      <c r="C51" s="229" t="s">
        <v>168</v>
      </c>
      <c r="D51" s="222"/>
      <c r="E51" s="216"/>
      <c r="F51" s="761">
        <f>IFERROR(IF(Flag=TRUE,F27+F48,TBIn!D571),0)</f>
        <v>0</v>
      </c>
      <c r="G51" s="716">
        <f>G27+G48+G50</f>
        <v>0</v>
      </c>
      <c r="H51" s="848">
        <f>H27+H48+H50</f>
        <v>0</v>
      </c>
      <c r="I51" s="1423">
        <f>IFERROR(IF(Flag=TRUE,I27+I48+I50,TBIn!D2182),0)</f>
        <v>0</v>
      </c>
      <c r="J51" s="1087">
        <f>IF(F51=0,0,I51/F$51)</f>
        <v>0</v>
      </c>
      <c r="K51" s="761">
        <f>IFERROR(IF(Flag=TRUE,K27+K48,TBIn!E571),0)</f>
        <v>0</v>
      </c>
      <c r="L51" s="716">
        <f>L27+L48+L50</f>
        <v>0</v>
      </c>
      <c r="M51" s="848">
        <f>M27+M48+M50</f>
        <v>0</v>
      </c>
      <c r="N51" s="1423">
        <f>IFERROR(IF(Flag=TRUE,N27+N48+N50,TBIn!E2182),0)</f>
        <v>0</v>
      </c>
      <c r="O51" s="1087">
        <f>IF(K51=0,0,N51/K$51)</f>
        <v>0</v>
      </c>
      <c r="P51" s="179">
        <v>48</v>
      </c>
      <c r="Q51" s="843"/>
      <c r="R51" s="843"/>
      <c r="S51" s="843"/>
      <c r="T51" s="843"/>
      <c r="U51" s="843"/>
    </row>
    <row r="52" spans="1:21" ht="16" customHeight="1">
      <c r="A52" s="76"/>
      <c r="B52" s="84" t="s">
        <v>169</v>
      </c>
      <c r="C52" s="84"/>
      <c r="D52" s="84"/>
      <c r="E52" s="84"/>
      <c r="F52" s="84"/>
      <c r="G52" s="84"/>
      <c r="H52" s="84"/>
      <c r="I52" s="76"/>
      <c r="J52" s="267" t="s">
        <v>170</v>
      </c>
      <c r="K52" s="76"/>
      <c r="L52" s="76"/>
      <c r="M52" s="76"/>
      <c r="N52" s="76"/>
      <c r="O52" s="267" t="s">
        <v>170</v>
      </c>
      <c r="P52" s="76"/>
      <c r="Q52" s="843"/>
      <c r="R52" s="843"/>
      <c r="S52" s="843"/>
      <c r="T52" s="843"/>
      <c r="U52" s="843"/>
    </row>
    <row r="53" spans="1:21" hidden="1">
      <c r="A53" s="3"/>
      <c r="B53" s="3"/>
      <c r="C53" s="3"/>
      <c r="D53" s="3"/>
      <c r="E53" s="3"/>
      <c r="F53" s="3"/>
      <c r="G53" s="3"/>
      <c r="H53" s="3"/>
      <c r="I53" s="16"/>
      <c r="J53" s="3"/>
      <c r="K53" s="3"/>
      <c r="L53" s="3"/>
      <c r="M53" s="3"/>
      <c r="N53" s="3"/>
      <c r="O53" s="3"/>
      <c r="P53" s="3"/>
    </row>
    <row r="54" spans="1:21" hidden="1">
      <c r="A54" s="3"/>
      <c r="B54" s="3"/>
      <c r="C54" s="3"/>
      <c r="E54" s="3"/>
      <c r="F54" s="3"/>
      <c r="G54" s="3"/>
      <c r="H54" s="3"/>
      <c r="I54" s="3"/>
      <c r="J54" s="3"/>
      <c r="K54" s="3"/>
      <c r="L54" s="3"/>
      <c r="M54" s="3"/>
      <c r="N54" s="3"/>
      <c r="O54" s="3"/>
      <c r="P54" s="3"/>
    </row>
    <row r="56" spans="1:21" hidden="1">
      <c r="D56" s="30" t="s">
        <v>171</v>
      </c>
      <c r="E56" s="1239" t="s">
        <v>88</v>
      </c>
      <c r="F56" s="30" t="s">
        <v>172</v>
      </c>
    </row>
    <row r="57" spans="1:21" hidden="1">
      <c r="D57" s="30" t="s">
        <v>173</v>
      </c>
      <c r="E57" s="1239" t="s">
        <v>88</v>
      </c>
      <c r="F57" s="30" t="s">
        <v>174</v>
      </c>
    </row>
    <row r="61" spans="1:21" ht="13" hidden="1">
      <c r="D61" s="1325"/>
      <c r="E61" s="30"/>
      <c r="F61" s="30"/>
      <c r="G61" s="30"/>
      <c r="H61" s="30"/>
      <c r="I61" s="30"/>
      <c r="J61" s="30"/>
      <c r="K61" s="30"/>
      <c r="L61" s="30"/>
    </row>
    <row r="62" spans="1:21" ht="13" hidden="1">
      <c r="D62" s="1325"/>
      <c r="E62" s="30"/>
      <c r="F62" s="30"/>
      <c r="G62" s="30"/>
      <c r="H62" s="30"/>
      <c r="I62" s="30"/>
      <c r="J62" s="30"/>
      <c r="K62" s="30"/>
      <c r="L62" s="30"/>
    </row>
  </sheetData>
  <sheetProtection algorithmName="SHA-512" hashValue="6o/SYYJfJzU68X6E655jx8vuGDJ38tIpXTaADoINZLmfWyMqQU6vM4Z7yfjPAWCsHS7+g9tF3OCdiYOLqGgHlw==" saltValue="wix5AP0ISISa+mCqfw8v/Q==" spinCount="100000" sheet="1" objects="1" scenarios="1"/>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F4:H22 K4:M22 F24:H26 K24:M26 F28:H43 K28:M43 F45:H47 K45:M47 F50:H50 K50:M50 F51 I51 K51 N51" xr:uid="{00000000-0002-0000-0E00-000000000000}">
      <formula1>-999999999999</formula1>
      <formula2>9999999999999</formula2>
    </dataValidation>
  </dataValidations>
  <hyperlinks>
    <hyperlink ref="C4" r:id="rId1" tooltip="Lien au Manuel des méthodes comptables GM" display="http://gm-ca-fr.acctmanual.com/New_Vehicle/400-418_Voitures_neuves_au_d_tail.htm" xr:uid="{00000000-0004-0000-0E00-000000000000}"/>
    <hyperlink ref="C24" r:id="rId2" tooltip="Lien au Manuel des méthodes comptables GM" display="http://gm-ca-fr.acctmanual.com/New_Vehicle/419_Voitures_neuves_Internet_(compte_m_mo).htm" xr:uid="{00000000-0004-0000-0E00-000001000000}"/>
    <hyperlink ref="C25" r:id="rId3" tooltip="Lien au Manuel des méthodes comptables GM" display="http://gm-ca-fr.acctmanual.com/New_Vehicle/420_Voitures_neuves_-_Parcs.htm" xr:uid="{00000000-0004-0000-0E00-000002000000}"/>
    <hyperlink ref="C26" r:id="rId4" tooltip="Lien au Manuel des méthodes comptables GM" display="http://gm-ca-fr.acctmanual.com/New_Vehicle/421_Voitures_neuves_-_Interne.htm" xr:uid="{00000000-0004-0000-0E00-000003000000}"/>
    <hyperlink ref="C28" r:id="rId5" tooltip="Lien au Manuel des méthodes comptables GM" display="http://gm-ca-fr.acctmanual.com/New_Vehicle/423-438_Camions_neufs_-_au_d_tail.htm" xr:uid="{00000000-0004-0000-0E00-000004000000}"/>
    <hyperlink ref="C45" r:id="rId6" tooltip="Lien au Manuel des méthodes comptables GM" display="http://gm-ca-fr.acctmanual.com/New_Vehicle/439_Camions_neufs_Internet_(compte_m_mo).htm" xr:uid="{00000000-0004-0000-0E00-000005000000}"/>
    <hyperlink ref="C46" r:id="rId7" tooltip="Lien au Manuel des méthodes comptables GM" display="http://gm-ca-fr.acctmanual.com/New_Vehicle/440_Camions_neufs_-_Parcs.htm" xr:uid="{00000000-0004-0000-0E00-000006000000}"/>
    <hyperlink ref="C47" r:id="rId8" tooltip="Lien au Manuel des méthodes comptables GM" display="http://gm-ca-fr.acctmanual.com/New_Vehicle/441_Camions_neufs_-_Interne.htm" xr:uid="{00000000-0004-0000-0E00-000007000000}"/>
    <hyperlink ref="C50" r:id="rId9" tooltip="Lien au Manuel des méthodes comptables GM" display="http://gm-ca-fr.acctmanual.com/New_Vehicle/457_Accessoires.htm" xr:uid="{00000000-0004-0000-0E00-000008000000}"/>
  </hyperlinks>
  <pageMargins left="0.25" right="0.25" top="0.25" bottom="0.25" header="0.5" footer="0.5"/>
  <pageSetup scale="63" orientation="portrait" horizontalDpi="180" verticalDpi="180"/>
  <headerFooter alignWithMargins="0"/>
  <drawing r:id="rId10"/>
  <legacyDrawing r:id="rId11"/>
  <controls>
    <mc:AlternateContent xmlns:mc="http://schemas.openxmlformats.org/markup-compatibility/2006">
      <mc:Choice Requires="x14">
        <control shapeId="23553" r:id="rId12" name="CommandButton5i">
          <controlPr defaultSize="0" print="0" autoFill="0" autoLine="0" r:id="rId13">
            <anchor moveWithCells="1">
              <from>
                <xdr:col>11</xdr:col>
                <xdr:colOff>381000</xdr:colOff>
                <xdr:row>0</xdr:row>
                <xdr:rowOff>0</xdr:rowOff>
              </from>
              <to>
                <xdr:col>12</xdr:col>
                <xdr:colOff>812800</xdr:colOff>
                <xdr:row>1</xdr:row>
                <xdr:rowOff>19050</xdr:rowOff>
              </to>
            </anchor>
          </controlPr>
        </control>
      </mc:Choice>
      <mc:Fallback>
        <control shapeId="23553" r:id="rId12" name="CommandButton5i"/>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5">
    <pageSetUpPr autoPageBreaks="0" fitToPage="1"/>
  </sheetPr>
  <dimension ref="A1:U62"/>
  <sheetViews>
    <sheetView showGridLines="0" showRowColHeaders="0" workbookViewId="0"/>
  </sheetViews>
  <sheetFormatPr baseColWidth="10" defaultColWidth="0" defaultRowHeight="12.5" zeroHeight="1"/>
  <cols>
    <col min="1" max="1" width="3.81640625" style="654" customWidth="1"/>
    <col min="2" max="2" width="2.81640625" style="654" customWidth="1"/>
    <col min="3" max="3" width="1.81640625" style="654" customWidth="1"/>
    <col min="4" max="4" width="19.81640625" style="654" customWidth="1"/>
    <col min="5" max="5" width="5.81640625" style="654" customWidth="1"/>
    <col min="6" max="6" width="8.81640625" style="654" customWidth="1"/>
    <col min="7" max="8" width="14.81640625" style="654" customWidth="1"/>
    <col min="9" max="9" width="13.81640625" style="654" customWidth="1"/>
    <col min="10" max="10" width="10.81640625" style="654" customWidth="1"/>
    <col min="11" max="11" width="8.81640625" style="654" customWidth="1"/>
    <col min="12" max="13" width="14.81640625" style="654" customWidth="1"/>
    <col min="14" max="14" width="13.81640625" style="654" customWidth="1"/>
    <col min="15" max="15" width="10.81640625" style="654" customWidth="1"/>
    <col min="16" max="16" width="3.81640625" style="654" customWidth="1"/>
    <col min="17" max="21" width="0" style="661" hidden="1" customWidth="1"/>
    <col min="22" max="22" width="0" style="654" hidden="1" customWidth="1"/>
    <col min="23" max="16384" width="0" style="654" hidden="1"/>
  </cols>
  <sheetData>
    <row r="1" spans="1:21" s="569" customFormat="1" ht="21" customHeight="1">
      <c r="A1" s="76"/>
      <c r="B1" s="2762" t="str">
        <f>OR_VEH!B452</f>
        <v>SANS OBJECT</v>
      </c>
      <c r="C1" s="2762"/>
      <c r="D1" s="2762"/>
      <c r="E1" s="257"/>
      <c r="F1" s="491" t="s">
        <v>92</v>
      </c>
      <c r="G1" s="60"/>
      <c r="H1" s="60"/>
      <c r="I1" s="60"/>
      <c r="J1" s="60"/>
      <c r="K1" s="60"/>
      <c r="L1" s="61"/>
      <c r="M1" s="61"/>
      <c r="N1" s="61"/>
      <c r="O1" s="641"/>
      <c r="P1" s="62" t="str">
        <f>TBIn!$E$2458&amp;" - "&amp;TBIn!$AH$10&amp;" - PAGE 5 SANS OBJECT"</f>
        <v>319719 - 202504 - PAGE 5 SANS OBJECT</v>
      </c>
      <c r="Q1" s="643" t="s">
        <v>93</v>
      </c>
      <c r="R1" s="643" t="s">
        <v>94</v>
      </c>
      <c r="S1" s="643" t="s">
        <v>95</v>
      </c>
      <c r="T1" s="643" t="s">
        <v>94</v>
      </c>
      <c r="U1" s="643" t="s">
        <v>95</v>
      </c>
    </row>
    <row r="2" spans="1:21" s="30" customFormat="1" ht="16" customHeight="1">
      <c r="A2" s="67" t="s">
        <v>1</v>
      </c>
      <c r="B2" s="199"/>
      <c r="C2" s="258"/>
      <c r="D2" s="259" t="s">
        <v>96</v>
      </c>
      <c r="E2" s="189" t="s">
        <v>97</v>
      </c>
      <c r="F2" s="1240"/>
      <c r="G2" s="1241" t="s">
        <v>7</v>
      </c>
      <c r="H2" s="1241"/>
      <c r="I2" s="1241"/>
      <c r="J2" s="1242"/>
      <c r="K2" s="1243"/>
      <c r="L2" s="347" t="s">
        <v>8</v>
      </c>
      <c r="M2" s="1244"/>
      <c r="N2" s="1244"/>
      <c r="O2" s="1245"/>
      <c r="P2" s="67" t="s">
        <v>1</v>
      </c>
      <c r="Q2" s="1247" t="s">
        <v>98</v>
      </c>
      <c r="R2" s="1247" t="s">
        <v>98</v>
      </c>
      <c r="S2" s="1247" t="s">
        <v>98</v>
      </c>
      <c r="T2" s="1247" t="s">
        <v>99</v>
      </c>
      <c r="U2" s="1247" t="s">
        <v>99</v>
      </c>
    </row>
    <row r="3" spans="1:21" s="30" customFormat="1" ht="16" customHeight="1">
      <c r="A3" s="71" t="s">
        <v>6</v>
      </c>
      <c r="B3" s="200"/>
      <c r="C3" s="260"/>
      <c r="D3" s="261" t="s">
        <v>100</v>
      </c>
      <c r="E3" s="195" t="s">
        <v>101</v>
      </c>
      <c r="F3" s="1232" t="s">
        <v>102</v>
      </c>
      <c r="G3" s="1233" t="s">
        <v>103</v>
      </c>
      <c r="H3" s="1233" t="s">
        <v>104</v>
      </c>
      <c r="I3" s="1233" t="s">
        <v>105</v>
      </c>
      <c r="J3" s="1234" t="s">
        <v>106</v>
      </c>
      <c r="K3" s="1235" t="s">
        <v>102</v>
      </c>
      <c r="L3" s="1236" t="s">
        <v>103</v>
      </c>
      <c r="M3" s="1236" t="s">
        <v>104</v>
      </c>
      <c r="N3" s="1236" t="s">
        <v>105</v>
      </c>
      <c r="O3" s="1237" t="s">
        <v>106</v>
      </c>
      <c r="P3" s="71" t="s">
        <v>6</v>
      </c>
      <c r="Q3" s="1247" t="s">
        <v>107</v>
      </c>
      <c r="R3" s="1247" t="s">
        <v>108</v>
      </c>
      <c r="S3" s="1247" t="s">
        <v>108</v>
      </c>
      <c r="T3" s="1247" t="s">
        <v>108</v>
      </c>
      <c r="U3" s="1247" t="s">
        <v>108</v>
      </c>
    </row>
    <row r="4" spans="1:21" s="569" customFormat="1" ht="16" customHeight="1">
      <c r="A4" s="74">
        <v>1</v>
      </c>
      <c r="B4" s="215"/>
      <c r="C4" s="1535" t="str">
        <f>OR_VEH!B453</f>
        <v>NE PAS UTILISER</v>
      </c>
      <c r="D4" s="1536"/>
      <c r="E4" s="1037" t="s">
        <v>639</v>
      </c>
      <c r="F4" s="268">
        <f>IFERROR(IF(Flag=TRUE,K4-TBIn!E572,TBIn!D572),0)</f>
        <v>0</v>
      </c>
      <c r="G4" s="2599">
        <f>IFERROR(IF(Flag=TRUE,L4-TBIn!E2183,TBIn!D2183),0)</f>
        <v>0</v>
      </c>
      <c r="H4" s="2598">
        <f>IFERROR(IF(Flag=TRUE,M4-TBIn!E2223,TBIn!D2223),0)</f>
        <v>0</v>
      </c>
      <c r="I4" s="551">
        <f t="shared" ref="I4:I22" si="0">G4-H4</f>
        <v>0</v>
      </c>
      <c r="J4" s="584">
        <f t="shared" ref="J4:J48" si="1">IF(F4&gt;0,I4/F4,0)</f>
        <v>0</v>
      </c>
      <c r="K4" s="720">
        <f>IFERROR(TBIn!E572,0)</f>
        <v>0</v>
      </c>
      <c r="L4" s="2602">
        <f>IFERROR(TBIn!E2183,0)</f>
        <v>0</v>
      </c>
      <c r="M4" s="2602">
        <f>IFERROR(TBIn!E2223,0)</f>
        <v>0</v>
      </c>
      <c r="N4" s="554">
        <f>L4-M4</f>
        <v>0</v>
      </c>
      <c r="O4" s="585">
        <f t="shared" ref="O4:O47" si="2">IF(K4&gt;0,N4/K4,0)</f>
        <v>0</v>
      </c>
      <c r="P4" s="74">
        <v>1</v>
      </c>
      <c r="Q4" s="656">
        <v>0</v>
      </c>
      <c r="R4" s="656">
        <f>IF(F4=0,0,IF(G4/F4&gt;Q4,1,0))</f>
        <v>0</v>
      </c>
      <c r="S4" s="656">
        <f>IF(K4=0,0,IF(OR(L4&lt;0,L4/K4&gt;Q4),1,0))</f>
        <v>0</v>
      </c>
      <c r="T4" s="656">
        <f>IF(OR(F4&lt;0,AND(G4&gt;0,F4=0),AND(G4=0,F4&gt;0)),1,0)</f>
        <v>0</v>
      </c>
      <c r="U4" s="656">
        <f>IF(OR(K4&lt;0,AND(L4&gt;0,K4=0),AND(K4&gt;0,L4=0)),1,0)</f>
        <v>0</v>
      </c>
    </row>
    <row r="5" spans="1:21" s="569" customFormat="1" ht="16" customHeight="1">
      <c r="A5" s="80">
        <v>2</v>
      </c>
      <c r="B5" s="275" t="s">
        <v>110</v>
      </c>
      <c r="C5" s="1539" t="str">
        <f>OR_VEH!B454</f>
        <v>NE PAS UTILISER</v>
      </c>
      <c r="D5" s="1588"/>
      <c r="E5" s="776" t="s">
        <v>640</v>
      </c>
      <c r="F5" s="269">
        <f>IFERROR(IF(Flag=TRUE,K5-TBIn!E573,TBIn!D573),0)</f>
        <v>0</v>
      </c>
      <c r="G5" s="2599">
        <f>IFERROR(IF(Flag=TRUE,L5-TBIn!E2184,TBIn!D2184),0)</f>
        <v>0</v>
      </c>
      <c r="H5" s="2599">
        <f>IFERROR(IF(Flag=TRUE,M5-TBIn!E2224,TBIn!D2224),0)</f>
        <v>0</v>
      </c>
      <c r="I5" s="552">
        <f t="shared" si="0"/>
        <v>0</v>
      </c>
      <c r="J5" s="608">
        <f t="shared" si="1"/>
        <v>0</v>
      </c>
      <c r="K5" s="721">
        <f>IFERROR(TBIn!E573,0)</f>
        <v>0</v>
      </c>
      <c r="L5" s="2574">
        <f>IFERROR(TBIn!E2184,0)</f>
        <v>0</v>
      </c>
      <c r="M5" s="2574">
        <f>IFERROR(TBIn!E2224,0)</f>
        <v>0</v>
      </c>
      <c r="N5" s="555">
        <f t="shared" ref="N5:N22" si="3">L5-M5</f>
        <v>0</v>
      </c>
      <c r="O5" s="587">
        <f t="shared" si="2"/>
        <v>0</v>
      </c>
      <c r="P5" s="80">
        <v>2</v>
      </c>
      <c r="Q5" s="656">
        <v>0</v>
      </c>
      <c r="R5" s="656">
        <f t="shared" ref="R5:R22" si="4">IF(F5=0,0,IF(G5/F5&gt;Q5,1,0))</f>
        <v>0</v>
      </c>
      <c r="S5" s="656">
        <f t="shared" ref="S5:S22" si="5">IF(K5=0,0,IF(L5/K5&gt;Q5,1,0))</f>
        <v>0</v>
      </c>
      <c r="T5" s="656">
        <f t="shared" ref="T5:T22" si="6">IF(OR(F5&lt;0,AND(G5&gt;0,F5=0),AND(G5=0,F5&gt;0)),1,0)</f>
        <v>0</v>
      </c>
      <c r="U5" s="656">
        <f t="shared" ref="U5:U22" si="7">IF(OR(K5&lt;0,AND(L5&gt;0,K5=0),AND(K5&gt;0,L5=0)),1,0)</f>
        <v>0</v>
      </c>
    </row>
    <row r="6" spans="1:21" s="569" customFormat="1" ht="15.75" customHeight="1">
      <c r="A6" s="80">
        <v>3</v>
      </c>
      <c r="B6" s="275" t="s">
        <v>112</v>
      </c>
      <c r="C6" s="1539" t="str">
        <f>OR_VEH!B455</f>
        <v>NE PAS UTILISER</v>
      </c>
      <c r="D6" s="1588"/>
      <c r="E6" s="776" t="s">
        <v>641</v>
      </c>
      <c r="F6" s="269">
        <f>IFERROR(IF(Flag=TRUE,K6-TBIn!E574,TBIn!D574),0)</f>
        <v>0</v>
      </c>
      <c r="G6" s="2599">
        <f>IFERROR(IF(Flag=TRUE,L6-TBIn!E2185,TBIn!D2185),0)</f>
        <v>0</v>
      </c>
      <c r="H6" s="2599">
        <f>IFERROR(IF(Flag=TRUE,M6-TBIn!E2225,TBIn!D2225),0)</f>
        <v>0</v>
      </c>
      <c r="I6" s="552">
        <f t="shared" si="0"/>
        <v>0</v>
      </c>
      <c r="J6" s="608">
        <f t="shared" si="1"/>
        <v>0</v>
      </c>
      <c r="K6" s="721">
        <f>IFERROR(TBIn!E574,0)</f>
        <v>0</v>
      </c>
      <c r="L6" s="2574">
        <f>IFERROR(TBIn!E2185,0)</f>
        <v>0</v>
      </c>
      <c r="M6" s="2574">
        <f>IFERROR(TBIn!E2225,0)</f>
        <v>0</v>
      </c>
      <c r="N6" s="555">
        <f t="shared" si="3"/>
        <v>0</v>
      </c>
      <c r="O6" s="587">
        <f t="shared" si="2"/>
        <v>0</v>
      </c>
      <c r="P6" s="80">
        <v>3</v>
      </c>
      <c r="Q6" s="656">
        <v>0</v>
      </c>
      <c r="R6" s="656">
        <f t="shared" si="4"/>
        <v>0</v>
      </c>
      <c r="S6" s="656">
        <f t="shared" si="5"/>
        <v>0</v>
      </c>
      <c r="T6" s="656">
        <f t="shared" si="6"/>
        <v>0</v>
      </c>
      <c r="U6" s="656">
        <f t="shared" si="7"/>
        <v>0</v>
      </c>
    </row>
    <row r="7" spans="1:21" s="569" customFormat="1" ht="15.75" customHeight="1">
      <c r="A7" s="80">
        <v>4</v>
      </c>
      <c r="B7" s="275" t="s">
        <v>114</v>
      </c>
      <c r="C7" s="1539" t="str">
        <f>OR_VEH!B456</f>
        <v>NE PAS UTILISER</v>
      </c>
      <c r="D7" s="1588"/>
      <c r="E7" s="776" t="s">
        <v>642</v>
      </c>
      <c r="F7" s="269">
        <f>IFERROR(IF(Flag=TRUE,K7-TBIn!E575,TBIn!D575),0)</f>
        <v>0</v>
      </c>
      <c r="G7" s="2599">
        <f>IFERROR(IF(Flag=TRUE,L7-TBIn!E2186,TBIn!D2186),0)</f>
        <v>0</v>
      </c>
      <c r="H7" s="2599">
        <f>IFERROR(IF(Flag=TRUE,M7-TBIn!E2226,TBIn!D2226),0)</f>
        <v>0</v>
      </c>
      <c r="I7" s="552">
        <f t="shared" si="0"/>
        <v>0</v>
      </c>
      <c r="J7" s="608">
        <f t="shared" si="1"/>
        <v>0</v>
      </c>
      <c r="K7" s="721">
        <f>IFERROR(TBIn!E575,0)</f>
        <v>0</v>
      </c>
      <c r="L7" s="2574">
        <f>IFERROR(TBIn!E2186,0)</f>
        <v>0</v>
      </c>
      <c r="M7" s="2574">
        <f>IFERROR(TBIn!E2226,0)</f>
        <v>0</v>
      </c>
      <c r="N7" s="555">
        <f t="shared" si="3"/>
        <v>0</v>
      </c>
      <c r="O7" s="587">
        <f t="shared" si="2"/>
        <v>0</v>
      </c>
      <c r="P7" s="80">
        <v>4</v>
      </c>
      <c r="Q7" s="656">
        <v>0</v>
      </c>
      <c r="R7" s="656">
        <f t="shared" si="4"/>
        <v>0</v>
      </c>
      <c r="S7" s="656">
        <f t="shared" si="5"/>
        <v>0</v>
      </c>
      <c r="T7" s="656">
        <f t="shared" si="6"/>
        <v>0</v>
      </c>
      <c r="U7" s="656">
        <f t="shared" si="7"/>
        <v>0</v>
      </c>
    </row>
    <row r="8" spans="1:21" s="569" customFormat="1" ht="15.75" customHeight="1">
      <c r="A8" s="80">
        <v>5</v>
      </c>
      <c r="B8" s="275" t="s">
        <v>116</v>
      </c>
      <c r="C8" s="1539" t="str">
        <f>OR_VEH!B457</f>
        <v>NE PAS UTILISER</v>
      </c>
      <c r="D8" s="1588"/>
      <c r="E8" s="776" t="s">
        <v>643</v>
      </c>
      <c r="F8" s="269">
        <f>IFERROR(IF(Flag=TRUE,K8-TBIn!E576,TBIn!D576),0)</f>
        <v>0</v>
      </c>
      <c r="G8" s="2599">
        <f>IFERROR(IF(Flag=TRUE,L8-TBIn!E2187,TBIn!D2187),0)</f>
        <v>0</v>
      </c>
      <c r="H8" s="2599">
        <f>IFERROR(IF(Flag=TRUE,M8-TBIn!E2227,TBIn!D2227),0)</f>
        <v>0</v>
      </c>
      <c r="I8" s="552">
        <f t="shared" si="0"/>
        <v>0</v>
      </c>
      <c r="J8" s="608">
        <f t="shared" si="1"/>
        <v>0</v>
      </c>
      <c r="K8" s="721">
        <f>IFERROR(TBIn!E576,0)</f>
        <v>0</v>
      </c>
      <c r="L8" s="2574">
        <f>IFERROR(TBIn!E2187,0)</f>
        <v>0</v>
      </c>
      <c r="M8" s="2574">
        <f>IFERROR(TBIn!E2227,0)</f>
        <v>0</v>
      </c>
      <c r="N8" s="555">
        <f t="shared" si="3"/>
        <v>0</v>
      </c>
      <c r="O8" s="587">
        <f t="shared" si="2"/>
        <v>0</v>
      </c>
      <c r="P8" s="80">
        <v>5</v>
      </c>
      <c r="Q8" s="656">
        <v>0</v>
      </c>
      <c r="R8" s="656">
        <f t="shared" si="4"/>
        <v>0</v>
      </c>
      <c r="S8" s="656">
        <f t="shared" si="5"/>
        <v>0</v>
      </c>
      <c r="T8" s="656">
        <f t="shared" si="6"/>
        <v>0</v>
      </c>
      <c r="U8" s="656">
        <f t="shared" si="7"/>
        <v>0</v>
      </c>
    </row>
    <row r="9" spans="1:21" s="569" customFormat="1" ht="15.75" customHeight="1">
      <c r="A9" s="80">
        <v>6</v>
      </c>
      <c r="B9" s="275" t="s">
        <v>118</v>
      </c>
      <c r="C9" s="1539" t="str">
        <f>OR_VEH!B458</f>
        <v>NE PAS UTILISER</v>
      </c>
      <c r="D9" s="1588"/>
      <c r="E9" s="776" t="s">
        <v>644</v>
      </c>
      <c r="F9" s="269">
        <f>IFERROR(IF(Flag=TRUE,K9-TBIn!E577,TBIn!D577),0)</f>
        <v>0</v>
      </c>
      <c r="G9" s="2599">
        <f>IFERROR(IF(Flag=TRUE,L9-TBIn!E2188,TBIn!D2188),0)</f>
        <v>0</v>
      </c>
      <c r="H9" s="2599">
        <f>IFERROR(IF(Flag=TRUE,M9-TBIn!E2228,TBIn!D2228),0)</f>
        <v>0</v>
      </c>
      <c r="I9" s="552">
        <f t="shared" si="0"/>
        <v>0</v>
      </c>
      <c r="J9" s="608">
        <f t="shared" si="1"/>
        <v>0</v>
      </c>
      <c r="K9" s="721">
        <f>IFERROR(TBIn!E577,0)</f>
        <v>0</v>
      </c>
      <c r="L9" s="2574">
        <f>IFERROR(TBIn!E2188,0)</f>
        <v>0</v>
      </c>
      <c r="M9" s="2574">
        <f>IFERROR(TBIn!E2228,0)</f>
        <v>0</v>
      </c>
      <c r="N9" s="555">
        <f t="shared" si="3"/>
        <v>0</v>
      </c>
      <c r="O9" s="587">
        <f t="shared" si="2"/>
        <v>0</v>
      </c>
      <c r="P9" s="80">
        <v>6</v>
      </c>
      <c r="Q9" s="656">
        <v>0</v>
      </c>
      <c r="R9" s="656">
        <f t="shared" si="4"/>
        <v>0</v>
      </c>
      <c r="S9" s="656">
        <f t="shared" si="5"/>
        <v>0</v>
      </c>
      <c r="T9" s="656">
        <f t="shared" si="6"/>
        <v>0</v>
      </c>
      <c r="U9" s="656">
        <f t="shared" si="7"/>
        <v>0</v>
      </c>
    </row>
    <row r="10" spans="1:21" s="569" customFormat="1" ht="15.75" customHeight="1">
      <c r="A10" s="80">
        <v>7</v>
      </c>
      <c r="B10" s="101" t="s">
        <v>120</v>
      </c>
      <c r="C10" s="1539" t="str">
        <f>OR_VEH!B459</f>
        <v>NE PAS UTILISER</v>
      </c>
      <c r="D10" s="1588"/>
      <c r="E10" s="776" t="s">
        <v>645</v>
      </c>
      <c r="F10" s="269">
        <f>IFERROR(IF(Flag=TRUE,K10-TBIn!E578,TBIn!D578),0)</f>
        <v>0</v>
      </c>
      <c r="G10" s="2599">
        <f>IFERROR(IF(Flag=TRUE,L10-TBIn!E2189,TBIn!D2189),0)</f>
        <v>0</v>
      </c>
      <c r="H10" s="2599">
        <f>IFERROR(IF(Flag=TRUE,M10-TBIn!E2229,TBIn!D2229),0)</f>
        <v>0</v>
      </c>
      <c r="I10" s="552">
        <f t="shared" si="0"/>
        <v>0</v>
      </c>
      <c r="J10" s="608">
        <f t="shared" si="1"/>
        <v>0</v>
      </c>
      <c r="K10" s="721">
        <f>IFERROR(TBIn!E578,0)</f>
        <v>0</v>
      </c>
      <c r="L10" s="2574">
        <f>IFERROR(TBIn!E2189,0)</f>
        <v>0</v>
      </c>
      <c r="M10" s="2574">
        <f>IFERROR(TBIn!E2229,0)</f>
        <v>0</v>
      </c>
      <c r="N10" s="555">
        <f t="shared" si="3"/>
        <v>0</v>
      </c>
      <c r="O10" s="587">
        <f t="shared" si="2"/>
        <v>0</v>
      </c>
      <c r="P10" s="80">
        <v>7</v>
      </c>
      <c r="Q10" s="656">
        <v>0</v>
      </c>
      <c r="R10" s="656">
        <f t="shared" si="4"/>
        <v>0</v>
      </c>
      <c r="S10" s="656">
        <f t="shared" si="5"/>
        <v>0</v>
      </c>
      <c r="T10" s="656">
        <f t="shared" si="6"/>
        <v>0</v>
      </c>
      <c r="U10" s="656">
        <f t="shared" si="7"/>
        <v>0</v>
      </c>
    </row>
    <row r="11" spans="1:21" s="569" customFormat="1" ht="15.75" customHeight="1">
      <c r="A11" s="80">
        <v>8</v>
      </c>
      <c r="B11" s="101" t="s">
        <v>122</v>
      </c>
      <c r="C11" s="1539" t="str">
        <f>OR_VEH!B460</f>
        <v>NE PAS UTILISER</v>
      </c>
      <c r="D11" s="1588"/>
      <c r="E11" s="776" t="s">
        <v>646</v>
      </c>
      <c r="F11" s="269">
        <f>IFERROR(IF(Flag=TRUE,K11-TBIn!E579,TBIn!D579),0)</f>
        <v>0</v>
      </c>
      <c r="G11" s="2599">
        <f>IFERROR(IF(Flag=TRUE,L11-TBIn!E2190,TBIn!D2190),0)</f>
        <v>0</v>
      </c>
      <c r="H11" s="2599">
        <f>IFERROR(IF(Flag=TRUE,M11-TBIn!E2230,TBIn!D2230),0)</f>
        <v>0</v>
      </c>
      <c r="I11" s="552">
        <f t="shared" si="0"/>
        <v>0</v>
      </c>
      <c r="J11" s="608">
        <f t="shared" si="1"/>
        <v>0</v>
      </c>
      <c r="K11" s="721">
        <f>IFERROR(TBIn!E579,0)</f>
        <v>0</v>
      </c>
      <c r="L11" s="2574">
        <f>IFERROR(TBIn!E2190,0)</f>
        <v>0</v>
      </c>
      <c r="M11" s="2574">
        <f>IFERROR(TBIn!E2230,0)</f>
        <v>0</v>
      </c>
      <c r="N11" s="555">
        <f t="shared" si="3"/>
        <v>0</v>
      </c>
      <c r="O11" s="587">
        <f t="shared" si="2"/>
        <v>0</v>
      </c>
      <c r="P11" s="80">
        <v>8</v>
      </c>
      <c r="Q11" s="656">
        <v>0</v>
      </c>
      <c r="R11" s="656">
        <f t="shared" si="4"/>
        <v>0</v>
      </c>
      <c r="S11" s="656">
        <f t="shared" si="5"/>
        <v>0</v>
      </c>
      <c r="T11" s="656">
        <f t="shared" si="6"/>
        <v>0</v>
      </c>
      <c r="U11" s="656">
        <f t="shared" si="7"/>
        <v>0</v>
      </c>
    </row>
    <row r="12" spans="1:21" s="569" customFormat="1" ht="15.75" customHeight="1">
      <c r="A12" s="80">
        <v>9</v>
      </c>
      <c r="B12" s="101" t="s">
        <v>124</v>
      </c>
      <c r="C12" s="1539" t="str">
        <f>OR_VEH!B461</f>
        <v>NE PAS UTILISER</v>
      </c>
      <c r="D12" s="1588"/>
      <c r="E12" s="776" t="s">
        <v>647</v>
      </c>
      <c r="F12" s="269">
        <f>IFERROR(IF(Flag=TRUE,K12-TBIn!E580,TBIn!D580),0)</f>
        <v>0</v>
      </c>
      <c r="G12" s="2599">
        <f>IFERROR(IF(Flag=TRUE,L12-TBIn!E2191,TBIn!D2191),0)</f>
        <v>0</v>
      </c>
      <c r="H12" s="2599">
        <f>IFERROR(IF(Flag=TRUE,M12-TBIn!E2231,TBIn!D2231),0)</f>
        <v>0</v>
      </c>
      <c r="I12" s="552">
        <f t="shared" si="0"/>
        <v>0</v>
      </c>
      <c r="J12" s="608">
        <f t="shared" si="1"/>
        <v>0</v>
      </c>
      <c r="K12" s="721">
        <f>IFERROR(TBIn!E580,0)</f>
        <v>0</v>
      </c>
      <c r="L12" s="2574">
        <f>IFERROR(TBIn!E2191,0)</f>
        <v>0</v>
      </c>
      <c r="M12" s="2574">
        <f>IFERROR(TBIn!E2231,0)</f>
        <v>0</v>
      </c>
      <c r="N12" s="555">
        <f t="shared" si="3"/>
        <v>0</v>
      </c>
      <c r="O12" s="587">
        <f t="shared" si="2"/>
        <v>0</v>
      </c>
      <c r="P12" s="80">
        <v>9</v>
      </c>
      <c r="Q12" s="656">
        <v>0</v>
      </c>
      <c r="R12" s="656">
        <f t="shared" si="4"/>
        <v>0</v>
      </c>
      <c r="S12" s="656">
        <f t="shared" si="5"/>
        <v>0</v>
      </c>
      <c r="T12" s="656">
        <f t="shared" si="6"/>
        <v>0</v>
      </c>
      <c r="U12" s="656">
        <f t="shared" si="7"/>
        <v>0</v>
      </c>
    </row>
    <row r="13" spans="1:21" s="569" customFormat="1" ht="15.75" customHeight="1">
      <c r="A13" s="80">
        <v>10</v>
      </c>
      <c r="B13" s="101"/>
      <c r="C13" s="1539" t="str">
        <f>OR_VEH!B462</f>
        <v>NE PAS UTILISER</v>
      </c>
      <c r="D13" s="1588"/>
      <c r="E13" s="776" t="s">
        <v>648</v>
      </c>
      <c r="F13" s="269">
        <f>IFERROR(IF(Flag=TRUE,K13-TBIn!E581,TBIn!D581),0)</f>
        <v>0</v>
      </c>
      <c r="G13" s="2599">
        <f>IFERROR(IF(Flag=TRUE,L13-TBIn!E2192,TBIn!D2192),0)</f>
        <v>0</v>
      </c>
      <c r="H13" s="2599">
        <f>IFERROR(IF(Flag=TRUE,M13-TBIn!E2232,TBIn!D2232),0)</f>
        <v>0</v>
      </c>
      <c r="I13" s="552">
        <f t="shared" si="0"/>
        <v>0</v>
      </c>
      <c r="J13" s="608">
        <f t="shared" si="1"/>
        <v>0</v>
      </c>
      <c r="K13" s="721">
        <f>IFERROR(TBIn!E581,0)</f>
        <v>0</v>
      </c>
      <c r="L13" s="2574">
        <f>IFERROR(TBIn!E2192,0)</f>
        <v>0</v>
      </c>
      <c r="M13" s="2574">
        <f>IFERROR(TBIn!E2232,0)</f>
        <v>0</v>
      </c>
      <c r="N13" s="555">
        <f t="shared" si="3"/>
        <v>0</v>
      </c>
      <c r="O13" s="587">
        <f t="shared" si="2"/>
        <v>0</v>
      </c>
      <c r="P13" s="80">
        <v>10</v>
      </c>
      <c r="Q13" s="656">
        <v>0</v>
      </c>
      <c r="R13" s="656">
        <f t="shared" si="4"/>
        <v>0</v>
      </c>
      <c r="S13" s="656">
        <f t="shared" si="5"/>
        <v>0</v>
      </c>
      <c r="T13" s="656">
        <f t="shared" si="6"/>
        <v>0</v>
      </c>
      <c r="U13" s="656">
        <f t="shared" si="7"/>
        <v>0</v>
      </c>
    </row>
    <row r="14" spans="1:21" s="569" customFormat="1" ht="15.75" customHeight="1">
      <c r="A14" s="80">
        <v>11</v>
      </c>
      <c r="B14" s="101" t="s">
        <v>127</v>
      </c>
      <c r="C14" s="1539" t="str">
        <f>OR_VEH!B463</f>
        <v>NE PAS UTILISER</v>
      </c>
      <c r="D14" s="1588"/>
      <c r="E14" s="776" t="s">
        <v>649</v>
      </c>
      <c r="F14" s="269">
        <f>IFERROR(IF(Flag=TRUE,K14-TBIn!E582,TBIn!D582),0)</f>
        <v>0</v>
      </c>
      <c r="G14" s="2599">
        <f>IFERROR(IF(Flag=TRUE,L14-TBIn!E2193,TBIn!D2193),0)</f>
        <v>0</v>
      </c>
      <c r="H14" s="2599">
        <f>IFERROR(IF(Flag=TRUE,M14-TBIn!E2233,TBIn!D2233),0)</f>
        <v>0</v>
      </c>
      <c r="I14" s="552">
        <f t="shared" si="0"/>
        <v>0</v>
      </c>
      <c r="J14" s="608">
        <f t="shared" si="1"/>
        <v>0</v>
      </c>
      <c r="K14" s="721">
        <f>IFERROR(TBIn!E582,0)</f>
        <v>0</v>
      </c>
      <c r="L14" s="2574">
        <f>IFERROR(TBIn!E2193,0)</f>
        <v>0</v>
      </c>
      <c r="M14" s="2574">
        <f>IFERROR(TBIn!E2233,0)</f>
        <v>0</v>
      </c>
      <c r="N14" s="555">
        <f t="shared" si="3"/>
        <v>0</v>
      </c>
      <c r="O14" s="587">
        <f t="shared" si="2"/>
        <v>0</v>
      </c>
      <c r="P14" s="80">
        <v>11</v>
      </c>
      <c r="Q14" s="656">
        <v>0</v>
      </c>
      <c r="R14" s="656">
        <f t="shared" si="4"/>
        <v>0</v>
      </c>
      <c r="S14" s="656">
        <f t="shared" si="5"/>
        <v>0</v>
      </c>
      <c r="T14" s="656">
        <f t="shared" si="6"/>
        <v>0</v>
      </c>
      <c r="U14" s="656">
        <f t="shared" si="7"/>
        <v>0</v>
      </c>
    </row>
    <row r="15" spans="1:21" s="569" customFormat="1" ht="15.75" customHeight="1">
      <c r="A15" s="80">
        <v>12</v>
      </c>
      <c r="B15" s="101" t="s">
        <v>122</v>
      </c>
      <c r="C15" s="1539" t="str">
        <f>OR_VEH!B464</f>
        <v>NE PAS UTILISER</v>
      </c>
      <c r="D15" s="1588"/>
      <c r="E15" s="776" t="s">
        <v>650</v>
      </c>
      <c r="F15" s="269">
        <f>IFERROR(IF(Flag=TRUE,K15-TBIn!E583,TBIn!D583),0)</f>
        <v>0</v>
      </c>
      <c r="G15" s="2599">
        <f>IFERROR(IF(Flag=TRUE,L15-TBIn!E2194,TBIn!D2194),0)</f>
        <v>0</v>
      </c>
      <c r="H15" s="2599">
        <f>IFERROR(IF(Flag=TRUE,M15-TBIn!E2234,TBIn!D2234),0)</f>
        <v>0</v>
      </c>
      <c r="I15" s="552">
        <f t="shared" si="0"/>
        <v>0</v>
      </c>
      <c r="J15" s="608">
        <f t="shared" si="1"/>
        <v>0</v>
      </c>
      <c r="K15" s="721">
        <f>IFERROR(TBIn!E583,0)</f>
        <v>0</v>
      </c>
      <c r="L15" s="2574">
        <f>IFERROR(TBIn!E2194,0)</f>
        <v>0</v>
      </c>
      <c r="M15" s="2574">
        <f>IFERROR(TBIn!E2234,0)</f>
        <v>0</v>
      </c>
      <c r="N15" s="555">
        <f t="shared" si="3"/>
        <v>0</v>
      </c>
      <c r="O15" s="587">
        <f t="shared" si="2"/>
        <v>0</v>
      </c>
      <c r="P15" s="80">
        <v>12</v>
      </c>
      <c r="Q15" s="656">
        <v>0</v>
      </c>
      <c r="R15" s="656">
        <f t="shared" si="4"/>
        <v>0</v>
      </c>
      <c r="S15" s="656">
        <f t="shared" si="5"/>
        <v>0</v>
      </c>
      <c r="T15" s="656">
        <f t="shared" si="6"/>
        <v>0</v>
      </c>
      <c r="U15" s="656">
        <f t="shared" si="7"/>
        <v>0</v>
      </c>
    </row>
    <row r="16" spans="1:21" s="569" customFormat="1" ht="15.75" customHeight="1">
      <c r="A16" s="80">
        <v>13</v>
      </c>
      <c r="B16" s="101" t="s">
        <v>118</v>
      </c>
      <c r="C16" s="1539" t="str">
        <f>OR_VEH!B465</f>
        <v>NE PAS UTILISER</v>
      </c>
      <c r="D16" s="1588"/>
      <c r="E16" s="776" t="s">
        <v>651</v>
      </c>
      <c r="F16" s="269">
        <f>IFERROR(IF(Flag=TRUE,K16-TBIn!E584,TBIn!D584),0)</f>
        <v>0</v>
      </c>
      <c r="G16" s="2599">
        <f>IFERROR(IF(Flag=TRUE,L16-TBIn!E2195,TBIn!D2195),0)</f>
        <v>0</v>
      </c>
      <c r="H16" s="2599">
        <f>IFERROR(IF(Flag=TRUE,M16-TBIn!E2235,TBIn!D2235),0)</f>
        <v>0</v>
      </c>
      <c r="I16" s="552">
        <f t="shared" si="0"/>
        <v>0</v>
      </c>
      <c r="J16" s="608">
        <f t="shared" si="1"/>
        <v>0</v>
      </c>
      <c r="K16" s="721">
        <f>IFERROR(TBIn!E584,0)</f>
        <v>0</v>
      </c>
      <c r="L16" s="2574">
        <f>IFERROR(TBIn!E2195,0)</f>
        <v>0</v>
      </c>
      <c r="M16" s="2574">
        <f>IFERROR(TBIn!E2235,0)</f>
        <v>0</v>
      </c>
      <c r="N16" s="555">
        <f t="shared" si="3"/>
        <v>0</v>
      </c>
      <c r="O16" s="587">
        <f t="shared" si="2"/>
        <v>0</v>
      </c>
      <c r="P16" s="80">
        <v>13</v>
      </c>
      <c r="Q16" s="656">
        <v>0</v>
      </c>
      <c r="R16" s="656">
        <f t="shared" si="4"/>
        <v>0</v>
      </c>
      <c r="S16" s="656">
        <f t="shared" si="5"/>
        <v>0</v>
      </c>
      <c r="T16" s="656">
        <f t="shared" si="6"/>
        <v>0</v>
      </c>
      <c r="U16" s="656">
        <f t="shared" si="7"/>
        <v>0</v>
      </c>
    </row>
    <row r="17" spans="1:21" s="569" customFormat="1" ht="15.75" customHeight="1">
      <c r="A17" s="80">
        <v>14</v>
      </c>
      <c r="B17" s="101" t="s">
        <v>110</v>
      </c>
      <c r="C17" s="1539" t="str">
        <f>OR_VEH!B466</f>
        <v>NE PAS UTILISER</v>
      </c>
      <c r="D17" s="1588"/>
      <c r="E17" s="776" t="s">
        <v>652</v>
      </c>
      <c r="F17" s="269">
        <f>IFERROR(IF(Flag=TRUE,K17-TBIn!E585,TBIn!D585),0)</f>
        <v>0</v>
      </c>
      <c r="G17" s="2599">
        <f>IFERROR(IF(Flag=TRUE,L17-TBIn!E2196,TBIn!D2196),0)</f>
        <v>0</v>
      </c>
      <c r="H17" s="2599">
        <f>IFERROR(IF(Flag=TRUE,M17-TBIn!E2236,TBIn!D2236),0)</f>
        <v>0</v>
      </c>
      <c r="I17" s="552">
        <f t="shared" si="0"/>
        <v>0</v>
      </c>
      <c r="J17" s="608">
        <f t="shared" si="1"/>
        <v>0</v>
      </c>
      <c r="K17" s="721">
        <f>IFERROR(TBIn!E585,0)</f>
        <v>0</v>
      </c>
      <c r="L17" s="2574">
        <f>IFERROR(TBIn!E2196,0)</f>
        <v>0</v>
      </c>
      <c r="M17" s="2574">
        <f>IFERROR(TBIn!E2236,0)</f>
        <v>0</v>
      </c>
      <c r="N17" s="555">
        <f t="shared" si="3"/>
        <v>0</v>
      </c>
      <c r="O17" s="587">
        <f t="shared" si="2"/>
        <v>0</v>
      </c>
      <c r="P17" s="80">
        <v>14</v>
      </c>
      <c r="Q17" s="656">
        <v>0</v>
      </c>
      <c r="R17" s="656">
        <f t="shared" si="4"/>
        <v>0</v>
      </c>
      <c r="S17" s="656">
        <f t="shared" si="5"/>
        <v>0</v>
      </c>
      <c r="T17" s="656">
        <f t="shared" si="6"/>
        <v>0</v>
      </c>
      <c r="U17" s="656">
        <f t="shared" si="7"/>
        <v>0</v>
      </c>
    </row>
    <row r="18" spans="1:21" s="569" customFormat="1" ht="15.75" customHeight="1">
      <c r="A18" s="80">
        <v>15</v>
      </c>
      <c r="B18" s="275" t="s">
        <v>122</v>
      </c>
      <c r="C18" s="1539" t="str">
        <f>OR_VEH!B467</f>
        <v>NE PAS UTILISER</v>
      </c>
      <c r="D18" s="1588"/>
      <c r="E18" s="776" t="s">
        <v>653</v>
      </c>
      <c r="F18" s="269">
        <f>IFERROR(IF(Flag=TRUE,K18-TBIn!E586,TBIn!D586),0)</f>
        <v>0</v>
      </c>
      <c r="G18" s="2599">
        <f>IFERROR(IF(Flag=TRUE,L18-TBIn!E2197,TBIn!D2197),0)</f>
        <v>0</v>
      </c>
      <c r="H18" s="2599">
        <f>IFERROR(IF(Flag=TRUE,M18-TBIn!E2237,TBIn!D2237),0)</f>
        <v>0</v>
      </c>
      <c r="I18" s="552">
        <f t="shared" si="0"/>
        <v>0</v>
      </c>
      <c r="J18" s="608">
        <f t="shared" si="1"/>
        <v>0</v>
      </c>
      <c r="K18" s="721">
        <f>IFERROR(TBIn!E586,0)</f>
        <v>0</v>
      </c>
      <c r="L18" s="2574">
        <f>IFERROR(TBIn!E2197,0)</f>
        <v>0</v>
      </c>
      <c r="M18" s="2574">
        <f>IFERROR(TBIn!E2237,0)</f>
        <v>0</v>
      </c>
      <c r="N18" s="555">
        <f t="shared" si="3"/>
        <v>0</v>
      </c>
      <c r="O18" s="587">
        <f t="shared" si="2"/>
        <v>0</v>
      </c>
      <c r="P18" s="80">
        <v>15</v>
      </c>
      <c r="Q18" s="656">
        <v>0</v>
      </c>
      <c r="R18" s="656">
        <f t="shared" si="4"/>
        <v>0</v>
      </c>
      <c r="S18" s="656">
        <f t="shared" si="5"/>
        <v>0</v>
      </c>
      <c r="T18" s="656">
        <f t="shared" si="6"/>
        <v>0</v>
      </c>
      <c r="U18" s="656">
        <f t="shared" si="7"/>
        <v>0</v>
      </c>
    </row>
    <row r="19" spans="1:21" s="569" customFormat="1" ht="16" customHeight="1">
      <c r="A19" s="80">
        <v>16</v>
      </c>
      <c r="B19" s="275" t="s">
        <v>124</v>
      </c>
      <c r="C19" s="1539" t="str">
        <f>OR_VEH!B468</f>
        <v>NE PAS UTILISER</v>
      </c>
      <c r="D19" s="1588"/>
      <c r="E19" s="776" t="s">
        <v>654</v>
      </c>
      <c r="F19" s="269">
        <f>IFERROR(IF(Flag=TRUE,K19-TBIn!E587,TBIn!D587),0)</f>
        <v>0</v>
      </c>
      <c r="G19" s="2599">
        <f>IFERROR(IF(Flag=TRUE,L19-TBIn!E2198,TBIn!D2198),0)</f>
        <v>0</v>
      </c>
      <c r="H19" s="2599">
        <f>IFERROR(IF(Flag=TRUE,M19-TBIn!E2238,TBIn!D2238),0)</f>
        <v>0</v>
      </c>
      <c r="I19" s="552">
        <f t="shared" si="0"/>
        <v>0</v>
      </c>
      <c r="J19" s="608">
        <f t="shared" si="1"/>
        <v>0</v>
      </c>
      <c r="K19" s="721">
        <f>IFERROR(TBIn!E587,0)</f>
        <v>0</v>
      </c>
      <c r="L19" s="2574">
        <f>IFERROR(TBIn!E2198,0)</f>
        <v>0</v>
      </c>
      <c r="M19" s="2574">
        <f>IFERROR(TBIn!E2238,0)</f>
        <v>0</v>
      </c>
      <c r="N19" s="555">
        <f t="shared" si="3"/>
        <v>0</v>
      </c>
      <c r="O19" s="587">
        <f t="shared" si="2"/>
        <v>0</v>
      </c>
      <c r="P19" s="80">
        <v>16</v>
      </c>
      <c r="Q19" s="656">
        <v>0</v>
      </c>
      <c r="R19" s="656">
        <f t="shared" si="4"/>
        <v>0</v>
      </c>
      <c r="S19" s="656">
        <f t="shared" si="5"/>
        <v>0</v>
      </c>
      <c r="T19" s="656">
        <f t="shared" si="6"/>
        <v>0</v>
      </c>
      <c r="U19" s="656">
        <f t="shared" si="7"/>
        <v>0</v>
      </c>
    </row>
    <row r="20" spans="1:21" s="569" customFormat="1" ht="16" customHeight="1">
      <c r="A20" s="80">
        <v>17</v>
      </c>
      <c r="B20" s="275"/>
      <c r="C20" s="1539" t="str">
        <f>OR_VEH!B469</f>
        <v>NE PAS UTILISER</v>
      </c>
      <c r="D20" s="1588"/>
      <c r="E20" s="776" t="s">
        <v>655</v>
      </c>
      <c r="F20" s="269">
        <f>IFERROR(IF(Flag=TRUE,K20-TBIn!E588,TBIn!D588),0)</f>
        <v>0</v>
      </c>
      <c r="G20" s="2599">
        <f>IFERROR(IF(Flag=TRUE,L20-TBIn!E2199,TBIn!D2199),0)</f>
        <v>0</v>
      </c>
      <c r="H20" s="2599">
        <f>IFERROR(IF(Flag=TRUE,M20-TBIn!E2239,TBIn!D2239),0)</f>
        <v>0</v>
      </c>
      <c r="I20" s="552">
        <f t="shared" si="0"/>
        <v>0</v>
      </c>
      <c r="J20" s="608">
        <f t="shared" si="1"/>
        <v>0</v>
      </c>
      <c r="K20" s="721">
        <f>IFERROR(TBIn!E588,0)</f>
        <v>0</v>
      </c>
      <c r="L20" s="2574">
        <f>IFERROR(TBIn!E2199,0)</f>
        <v>0</v>
      </c>
      <c r="M20" s="2574">
        <f>IFERROR(TBIn!E2239,0)</f>
        <v>0</v>
      </c>
      <c r="N20" s="555">
        <f t="shared" si="3"/>
        <v>0</v>
      </c>
      <c r="O20" s="587">
        <f t="shared" si="2"/>
        <v>0</v>
      </c>
      <c r="P20" s="80">
        <v>17</v>
      </c>
      <c r="Q20" s="656">
        <v>0</v>
      </c>
      <c r="R20" s="656">
        <f t="shared" si="4"/>
        <v>0</v>
      </c>
      <c r="S20" s="656">
        <f t="shared" si="5"/>
        <v>0</v>
      </c>
      <c r="T20" s="656">
        <f t="shared" si="6"/>
        <v>0</v>
      </c>
      <c r="U20" s="656">
        <f t="shared" si="7"/>
        <v>0</v>
      </c>
    </row>
    <row r="21" spans="1:21" s="569" customFormat="1" ht="16" customHeight="1">
      <c r="A21" s="80">
        <v>18</v>
      </c>
      <c r="B21" s="215"/>
      <c r="C21" s="1539" t="str">
        <f>OR_VEH!B470</f>
        <v>NE PAS UTILISER</v>
      </c>
      <c r="D21" s="1588"/>
      <c r="E21" s="776" t="s">
        <v>656</v>
      </c>
      <c r="F21" s="269">
        <f>IFERROR(IF(Flag=TRUE,K21-TBIn!E589,TBIn!D589),0)</f>
        <v>0</v>
      </c>
      <c r="G21" s="2599">
        <f>IFERROR(IF(Flag=TRUE,L21-TBIn!E2200,TBIn!D2200),0)</f>
        <v>0</v>
      </c>
      <c r="H21" s="2599">
        <f>IFERROR(IF(Flag=TRUE,M21-TBIn!E2240,TBIn!D2240),0)</f>
        <v>0</v>
      </c>
      <c r="I21" s="552">
        <f t="shared" si="0"/>
        <v>0</v>
      </c>
      <c r="J21" s="608">
        <f t="shared" si="1"/>
        <v>0</v>
      </c>
      <c r="K21" s="721">
        <f>IFERROR(TBIn!E589,0)</f>
        <v>0</v>
      </c>
      <c r="L21" s="2574">
        <f>IFERROR(TBIn!E2200,0)</f>
        <v>0</v>
      </c>
      <c r="M21" s="2574">
        <f>IFERROR(TBIn!E2240,0)</f>
        <v>0</v>
      </c>
      <c r="N21" s="555">
        <f t="shared" si="3"/>
        <v>0</v>
      </c>
      <c r="O21" s="587">
        <f t="shared" si="2"/>
        <v>0</v>
      </c>
      <c r="P21" s="80">
        <v>18</v>
      </c>
      <c r="Q21" s="656">
        <v>0</v>
      </c>
      <c r="R21" s="656">
        <f t="shared" si="4"/>
        <v>0</v>
      </c>
      <c r="S21" s="656">
        <f t="shared" si="5"/>
        <v>0</v>
      </c>
      <c r="T21" s="656">
        <f t="shared" si="6"/>
        <v>0</v>
      </c>
      <c r="U21" s="656">
        <f t="shared" si="7"/>
        <v>0</v>
      </c>
    </row>
    <row r="22" spans="1:21" s="569" customFormat="1" ht="16" customHeight="1">
      <c r="A22" s="80">
        <v>19</v>
      </c>
      <c r="B22" s="215"/>
      <c r="C22" s="1589" t="str">
        <f>OR_VEH!B471</f>
        <v>NE PAS UTILISER</v>
      </c>
      <c r="D22" s="1590"/>
      <c r="E22" s="777" t="s">
        <v>657</v>
      </c>
      <c r="F22" s="270">
        <f>IFERROR(IF(Flag=TRUE,K22-TBIn!E590,TBIn!D590),0)</f>
        <v>0</v>
      </c>
      <c r="G22" s="2600">
        <f>IFERROR(IF(Flag=TRUE,L22-TBIn!E2201,TBIn!D2201),0)</f>
        <v>0</v>
      </c>
      <c r="H22" s="2600">
        <f>IFERROR(IF(Flag=TRUE,M22-TBIn!E2241,TBIn!D2241),0)</f>
        <v>0</v>
      </c>
      <c r="I22" s="553">
        <f t="shared" si="0"/>
        <v>0</v>
      </c>
      <c r="J22" s="847">
        <f t="shared" si="1"/>
        <v>0</v>
      </c>
      <c r="K22" s="722">
        <f>IFERROR(TBIn!E590,0)</f>
        <v>0</v>
      </c>
      <c r="L22" s="2603">
        <f>IFERROR(TBIn!E2201,0)</f>
        <v>0</v>
      </c>
      <c r="M22" s="2603">
        <f>IFERROR(TBIn!E2241,0)</f>
        <v>0</v>
      </c>
      <c r="N22" s="556">
        <f t="shared" si="3"/>
        <v>0</v>
      </c>
      <c r="O22" s="601">
        <f t="shared" si="2"/>
        <v>0</v>
      </c>
      <c r="P22" s="80">
        <v>19</v>
      </c>
      <c r="Q22" s="656">
        <v>0</v>
      </c>
      <c r="R22" s="656">
        <f t="shared" si="4"/>
        <v>0</v>
      </c>
      <c r="S22" s="656">
        <f t="shared" si="5"/>
        <v>0</v>
      </c>
      <c r="T22" s="656">
        <f t="shared" si="6"/>
        <v>0</v>
      </c>
      <c r="U22" s="656">
        <f t="shared" si="7"/>
        <v>0</v>
      </c>
    </row>
    <row r="23" spans="1:21" s="569" customFormat="1" ht="16" customHeight="1">
      <c r="A23" s="80">
        <v>20</v>
      </c>
      <c r="B23" s="215"/>
      <c r="C23" s="263" t="s">
        <v>137</v>
      </c>
      <c r="D23" s="264"/>
      <c r="E23" s="778"/>
      <c r="F23" s="715">
        <f>SUM(F4:F22)</f>
        <v>0</v>
      </c>
      <c r="G23" s="716">
        <f>SUM(G4:G22)</f>
        <v>0</v>
      </c>
      <c r="H23" s="716">
        <f>SUM(H4:H22)</f>
        <v>0</v>
      </c>
      <c r="I23" s="716">
        <f>SUM(I4:I22)</f>
        <v>0</v>
      </c>
      <c r="J23" s="132">
        <f t="shared" si="1"/>
        <v>0</v>
      </c>
      <c r="K23" s="2496">
        <f>SUM(K4:K22)</f>
        <v>0</v>
      </c>
      <c r="L23" s="949">
        <f>SUM(L4:L22)</f>
        <v>0</v>
      </c>
      <c r="M23" s="949">
        <f>SUM(M4:M22)</f>
        <v>0</v>
      </c>
      <c r="N23" s="716">
        <f>SUM(N4:N22)</f>
        <v>0</v>
      </c>
      <c r="O23" s="132">
        <f t="shared" si="2"/>
        <v>0</v>
      </c>
      <c r="P23" s="80">
        <v>20</v>
      </c>
      <c r="Q23" s="656"/>
      <c r="R23" s="656"/>
      <c r="S23" s="656"/>
      <c r="T23" s="656"/>
      <c r="U23" s="656"/>
    </row>
    <row r="24" spans="1:21" s="569" customFormat="1" ht="16" customHeight="1">
      <c r="A24" s="80">
        <v>21</v>
      </c>
      <c r="B24" s="215"/>
      <c r="C24" s="1591" t="str">
        <f>OR_VEH!B473</f>
        <v>MÉMO* VENTES INTERNET VOITURES</v>
      </c>
      <c r="D24" s="1592"/>
      <c r="E24" s="779" t="s">
        <v>658</v>
      </c>
      <c r="F24" s="269">
        <f>IFERROR(IF(Flag=TRUE,K24-TBIn!E591,TBIn!D591),0)</f>
        <v>0</v>
      </c>
      <c r="G24" s="2599">
        <f>IFERROR(IF(Flag=TRUE,L24-TBIn!$E$154,TBIn!$D$154),0)</f>
        <v>0</v>
      </c>
      <c r="H24" s="2599">
        <f>IFERROR(IF(Flag=TRUE,M24-TBIn!$E$174,TBIn!$D$174),0)</f>
        <v>0</v>
      </c>
      <c r="I24" s="552">
        <f>G24-H24</f>
        <v>0</v>
      </c>
      <c r="J24" s="608">
        <f t="shared" si="1"/>
        <v>0</v>
      </c>
      <c r="K24" s="721">
        <f>IFERROR(TBIn!E591,0)</f>
        <v>0</v>
      </c>
      <c r="L24" s="2574">
        <f>IFERROR(TBIn!$E$154,0)</f>
        <v>0</v>
      </c>
      <c r="M24" s="2574">
        <f>IFERROR(TBIn!$E$174,0)</f>
        <v>0</v>
      </c>
      <c r="N24" s="555">
        <f>L24-M24</f>
        <v>0</v>
      </c>
      <c r="O24" s="587">
        <f t="shared" si="2"/>
        <v>0</v>
      </c>
      <c r="P24" s="80">
        <v>21</v>
      </c>
      <c r="Q24" s="656">
        <v>0</v>
      </c>
      <c r="R24" s="656">
        <f>IF(F24=0,0,IF(G24/F24&gt;Q24,1,0))</f>
        <v>0</v>
      </c>
      <c r="S24" s="656">
        <f>IF(K24=0,0,IF(L24/K24&gt;Q24,1,0))</f>
        <v>0</v>
      </c>
      <c r="T24" s="656">
        <f>IF(OR(F24&lt;0,AND(G24&gt;0,F24=0),AND(G24=0,F24&gt;0)),1,0)</f>
        <v>0</v>
      </c>
      <c r="U24" s="656">
        <f>IF(OR(K24&lt;0,AND(L24&gt;0,K24=0),AND(K24&gt;0,L24=0)),1,0)</f>
        <v>0</v>
      </c>
    </row>
    <row r="25" spans="1:21" s="569" customFormat="1" ht="16" customHeight="1">
      <c r="A25" s="80">
        <v>22</v>
      </c>
      <c r="B25" s="101"/>
      <c r="C25" s="1594" t="str">
        <f>OR_VEH!B474</f>
        <v>TOTAL PARCS - VOITURES</v>
      </c>
      <c r="D25" s="1595"/>
      <c r="E25" s="779" t="s">
        <v>659</v>
      </c>
      <c r="F25" s="269">
        <f>IFERROR(IF(Flag=TRUE,K25-TBIn!E592,TBIn!D592),0)</f>
        <v>0</v>
      </c>
      <c r="G25" s="2599">
        <f>IFERROR(IF(Flag=TRUE,L25-TBIn!E2202,TBIn!D2202),0)</f>
        <v>0</v>
      </c>
      <c r="H25" s="2599">
        <f>IFERROR(IF(Flag=TRUE,M25-TBIn!E2242,TBIn!D2242),0)</f>
        <v>0</v>
      </c>
      <c r="I25" s="552">
        <f>G25-H25</f>
        <v>0</v>
      </c>
      <c r="J25" s="608">
        <f t="shared" si="1"/>
        <v>0</v>
      </c>
      <c r="K25" s="721">
        <f>IFERROR(TBIn!E592,0)</f>
        <v>0</v>
      </c>
      <c r="L25" s="2574">
        <f>IFERROR(TBIn!E2202,0)</f>
        <v>0</v>
      </c>
      <c r="M25" s="2574">
        <f>IFERROR(TBIn!E2242,0)</f>
        <v>0</v>
      </c>
      <c r="N25" s="555">
        <f>L25-M25</f>
        <v>0</v>
      </c>
      <c r="O25" s="587">
        <f t="shared" si="2"/>
        <v>0</v>
      </c>
      <c r="P25" s="80">
        <v>22</v>
      </c>
      <c r="Q25" s="656">
        <v>0</v>
      </c>
      <c r="R25" s="656">
        <f>IF(F25=0,0,IF(G25/F25&gt;Q25,1,0))</f>
        <v>0</v>
      </c>
      <c r="S25" s="656">
        <f>IF(K25=0,0,IF(L25/K25&gt;Q25,1,0))</f>
        <v>0</v>
      </c>
      <c r="T25" s="656">
        <f>IF(OR(F25&lt;0,AND(G25&gt;0,F25=0),AND(G25=0,F25&gt;0)),1,0)</f>
        <v>0</v>
      </c>
      <c r="U25" s="656">
        <f>IF(OR(K25&lt;0,AND(L25&gt;0,K25=0),AND(K25&gt;0,L25=0)),1,0)</f>
        <v>0</v>
      </c>
    </row>
    <row r="26" spans="1:21" s="569" customFormat="1" ht="16" customHeight="1">
      <c r="A26" s="80">
        <v>23</v>
      </c>
      <c r="B26" s="215"/>
      <c r="C26" s="1596" t="str">
        <f>OR_VEH!B475</f>
        <v>TOTAL INTERNE - VOITURES</v>
      </c>
      <c r="D26" s="1597"/>
      <c r="E26" s="780" t="s">
        <v>660</v>
      </c>
      <c r="F26" s="269">
        <f>IFERROR(IF(Flag=TRUE,K26-TBIn!E593,TBIn!D593),0)</f>
        <v>0</v>
      </c>
      <c r="G26" s="2599">
        <f>IFERROR(IF(Flag=TRUE,L26-TBIn!E2203,TBIn!D2203),0)</f>
        <v>0</v>
      </c>
      <c r="H26" s="2599">
        <f>IFERROR(IF(Flag=TRUE,M26-TBIn!E2243,TBIn!D2243),0)</f>
        <v>0</v>
      </c>
      <c r="I26" s="552">
        <f>G26-H26</f>
        <v>0</v>
      </c>
      <c r="J26" s="608">
        <f t="shared" si="1"/>
        <v>0</v>
      </c>
      <c r="K26" s="721">
        <f>IFERROR(TBIn!E593,0)</f>
        <v>0</v>
      </c>
      <c r="L26" s="2574">
        <f>IFERROR(TBIn!E2203,0)</f>
        <v>0</v>
      </c>
      <c r="M26" s="2574">
        <f>IFERROR(TBIn!E2243,0)</f>
        <v>0</v>
      </c>
      <c r="N26" s="555">
        <f>L26-M26</f>
        <v>0</v>
      </c>
      <c r="O26" s="587">
        <f t="shared" si="2"/>
        <v>0</v>
      </c>
      <c r="P26" s="80">
        <v>23</v>
      </c>
      <c r="Q26" s="656">
        <v>0</v>
      </c>
      <c r="R26" s="656">
        <f>IF(F26=0,0,IF(G26/F26&gt;Q26,1,0))</f>
        <v>0</v>
      </c>
      <c r="S26" s="656">
        <f>IF(K26=0,0,IF(L26/K26&gt;Q26,1,0))</f>
        <v>0</v>
      </c>
      <c r="T26" s="656">
        <f>IF(OR(F26&lt;0,AND(G26&gt;0,F26=0),AND(G26=0,F26&gt;0)),1,0)</f>
        <v>0</v>
      </c>
      <c r="U26" s="656">
        <f>IF(OR(K26&lt;0,AND(L26&gt;0,K26=0),AND(K26&gt;0,L26=0)),1,0)</f>
        <v>0</v>
      </c>
    </row>
    <row r="27" spans="1:21" s="569" customFormat="1" ht="16" customHeight="1">
      <c r="A27" s="80">
        <v>24</v>
      </c>
      <c r="B27" s="241"/>
      <c r="C27" s="229" t="s">
        <v>141</v>
      </c>
      <c r="D27" s="210"/>
      <c r="E27" s="781"/>
      <c r="F27" s="715">
        <f>F23+F25+F26</f>
        <v>0</v>
      </c>
      <c r="G27" s="716">
        <f>G23+G25+G26</f>
        <v>0</v>
      </c>
      <c r="H27" s="716">
        <f>H23+H25+H26</f>
        <v>0</v>
      </c>
      <c r="I27" s="716">
        <f>I23+I25+I26</f>
        <v>0</v>
      </c>
      <c r="J27" s="132">
        <f t="shared" si="1"/>
        <v>0</v>
      </c>
      <c r="K27" s="2496">
        <f>K23+K25+K26</f>
        <v>0</v>
      </c>
      <c r="L27" s="949">
        <f>L23+L25+L26</f>
        <v>0</v>
      </c>
      <c r="M27" s="949">
        <f>M23+M25+M26</f>
        <v>0</v>
      </c>
      <c r="N27" s="716">
        <f>N23+N25+N26</f>
        <v>0</v>
      </c>
      <c r="O27" s="132">
        <f t="shared" si="2"/>
        <v>0</v>
      </c>
      <c r="P27" s="80">
        <v>24</v>
      </c>
      <c r="Q27" s="656"/>
      <c r="R27" s="656"/>
      <c r="S27" s="656"/>
      <c r="T27" s="656"/>
      <c r="U27" s="656"/>
    </row>
    <row r="28" spans="1:21" s="569" customFormat="1" ht="16" customHeight="1">
      <c r="A28" s="80">
        <v>25</v>
      </c>
      <c r="B28" s="207"/>
      <c r="C28" s="1601" t="str">
        <f>OR_VEH!B477</f>
        <v>POIDS LOURD</v>
      </c>
      <c r="D28" s="1599"/>
      <c r="E28" s="779" t="s">
        <v>661</v>
      </c>
      <c r="F28" s="180">
        <f>IFERROR(IF(Flag=TRUE,K28-TBIn!E594,TBIn!D594),0)</f>
        <v>0</v>
      </c>
      <c r="G28" s="2601">
        <f>IFERROR(IF(Flag=TRUE,L28-TBIn!E2204,TBIn!D2204),0)</f>
        <v>0</v>
      </c>
      <c r="H28" s="2601">
        <f>IFERROR(IF(Flag=TRUE,M28-TBIn!E2244,TBIn!D2244),0)</f>
        <v>0</v>
      </c>
      <c r="I28" s="557">
        <f t="shared" ref="I28:I43" si="8">G28-H28</f>
        <v>0</v>
      </c>
      <c r="J28" s="271">
        <f t="shared" si="1"/>
        <v>0</v>
      </c>
      <c r="K28" s="723">
        <f>IFERROR(TBIn!E594,0)</f>
        <v>0</v>
      </c>
      <c r="L28" s="2604">
        <f>IFERROR(TBIn!E2204,0)</f>
        <v>0</v>
      </c>
      <c r="M28" s="2604">
        <f>IFERROR(TBIn!E2244,0)</f>
        <v>0</v>
      </c>
      <c r="N28" s="326">
        <f t="shared" ref="N28:N43" si="9">L28-M28</f>
        <v>0</v>
      </c>
      <c r="O28" s="272">
        <f t="shared" si="2"/>
        <v>0</v>
      </c>
      <c r="P28" s="80">
        <v>25</v>
      </c>
      <c r="Q28" s="656">
        <v>0</v>
      </c>
      <c r="R28" s="656">
        <f t="shared" ref="R28:R43" si="10">IF(F28=0,0,IF(G28/F28&gt;Q28,1,0))</f>
        <v>0</v>
      </c>
      <c r="S28" s="656">
        <f t="shared" ref="S28:S43" si="11">IF(K28=0,0,IF(L28/K28&gt;Q28,1,0))</f>
        <v>0</v>
      </c>
      <c r="T28" s="656">
        <f t="shared" ref="T28:T43" si="12">IF(OR(F28&lt;0,AND(G28&gt;0,F28=0),AND(G28=0,F28&gt;0)),1,0)</f>
        <v>0</v>
      </c>
      <c r="U28" s="656">
        <f t="shared" ref="U28:U43" si="13">IF(OR(K28&lt;0,AND(L28&gt;0,K28=0),AND(K28&gt;0,L28=0)),1,0)</f>
        <v>0</v>
      </c>
    </row>
    <row r="29" spans="1:21" s="569" customFormat="1" ht="16" customHeight="1">
      <c r="A29" s="80">
        <v>26</v>
      </c>
      <c r="B29" s="275" t="s">
        <v>143</v>
      </c>
      <c r="C29" s="1539" t="str">
        <f>OR_VEH!B478</f>
        <v>NE PAS UTILISER</v>
      </c>
      <c r="D29" s="1588"/>
      <c r="E29" s="779" t="s">
        <v>662</v>
      </c>
      <c r="F29" s="269">
        <f>IFERROR(IF(Flag=TRUE,K29-TBIn!E595,TBIn!D595),0)</f>
        <v>0</v>
      </c>
      <c r="G29" s="2599">
        <f>IFERROR(IF(Flag=TRUE,L29-TBIn!E2205,TBIn!D2205),0)</f>
        <v>0</v>
      </c>
      <c r="H29" s="2601">
        <f>IFERROR(IF(Flag=TRUE,M29-TBIn!E2245,TBIn!D2245),0)</f>
        <v>0</v>
      </c>
      <c r="I29" s="557">
        <f t="shared" si="8"/>
        <v>0</v>
      </c>
      <c r="J29" s="608">
        <f t="shared" si="1"/>
        <v>0</v>
      </c>
      <c r="K29" s="721">
        <f>IFERROR(TBIn!E595,0)</f>
        <v>0</v>
      </c>
      <c r="L29" s="2574">
        <f>IFERROR(TBIn!E2205,0)</f>
        <v>0</v>
      </c>
      <c r="M29" s="2604">
        <f>IFERROR(TBIn!E2245,0)</f>
        <v>0</v>
      </c>
      <c r="N29" s="326">
        <f t="shared" si="9"/>
        <v>0</v>
      </c>
      <c r="O29" s="587">
        <f t="shared" si="2"/>
        <v>0</v>
      </c>
      <c r="P29" s="80">
        <v>26</v>
      </c>
      <c r="Q29" s="656">
        <v>0</v>
      </c>
      <c r="R29" s="656">
        <f t="shared" si="10"/>
        <v>0</v>
      </c>
      <c r="S29" s="656">
        <f t="shared" si="11"/>
        <v>0</v>
      </c>
      <c r="T29" s="656">
        <f t="shared" si="12"/>
        <v>0</v>
      </c>
      <c r="U29" s="656">
        <f t="shared" si="13"/>
        <v>0</v>
      </c>
    </row>
    <row r="30" spans="1:21" s="569" customFormat="1" ht="16" customHeight="1">
      <c r="A30" s="80">
        <v>27</v>
      </c>
      <c r="B30" s="275" t="s">
        <v>145</v>
      </c>
      <c r="C30" s="1600" t="str">
        <f>OR_VEH!B479</f>
        <v>NE PAS UTILISER</v>
      </c>
      <c r="D30" s="1588"/>
      <c r="E30" s="779" t="s">
        <v>663</v>
      </c>
      <c r="F30" s="269">
        <f>IFERROR(IF(Flag=TRUE,K30-TBIn!E596,TBIn!D596),0)</f>
        <v>0</v>
      </c>
      <c r="G30" s="2599">
        <f>IFERROR(IF(Flag=TRUE,L30-TBIn!E2206,TBIn!D2206),0)</f>
        <v>0</v>
      </c>
      <c r="H30" s="2601">
        <f>IFERROR(IF(Flag=TRUE,M30-TBIn!E2246,TBIn!D2246),0)</f>
        <v>0</v>
      </c>
      <c r="I30" s="557">
        <f t="shared" si="8"/>
        <v>0</v>
      </c>
      <c r="J30" s="608">
        <f t="shared" si="1"/>
        <v>0</v>
      </c>
      <c r="K30" s="721">
        <f>IFERROR(TBIn!E596,0)</f>
        <v>0</v>
      </c>
      <c r="L30" s="2574">
        <f>IFERROR(TBIn!E2206,0)</f>
        <v>0</v>
      </c>
      <c r="M30" s="2604">
        <f>IFERROR(TBIn!E2246,0)</f>
        <v>0</v>
      </c>
      <c r="N30" s="326">
        <f t="shared" si="9"/>
        <v>0</v>
      </c>
      <c r="O30" s="587">
        <f t="shared" si="2"/>
        <v>0</v>
      </c>
      <c r="P30" s="80">
        <v>27</v>
      </c>
      <c r="Q30" s="656">
        <v>0</v>
      </c>
      <c r="R30" s="656">
        <f t="shared" si="10"/>
        <v>0</v>
      </c>
      <c r="S30" s="656">
        <f t="shared" si="11"/>
        <v>0</v>
      </c>
      <c r="T30" s="656">
        <f t="shared" si="12"/>
        <v>0</v>
      </c>
      <c r="U30" s="656">
        <f t="shared" si="13"/>
        <v>0</v>
      </c>
    </row>
    <row r="31" spans="1:21" s="569" customFormat="1" ht="16" customHeight="1">
      <c r="A31" s="80">
        <v>28</v>
      </c>
      <c r="B31" s="275" t="s">
        <v>147</v>
      </c>
      <c r="C31" s="1600" t="str">
        <f>OR_VEH!B480</f>
        <v>NE PAS UTILISER</v>
      </c>
      <c r="D31" s="1588"/>
      <c r="E31" s="779" t="s">
        <v>664</v>
      </c>
      <c r="F31" s="269">
        <f>IFERROR(IF(Flag=TRUE,K31-TBIn!E597,TBIn!D597),0)</f>
        <v>0</v>
      </c>
      <c r="G31" s="2599">
        <f>IFERROR(IF(Flag=TRUE,L31-TBIn!E2207,TBIn!D2207),0)</f>
        <v>0</v>
      </c>
      <c r="H31" s="2601">
        <f>IFERROR(IF(Flag=TRUE,M31-TBIn!E2247,TBIn!D2247),0)</f>
        <v>0</v>
      </c>
      <c r="I31" s="557">
        <f t="shared" si="8"/>
        <v>0</v>
      </c>
      <c r="J31" s="608">
        <f t="shared" si="1"/>
        <v>0</v>
      </c>
      <c r="K31" s="721">
        <f>IFERROR(TBIn!E597,0)</f>
        <v>0</v>
      </c>
      <c r="L31" s="2574">
        <f>IFERROR(TBIn!E2207,0)</f>
        <v>0</v>
      </c>
      <c r="M31" s="2604">
        <f>IFERROR(TBIn!E2247,0)</f>
        <v>0</v>
      </c>
      <c r="N31" s="326">
        <f t="shared" si="9"/>
        <v>0</v>
      </c>
      <c r="O31" s="587">
        <f t="shared" si="2"/>
        <v>0</v>
      </c>
      <c r="P31" s="80">
        <v>28</v>
      </c>
      <c r="Q31" s="656">
        <v>0</v>
      </c>
      <c r="R31" s="656">
        <f t="shared" si="10"/>
        <v>0</v>
      </c>
      <c r="S31" s="656">
        <f t="shared" si="11"/>
        <v>0</v>
      </c>
      <c r="T31" s="656">
        <f t="shared" si="12"/>
        <v>0</v>
      </c>
      <c r="U31" s="656">
        <f t="shared" si="13"/>
        <v>0</v>
      </c>
    </row>
    <row r="32" spans="1:21" s="569" customFormat="1" ht="16" customHeight="1">
      <c r="A32" s="80">
        <v>29</v>
      </c>
      <c r="B32" s="275" t="s">
        <v>114</v>
      </c>
      <c r="C32" s="1600" t="str">
        <f>OR_VEH!B481</f>
        <v>NE PAS UTILISER</v>
      </c>
      <c r="D32" s="1588"/>
      <c r="E32" s="779" t="s">
        <v>665</v>
      </c>
      <c r="F32" s="269">
        <f>IFERROR(IF(Flag=TRUE,K32-TBIn!E598,TBIn!D598),0)</f>
        <v>0</v>
      </c>
      <c r="G32" s="2599">
        <f>IFERROR(IF(Flag=TRUE,L32-TBIn!E2208,TBIn!D2208),0)</f>
        <v>0</v>
      </c>
      <c r="H32" s="2601">
        <f>IFERROR(IF(Flag=TRUE,M32-TBIn!E2248,TBIn!D2248),0)</f>
        <v>0</v>
      </c>
      <c r="I32" s="557">
        <f t="shared" si="8"/>
        <v>0</v>
      </c>
      <c r="J32" s="608">
        <f t="shared" si="1"/>
        <v>0</v>
      </c>
      <c r="K32" s="721">
        <f>IFERROR(TBIn!E598,0)</f>
        <v>0</v>
      </c>
      <c r="L32" s="2574">
        <f>IFERROR(TBIn!E2208,0)</f>
        <v>0</v>
      </c>
      <c r="M32" s="2604">
        <f>IFERROR(TBIn!E2248,0)</f>
        <v>0</v>
      </c>
      <c r="N32" s="326">
        <f t="shared" si="9"/>
        <v>0</v>
      </c>
      <c r="O32" s="587">
        <f t="shared" si="2"/>
        <v>0</v>
      </c>
      <c r="P32" s="80">
        <v>29</v>
      </c>
      <c r="Q32" s="656">
        <v>0</v>
      </c>
      <c r="R32" s="656">
        <f t="shared" si="10"/>
        <v>0</v>
      </c>
      <c r="S32" s="656">
        <f t="shared" si="11"/>
        <v>0</v>
      </c>
      <c r="T32" s="656">
        <f t="shared" si="12"/>
        <v>0</v>
      </c>
      <c r="U32" s="656">
        <f t="shared" si="13"/>
        <v>0</v>
      </c>
    </row>
    <row r="33" spans="1:21" s="569" customFormat="1" ht="16" customHeight="1">
      <c r="A33" s="80">
        <v>30</v>
      </c>
      <c r="B33" s="101" t="s">
        <v>112</v>
      </c>
      <c r="C33" s="1600" t="str">
        <f>OR_VEH!B482</f>
        <v>NE PAS UTILISER</v>
      </c>
      <c r="D33" s="1588"/>
      <c r="E33" s="779" t="s">
        <v>666</v>
      </c>
      <c r="F33" s="269">
        <f>IFERROR(IF(Flag=TRUE,K33-TBIn!E599,TBIn!D599),0)</f>
        <v>0</v>
      </c>
      <c r="G33" s="2599">
        <f>IFERROR(IF(Flag=TRUE,L33-TBIn!E2209,TBIn!D2209),0)</f>
        <v>0</v>
      </c>
      <c r="H33" s="2601">
        <f>IFERROR(IF(Flag=TRUE,M33-TBIn!E2249,TBIn!D2249),0)</f>
        <v>0</v>
      </c>
      <c r="I33" s="557">
        <f t="shared" si="8"/>
        <v>0</v>
      </c>
      <c r="J33" s="608">
        <f t="shared" si="1"/>
        <v>0</v>
      </c>
      <c r="K33" s="721">
        <f>IFERROR(TBIn!E599,0)</f>
        <v>0</v>
      </c>
      <c r="L33" s="2574">
        <f>IFERROR(TBIn!E2209,0)</f>
        <v>0</v>
      </c>
      <c r="M33" s="2604">
        <f>IFERROR(TBIn!E2249,0)</f>
        <v>0</v>
      </c>
      <c r="N33" s="326">
        <f t="shared" si="9"/>
        <v>0</v>
      </c>
      <c r="O33" s="587">
        <f t="shared" si="2"/>
        <v>0</v>
      </c>
      <c r="P33" s="80">
        <v>30</v>
      </c>
      <c r="Q33" s="656">
        <v>0</v>
      </c>
      <c r="R33" s="656">
        <f t="shared" si="10"/>
        <v>0</v>
      </c>
      <c r="S33" s="656">
        <f t="shared" si="11"/>
        <v>0</v>
      </c>
      <c r="T33" s="656">
        <f t="shared" si="12"/>
        <v>0</v>
      </c>
      <c r="U33" s="656">
        <f t="shared" si="13"/>
        <v>0</v>
      </c>
    </row>
    <row r="34" spans="1:21" s="569" customFormat="1" ht="16" customHeight="1">
      <c r="A34" s="80">
        <v>31</v>
      </c>
      <c r="B34" s="101" t="s">
        <v>127</v>
      </c>
      <c r="C34" s="1600" t="str">
        <f>OR_VEH!B483</f>
        <v>NE PAS UTILISER</v>
      </c>
      <c r="D34" s="1588"/>
      <c r="E34" s="779" t="s">
        <v>667</v>
      </c>
      <c r="F34" s="269">
        <f>IFERROR(IF(Flag=TRUE,K34-TBIn!E600,TBIn!D600),0)</f>
        <v>0</v>
      </c>
      <c r="G34" s="2599">
        <f>IFERROR(IF(Flag=TRUE,L34-TBIn!E2210,TBIn!D2210),0)</f>
        <v>0</v>
      </c>
      <c r="H34" s="2601">
        <f>IFERROR(IF(Flag=TRUE,M34-TBIn!E2250,TBIn!D2250),0)</f>
        <v>0</v>
      </c>
      <c r="I34" s="557">
        <f t="shared" si="8"/>
        <v>0</v>
      </c>
      <c r="J34" s="608">
        <f t="shared" si="1"/>
        <v>0</v>
      </c>
      <c r="K34" s="721">
        <f>IFERROR(TBIn!E600,0)</f>
        <v>0</v>
      </c>
      <c r="L34" s="2574">
        <f>IFERROR(TBIn!E2210,0)</f>
        <v>0</v>
      </c>
      <c r="M34" s="2604">
        <f>IFERROR(TBIn!E2250,0)</f>
        <v>0</v>
      </c>
      <c r="N34" s="326">
        <f t="shared" si="9"/>
        <v>0</v>
      </c>
      <c r="O34" s="587">
        <f t="shared" si="2"/>
        <v>0</v>
      </c>
      <c r="P34" s="80">
        <v>31</v>
      </c>
      <c r="Q34" s="656">
        <v>0</v>
      </c>
      <c r="R34" s="656">
        <f t="shared" si="10"/>
        <v>0</v>
      </c>
      <c r="S34" s="656">
        <f t="shared" si="11"/>
        <v>0</v>
      </c>
      <c r="T34" s="656">
        <f t="shared" si="12"/>
        <v>0</v>
      </c>
      <c r="U34" s="656">
        <f t="shared" si="13"/>
        <v>0</v>
      </c>
    </row>
    <row r="35" spans="1:21" s="569" customFormat="1" ht="16" customHeight="1">
      <c r="A35" s="80">
        <v>32</v>
      </c>
      <c r="B35" s="101" t="s">
        <v>124</v>
      </c>
      <c r="C35" s="1600" t="str">
        <f>OR_VEH!B484</f>
        <v>NE PAS UTILISER</v>
      </c>
      <c r="D35" s="1588"/>
      <c r="E35" s="779" t="s">
        <v>668</v>
      </c>
      <c r="F35" s="269">
        <f>IFERROR(IF(Flag=TRUE,K35-TBIn!E601,TBIn!D601),0)</f>
        <v>0</v>
      </c>
      <c r="G35" s="2599">
        <f>IFERROR(IF(Flag=TRUE,L35-TBIn!E2211,TBIn!D2211),0)</f>
        <v>0</v>
      </c>
      <c r="H35" s="2601">
        <f>IFERROR(IF(Flag=TRUE,M35-TBIn!E2251,TBIn!D2251),0)</f>
        <v>0</v>
      </c>
      <c r="I35" s="557">
        <f t="shared" si="8"/>
        <v>0</v>
      </c>
      <c r="J35" s="608">
        <f t="shared" si="1"/>
        <v>0</v>
      </c>
      <c r="K35" s="721">
        <f>IFERROR(TBIn!E601,0)</f>
        <v>0</v>
      </c>
      <c r="L35" s="2574">
        <f>IFERROR(TBIn!E2211,0)</f>
        <v>0</v>
      </c>
      <c r="M35" s="2604">
        <f>IFERROR(TBIn!E2251,0)</f>
        <v>0</v>
      </c>
      <c r="N35" s="326">
        <f t="shared" si="9"/>
        <v>0</v>
      </c>
      <c r="O35" s="587">
        <f t="shared" si="2"/>
        <v>0</v>
      </c>
      <c r="P35" s="80">
        <v>32</v>
      </c>
      <c r="Q35" s="656">
        <v>0</v>
      </c>
      <c r="R35" s="656">
        <f t="shared" si="10"/>
        <v>0</v>
      </c>
      <c r="S35" s="656">
        <f t="shared" si="11"/>
        <v>0</v>
      </c>
      <c r="T35" s="656">
        <f t="shared" si="12"/>
        <v>0</v>
      </c>
      <c r="U35" s="656">
        <f t="shared" si="13"/>
        <v>0</v>
      </c>
    </row>
    <row r="36" spans="1:21" s="569" customFormat="1" ht="16" customHeight="1">
      <c r="A36" s="80">
        <v>33</v>
      </c>
      <c r="B36" s="101"/>
      <c r="C36" s="1600" t="str">
        <f>OR_VEH!B485</f>
        <v>NE PAS UTILISER</v>
      </c>
      <c r="D36" s="1588"/>
      <c r="E36" s="779" t="s">
        <v>669</v>
      </c>
      <c r="F36" s="269">
        <f>IFERROR(IF(Flag=TRUE,K36-TBIn!E602,TBIn!D602),0)</f>
        <v>0</v>
      </c>
      <c r="G36" s="2599">
        <f>IFERROR(IF(Flag=TRUE,L36-TBIn!E2212,TBIn!D2212),0)</f>
        <v>0</v>
      </c>
      <c r="H36" s="2601">
        <f>IFERROR(IF(Flag=TRUE,M36-TBIn!E2252,TBIn!D2252),0)</f>
        <v>0</v>
      </c>
      <c r="I36" s="557">
        <f t="shared" si="8"/>
        <v>0</v>
      </c>
      <c r="J36" s="608">
        <f t="shared" si="1"/>
        <v>0</v>
      </c>
      <c r="K36" s="721">
        <f>IFERROR(TBIn!E602,0)</f>
        <v>0</v>
      </c>
      <c r="L36" s="2574">
        <f>IFERROR(TBIn!E2212,0)</f>
        <v>0</v>
      </c>
      <c r="M36" s="2604">
        <f>IFERROR(TBIn!E2252,0)</f>
        <v>0</v>
      </c>
      <c r="N36" s="326">
        <f t="shared" si="9"/>
        <v>0</v>
      </c>
      <c r="O36" s="587">
        <f t="shared" si="2"/>
        <v>0</v>
      </c>
      <c r="P36" s="80">
        <v>33</v>
      </c>
      <c r="Q36" s="656">
        <v>0</v>
      </c>
      <c r="R36" s="656">
        <f t="shared" si="10"/>
        <v>0</v>
      </c>
      <c r="S36" s="656">
        <f t="shared" si="11"/>
        <v>0</v>
      </c>
      <c r="T36" s="656">
        <f t="shared" si="12"/>
        <v>0</v>
      </c>
      <c r="U36" s="656">
        <f t="shared" si="13"/>
        <v>0</v>
      </c>
    </row>
    <row r="37" spans="1:21" s="569" customFormat="1" ht="16" customHeight="1">
      <c r="A37" s="80">
        <v>34</v>
      </c>
      <c r="B37" s="101" t="s">
        <v>127</v>
      </c>
      <c r="C37" s="1600" t="str">
        <f>OR_VEH!B486</f>
        <v>NE PAS UTILISER</v>
      </c>
      <c r="D37" s="1588"/>
      <c r="E37" s="779" t="s">
        <v>670</v>
      </c>
      <c r="F37" s="269">
        <f>IFERROR(IF(Flag=TRUE,K37-TBIn!E603,TBIn!D603),0)</f>
        <v>0</v>
      </c>
      <c r="G37" s="2599">
        <f>IFERROR(IF(Flag=TRUE,L37-TBIn!E2213,TBIn!D2213),0)</f>
        <v>0</v>
      </c>
      <c r="H37" s="2601">
        <f>IFERROR(IF(Flag=TRUE,M37-TBIn!E2253,TBIn!D2253),0)</f>
        <v>0</v>
      </c>
      <c r="I37" s="557">
        <f t="shared" si="8"/>
        <v>0</v>
      </c>
      <c r="J37" s="608">
        <f t="shared" si="1"/>
        <v>0</v>
      </c>
      <c r="K37" s="721">
        <f>IFERROR(TBIn!E603,0)</f>
        <v>0</v>
      </c>
      <c r="L37" s="2574">
        <f>IFERROR(TBIn!E2213,0)</f>
        <v>0</v>
      </c>
      <c r="M37" s="2604">
        <f>IFERROR(TBIn!E2253,0)</f>
        <v>0</v>
      </c>
      <c r="N37" s="326">
        <f t="shared" si="9"/>
        <v>0</v>
      </c>
      <c r="O37" s="587">
        <f t="shared" si="2"/>
        <v>0</v>
      </c>
      <c r="P37" s="80">
        <v>34</v>
      </c>
      <c r="Q37" s="656">
        <v>0</v>
      </c>
      <c r="R37" s="656">
        <f t="shared" si="10"/>
        <v>0</v>
      </c>
      <c r="S37" s="656">
        <f t="shared" si="11"/>
        <v>0</v>
      </c>
      <c r="T37" s="656">
        <f t="shared" si="12"/>
        <v>0</v>
      </c>
      <c r="U37" s="656">
        <f t="shared" si="13"/>
        <v>0</v>
      </c>
    </row>
    <row r="38" spans="1:21" s="569" customFormat="1" ht="16" customHeight="1">
      <c r="A38" s="80">
        <v>35</v>
      </c>
      <c r="B38" s="101" t="s">
        <v>122</v>
      </c>
      <c r="C38" s="1600" t="str">
        <f>OR_VEH!B487</f>
        <v>NE PAS UTILISER</v>
      </c>
      <c r="D38" s="1588"/>
      <c r="E38" s="779" t="s">
        <v>671</v>
      </c>
      <c r="F38" s="269">
        <f>IFERROR(IF(Flag=TRUE,K38-TBIn!E604,TBIn!D604),0)</f>
        <v>0</v>
      </c>
      <c r="G38" s="2599">
        <f>IFERROR(IF(Flag=TRUE,L38-TBIn!E2214,TBIn!D2214),0)</f>
        <v>0</v>
      </c>
      <c r="H38" s="2601">
        <f>IFERROR(IF(Flag=TRUE,M38-TBIn!E2254,TBIn!D2254),0)</f>
        <v>0</v>
      </c>
      <c r="I38" s="557">
        <f t="shared" si="8"/>
        <v>0</v>
      </c>
      <c r="J38" s="608">
        <f t="shared" si="1"/>
        <v>0</v>
      </c>
      <c r="K38" s="721">
        <f>IFERROR(TBIn!E604,0)</f>
        <v>0</v>
      </c>
      <c r="L38" s="2574">
        <f>IFERROR(TBIn!E2214,0)</f>
        <v>0</v>
      </c>
      <c r="M38" s="2604">
        <f>IFERROR(TBIn!E2254,0)</f>
        <v>0</v>
      </c>
      <c r="N38" s="326">
        <f t="shared" si="9"/>
        <v>0</v>
      </c>
      <c r="O38" s="587">
        <f t="shared" si="2"/>
        <v>0</v>
      </c>
      <c r="P38" s="80">
        <v>35</v>
      </c>
      <c r="Q38" s="656">
        <v>0</v>
      </c>
      <c r="R38" s="656">
        <f t="shared" si="10"/>
        <v>0</v>
      </c>
      <c r="S38" s="656">
        <f t="shared" si="11"/>
        <v>0</v>
      </c>
      <c r="T38" s="656">
        <f t="shared" si="12"/>
        <v>0</v>
      </c>
      <c r="U38" s="656">
        <f t="shared" si="13"/>
        <v>0</v>
      </c>
    </row>
    <row r="39" spans="1:21" s="569" customFormat="1" ht="16" customHeight="1">
      <c r="A39" s="80">
        <v>36</v>
      </c>
      <c r="B39" s="101" t="s">
        <v>118</v>
      </c>
      <c r="C39" s="1539" t="str">
        <f>OR_VEH!B488</f>
        <v>NE PAS UTILISER</v>
      </c>
      <c r="D39" s="1588"/>
      <c r="E39" s="779" t="s">
        <v>672</v>
      </c>
      <c r="F39" s="269">
        <f>IFERROR(IF(Flag=TRUE,K39-TBIn!E605,TBIn!D605),0)</f>
        <v>0</v>
      </c>
      <c r="G39" s="2599">
        <f>IFERROR(IF(Flag=TRUE,L39-TBIn!E2215,TBIn!D2215),0)</f>
        <v>0</v>
      </c>
      <c r="H39" s="2601">
        <f>IFERROR(IF(Flag=TRUE,M39-TBIn!E2255,TBIn!D2255),0)</f>
        <v>0</v>
      </c>
      <c r="I39" s="557">
        <f t="shared" si="8"/>
        <v>0</v>
      </c>
      <c r="J39" s="608">
        <f t="shared" si="1"/>
        <v>0</v>
      </c>
      <c r="K39" s="721">
        <f>IFERROR(TBIn!E605,0)</f>
        <v>0</v>
      </c>
      <c r="L39" s="2574">
        <f>IFERROR(TBIn!E2215,0)</f>
        <v>0</v>
      </c>
      <c r="M39" s="2604">
        <f>IFERROR(TBIn!E2255,0)</f>
        <v>0</v>
      </c>
      <c r="N39" s="326">
        <f t="shared" si="9"/>
        <v>0</v>
      </c>
      <c r="O39" s="587">
        <f t="shared" si="2"/>
        <v>0</v>
      </c>
      <c r="P39" s="80">
        <v>36</v>
      </c>
      <c r="Q39" s="656">
        <v>0</v>
      </c>
      <c r="R39" s="656">
        <f t="shared" si="10"/>
        <v>0</v>
      </c>
      <c r="S39" s="656">
        <f t="shared" si="11"/>
        <v>0</v>
      </c>
      <c r="T39" s="656">
        <f t="shared" si="12"/>
        <v>0</v>
      </c>
      <c r="U39" s="656">
        <f t="shared" si="13"/>
        <v>0</v>
      </c>
    </row>
    <row r="40" spans="1:21" s="569" customFormat="1" ht="16" customHeight="1">
      <c r="A40" s="80">
        <v>37</v>
      </c>
      <c r="B40" s="101" t="s">
        <v>157</v>
      </c>
      <c r="C40" s="1600" t="str">
        <f>OR_VEH!B489</f>
        <v>NE PAS UTILISER</v>
      </c>
      <c r="D40" s="1588"/>
      <c r="E40" s="779" t="s">
        <v>673</v>
      </c>
      <c r="F40" s="269">
        <f>IFERROR(IF(Flag=TRUE,K40-TBIn!E606,TBIn!D606),0)</f>
        <v>0</v>
      </c>
      <c r="G40" s="2599">
        <f>IFERROR(IF(Flag=TRUE,L40-TBIn!E2216,TBIn!D2216),0)</f>
        <v>0</v>
      </c>
      <c r="H40" s="2601">
        <f>IFERROR(IF(Flag=TRUE,M40-TBIn!E2256,TBIn!D2256),0)</f>
        <v>0</v>
      </c>
      <c r="I40" s="557">
        <f t="shared" si="8"/>
        <v>0</v>
      </c>
      <c r="J40" s="608">
        <f t="shared" si="1"/>
        <v>0</v>
      </c>
      <c r="K40" s="721">
        <f>IFERROR(TBIn!E606,0)</f>
        <v>0</v>
      </c>
      <c r="L40" s="2574">
        <f>IFERROR(TBIn!E2216,0)</f>
        <v>0</v>
      </c>
      <c r="M40" s="2604">
        <f>IFERROR(TBIn!E2256,0)</f>
        <v>0</v>
      </c>
      <c r="N40" s="326">
        <f t="shared" si="9"/>
        <v>0</v>
      </c>
      <c r="O40" s="587">
        <f t="shared" si="2"/>
        <v>0</v>
      </c>
      <c r="P40" s="80">
        <v>37</v>
      </c>
      <c r="Q40" s="656">
        <v>0</v>
      </c>
      <c r="R40" s="656">
        <f t="shared" si="10"/>
        <v>0</v>
      </c>
      <c r="S40" s="656">
        <f t="shared" si="11"/>
        <v>0</v>
      </c>
      <c r="T40" s="656">
        <f t="shared" si="12"/>
        <v>0</v>
      </c>
      <c r="U40" s="656">
        <f t="shared" si="13"/>
        <v>0</v>
      </c>
    </row>
    <row r="41" spans="1:21" s="569" customFormat="1" ht="16" customHeight="1">
      <c r="A41" s="80">
        <v>38</v>
      </c>
      <c r="B41" s="101" t="s">
        <v>124</v>
      </c>
      <c r="C41" s="1600" t="str">
        <f>OR_VEH!B490</f>
        <v>NE PAS UTILISER</v>
      </c>
      <c r="D41" s="1588"/>
      <c r="E41" s="779" t="s">
        <v>674</v>
      </c>
      <c r="F41" s="269">
        <f>IFERROR(IF(Flag=TRUE,K41-TBIn!E607,TBIn!D607),0)</f>
        <v>0</v>
      </c>
      <c r="G41" s="2599">
        <f>IFERROR(IF(Flag=TRUE,L41-TBIn!E2217,TBIn!D2217),0)</f>
        <v>0</v>
      </c>
      <c r="H41" s="2601">
        <f>IFERROR(IF(Flag=TRUE,M41-TBIn!E2257,TBIn!D2257),0)</f>
        <v>0</v>
      </c>
      <c r="I41" s="557">
        <f t="shared" si="8"/>
        <v>0</v>
      </c>
      <c r="J41" s="608">
        <f t="shared" si="1"/>
        <v>0</v>
      </c>
      <c r="K41" s="721">
        <f>IFERROR(TBIn!E607,0)</f>
        <v>0</v>
      </c>
      <c r="L41" s="2574">
        <f>IFERROR(TBIn!E2217,0)</f>
        <v>0</v>
      </c>
      <c r="M41" s="2604">
        <f>IFERROR(TBIn!E2257,0)</f>
        <v>0</v>
      </c>
      <c r="N41" s="326">
        <f t="shared" si="9"/>
        <v>0</v>
      </c>
      <c r="O41" s="587">
        <f t="shared" si="2"/>
        <v>0</v>
      </c>
      <c r="P41" s="80">
        <v>38</v>
      </c>
      <c r="Q41" s="656">
        <v>0</v>
      </c>
      <c r="R41" s="656">
        <f t="shared" si="10"/>
        <v>0</v>
      </c>
      <c r="S41" s="656">
        <f t="shared" si="11"/>
        <v>0</v>
      </c>
      <c r="T41" s="656">
        <f t="shared" si="12"/>
        <v>0</v>
      </c>
      <c r="U41" s="656">
        <f t="shared" si="13"/>
        <v>0</v>
      </c>
    </row>
    <row r="42" spans="1:21" s="569" customFormat="1" ht="16" customHeight="1">
      <c r="A42" s="80">
        <v>39</v>
      </c>
      <c r="B42" s="101"/>
      <c r="C42" s="1600" t="str">
        <f>OR_VEH!B491</f>
        <v>NE PAS UTILISER</v>
      </c>
      <c r="D42" s="1588"/>
      <c r="E42" s="779" t="s">
        <v>675</v>
      </c>
      <c r="F42" s="269">
        <f>IFERROR(IF(Flag=TRUE,K42-TBIn!E608,TBIn!D608),0)</f>
        <v>0</v>
      </c>
      <c r="G42" s="2599">
        <f>IFERROR(IF(Flag=TRUE,L42-TBIn!E2218,TBIn!D2218),0)</f>
        <v>0</v>
      </c>
      <c r="H42" s="2601">
        <f>IFERROR(IF(Flag=TRUE,M42-TBIn!E2258,TBIn!D2258),0)</f>
        <v>0</v>
      </c>
      <c r="I42" s="557">
        <f t="shared" si="8"/>
        <v>0</v>
      </c>
      <c r="J42" s="608">
        <f t="shared" si="1"/>
        <v>0</v>
      </c>
      <c r="K42" s="721">
        <f>IFERROR(TBIn!E608,0)</f>
        <v>0</v>
      </c>
      <c r="L42" s="2574">
        <f>IFERROR(TBIn!E2218,0)</f>
        <v>0</v>
      </c>
      <c r="M42" s="2604">
        <f>IFERROR(TBIn!E2258,0)</f>
        <v>0</v>
      </c>
      <c r="N42" s="326">
        <f t="shared" si="9"/>
        <v>0</v>
      </c>
      <c r="O42" s="587">
        <f t="shared" si="2"/>
        <v>0</v>
      </c>
      <c r="P42" s="80">
        <v>39</v>
      </c>
      <c r="Q42" s="656">
        <v>0</v>
      </c>
      <c r="R42" s="656">
        <f t="shared" si="10"/>
        <v>0</v>
      </c>
      <c r="S42" s="656">
        <f t="shared" si="11"/>
        <v>0</v>
      </c>
      <c r="T42" s="656">
        <f t="shared" si="12"/>
        <v>0</v>
      </c>
      <c r="U42" s="656">
        <f t="shared" si="13"/>
        <v>0</v>
      </c>
    </row>
    <row r="43" spans="1:21" s="569" customFormat="1" ht="16" customHeight="1">
      <c r="A43" s="80">
        <v>40</v>
      </c>
      <c r="B43" s="101"/>
      <c r="C43" s="1600" t="str">
        <f>OR_VEH!B492</f>
        <v>NE PAS UTILISER</v>
      </c>
      <c r="D43" s="1588"/>
      <c r="E43" s="779" t="s">
        <v>676</v>
      </c>
      <c r="F43" s="269">
        <f>IFERROR(IF(Flag=TRUE,K43-TBIn!E609,TBIn!D609),0)</f>
        <v>0</v>
      </c>
      <c r="G43" s="2599">
        <f>IFERROR(IF(Flag=TRUE,L43-TBIn!E2219,TBIn!D2219),0)</f>
        <v>0</v>
      </c>
      <c r="H43" s="2601">
        <f>IFERROR(IF(Flag=TRUE,M43-TBIn!E2259,TBIn!D2259),0)</f>
        <v>0</v>
      </c>
      <c r="I43" s="557">
        <f t="shared" si="8"/>
        <v>0</v>
      </c>
      <c r="J43" s="608">
        <f t="shared" si="1"/>
        <v>0</v>
      </c>
      <c r="K43" s="721">
        <f>IFERROR(TBIn!E609,0)</f>
        <v>0</v>
      </c>
      <c r="L43" s="2574">
        <f>IFERROR(TBIn!E2219,0)</f>
        <v>0</v>
      </c>
      <c r="M43" s="2604">
        <f>IFERROR(TBIn!E2259,0)</f>
        <v>0</v>
      </c>
      <c r="N43" s="326">
        <f t="shared" si="9"/>
        <v>0</v>
      </c>
      <c r="O43" s="587">
        <f t="shared" si="2"/>
        <v>0</v>
      </c>
      <c r="P43" s="80">
        <v>40</v>
      </c>
      <c r="Q43" s="656">
        <v>0</v>
      </c>
      <c r="R43" s="656">
        <f t="shared" si="10"/>
        <v>0</v>
      </c>
      <c r="S43" s="656">
        <f t="shared" si="11"/>
        <v>0</v>
      </c>
      <c r="T43" s="656">
        <f t="shared" si="12"/>
        <v>0</v>
      </c>
      <c r="U43" s="656">
        <f t="shared" si="13"/>
        <v>0</v>
      </c>
    </row>
    <row r="44" spans="1:21" s="569" customFormat="1" ht="16" customHeight="1">
      <c r="A44" s="80">
        <v>41</v>
      </c>
      <c r="B44" s="101"/>
      <c r="C44" s="274" t="s">
        <v>162</v>
      </c>
      <c r="D44" s="264"/>
      <c r="E44" s="778"/>
      <c r="F44" s="715">
        <f>SUM(F28:F43)</f>
        <v>0</v>
      </c>
      <c r="G44" s="716">
        <f>SUM(G28:G43)</f>
        <v>0</v>
      </c>
      <c r="H44" s="716">
        <f>SUM(H28:H43)</f>
        <v>0</v>
      </c>
      <c r="I44" s="716">
        <f>SUM(I28:I43)</f>
        <v>0</v>
      </c>
      <c r="J44" s="132">
        <f t="shared" si="1"/>
        <v>0</v>
      </c>
      <c r="K44" s="2496">
        <f>SUM(K28:K43)</f>
        <v>0</v>
      </c>
      <c r="L44" s="949">
        <f>SUM(L28:L43)</f>
        <v>0</v>
      </c>
      <c r="M44" s="949">
        <f>SUM(M28:M43)</f>
        <v>0</v>
      </c>
      <c r="N44" s="716">
        <f>SUM(N28:N43)</f>
        <v>0</v>
      </c>
      <c r="O44" s="132">
        <f t="shared" si="2"/>
        <v>0</v>
      </c>
      <c r="P44" s="80">
        <v>41</v>
      </c>
      <c r="Q44" s="656"/>
      <c r="R44" s="656"/>
      <c r="S44" s="656"/>
      <c r="T44" s="656"/>
      <c r="U44" s="656"/>
    </row>
    <row r="45" spans="1:21" s="569" customFormat="1" ht="16" customHeight="1">
      <c r="A45" s="80">
        <v>42</v>
      </c>
      <c r="B45" s="215"/>
      <c r="C45" s="1602" t="str">
        <f>OR_VEH!B494</f>
        <v>MÉMO* VENTES INTERNET CAMIONS</v>
      </c>
      <c r="D45" s="1536"/>
      <c r="E45" s="779" t="s">
        <v>677</v>
      </c>
      <c r="F45" s="269">
        <f>IFERROR(IF(Flag=TRUE,K45-TBIn!E610,TBIn!D610),0)</f>
        <v>0</v>
      </c>
      <c r="G45" s="2599">
        <f>IFERROR(IF(Flag=TRUE,L45-TBIn!$E$164,TBIn!$D$164),0)</f>
        <v>0</v>
      </c>
      <c r="H45" s="2601">
        <f>IFERROR(IF(Flag=TRUE,M45-TBIn!$E$184,TBIn!$D$184),0)</f>
        <v>0</v>
      </c>
      <c r="I45" s="557">
        <f>G45-H45</f>
        <v>0</v>
      </c>
      <c r="J45" s="608">
        <f t="shared" si="1"/>
        <v>0</v>
      </c>
      <c r="K45" s="721">
        <f>IFERROR(TBIn!E610,0)</f>
        <v>0</v>
      </c>
      <c r="L45" s="2574">
        <f>IFERROR(TBIn!$E$164,0)</f>
        <v>0</v>
      </c>
      <c r="M45" s="2604">
        <f>IFERROR(TBIn!$E$184,0)</f>
        <v>0</v>
      </c>
      <c r="N45" s="326">
        <f>L45-M45</f>
        <v>0</v>
      </c>
      <c r="O45" s="587">
        <f t="shared" si="2"/>
        <v>0</v>
      </c>
      <c r="P45" s="80">
        <v>42</v>
      </c>
      <c r="Q45" s="656">
        <v>0</v>
      </c>
      <c r="R45" s="656">
        <f>IF(F45=0,0,IF(G45/F45&gt;Q45,1,0))</f>
        <v>0</v>
      </c>
      <c r="S45" s="656">
        <f>IF(K45=0,0,IF(L45/K45&gt;Q45,1,0))</f>
        <v>0</v>
      </c>
      <c r="T45" s="656">
        <f>IF(OR(F45&lt;0,AND(G45&gt;0,F45=0),AND(G45=0,F45&gt;0)),1,0)</f>
        <v>0</v>
      </c>
      <c r="U45" s="656">
        <f>IF(OR(K45&lt;0,AND(L45&gt;0,K45=0),AND(K45&gt;0,L45=0)),1,0)</f>
        <v>0</v>
      </c>
    </row>
    <row r="46" spans="1:21" s="569" customFormat="1" ht="16" customHeight="1">
      <c r="A46" s="80">
        <v>43</v>
      </c>
      <c r="B46" s="101"/>
      <c r="C46" s="1605" t="str">
        <f>OR_VEH!B495</f>
        <v>TOTAL PARCS - CAMIONS</v>
      </c>
      <c r="D46" s="1588"/>
      <c r="E46" s="779" t="s">
        <v>678</v>
      </c>
      <c r="F46" s="269">
        <f>IFERROR(IF(Flag=TRUE,K46-TBIn!E611,TBIn!D611),0)</f>
        <v>0</v>
      </c>
      <c r="G46" s="2599">
        <f>IFERROR(IF(Flag=TRUE,L46-TBIn!E2220,TBIn!D2220),0)</f>
        <v>0</v>
      </c>
      <c r="H46" s="2599">
        <f>IFERROR(IF(Flag=TRUE,M46-TBIn!E2260,TBIn!D2260),0)</f>
        <v>0</v>
      </c>
      <c r="I46" s="552">
        <f>G46-H46</f>
        <v>0</v>
      </c>
      <c r="J46" s="608">
        <f t="shared" si="1"/>
        <v>0</v>
      </c>
      <c r="K46" s="721">
        <f>IFERROR(TBIn!E611,0)</f>
        <v>0</v>
      </c>
      <c r="L46" s="2574">
        <f>IFERROR(TBIn!E2220,0)</f>
        <v>0</v>
      </c>
      <c r="M46" s="2574">
        <f>IFERROR(TBIn!E2260,0)</f>
        <v>0</v>
      </c>
      <c r="N46" s="555">
        <f>L46-M46</f>
        <v>0</v>
      </c>
      <c r="O46" s="587">
        <f t="shared" si="2"/>
        <v>0</v>
      </c>
      <c r="P46" s="80">
        <v>43</v>
      </c>
      <c r="Q46" s="656">
        <v>0</v>
      </c>
      <c r="R46" s="656">
        <f>IF(F46=0,0,IF(G46/F46&gt;Q46,1,0))</f>
        <v>0</v>
      </c>
      <c r="S46" s="656">
        <f>IF(K46=0,0,IF(L46/K46&gt;Q46,1,0))</f>
        <v>0</v>
      </c>
      <c r="T46" s="656">
        <f>IF(OR(F46&lt;0,AND(G46&gt;0,F46=0),AND(G46=0,F46&gt;0)),1,0)</f>
        <v>0</v>
      </c>
      <c r="U46" s="656">
        <f>IF(OR(K46&lt;0,AND(L46&gt;0,K46=0),AND(K46&gt;0,L46=0)),1,0)</f>
        <v>0</v>
      </c>
    </row>
    <row r="47" spans="1:21" s="569" customFormat="1" ht="16" customHeight="1">
      <c r="A47" s="80">
        <v>44</v>
      </c>
      <c r="B47" s="215"/>
      <c r="C47" s="1606" t="str">
        <f>OR_VEH!B496</f>
        <v xml:space="preserve">TOTAL IINTERNE - CAMIONS </v>
      </c>
      <c r="D47" s="1607"/>
      <c r="E47" s="780" t="s">
        <v>679</v>
      </c>
      <c r="F47" s="269">
        <f>IFERROR(IF(Flag=TRUE,K47-TBIn!E612,TBIn!D612),0)</f>
        <v>0</v>
      </c>
      <c r="G47" s="2599">
        <f>IFERROR(IF(Flag=TRUE,L47-TBIn!E2221,TBIn!D2221),0)</f>
        <v>0</v>
      </c>
      <c r="H47" s="2599">
        <f>IFERROR(IF(Flag=TRUE,M47-TBIn!E2261,TBIn!D2261),0)</f>
        <v>0</v>
      </c>
      <c r="I47" s="552">
        <f>G47-H47</f>
        <v>0</v>
      </c>
      <c r="J47" s="608">
        <f t="shared" si="1"/>
        <v>0</v>
      </c>
      <c r="K47" s="721">
        <f>IFERROR(TBIn!E612,0)</f>
        <v>0</v>
      </c>
      <c r="L47" s="2574">
        <f>IFERROR(TBIn!E2221,0)</f>
        <v>0</v>
      </c>
      <c r="M47" s="2574">
        <f>IFERROR(TBIn!E2261,0)</f>
        <v>0</v>
      </c>
      <c r="N47" s="555">
        <f>L47-M47</f>
        <v>0</v>
      </c>
      <c r="O47" s="587">
        <f t="shared" si="2"/>
        <v>0</v>
      </c>
      <c r="P47" s="80">
        <v>44</v>
      </c>
      <c r="Q47" s="656">
        <v>0</v>
      </c>
      <c r="R47" s="656">
        <f>IF(F47=0,0,IF(G47/F47&gt;Q47,1,0))</f>
        <v>0</v>
      </c>
      <c r="S47" s="656">
        <f>IF(K47=0,0,IF(L47/K47&gt;Q47,1,0))</f>
        <v>0</v>
      </c>
      <c r="T47" s="656">
        <f>IF(OR(F47&lt;0,AND(G47&gt;0,F47=0),AND(G47=0,F47&gt;0)),1,0)</f>
        <v>0</v>
      </c>
      <c r="U47" s="656">
        <f>IF(OR(K47&lt;0,AND(L47&gt;0,K47=0),AND(K47&gt;0,L47=0)),1,0)</f>
        <v>0</v>
      </c>
    </row>
    <row r="48" spans="1:21" s="569" customFormat="1" ht="16" customHeight="1">
      <c r="A48" s="80">
        <v>45</v>
      </c>
      <c r="B48" s="241"/>
      <c r="C48" s="229" t="s">
        <v>165</v>
      </c>
      <c r="D48" s="210"/>
      <c r="E48" s="781"/>
      <c r="F48" s="715">
        <f>F44+F46+F47</f>
        <v>0</v>
      </c>
      <c r="G48" s="716">
        <f>G44+G46+G47</f>
        <v>0</v>
      </c>
      <c r="H48" s="716">
        <f>H44+H46+H47</f>
        <v>0</v>
      </c>
      <c r="I48" s="716">
        <f>I44+I46+I47</f>
        <v>0</v>
      </c>
      <c r="J48" s="132">
        <f t="shared" si="1"/>
        <v>0</v>
      </c>
      <c r="K48" s="2496">
        <f>K44+K46+K47</f>
        <v>0</v>
      </c>
      <c r="L48" s="949">
        <f>L44+L46+L47</f>
        <v>0</v>
      </c>
      <c r="M48" s="949">
        <f>M44+M46+M47</f>
        <v>0</v>
      </c>
      <c r="N48" s="716">
        <f>N44+N46+N47</f>
        <v>0</v>
      </c>
      <c r="O48" s="132">
        <f>IF(K48&gt;0,N48/K48,0)</f>
        <v>0</v>
      </c>
      <c r="P48" s="80">
        <v>45</v>
      </c>
      <c r="Q48" s="656"/>
      <c r="R48" s="656"/>
      <c r="S48" s="656"/>
      <c r="T48" s="656"/>
      <c r="U48" s="656"/>
    </row>
    <row r="49" spans="1:21" s="30" customFormat="1" ht="16" customHeight="1">
      <c r="A49" s="80">
        <v>46</v>
      </c>
      <c r="B49" s="96"/>
      <c r="C49" s="266"/>
      <c r="D49" s="262"/>
      <c r="E49" s="779"/>
      <c r="F49" s="1965"/>
      <c r="G49" s="2599"/>
      <c r="H49" s="2601"/>
      <c r="I49" s="557"/>
      <c r="J49" s="831"/>
      <c r="K49" s="2680"/>
      <c r="L49" s="2700"/>
      <c r="M49" s="2701"/>
      <c r="N49" s="326"/>
      <c r="O49" s="597"/>
      <c r="P49" s="80">
        <v>46</v>
      </c>
      <c r="Q49" s="712">
        <v>0</v>
      </c>
      <c r="R49" s="712">
        <f>IF(F49=0,0,IF(G49/F49&gt;Q49,1,0))</f>
        <v>0</v>
      </c>
      <c r="S49" s="712">
        <f>IF(K49=0,0,IF(L49/K49&gt;Q49,1,0))</f>
        <v>0</v>
      </c>
      <c r="T49" s="712">
        <f>IF(OR(F49&lt;0,AND(G49&gt;0,F49=0),AND(G49=0,F49&gt;0)),1,0)</f>
        <v>0</v>
      </c>
      <c r="U49" s="712">
        <f>IF(OR(K49&lt;0,AND(L49&gt;0,K49=0),AND(K49&gt;0,L49=0)),1,0)</f>
        <v>0</v>
      </c>
    </row>
    <row r="50" spans="1:21" s="30" customFormat="1" ht="16" customHeight="1">
      <c r="A50" s="80">
        <v>47</v>
      </c>
      <c r="B50" s="96"/>
      <c r="C50" s="1600" t="str">
        <f>OR_VEH!B499</f>
        <v>ACCESSOIRES</v>
      </c>
      <c r="D50" s="1588"/>
      <c r="E50" s="779" t="s">
        <v>680</v>
      </c>
      <c r="F50" s="269">
        <f>IFERROR(IF(Flag=TRUE,K50-TBIn!E613,TBIn!D613),0)</f>
        <v>0</v>
      </c>
      <c r="G50" s="2599">
        <f>IFERROR(IF(Flag=TRUE,L50-TBIn!E2222,TBIn!D2222),0)</f>
        <v>0</v>
      </c>
      <c r="H50" s="2601">
        <f>IFERROR(IF(Flag=TRUE,M50-TBIn!E2262,TBIn!D2262),0)</f>
        <v>0</v>
      </c>
      <c r="I50" s="557">
        <f>G50-H50</f>
        <v>0</v>
      </c>
      <c r="J50" s="828">
        <f>IF(F51=0,0,I50/F$51)</f>
        <v>0</v>
      </c>
      <c r="K50" s="721">
        <f>IFERROR(TBIn!E613,0)</f>
        <v>0</v>
      </c>
      <c r="L50" s="2574">
        <f>IFERROR(TBIn!E2222,0)</f>
        <v>0</v>
      </c>
      <c r="M50" s="2604">
        <f>IFERROR(TBIn!E2262,0)</f>
        <v>0</v>
      </c>
      <c r="N50" s="326">
        <f>L50-M50</f>
        <v>0</v>
      </c>
      <c r="O50" s="830">
        <f>IF(K51=0,0,N50/K$51)</f>
        <v>0</v>
      </c>
      <c r="P50" s="80">
        <v>47</v>
      </c>
      <c r="Q50" s="712">
        <v>0</v>
      </c>
      <c r="R50" s="712">
        <f>IF(F50=0,0,IF(G50/F50&gt;Q50,1,0))</f>
        <v>0</v>
      </c>
      <c r="S50" s="712">
        <f>IF(K50=0,0,IF(L50/K50&gt;Q50,1,0))</f>
        <v>0</v>
      </c>
      <c r="T50" s="712">
        <f>IF(OR(F50&lt;0,AND(G50&gt;0,F50=0),AND(G50=0,F50&gt;0)),1,0)</f>
        <v>0</v>
      </c>
      <c r="U50" s="712">
        <f>IF(OR(K50&lt;0,AND(L50&gt;0,K50=0),AND(K50&gt;0,L50=0)),1,0)</f>
        <v>0</v>
      </c>
    </row>
    <row r="51" spans="1:21" s="569" customFormat="1" ht="16" customHeight="1">
      <c r="A51" s="179">
        <v>48</v>
      </c>
      <c r="B51" s="241"/>
      <c r="C51" s="229" t="s">
        <v>168</v>
      </c>
      <c r="D51" s="222"/>
      <c r="E51" s="216"/>
      <c r="F51" s="761">
        <f>IFERROR(IF(Flag=TRUE,F27+F48,TBIn!D614),0)</f>
        <v>0</v>
      </c>
      <c r="G51" s="716">
        <f>G27+G48+G49+G50</f>
        <v>0</v>
      </c>
      <c r="H51" s="848">
        <f>H27+H48+H49+H50</f>
        <v>0</v>
      </c>
      <c r="I51" s="1423">
        <f>IFERROR(IF(Flag=TRUE,I27+I48+I50,TBIn!D2263),0)</f>
        <v>0</v>
      </c>
      <c r="J51" s="1087">
        <f>IF(F51=0,0,I51/F$51)</f>
        <v>0</v>
      </c>
      <c r="K51" s="761">
        <f>IFERROR(IF(Flag=TRUE,K27+K48,TBIn!E614),0)</f>
        <v>0</v>
      </c>
      <c r="L51" s="716">
        <f>L27+L48+L49+L50</f>
        <v>0</v>
      </c>
      <c r="M51" s="848">
        <f>M27+M48+M49+M50</f>
        <v>0</v>
      </c>
      <c r="N51" s="1423">
        <f>IFERROR(IF(N27+N48+N49+N50&gt;0,N27+N48+N49+N50,TBIn!E2263),0)</f>
        <v>0</v>
      </c>
      <c r="O51" s="1087">
        <f>IF(K51=0,0,N51/K$51)</f>
        <v>0</v>
      </c>
      <c r="P51" s="179">
        <v>48</v>
      </c>
      <c r="Q51" s="656"/>
      <c r="R51" s="656"/>
      <c r="S51" s="656"/>
      <c r="T51" s="656"/>
      <c r="U51" s="656"/>
    </row>
    <row r="52" spans="1:21" s="569" customFormat="1" ht="16" customHeight="1">
      <c r="A52" s="76"/>
      <c r="B52" s="84" t="s">
        <v>169</v>
      </c>
      <c r="C52" s="84"/>
      <c r="D52" s="84"/>
      <c r="E52" s="84"/>
      <c r="F52" s="84"/>
      <c r="G52" s="84"/>
      <c r="H52" s="84"/>
      <c r="I52" s="84"/>
      <c r="J52" s="267" t="s">
        <v>170</v>
      </c>
      <c r="K52" s="76"/>
      <c r="L52" s="76"/>
      <c r="M52" s="76"/>
      <c r="N52" s="76"/>
      <c r="O52" s="267" t="s">
        <v>170</v>
      </c>
      <c r="P52" s="76"/>
      <c r="Q52" s="656"/>
      <c r="R52" s="656"/>
      <c r="S52" s="656"/>
      <c r="T52" s="656"/>
      <c r="U52" s="656"/>
    </row>
    <row r="53" spans="1:21" hidden="1">
      <c r="A53" s="3"/>
      <c r="B53" s="1322" t="s">
        <v>681</v>
      </c>
      <c r="C53" s="3"/>
      <c r="D53" s="3"/>
      <c r="E53" s="3"/>
      <c r="F53" s="3"/>
      <c r="G53" s="3"/>
      <c r="H53" s="3"/>
      <c r="I53" s="16"/>
      <c r="J53" s="3"/>
      <c r="K53" s="3"/>
      <c r="L53" s="3"/>
      <c r="M53" s="3"/>
      <c r="N53" s="3"/>
      <c r="O53" s="3"/>
      <c r="P53" s="3"/>
    </row>
    <row r="54" spans="1:21" hidden="1">
      <c r="A54" s="3"/>
      <c r="B54" s="3"/>
      <c r="C54" s="3"/>
      <c r="E54" s="3"/>
      <c r="F54" s="3"/>
      <c r="G54" s="3"/>
      <c r="H54" s="3"/>
      <c r="I54" s="3"/>
      <c r="J54" s="3"/>
      <c r="K54" s="3"/>
      <c r="L54" s="3"/>
      <c r="M54" s="3"/>
      <c r="N54" s="3"/>
      <c r="O54" s="3"/>
      <c r="P54" s="3"/>
    </row>
    <row r="56" spans="1:21" hidden="1">
      <c r="D56" s="30" t="s">
        <v>171</v>
      </c>
      <c r="E56" s="1239" t="s">
        <v>88</v>
      </c>
      <c r="F56" s="30" t="s">
        <v>172</v>
      </c>
    </row>
    <row r="57" spans="1:21" hidden="1">
      <c r="D57" s="30" t="s">
        <v>173</v>
      </c>
      <c r="E57" s="1239" t="s">
        <v>88</v>
      </c>
      <c r="F57" s="30" t="s">
        <v>174</v>
      </c>
    </row>
    <row r="60" spans="1:21" hidden="1">
      <c r="D60" s="30"/>
      <c r="E60" s="1323"/>
      <c r="F60" s="1323"/>
      <c r="G60" s="1323"/>
      <c r="H60" s="1323"/>
      <c r="I60" s="1323"/>
      <c r="J60" s="1323"/>
      <c r="K60" s="1323"/>
      <c r="L60" s="1324"/>
    </row>
    <row r="61" spans="1:21" hidden="1">
      <c r="D61" s="30"/>
      <c r="E61" s="1323"/>
      <c r="F61" s="1323"/>
      <c r="G61" s="1323"/>
      <c r="H61" s="1323"/>
      <c r="I61" s="1323"/>
      <c r="J61" s="1323"/>
      <c r="K61" s="1323"/>
      <c r="L61" s="1324"/>
    </row>
    <row r="62" spans="1:21" ht="13" hidden="1">
      <c r="D62" s="1325"/>
      <c r="E62" s="30"/>
      <c r="F62" s="30"/>
      <c r="G62" s="30"/>
      <c r="H62" s="30"/>
      <c r="I62" s="30"/>
      <c r="J62" s="30"/>
      <c r="K62" s="30"/>
      <c r="L62" s="30"/>
    </row>
  </sheetData>
  <sheetProtection algorithmName="SHA-512" hashValue="ZpzjExcUWZwBod6xhrKAhCHofcIPZ+y9KWwzpJS+47W92dL0Dx/eR47CjfTe0Z7gWw44H88wGKg4mvm0OrOaSw==" saltValue="zesnRq0DybHkKPmVIAsL3A==" spinCount="100000" sheet="1" objects="1" scenarios="1"/>
  <customSheetViews>
    <customSheetView guid="{42A0DCD3-5C27-4BB4-A491-D2E7F84D8A17}" scale="80" showGridLines="0" fitToPage="1" printArea="1" hiddenColumns="1" showRuler="0">
      <selection activeCell="E13" sqref="E13"/>
      <pageMargins left="0.25" right="0.25" top="0.25" bottom="0.25" header="0.5" footer="0.5"/>
      <pageSetup scale="80" orientation="portrait" horizontalDpi="180" verticalDpi="180" r:id="rId1"/>
      <headerFooter alignWithMargins="0"/>
    </customSheetView>
    <customSheetView guid="{EB281BD4-ABCF-428C-A6C2-8158A21EF819}" scale="80" showGridLines="0" fitToPage="1" printArea="1" showRuler="0" topLeftCell="A40">
      <selection activeCell="N1" sqref="N1:T65536"/>
      <pageMargins left="0.25" right="0.25" top="0.25" bottom="0.25" header="0.5" footer="0.5"/>
      <pageSetup scale="81" orientation="portrait" horizontalDpi="180" verticalDpi="180" r:id="rId2"/>
      <headerFooter alignWithMargins="0"/>
    </customSheetView>
    <customSheetView guid="{FA29746F-8847-4779-9FAE-66945DB06B8D}" scale="80" showGridLines="0" showRowCol="0" fitToPage="1" hiddenColumns="1" showRuler="0">
      <pane xSplit="5" ySplit="3" topLeftCell="F4" activePane="bottomRight" state="frozen"/>
      <selection pane="bottomRight" activeCell="F4" sqref="F4"/>
      <pageMargins left="0.25" right="0.25" top="0.25" bottom="0.25" header="0.5" footer="0.5"/>
      <pageSetup scale="81" orientation="portrait" horizontalDpi="180" verticalDpi="180"/>
      <headerFooter alignWithMargins="0"/>
    </customSheetView>
  </customSheetViews>
  <mergeCells count="1">
    <mergeCell ref="B1:D1"/>
  </mergeCells>
  <phoneticPr fontId="7" type="noConversion"/>
  <dataValidations count="1">
    <dataValidation type="whole" allowBlank="1" showInputMessage="1" showErrorMessage="1" errorTitle="Erreur d'Entrée!" error="Seulement des valeurs numériques peuvent être enregistrées dans ce champ!_x000a_" sqref="N51 K4:M22 F24:H26 K24:M26 F28:H43 K28:M43 F45:H47 K45:M47 F50:H50 K50:M50 F51 I51 K51 F4:H22" xr:uid="{00000000-0002-0000-0F00-000000000000}">
      <formula1>-999999999999</formula1>
      <formula2>9999999999999</formula2>
    </dataValidation>
  </dataValidations>
  <hyperlinks>
    <hyperlink ref="C4" r:id="rId3" tooltip="Lien au Manuel des méthodes comptables GM" display="http://gm-ca-fr.acctmanual.com/New_Vehicle/400-418_Voitures_neuves_au_d_tail.htm" xr:uid="{00000000-0004-0000-0F00-000000000000}"/>
    <hyperlink ref="C24" r:id="rId4" tooltip="Lien au Manuel des méthodes comptables GM" display="http://gm-ca-fr.acctmanual.com/New_Vehicle/419_Voitures_neuves_Internet_(compte_m_mo).htm" xr:uid="{00000000-0004-0000-0F00-000001000000}"/>
    <hyperlink ref="C25" r:id="rId5" tooltip="Lien au Manuel des méthodes comptables GM" display="http://gm-ca-fr.acctmanual.com/New_Vehicle/420_Voitures_neuves_-_Parcs.htm" xr:uid="{00000000-0004-0000-0F00-000002000000}"/>
    <hyperlink ref="C26" r:id="rId6" tooltip="Lien au Manuel des méthodes comptables GM" display="http://gm-ca-fr.acctmanual.com/New_Vehicle/421_Voitures_neuves_-_Interne.htm" xr:uid="{00000000-0004-0000-0F00-000003000000}"/>
    <hyperlink ref="C28" r:id="rId7" tooltip="Lien au Manuel des méthodes comptables GM" display="http://gm-ca-fr.acctmanual.com/New_Vehicle/423-438_Camions_neufs_-_au_d_tail.htm" xr:uid="{00000000-0004-0000-0F00-000004000000}"/>
    <hyperlink ref="C45" r:id="rId8" tooltip="Lien au Manuel des méthodes comptables GM" display="http://gm-ca-fr.acctmanual.com/New_Vehicle/439_Camions_neufs_Internet_(compte_m_mo).htm" xr:uid="{00000000-0004-0000-0F00-000005000000}"/>
    <hyperlink ref="C46" r:id="rId9" tooltip="Lien au Manuel des méthodes comptables GM" display="http://gm-ca-fr.acctmanual.com/New_Vehicle/440_Camions_neufs_-_Parcs.htm" xr:uid="{00000000-0004-0000-0F00-000006000000}"/>
    <hyperlink ref="C47" r:id="rId10" tooltip="Lien au Manuel des méthodes comptables GM" display="http://gm-ca-fr.acctmanual.com/New_Vehicle/441_Camions_neufs_-_Interne.htm" xr:uid="{00000000-0004-0000-0F00-000007000000}"/>
    <hyperlink ref="C50" r:id="rId11" tooltip="Lien au Manuel des méthodes comptables GM" display="http://gm-ca-fr.acctmanual.com/New_Vehicle/457_Accessoires.htm" xr:uid="{00000000-0004-0000-0F00-000008000000}"/>
  </hyperlinks>
  <pageMargins left="0.25" right="0.25" top="0.25" bottom="0.25" header="0.5" footer="0.5"/>
  <pageSetup scale="63" orientation="portrait" horizontalDpi="180" verticalDpi="180" r:id="rId12"/>
  <headerFooter alignWithMargins="0"/>
  <drawing r:id="rId13"/>
  <legacyDrawing r:id="rId14"/>
  <controls>
    <mc:AlternateContent xmlns:mc="http://schemas.openxmlformats.org/markup-compatibility/2006">
      <mc:Choice Requires="x14">
        <control shapeId="17418" r:id="rId15" name="CommandButton5j">
          <controlPr defaultSize="0" print="0" autoFill="0" autoLine="0" r:id="rId16">
            <anchor moveWithCells="1">
              <from>
                <xdr:col>11</xdr:col>
                <xdr:colOff>431800</xdr:colOff>
                <xdr:row>0</xdr:row>
                <xdr:rowOff>12700</xdr:rowOff>
              </from>
              <to>
                <xdr:col>12</xdr:col>
                <xdr:colOff>863600</xdr:colOff>
                <xdr:row>1</xdr:row>
                <xdr:rowOff>31750</xdr:rowOff>
              </to>
            </anchor>
          </controlPr>
        </control>
      </mc:Choice>
      <mc:Fallback>
        <control shapeId="17418" r:id="rId15" name="CommandButton5j"/>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pageSetUpPr autoPageBreaks="0" fitToPage="1"/>
  </sheetPr>
  <dimension ref="A1:S84"/>
  <sheetViews>
    <sheetView showGridLines="0" showRowColHeaders="0" workbookViewId="0"/>
  </sheetViews>
  <sheetFormatPr baseColWidth="10" defaultColWidth="0" defaultRowHeight="12.5" zeroHeight="1"/>
  <cols>
    <col min="1" max="1" width="3.81640625" style="2522" customWidth="1"/>
    <col min="2" max="3" width="2.81640625" style="654" customWidth="1"/>
    <col min="4" max="4" width="29.453125" style="654" customWidth="1"/>
    <col min="5" max="5" width="5.1796875" style="654" customWidth="1"/>
    <col min="6" max="6" width="12.54296875" style="654" customWidth="1"/>
    <col min="7" max="8" width="14.81640625" style="654" customWidth="1"/>
    <col min="9" max="9" width="13.81640625" style="654" customWidth="1"/>
    <col min="10" max="10" width="10.81640625" style="654" customWidth="1"/>
    <col min="11" max="11" width="12.54296875" style="654" customWidth="1"/>
    <col min="12" max="13" width="14.81640625" style="654" customWidth="1"/>
    <col min="14" max="14" width="13.81640625" style="654" customWidth="1"/>
    <col min="15" max="15" width="10.81640625" style="654" customWidth="1"/>
    <col min="16" max="16" width="3.81640625" style="654" customWidth="1"/>
    <col min="17" max="18" width="9.1796875" style="654" hidden="1" customWidth="1"/>
    <col min="19" max="19" width="9.81640625" style="654" hidden="1" customWidth="1"/>
    <col min="20" max="20" width="0" style="654" hidden="1" customWidth="1"/>
    <col min="21" max="16384" width="0" style="654" hidden="1"/>
  </cols>
  <sheetData>
    <row r="1" spans="1:18" s="569" customFormat="1" ht="21" customHeight="1">
      <c r="A1" s="281"/>
      <c r="B1" s="60"/>
      <c r="C1" s="59" t="s">
        <v>682</v>
      </c>
      <c r="D1" s="60"/>
      <c r="E1" s="60"/>
      <c r="F1" s="60"/>
      <c r="G1" s="60"/>
      <c r="H1" s="60"/>
      <c r="I1" s="60"/>
      <c r="J1" s="60"/>
      <c r="K1" s="60"/>
      <c r="L1" s="60"/>
      <c r="M1" s="60"/>
      <c r="N1" s="181"/>
      <c r="O1" s="641"/>
      <c r="P1" s="62" t="str">
        <f>TBIn!$E$2458&amp;" - "&amp;TBIn!$AH$10&amp;" - PAGE 6"</f>
        <v>319719 - 202504 - PAGE 6</v>
      </c>
      <c r="Q1" s="642" t="s">
        <v>683</v>
      </c>
      <c r="R1" s="568"/>
    </row>
    <row r="2" spans="1:18" s="569" customFormat="1" ht="16" customHeight="1">
      <c r="A2" s="67" t="s">
        <v>1</v>
      </c>
      <c r="B2" s="182"/>
      <c r="C2" s="2784" t="s">
        <v>684</v>
      </c>
      <c r="D2" s="2785"/>
      <c r="E2" s="189" t="s">
        <v>97</v>
      </c>
      <c r="F2" s="342"/>
      <c r="G2" s="343" t="s">
        <v>685</v>
      </c>
      <c r="H2" s="343"/>
      <c r="I2" s="344"/>
      <c r="J2" s="345"/>
      <c r="K2" s="346"/>
      <c r="L2" s="635" t="s">
        <v>8</v>
      </c>
      <c r="M2" s="635"/>
      <c r="N2" s="580"/>
      <c r="O2" s="581"/>
      <c r="P2" s="67" t="s">
        <v>1</v>
      </c>
      <c r="Q2" s="642" t="s">
        <v>686</v>
      </c>
      <c r="R2" s="568"/>
    </row>
    <row r="3" spans="1:18" s="569" customFormat="1" ht="16" customHeight="1">
      <c r="A3" s="71" t="s">
        <v>6</v>
      </c>
      <c r="B3" s="195"/>
      <c r="C3" s="2786" t="s">
        <v>687</v>
      </c>
      <c r="D3" s="2787"/>
      <c r="E3" s="195" t="s">
        <v>101</v>
      </c>
      <c r="F3" s="1232" t="s">
        <v>102</v>
      </c>
      <c r="G3" s="1233" t="s">
        <v>103</v>
      </c>
      <c r="H3" s="1233" t="s">
        <v>104</v>
      </c>
      <c r="I3" s="1233" t="s">
        <v>105</v>
      </c>
      <c r="J3" s="582" t="s">
        <v>688</v>
      </c>
      <c r="K3" s="1235" t="s">
        <v>102</v>
      </c>
      <c r="L3" s="1236" t="s">
        <v>103</v>
      </c>
      <c r="M3" s="1236" t="s">
        <v>104</v>
      </c>
      <c r="N3" s="1236" t="s">
        <v>105</v>
      </c>
      <c r="O3" s="583" t="s">
        <v>688</v>
      </c>
      <c r="P3" s="2509" t="s">
        <v>6</v>
      </c>
      <c r="Q3" s="643" t="s">
        <v>689</v>
      </c>
      <c r="R3" s="568"/>
    </row>
    <row r="4" spans="1:18" s="2512" customFormat="1" ht="16" customHeight="1">
      <c r="A4" s="74">
        <v>1</v>
      </c>
      <c r="B4" s="101" t="s">
        <v>110</v>
      </c>
      <c r="C4" s="1538" t="s">
        <v>690</v>
      </c>
      <c r="D4" s="1537"/>
      <c r="E4" s="189" t="s">
        <v>691</v>
      </c>
      <c r="F4" s="303">
        <f>IF(Flag=TRUE,K4-TBIn!E928,TBIn!D928)</f>
        <v>0</v>
      </c>
      <c r="G4" s="2625">
        <f>IF(Flag=TRUE,L4-TBIn!E2266,TBIn!D2266)</f>
        <v>0</v>
      </c>
      <c r="H4" s="2625">
        <f>IF(Flag=TRUE,M4-(TBIn!E2273),TBIn!D2273+TBIn!D2275)</f>
        <v>0</v>
      </c>
      <c r="I4" s="560">
        <f>G4-H4</f>
        <v>0</v>
      </c>
      <c r="J4" s="1505">
        <f>IF(F4=0,0,I4/F4)</f>
        <v>0</v>
      </c>
      <c r="K4" s="1840">
        <f>TBIn!E928</f>
        <v>0</v>
      </c>
      <c r="L4" s="2631">
        <f>TBIn!E2266</f>
        <v>0</v>
      </c>
      <c r="M4" s="2631">
        <f>IF(Flag=TRUE,TBIn!E2273,TBIn!E2273+TBIn!E2275)</f>
        <v>0</v>
      </c>
      <c r="N4" s="563">
        <f>L4-M4</f>
        <v>0</v>
      </c>
      <c r="O4" s="2492">
        <f>IF(K4=0,0,N4/K4)</f>
        <v>0</v>
      </c>
      <c r="P4" s="74">
        <v>1</v>
      </c>
      <c r="Q4" s="2510"/>
      <c r="R4" s="2511"/>
    </row>
    <row r="5" spans="1:18" s="569" customFormat="1" ht="15.75" customHeight="1">
      <c r="A5" s="80">
        <v>2</v>
      </c>
      <c r="B5" s="101" t="s">
        <v>692</v>
      </c>
      <c r="C5" s="1613" t="s">
        <v>693</v>
      </c>
      <c r="D5" s="1614"/>
      <c r="E5" s="193" t="s">
        <v>694</v>
      </c>
      <c r="F5" s="304">
        <f>IF(Flag=TRUE,K5-TBIn!E929,TBIn!D929)</f>
        <v>3</v>
      </c>
      <c r="G5" s="2613">
        <f>IF(Flag=TRUE,L5-TBIn!E2267,TBIn!D2267)</f>
        <v>62171</v>
      </c>
      <c r="H5" s="2613">
        <f>IF(Flag=TRUE,M5-(TBIn!E2274),TBIn!D2274+TBIn!D2276)</f>
        <v>54691</v>
      </c>
      <c r="I5" s="558">
        <f>G5-H5</f>
        <v>7480</v>
      </c>
      <c r="J5" s="1506">
        <f>IF(F5=0,0,I5/F5)</f>
        <v>2493.3333333333335</v>
      </c>
      <c r="K5" s="1841">
        <f>TBIn!E929</f>
        <v>18</v>
      </c>
      <c r="L5" s="2615">
        <f>TBIn!E2267</f>
        <v>423573</v>
      </c>
      <c r="M5" s="2615">
        <f>IF(Flag=TRUE,TBIn!E2274,TBIn!E2274+TBIn!E2276)</f>
        <v>401183</v>
      </c>
      <c r="N5" s="559">
        <f>L5-M5</f>
        <v>22390</v>
      </c>
      <c r="O5" s="2493">
        <f>IF(K5=0,0,N5/K5)</f>
        <v>1243.8888888888889</v>
      </c>
      <c r="P5" s="80">
        <v>2</v>
      </c>
      <c r="Q5" s="644"/>
      <c r="R5" s="568"/>
    </row>
    <row r="6" spans="1:18" s="569" customFormat="1" ht="16" customHeight="1">
      <c r="A6" s="80">
        <v>3</v>
      </c>
      <c r="B6" s="101" t="s">
        <v>695</v>
      </c>
      <c r="C6" s="1617" t="str">
        <f>IF(Q6="TOTAL","*MÉMO* TOTAL REMISE-À-NEUF VOIT DÉT","*MÉMO* REMISE-À-NEUF PAR VOIT DÉT.")</f>
        <v>*MÉMO* REMISE-À-NEUF PAR VOIT DÉT.</v>
      </c>
      <c r="D6" s="1548"/>
      <c r="E6" s="1553"/>
      <c r="F6" s="283" t="s">
        <v>696</v>
      </c>
      <c r="G6" s="484">
        <f>IF(Flag=TRUE,L6-TBIn!E2275,IF(F4=0,0,ROUND(TBIn!D2275/F4,0)))</f>
        <v>0</v>
      </c>
      <c r="H6" s="1618" t="s">
        <v>697</v>
      </c>
      <c r="I6" s="1255" t="s">
        <v>698</v>
      </c>
      <c r="J6" s="57">
        <f>IF(Flag=TRUE,O6-TBIn!E2276,IF(F5=0,0,ROUND(TBIn!D2276/F5,0)))</f>
        <v>1098</v>
      </c>
      <c r="K6" s="284" t="s">
        <v>696</v>
      </c>
      <c r="L6" s="1844">
        <f>IF(Flag=TRUE,TBIn!E2275,IF(K4=0,0,ROUND(TBIn!E2275/K4,0)))</f>
        <v>0</v>
      </c>
      <c r="M6" s="1618" t="s">
        <v>697</v>
      </c>
      <c r="N6" s="1165" t="s">
        <v>698</v>
      </c>
      <c r="O6" s="721">
        <f>IF(Flag=TRUE,TBIn!E2276,IF(K5=0,0,ROUND(TBIn!E2276/K5,0)))</f>
        <v>1240</v>
      </c>
      <c r="P6" s="80">
        <v>3</v>
      </c>
      <c r="Q6" s="644" t="str">
        <f>IF(Flag=TRUE,"TOTAL","")</f>
        <v/>
      </c>
      <c r="R6" s="568"/>
    </row>
    <row r="7" spans="1:18" s="569" customFormat="1" ht="15.75" customHeight="1">
      <c r="A7" s="80">
        <v>4</v>
      </c>
      <c r="B7" s="101"/>
      <c r="C7" s="2788" t="s">
        <v>699</v>
      </c>
      <c r="D7" s="2789"/>
      <c r="E7" s="190" t="s">
        <v>700</v>
      </c>
      <c r="F7" s="268">
        <f>IF(Flag=TRUE,K7-TBIn!E931,TBIn!D931)</f>
        <v>0</v>
      </c>
      <c r="G7" s="2598">
        <f>IF(Flag=TRUE,L7-TBIn!E2269,TBIn!D2269)</f>
        <v>0</v>
      </c>
      <c r="H7" s="2598">
        <f>IF(Flag=TRUE,M7-(TBIn!E2279),TBIn!D2279+TBIn!D2281)</f>
        <v>0</v>
      </c>
      <c r="I7" s="551">
        <f>G7-H7</f>
        <v>0</v>
      </c>
      <c r="J7" s="1507">
        <f>IF(F7=0,0,I7/F7)</f>
        <v>0</v>
      </c>
      <c r="K7" s="1842">
        <f>TBIn!E931</f>
        <v>0</v>
      </c>
      <c r="L7" s="2602">
        <f>TBIn!E2269</f>
        <v>0</v>
      </c>
      <c r="M7" s="2602">
        <f>IF(Flag=TRUE,TBIn!E2279,TBIn!E2279+TBIn!E2281)</f>
        <v>0</v>
      </c>
      <c r="N7" s="554">
        <f>L7-M7</f>
        <v>0</v>
      </c>
      <c r="O7" s="2494">
        <f>IF(K7=0,0,N7/K7)</f>
        <v>0</v>
      </c>
      <c r="P7" s="80">
        <v>4</v>
      </c>
      <c r="Q7" s="644"/>
      <c r="R7" s="568"/>
    </row>
    <row r="8" spans="1:18" s="569" customFormat="1" ht="15.75" customHeight="1">
      <c r="A8" s="80">
        <v>5</v>
      </c>
      <c r="B8" s="101" t="s">
        <v>701</v>
      </c>
      <c r="C8" s="1613" t="s">
        <v>702</v>
      </c>
      <c r="D8" s="1551"/>
      <c r="E8" s="201" t="s">
        <v>703</v>
      </c>
      <c r="F8" s="269">
        <f>IF(Flag=TRUE,K8-TBIn!E932,TBIn!D932)</f>
        <v>7</v>
      </c>
      <c r="G8" s="2599">
        <f>IF(Flag=TRUE,L8-TBIn!E2270,TBIn!D2270)</f>
        <v>231998</v>
      </c>
      <c r="H8" s="2599">
        <f>IF(Flag=TRUE,M8-(TBIn!E2280),TBIn!D2280+TBIn!D2282)</f>
        <v>216363</v>
      </c>
      <c r="I8" s="552">
        <f>G8-H8</f>
        <v>15635</v>
      </c>
      <c r="J8" s="1508">
        <f>IF(F8=0,0,I8/F8)</f>
        <v>2233.5714285714284</v>
      </c>
      <c r="K8" s="1843">
        <f>TBIn!E932</f>
        <v>28</v>
      </c>
      <c r="L8" s="2574">
        <f>TBIn!E2270</f>
        <v>955545</v>
      </c>
      <c r="M8" s="2574">
        <f>IF(Flag=TRUE,TBIn!E2280,TBIn!E2280+TBIn!E2282)</f>
        <v>900754</v>
      </c>
      <c r="N8" s="555">
        <f>L8-M8</f>
        <v>54791</v>
      </c>
      <c r="O8" s="2495">
        <f>IF(K8=0,0,N8/K8)</f>
        <v>1956.8214285714287</v>
      </c>
      <c r="P8" s="80">
        <v>5</v>
      </c>
      <c r="Q8" s="644"/>
      <c r="R8" s="568"/>
    </row>
    <row r="9" spans="1:18" s="569" customFormat="1" ht="15.75" customHeight="1">
      <c r="A9" s="80">
        <v>6</v>
      </c>
      <c r="B9" s="101" t="s">
        <v>112</v>
      </c>
      <c r="C9" s="1617" t="str">
        <f>IF(Q9="TOTAL","*MÉMO* TOTAL REMISE-À-NEUF CAM DÉT","*MÉMO* REMISE-À-NEUF PAR CAM DÉT")</f>
        <v>*MÉMO* REMISE-À-NEUF PAR CAM DÉT</v>
      </c>
      <c r="D9" s="1548"/>
      <c r="E9" s="1620"/>
      <c r="F9" s="283" t="s">
        <v>696</v>
      </c>
      <c r="G9" s="484">
        <f>IF(Flag=TRUE,L9-TBIn!E2281,IF(F7=0,0,ROUND(TBIn!D2281/F7,0)))</f>
        <v>0</v>
      </c>
      <c r="H9" s="1618" t="s">
        <v>704</v>
      </c>
      <c r="I9" s="1255" t="s">
        <v>698</v>
      </c>
      <c r="J9" s="305">
        <f>IF(Flag=TRUE,O9-TBIn!E2282,IF(F8=0,0,ROUND(TBIn!D2282/F8,0)))</f>
        <v>1288</v>
      </c>
      <c r="K9" s="284" t="s">
        <v>696</v>
      </c>
      <c r="L9" s="1844">
        <f>IF(Flag=TRUE,TBIn!E2281,IF(K7=0,0,ROUND(TBIn!E2281/K7,0)))</f>
        <v>0</v>
      </c>
      <c r="M9" s="1618" t="s">
        <v>705</v>
      </c>
      <c r="N9" s="1165" t="s">
        <v>698</v>
      </c>
      <c r="O9" s="723">
        <f>IF(Flag=TRUE,TBIn!E2282,IF(K8=0,0,ROUND(TBIn!E2282/K8,0)))</f>
        <v>1254</v>
      </c>
      <c r="P9" s="80">
        <v>6</v>
      </c>
      <c r="Q9" s="644" t="str">
        <f>IF(Flag=TRUE,"TOTAL","")</f>
        <v/>
      </c>
      <c r="R9" s="568"/>
    </row>
    <row r="10" spans="1:18" s="569" customFormat="1" ht="15.75" customHeight="1">
      <c r="A10" s="80">
        <v>7</v>
      </c>
      <c r="B10" s="101" t="s">
        <v>143</v>
      </c>
      <c r="C10" s="229" t="s">
        <v>706</v>
      </c>
      <c r="D10" s="210"/>
      <c r="E10" s="211"/>
      <c r="F10" s="265">
        <f>F4+F5+F7+F8</f>
        <v>10</v>
      </c>
      <c r="G10" s="949">
        <f>G4+G5+G7+G8</f>
        <v>294169</v>
      </c>
      <c r="H10" s="949">
        <f>H4+H5+H7+H8</f>
        <v>271054</v>
      </c>
      <c r="I10" s="949">
        <f>I4+I5+I7+I8</f>
        <v>23115</v>
      </c>
      <c r="J10" s="1509">
        <f>IF(F10=0,0,I10/F10)</f>
        <v>2311.5</v>
      </c>
      <c r="K10" s="265">
        <f>K4+K5+K7+K8</f>
        <v>46</v>
      </c>
      <c r="L10" s="949">
        <f>L4+L5+L7+L8</f>
        <v>1379118</v>
      </c>
      <c r="M10" s="949">
        <f>M4+M5+M7+M8</f>
        <v>1301937</v>
      </c>
      <c r="N10" s="949">
        <f>N4+N5+N7+N8</f>
        <v>77181</v>
      </c>
      <c r="O10" s="2496">
        <f>IF(K10=0,0,N10/K10)</f>
        <v>1677.8478260869565</v>
      </c>
      <c r="P10" s="80">
        <v>7</v>
      </c>
      <c r="Q10" s="644"/>
      <c r="R10" s="568"/>
    </row>
    <row r="11" spans="1:18" s="569" customFormat="1" ht="15.75" customHeight="1">
      <c r="A11" s="80">
        <v>8</v>
      </c>
      <c r="B11" s="101" t="s">
        <v>143</v>
      </c>
      <c r="C11" s="1615" t="s">
        <v>707</v>
      </c>
      <c r="D11" s="1551"/>
      <c r="E11" s="201">
        <v>448</v>
      </c>
      <c r="F11" s="269">
        <f>IF(Flag=TRUE,K11-TBIn!E930,TBIn!D930)</f>
        <v>62</v>
      </c>
      <c r="G11" s="2599">
        <f>IF(Flag=TRUE,L11-TBIn!E2268,TBIn!D2268)</f>
        <v>1913477</v>
      </c>
      <c r="H11" s="2599">
        <f>IF(Flag=TRUE,M11-(TBIn!E2277),TBIn!D2277)</f>
        <v>1861517</v>
      </c>
      <c r="I11" s="552">
        <f>G11-H11</f>
        <v>51960</v>
      </c>
      <c r="J11" s="1510">
        <f>IF(F11=0,0,I11/F11)</f>
        <v>838.06451612903231</v>
      </c>
      <c r="K11" s="1843">
        <f>TBIn!$E$930</f>
        <v>263</v>
      </c>
      <c r="L11" s="2574">
        <f>TBIn!$E$2268</f>
        <v>6876504</v>
      </c>
      <c r="M11" s="2574">
        <f>TBIn!E2277</f>
        <v>6615573</v>
      </c>
      <c r="N11" s="555">
        <f>L11-M11</f>
        <v>260931</v>
      </c>
      <c r="O11" s="2495">
        <f>IF(K11=0,0,N11/K11)</f>
        <v>992.13307984790879</v>
      </c>
      <c r="P11" s="80">
        <v>8</v>
      </c>
      <c r="Q11" s="644"/>
      <c r="R11" s="568"/>
    </row>
    <row r="12" spans="1:18" s="569" customFormat="1" ht="15.75" customHeight="1">
      <c r="A12" s="80">
        <v>9</v>
      </c>
      <c r="B12" s="170" t="s">
        <v>145</v>
      </c>
      <c r="C12" s="2792" t="s">
        <v>708</v>
      </c>
      <c r="D12" s="2793"/>
      <c r="E12" s="1621">
        <v>649</v>
      </c>
      <c r="F12" s="285" t="str">
        <f>IF((Page7!E71+Page7!E72)&gt;0,ROUND(((F4+F5)/(Page7!E71+Page7!E72)),1)&amp;" : 1","")</f>
        <v/>
      </c>
      <c r="G12" s="1619" t="s">
        <v>709</v>
      </c>
      <c r="H12" s="2626">
        <f>IF(Flag=TRUE,M12-TBIn!E2278,TBIn!D2278)</f>
        <v>0</v>
      </c>
      <c r="I12" s="561">
        <f>-H12</f>
        <v>0</v>
      </c>
      <c r="J12" s="1023"/>
      <c r="K12" s="286" t="str">
        <f>IF((Page7!J71+Page7!J72)&gt;0,ROUND(((K4+K5)/(Page7!J71+Page7!J72)),1)&amp;" : 1","")</f>
        <v>18 : 1</v>
      </c>
      <c r="L12" s="1619" t="s">
        <v>709</v>
      </c>
      <c r="M12" s="2632">
        <f>TBIn!E2278</f>
        <v>0</v>
      </c>
      <c r="N12" s="564">
        <f>-M12</f>
        <v>0</v>
      </c>
      <c r="O12" s="940"/>
      <c r="P12" s="80">
        <v>9</v>
      </c>
      <c r="Q12" s="644"/>
      <c r="R12" s="568"/>
    </row>
    <row r="13" spans="1:18" s="569" customFormat="1" ht="15.75" customHeight="1">
      <c r="A13" s="80">
        <v>10</v>
      </c>
      <c r="B13" s="101" t="s">
        <v>124</v>
      </c>
      <c r="C13" s="1615" t="s">
        <v>710</v>
      </c>
      <c r="D13" s="1551"/>
      <c r="E13" s="201">
        <v>452</v>
      </c>
      <c r="F13" s="269">
        <f>IF(Flag=TRUE,K13-TBIn!E933,TBIn!D933)</f>
        <v>47</v>
      </c>
      <c r="G13" s="2599">
        <f>IF(Flag=TRUE,L13-TBIn!E2271,TBIn!D2271)</f>
        <v>1216537</v>
      </c>
      <c r="H13" s="2599">
        <f>IF(Flag=TRUE,M13-(TBIn!E2283),TBIn!D2283)</f>
        <v>1190830</v>
      </c>
      <c r="I13" s="552">
        <f>G13-H13</f>
        <v>25707</v>
      </c>
      <c r="J13" s="1508">
        <f>IF(F13=0,0,I13/F13)</f>
        <v>546.95744680851067</v>
      </c>
      <c r="K13" s="1843">
        <f>TBIn!$E$933</f>
        <v>54</v>
      </c>
      <c r="L13" s="2574">
        <f>TBIn!$E$2271</f>
        <v>1350838</v>
      </c>
      <c r="M13" s="2574">
        <f>TBIn!E2283</f>
        <v>1320432</v>
      </c>
      <c r="N13" s="555">
        <f>L13-M13</f>
        <v>30406</v>
      </c>
      <c r="O13" s="2495">
        <f>IF(K13=0,0,N13/K13)</f>
        <v>563.07407407407402</v>
      </c>
      <c r="P13" s="80">
        <v>10</v>
      </c>
      <c r="Q13" s="644"/>
      <c r="R13" s="568"/>
    </row>
    <row r="14" spans="1:18" s="569" customFormat="1" ht="15.75" customHeight="1">
      <c r="A14" s="80">
        <v>11</v>
      </c>
      <c r="B14" s="101" t="s">
        <v>114</v>
      </c>
      <c r="C14" s="2794" t="s">
        <v>711</v>
      </c>
      <c r="D14" s="2795"/>
      <c r="E14" s="195">
        <v>653</v>
      </c>
      <c r="F14" s="285" t="str">
        <f>IF((Page7!E75+Page7!E76)&gt;0,ROUND(((F7+F8)/(Page7!E75+Page7!E76)),1)&amp;" : 1","")</f>
        <v>0,1 : 1</v>
      </c>
      <c r="G14" s="1256" t="s">
        <v>712</v>
      </c>
      <c r="H14" s="2627">
        <f>IF(Flag=TRUE,M14-TBIn!E2284,TBIn!D2284)</f>
        <v>0</v>
      </c>
      <c r="I14" s="562">
        <f>-H14</f>
        <v>0</v>
      </c>
      <c r="J14" s="1023"/>
      <c r="K14" s="286" t="str">
        <f>IF((Page7!J75+Page7!J76)&gt;0,ROUND(((K7+K8)/(Page7!J75+Page7!J76)),1)&amp;" : 1","")</f>
        <v>0,2 : 1</v>
      </c>
      <c r="L14" s="1619" t="s">
        <v>712</v>
      </c>
      <c r="M14" s="2632">
        <f>TBIn!E2284</f>
        <v>0</v>
      </c>
      <c r="N14" s="564">
        <f>-M14</f>
        <v>0</v>
      </c>
      <c r="O14" s="940"/>
      <c r="P14" s="80">
        <v>11</v>
      </c>
      <c r="Q14" s="644"/>
      <c r="R14" s="568"/>
    </row>
    <row r="15" spans="1:18" s="569" customFormat="1" ht="15.75" customHeight="1">
      <c r="A15" s="80">
        <v>12</v>
      </c>
      <c r="B15" s="101" t="s">
        <v>112</v>
      </c>
      <c r="C15" s="229" t="s">
        <v>713</v>
      </c>
      <c r="D15" s="210"/>
      <c r="E15" s="211"/>
      <c r="F15" s="265">
        <f>F11+F13</f>
        <v>109</v>
      </c>
      <c r="G15" s="949">
        <f>G11+G13</f>
        <v>3130014</v>
      </c>
      <c r="H15" s="716">
        <f>H11+H12+H13+H14</f>
        <v>3052347</v>
      </c>
      <c r="I15" s="716">
        <f>I11+I12+I13+I14</f>
        <v>77667</v>
      </c>
      <c r="J15" s="1509">
        <f>IF(F15=0,0,I15/F15)</f>
        <v>712.54128440366969</v>
      </c>
      <c r="K15" s="265">
        <f>K11+K13</f>
        <v>317</v>
      </c>
      <c r="L15" s="949">
        <f>L11+L13</f>
        <v>8227342</v>
      </c>
      <c r="M15" s="716">
        <f>M11+M12+M13+M14</f>
        <v>7936005</v>
      </c>
      <c r="N15" s="716">
        <f>N11+N12+N13+N14</f>
        <v>291337</v>
      </c>
      <c r="O15" s="2496">
        <f>IF(K15=0,0,N15/K15)</f>
        <v>919.0441640378549</v>
      </c>
      <c r="P15" s="80">
        <v>12</v>
      </c>
      <c r="Q15" s="644"/>
      <c r="R15" s="568"/>
    </row>
    <row r="16" spans="1:18" s="569" customFormat="1" ht="15.75" customHeight="1">
      <c r="A16" s="80">
        <v>13</v>
      </c>
      <c r="B16" s="101" t="s">
        <v>127</v>
      </c>
      <c r="C16" s="1589" t="s">
        <v>714</v>
      </c>
      <c r="D16" s="1616"/>
      <c r="E16" s="195">
        <v>456</v>
      </c>
      <c r="F16" s="939"/>
      <c r="G16" s="2626">
        <f>IF(Flag=TRUE,L16-TBIn!E2272,TBIn!D2272)</f>
        <v>1998853</v>
      </c>
      <c r="H16" s="2626">
        <f>IF(Flag=TRUE,M16-(TBIn!$E2285),TBIn!$D2285)</f>
        <v>1878277</v>
      </c>
      <c r="I16" s="561">
        <f>G16-H16</f>
        <v>120576</v>
      </c>
      <c r="J16" s="764">
        <f>IF(F10=0,0,I16/F10)</f>
        <v>12057.6</v>
      </c>
      <c r="K16" s="2682"/>
      <c r="L16" s="2632">
        <f>TBIn!$E$2272</f>
        <v>6952190</v>
      </c>
      <c r="M16" s="2632">
        <f>TBIn!E2285</f>
        <v>6528915</v>
      </c>
      <c r="N16" s="564">
        <f>L16-M16</f>
        <v>423275</v>
      </c>
      <c r="O16" s="2497">
        <f>IF(K10=0,0,N16/K10)</f>
        <v>9201.6304347826081</v>
      </c>
      <c r="P16" s="80">
        <v>13</v>
      </c>
      <c r="Q16" s="644"/>
      <c r="R16" s="568"/>
    </row>
    <row r="17" spans="1:18" s="569" customFormat="1" ht="16" customHeight="1">
      <c r="A17" s="80">
        <v>14</v>
      </c>
      <c r="B17" s="330"/>
      <c r="C17" s="287" t="s">
        <v>715</v>
      </c>
      <c r="D17" s="210"/>
      <c r="E17" s="211"/>
      <c r="F17" s="761">
        <f>IF(Flag=TRUE,F10+F15,TBIn!D934)</f>
        <v>119</v>
      </c>
      <c r="G17" s="716">
        <f>G10+G15+G16</f>
        <v>5423036</v>
      </c>
      <c r="H17" s="716">
        <f>H10+H15+H16</f>
        <v>5201678</v>
      </c>
      <c r="I17" s="2628">
        <f>IF(Flag=TRUE,I10+I15+I16,TBIn!$D2286)</f>
        <v>221358</v>
      </c>
      <c r="J17" s="132">
        <f>IF(F10=0,0,I17/F10)</f>
        <v>22135.8</v>
      </c>
      <c r="K17" s="761">
        <f>IF(Flag=TRUE,K10+K15,TBIn!E934)</f>
        <v>363</v>
      </c>
      <c r="L17" s="716">
        <f>L10+L15+L16</f>
        <v>16558650</v>
      </c>
      <c r="M17" s="716">
        <f>M10+M15+M16</f>
        <v>15766857</v>
      </c>
      <c r="N17" s="2628">
        <f>IF(Flag=TRUE,N10+N15+N16,TBIn!$E2286)</f>
        <v>791793</v>
      </c>
      <c r="O17" s="848">
        <f>IF(K10=0,0,N17/K10)</f>
        <v>17212.891304347828</v>
      </c>
      <c r="P17" s="80">
        <v>14</v>
      </c>
      <c r="Q17" s="644"/>
      <c r="R17" s="568"/>
    </row>
    <row r="18" spans="1:18" s="569" customFormat="1" ht="16" customHeight="1">
      <c r="A18" s="80">
        <v>15</v>
      </c>
      <c r="B18" s="96"/>
      <c r="C18" s="288" t="s">
        <v>716</v>
      </c>
      <c r="D18" s="210"/>
      <c r="E18" s="211"/>
      <c r="F18" s="265">
        <f>F17+Page7!E81</f>
        <v>183</v>
      </c>
      <c r="G18" s="949">
        <f>G17+Page7!F81</f>
        <v>9859640</v>
      </c>
      <c r="H18" s="716">
        <f>H17+Page7!G81</f>
        <v>9477069</v>
      </c>
      <c r="I18" s="949">
        <f>I17+Page7!H81</f>
        <v>382571</v>
      </c>
      <c r="J18" s="1509">
        <f>IF((F$4+F$5+F$7+F$8+Page7!E$71+Page7!E$75+Page7!E$72+Page7!E$76)=0,0,I18/(F$4+F$5+F$7+F$8+Page7!E$71+Page7!E$75+Page7!E$72+Page7!E$76))</f>
        <v>5977.671875</v>
      </c>
      <c r="K18" s="265">
        <f>K17+Page7!J81</f>
        <v>583</v>
      </c>
      <c r="L18" s="949">
        <f>L17+Page7!K81</f>
        <v>33164952</v>
      </c>
      <c r="M18" s="716">
        <f>M17+Page7!L81</f>
        <v>31793143</v>
      </c>
      <c r="N18" s="949">
        <f>N17+Page7!M81</f>
        <v>1371809</v>
      </c>
      <c r="O18" s="2496">
        <f>IF((K$4+K$5+K$7+K$8+Page7!J$71+Page7!J$75+Page7!J$72+Page7!J$76)=0,0,N18/(K$4+K$5+K$7+K$8+Page7!J$71+Page7!J$75+Page7!J$72+Page7!J$76))</f>
        <v>5912.9698275862065</v>
      </c>
      <c r="P18" s="80">
        <v>15</v>
      </c>
      <c r="Q18" s="644"/>
      <c r="R18" s="598"/>
    </row>
    <row r="19" spans="1:18" s="569" customFormat="1" ht="16" customHeight="1">
      <c r="A19" s="80">
        <v>16</v>
      </c>
      <c r="B19" s="96"/>
      <c r="C19" s="142" t="s">
        <v>717</v>
      </c>
      <c r="D19" s="633"/>
      <c r="E19" s="1252"/>
      <c r="F19" s="935"/>
      <c r="G19" s="289">
        <f>Page7!F24+Page8!H54</f>
        <v>44441</v>
      </c>
      <c r="H19" s="290">
        <f>Page7!G24+Page8!J54</f>
        <v>31557</v>
      </c>
      <c r="I19" s="290">
        <f>Page7!H24+Page8!K54</f>
        <v>12884</v>
      </c>
      <c r="J19" s="2259">
        <f>IF((F$4+F$5+F$7+F$8+Page7!E$71+Page7!E$75+Page7!E$72+Page7!E$76)=0,0,I19/(F$4+F$5+F$7+F$8+Page7!E$71+Page7!E$75+Page7!E$72+Page7!E$76))</f>
        <v>201.3125</v>
      </c>
      <c r="K19" s="1025"/>
      <c r="L19" s="291">
        <f>Page7!K24+Page8!O54</f>
        <v>170336</v>
      </c>
      <c r="M19" s="292">
        <f>Page7!L24+Page8!P54</f>
        <v>113099</v>
      </c>
      <c r="N19" s="292">
        <f>Page7!M24+Page8!Q54</f>
        <v>57237</v>
      </c>
      <c r="O19" s="2498">
        <f>IF((K$4+K$5+K$7+K$8+Page7!J$71+Page7!J$75+Page7!J$72+Page7!J$76)=0,0,N19/(K$4+K$5+K$7+K$8+Page7!J$71+Page7!J$75+Page7!J$72+Page7!J$76))</f>
        <v>246.71120689655172</v>
      </c>
      <c r="P19" s="80">
        <v>16</v>
      </c>
      <c r="Q19" s="644"/>
      <c r="R19" s="598"/>
    </row>
    <row r="20" spans="1:18" s="569" customFormat="1" ht="16" customHeight="1">
      <c r="A20" s="80">
        <v>17</v>
      </c>
      <c r="B20" s="96"/>
      <c r="C20" s="88" t="s">
        <v>718</v>
      </c>
      <c r="D20" s="1148"/>
      <c r="E20" s="1253"/>
      <c r="F20" s="937"/>
      <c r="G20" s="290">
        <f>Page8!H12+Page8!H26</f>
        <v>0</v>
      </c>
      <c r="H20" s="290">
        <f>Page8!H22</f>
        <v>0</v>
      </c>
      <c r="I20" s="290">
        <f>Page8!H27</f>
        <v>0</v>
      </c>
      <c r="J20" s="1328" t="s">
        <v>719</v>
      </c>
      <c r="K20" s="863"/>
      <c r="L20" s="292">
        <f>Page8!J12+Page8!J26</f>
        <v>0</v>
      </c>
      <c r="M20" s="292">
        <f>Page8!J22</f>
        <v>0</v>
      </c>
      <c r="N20" s="292">
        <f>Page8!J27</f>
        <v>0</v>
      </c>
      <c r="O20" s="2499" t="s">
        <v>719</v>
      </c>
      <c r="P20" s="80">
        <v>17</v>
      </c>
      <c r="Q20" s="644"/>
      <c r="R20" s="568"/>
    </row>
    <row r="21" spans="1:18" s="569" customFormat="1" ht="16" customHeight="1">
      <c r="A21" s="80">
        <v>18</v>
      </c>
      <c r="B21" s="96"/>
      <c r="C21" s="288" t="s">
        <v>720</v>
      </c>
      <c r="D21" s="210"/>
      <c r="E21" s="211"/>
      <c r="F21" s="1024"/>
      <c r="G21" s="716">
        <f>G18+G19+G20</f>
        <v>9904081</v>
      </c>
      <c r="H21" s="858">
        <f>H18+H19+H20</f>
        <v>9508626</v>
      </c>
      <c r="I21" s="858">
        <f>I18+I19+I20</f>
        <v>395455</v>
      </c>
      <c r="J21" s="1511">
        <f>IF((F4+F5+F7+F8+Page7!E71+Page7!E75+Page7!E72+Page7!E76)=0,0,I21/(F4+F5+F7+F8+Page7!E71+Page7!E75+Page7!E72+Page7!E76))</f>
        <v>6178.984375</v>
      </c>
      <c r="K21" s="1026"/>
      <c r="L21" s="716">
        <f>L18+L19+L20</f>
        <v>33335288</v>
      </c>
      <c r="M21" s="858">
        <f>M18+M19+M20</f>
        <v>31906242</v>
      </c>
      <c r="N21" s="858">
        <f>N18+N19+N20</f>
        <v>1429046</v>
      </c>
      <c r="O21" s="957">
        <f>IF((K4+K5+K7+K8+Page7!J71+Page7!J75+Page7!J72+Page7!J76)=0,0,N21/(K4+K5+K7+K8+Page7!J71+Page7!J75+Page7!J72+Page7!J76))</f>
        <v>6159.6810344827591</v>
      </c>
      <c r="P21" s="80">
        <v>18</v>
      </c>
      <c r="Q21" s="568"/>
      <c r="R21" s="568"/>
    </row>
    <row r="22" spans="1:18" s="569" customFormat="1" ht="16" customHeight="1">
      <c r="A22" s="80">
        <v>19</v>
      </c>
      <c r="B22" s="217"/>
      <c r="C22" s="238"/>
      <c r="D22" s="1186"/>
      <c r="E22" s="160" t="s">
        <v>97</v>
      </c>
      <c r="F22" s="1257" t="s">
        <v>7</v>
      </c>
      <c r="G22" s="593"/>
      <c r="H22" s="593"/>
      <c r="I22" s="592"/>
      <c r="J22" s="593"/>
      <c r="K22" s="331" t="s">
        <v>8</v>
      </c>
      <c r="L22" s="332"/>
      <c r="M22" s="332"/>
      <c r="N22" s="594"/>
      <c r="O22" s="595"/>
      <c r="P22" s="80">
        <v>19</v>
      </c>
      <c r="Q22" s="568"/>
      <c r="R22" s="568"/>
    </row>
    <row r="23" spans="1:18" s="569" customFormat="1" ht="16" customHeight="1">
      <c r="A23" s="80">
        <v>20</v>
      </c>
      <c r="B23" s="293"/>
      <c r="C23" s="294" t="s">
        <v>721</v>
      </c>
      <c r="D23" s="2484"/>
      <c r="E23" s="158" t="s">
        <v>101</v>
      </c>
      <c r="F23" s="2432" t="s">
        <v>722</v>
      </c>
      <c r="G23" s="2433" t="s">
        <v>103</v>
      </c>
      <c r="H23" s="2433" t="s">
        <v>104</v>
      </c>
      <c r="I23" s="2433" t="s">
        <v>105</v>
      </c>
      <c r="J23" s="2434" t="s">
        <v>723</v>
      </c>
      <c r="K23" s="2435" t="s">
        <v>722</v>
      </c>
      <c r="L23" s="2436" t="s">
        <v>103</v>
      </c>
      <c r="M23" s="2436" t="s">
        <v>104</v>
      </c>
      <c r="N23" s="2436" t="s">
        <v>105</v>
      </c>
      <c r="O23" s="2437" t="s">
        <v>723</v>
      </c>
      <c r="P23" s="80">
        <v>20</v>
      </c>
      <c r="Q23" s="568"/>
      <c r="R23" s="568"/>
    </row>
    <row r="24" spans="1:18" s="569" customFormat="1" ht="16" customHeight="1">
      <c r="A24" s="80">
        <v>21</v>
      </c>
      <c r="B24" s="293"/>
      <c r="C24" s="501"/>
      <c r="D24" s="2451" t="s">
        <v>724</v>
      </c>
      <c r="E24" s="108" t="s">
        <v>725</v>
      </c>
      <c r="F24" s="2439">
        <f>IF(Flag=TRUE,K24-TBIn!E935,TBIn!D935)</f>
        <v>275</v>
      </c>
      <c r="G24" s="2598">
        <f>IF(Flag=TRUE,L24-TBIn!E2287,TBIn!D2287)</f>
        <v>53150</v>
      </c>
      <c r="H24" s="2598">
        <f>IF(Flag=TRUE,M24-(TBIn!E2329),TBIn!D2329)</f>
        <v>22944</v>
      </c>
      <c r="I24" s="551">
        <f t="shared" ref="I24:I39" si="0">G24-H24</f>
        <v>30206</v>
      </c>
      <c r="J24" s="2440">
        <f t="shared" ref="J24:J38" si="1">IF(G24=0,0,I24/G24)</f>
        <v>0.56831608654750709</v>
      </c>
      <c r="K24" s="2444">
        <f>TBIn!E935</f>
        <v>802</v>
      </c>
      <c r="L24" s="2602">
        <f>TBIn!E2287</f>
        <v>169451</v>
      </c>
      <c r="M24" s="2602">
        <f>TBIn!E2329</f>
        <v>76118</v>
      </c>
      <c r="N24" s="554">
        <f t="shared" ref="N24:N38" si="2">L24-M24</f>
        <v>93333</v>
      </c>
      <c r="O24" s="2500">
        <f t="shared" ref="O24:O38" si="3">IF(L24=0,0,N24/L24)</f>
        <v>0.55079639541814451</v>
      </c>
      <c r="P24" s="80">
        <v>21</v>
      </c>
      <c r="Q24" s="568"/>
      <c r="R24" s="568"/>
    </row>
    <row r="25" spans="1:18" ht="16" customHeight="1">
      <c r="A25" s="80">
        <v>22</v>
      </c>
      <c r="B25" s="293"/>
      <c r="C25" s="2428"/>
      <c r="D25" s="2485" t="s">
        <v>726</v>
      </c>
      <c r="E25" s="108" t="s">
        <v>727</v>
      </c>
      <c r="F25" s="2371">
        <f>IF(Flag=TRUE,K25-TBIn!E936,TBIn!D936)</f>
        <v>0</v>
      </c>
      <c r="G25" s="2613">
        <f>IF(Flag=TRUE,L25-TBIn!E2288,TBIn!D2288)</f>
        <v>0</v>
      </c>
      <c r="H25" s="2613">
        <f>IF(Flag=TRUE,M25-(TBIn!E2330),TBIn!D2330)</f>
        <v>0</v>
      </c>
      <c r="I25" s="2306">
        <f t="shared" si="0"/>
        <v>0</v>
      </c>
      <c r="J25" s="2441">
        <f t="shared" si="1"/>
        <v>0</v>
      </c>
      <c r="K25" s="2372">
        <f>TBIn!E936</f>
        <v>0</v>
      </c>
      <c r="L25" s="2615">
        <f>TBIn!E2288</f>
        <v>0</v>
      </c>
      <c r="M25" s="2615">
        <f>TBIn!E2330</f>
        <v>0</v>
      </c>
      <c r="N25" s="945">
        <f t="shared" ref="N25:N34" si="4">L25-M25</f>
        <v>0</v>
      </c>
      <c r="O25" s="2501">
        <f t="shared" ref="O25:O34" si="5">IF(L25=0,0,N25/L25)</f>
        <v>0</v>
      </c>
      <c r="P25" s="80">
        <v>22</v>
      </c>
      <c r="Q25" s="677"/>
      <c r="R25" s="677"/>
    </row>
    <row r="26" spans="1:18" s="569" customFormat="1" ht="16" customHeight="1">
      <c r="A26" s="80">
        <v>23</v>
      </c>
      <c r="B26" s="293"/>
      <c r="C26" s="2428"/>
      <c r="D26" s="2483" t="s">
        <v>728</v>
      </c>
      <c r="E26" s="108" t="s">
        <v>729</v>
      </c>
      <c r="F26" s="2371">
        <v>0</v>
      </c>
      <c r="G26" s="2613">
        <f>IF(Flag=TRUE,L26-TBIn!E2289,TBIn!D2289)</f>
        <v>0</v>
      </c>
      <c r="H26" s="2613">
        <f>IF(Flag=TRUE,M26-(TBIn!E2331),TBIn!D2331)</f>
        <v>0</v>
      </c>
      <c r="I26" s="2306">
        <f t="shared" si="0"/>
        <v>0</v>
      </c>
      <c r="J26" s="2441">
        <f t="shared" si="1"/>
        <v>0</v>
      </c>
      <c r="K26" s="2372">
        <v>0</v>
      </c>
      <c r="L26" s="2615">
        <f>TBIn!E2289</f>
        <v>0</v>
      </c>
      <c r="M26" s="2615">
        <f>TBIn!E2331</f>
        <v>0</v>
      </c>
      <c r="N26" s="945">
        <f t="shared" si="4"/>
        <v>0</v>
      </c>
      <c r="O26" s="2501">
        <f t="shared" si="5"/>
        <v>0</v>
      </c>
      <c r="P26" s="80">
        <v>23</v>
      </c>
      <c r="Q26" s="568"/>
      <c r="R26" s="568"/>
    </row>
    <row r="27" spans="1:18" ht="16" customHeight="1">
      <c r="A27" s="80">
        <v>24</v>
      </c>
      <c r="B27" s="293"/>
      <c r="C27" s="2428"/>
      <c r="D27" s="2485" t="s">
        <v>730</v>
      </c>
      <c r="E27" s="108" t="s">
        <v>731</v>
      </c>
      <c r="F27" s="2371">
        <f>IF(Flag=TRUE,K27-TBIn!E938,TBIn!D938)</f>
        <v>0</v>
      </c>
      <c r="G27" s="2613">
        <f>IF(Flag=TRUE,L27-TBIn!E2290,TBIn!D2290)</f>
        <v>0</v>
      </c>
      <c r="H27" s="2613">
        <f>IF(Flag=TRUE,M27-(TBIn!E2332),TBIn!D2332)</f>
        <v>0</v>
      </c>
      <c r="I27" s="2306">
        <f t="shared" si="0"/>
        <v>0</v>
      </c>
      <c r="J27" s="2441">
        <f t="shared" si="1"/>
        <v>0</v>
      </c>
      <c r="K27" s="2372">
        <f>TBIn!E938</f>
        <v>0</v>
      </c>
      <c r="L27" s="2615">
        <f>TBIn!E2290</f>
        <v>0</v>
      </c>
      <c r="M27" s="2615">
        <f>TBIn!E2332</f>
        <v>0</v>
      </c>
      <c r="N27" s="945">
        <f t="shared" si="4"/>
        <v>0</v>
      </c>
      <c r="O27" s="2501">
        <f t="shared" si="5"/>
        <v>0</v>
      </c>
      <c r="P27" s="80">
        <v>24</v>
      </c>
      <c r="Q27" s="677"/>
      <c r="R27" s="677"/>
    </row>
    <row r="28" spans="1:18" s="569" customFormat="1" ht="16" customHeight="1">
      <c r="A28" s="80">
        <v>25</v>
      </c>
      <c r="B28" s="293"/>
      <c r="C28" s="2428" t="s">
        <v>147</v>
      </c>
      <c r="D28" s="2483" t="s">
        <v>732</v>
      </c>
      <c r="E28" s="108" t="s">
        <v>733</v>
      </c>
      <c r="F28" s="2371">
        <f>IF(Flag=TRUE,K28-TBIn!E939,TBIn!D939)</f>
        <v>0</v>
      </c>
      <c r="G28" s="2613">
        <f>IF(Flag=TRUE,L28-TBIn!E2291,TBIn!D2291)</f>
        <v>0</v>
      </c>
      <c r="H28" s="2613">
        <f>IF(Flag=TRUE,M28-(TBIn!E2333),TBIn!D2333)</f>
        <v>0</v>
      </c>
      <c r="I28" s="2306">
        <f t="shared" si="0"/>
        <v>0</v>
      </c>
      <c r="J28" s="2441">
        <f t="shared" si="1"/>
        <v>0</v>
      </c>
      <c r="K28" s="2372">
        <f>TBIn!E939</f>
        <v>0</v>
      </c>
      <c r="L28" s="2615">
        <f>TBIn!E2291</f>
        <v>0</v>
      </c>
      <c r="M28" s="2615">
        <f>TBIn!E2333</f>
        <v>0</v>
      </c>
      <c r="N28" s="945">
        <f t="shared" si="4"/>
        <v>0</v>
      </c>
      <c r="O28" s="2501">
        <f t="shared" si="5"/>
        <v>0</v>
      </c>
      <c r="P28" s="80">
        <v>25</v>
      </c>
      <c r="Q28" s="568"/>
      <c r="R28" s="568"/>
    </row>
    <row r="29" spans="1:18" ht="16" customHeight="1">
      <c r="A29" s="80">
        <v>26</v>
      </c>
      <c r="B29" s="295" t="s">
        <v>112</v>
      </c>
      <c r="C29" s="2428" t="s">
        <v>692</v>
      </c>
      <c r="D29" s="2485" t="s">
        <v>734</v>
      </c>
      <c r="E29" s="108" t="s">
        <v>735</v>
      </c>
      <c r="F29" s="2371">
        <f>IF(Flag=TRUE,K29-TBIn!E940,TBIn!D940)</f>
        <v>0</v>
      </c>
      <c r="G29" s="2613">
        <f>IF(Flag=TRUE,L29-TBIn!E2292,TBIn!D2292)</f>
        <v>0</v>
      </c>
      <c r="H29" s="2613">
        <f>IF(Flag=TRUE,M29-(TBIn!E2334),TBIn!D2334)</f>
        <v>0</v>
      </c>
      <c r="I29" s="2306">
        <f t="shared" si="0"/>
        <v>0</v>
      </c>
      <c r="J29" s="2441">
        <f t="shared" si="1"/>
        <v>0</v>
      </c>
      <c r="K29" s="2372">
        <f>TBIn!E940</f>
        <v>0</v>
      </c>
      <c r="L29" s="2615">
        <f>TBIn!E2292</f>
        <v>0</v>
      </c>
      <c r="M29" s="2615">
        <f>TBIn!E2334</f>
        <v>0</v>
      </c>
      <c r="N29" s="945">
        <f t="shared" si="4"/>
        <v>0</v>
      </c>
      <c r="O29" s="2501">
        <f t="shared" si="5"/>
        <v>0</v>
      </c>
      <c r="P29" s="80">
        <v>26</v>
      </c>
      <c r="Q29" s="677"/>
      <c r="R29" s="677"/>
    </row>
    <row r="30" spans="1:18" ht="16" customHeight="1">
      <c r="A30" s="80">
        <v>27</v>
      </c>
      <c r="B30" s="293"/>
      <c r="C30" s="2428" t="s">
        <v>143</v>
      </c>
      <c r="D30" s="2485" t="s">
        <v>736</v>
      </c>
      <c r="E30" s="108" t="s">
        <v>737</v>
      </c>
      <c r="F30" s="2371">
        <f>IF(Flag=TRUE,K30-TBIn!E941,TBIn!D941)</f>
        <v>0</v>
      </c>
      <c r="G30" s="2613">
        <f>IF(Flag=TRUE,L30-TBIn!E2293,TBIn!D2293)</f>
        <v>0</v>
      </c>
      <c r="H30" s="2613">
        <f>IF(Flag=TRUE,M30-(TBIn!E2335),TBIn!D2335)</f>
        <v>0</v>
      </c>
      <c r="I30" s="2306">
        <f t="shared" si="0"/>
        <v>0</v>
      </c>
      <c r="J30" s="2441">
        <f t="shared" si="1"/>
        <v>0</v>
      </c>
      <c r="K30" s="2372">
        <f>TBIn!E941</f>
        <v>0</v>
      </c>
      <c r="L30" s="2615">
        <f>TBIn!E2293</f>
        <v>0</v>
      </c>
      <c r="M30" s="2615">
        <f>TBIn!E2335</f>
        <v>0</v>
      </c>
      <c r="N30" s="945">
        <f t="shared" si="4"/>
        <v>0</v>
      </c>
      <c r="O30" s="2501">
        <f t="shared" si="5"/>
        <v>0</v>
      </c>
      <c r="P30" s="80">
        <v>27</v>
      </c>
      <c r="Q30" s="677"/>
      <c r="R30" s="677"/>
    </row>
    <row r="31" spans="1:18" s="569" customFormat="1" ht="16" customHeight="1">
      <c r="A31" s="80">
        <v>28</v>
      </c>
      <c r="B31" s="295" t="s">
        <v>738</v>
      </c>
      <c r="C31" s="2428" t="s">
        <v>145</v>
      </c>
      <c r="D31" s="2483" t="s">
        <v>739</v>
      </c>
      <c r="E31" s="108" t="s">
        <v>740</v>
      </c>
      <c r="F31" s="2371">
        <f>IF(Flag=TRUE,K31-TBIn!E942,TBIn!D942)</f>
        <v>0</v>
      </c>
      <c r="G31" s="2613">
        <f>IF(Flag=TRUE,L31-TBIn!E2294,TBIn!D2294)</f>
        <v>0</v>
      </c>
      <c r="H31" s="2613">
        <f>IF(Flag=TRUE,M31-(TBIn!E2336),TBIn!D2336)</f>
        <v>0</v>
      </c>
      <c r="I31" s="2306">
        <f t="shared" si="0"/>
        <v>0</v>
      </c>
      <c r="J31" s="2441">
        <f t="shared" si="1"/>
        <v>0</v>
      </c>
      <c r="K31" s="2372">
        <f>TBIn!E942</f>
        <v>0</v>
      </c>
      <c r="L31" s="2615">
        <f>TBIn!E2294</f>
        <v>0</v>
      </c>
      <c r="M31" s="2615">
        <f>TBIn!E2336</f>
        <v>0</v>
      </c>
      <c r="N31" s="945">
        <f t="shared" si="4"/>
        <v>0</v>
      </c>
      <c r="O31" s="2501">
        <f t="shared" si="5"/>
        <v>0</v>
      </c>
      <c r="P31" s="80">
        <v>28</v>
      </c>
      <c r="Q31" s="568"/>
      <c r="R31" s="568"/>
    </row>
    <row r="32" spans="1:18" ht="16" customHeight="1">
      <c r="A32" s="80">
        <v>29</v>
      </c>
      <c r="B32" s="295"/>
      <c r="C32" s="2428" t="s">
        <v>127</v>
      </c>
      <c r="D32" s="2485" t="s">
        <v>741</v>
      </c>
      <c r="E32" s="108" t="s">
        <v>742</v>
      </c>
      <c r="F32" s="2371">
        <f>IF(Flag=TRUE,K32-TBIn!E943,TBIn!D943)</f>
        <v>0</v>
      </c>
      <c r="G32" s="2613">
        <f>IF(Flag=TRUE,L32-TBIn!E2295,TBIn!D2295)</f>
        <v>0</v>
      </c>
      <c r="H32" s="2613">
        <f>IF(Flag=TRUE,M32-(TBIn!E2337),TBIn!D2337)</f>
        <v>0</v>
      </c>
      <c r="I32" s="2306">
        <f t="shared" si="0"/>
        <v>0</v>
      </c>
      <c r="J32" s="2441">
        <f t="shared" si="1"/>
        <v>0</v>
      </c>
      <c r="K32" s="2372">
        <f>TBIn!E943</f>
        <v>0</v>
      </c>
      <c r="L32" s="2615">
        <f>TBIn!E2295</f>
        <v>0</v>
      </c>
      <c r="M32" s="2615">
        <f>TBIn!E2337</f>
        <v>0</v>
      </c>
      <c r="N32" s="945">
        <f t="shared" si="4"/>
        <v>0</v>
      </c>
      <c r="O32" s="2501">
        <f t="shared" si="5"/>
        <v>0</v>
      </c>
      <c r="P32" s="80">
        <v>29</v>
      </c>
      <c r="Q32" s="677"/>
      <c r="R32" s="677"/>
    </row>
    <row r="33" spans="1:19" s="569" customFormat="1" ht="16" customHeight="1">
      <c r="A33" s="80">
        <v>30</v>
      </c>
      <c r="B33" s="295" t="s">
        <v>692</v>
      </c>
      <c r="C33" s="2428" t="s">
        <v>114</v>
      </c>
      <c r="D33" s="2483" t="s">
        <v>743</v>
      </c>
      <c r="E33" s="108" t="s">
        <v>744</v>
      </c>
      <c r="F33" s="2371">
        <f>IF(Flag=TRUE,K33-TBIn!E944,TBIn!D944)</f>
        <v>0</v>
      </c>
      <c r="G33" s="2613">
        <f>IF(Flag=TRUE,L33-TBIn!E2296,TBIn!D2296)</f>
        <v>0</v>
      </c>
      <c r="H33" s="2613">
        <f>IF(Flag=TRUE,M33-(TBIn!E2338),TBIn!D2338)</f>
        <v>0</v>
      </c>
      <c r="I33" s="2306">
        <f t="shared" si="0"/>
        <v>0</v>
      </c>
      <c r="J33" s="2441">
        <f t="shared" si="1"/>
        <v>0</v>
      </c>
      <c r="K33" s="2372">
        <f>TBIn!E944</f>
        <v>0</v>
      </c>
      <c r="L33" s="2615">
        <f>TBIn!E2296</f>
        <v>0</v>
      </c>
      <c r="M33" s="2615">
        <f>TBIn!E2338</f>
        <v>0</v>
      </c>
      <c r="N33" s="945">
        <f t="shared" si="4"/>
        <v>0</v>
      </c>
      <c r="O33" s="2501">
        <f t="shared" si="5"/>
        <v>0</v>
      </c>
      <c r="P33" s="80">
        <v>30</v>
      </c>
      <c r="Q33" s="568"/>
      <c r="R33" s="568"/>
    </row>
    <row r="34" spans="1:19" ht="16" customHeight="1">
      <c r="A34" s="80">
        <v>31</v>
      </c>
      <c r="B34" s="295"/>
      <c r="C34" s="2428" t="s">
        <v>745</v>
      </c>
      <c r="D34" s="2485" t="s">
        <v>746</v>
      </c>
      <c r="E34" s="108" t="s">
        <v>747</v>
      </c>
      <c r="F34" s="2371">
        <f>IF(Flag=TRUE,K34-TBIn!E945,TBIn!D945)</f>
        <v>0</v>
      </c>
      <c r="G34" s="2613">
        <f>IF(Flag=TRUE,L34-TBIn!E2297,TBIn!D2297)</f>
        <v>0</v>
      </c>
      <c r="H34" s="2613">
        <f>IF(Flag=TRUE,M34-(TBIn!E2339),TBIn!D2339)</f>
        <v>0</v>
      </c>
      <c r="I34" s="2306">
        <f t="shared" si="0"/>
        <v>0</v>
      </c>
      <c r="J34" s="2441">
        <f t="shared" si="1"/>
        <v>0</v>
      </c>
      <c r="K34" s="2372">
        <f>TBIn!E945</f>
        <v>0</v>
      </c>
      <c r="L34" s="2615">
        <f>TBIn!E2297</f>
        <v>0</v>
      </c>
      <c r="M34" s="2615">
        <f>TBIn!E2339</f>
        <v>0</v>
      </c>
      <c r="N34" s="945">
        <f t="shared" si="4"/>
        <v>0</v>
      </c>
      <c r="O34" s="2501">
        <f t="shared" si="5"/>
        <v>0</v>
      </c>
      <c r="P34" s="80">
        <v>31</v>
      </c>
      <c r="Q34" s="677"/>
      <c r="R34" s="677"/>
    </row>
    <row r="35" spans="1:19" s="569" customFormat="1" ht="16" customHeight="1">
      <c r="A35" s="80">
        <v>32</v>
      </c>
      <c r="B35" s="295" t="s">
        <v>120</v>
      </c>
      <c r="C35" s="2428" t="s">
        <v>118</v>
      </c>
      <c r="D35" s="1623" t="s">
        <v>748</v>
      </c>
      <c r="E35" s="108" t="s">
        <v>749</v>
      </c>
      <c r="F35" s="2371">
        <f>IF(Flag=TRUE,K35-TBIn!E946,TBIn!D946)</f>
        <v>0</v>
      </c>
      <c r="G35" s="2613">
        <f>IF(Flag=TRUE,L35-TBIn!E2298,TBIn!D2298)</f>
        <v>0</v>
      </c>
      <c r="H35" s="2613">
        <f>IF(Flag=TRUE,M35-(TBIn!E2340),TBIn!D2340)</f>
        <v>0</v>
      </c>
      <c r="I35" s="558">
        <f t="shared" si="0"/>
        <v>0</v>
      </c>
      <c r="J35" s="2441">
        <f t="shared" si="1"/>
        <v>0</v>
      </c>
      <c r="K35" s="2372">
        <f>TBIn!E946</f>
        <v>0</v>
      </c>
      <c r="L35" s="2615">
        <f>TBIn!E2298</f>
        <v>0</v>
      </c>
      <c r="M35" s="2615">
        <f>TBIn!E2340</f>
        <v>0</v>
      </c>
      <c r="N35" s="559">
        <f t="shared" si="2"/>
        <v>0</v>
      </c>
      <c r="O35" s="2501">
        <f t="shared" si="3"/>
        <v>0</v>
      </c>
      <c r="P35" s="80">
        <v>32</v>
      </c>
      <c r="Q35" s="568"/>
      <c r="R35" s="568"/>
    </row>
    <row r="36" spans="1:19" s="569" customFormat="1" ht="16" customHeight="1">
      <c r="A36" s="80">
        <v>33</v>
      </c>
      <c r="B36" s="295"/>
      <c r="C36" s="2428" t="s">
        <v>122</v>
      </c>
      <c r="D36" s="1623" t="s">
        <v>750</v>
      </c>
      <c r="E36" s="108">
        <v>462</v>
      </c>
      <c r="F36" s="2371">
        <f>IF(Flag=TRUE,K36-TBIn!E947,TBIn!D947)</f>
        <v>190</v>
      </c>
      <c r="G36" s="2613">
        <f>IF(Flag=TRUE,L36-TBIn!E2299,TBIn!D2299)</f>
        <v>30570</v>
      </c>
      <c r="H36" s="2613">
        <f>IF(Flag=TRUE,M36-(TBIn!E2341),TBIn!D2341)</f>
        <v>18953</v>
      </c>
      <c r="I36" s="558">
        <f t="shared" si="0"/>
        <v>11617</v>
      </c>
      <c r="J36" s="2441">
        <f t="shared" si="1"/>
        <v>0.38001308472358519</v>
      </c>
      <c r="K36" s="2372">
        <f>TBIn!E947</f>
        <v>686</v>
      </c>
      <c r="L36" s="2615">
        <f>TBIn!E2299</f>
        <v>98951</v>
      </c>
      <c r="M36" s="2615">
        <f>TBIn!E2341</f>
        <v>63410</v>
      </c>
      <c r="N36" s="559">
        <f t="shared" si="2"/>
        <v>35541</v>
      </c>
      <c r="O36" s="2501">
        <f t="shared" si="3"/>
        <v>0.35917777485826319</v>
      </c>
      <c r="P36" s="80">
        <v>33</v>
      </c>
      <c r="Q36" s="568"/>
      <c r="R36" s="568"/>
    </row>
    <row r="37" spans="1:19" s="569" customFormat="1" ht="16" customHeight="1">
      <c r="A37" s="80">
        <v>34</v>
      </c>
      <c r="B37" s="295" t="s">
        <v>145</v>
      </c>
      <c r="C37" s="2428"/>
      <c r="D37" s="1623" t="s">
        <v>751</v>
      </c>
      <c r="E37" s="108">
        <v>463</v>
      </c>
      <c r="F37" s="2371">
        <f>IF(Flag=TRUE,K37-TBIn!E948,TBIn!D948)</f>
        <v>284</v>
      </c>
      <c r="G37" s="2613">
        <f>IF(Flag=TRUE,L37-TBIn!E2300,TBIn!D2300)</f>
        <v>49243</v>
      </c>
      <c r="H37" s="2613">
        <f>IF(Flag=TRUE,M37-(TBIn!E2342),TBIn!D2342)</f>
        <v>23414</v>
      </c>
      <c r="I37" s="558">
        <f t="shared" si="0"/>
        <v>25829</v>
      </c>
      <c r="J37" s="2441">
        <f t="shared" si="1"/>
        <v>0.52452125175151798</v>
      </c>
      <c r="K37" s="2372">
        <f>TBIn!E948</f>
        <v>1069</v>
      </c>
      <c r="L37" s="2615">
        <f>TBIn!E2300</f>
        <v>182492</v>
      </c>
      <c r="M37" s="2615">
        <f>TBIn!E2342</f>
        <v>84792</v>
      </c>
      <c r="N37" s="559">
        <f t="shared" si="2"/>
        <v>97700</v>
      </c>
      <c r="O37" s="2501">
        <f t="shared" si="3"/>
        <v>0.53536593384915498</v>
      </c>
      <c r="P37" s="80">
        <v>34</v>
      </c>
      <c r="Q37" s="2513"/>
      <c r="R37" s="568"/>
    </row>
    <row r="38" spans="1:19" s="569" customFormat="1" ht="16" customHeight="1">
      <c r="A38" s="80">
        <v>35</v>
      </c>
      <c r="B38" s="295"/>
      <c r="C38" s="2428"/>
      <c r="D38" s="1623" t="s">
        <v>752</v>
      </c>
      <c r="E38" s="108">
        <v>464</v>
      </c>
      <c r="F38" s="2442">
        <f>IF(Flag=TRUE,K38-TBIn!$E$949,TBIn!$D$949)</f>
        <v>0</v>
      </c>
      <c r="G38" s="2618">
        <f>IF(Flag=TRUE,L38-TBIn!E2301,TBIn!D2301)</f>
        <v>0</v>
      </c>
      <c r="H38" s="2613">
        <f>IF(Flag=TRUE,M38-(TBIn!E2343),TBIn!D2343)</f>
        <v>0</v>
      </c>
      <c r="I38" s="558">
        <f t="shared" si="0"/>
        <v>0</v>
      </c>
      <c r="J38" s="2443">
        <f t="shared" si="1"/>
        <v>0</v>
      </c>
      <c r="K38" s="2445">
        <f>TBIn!E949</f>
        <v>0</v>
      </c>
      <c r="L38" s="2619">
        <f>TBIn!E2301</f>
        <v>0</v>
      </c>
      <c r="M38" s="2615">
        <f>TBIn!E2343</f>
        <v>0</v>
      </c>
      <c r="N38" s="559">
        <f t="shared" si="2"/>
        <v>0</v>
      </c>
      <c r="O38" s="2502">
        <f t="shared" si="3"/>
        <v>0</v>
      </c>
      <c r="P38" s="80">
        <v>35</v>
      </c>
      <c r="Q38" s="568"/>
      <c r="R38" s="568"/>
    </row>
    <row r="39" spans="1:19" s="569" customFormat="1" ht="16" customHeight="1">
      <c r="A39" s="80">
        <v>36</v>
      </c>
      <c r="B39" s="295" t="s">
        <v>116</v>
      </c>
      <c r="C39" s="2428"/>
      <c r="D39" s="2486" t="s">
        <v>753</v>
      </c>
      <c r="E39" s="2429">
        <v>665</v>
      </c>
      <c r="F39" s="1027"/>
      <c r="G39" s="2438"/>
      <c r="H39" s="2626">
        <f>IF(Flag=TRUE,M39-TBIn!E2344,TBIn!D2344)</f>
        <v>-14140</v>
      </c>
      <c r="I39" s="561">
        <f t="shared" si="0"/>
        <v>14140</v>
      </c>
      <c r="J39" s="1033"/>
      <c r="K39" s="1031"/>
      <c r="L39" s="2438"/>
      <c r="M39" s="2632">
        <f>TBIn!E2344</f>
        <v>-41649</v>
      </c>
      <c r="N39" s="564">
        <f>-M39</f>
        <v>41649</v>
      </c>
      <c r="O39" s="1033"/>
      <c r="P39" s="80">
        <v>36</v>
      </c>
      <c r="Q39" s="568"/>
      <c r="R39" s="568"/>
    </row>
    <row r="40" spans="1:19" s="569" customFormat="1" ht="16" customHeight="1">
      <c r="A40" s="80">
        <v>37</v>
      </c>
      <c r="B40" s="295"/>
      <c r="C40" s="501"/>
      <c r="D40" s="1184" t="s">
        <v>754</v>
      </c>
      <c r="E40" s="297"/>
      <c r="F40" s="1027"/>
      <c r="G40" s="949">
        <f>SUM(G24:G38)</f>
        <v>132963</v>
      </c>
      <c r="H40" s="716">
        <f>SUM(H24:H39)</f>
        <v>51171</v>
      </c>
      <c r="I40" s="949">
        <f>SUM(I24:I39)</f>
        <v>81792</v>
      </c>
      <c r="J40" s="1514">
        <f t="shared" ref="J40:J47" si="6">IF(G40=0,0,I40/G40)</f>
        <v>0.61514857516752786</v>
      </c>
      <c r="K40" s="1031"/>
      <c r="L40" s="949">
        <f>SUM(L24:L38)</f>
        <v>450894</v>
      </c>
      <c r="M40" s="716">
        <f>SUM(M24:M39)</f>
        <v>182671</v>
      </c>
      <c r="N40" s="949">
        <f>SUM(N24:N39)</f>
        <v>268223</v>
      </c>
      <c r="O40" s="1514">
        <f t="shared" ref="O40:O47" si="7">IF(L40=0,0,N40/L40)</f>
        <v>0.59486930409364502</v>
      </c>
      <c r="P40" s="80">
        <v>37</v>
      </c>
      <c r="Q40" s="568"/>
      <c r="R40" s="568"/>
    </row>
    <row r="41" spans="1:19" s="569" customFormat="1" ht="16" customHeight="1">
      <c r="A41" s="80">
        <v>38</v>
      </c>
      <c r="B41" s="295" t="s">
        <v>114</v>
      </c>
      <c r="C41" s="501"/>
      <c r="D41" s="1624" t="s">
        <v>755</v>
      </c>
      <c r="E41" s="153">
        <v>469</v>
      </c>
      <c r="F41" s="1027"/>
      <c r="G41" s="2598">
        <f>IF(Flag=TRUE,L41-TBIn!E2302,TBIn!D2302)</f>
        <v>1931</v>
      </c>
      <c r="H41" s="2598">
        <f>IF(Flag=TRUE,M41-(TBIn!E2345),TBIn!D2345)</f>
        <v>831</v>
      </c>
      <c r="I41" s="551">
        <f>G41-H41</f>
        <v>1100</v>
      </c>
      <c r="J41" s="1512">
        <f t="shared" si="6"/>
        <v>0.56965302951838426</v>
      </c>
      <c r="K41" s="1031"/>
      <c r="L41" s="2602">
        <f>TBIn!E2302</f>
        <v>7349</v>
      </c>
      <c r="M41" s="2602">
        <f>TBIn!E2345</f>
        <v>3324</v>
      </c>
      <c r="N41" s="554">
        <f>L41-M41</f>
        <v>4025</v>
      </c>
      <c r="O41" s="2500">
        <f t="shared" si="7"/>
        <v>0.54769356375017009</v>
      </c>
      <c r="P41" s="80">
        <v>38</v>
      </c>
      <c r="Q41" s="568"/>
      <c r="R41" s="568"/>
    </row>
    <row r="42" spans="1:19" s="569" customFormat="1" ht="16" customHeight="1">
      <c r="A42" s="80">
        <v>39</v>
      </c>
      <c r="B42" s="295"/>
      <c r="C42" s="1254"/>
      <c r="D42" s="1586" t="s">
        <v>756</v>
      </c>
      <c r="E42" s="156">
        <v>466</v>
      </c>
      <c r="F42" s="1028"/>
      <c r="G42" s="2599">
        <f>IF(Flag=TRUE,L42-TBIn!E2303,TBIn!D2303)</f>
        <v>6838</v>
      </c>
      <c r="H42" s="2599">
        <f>IF(Flag=TRUE,M42-(TBIn!$E$2346),TBIn!$D$2346)</f>
        <v>5265</v>
      </c>
      <c r="I42" s="552">
        <f>G42-H42</f>
        <v>1573</v>
      </c>
      <c r="J42" s="1513">
        <f t="shared" si="6"/>
        <v>0.23003802281368821</v>
      </c>
      <c r="K42" s="1480"/>
      <c r="L42" s="2574">
        <f>TBIn!E2303</f>
        <v>24840</v>
      </c>
      <c r="M42" s="2574">
        <f>TBIn!E2346</f>
        <v>19951</v>
      </c>
      <c r="N42" s="555">
        <f>L42-M42</f>
        <v>4889</v>
      </c>
      <c r="O42" s="2503">
        <f t="shared" si="7"/>
        <v>0.1968196457326892</v>
      </c>
      <c r="P42" s="80">
        <v>39</v>
      </c>
      <c r="Q42" s="568"/>
      <c r="R42" s="568"/>
    </row>
    <row r="43" spans="1:19" s="569" customFormat="1" ht="16" customHeight="1">
      <c r="A43" s="80">
        <v>40</v>
      </c>
      <c r="B43" s="295" t="s">
        <v>112</v>
      </c>
      <c r="C43" s="321"/>
      <c r="D43" s="1249" t="s">
        <v>757</v>
      </c>
      <c r="E43" s="589"/>
      <c r="F43" s="1426">
        <v>749</v>
      </c>
      <c r="G43" s="2681">
        <f>SUM(G40:G42)</f>
        <v>141732</v>
      </c>
      <c r="H43" s="782">
        <f>SUM(H40:H42)</f>
        <v>57267</v>
      </c>
      <c r="I43" s="2629">
        <f>IF(Flag=TRUE,SUM(I40:I42),TBIn!$D$2347)</f>
        <v>84465</v>
      </c>
      <c r="J43" s="1425">
        <f t="shared" si="6"/>
        <v>0.59594869189738375</v>
      </c>
      <c r="K43" s="1427">
        <v>2557</v>
      </c>
      <c r="L43" s="2683">
        <f>SUM(L40:L42)</f>
        <v>483083</v>
      </c>
      <c r="M43" s="782">
        <f>SUM(M40:M42)</f>
        <v>205946</v>
      </c>
      <c r="N43" s="2629">
        <f>IF(Flag=TRUE,SUM(N40:N42),TBIn!$E$2347)</f>
        <v>277137</v>
      </c>
      <c r="O43" s="2504">
        <f t="shared" si="7"/>
        <v>0.57368402531242046</v>
      </c>
      <c r="P43" s="80">
        <v>40</v>
      </c>
      <c r="Q43" s="568"/>
      <c r="R43" s="598"/>
    </row>
    <row r="44" spans="1:19" s="569" customFormat="1" ht="16" customHeight="1">
      <c r="A44" s="80">
        <v>41</v>
      </c>
      <c r="B44" s="295"/>
      <c r="C44" s="2778" t="s">
        <v>79</v>
      </c>
      <c r="D44" s="1624" t="s">
        <v>758</v>
      </c>
      <c r="E44" s="153">
        <v>470</v>
      </c>
      <c r="F44" s="2790">
        <f>IF(Flag=TRUE,K44-TBIn!E951,TBIn!D951)</f>
        <v>37</v>
      </c>
      <c r="G44" s="2598">
        <f>IF(Flag=TRUE,L44-TBIn!E2304,TBIn!D2304)</f>
        <v>14527</v>
      </c>
      <c r="H44" s="2598">
        <f>IF(Flag=TRUE,M44-(TBIn!E2348),TBIn!D2348)</f>
        <v>3589</v>
      </c>
      <c r="I44" s="551">
        <f>G44-H44</f>
        <v>10938</v>
      </c>
      <c r="J44" s="1512">
        <f t="shared" si="6"/>
        <v>0.75294279617264404</v>
      </c>
      <c r="K44" s="2776">
        <f>TBIn!E951</f>
        <v>115</v>
      </c>
      <c r="L44" s="2602">
        <f>TBIn!E2304</f>
        <v>49745</v>
      </c>
      <c r="M44" s="2602">
        <f>TBIn!E2348</f>
        <v>13037</v>
      </c>
      <c r="N44" s="554">
        <f>L44-M44</f>
        <v>36708</v>
      </c>
      <c r="O44" s="2500">
        <f t="shared" si="7"/>
        <v>0.73792340938787815</v>
      </c>
      <c r="P44" s="80">
        <v>41</v>
      </c>
      <c r="Q44" s="568"/>
      <c r="R44" s="568"/>
    </row>
    <row r="45" spans="1:19" s="569" customFormat="1" ht="16" customHeight="1">
      <c r="A45" s="80">
        <v>42</v>
      </c>
      <c r="B45" s="295" t="s">
        <v>127</v>
      </c>
      <c r="C45" s="2779"/>
      <c r="D45" s="1586" t="s">
        <v>759</v>
      </c>
      <c r="E45" s="156">
        <v>471</v>
      </c>
      <c r="F45" s="2791"/>
      <c r="G45" s="2599">
        <f>IF(Flag=TRUE,L45-TBIn!E2305,TBIn!D2305)</f>
        <v>30077</v>
      </c>
      <c r="H45" s="2599">
        <f>IF(Flag=TRUE,M45-(TBIn!E2349),TBIn!D2349)</f>
        <v>6302</v>
      </c>
      <c r="I45" s="552">
        <f>G45-H45</f>
        <v>23775</v>
      </c>
      <c r="J45" s="1515">
        <f t="shared" si="6"/>
        <v>0.79047112411477205</v>
      </c>
      <c r="K45" s="2777"/>
      <c r="L45" s="2574">
        <f>TBIn!E2305</f>
        <v>100444</v>
      </c>
      <c r="M45" s="2574">
        <f>TBIn!E2349</f>
        <v>27246</v>
      </c>
      <c r="N45" s="555">
        <f>L45-M45</f>
        <v>73198</v>
      </c>
      <c r="O45" s="2501">
        <f t="shared" si="7"/>
        <v>0.72874437497511046</v>
      </c>
      <c r="P45" s="80">
        <v>42</v>
      </c>
      <c r="Q45" s="568"/>
      <c r="R45" s="568"/>
    </row>
    <row r="46" spans="1:19" s="569" customFormat="1" ht="16" customHeight="1">
      <c r="A46" s="80">
        <v>43</v>
      </c>
      <c r="B46" s="295"/>
      <c r="C46" s="2779"/>
      <c r="D46" s="1622" t="s">
        <v>750</v>
      </c>
      <c r="E46" s="156">
        <v>472</v>
      </c>
      <c r="F46" s="765">
        <f>IF(Flag=TRUE,K46-TBIn!E952,TBIn!D952)</f>
        <v>0</v>
      </c>
      <c r="G46" s="2599">
        <f>IF(Flag=TRUE,L46-TBIn!E2306,TBIn!D2306)</f>
        <v>0</v>
      </c>
      <c r="H46" s="2599">
        <f>IF(Flag=TRUE,M46-(TBIn!E2350),TBIn!D2350)</f>
        <v>0</v>
      </c>
      <c r="I46" s="552">
        <f>G46-H46</f>
        <v>0</v>
      </c>
      <c r="J46" s="1513">
        <f t="shared" si="6"/>
        <v>0</v>
      </c>
      <c r="K46" s="772">
        <f>TBIn!E952</f>
        <v>0</v>
      </c>
      <c r="L46" s="2574">
        <f>TBIn!E2306</f>
        <v>0</v>
      </c>
      <c r="M46" s="2574">
        <f>TBIn!E2350</f>
        <v>0</v>
      </c>
      <c r="N46" s="555">
        <f>L46-M46</f>
        <v>0</v>
      </c>
      <c r="O46" s="2503">
        <f t="shared" si="7"/>
        <v>0</v>
      </c>
      <c r="P46" s="80">
        <v>43</v>
      </c>
      <c r="Q46" s="568"/>
      <c r="R46" s="568"/>
    </row>
    <row r="47" spans="1:19" s="569" customFormat="1" ht="16" customHeight="1">
      <c r="A47" s="80">
        <v>44</v>
      </c>
      <c r="B47" s="295" t="s">
        <v>124</v>
      </c>
      <c r="C47" s="2779"/>
      <c r="D47" s="1586" t="s">
        <v>751</v>
      </c>
      <c r="E47" s="156">
        <v>473</v>
      </c>
      <c r="F47" s="765">
        <f>IF(Flag=TRUE,K47-TBIn!E953,TBIn!D953)</f>
        <v>13</v>
      </c>
      <c r="G47" s="2599">
        <f>IF(Flag=TRUE,L47-TBIn!E2307,TBIn!D2307)</f>
        <v>7746</v>
      </c>
      <c r="H47" s="2599">
        <f>IF(Flag=TRUE,M47-(TBIn!E2351),TBIn!D2351)</f>
        <v>2567</v>
      </c>
      <c r="I47" s="552">
        <f>G47-H47</f>
        <v>5179</v>
      </c>
      <c r="J47" s="1513">
        <f t="shared" si="6"/>
        <v>0.66860315001290993</v>
      </c>
      <c r="K47" s="772">
        <f>TBIn!E953</f>
        <v>36</v>
      </c>
      <c r="L47" s="2574">
        <f>TBIn!E2307</f>
        <v>28073</v>
      </c>
      <c r="M47" s="2574">
        <f>TBIn!E2351</f>
        <v>16261</v>
      </c>
      <c r="N47" s="555">
        <f>L47-M47</f>
        <v>11812</v>
      </c>
      <c r="O47" s="2503">
        <f t="shared" si="7"/>
        <v>0.42076016100879848</v>
      </c>
      <c r="P47" s="80">
        <v>44</v>
      </c>
      <c r="Q47" s="568"/>
      <c r="R47" s="576"/>
      <c r="S47" s="30"/>
    </row>
    <row r="48" spans="1:19" s="569" customFormat="1" ht="16" customHeight="1">
      <c r="A48" s="80">
        <v>45</v>
      </c>
      <c r="B48" s="295"/>
      <c r="C48" s="2779"/>
      <c r="D48" s="1629" t="s">
        <v>760</v>
      </c>
      <c r="E48" s="158">
        <v>675</v>
      </c>
      <c r="F48" s="866"/>
      <c r="G48" s="1029"/>
      <c r="H48" s="2626">
        <f>IF(Flag=TRUE,M48-TBIn!E2352,TBIn!D2352)</f>
        <v>8148</v>
      </c>
      <c r="I48" s="561">
        <f>G48-H48</f>
        <v>-8148</v>
      </c>
      <c r="J48" s="1030"/>
      <c r="K48" s="863"/>
      <c r="L48" s="1029"/>
      <c r="M48" s="2632">
        <f>TBIn!E2352</f>
        <v>10365</v>
      </c>
      <c r="N48" s="564">
        <f>-M48</f>
        <v>-10365</v>
      </c>
      <c r="O48" s="1030"/>
      <c r="P48" s="80">
        <v>45</v>
      </c>
      <c r="Q48" s="568"/>
      <c r="R48" s="576"/>
      <c r="S48" s="30"/>
    </row>
    <row r="49" spans="1:19" s="569" customFormat="1" ht="16" customHeight="1">
      <c r="A49" s="80">
        <v>46</v>
      </c>
      <c r="B49" s="295"/>
      <c r="C49" s="2779"/>
      <c r="D49" s="296" t="s">
        <v>754</v>
      </c>
      <c r="E49" s="297"/>
      <c r="F49" s="863"/>
      <c r="G49" s="2624">
        <f>SUM(G44:G48)</f>
        <v>52350</v>
      </c>
      <c r="H49" s="2624">
        <f>SUM(H44:H48)</f>
        <v>20606</v>
      </c>
      <c r="I49" s="949">
        <f>SUM(I44:I48)</f>
        <v>31744</v>
      </c>
      <c r="J49" s="1516">
        <f t="shared" ref="J49:J55" si="8">IF(G49=0,0,I49/G49)</f>
        <v>0.60638013371537725</v>
      </c>
      <c r="K49" s="863"/>
      <c r="L49" s="2624">
        <f>SUM(L44:L48)</f>
        <v>178262</v>
      </c>
      <c r="M49" s="2624">
        <f>SUM(M44:M48)</f>
        <v>66909</v>
      </c>
      <c r="N49" s="949">
        <f>SUM(N44:N48)</f>
        <v>111353</v>
      </c>
      <c r="O49" s="1516">
        <f t="shared" ref="O49:O55" si="9">IF(L49=0,0,N49/L49)</f>
        <v>0.62465920947818376</v>
      </c>
      <c r="P49" s="80">
        <v>46</v>
      </c>
      <c r="Q49" s="568"/>
      <c r="R49" s="576"/>
      <c r="S49" s="30"/>
    </row>
    <row r="50" spans="1:19" s="569" customFormat="1" ht="16" customHeight="1">
      <c r="A50" s="80">
        <v>47</v>
      </c>
      <c r="B50" s="295"/>
      <c r="C50" s="2779"/>
      <c r="D50" s="1586" t="s">
        <v>756</v>
      </c>
      <c r="E50" s="153">
        <v>476</v>
      </c>
      <c r="F50" s="863"/>
      <c r="G50" s="2598">
        <f>IF(Flag=TRUE,L50-TBIn!E2308,TBIn!D2308)</f>
        <v>60000</v>
      </c>
      <c r="H50" s="2598">
        <f>IF(Flag=TRUE,M50-(TBIn!E2353),TBIn!D2353)</f>
        <v>47158</v>
      </c>
      <c r="I50" s="551">
        <f>G50-H50</f>
        <v>12842</v>
      </c>
      <c r="J50" s="1517">
        <f t="shared" si="8"/>
        <v>0.21403333333333333</v>
      </c>
      <c r="K50" s="863"/>
      <c r="L50" s="2602">
        <f>TBIn!E2308</f>
        <v>234714</v>
      </c>
      <c r="M50" s="2602">
        <f>TBIn!E2353</f>
        <v>181192</v>
      </c>
      <c r="N50" s="554">
        <f>L50-M50</f>
        <v>53522</v>
      </c>
      <c r="O50" s="2505">
        <f t="shared" si="9"/>
        <v>0.22803070971480185</v>
      </c>
      <c r="P50" s="80">
        <v>47</v>
      </c>
      <c r="Q50" s="568"/>
      <c r="R50" s="576"/>
      <c r="S50" s="30"/>
    </row>
    <row r="51" spans="1:19" s="569" customFormat="1" ht="16" customHeight="1">
      <c r="A51" s="80">
        <v>48</v>
      </c>
      <c r="B51" s="295"/>
      <c r="C51" s="2779"/>
      <c r="D51" s="1625" t="s">
        <v>761</v>
      </c>
      <c r="E51" s="158">
        <v>479</v>
      </c>
      <c r="F51" s="932"/>
      <c r="G51" s="2599">
        <f>IF(Flag=TRUE,L51-TBIn!E2309,TBIn!D2309)</f>
        <v>13040</v>
      </c>
      <c r="H51" s="2599">
        <f>IF(Flag=TRUE,M51-(TBIn!E2354),TBIn!D2354)</f>
        <v>9863</v>
      </c>
      <c r="I51" s="552">
        <f>G51-H51</f>
        <v>3177</v>
      </c>
      <c r="J51" s="1518">
        <f t="shared" si="8"/>
        <v>0.24363496932515338</v>
      </c>
      <c r="K51" s="1431"/>
      <c r="L51" s="2574">
        <f>TBIn!E2309</f>
        <v>40282</v>
      </c>
      <c r="M51" s="2574">
        <f>TBIn!E2354</f>
        <v>30882</v>
      </c>
      <c r="N51" s="555">
        <f>L51-M51</f>
        <v>9400</v>
      </c>
      <c r="O51" s="2506">
        <f t="shared" si="9"/>
        <v>0.23335484831934858</v>
      </c>
      <c r="P51" s="80">
        <v>48</v>
      </c>
      <c r="Q51" s="568"/>
      <c r="R51" s="576"/>
      <c r="S51" s="30"/>
    </row>
    <row r="52" spans="1:19" s="569" customFormat="1" ht="16" customHeight="1">
      <c r="A52" s="80">
        <v>49</v>
      </c>
      <c r="B52" s="295" t="s">
        <v>157</v>
      </c>
      <c r="C52" s="2780"/>
      <c r="D52" s="1250" t="s">
        <v>762</v>
      </c>
      <c r="E52" s="297"/>
      <c r="F52" s="1426">
        <f>IF(Flag=TRUE,SUM(F44:F51),TBIn!$D$954)</f>
        <v>50</v>
      </c>
      <c r="G52" s="950">
        <f>SUM(G49:G51)</f>
        <v>125390</v>
      </c>
      <c r="H52" s="1428">
        <f>SUM(H49:H51)</f>
        <v>77627</v>
      </c>
      <c r="I52" s="2630">
        <f>IF(Flag=TRUE,SUM(I49:I51),TBIn!$D$2310)</f>
        <v>47763</v>
      </c>
      <c r="J52" s="1429">
        <f t="shared" si="8"/>
        <v>0.38091554350426671</v>
      </c>
      <c r="K52" s="1427">
        <f>IF(Flag=TRUE,SUM(K44:K51),TBIn!$E$954)</f>
        <v>151</v>
      </c>
      <c r="L52" s="950">
        <f>SUM(L49:L51)</f>
        <v>453258</v>
      </c>
      <c r="M52" s="1428">
        <f>SUM(M49:M51)</f>
        <v>278983</v>
      </c>
      <c r="N52" s="2630">
        <f>IF(Flag=TRUE,SUM(N49:N51),TBIn!$E$2310)</f>
        <v>174275</v>
      </c>
      <c r="O52" s="1429">
        <f t="shared" si="9"/>
        <v>0.38449404092150608</v>
      </c>
      <c r="P52" s="80">
        <v>49</v>
      </c>
      <c r="Q52" s="568"/>
      <c r="R52" s="598"/>
      <c r="S52" s="30"/>
    </row>
    <row r="53" spans="1:19" s="569" customFormat="1" ht="16" customHeight="1">
      <c r="A53" s="80">
        <v>50</v>
      </c>
      <c r="B53" s="295"/>
      <c r="C53" s="298" t="s">
        <v>763</v>
      </c>
      <c r="D53" s="93"/>
      <c r="E53" s="2549"/>
      <c r="F53" s="716">
        <f>F52+F43</f>
        <v>799</v>
      </c>
      <c r="G53" s="716">
        <f>G52+G43</f>
        <v>267122</v>
      </c>
      <c r="H53" s="716">
        <f>H52+H43</f>
        <v>134894</v>
      </c>
      <c r="I53" s="949">
        <f>I52+I43</f>
        <v>132228</v>
      </c>
      <c r="J53" s="1516">
        <f t="shared" si="8"/>
        <v>0.49500977081633113</v>
      </c>
      <c r="K53" s="632">
        <f>K52+K43</f>
        <v>2708</v>
      </c>
      <c r="L53" s="716">
        <f>L52+L43</f>
        <v>936341</v>
      </c>
      <c r="M53" s="716">
        <f>M52+M43</f>
        <v>484929</v>
      </c>
      <c r="N53" s="949">
        <f>N52+N43</f>
        <v>451412</v>
      </c>
      <c r="O53" s="1516">
        <f t="shared" si="9"/>
        <v>0.48210214013911601</v>
      </c>
      <c r="P53" s="80">
        <v>50</v>
      </c>
      <c r="Q53" s="568"/>
      <c r="R53" s="576"/>
      <c r="S53" s="30"/>
    </row>
    <row r="54" spans="1:19" s="569" customFormat="1" ht="16" customHeight="1">
      <c r="A54" s="80">
        <v>51</v>
      </c>
      <c r="B54" s="295"/>
      <c r="C54" s="2781" t="s">
        <v>764</v>
      </c>
      <c r="D54" s="2550" t="s">
        <v>765</v>
      </c>
      <c r="E54" s="153">
        <v>480</v>
      </c>
      <c r="F54" s="866"/>
      <c r="G54" s="2599">
        <f>IF(Flag=TRUE,L54-TBIn!E2311,TBIn!D2311)</f>
        <v>49592</v>
      </c>
      <c r="H54" s="2599">
        <f>IF(Flag=TRUE,M54-(TBIn!E2355),TBIn!D2355)</f>
        <v>34036</v>
      </c>
      <c r="I54" s="552">
        <f t="shared" ref="I54:I70" si="10">G54-H54</f>
        <v>15556</v>
      </c>
      <c r="J54" s="1518">
        <f t="shared" si="8"/>
        <v>0.3136796257460881</v>
      </c>
      <c r="K54" s="863"/>
      <c r="L54" s="2574">
        <f>TBIn!E2311</f>
        <v>125042</v>
      </c>
      <c r="M54" s="2574">
        <f>TBIn!E2355</f>
        <v>88779</v>
      </c>
      <c r="N54" s="555">
        <f t="shared" ref="N54:N55" si="11">L54-M54</f>
        <v>36263</v>
      </c>
      <c r="O54" s="2507">
        <f t="shared" si="9"/>
        <v>0.29000655779658036</v>
      </c>
      <c r="P54" s="80">
        <v>51</v>
      </c>
      <c r="Q54" s="568"/>
      <c r="R54" s="576"/>
      <c r="S54" s="30"/>
    </row>
    <row r="55" spans="1:19" s="569" customFormat="1" ht="16" customHeight="1">
      <c r="A55" s="80">
        <v>52</v>
      </c>
      <c r="B55" s="295"/>
      <c r="C55" s="2782"/>
      <c r="D55" s="2550" t="s">
        <v>766</v>
      </c>
      <c r="E55" s="126">
        <v>467</v>
      </c>
      <c r="F55" s="866"/>
      <c r="G55" s="2599">
        <f>IF(Flag=TRUE,L55-TBIn!E2312,TBIn!D2312)</f>
        <v>36256</v>
      </c>
      <c r="H55" s="2599">
        <f>IF(Flag=TRUE,M55-(TBIn!E2356),TBIn!D2356)</f>
        <v>21633</v>
      </c>
      <c r="I55" s="552">
        <f t="shared" si="10"/>
        <v>14623</v>
      </c>
      <c r="J55" s="1518">
        <f t="shared" si="8"/>
        <v>0.40332634598411299</v>
      </c>
      <c r="K55" s="863"/>
      <c r="L55" s="2574">
        <f>TBIn!E2312</f>
        <v>126890</v>
      </c>
      <c r="M55" s="2574">
        <f>TBIn!E2356</f>
        <v>74976</v>
      </c>
      <c r="N55" s="555">
        <f t="shared" si="11"/>
        <v>51914</v>
      </c>
      <c r="O55" s="2507">
        <f t="shared" si="9"/>
        <v>0.40912601465836551</v>
      </c>
      <c r="P55" s="80">
        <v>52</v>
      </c>
      <c r="Q55" s="568"/>
      <c r="R55" s="576"/>
      <c r="S55" s="30"/>
    </row>
    <row r="56" spans="1:19" ht="16" customHeight="1">
      <c r="A56" s="80">
        <v>53</v>
      </c>
      <c r="B56" s="295" t="s">
        <v>114</v>
      </c>
      <c r="C56" s="2782"/>
      <c r="D56" s="2551" t="s">
        <v>767</v>
      </c>
      <c r="E56" s="126" t="s">
        <v>768</v>
      </c>
      <c r="F56" s="938"/>
      <c r="G56" s="2599">
        <f>IF(Flag=TRUE,L56-TBIn!E2313,TBIn!D2313)</f>
        <v>0</v>
      </c>
      <c r="H56" s="2599">
        <f>IF(Flag=TRUE,M56-(TBIn!E2357),TBIn!D2357)</f>
        <v>0</v>
      </c>
      <c r="I56" s="2299">
        <f t="shared" ref="I56:I68" si="12">G56-H56</f>
        <v>0</v>
      </c>
      <c r="J56" s="1518">
        <f t="shared" ref="J56:J68" si="13">IF(G56=0,0,I56/G56)</f>
        <v>0</v>
      </c>
      <c r="K56" s="937"/>
      <c r="L56" s="2574">
        <f>TBIn!E2313</f>
        <v>0</v>
      </c>
      <c r="M56" s="2574">
        <f>TBIn!E2357</f>
        <v>0</v>
      </c>
      <c r="N56" s="946">
        <f t="shared" ref="N56:N68" si="14">L56-M56</f>
        <v>0</v>
      </c>
      <c r="O56" s="2507">
        <f t="shared" ref="O56:O68" si="15">IF(L56=0,0,N56/L56)</f>
        <v>0</v>
      </c>
      <c r="P56" s="80">
        <v>53</v>
      </c>
      <c r="Q56" s="677"/>
      <c r="R56" s="677"/>
    </row>
    <row r="57" spans="1:19" s="569" customFormat="1" ht="16" customHeight="1">
      <c r="A57" s="80">
        <v>54</v>
      </c>
      <c r="B57" s="295"/>
      <c r="C57" s="2782"/>
      <c r="D57" s="2552" t="s">
        <v>769</v>
      </c>
      <c r="E57" s="126">
        <v>468</v>
      </c>
      <c r="F57" s="866"/>
      <c r="G57" s="2599">
        <f>IF(Flag=TRUE,L57-TBIn!E2314,TBIn!D2314)</f>
        <v>0</v>
      </c>
      <c r="H57" s="2599">
        <f>IF(Flag=TRUE,M57-(TBIn!E2358),TBIn!D2358)</f>
        <v>0</v>
      </c>
      <c r="I57" s="2299">
        <f t="shared" si="12"/>
        <v>0</v>
      </c>
      <c r="J57" s="1518">
        <f t="shared" si="13"/>
        <v>0</v>
      </c>
      <c r="K57" s="863"/>
      <c r="L57" s="2574">
        <f>TBIn!E2314</f>
        <v>0</v>
      </c>
      <c r="M57" s="2574">
        <f>TBIn!E2358</f>
        <v>0</v>
      </c>
      <c r="N57" s="946">
        <f t="shared" si="14"/>
        <v>0</v>
      </c>
      <c r="O57" s="2507">
        <f t="shared" si="15"/>
        <v>0</v>
      </c>
      <c r="P57" s="80">
        <v>54</v>
      </c>
      <c r="Q57" s="568"/>
      <c r="R57" s="576"/>
      <c r="S57" s="30"/>
    </row>
    <row r="58" spans="1:19" ht="16" customHeight="1">
      <c r="A58" s="80">
        <v>55</v>
      </c>
      <c r="B58" s="295"/>
      <c r="C58" s="2782"/>
      <c r="D58" s="2551" t="s">
        <v>770</v>
      </c>
      <c r="E58" s="126" t="s">
        <v>771</v>
      </c>
      <c r="F58" s="938"/>
      <c r="G58" s="2599">
        <f>IF(Flag=TRUE,L58-TBIn!E2315,TBIn!D2315)</f>
        <v>0</v>
      </c>
      <c r="H58" s="2599">
        <f>IF(Flag=TRUE,M58-(TBIn!E2359),TBIn!D2359)</f>
        <v>0</v>
      </c>
      <c r="I58" s="2299">
        <f t="shared" si="12"/>
        <v>0</v>
      </c>
      <c r="J58" s="1518">
        <f t="shared" si="13"/>
        <v>0</v>
      </c>
      <c r="K58" s="937"/>
      <c r="L58" s="2574">
        <f>TBIn!E2315</f>
        <v>0</v>
      </c>
      <c r="M58" s="2574">
        <f>TBIn!E2359</f>
        <v>0</v>
      </c>
      <c r="N58" s="946">
        <f t="shared" si="14"/>
        <v>0</v>
      </c>
      <c r="O58" s="2507">
        <f t="shared" si="15"/>
        <v>0</v>
      </c>
      <c r="P58" s="80">
        <v>55</v>
      </c>
      <c r="Q58" s="677"/>
      <c r="R58" s="677"/>
    </row>
    <row r="59" spans="1:19" s="569" customFormat="1" ht="16" customHeight="1">
      <c r="A59" s="80">
        <v>56</v>
      </c>
      <c r="B59" s="295"/>
      <c r="C59" s="2782"/>
      <c r="D59" s="2552" t="s">
        <v>772</v>
      </c>
      <c r="E59" s="126">
        <v>478</v>
      </c>
      <c r="F59" s="866"/>
      <c r="G59" s="2599">
        <f>IF(Flag=TRUE,L59-TBIn!E2316,TBIn!D2316)</f>
        <v>0</v>
      </c>
      <c r="H59" s="2599">
        <f>IF(Flag=TRUE,M59-(TBIn!E2360),TBIn!D2360)</f>
        <v>0</v>
      </c>
      <c r="I59" s="2299">
        <f t="shared" si="12"/>
        <v>0</v>
      </c>
      <c r="J59" s="1518">
        <f t="shared" si="13"/>
        <v>0</v>
      </c>
      <c r="K59" s="863"/>
      <c r="L59" s="2574">
        <f>TBIn!E2316</f>
        <v>0</v>
      </c>
      <c r="M59" s="2574">
        <f>TBIn!E2360</f>
        <v>0</v>
      </c>
      <c r="N59" s="946">
        <f t="shared" si="14"/>
        <v>0</v>
      </c>
      <c r="O59" s="2507">
        <f t="shared" si="15"/>
        <v>0</v>
      </c>
      <c r="P59" s="80">
        <v>56</v>
      </c>
      <c r="Q59" s="568"/>
      <c r="R59" s="736"/>
      <c r="S59" s="2514"/>
    </row>
    <row r="60" spans="1:19" s="569" customFormat="1" ht="16" customHeight="1">
      <c r="A60" s="80">
        <v>57</v>
      </c>
      <c r="B60" s="295" t="s">
        <v>773</v>
      </c>
      <c r="C60" s="2782"/>
      <c r="D60" s="2552" t="s">
        <v>774</v>
      </c>
      <c r="E60" s="126">
        <v>477</v>
      </c>
      <c r="F60" s="866"/>
      <c r="G60" s="2599">
        <f>IF(Flag=TRUE,L60-TBIn!E2317,TBIn!D2317)</f>
        <v>0</v>
      </c>
      <c r="H60" s="2599">
        <f>IF(Flag=TRUE,M60-(TBIn!E2361),TBIn!D2361)</f>
        <v>0</v>
      </c>
      <c r="I60" s="2299">
        <f t="shared" si="12"/>
        <v>0</v>
      </c>
      <c r="J60" s="1518">
        <f t="shared" si="13"/>
        <v>0</v>
      </c>
      <c r="K60" s="863"/>
      <c r="L60" s="2574">
        <f>TBIn!E2317</f>
        <v>0</v>
      </c>
      <c r="M60" s="2574">
        <f>TBIn!E2361</f>
        <v>0</v>
      </c>
      <c r="N60" s="946">
        <f t="shared" si="14"/>
        <v>0</v>
      </c>
      <c r="O60" s="2507">
        <f t="shared" si="15"/>
        <v>0</v>
      </c>
      <c r="P60" s="80">
        <v>57</v>
      </c>
      <c r="Q60" s="568"/>
      <c r="R60" s="736"/>
      <c r="S60" s="2514"/>
    </row>
    <row r="61" spans="1:19" ht="16" customHeight="1">
      <c r="A61" s="80">
        <v>58</v>
      </c>
      <c r="B61" s="295"/>
      <c r="C61" s="2782"/>
      <c r="D61" s="2551" t="s">
        <v>775</v>
      </c>
      <c r="E61" s="126" t="s">
        <v>776</v>
      </c>
      <c r="F61" s="938"/>
      <c r="G61" s="2599">
        <f>IF(Flag=TRUE,L61-TBIn!E2318,TBIn!D2318)</f>
        <v>0</v>
      </c>
      <c r="H61" s="2599">
        <f>IF(Flag=TRUE,M61-(TBIn!E2362),TBIn!D2362)</f>
        <v>0</v>
      </c>
      <c r="I61" s="2299">
        <f t="shared" si="12"/>
        <v>0</v>
      </c>
      <c r="J61" s="1518">
        <f t="shared" si="13"/>
        <v>0</v>
      </c>
      <c r="K61" s="937"/>
      <c r="L61" s="2574">
        <f>TBIn!E2318</f>
        <v>0</v>
      </c>
      <c r="M61" s="2574">
        <f>TBIn!E2362</f>
        <v>0</v>
      </c>
      <c r="N61" s="946">
        <f t="shared" si="14"/>
        <v>0</v>
      </c>
      <c r="O61" s="2507">
        <f t="shared" si="15"/>
        <v>0</v>
      </c>
      <c r="P61" s="80">
        <v>58</v>
      </c>
      <c r="Q61" s="677"/>
      <c r="R61" s="2515"/>
      <c r="S61" s="2516"/>
    </row>
    <row r="62" spans="1:19" ht="16" customHeight="1">
      <c r="A62" s="80">
        <v>59</v>
      </c>
      <c r="B62" s="295"/>
      <c r="C62" s="2782"/>
      <c r="D62" s="2551" t="s">
        <v>777</v>
      </c>
      <c r="E62" s="126" t="s">
        <v>778</v>
      </c>
      <c r="F62" s="938"/>
      <c r="G62" s="2599">
        <f>IF(Flag=TRUE,L62-TBIn!E2319,TBIn!D2319)</f>
        <v>0</v>
      </c>
      <c r="H62" s="2599">
        <f>IF(Flag=TRUE,M62-(TBIn!E2363),TBIn!D2363)</f>
        <v>0</v>
      </c>
      <c r="I62" s="2299">
        <f t="shared" si="12"/>
        <v>0</v>
      </c>
      <c r="J62" s="1518">
        <f t="shared" si="13"/>
        <v>0</v>
      </c>
      <c r="K62" s="937"/>
      <c r="L62" s="2574">
        <f>TBIn!E2319</f>
        <v>0</v>
      </c>
      <c r="M62" s="2574">
        <f>TBIn!E2363</f>
        <v>0</v>
      </c>
      <c r="N62" s="946">
        <f t="shared" si="14"/>
        <v>0</v>
      </c>
      <c r="O62" s="2507">
        <f t="shared" si="15"/>
        <v>0</v>
      </c>
      <c r="P62" s="80">
        <v>59</v>
      </c>
      <c r="Q62" s="677"/>
      <c r="R62" s="2515"/>
      <c r="S62" s="2516"/>
    </row>
    <row r="63" spans="1:19" s="569" customFormat="1" ht="16" customHeight="1">
      <c r="A63" s="80">
        <v>60</v>
      </c>
      <c r="B63" s="295" t="s">
        <v>122</v>
      </c>
      <c r="C63" s="2782"/>
      <c r="D63" s="2552" t="s">
        <v>83</v>
      </c>
      <c r="E63" s="126">
        <v>481</v>
      </c>
      <c r="F63" s="866"/>
      <c r="G63" s="2599">
        <f>IF(Flag=TRUE,L63-TBIn!E2320,TBIn!D2320)</f>
        <v>34355</v>
      </c>
      <c r="H63" s="2599">
        <f>IF(Flag=TRUE,M63-(TBIn!E2364),TBIn!D2364)</f>
        <v>25197</v>
      </c>
      <c r="I63" s="2299">
        <f t="shared" si="12"/>
        <v>9158</v>
      </c>
      <c r="J63" s="1518">
        <f t="shared" si="13"/>
        <v>0.26656964051811965</v>
      </c>
      <c r="K63" s="863"/>
      <c r="L63" s="2574">
        <f>TBIn!E2320</f>
        <v>160675</v>
      </c>
      <c r="M63" s="2574">
        <f>TBIn!E2364</f>
        <v>114454</v>
      </c>
      <c r="N63" s="946">
        <f t="shared" si="14"/>
        <v>46221</v>
      </c>
      <c r="O63" s="2507">
        <f t="shared" si="15"/>
        <v>0.28766765209273376</v>
      </c>
      <c r="P63" s="80">
        <v>60</v>
      </c>
      <c r="Q63" s="568"/>
      <c r="R63" s="736"/>
      <c r="S63" s="2514"/>
    </row>
    <row r="64" spans="1:19" s="569" customFormat="1" ht="16" customHeight="1">
      <c r="A64" s="80">
        <v>61</v>
      </c>
      <c r="B64" s="295"/>
      <c r="C64" s="2782"/>
      <c r="D64" s="2552" t="s">
        <v>779</v>
      </c>
      <c r="E64" s="126">
        <v>482</v>
      </c>
      <c r="F64" s="866"/>
      <c r="G64" s="2599">
        <f>IF(Flag=TRUE,L64-TBIn!E2321,TBIn!D2321)</f>
        <v>7933</v>
      </c>
      <c r="H64" s="2599">
        <f>IF(Flag=TRUE,M64-(TBIn!E2365),TBIn!D2365)</f>
        <v>4863</v>
      </c>
      <c r="I64" s="2299">
        <f t="shared" si="12"/>
        <v>3070</v>
      </c>
      <c r="J64" s="1518">
        <f t="shared" si="13"/>
        <v>0.38699105004411949</v>
      </c>
      <c r="K64" s="863"/>
      <c r="L64" s="2574">
        <f>TBIn!E2321</f>
        <v>38854</v>
      </c>
      <c r="M64" s="2574">
        <f>TBIn!E2365</f>
        <v>24880</v>
      </c>
      <c r="N64" s="946">
        <f t="shared" si="14"/>
        <v>13974</v>
      </c>
      <c r="O64" s="2507">
        <f t="shared" si="15"/>
        <v>0.35965408966901735</v>
      </c>
      <c r="P64" s="80">
        <v>61</v>
      </c>
      <c r="Q64" s="568"/>
      <c r="R64" s="736"/>
      <c r="S64" s="2514"/>
    </row>
    <row r="65" spans="1:19" ht="16" customHeight="1">
      <c r="A65" s="80">
        <v>62</v>
      </c>
      <c r="B65" s="295"/>
      <c r="C65" s="2782"/>
      <c r="D65" s="2551" t="s">
        <v>780</v>
      </c>
      <c r="E65" s="126" t="s">
        <v>781</v>
      </c>
      <c r="F65" s="938"/>
      <c r="G65" s="2599">
        <f>IF(Flag=TRUE,L65-TBIn!E2322,TBIn!D2322)</f>
        <v>0</v>
      </c>
      <c r="H65" s="2599">
        <f>IF(Flag=TRUE,M65-(TBIn!E2366),TBIn!D2366)</f>
        <v>0</v>
      </c>
      <c r="I65" s="2299">
        <f t="shared" si="12"/>
        <v>0</v>
      </c>
      <c r="J65" s="1518">
        <f t="shared" si="13"/>
        <v>0</v>
      </c>
      <c r="K65" s="937"/>
      <c r="L65" s="2574">
        <f>TBIn!E2322</f>
        <v>0</v>
      </c>
      <c r="M65" s="2574">
        <f>TBIn!E2366</f>
        <v>0</v>
      </c>
      <c r="N65" s="946">
        <f t="shared" si="14"/>
        <v>0</v>
      </c>
      <c r="O65" s="2507">
        <f t="shared" si="15"/>
        <v>0</v>
      </c>
      <c r="P65" s="80">
        <v>62</v>
      </c>
      <c r="Q65" s="677"/>
      <c r="R65" s="2515"/>
      <c r="S65" s="2516"/>
    </row>
    <row r="66" spans="1:19" s="569" customFormat="1" ht="16" customHeight="1">
      <c r="A66" s="80">
        <v>63</v>
      </c>
      <c r="B66" s="295" t="s">
        <v>124</v>
      </c>
      <c r="C66" s="2782"/>
      <c r="D66" s="2552" t="s">
        <v>782</v>
      </c>
      <c r="E66" s="126">
        <v>483</v>
      </c>
      <c r="F66" s="866"/>
      <c r="G66" s="2599">
        <f>IF(Flag=TRUE,L66-TBIn!E2323,TBIn!D2323)</f>
        <v>23254</v>
      </c>
      <c r="H66" s="2599">
        <f>IF(Flag=TRUE,M66-(TBIn!E2367),TBIn!D2367)</f>
        <v>17794</v>
      </c>
      <c r="I66" s="2299">
        <f t="shared" si="12"/>
        <v>5460</v>
      </c>
      <c r="J66" s="1518">
        <f t="shared" si="13"/>
        <v>0.23479831426851294</v>
      </c>
      <c r="K66" s="863"/>
      <c r="L66" s="2574">
        <f>TBIn!E2323</f>
        <v>101829</v>
      </c>
      <c r="M66" s="2574">
        <f>TBIn!E2367</f>
        <v>78309</v>
      </c>
      <c r="N66" s="946">
        <f t="shared" si="14"/>
        <v>23520</v>
      </c>
      <c r="O66" s="2507">
        <f t="shared" si="15"/>
        <v>0.2309754588574964</v>
      </c>
      <c r="P66" s="80">
        <v>63</v>
      </c>
      <c r="Q66" s="568"/>
      <c r="R66" s="576"/>
      <c r="S66" s="30"/>
    </row>
    <row r="67" spans="1:19" s="569" customFormat="1" ht="16" customHeight="1">
      <c r="A67" s="80">
        <v>64</v>
      </c>
      <c r="B67" s="295"/>
      <c r="C67" s="2782"/>
      <c r="D67" s="2552" t="s">
        <v>783</v>
      </c>
      <c r="E67" s="126">
        <v>484</v>
      </c>
      <c r="F67" s="866"/>
      <c r="G67" s="2599">
        <f>IF(Flag=TRUE,L67-TBIn!E2324,TBIn!D2324)</f>
        <v>0</v>
      </c>
      <c r="H67" s="2599">
        <f>IF(Flag=TRUE,M67-(TBIn!E2368),TBIn!D2368)</f>
        <v>0</v>
      </c>
      <c r="I67" s="2299">
        <f t="shared" si="12"/>
        <v>0</v>
      </c>
      <c r="J67" s="1518">
        <f t="shared" si="13"/>
        <v>0</v>
      </c>
      <c r="K67" s="863"/>
      <c r="L67" s="2574">
        <f>TBIn!E2324</f>
        <v>0</v>
      </c>
      <c r="M67" s="2574">
        <f>TBIn!E2368</f>
        <v>0</v>
      </c>
      <c r="N67" s="946">
        <f t="shared" si="14"/>
        <v>0</v>
      </c>
      <c r="O67" s="2507">
        <f t="shared" si="15"/>
        <v>0</v>
      </c>
      <c r="P67" s="80">
        <v>64</v>
      </c>
      <c r="Q67" s="568"/>
      <c r="R67" s="576"/>
      <c r="S67" s="30"/>
    </row>
    <row r="68" spans="1:19" ht="16" customHeight="1">
      <c r="A68" s="80">
        <v>65</v>
      </c>
      <c r="B68" s="295"/>
      <c r="C68" s="2782"/>
      <c r="D68" s="2551" t="s">
        <v>784</v>
      </c>
      <c r="E68" s="126" t="s">
        <v>785</v>
      </c>
      <c r="F68" s="938"/>
      <c r="G68" s="2599">
        <f>IF(Flag=TRUE,L68-TBIn!E2325,TBIn!D2325)</f>
        <v>0</v>
      </c>
      <c r="H68" s="2599">
        <f>IF(Flag=TRUE,M68-(TBIn!E2369),TBIn!D2369)</f>
        <v>0</v>
      </c>
      <c r="I68" s="2299">
        <f t="shared" si="12"/>
        <v>0</v>
      </c>
      <c r="J68" s="1518">
        <f t="shared" si="13"/>
        <v>0</v>
      </c>
      <c r="K68" s="937"/>
      <c r="L68" s="2574">
        <f>TBIn!E2325</f>
        <v>0</v>
      </c>
      <c r="M68" s="2574">
        <f>TBIn!E2369</f>
        <v>0</v>
      </c>
      <c r="N68" s="946">
        <f t="shared" si="14"/>
        <v>0</v>
      </c>
      <c r="O68" s="2507">
        <f t="shared" si="15"/>
        <v>0</v>
      </c>
      <c r="P68" s="80">
        <v>65</v>
      </c>
      <c r="Q68" s="677"/>
      <c r="R68" s="677"/>
    </row>
    <row r="69" spans="1:19" s="569" customFormat="1" ht="16" customHeight="1">
      <c r="A69" s="80">
        <v>66</v>
      </c>
      <c r="B69" s="295"/>
      <c r="C69" s="2782"/>
      <c r="D69" s="2553" t="s">
        <v>786</v>
      </c>
      <c r="E69" s="126">
        <v>687</v>
      </c>
      <c r="F69" s="866"/>
      <c r="G69" s="2158"/>
      <c r="H69" s="2133">
        <f>IF(Flag=TRUE,M69-TBIn!E2370,TBIn!D2370)</f>
        <v>450</v>
      </c>
      <c r="I69" s="552">
        <f t="shared" si="10"/>
        <v>-450</v>
      </c>
      <c r="J69" s="1032"/>
      <c r="K69" s="863"/>
      <c r="L69" s="2158"/>
      <c r="M69" s="1848">
        <f>TBIn!E2370</f>
        <v>-10219</v>
      </c>
      <c r="N69" s="555">
        <f>-M69</f>
        <v>10219</v>
      </c>
      <c r="O69" s="1032"/>
      <c r="P69" s="80">
        <v>66</v>
      </c>
      <c r="Q69" s="568"/>
      <c r="R69" s="576"/>
      <c r="S69" s="30"/>
    </row>
    <row r="70" spans="1:19" s="569" customFormat="1" ht="16" customHeight="1">
      <c r="A70" s="80">
        <v>67</v>
      </c>
      <c r="B70" s="295"/>
      <c r="C70" s="2782"/>
      <c r="D70" s="2550" t="s">
        <v>787</v>
      </c>
      <c r="E70" s="126">
        <v>688</v>
      </c>
      <c r="F70" s="866"/>
      <c r="G70" s="2446"/>
      <c r="H70" s="2146">
        <f>IF(Flag=TRUE,M70-TBIn!E2371,TBIn!D2371)</f>
        <v>0</v>
      </c>
      <c r="I70" s="561">
        <f t="shared" si="10"/>
        <v>0</v>
      </c>
      <c r="J70" s="2447"/>
      <c r="K70" s="863"/>
      <c r="L70" s="2446"/>
      <c r="M70" s="2147">
        <f>TBIn!E2371</f>
        <v>-1525</v>
      </c>
      <c r="N70" s="564">
        <f>-M70</f>
        <v>1525</v>
      </c>
      <c r="O70" s="2447"/>
      <c r="P70" s="80">
        <v>67</v>
      </c>
      <c r="Q70" s="568"/>
      <c r="R70" s="576"/>
      <c r="S70" s="30"/>
    </row>
    <row r="71" spans="1:19" ht="16" customHeight="1">
      <c r="A71" s="80">
        <v>68</v>
      </c>
      <c r="B71" s="295"/>
      <c r="C71" s="2782"/>
      <c r="D71" s="2550"/>
      <c r="E71" s="2554"/>
      <c r="F71" s="938"/>
      <c r="G71" s="2159"/>
      <c r="H71" s="2146"/>
      <c r="I71" s="2430"/>
      <c r="J71" s="2448"/>
      <c r="K71" s="937"/>
      <c r="L71" s="2159"/>
      <c r="M71" s="2147"/>
      <c r="N71" s="2431"/>
      <c r="O71" s="1033"/>
      <c r="P71" s="80">
        <v>68</v>
      </c>
      <c r="Q71" s="677"/>
      <c r="R71" s="677"/>
    </row>
    <row r="72" spans="1:19" s="569" customFormat="1" ht="16" customHeight="1">
      <c r="A72" s="80">
        <v>69</v>
      </c>
      <c r="B72" s="295"/>
      <c r="C72" s="2782"/>
      <c r="D72" s="119" t="s">
        <v>788</v>
      </c>
      <c r="E72" s="2429"/>
      <c r="F72" s="863"/>
      <c r="G72" s="949">
        <f>SUM(G54:G70)</f>
        <v>151390</v>
      </c>
      <c r="H72" s="716">
        <f>SUM(H54:H70)</f>
        <v>103973</v>
      </c>
      <c r="I72" s="949">
        <f>SUM(I54:I70)</f>
        <v>47417</v>
      </c>
      <c r="J72" s="1516">
        <f t="shared" ref="J72:J79" si="16">IF(G72=0,0,I72/G72)</f>
        <v>0.31321091221348835</v>
      </c>
      <c r="K72" s="863"/>
      <c r="L72" s="949">
        <f>SUM(L54:L70)</f>
        <v>553290</v>
      </c>
      <c r="M72" s="716">
        <f>SUM(M54:M70)</f>
        <v>369654</v>
      </c>
      <c r="N72" s="949">
        <f>SUM(N54:N70)</f>
        <v>183636</v>
      </c>
      <c r="O72" s="1516">
        <f t="shared" ref="O72:O79" si="17">IF(L72=0,0,N72/L72)</f>
        <v>0.33189828119069564</v>
      </c>
      <c r="P72" s="80">
        <v>69</v>
      </c>
      <c r="Q72" s="568"/>
      <c r="R72" s="576"/>
      <c r="S72" s="30"/>
    </row>
    <row r="73" spans="1:19" s="569" customFormat="1" ht="16" customHeight="1">
      <c r="A73" s="80">
        <v>70</v>
      </c>
      <c r="B73" s="295"/>
      <c r="C73" s="2782"/>
      <c r="D73" s="1626" t="s">
        <v>789</v>
      </c>
      <c r="E73" s="153">
        <v>490</v>
      </c>
      <c r="F73" s="863"/>
      <c r="G73" s="2598">
        <f>IF(Flag=TRUE,L73-TBIn!E2326,TBIn!D2326)</f>
        <v>6644</v>
      </c>
      <c r="H73" s="2598">
        <f>IF(Flag=TRUE,M73-(TBIn!E2372),TBIn!D2372)</f>
        <v>5380</v>
      </c>
      <c r="I73" s="551">
        <f>G73-H73</f>
        <v>1264</v>
      </c>
      <c r="J73" s="1517">
        <f t="shared" si="16"/>
        <v>0.19024683925346178</v>
      </c>
      <c r="K73" s="863"/>
      <c r="L73" s="2602">
        <f>TBIn!E2326</f>
        <v>81675</v>
      </c>
      <c r="M73" s="2602">
        <f>TBIn!E2372</f>
        <v>62500</v>
      </c>
      <c r="N73" s="554">
        <f>L73-M73</f>
        <v>19175</v>
      </c>
      <c r="O73" s="2505">
        <f t="shared" si="17"/>
        <v>0.23477196204468931</v>
      </c>
      <c r="P73" s="80">
        <v>70</v>
      </c>
      <c r="Q73" s="568"/>
      <c r="R73" s="576"/>
      <c r="S73" s="30"/>
    </row>
    <row r="74" spans="1:19" s="569" customFormat="1" ht="16" customHeight="1">
      <c r="A74" s="80">
        <v>71</v>
      </c>
      <c r="B74" s="295"/>
      <c r="C74" s="2782"/>
      <c r="D74" s="1627" t="s">
        <v>790</v>
      </c>
      <c r="E74" s="156">
        <v>491</v>
      </c>
      <c r="F74" s="863"/>
      <c r="G74" s="2599">
        <f>IF(Flag=TRUE,L74-TBIn!E2327,TBIn!D2327)</f>
        <v>6831</v>
      </c>
      <c r="H74" s="2599">
        <f>IF(Flag=TRUE,M74-(TBIn!E2373),TBIn!D2373)</f>
        <v>5856</v>
      </c>
      <c r="I74" s="552">
        <f>G74-H74</f>
        <v>975</v>
      </c>
      <c r="J74" s="1518">
        <f t="shared" si="16"/>
        <v>0.14273166447079491</v>
      </c>
      <c r="K74" s="863"/>
      <c r="L74" s="2574">
        <f>TBIn!E2327</f>
        <v>22491</v>
      </c>
      <c r="M74" s="2574">
        <f>TBIn!E2373</f>
        <v>17629</v>
      </c>
      <c r="N74" s="555">
        <f>L74-M74</f>
        <v>4862</v>
      </c>
      <c r="O74" s="2507">
        <f t="shared" si="17"/>
        <v>0.2161753590325019</v>
      </c>
      <c r="P74" s="80">
        <v>71</v>
      </c>
      <c r="Q74" s="568"/>
      <c r="R74" s="576"/>
      <c r="S74" s="30"/>
    </row>
    <row r="75" spans="1:19" s="569" customFormat="1" ht="16" customHeight="1">
      <c r="A75" s="80">
        <v>72</v>
      </c>
      <c r="B75" s="295"/>
      <c r="C75" s="2782"/>
      <c r="D75" s="1628" t="s">
        <v>791</v>
      </c>
      <c r="E75" s="158">
        <v>492</v>
      </c>
      <c r="F75" s="863"/>
      <c r="G75" s="2626">
        <f>IF(Flag=TRUE,L75-TBIn!E2328,TBIn!D2328)</f>
        <v>0</v>
      </c>
      <c r="H75" s="2626">
        <f>IF(Flag=TRUE,M75-(TBIn!$E$2374),TBIn!$D$2374)</f>
        <v>0</v>
      </c>
      <c r="I75" s="561">
        <f>G75-H75</f>
        <v>0</v>
      </c>
      <c r="J75" s="1519">
        <f t="shared" si="16"/>
        <v>0</v>
      </c>
      <c r="K75" s="863"/>
      <c r="L75" s="2632">
        <f>TBIn!E2328</f>
        <v>0</v>
      </c>
      <c r="M75" s="2632">
        <f>TBIn!E2374</f>
        <v>0</v>
      </c>
      <c r="N75" s="564">
        <f>L75-M75</f>
        <v>0</v>
      </c>
      <c r="O75" s="2506">
        <f t="shared" si="17"/>
        <v>0</v>
      </c>
      <c r="P75" s="80">
        <v>72</v>
      </c>
      <c r="Q75" s="568"/>
      <c r="R75" s="576"/>
      <c r="S75" s="30"/>
    </row>
    <row r="76" spans="1:19" s="569" customFormat="1" ht="16" customHeight="1">
      <c r="A76" s="80">
        <v>73</v>
      </c>
      <c r="B76" s="295"/>
      <c r="C76" s="2782"/>
      <c r="D76" s="299" t="s">
        <v>792</v>
      </c>
      <c r="E76" s="177"/>
      <c r="F76" s="766" t="s">
        <v>793</v>
      </c>
      <c r="G76" s="949">
        <f>SUM(G73:G75)</f>
        <v>13475</v>
      </c>
      <c r="H76" s="716">
        <f>SUM(H73:H75)</f>
        <v>11236</v>
      </c>
      <c r="I76" s="949">
        <f>SUM(I73:I75)</f>
        <v>2239</v>
      </c>
      <c r="J76" s="1516">
        <f t="shared" si="16"/>
        <v>0.16615955473098329</v>
      </c>
      <c r="K76" s="769" t="s">
        <v>793</v>
      </c>
      <c r="L76" s="949">
        <f>SUM(L73:L75)</f>
        <v>104166</v>
      </c>
      <c r="M76" s="716">
        <f>SUM(M73:M75)</f>
        <v>80129</v>
      </c>
      <c r="N76" s="949">
        <f>SUM(N73:N75)</f>
        <v>24037</v>
      </c>
      <c r="O76" s="1516">
        <f t="shared" si="17"/>
        <v>0.23075667684273179</v>
      </c>
      <c r="P76" s="80">
        <v>73</v>
      </c>
      <c r="Q76" s="568"/>
      <c r="R76" s="576"/>
      <c r="S76" s="30"/>
    </row>
    <row r="77" spans="1:19" s="569" customFormat="1" ht="16" customHeight="1">
      <c r="A77" s="80">
        <v>74</v>
      </c>
      <c r="B77" s="295"/>
      <c r="C77" s="2783"/>
      <c r="D77" s="300" t="s">
        <v>794</v>
      </c>
      <c r="E77" s="177"/>
      <c r="F77" s="767" t="s">
        <v>795</v>
      </c>
      <c r="G77" s="2624">
        <f>G76+G72</f>
        <v>164865</v>
      </c>
      <c r="H77" s="716">
        <f>H76+H72</f>
        <v>115209</v>
      </c>
      <c r="I77" s="2628">
        <f>IF(Flag=TRUE,I72+I76,TBIn!$D$2375)</f>
        <v>49656</v>
      </c>
      <c r="J77" s="1430">
        <f t="shared" si="16"/>
        <v>0.30119188426894733</v>
      </c>
      <c r="K77" s="770" t="s">
        <v>795</v>
      </c>
      <c r="L77" s="2624">
        <f>L76+L72</f>
        <v>657456</v>
      </c>
      <c r="M77" s="716">
        <f>M76+M72</f>
        <v>449783</v>
      </c>
      <c r="N77" s="2628">
        <f>IF(Flag=TRUE,N72+N76,TBIn!$E$2375)</f>
        <v>207673</v>
      </c>
      <c r="O77" s="1430">
        <f t="shared" si="17"/>
        <v>0.31587360979289869</v>
      </c>
      <c r="P77" s="80">
        <v>74</v>
      </c>
      <c r="Q77" s="568"/>
      <c r="R77" s="598"/>
      <c r="S77" s="30"/>
    </row>
    <row r="78" spans="1:19" s="569" customFormat="1" ht="16" customHeight="1">
      <c r="A78" s="80">
        <v>75</v>
      </c>
      <c r="B78" s="295"/>
      <c r="C78" s="294" t="s">
        <v>796</v>
      </c>
      <c r="D78" s="176"/>
      <c r="E78" s="177"/>
      <c r="F78" s="768">
        <f>IF(Page2!G59&gt;0,I78/Page2!G59,0)</f>
        <v>0.39802262297880164</v>
      </c>
      <c r="G78" s="949">
        <f>G53+G77</f>
        <v>431987</v>
      </c>
      <c r="H78" s="716">
        <f>H53+H77</f>
        <v>250103</v>
      </c>
      <c r="I78" s="949">
        <f>I53+I77</f>
        <v>181884</v>
      </c>
      <c r="J78" s="1516">
        <f t="shared" si="16"/>
        <v>0.42104044797644374</v>
      </c>
      <c r="K78" s="771">
        <f>IF(Page2!J59&gt;0,N78/Page2!J59,0)</f>
        <v>0.38148204313721856</v>
      </c>
      <c r="L78" s="949">
        <f>L53+L77</f>
        <v>1593797</v>
      </c>
      <c r="M78" s="716">
        <f>M53+M77</f>
        <v>934712</v>
      </c>
      <c r="N78" s="949">
        <f>N53+N77</f>
        <v>659085</v>
      </c>
      <c r="O78" s="1516">
        <f t="shared" si="17"/>
        <v>0.41353133429163186</v>
      </c>
      <c r="P78" s="80">
        <v>75</v>
      </c>
      <c r="Q78" s="568"/>
      <c r="R78" s="576"/>
      <c r="S78" s="30"/>
    </row>
    <row r="79" spans="1:19" s="2520" customFormat="1" ht="16" customHeight="1">
      <c r="A79" s="80">
        <v>76</v>
      </c>
      <c r="B79" s="301"/>
      <c r="C79" s="1251" t="s">
        <v>797</v>
      </c>
      <c r="D79" s="1186"/>
      <c r="E79" s="607"/>
      <c r="F79" s="929"/>
      <c r="G79" s="1520">
        <f>G21+G78</f>
        <v>10336068</v>
      </c>
      <c r="H79" s="289">
        <f>H21+H78</f>
        <v>9758729</v>
      </c>
      <c r="I79" s="1520">
        <f>I21+I78</f>
        <v>577339</v>
      </c>
      <c r="J79" s="1521">
        <f t="shared" si="16"/>
        <v>5.5856733914676257E-2</v>
      </c>
      <c r="K79" s="929"/>
      <c r="L79" s="943">
        <f>L21+L78</f>
        <v>34929085</v>
      </c>
      <c r="M79" s="291">
        <f>M21+M78</f>
        <v>32840954</v>
      </c>
      <c r="N79" s="943">
        <f>N21+N78</f>
        <v>2088131</v>
      </c>
      <c r="O79" s="2508">
        <f t="shared" si="17"/>
        <v>5.9782012612125394E-2</v>
      </c>
      <c r="P79" s="179">
        <v>76</v>
      </c>
      <c r="Q79" s="2517"/>
      <c r="R79" s="2518"/>
      <c r="S79" s="2519"/>
    </row>
    <row r="80" spans="1:19" hidden="1">
      <c r="A80" s="2521"/>
      <c r="B80" s="3"/>
      <c r="C80" s="3"/>
      <c r="D80" s="3"/>
      <c r="E80" s="3"/>
      <c r="F80" s="3"/>
      <c r="G80" s="3"/>
      <c r="H80" s="3"/>
      <c r="I80" s="3"/>
      <c r="J80" s="3"/>
      <c r="K80" s="3"/>
      <c r="L80" s="3"/>
      <c r="M80" s="3"/>
      <c r="N80" s="3"/>
      <c r="O80" s="3"/>
      <c r="P80" s="3"/>
      <c r="R80" s="30"/>
      <c r="S80" s="30"/>
    </row>
    <row r="81" spans="1:19" hidden="1">
      <c r="A81" s="2521"/>
      <c r="B81" s="3"/>
      <c r="C81" s="3"/>
      <c r="D81" s="3"/>
      <c r="E81" s="3"/>
      <c r="F81" s="3"/>
      <c r="G81" s="3"/>
      <c r="H81" s="3"/>
      <c r="I81" s="3"/>
      <c r="J81" s="3"/>
      <c r="K81" s="3"/>
      <c r="L81" s="3"/>
      <c r="M81" s="3"/>
      <c r="N81" s="3"/>
      <c r="O81" s="3"/>
      <c r="P81" s="3"/>
      <c r="R81" s="30"/>
      <c r="S81" s="30"/>
    </row>
    <row r="82" spans="1:19" hidden="1">
      <c r="K82" s="655"/>
      <c r="R82" s="30"/>
      <c r="S82" s="30"/>
    </row>
    <row r="83" spans="1:19" hidden="1">
      <c r="D83" s="30" t="s">
        <v>171</v>
      </c>
      <c r="E83" s="1239" t="s">
        <v>88</v>
      </c>
      <c r="F83" s="30" t="s">
        <v>172</v>
      </c>
      <c r="K83" s="655"/>
    </row>
    <row r="84" spans="1:19" hidden="1">
      <c r="D84" s="30" t="s">
        <v>173</v>
      </c>
      <c r="E84" s="1239" t="s">
        <v>88</v>
      </c>
      <c r="F84" s="30" t="s">
        <v>174</v>
      </c>
      <c r="K84" s="655"/>
    </row>
  </sheetData>
  <sheetProtection algorithmName="SHA-512" hashValue="CmNk2MM3iW93FS8YtpwxTGCUqpu+XPJsdR3v3G6jxCrh7Mi3JcWEL+I2DHkD02cQ4WbtflJAbHOFVQG3eKrlcw==" saltValue="MkzGvCM/LsCgXwCgRL9cLg==" spinCount="100000" sheet="1" objects="1" scenarios="1"/>
  <customSheetViews>
    <customSheetView guid="{42A0DCD3-5C27-4BB4-A491-D2E7F84D8A17}" scale="80" showGridLines="0" fitToPage="1" printArea="1" hiddenColumns="1" showRuler="0">
      <selection activeCell="E13" sqref="E13"/>
      <pageMargins left="0.25" right="0.25" top="0.25" bottom="0.25" header="0.5" footer="0.5"/>
      <pageSetup scale="69" orientation="portrait" horizontalDpi="180" verticalDpi="180" r:id="rId1"/>
      <headerFooter alignWithMargins="0"/>
    </customSheetView>
    <customSheetView guid="{EB281BD4-ABCF-428C-A6C2-8158A21EF819}" scale="80" showGridLines="0" fitToPage="1" printArea="1" showRuler="0" topLeftCell="G52">
      <selection activeCell="O14" sqref="O14"/>
      <pageMargins left="0.25" right="0.25" top="0.25" bottom="0.25" header="0.5" footer="0.5"/>
      <pageSetup scale="69" orientation="portrait" horizontalDpi="180" verticalDpi="180" r:id="rId2"/>
      <headerFooter alignWithMargins="0"/>
    </customSheetView>
    <customSheetView guid="{FA29746F-8847-4779-9FAE-66945DB06B8D}" scale="80" showGridLines="0" fitToPage="1" hiddenColumns="1" showRuler="0" topLeftCell="E1">
      <selection activeCell="F4" sqref="F4"/>
      <pageMargins left="0.25" right="0.25" top="0.25" bottom="0.25" header="0.5" footer="0.5"/>
      <pageSetup scale="70" orientation="portrait" horizontalDpi="180" verticalDpi="180"/>
      <headerFooter alignWithMargins="0"/>
    </customSheetView>
  </customSheetViews>
  <mergeCells count="9">
    <mergeCell ref="K44:K45"/>
    <mergeCell ref="C44:C52"/>
    <mergeCell ref="C54:C77"/>
    <mergeCell ref="C2:D2"/>
    <mergeCell ref="C3:D3"/>
    <mergeCell ref="C7:D7"/>
    <mergeCell ref="F44:F45"/>
    <mergeCell ref="C12:D12"/>
    <mergeCell ref="C14:D14"/>
  </mergeCells>
  <phoneticPr fontId="7" type="noConversion"/>
  <dataValidations count="6">
    <dataValidation type="whole" allowBlank="1" showInputMessage="1" showErrorMessage="1" errorTitle="Erreur d'Entrée!" error="Seulement des valeurs numériques peuvent être enregistrées dans ce champ!_x000a_" sqref="F43 G6:G9 J6 I77 L6:L9 F7:F8 F4:G5 K7:K8 K4:L5 O9 O6 J9 F11:H11 H12:H14 F13:G13 K11:M11 M12:M14 K13:L13 G16:H16 I17 F17 K17 L16:M16 N17 K24:M38 F24:H38 M39 H39 G41:H42 L41:M42 N43 K43 I43 M48 H48 G50:H51 L50:M51 K52 N52 I52 F52 L44:M47 H69:H71 G54:H68 M69:M71 G73:H75 L73:M75 N77 G44:H47 K46:K47 F46:F47 L54:M68" xr:uid="{00000000-0002-0000-1000-000000000000}">
      <formula1>-999999999999</formula1>
      <formula2>9999999999999</formula2>
    </dataValidation>
    <dataValidation type="whole" allowBlank="1" showInputMessage="1" showErrorMessage="1" errorTitle="Erreur d'Entrée!" error="Seulement des valeurs numériques peuvent être enregistrées dans ce champ!_x000a_" promptTitle="VOIT. D'OCC DÉT.-OPTIMUM/VUDS" prompt="Ce montant DOIT inclure les coût de remise a neuf!" sqref="M4 H4" xr:uid="{00000000-0002-0000-1000-000001000000}">
      <formula1>-999999999999</formula1>
      <formula2>9999999999999</formula2>
    </dataValidation>
    <dataValidation type="whole" allowBlank="1" showInputMessage="1" showErrorMessage="1" errorTitle="Erreur d'Entrée!" error="Seulement des valeurs numériques peuvent être enregistrées dans ce champ!_x000a_" promptTitle="VOIT. D'OCCASION DÉT.-AUTRE" prompt="Ce montant DOIT inclure les coût de remise a neuf!" sqref="M5 H5" xr:uid="{00000000-0002-0000-1000-000002000000}">
      <formula1>-999999999999</formula1>
      <formula2>9999999999999</formula2>
    </dataValidation>
    <dataValidation type="whole" allowBlank="1" showInputMessage="1" showErrorMessage="1" errorTitle="Erreur d'Entrée!" error="Seulement des valeurs numériques peuvent être enregistrées dans ce champ!_x000a_" promptTitle="CAM. D'OCC DÉT.-OPTIMUM/VUDS" prompt="Ce montant DOIT inclure les coût de remise a neuf!" sqref="M7 H7" xr:uid="{00000000-0002-0000-1000-000003000000}">
      <formula1>-999999999999</formula1>
      <formula2>9999999999999</formula2>
    </dataValidation>
    <dataValidation type="whole" allowBlank="1" showInputMessage="1" showErrorMessage="1" errorTitle="Erreur d'Entrée!" error="Seulement des valeurs numériques peuvent être enregistrées dans ce champ!_x000a_" promptTitle="CAM. D'OCCASION DÉT.-AUTRE" prompt="Ce montant DOIT inclure les coût de remise a neuf!" sqref="M8 H8" xr:uid="{00000000-0002-0000-1000-000004000000}">
      <formula1>-999999999999</formula1>
      <formula2>9999999999999</formula2>
    </dataValidation>
    <dataValidation type="whole" allowBlank="1" showInputMessage="1" showErrorMessage="1" errorTitle="Erreur d'Entrée!" error="Seulement des valeurs numériques peuvent être enregistrées dans ce champ!_x000a_" promptTitle="470/471 Bons de Réparation" prompt="Les décomptes des bons de réparation de la main-d'œuvre client - peinture et de la main-d'œuvre client - carrosserie sont combinés dans un seul compte." sqref="F44 K44" xr:uid="{00000000-0002-0000-1000-000005000000}">
      <formula1>-999999999999</formula1>
      <formula2>9999999999999</formula2>
    </dataValidation>
  </dataValidations>
  <hyperlinks>
    <hyperlink ref="C4" r:id="rId3" tooltip="Lien au Manuel des méthodes comptables GM" xr:uid="{00000000-0004-0000-1000-000000000000}"/>
    <hyperlink ref="C5" r:id="rId4" tooltip="Lien au Manuel des méthodes comptables GM" xr:uid="{00000000-0004-0000-1000-000001000000}"/>
    <hyperlink ref="C6" r:id="rId5" tooltip="Lien au Manuel des méthodes comptables GM" display="http://gm-ca-fr.acctmanual.com/Used_Vehicle/647A_Remise_neuf_Optimum_Voitures_d_occasion_de_Saturn.htm" xr:uid="{00000000-0004-0000-1000-000002000000}"/>
    <hyperlink ref="H6" r:id="rId6" tooltip="Lien au Manuel des méthodes comptables GM" xr:uid="{00000000-0004-0000-1000-000003000000}"/>
    <hyperlink ref="C7" r:id="rId7" tooltip="Lien au Manuel des méthodes comptables GM" xr:uid="{00000000-0004-0000-1000-000004000000}"/>
    <hyperlink ref="C8" r:id="rId8" tooltip="Lien au Manuel des méthodes comptables GM" xr:uid="{00000000-0004-0000-1000-000005000000}"/>
    <hyperlink ref="C9" r:id="rId9" tooltip="Lien au Manuel des méthodes comptables GM" display="http://gm-ca-fr.acctmanual.com/Used_Vehicle/651A_Remise_neuf_Camions_d_occasion_Optimum_Camions_d_occasion_de_Saturn.htm" xr:uid="{00000000-0004-0000-1000-000006000000}"/>
    <hyperlink ref="H9" r:id="rId10" tooltip="Lien au Manuel des méthodes comptables GM" xr:uid="{00000000-0004-0000-1000-000007000000}"/>
    <hyperlink ref="C11" r:id="rId11" tooltip="Lien au Manuel des méthodes comptables GM" xr:uid="{00000000-0004-0000-1000-000008000000}"/>
    <hyperlink ref="C12" r:id="rId12" tooltip="Lien au Manuel des méthodes comptables GM" xr:uid="{00000000-0004-0000-1000-000009000000}"/>
    <hyperlink ref="G12" r:id="rId13" tooltip="Lien au Manuel des méthodes comptables GM" xr:uid="{00000000-0004-0000-1000-00000A000000}"/>
    <hyperlink ref="C13" r:id="rId14" tooltip="Lien au Manuel des méthodes comptables GM" xr:uid="{00000000-0004-0000-1000-00000B000000}"/>
    <hyperlink ref="C14" r:id="rId15" tooltip="Lien au Manuel des méthodes comptables GM" xr:uid="{00000000-0004-0000-1000-00000C000000}"/>
    <hyperlink ref="L14" r:id="rId16" tooltip="Lien au Manuel des méthodes comptables GM" xr:uid="{00000000-0004-0000-1000-00000D000000}"/>
    <hyperlink ref="C16" r:id="rId17" tooltip="Lien au Manuel des méthodes comptables GM" xr:uid="{00000000-0004-0000-1000-00000E000000}"/>
    <hyperlink ref="D24" r:id="rId18" tooltip="Lien au Manuel des méthodes comptables GM" xr:uid="{00000000-0004-0000-1000-00000F000000}"/>
    <hyperlink ref="D26" r:id="rId19" tooltip="Lien au Manuel des méthodes comptables GM" xr:uid="{00000000-0004-0000-1000-000010000000}"/>
    <hyperlink ref="D28" r:id="rId20" tooltip="Lien au Manuel des méthodes comptables GM" xr:uid="{00000000-0004-0000-1000-000011000000}"/>
    <hyperlink ref="D31" r:id="rId21" tooltip="Lien au Manuel des méthodes comptables GM" xr:uid="{00000000-0004-0000-1000-000012000000}"/>
    <hyperlink ref="D33" r:id="rId22" tooltip="Lien au Manuel des méthodes comptables GM" xr:uid="{00000000-0004-0000-1000-000013000000}"/>
    <hyperlink ref="D35" r:id="rId23" tooltip="Lien au Manuel des méthodes comptables GM" xr:uid="{00000000-0004-0000-1000-000014000000}"/>
    <hyperlink ref="D36" r:id="rId24" tooltip="Lien au Manuel des méthodes comptables GM" xr:uid="{00000000-0004-0000-1000-000015000000}"/>
    <hyperlink ref="D37" r:id="rId25" tooltip="Lien au Manuel des méthodes comptables GM" xr:uid="{00000000-0004-0000-1000-000016000000}"/>
    <hyperlink ref="D38" r:id="rId26" tooltip="Lien au Manuel des méthodes comptables GM" xr:uid="{00000000-0004-0000-1000-000017000000}"/>
    <hyperlink ref="D39" r:id="rId27" tooltip="Lien au Manuel des méthodes comptables GM" xr:uid="{00000000-0004-0000-1000-000018000000}"/>
    <hyperlink ref="D41" r:id="rId28" tooltip="Lien au Manuel des méthodes comptables GM" xr:uid="{00000000-0004-0000-1000-000019000000}"/>
    <hyperlink ref="D42" r:id="rId29" tooltip="Lien au Manuel des méthodes comptables GM" xr:uid="{00000000-0004-0000-1000-00001A000000}"/>
    <hyperlink ref="D44" r:id="rId30" tooltip="Lien au Manuel des méthodes comptables GM" xr:uid="{00000000-0004-0000-1000-00001B000000}"/>
    <hyperlink ref="D45" r:id="rId31" tooltip="Lien au Manuel des méthodes comptables GM" xr:uid="{00000000-0004-0000-1000-00001C000000}"/>
    <hyperlink ref="D46" r:id="rId32" tooltip="Lien au Manuel des méthodes comptables GM" xr:uid="{00000000-0004-0000-1000-00001D000000}"/>
    <hyperlink ref="D47" r:id="rId33" tooltip="Lien au Manuel des méthodes comptables GM" xr:uid="{00000000-0004-0000-1000-00001E000000}"/>
    <hyperlink ref="D48" r:id="rId34" tooltip="Lien au Manuel des méthodes comptables GM" xr:uid="{00000000-0004-0000-1000-00001F000000}"/>
    <hyperlink ref="D50" r:id="rId35" tooltip="Lien au Manuel des méthodes comptables GM" xr:uid="{00000000-0004-0000-1000-000020000000}"/>
    <hyperlink ref="D51" r:id="rId36" tooltip="Lien au Manuel des méthodes comptables GM" xr:uid="{00000000-0004-0000-1000-000021000000}"/>
    <hyperlink ref="D54" r:id="rId37" tooltip="Lien au Manuel des méthodes comptables GM" xr:uid="{00000000-0004-0000-1000-000022000000}"/>
    <hyperlink ref="D55" r:id="rId38" tooltip="Lien au Manuel des méthodes comptables GM" xr:uid="{00000000-0004-0000-1000-000023000000}"/>
    <hyperlink ref="D57" r:id="rId39" tooltip="Lien au Manuel des méthodes comptables GM" xr:uid="{00000000-0004-0000-1000-000024000000}"/>
    <hyperlink ref="D59" r:id="rId40" tooltip="Lien au Manuel des méthodes comptables GM" xr:uid="{00000000-0004-0000-1000-000025000000}"/>
    <hyperlink ref="D60" r:id="rId41" tooltip="Lien au Manuel des méthodes comptables GM" xr:uid="{00000000-0004-0000-1000-000026000000}"/>
    <hyperlink ref="D63" r:id="rId42" tooltip="Lien au Manuel des méthodes comptables GM" xr:uid="{00000000-0004-0000-1000-000027000000}"/>
    <hyperlink ref="D64" r:id="rId43" tooltip="Lien au Manuel des méthodes comptables GM" xr:uid="{00000000-0004-0000-1000-000028000000}"/>
    <hyperlink ref="D66" r:id="rId44" tooltip="Lien au Manuel des méthodes comptables GM" xr:uid="{00000000-0004-0000-1000-000029000000}"/>
    <hyperlink ref="D67" r:id="rId45" tooltip="Lien au Manuel des méthodes comptables GM" xr:uid="{00000000-0004-0000-1000-00002A000000}"/>
    <hyperlink ref="D69" r:id="rId46" tooltip="Lien au Manuel des méthodes comptables GM" xr:uid="{00000000-0004-0000-1000-00002B000000}"/>
    <hyperlink ref="D70" r:id="rId47" tooltip="Lien au Manuel des méthodes comptables GM" xr:uid="{00000000-0004-0000-1000-00002C000000}"/>
    <hyperlink ref="D73" r:id="rId48" tooltip="Lien au Manuel des méthodes comptables GM" xr:uid="{00000000-0004-0000-1000-00002D000000}"/>
    <hyperlink ref="D74" r:id="rId49" tooltip="Lien au Manuel des méthodes comptables GM" xr:uid="{00000000-0004-0000-1000-00002E000000}"/>
    <hyperlink ref="D75" r:id="rId50" tooltip="Lien au Manuel des méthodes comptables GM" xr:uid="{00000000-0004-0000-1000-00002F000000}"/>
  </hyperlinks>
  <pageMargins left="0.25" right="0.25" top="0.25" bottom="0.25" header="0.5" footer="0.5"/>
  <pageSetup scale="60" orientation="portrait" horizontalDpi="180" verticalDpi="180" r:id="rId51"/>
  <headerFooter alignWithMargins="0"/>
  <drawing r:id="rId52"/>
  <legacyDrawing r:id="rId53"/>
  <controls>
    <mc:AlternateContent xmlns:mc="http://schemas.openxmlformats.org/markup-compatibility/2006">
      <mc:Choice Requires="x14">
        <control shapeId="2095" r:id="rId54" name="CommandButton6">
          <controlPr defaultSize="0" print="0" autoFill="0" autoLine="0" r:id="rId55">
            <anchor moveWithCells="1">
              <from>
                <xdr:col>8</xdr:col>
                <xdr:colOff>660400</xdr:colOff>
                <xdr:row>0</xdr:row>
                <xdr:rowOff>260350</xdr:rowOff>
              </from>
              <to>
                <xdr:col>10</xdr:col>
                <xdr:colOff>406400</xdr:colOff>
                <xdr:row>2</xdr:row>
                <xdr:rowOff>76200</xdr:rowOff>
              </to>
            </anchor>
          </controlPr>
        </control>
      </mc:Choice>
      <mc:Fallback>
        <control shapeId="2095" r:id="rId54" name="CommandButton6"/>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pageSetUpPr autoPageBreaks="0" fitToPage="1"/>
  </sheetPr>
  <dimension ref="A1:AA126"/>
  <sheetViews>
    <sheetView showGridLines="0" showRowColHeaders="0" tabSelected="1" topLeftCell="A49" workbookViewId="0"/>
  </sheetViews>
  <sheetFormatPr baseColWidth="10" defaultColWidth="0" defaultRowHeight="12.5" zeroHeight="1"/>
  <cols>
    <col min="1" max="1" width="3.81640625" style="30" customWidth="1"/>
    <col min="2" max="2" width="2.54296875" style="30" customWidth="1"/>
    <col min="3" max="3" width="22.453125" style="30" customWidth="1"/>
    <col min="4" max="4" width="5.1796875" style="791" customWidth="1"/>
    <col min="5" max="5" width="11.453125" style="30" customWidth="1"/>
    <col min="6" max="6" width="11.54296875" style="30" customWidth="1"/>
    <col min="7" max="7" width="10.54296875" style="30" customWidth="1"/>
    <col min="8" max="8" width="10.1796875" style="30" customWidth="1"/>
    <col min="9" max="9" width="11.54296875" style="30" customWidth="1"/>
    <col min="10" max="10" width="11.453125" style="30" customWidth="1"/>
    <col min="11" max="11" width="12.81640625" style="30" bestFit="1" customWidth="1"/>
    <col min="12" max="12" width="10.81640625" style="30" customWidth="1"/>
    <col min="13" max="13" width="10.453125" style="30" customWidth="1"/>
    <col min="14" max="14" width="9.453125" style="30" customWidth="1"/>
    <col min="15" max="15" width="10" style="30" bestFit="1" customWidth="1"/>
    <col min="16" max="16" width="3.81640625" style="30" customWidth="1"/>
    <col min="17" max="17" width="11.54296875" style="30" hidden="1" customWidth="1"/>
    <col min="18" max="27" width="0" style="30" hidden="1" customWidth="1"/>
    <col min="28" max="28" width="8.81640625" style="30" hidden="1" customWidth="1"/>
    <col min="29" max="16384" width="8.81640625" style="30" hidden="1"/>
  </cols>
  <sheetData>
    <row r="1" spans="1:17" ht="19.5" customHeight="1">
      <c r="A1" s="576"/>
      <c r="B1" s="1272" t="s">
        <v>798</v>
      </c>
      <c r="C1" s="306"/>
      <c r="D1" s="306"/>
      <c r="E1" s="306"/>
      <c r="F1" s="306"/>
      <c r="G1" s="306"/>
      <c r="H1" s="306"/>
      <c r="I1" s="306"/>
      <c r="J1" s="306"/>
      <c r="K1" s="306"/>
      <c r="L1" s="306"/>
      <c r="M1" s="306"/>
      <c r="N1" s="306"/>
      <c r="O1" s="306"/>
      <c r="P1" s="62" t="str">
        <f>TBIn!$E$2458&amp;" - "&amp;TBIn!$AH$10&amp;" - PAGE 7"</f>
        <v>319719 - 202504 - PAGE 7</v>
      </c>
      <c r="Q1" s="576"/>
    </row>
    <row r="2" spans="1:17" ht="15.75" customHeight="1">
      <c r="A2" s="67" t="s">
        <v>1</v>
      </c>
      <c r="B2" s="307" t="s">
        <v>799</v>
      </c>
      <c r="C2" s="308"/>
      <c r="D2" s="309"/>
      <c r="E2" s="577" t="s">
        <v>7</v>
      </c>
      <c r="F2" s="578"/>
      <c r="G2" s="578"/>
      <c r="H2" s="578"/>
      <c r="I2" s="579"/>
      <c r="J2" s="346" t="s">
        <v>8</v>
      </c>
      <c r="K2" s="580"/>
      <c r="L2" s="580"/>
      <c r="M2" s="580"/>
      <c r="N2" s="581"/>
      <c r="O2" s="900"/>
      <c r="P2" s="67" t="s">
        <v>1</v>
      </c>
      <c r="Q2" s="576"/>
    </row>
    <row r="3" spans="1:17" ht="15.75" customHeight="1">
      <c r="A3" s="71" t="s">
        <v>6</v>
      </c>
      <c r="B3" s="310" t="s">
        <v>800</v>
      </c>
      <c r="C3" s="311"/>
      <c r="D3" s="312"/>
      <c r="E3" s="1258" t="s">
        <v>801</v>
      </c>
      <c r="F3" s="1259" t="s">
        <v>103</v>
      </c>
      <c r="G3" s="1233" t="s">
        <v>104</v>
      </c>
      <c r="H3" s="1233" t="s">
        <v>802</v>
      </c>
      <c r="I3" s="1260" t="s">
        <v>803</v>
      </c>
      <c r="J3" s="1261" t="s">
        <v>801</v>
      </c>
      <c r="K3" s="1262" t="s">
        <v>103</v>
      </c>
      <c r="L3" s="1236" t="s">
        <v>104</v>
      </c>
      <c r="M3" s="1236" t="s">
        <v>802</v>
      </c>
      <c r="N3" s="1263" t="s">
        <v>803</v>
      </c>
      <c r="O3" s="901"/>
      <c r="P3" s="71" t="s">
        <v>6</v>
      </c>
      <c r="Q3" s="576"/>
    </row>
    <row r="4" spans="1:17" ht="15.75" customHeight="1">
      <c r="A4" s="74">
        <v>1</v>
      </c>
      <c r="B4" s="313"/>
      <c r="C4" s="1539" t="s">
        <v>804</v>
      </c>
      <c r="D4" s="239">
        <v>806</v>
      </c>
      <c r="E4" s="268">
        <f>IF(Flag=TRUE,J4-TBIn!E955,TBIn!D955)</f>
        <v>0</v>
      </c>
      <c r="F4" s="2598">
        <f>IF(Flag=TRUE,K4-TBIn!E2384,TBIn!D2384)</f>
        <v>0</v>
      </c>
      <c r="G4" s="2633"/>
      <c r="H4" s="2634">
        <f>F4</f>
        <v>0</v>
      </c>
      <c r="I4" s="584">
        <f>IF(E4=0,0,H4/E4)</f>
        <v>0</v>
      </c>
      <c r="J4" s="1846">
        <f>TBIn!E955</f>
        <v>0</v>
      </c>
      <c r="K4" s="2602">
        <f>TBIn!E2384</f>
        <v>0</v>
      </c>
      <c r="L4" s="2633"/>
      <c r="M4" s="2612">
        <f>K4</f>
        <v>0</v>
      </c>
      <c r="N4" s="585">
        <f>IF(J4=0,0,M4/J4)</f>
        <v>0</v>
      </c>
      <c r="O4" s="901"/>
      <c r="P4" s="74">
        <v>1</v>
      </c>
      <c r="Q4" s="576"/>
    </row>
    <row r="5" spans="1:17" ht="15.75" customHeight="1">
      <c r="A5" s="80">
        <v>2</v>
      </c>
      <c r="B5" s="187"/>
      <c r="C5" s="2293" t="s">
        <v>805</v>
      </c>
      <c r="D5" s="239">
        <v>807</v>
      </c>
      <c r="E5" s="269">
        <f>IF(Flag=TRUE,J5-TBIn!E956,TBIn!D956)</f>
        <v>2</v>
      </c>
      <c r="F5" s="2599">
        <f>IF(Flag=TRUE,K5-TBIn!E2385,TBIn!D2385)</f>
        <v>2518</v>
      </c>
      <c r="G5" s="2608"/>
      <c r="H5" s="2634">
        <f>F5</f>
        <v>2518</v>
      </c>
      <c r="I5" s="586">
        <f>IF(E5=0,0,H5/E5)</f>
        <v>1259</v>
      </c>
      <c r="J5" s="1846">
        <f>TBIn!E956</f>
        <v>3</v>
      </c>
      <c r="K5" s="2574">
        <f>TBIn!E2385</f>
        <v>3750</v>
      </c>
      <c r="L5" s="2608"/>
      <c r="M5" s="2612">
        <f>K5</f>
        <v>3750</v>
      </c>
      <c r="N5" s="587">
        <f>IF(J5=0,0,M5/J5)</f>
        <v>1250</v>
      </c>
      <c r="O5" s="901"/>
      <c r="P5" s="80">
        <v>2</v>
      </c>
      <c r="Q5" s="576"/>
    </row>
    <row r="6" spans="1:17" ht="15.75" customHeight="1">
      <c r="A6" s="80">
        <v>3</v>
      </c>
      <c r="B6" s="187"/>
      <c r="C6" s="1539" t="s">
        <v>806</v>
      </c>
      <c r="D6" s="239">
        <v>850</v>
      </c>
      <c r="E6" s="860"/>
      <c r="F6" s="2635"/>
      <c r="G6" s="2613">
        <f>IF(Flag=TRUE,L6-TBIn!E2386,TBIn!D2386)</f>
        <v>0</v>
      </c>
      <c r="H6" s="2634">
        <f>-G6</f>
        <v>0</v>
      </c>
      <c r="I6" s="861"/>
      <c r="J6" s="860"/>
      <c r="K6" s="2641"/>
      <c r="L6" s="2615">
        <f>TBIn!E2386</f>
        <v>0</v>
      </c>
      <c r="M6" s="2612">
        <f>-L6</f>
        <v>0</v>
      </c>
      <c r="N6" s="861"/>
      <c r="O6" s="901"/>
      <c r="P6" s="80">
        <v>3</v>
      </c>
      <c r="Q6" s="576"/>
    </row>
    <row r="7" spans="1:17" ht="15.75" customHeight="1">
      <c r="A7" s="80">
        <v>4</v>
      </c>
      <c r="B7" s="187" t="s">
        <v>127</v>
      </c>
      <c r="C7" s="1539" t="s">
        <v>783</v>
      </c>
      <c r="D7" s="193">
        <v>810</v>
      </c>
      <c r="E7" s="372">
        <f>IF(Flag=TRUE,J7-TBIn!E957,TBIn!D957)</f>
        <v>0</v>
      </c>
      <c r="F7" s="2599">
        <f>IF(Flag=TRUE,K7-TBIn!E2376,TBIn!D2376)</f>
        <v>0</v>
      </c>
      <c r="G7" s="2599">
        <f>IF(Flag=TRUE,L7-(TBIn!E2387),TBIn!D2387)</f>
        <v>0</v>
      </c>
      <c r="H7" s="2634">
        <f>F7-G7</f>
        <v>0</v>
      </c>
      <c r="I7" s="271">
        <f>IF(E7=0,0,H7/E7)</f>
        <v>0</v>
      </c>
      <c r="J7" s="1847">
        <f>TBIn!E957</f>
        <v>0</v>
      </c>
      <c r="K7" s="2574">
        <f>TBIn!E2376</f>
        <v>0</v>
      </c>
      <c r="L7" s="2574">
        <f>TBIn!E2387</f>
        <v>0</v>
      </c>
      <c r="M7" s="2612">
        <f>K7-L7</f>
        <v>0</v>
      </c>
      <c r="N7" s="272">
        <f>IF(J7=0,0,M7/J7)</f>
        <v>0</v>
      </c>
      <c r="O7" s="901"/>
      <c r="P7" s="80">
        <v>4</v>
      </c>
      <c r="Q7" s="576"/>
    </row>
    <row r="8" spans="1:17" ht="15.75" customHeight="1">
      <c r="A8" s="80">
        <v>5</v>
      </c>
      <c r="B8" s="187" t="s">
        <v>122</v>
      </c>
      <c r="C8" s="1539" t="s">
        <v>807</v>
      </c>
      <c r="D8" s="193">
        <v>822</v>
      </c>
      <c r="E8" s="860"/>
      <c r="F8" s="2599">
        <f>IF(Flag=TRUE,K8-TBIn!E2377,TBIn!D2377)</f>
        <v>0</v>
      </c>
      <c r="G8" s="2599">
        <f>IF(Flag=TRUE,L8-(TBIn!E2388),TBIn!D2388)</f>
        <v>0</v>
      </c>
      <c r="H8" s="2634">
        <f>F8-G8</f>
        <v>0</v>
      </c>
      <c r="I8" s="861"/>
      <c r="J8" s="860"/>
      <c r="K8" s="2574">
        <f>TBIn!E2377</f>
        <v>0</v>
      </c>
      <c r="L8" s="2574">
        <f>TBIn!E2388</f>
        <v>0</v>
      </c>
      <c r="M8" s="2612">
        <f>K8-L8</f>
        <v>0</v>
      </c>
      <c r="N8" s="861"/>
      <c r="O8" s="901"/>
      <c r="P8" s="80">
        <v>5</v>
      </c>
      <c r="Q8" s="576"/>
    </row>
    <row r="9" spans="1:17" ht="15.75" customHeight="1">
      <c r="A9" s="80">
        <v>6</v>
      </c>
      <c r="B9" s="187" t="s">
        <v>118</v>
      </c>
      <c r="C9" s="1539" t="s">
        <v>808</v>
      </c>
      <c r="D9" s="239">
        <v>443</v>
      </c>
      <c r="E9" s="269">
        <f>IF(Flag=TRUE,J9-TBIn!E958,TBIn!D958)</f>
        <v>7</v>
      </c>
      <c r="F9" s="2599">
        <f>IF(Flag=TRUE,K9-TBIn!E2378,TBIn!D2378)</f>
        <v>21672</v>
      </c>
      <c r="G9" s="2599">
        <f>IF(Flag=TRUE,L9-(TBIn!E2389),TBIn!D2389)</f>
        <v>11632</v>
      </c>
      <c r="H9" s="2634">
        <f>F9-G9</f>
        <v>10040</v>
      </c>
      <c r="I9" s="586">
        <f>IF(E9=0,0,H9/E9)</f>
        <v>1434.2857142857142</v>
      </c>
      <c r="J9" s="1841">
        <f>TBIn!E958</f>
        <v>31</v>
      </c>
      <c r="K9" s="2574">
        <f>TBIn!E2378</f>
        <v>107031</v>
      </c>
      <c r="L9" s="2574">
        <f>TBIn!E2389</f>
        <v>55833</v>
      </c>
      <c r="M9" s="2612">
        <f>K9-L9</f>
        <v>51198</v>
      </c>
      <c r="N9" s="587">
        <f>IF(J9=0,0,M9/J9)</f>
        <v>1651.5483870967741</v>
      </c>
      <c r="O9" s="901"/>
      <c r="P9" s="80">
        <v>6</v>
      </c>
      <c r="Q9" s="576"/>
    </row>
    <row r="10" spans="1:17" ht="15.75" customHeight="1">
      <c r="A10" s="80">
        <v>7</v>
      </c>
      <c r="B10" s="187" t="s">
        <v>157</v>
      </c>
      <c r="C10" s="1539" t="s">
        <v>809</v>
      </c>
      <c r="D10" s="239">
        <v>444</v>
      </c>
      <c r="E10" s="269">
        <f>IF(Flag=TRUE,J10-TBIn!E959,TBIn!D959)</f>
        <v>13</v>
      </c>
      <c r="F10" s="2599">
        <f>IF(Flag=TRUE,K10-TBIn!E2379,TBIn!D2379)</f>
        <v>11688</v>
      </c>
      <c r="G10" s="2599">
        <f>IF(Flag=TRUE,L10-(TBIn!E2390),TBIn!D2390)</f>
        <v>5494</v>
      </c>
      <c r="H10" s="2634">
        <f>F10-G10</f>
        <v>6194</v>
      </c>
      <c r="I10" s="586">
        <f>IF(E10=0,0,H10/E10)</f>
        <v>476.46153846153845</v>
      </c>
      <c r="J10" s="1841">
        <f>TBIn!E959</f>
        <v>30</v>
      </c>
      <c r="K10" s="2574">
        <f>TBIn!E2379</f>
        <v>26048</v>
      </c>
      <c r="L10" s="2574">
        <f>TBIn!E2390</f>
        <v>11838</v>
      </c>
      <c r="M10" s="2612">
        <f>K10-L10</f>
        <v>14210</v>
      </c>
      <c r="N10" s="587">
        <f>IF(J10=0,0,M10/J10)</f>
        <v>473.66666666666669</v>
      </c>
      <c r="O10" s="901"/>
      <c r="P10" s="80">
        <v>7</v>
      </c>
      <c r="Q10" s="576"/>
    </row>
    <row r="11" spans="1:17" ht="15.75" customHeight="1">
      <c r="A11" s="80">
        <v>8</v>
      </c>
      <c r="B11" s="187" t="s">
        <v>124</v>
      </c>
      <c r="C11" s="1643" t="s">
        <v>810</v>
      </c>
      <c r="D11" s="239">
        <v>853</v>
      </c>
      <c r="E11" s="862"/>
      <c r="F11" s="2636"/>
      <c r="G11" s="2637">
        <f>IF(Flag=TRUE,L11-TBIn!E2391,TBIn!D2391)</f>
        <v>0</v>
      </c>
      <c r="H11" s="2634">
        <f>-G11</f>
        <v>0</v>
      </c>
      <c r="I11" s="865"/>
      <c r="J11" s="862"/>
      <c r="K11" s="2642"/>
      <c r="L11" s="2615">
        <f>TBIn!E2391</f>
        <v>0</v>
      </c>
      <c r="M11" s="2612">
        <f>-L11</f>
        <v>0</v>
      </c>
      <c r="N11" s="865"/>
      <c r="O11" s="901"/>
      <c r="P11" s="80">
        <v>8</v>
      </c>
      <c r="Q11" s="576"/>
    </row>
    <row r="12" spans="1:17" ht="15.75" customHeight="1">
      <c r="A12" s="80">
        <v>9</v>
      </c>
      <c r="B12" s="187"/>
      <c r="C12" s="1539" t="s">
        <v>811</v>
      </c>
      <c r="D12" s="239">
        <v>855</v>
      </c>
      <c r="E12" s="863"/>
      <c r="F12" s="2638"/>
      <c r="G12" s="2600">
        <f>IF(Flag=TRUE,L12-TBIn!E2392,+TBIn!D2392)</f>
        <v>10140</v>
      </c>
      <c r="H12" s="2634">
        <f>-G12</f>
        <v>-10140</v>
      </c>
      <c r="I12" s="314" t="s">
        <v>719</v>
      </c>
      <c r="J12" s="863"/>
      <c r="K12" s="2643"/>
      <c r="L12" s="2603">
        <f>TBIn!E2392</f>
        <v>25892</v>
      </c>
      <c r="M12" s="2612">
        <f>-L12</f>
        <v>-25892</v>
      </c>
      <c r="N12" s="314" t="s">
        <v>719</v>
      </c>
      <c r="O12" s="901"/>
      <c r="P12" s="80">
        <v>9</v>
      </c>
      <c r="Q12" s="576"/>
    </row>
    <row r="13" spans="1:17" ht="15.75" customHeight="1">
      <c r="A13" s="80">
        <v>10</v>
      </c>
      <c r="B13" s="315"/>
      <c r="C13" s="588" t="s">
        <v>812</v>
      </c>
      <c r="D13" s="589"/>
      <c r="E13" s="864"/>
      <c r="F13" s="2639">
        <f>SUM(F4:F12)</f>
        <v>35878</v>
      </c>
      <c r="G13" s="2640">
        <f>SUM(G4:G12)</f>
        <v>27266</v>
      </c>
      <c r="H13" s="2640">
        <f>SUM(H4:H12)</f>
        <v>8612</v>
      </c>
      <c r="I13" s="2252">
        <f>IF((E71+E75+E72+E76)=0,0,H13/(E71+E75+E72+E76))</f>
        <v>159.4814814814815</v>
      </c>
      <c r="J13" s="864"/>
      <c r="K13" s="2639">
        <f>SUM(K4:K12)</f>
        <v>136829</v>
      </c>
      <c r="L13" s="2640">
        <f>SUM(L4:L12)</f>
        <v>93563</v>
      </c>
      <c r="M13" s="2640">
        <f>SUM(M4:M12)</f>
        <v>43266</v>
      </c>
      <c r="N13" s="2252">
        <f>IF((J71+J75+J72+J76)=0,0,M13/(J71+J75+J72+J76))</f>
        <v>232.61290322580646</v>
      </c>
      <c r="O13" s="901"/>
      <c r="P13" s="80">
        <v>10</v>
      </c>
      <c r="Q13" s="576"/>
    </row>
    <row r="14" spans="1:17" ht="15.75" customHeight="1">
      <c r="A14" s="80">
        <v>11</v>
      </c>
      <c r="B14" s="2801" t="s">
        <v>813</v>
      </c>
      <c r="C14" s="1539" t="s">
        <v>804</v>
      </c>
      <c r="D14" s="239">
        <v>808</v>
      </c>
      <c r="E14" s="268">
        <f>IF(Flag=TRUE,J14-TBIn!E960,TBIn!D960)</f>
        <v>3</v>
      </c>
      <c r="F14" s="2598">
        <f>IF(Flag=TRUE,K14-TBIn!E2393,TBIn!D2393)</f>
        <v>2380</v>
      </c>
      <c r="G14" s="2633"/>
      <c r="H14" s="2634">
        <f>F14</f>
        <v>2380</v>
      </c>
      <c r="I14" s="584">
        <f>IF(E14=0,0,F14/E14)</f>
        <v>793.33333333333337</v>
      </c>
      <c r="J14" s="1842">
        <f>TBIn!E960</f>
        <v>7</v>
      </c>
      <c r="K14" s="2602">
        <f>TBIn!E2393</f>
        <v>4199</v>
      </c>
      <c r="L14" s="2633"/>
      <c r="M14" s="2612">
        <f>K14</f>
        <v>4199</v>
      </c>
      <c r="N14" s="585">
        <f>IF(J14=0,0,K14/J14)</f>
        <v>599.85714285714289</v>
      </c>
      <c r="O14" s="901"/>
      <c r="P14" s="80">
        <v>11</v>
      </c>
      <c r="Q14" s="576"/>
    </row>
    <row r="15" spans="1:17" ht="15.75" customHeight="1">
      <c r="A15" s="80">
        <v>12</v>
      </c>
      <c r="B15" s="2802"/>
      <c r="C15" s="2293" t="s">
        <v>805</v>
      </c>
      <c r="D15" s="239">
        <v>809</v>
      </c>
      <c r="E15" s="269">
        <f>IF(Flag=TRUE,J15-TBIn!E961,TBIn!D961)</f>
        <v>0</v>
      </c>
      <c r="F15" s="2599">
        <f>IF(Flag=TRUE,K15-TBIn!E2394,TBIn!D2394)</f>
        <v>0</v>
      </c>
      <c r="G15" s="2608"/>
      <c r="H15" s="2634">
        <f>F15</f>
        <v>0</v>
      </c>
      <c r="I15" s="586">
        <f>IF(E15=0,0,F15/E15)</f>
        <v>0</v>
      </c>
      <c r="J15" s="1841">
        <f>TBIn!E961</f>
        <v>0</v>
      </c>
      <c r="K15" s="2574">
        <f>TBIn!E2394</f>
        <v>0</v>
      </c>
      <c r="L15" s="2608"/>
      <c r="M15" s="2612">
        <f>K15</f>
        <v>0</v>
      </c>
      <c r="N15" s="587">
        <f>IF(J15=0,0,K15/J15)</f>
        <v>0</v>
      </c>
      <c r="O15" s="901"/>
      <c r="P15" s="80">
        <v>12</v>
      </c>
      <c r="Q15" s="576"/>
    </row>
    <row r="16" spans="1:17" ht="15.75" customHeight="1">
      <c r="A16" s="80">
        <v>13</v>
      </c>
      <c r="B16" s="2802"/>
      <c r="C16" s="1539" t="s">
        <v>806</v>
      </c>
      <c r="D16" s="239">
        <v>851</v>
      </c>
      <c r="E16" s="860"/>
      <c r="F16" s="2641"/>
      <c r="G16" s="2613">
        <f>IF(Flag=TRUE,L16-TBIn!E2395,TBIn!D2395)</f>
        <v>0</v>
      </c>
      <c r="H16" s="2634">
        <f>-G16</f>
        <v>0</v>
      </c>
      <c r="I16" s="861"/>
      <c r="J16" s="860"/>
      <c r="K16" s="2641"/>
      <c r="L16" s="2615">
        <f>TBIn!E2395</f>
        <v>0</v>
      </c>
      <c r="M16" s="2612">
        <f>-L16</f>
        <v>0</v>
      </c>
      <c r="N16" s="861"/>
      <c r="O16" s="901"/>
      <c r="P16" s="80">
        <v>13</v>
      </c>
      <c r="Q16" s="576"/>
    </row>
    <row r="17" spans="1:17" ht="15.75" customHeight="1">
      <c r="A17" s="80">
        <v>14</v>
      </c>
      <c r="B17" s="2802"/>
      <c r="C17" s="1539" t="s">
        <v>783</v>
      </c>
      <c r="D17" s="193">
        <v>811</v>
      </c>
      <c r="E17" s="372">
        <f>IF(Flag=TRUE,J17-TBIn!E962,TBIn!D962)</f>
        <v>0</v>
      </c>
      <c r="F17" s="2599">
        <f>IF(Flag=TRUE,K17-TBIn!E2380,TBIn!D2380)</f>
        <v>0</v>
      </c>
      <c r="G17" s="2599">
        <f>IF(Flag=TRUE,L17-(TBIn!E2396),TBIn!D2396)</f>
        <v>0</v>
      </c>
      <c r="H17" s="2634">
        <f>F17-G17</f>
        <v>0</v>
      </c>
      <c r="I17" s="271">
        <f>IF(E17=0,0,H17/E17)</f>
        <v>0</v>
      </c>
      <c r="J17" s="1847">
        <f>TBIn!E962</f>
        <v>0</v>
      </c>
      <c r="K17" s="2574">
        <f>TBIn!E2380</f>
        <v>0</v>
      </c>
      <c r="L17" s="2574">
        <f>TBIn!E2396</f>
        <v>0</v>
      </c>
      <c r="M17" s="2612">
        <f>K17-L17</f>
        <v>0</v>
      </c>
      <c r="N17" s="272">
        <f>IF(J17=0,0,M17/J17)</f>
        <v>0</v>
      </c>
      <c r="O17" s="901"/>
      <c r="P17" s="80">
        <v>14</v>
      </c>
      <c r="Q17" s="576"/>
    </row>
    <row r="18" spans="1:17" ht="15.75" customHeight="1">
      <c r="A18" s="80">
        <v>15</v>
      </c>
      <c r="B18" s="2802"/>
      <c r="C18" s="1539" t="s">
        <v>807</v>
      </c>
      <c r="D18" s="193">
        <v>823</v>
      </c>
      <c r="E18" s="860"/>
      <c r="F18" s="2599">
        <f>IF(Flag=TRUE,K18-TBIn!E2381,TBIn!D2381)</f>
        <v>0</v>
      </c>
      <c r="G18" s="2599">
        <f>IF(Flag=TRUE,L18-(TBIn!E2397),TBIn!D2397)</f>
        <v>0</v>
      </c>
      <c r="H18" s="2634">
        <f>F18-G18</f>
        <v>0</v>
      </c>
      <c r="I18" s="861"/>
      <c r="J18" s="860"/>
      <c r="K18" s="2574">
        <f>TBIn!E2381</f>
        <v>0</v>
      </c>
      <c r="L18" s="2574">
        <f>TBIn!E2397</f>
        <v>0</v>
      </c>
      <c r="M18" s="2612">
        <f>K18-L18</f>
        <v>0</v>
      </c>
      <c r="N18" s="861"/>
      <c r="O18" s="901"/>
      <c r="P18" s="80">
        <v>15</v>
      </c>
      <c r="Q18" s="576"/>
    </row>
    <row r="19" spans="1:17" ht="15.75" customHeight="1">
      <c r="A19" s="80">
        <v>16</v>
      </c>
      <c r="B19" s="2802"/>
      <c r="C19" s="1539" t="s">
        <v>808</v>
      </c>
      <c r="D19" s="239">
        <v>454</v>
      </c>
      <c r="E19" s="269">
        <f>IF(Flag=TRUE,J19-TBIn!E963,TBIn!D963)</f>
        <v>2</v>
      </c>
      <c r="F19" s="2599">
        <f>IF(Flag=TRUE,K19-TBIn!E2382,TBIn!D2382)</f>
        <v>6183</v>
      </c>
      <c r="G19" s="2599">
        <f>IF(Flag=TRUE,L19-(TBIn!E2398),TBIn!D2398)</f>
        <v>2734</v>
      </c>
      <c r="H19" s="2634">
        <f>F19-G19</f>
        <v>3449</v>
      </c>
      <c r="I19" s="586">
        <f>IF(E19=0,0,H19/E19)</f>
        <v>1724.5</v>
      </c>
      <c r="J19" s="1841">
        <f>TBIn!E963</f>
        <v>9</v>
      </c>
      <c r="K19" s="2574">
        <f>TBIn!E2382</f>
        <v>29308</v>
      </c>
      <c r="L19" s="2574">
        <f>TBIn!E2398</f>
        <v>12728</v>
      </c>
      <c r="M19" s="2612">
        <f>K19-L19</f>
        <v>16580</v>
      </c>
      <c r="N19" s="587">
        <f>IF(J19=0,0,M19/J19)</f>
        <v>1842.2222222222222</v>
      </c>
      <c r="O19" s="901"/>
      <c r="P19" s="80">
        <v>16</v>
      </c>
      <c r="Q19" s="576"/>
    </row>
    <row r="20" spans="1:17" ht="15.75" customHeight="1">
      <c r="A20" s="80">
        <v>17</v>
      </c>
      <c r="B20" s="2802"/>
      <c r="C20" s="1539" t="s">
        <v>809</v>
      </c>
      <c r="D20" s="239">
        <v>455</v>
      </c>
      <c r="E20" s="269">
        <f>IF(Flag=TRUE,J20-TBIn!E964,TBIn!D964)</f>
        <v>0</v>
      </c>
      <c r="F20" s="2599">
        <f>IF(Flag=TRUE,K20-TBIn!E2383,TBIn!D2383)</f>
        <v>0</v>
      </c>
      <c r="G20" s="2599">
        <f>IF(Flag=TRUE,L20-(TBIn!E2399),TBIn!D2399)</f>
        <v>0</v>
      </c>
      <c r="H20" s="2634">
        <f>F20-G20</f>
        <v>0</v>
      </c>
      <c r="I20" s="586">
        <f>IF(E20=0,0,H20/E20)</f>
        <v>0</v>
      </c>
      <c r="J20" s="1841">
        <f>TBIn!E964</f>
        <v>0</v>
      </c>
      <c r="K20" s="2574">
        <f>TBIn!E2383</f>
        <v>0</v>
      </c>
      <c r="L20" s="2574">
        <f>TBIn!E2399</f>
        <v>0</v>
      </c>
      <c r="M20" s="2612">
        <f>K20-L20</f>
        <v>0</v>
      </c>
      <c r="N20" s="587">
        <f>IF(J20=0,0,M20/J20)</f>
        <v>0</v>
      </c>
      <c r="O20" s="901"/>
      <c r="P20" s="80">
        <v>17</v>
      </c>
      <c r="Q20" s="576"/>
    </row>
    <row r="21" spans="1:17" ht="15.75" customHeight="1">
      <c r="A21" s="80">
        <v>18</v>
      </c>
      <c r="B21" s="2802"/>
      <c r="C21" s="1643" t="s">
        <v>814</v>
      </c>
      <c r="D21" s="239">
        <v>854</v>
      </c>
      <c r="E21" s="860"/>
      <c r="F21" s="2642"/>
      <c r="G21" s="2599">
        <f>IF(Flag=TRUE,L21-TBIn!E2400,TBIn!D2400)</f>
        <v>0</v>
      </c>
      <c r="H21" s="2634">
        <f>-G21</f>
        <v>0</v>
      </c>
      <c r="I21" s="867"/>
      <c r="J21" s="868"/>
      <c r="K21" s="2646"/>
      <c r="L21" s="2574">
        <f>TBIn!E2400</f>
        <v>0</v>
      </c>
      <c r="M21" s="2574">
        <f>-L21</f>
        <v>0</v>
      </c>
      <c r="N21" s="867"/>
      <c r="O21" s="901"/>
      <c r="P21" s="80">
        <v>18</v>
      </c>
      <c r="Q21" s="576"/>
    </row>
    <row r="22" spans="1:17" ht="15.75" customHeight="1">
      <c r="A22" s="80">
        <v>19</v>
      </c>
      <c r="B22" s="2802"/>
      <c r="C22" s="1539" t="s">
        <v>811</v>
      </c>
      <c r="D22" s="239">
        <v>856</v>
      </c>
      <c r="E22" s="1329" t="s">
        <v>815</v>
      </c>
      <c r="F22" s="2643"/>
      <c r="G22" s="2599">
        <f>IF(Flag=TRUE,L22-TBIn!E2401,TBIn!D2401)</f>
        <v>1557</v>
      </c>
      <c r="H22" s="2634">
        <f>-G22</f>
        <v>-1557</v>
      </c>
      <c r="I22" s="314" t="s">
        <v>719</v>
      </c>
      <c r="J22" s="1330" t="s">
        <v>816</v>
      </c>
      <c r="K22" s="2647"/>
      <c r="L22" s="2574">
        <f>TBIn!E2401</f>
        <v>6808</v>
      </c>
      <c r="M22" s="2574">
        <f>-L22</f>
        <v>-6808</v>
      </c>
      <c r="N22" s="314" t="s">
        <v>719</v>
      </c>
      <c r="O22" s="901"/>
      <c r="P22" s="80">
        <v>19</v>
      </c>
      <c r="Q22" s="576"/>
    </row>
    <row r="23" spans="1:17" ht="15.75" customHeight="1">
      <c r="A23" s="80">
        <v>20</v>
      </c>
      <c r="B23" s="317"/>
      <c r="C23" s="588" t="s">
        <v>817</v>
      </c>
      <c r="D23" s="2276"/>
      <c r="E23" s="590" t="s">
        <v>818</v>
      </c>
      <c r="F23" s="2644">
        <f>SUM(F14:F20)</f>
        <v>8563</v>
      </c>
      <c r="G23" s="2645">
        <f>SUM(G14:G22)</f>
        <v>4291</v>
      </c>
      <c r="H23" s="2645">
        <f>SUM(H14:H22)</f>
        <v>4272</v>
      </c>
      <c r="I23" s="316">
        <f>IF((Page6!F4+Page6!F5+Page6!F7+Page6!F8)=0,0,H23/(Page6!F4+Page6!F5+Page6!F7+Page6!F8))</f>
        <v>427.2</v>
      </c>
      <c r="J23" s="591" t="s">
        <v>818</v>
      </c>
      <c r="K23" s="2644">
        <f>SUM(K14:K20)</f>
        <v>33507</v>
      </c>
      <c r="L23" s="2645">
        <f>SUM(L14:L22)</f>
        <v>19536</v>
      </c>
      <c r="M23" s="2645">
        <f>SUM(M14:M22)</f>
        <v>13971</v>
      </c>
      <c r="N23" s="316">
        <f>IF((Page6!K4+Page6!K5+Page6!K7+Page6!K8)=0,0,M23/(Page6!K4+Page6!K5+Page6!K7+Page6!K8))</f>
        <v>303.71739130434781</v>
      </c>
      <c r="O23" s="901"/>
      <c r="P23" s="80">
        <v>20</v>
      </c>
      <c r="Q23" s="576"/>
    </row>
    <row r="24" spans="1:17" ht="15.75" customHeight="1">
      <c r="A24" s="80">
        <v>21</v>
      </c>
      <c r="B24" s="2295" t="s">
        <v>819</v>
      </c>
      <c r="C24" s="260"/>
      <c r="D24" s="2296"/>
      <c r="E24" s="1856">
        <f>IF(Flag=TRUE,SUM(E4:E21),TBIn!D965)</f>
        <v>27</v>
      </c>
      <c r="F24" s="2645">
        <f>F13+F23</f>
        <v>44441</v>
      </c>
      <c r="G24" s="2645">
        <f>G13+G23</f>
        <v>31557</v>
      </c>
      <c r="H24" s="2630">
        <f>IF(Flag=TRUE,H13+H23,TBIn!D2402)</f>
        <v>12884</v>
      </c>
      <c r="I24" s="2252">
        <f>IF((Page6!F4+Page6!F5+Page6!F7+Page6!F8+E71+E75+E72+E76)=0,0,H24/(Page6!F4+Page6!F5+Page6!F7+Page6!F8+E71+E75+E72+E76))</f>
        <v>201.3125</v>
      </c>
      <c r="J24" s="763">
        <f>IF(Flag=TRUE,SUM(J4:J21),TBIn!E965)</f>
        <v>80</v>
      </c>
      <c r="K24" s="2645">
        <f>K13+K23</f>
        <v>170336</v>
      </c>
      <c r="L24" s="2645">
        <f>L13+L23</f>
        <v>113099</v>
      </c>
      <c r="M24" s="2630">
        <f>IF(Flag=TRUE,M13+M23,TBIn!E2402)</f>
        <v>57237</v>
      </c>
      <c r="N24" s="2253">
        <f>IF((Page6!K4+Page6!K5+Page6!K7+Page6!K8+J71+J75+J72+J76)=0,0,M24/(Page6!K4+Page6!K5+Page6!K7+Page6!K8+J71+J75+J72+J76))</f>
        <v>246.71120689655172</v>
      </c>
      <c r="O24" s="901"/>
      <c r="P24" s="80">
        <v>21</v>
      </c>
      <c r="Q24" s="576"/>
    </row>
    <row r="25" spans="1:17" ht="15.75" customHeight="1">
      <c r="A25" s="80">
        <v>22</v>
      </c>
      <c r="B25" s="318" t="s">
        <v>820</v>
      </c>
      <c r="C25" s="258"/>
      <c r="D25" s="258"/>
      <c r="E25" s="319"/>
      <c r="F25" s="258"/>
      <c r="G25" s="258"/>
      <c r="H25" s="258"/>
      <c r="I25" s="258"/>
      <c r="J25" s="258"/>
      <c r="K25" s="258"/>
      <c r="L25" s="258"/>
      <c r="M25" s="258"/>
      <c r="N25" s="309"/>
      <c r="O25" s="901"/>
      <c r="P25" s="80">
        <v>22</v>
      </c>
      <c r="Q25" s="576"/>
    </row>
    <row r="26" spans="1:17" ht="15.75" customHeight="1">
      <c r="A26" s="80">
        <v>23</v>
      </c>
      <c r="B26" s="282" t="s">
        <v>821</v>
      </c>
      <c r="C26" s="182"/>
      <c r="D26" s="1264" t="s">
        <v>97</v>
      </c>
      <c r="E26" s="1481" t="s">
        <v>822</v>
      </c>
      <c r="F26" s="594"/>
      <c r="G26" s="1099" t="s">
        <v>166</v>
      </c>
      <c r="H26" s="1100"/>
      <c r="I26" s="1100"/>
      <c r="J26" s="1105" t="s">
        <v>166</v>
      </c>
      <c r="K26" s="1099"/>
      <c r="L26" s="1099"/>
      <c r="M26" s="1100"/>
      <c r="N26" s="1101"/>
      <c r="O26" s="901"/>
      <c r="P26" s="80">
        <v>23</v>
      </c>
      <c r="Q26" s="576" t="s">
        <v>823</v>
      </c>
    </row>
    <row r="27" spans="1:17" ht="15.75" customHeight="1">
      <c r="A27" s="80">
        <v>24</v>
      </c>
      <c r="B27" s="320" t="s">
        <v>824</v>
      </c>
      <c r="C27" s="222"/>
      <c r="D27" s="1265" t="s">
        <v>101</v>
      </c>
      <c r="E27" s="323" t="s">
        <v>825</v>
      </c>
      <c r="F27" s="1482" t="s">
        <v>826</v>
      </c>
      <c r="G27" s="1102"/>
      <c r="H27" s="1102"/>
      <c r="I27" s="1102"/>
      <c r="J27" s="1102"/>
      <c r="K27" s="1102"/>
      <c r="L27" s="1102"/>
      <c r="M27" s="1102"/>
      <c r="N27" s="1103"/>
      <c r="O27" s="901"/>
      <c r="P27" s="80">
        <v>24</v>
      </c>
      <c r="Q27" s="576"/>
    </row>
    <row r="28" spans="1:17" ht="15.75" customHeight="1">
      <c r="A28" s="80">
        <v>25</v>
      </c>
      <c r="B28" s="596"/>
      <c r="C28" s="1532" t="s">
        <v>827</v>
      </c>
      <c r="D28" s="237">
        <v>230</v>
      </c>
      <c r="E28" s="1848">
        <v>0</v>
      </c>
      <c r="F28" s="1849">
        <f>TBIn!E12</f>
        <v>0</v>
      </c>
      <c r="G28" s="1107"/>
      <c r="H28" s="1081"/>
      <c r="I28" s="598"/>
      <c r="J28" s="1084"/>
      <c r="K28" s="1084"/>
      <c r="L28" s="1084"/>
      <c r="M28" s="1084"/>
      <c r="N28" s="1082"/>
      <c r="O28" s="901"/>
      <c r="P28" s="80">
        <v>25</v>
      </c>
      <c r="Q28" s="598">
        <f>Page1!I23</f>
        <v>0</v>
      </c>
    </row>
    <row r="29" spans="1:17" ht="15.75" customHeight="1">
      <c r="A29" s="80">
        <v>26</v>
      </c>
      <c r="B29" s="599"/>
      <c r="C29" s="1543" t="s">
        <v>828</v>
      </c>
      <c r="D29" s="239">
        <v>231</v>
      </c>
      <c r="E29" s="1848">
        <f>TBIn!E7</f>
        <v>3</v>
      </c>
      <c r="F29" s="1849">
        <f>TBIn!E13</f>
        <v>101989</v>
      </c>
      <c r="G29" s="1107"/>
      <c r="H29" s="1081"/>
      <c r="I29" s="598"/>
      <c r="J29" s="1084"/>
      <c r="K29" s="1084"/>
      <c r="L29" s="1084"/>
      <c r="M29" s="1084"/>
      <c r="N29" s="1082"/>
      <c r="O29" s="902"/>
      <c r="P29" s="80">
        <v>26</v>
      </c>
      <c r="Q29" s="598">
        <f>Page1!I24</f>
        <v>101989</v>
      </c>
    </row>
    <row r="30" spans="1:17" s="654" customFormat="1" ht="15.75" customHeight="1">
      <c r="A30" s="80">
        <v>27</v>
      </c>
      <c r="B30" s="2224"/>
      <c r="C30" s="1543" t="s">
        <v>829</v>
      </c>
      <c r="D30" s="239" t="s">
        <v>830</v>
      </c>
      <c r="E30" s="1848">
        <f>TBIn!E8</f>
        <v>0</v>
      </c>
      <c r="F30" s="1849">
        <f>TBIn!E14</f>
        <v>0</v>
      </c>
      <c r="G30" s="1107"/>
      <c r="H30" s="1081"/>
      <c r="I30" s="676"/>
      <c r="J30" s="1084"/>
      <c r="K30" s="1084"/>
      <c r="L30" s="1084"/>
      <c r="M30" s="1084"/>
      <c r="N30" s="2225"/>
      <c r="O30" s="2226"/>
      <c r="P30" s="80">
        <v>27</v>
      </c>
      <c r="Q30" s="676"/>
    </row>
    <row r="31" spans="1:17" ht="15.75" customHeight="1">
      <c r="A31" s="80">
        <v>28</v>
      </c>
      <c r="B31" s="599"/>
      <c r="C31" s="1543" t="s">
        <v>831</v>
      </c>
      <c r="D31" s="239">
        <v>237</v>
      </c>
      <c r="E31" s="1848">
        <f>TBIn!E9</f>
        <v>58</v>
      </c>
      <c r="F31" s="1849">
        <f>TBIn!E15</f>
        <v>10026181</v>
      </c>
      <c r="G31" s="1107"/>
      <c r="H31" s="1081"/>
      <c r="I31" s="598"/>
      <c r="J31" s="1084"/>
      <c r="K31" s="1084"/>
      <c r="L31" s="1084"/>
      <c r="M31" s="1084"/>
      <c r="N31" s="1082"/>
      <c r="O31" s="2227"/>
      <c r="P31" s="80">
        <v>28</v>
      </c>
      <c r="Q31" s="598">
        <f>Page1!I25</f>
        <v>10026181</v>
      </c>
    </row>
    <row r="32" spans="1:17" s="654" customFormat="1" ht="15.75" customHeight="1">
      <c r="A32" s="80">
        <v>29</v>
      </c>
      <c r="B32" s="2224"/>
      <c r="C32" s="1543" t="s">
        <v>832</v>
      </c>
      <c r="D32" s="239" t="s">
        <v>833</v>
      </c>
      <c r="E32" s="1848">
        <f>TBIn!E10</f>
        <v>0</v>
      </c>
      <c r="F32" s="1849">
        <f>TBIn!E16</f>
        <v>0</v>
      </c>
      <c r="G32" s="1107"/>
      <c r="H32" s="1081"/>
      <c r="I32" s="676"/>
      <c r="J32" s="1084"/>
      <c r="K32" s="1084"/>
      <c r="L32" s="1084"/>
      <c r="M32" s="1084"/>
      <c r="N32" s="2225"/>
      <c r="O32" s="2227" t="s">
        <v>834</v>
      </c>
      <c r="P32" s="80">
        <v>29</v>
      </c>
      <c r="Q32" s="676"/>
    </row>
    <row r="33" spans="1:27" ht="15.75" customHeight="1">
      <c r="A33" s="80">
        <v>30</v>
      </c>
      <c r="B33" s="599"/>
      <c r="C33" s="1543" t="s">
        <v>835</v>
      </c>
      <c r="D33" s="239">
        <v>235</v>
      </c>
      <c r="E33" s="1848">
        <f>TBIn!E11</f>
        <v>0</v>
      </c>
      <c r="F33" s="1849">
        <f>TBIn!E17</f>
        <v>0</v>
      </c>
      <c r="G33" s="1107"/>
      <c r="H33" s="1081"/>
      <c r="I33" s="1106"/>
      <c r="J33" s="1084"/>
      <c r="K33" s="1084"/>
      <c r="L33" s="1084"/>
      <c r="M33" s="1084"/>
      <c r="N33" s="1082"/>
      <c r="O33" s="1269" t="s">
        <v>836</v>
      </c>
      <c r="P33" s="80">
        <v>30</v>
      </c>
      <c r="Q33" s="598">
        <f>Page1!I26</f>
        <v>0</v>
      </c>
    </row>
    <row r="34" spans="1:27" ht="15.75" customHeight="1">
      <c r="A34" s="80">
        <v>31</v>
      </c>
      <c r="B34" s="600"/>
      <c r="C34" s="1550" t="s">
        <v>837</v>
      </c>
      <c r="D34" s="187">
        <v>238</v>
      </c>
      <c r="E34" s="1098"/>
      <c r="F34" s="1850">
        <f>TBIn!E19</f>
        <v>0</v>
      </c>
      <c r="G34" s="1104"/>
      <c r="H34" s="1104"/>
      <c r="I34" s="1104"/>
      <c r="J34" s="1104"/>
      <c r="K34" s="1086"/>
      <c r="L34" s="1086"/>
      <c r="M34" s="1086"/>
      <c r="N34" s="1087"/>
      <c r="O34" s="1432">
        <v>61</v>
      </c>
      <c r="P34" s="80">
        <v>31</v>
      </c>
      <c r="Q34" s="576"/>
    </row>
    <row r="35" spans="1:27" ht="15.75" customHeight="1">
      <c r="A35" s="80">
        <v>32</v>
      </c>
      <c r="B35" s="282" t="s">
        <v>838</v>
      </c>
      <c r="C35" s="325"/>
      <c r="D35" s="1264" t="s">
        <v>97</v>
      </c>
      <c r="E35" s="2796" t="s">
        <v>839</v>
      </c>
      <c r="F35" s="2797"/>
      <c r="G35" s="1483"/>
      <c r="H35" s="595" t="s">
        <v>840</v>
      </c>
      <c r="I35" s="594"/>
      <c r="J35" s="602" t="s">
        <v>841</v>
      </c>
      <c r="K35" s="595"/>
      <c r="L35" s="595"/>
      <c r="M35" s="595"/>
      <c r="N35" s="594"/>
      <c r="O35" s="901"/>
      <c r="P35" s="80">
        <v>32</v>
      </c>
      <c r="Q35" s="576"/>
    </row>
    <row r="36" spans="1:27" ht="15.75" customHeight="1">
      <c r="A36" s="80">
        <v>33</v>
      </c>
      <c r="B36" s="603"/>
      <c r="C36" s="604"/>
      <c r="D36" s="1265" t="s">
        <v>101</v>
      </c>
      <c r="E36" s="1484" t="s">
        <v>842</v>
      </c>
      <c r="F36" s="1482" t="s">
        <v>826</v>
      </c>
      <c r="G36" s="869"/>
      <c r="H36" s="1484" t="s">
        <v>842</v>
      </c>
      <c r="I36" s="324" t="s">
        <v>826</v>
      </c>
      <c r="J36" s="323" t="s">
        <v>842</v>
      </c>
      <c r="K36" s="324" t="s">
        <v>826</v>
      </c>
      <c r="L36" s="1078"/>
      <c r="M36" s="1079"/>
      <c r="N36" s="1080"/>
      <c r="O36" s="1268" t="s">
        <v>834</v>
      </c>
      <c r="P36" s="80">
        <v>33</v>
      </c>
      <c r="Q36" s="576"/>
    </row>
    <row r="37" spans="1:27" ht="15.75" customHeight="1">
      <c r="A37" s="80">
        <v>34</v>
      </c>
      <c r="B37" s="599" t="s">
        <v>843</v>
      </c>
      <c r="C37" s="1551" t="s">
        <v>844</v>
      </c>
      <c r="D37" s="239">
        <v>240</v>
      </c>
      <c r="E37" s="1851">
        <v>29</v>
      </c>
      <c r="F37" s="1852">
        <v>614089</v>
      </c>
      <c r="G37" s="870"/>
      <c r="H37" s="1847">
        <v>9</v>
      </c>
      <c r="I37" s="1845">
        <v>129322</v>
      </c>
      <c r="J37" s="555">
        <f>H37+E37</f>
        <v>38</v>
      </c>
      <c r="K37" s="2685">
        <f>I37+F37</f>
        <v>743411</v>
      </c>
      <c r="L37" s="1088"/>
      <c r="M37" s="1084"/>
      <c r="N37" s="1082"/>
      <c r="O37" s="1269" t="s">
        <v>845</v>
      </c>
      <c r="P37" s="80">
        <v>34</v>
      </c>
      <c r="Q37" s="598">
        <f>Page1!I28</f>
        <v>745411</v>
      </c>
    </row>
    <row r="38" spans="1:27" ht="15.75" customHeight="1">
      <c r="A38" s="80">
        <v>35</v>
      </c>
      <c r="B38" s="605" t="s">
        <v>846</v>
      </c>
      <c r="C38" s="1552" t="s">
        <v>847</v>
      </c>
      <c r="D38" s="315">
        <v>241</v>
      </c>
      <c r="E38" s="1853">
        <v>136</v>
      </c>
      <c r="F38" s="1854">
        <v>5063114</v>
      </c>
      <c r="G38" s="871"/>
      <c r="H38" s="1856">
        <v>97</v>
      </c>
      <c r="I38" s="1857">
        <v>4435245</v>
      </c>
      <c r="J38" s="564">
        <f>H38+E38</f>
        <v>233</v>
      </c>
      <c r="K38" s="2686">
        <f>I38+F38</f>
        <v>9498359</v>
      </c>
      <c r="L38" s="1089"/>
      <c r="M38" s="1086"/>
      <c r="N38" s="1087"/>
      <c r="O38" s="1432">
        <v>271</v>
      </c>
      <c r="P38" s="80">
        <v>35</v>
      </c>
      <c r="Q38" s="598">
        <f>Page1!I29</f>
        <v>9498359</v>
      </c>
    </row>
    <row r="39" spans="1:27" ht="15.75" customHeight="1">
      <c r="A39" s="80">
        <v>36</v>
      </c>
      <c r="B39" s="606"/>
      <c r="C39" s="607"/>
      <c r="D39" s="1266" t="s">
        <v>101</v>
      </c>
      <c r="E39" s="1485" t="s">
        <v>848</v>
      </c>
      <c r="F39" s="1482" t="s">
        <v>826</v>
      </c>
      <c r="G39" s="1108"/>
      <c r="H39" s="1079"/>
      <c r="I39" s="1080"/>
      <c r="J39" s="327" t="s">
        <v>849</v>
      </c>
      <c r="K39" s="324" t="s">
        <v>826</v>
      </c>
      <c r="L39" s="1078"/>
      <c r="M39" s="1079"/>
      <c r="N39" s="1080"/>
      <c r="O39" s="901"/>
      <c r="P39" s="80">
        <v>36</v>
      </c>
      <c r="Q39" s="576"/>
    </row>
    <row r="40" spans="1:27" ht="15.75" customHeight="1">
      <c r="A40" s="80">
        <v>37</v>
      </c>
      <c r="B40" s="1539" t="s">
        <v>764</v>
      </c>
      <c r="C40" s="1553"/>
      <c r="D40" s="239">
        <v>242</v>
      </c>
      <c r="E40" s="876"/>
      <c r="F40" s="1852">
        <f>TBIn!E29</f>
        <v>396812</v>
      </c>
      <c r="G40" s="1109"/>
      <c r="H40" s="1084"/>
      <c r="I40" s="1082"/>
      <c r="J40" s="873"/>
      <c r="K40" s="1858">
        <f>TBIn!E35</f>
        <v>0</v>
      </c>
      <c r="L40" s="872"/>
      <c r="M40" s="1090"/>
      <c r="N40" s="1083"/>
      <c r="O40" s="901"/>
      <c r="P40" s="80">
        <v>37</v>
      </c>
      <c r="Q40" s="598">
        <f>Page1!I30</f>
        <v>382979</v>
      </c>
    </row>
    <row r="41" spans="1:27" ht="15.75" customHeight="1">
      <c r="A41" s="80">
        <v>38</v>
      </c>
      <c r="B41" s="2803" t="s">
        <v>850</v>
      </c>
      <c r="C41" s="2804"/>
      <c r="D41" s="239" t="s">
        <v>851</v>
      </c>
      <c r="E41" s="877"/>
      <c r="F41" s="1852">
        <f>TBIn!E30</f>
        <v>-13833</v>
      </c>
      <c r="G41" s="1109"/>
      <c r="H41" s="8"/>
      <c r="I41" s="1085"/>
      <c r="J41" s="874"/>
      <c r="K41" s="1859">
        <f>TBIn!E36</f>
        <v>0</v>
      </c>
      <c r="L41" s="872"/>
      <c r="M41" s="1091"/>
      <c r="N41" s="1092"/>
      <c r="O41" s="901"/>
      <c r="P41" s="80">
        <v>38</v>
      </c>
      <c r="Q41" s="576"/>
    </row>
    <row r="42" spans="1:27" ht="15.75" customHeight="1">
      <c r="A42" s="80">
        <v>39</v>
      </c>
      <c r="B42" s="88" t="s">
        <v>852</v>
      </c>
      <c r="C42" s="609"/>
      <c r="D42" s="2294" t="s">
        <v>853</v>
      </c>
      <c r="E42" s="328"/>
      <c r="F42" s="1855">
        <f>SUM(TBIn!E31:E34)</f>
        <v>88385</v>
      </c>
      <c r="G42" s="1110"/>
      <c r="H42" s="1086"/>
      <c r="I42" s="1087"/>
      <c r="J42" s="866"/>
      <c r="K42" s="1860">
        <f>SUM(TBIn!E37:E40)</f>
        <v>0</v>
      </c>
      <c r="L42" s="1093"/>
      <c r="M42" s="1094"/>
      <c r="N42" s="316"/>
      <c r="O42" s="901"/>
      <c r="P42" s="80">
        <v>39</v>
      </c>
      <c r="Q42" s="598">
        <f>Page1!I31+Page1!I32+Page1!I33+Page1!I36</f>
        <v>88385</v>
      </c>
    </row>
    <row r="43" spans="1:27" ht="15.75" customHeight="1">
      <c r="A43" s="80">
        <v>40</v>
      </c>
      <c r="B43" s="341"/>
      <c r="C43" s="848"/>
      <c r="D43" s="2277"/>
      <c r="E43" s="878"/>
      <c r="F43" s="879"/>
      <c r="G43" s="879"/>
      <c r="H43" s="879"/>
      <c r="I43" s="2798"/>
      <c r="J43" s="2798"/>
      <c r="K43" s="881"/>
      <c r="L43" s="881"/>
      <c r="M43" s="881"/>
      <c r="N43" s="882"/>
      <c r="O43" s="901"/>
      <c r="P43" s="80">
        <v>40</v>
      </c>
      <c r="Q43" s="598">
        <f>Page1!I38</f>
        <v>0</v>
      </c>
    </row>
    <row r="44" spans="1:27" ht="15.75" customHeight="1">
      <c r="A44" s="80">
        <v>41</v>
      </c>
      <c r="B44" s="2805" t="s">
        <v>854</v>
      </c>
      <c r="C44" s="2806"/>
      <c r="D44" s="2807"/>
      <c r="E44" s="329" t="s">
        <v>855</v>
      </c>
      <c r="F44" s="1870">
        <f>TBIn!$E$41</f>
        <v>11187</v>
      </c>
      <c r="G44" s="880"/>
      <c r="H44" s="881"/>
      <c r="I44" s="2808" t="s">
        <v>856</v>
      </c>
      <c r="J44" s="2809"/>
      <c r="K44" s="2810"/>
      <c r="L44" s="883"/>
      <c r="M44" s="330" t="s">
        <v>857</v>
      </c>
      <c r="N44" s="1869">
        <f>TBIn!$E$42</f>
        <v>6794</v>
      </c>
      <c r="O44" s="903"/>
      <c r="P44" s="80">
        <v>41</v>
      </c>
      <c r="Q44" s="598">
        <f>Page1!I35</f>
        <v>17981</v>
      </c>
    </row>
    <row r="45" spans="1:27" ht="15.75" customHeight="1">
      <c r="A45" s="80">
        <v>42</v>
      </c>
      <c r="B45" s="610"/>
      <c r="C45" s="331" t="s">
        <v>858</v>
      </c>
      <c r="D45" s="332"/>
      <c r="E45" s="332"/>
      <c r="F45" s="332"/>
      <c r="G45" s="332"/>
      <c r="H45" s="332"/>
      <c r="I45" s="332"/>
      <c r="J45" s="332"/>
      <c r="K45" s="332"/>
      <c r="L45" s="332"/>
      <c r="M45" s="333"/>
      <c r="N45" s="331"/>
      <c r="O45" s="333"/>
      <c r="P45" s="80">
        <v>42</v>
      </c>
      <c r="Q45" s="576"/>
      <c r="W45" s="611"/>
      <c r="X45" s="611"/>
      <c r="Y45" s="37"/>
      <c r="Z45" s="37"/>
      <c r="AA45" s="612"/>
    </row>
    <row r="46" spans="1:27" ht="15.75" customHeight="1">
      <c r="A46" s="80">
        <v>43</v>
      </c>
      <c r="B46" s="613"/>
      <c r="C46" s="334" t="s">
        <v>859</v>
      </c>
      <c r="D46" s="122"/>
      <c r="E46" s="335" t="s">
        <v>860</v>
      </c>
      <c r="F46" s="335" t="s">
        <v>813</v>
      </c>
      <c r="G46" s="884"/>
      <c r="H46" s="335" t="s">
        <v>861</v>
      </c>
      <c r="I46" s="335" t="s">
        <v>862</v>
      </c>
      <c r="J46" s="335" t="s">
        <v>78</v>
      </c>
      <c r="K46" s="335" t="s">
        <v>79</v>
      </c>
      <c r="L46" s="894"/>
      <c r="M46" s="335" t="s">
        <v>863</v>
      </c>
      <c r="N46" s="335" t="s">
        <v>864</v>
      </c>
      <c r="O46" s="336" t="s">
        <v>834</v>
      </c>
      <c r="P46" s="80">
        <v>43</v>
      </c>
      <c r="Q46" s="576"/>
      <c r="W46" s="611"/>
      <c r="X46" s="611"/>
      <c r="Y46" s="37"/>
      <c r="Z46" s="37"/>
      <c r="AA46" s="612"/>
    </row>
    <row r="47" spans="1:27" ht="15.75" customHeight="1">
      <c r="A47" s="80">
        <v>44</v>
      </c>
      <c r="B47" s="613"/>
      <c r="C47" s="124" t="s">
        <v>865</v>
      </c>
      <c r="D47" s="2278"/>
      <c r="E47" s="1861">
        <f>TBIn!E59</f>
        <v>0.3</v>
      </c>
      <c r="F47" s="1861">
        <f>TBIn!E67</f>
        <v>0.2</v>
      </c>
      <c r="G47" s="885"/>
      <c r="H47" s="1861">
        <v>0</v>
      </c>
      <c r="I47" s="893"/>
      <c r="J47" s="1861">
        <v>0.3</v>
      </c>
      <c r="K47" s="1861">
        <f>TBIn!E97</f>
        <v>0.1</v>
      </c>
      <c r="L47" s="895"/>
      <c r="M47" s="1861">
        <f>TBIn!E106</f>
        <v>0.1</v>
      </c>
      <c r="N47" s="1861">
        <f>TBIn!E114</f>
        <v>0</v>
      </c>
      <c r="O47" s="614">
        <f t="shared" ref="O47:O53" si="0">SUM(E47:N47)</f>
        <v>1</v>
      </c>
      <c r="P47" s="80">
        <v>44</v>
      </c>
      <c r="Q47" s="576"/>
    </row>
    <row r="48" spans="1:27" ht="15.75" customHeight="1">
      <c r="A48" s="80">
        <v>45</v>
      </c>
      <c r="B48" s="615"/>
      <c r="C48" s="124" t="s">
        <v>866</v>
      </c>
      <c r="D48" s="2278"/>
      <c r="E48" s="1861">
        <f>TBIn!E60</f>
        <v>1</v>
      </c>
      <c r="F48" s="1861">
        <f>TBIn!E68</f>
        <v>1</v>
      </c>
      <c r="G48" s="885"/>
      <c r="H48" s="1861">
        <f>TBIn!E76</f>
        <v>0</v>
      </c>
      <c r="I48" s="1861">
        <f>TBIn!E83</f>
        <v>0</v>
      </c>
      <c r="J48" s="1861">
        <f>TBIn!E89</f>
        <v>1</v>
      </c>
      <c r="K48" s="1861">
        <f>TBIn!E98</f>
        <v>1</v>
      </c>
      <c r="L48" s="895"/>
      <c r="M48" s="1861">
        <f>TBIn!E107</f>
        <v>0.5</v>
      </c>
      <c r="N48" s="1861">
        <f>TBIn!E115</f>
        <v>0</v>
      </c>
      <c r="O48" s="614">
        <f t="shared" si="0"/>
        <v>4.5</v>
      </c>
      <c r="P48" s="80">
        <v>45</v>
      </c>
      <c r="Q48" s="576"/>
    </row>
    <row r="49" spans="1:17" ht="15.75" customHeight="1">
      <c r="A49" s="80">
        <v>46</v>
      </c>
      <c r="B49" s="615"/>
      <c r="C49" s="124" t="s">
        <v>867</v>
      </c>
      <c r="D49" s="2278"/>
      <c r="E49" s="1861">
        <f>TBIn!E61</f>
        <v>5</v>
      </c>
      <c r="F49" s="1861">
        <f>TBIn!E69</f>
        <v>1</v>
      </c>
      <c r="G49" s="885"/>
      <c r="H49" s="1861">
        <f>TBIn!E77</f>
        <v>0</v>
      </c>
      <c r="I49" s="892"/>
      <c r="J49" s="1861">
        <f>TBIn!E90</f>
        <v>3</v>
      </c>
      <c r="K49" s="1861">
        <f>TBIn!E99</f>
        <v>1</v>
      </c>
      <c r="L49" s="895"/>
      <c r="M49" s="1861">
        <f>TBIn!E108</f>
        <v>1</v>
      </c>
      <c r="N49" s="1861">
        <f>TBIn!E116</f>
        <v>0</v>
      </c>
      <c r="O49" s="614">
        <f t="shared" si="0"/>
        <v>11</v>
      </c>
      <c r="P49" s="80">
        <v>46</v>
      </c>
      <c r="Q49" s="576"/>
    </row>
    <row r="50" spans="1:17" s="654" customFormat="1" ht="15.75" customHeight="1">
      <c r="A50" s="80">
        <v>47</v>
      </c>
      <c r="B50" s="2228"/>
      <c r="C50" s="124" t="s">
        <v>868</v>
      </c>
      <c r="D50" s="2279"/>
      <c r="E50" s="1861">
        <f>TBIn!E62</f>
        <v>0</v>
      </c>
      <c r="F50" s="1861">
        <f>TBIn!E70</f>
        <v>0</v>
      </c>
      <c r="G50" s="885"/>
      <c r="H50" s="1861">
        <f>TBIn!E78</f>
        <v>0</v>
      </c>
      <c r="I50" s="2229"/>
      <c r="J50" s="1861">
        <f>TBIn!E91</f>
        <v>0</v>
      </c>
      <c r="K50" s="1861">
        <f>TBIn!E100</f>
        <v>0</v>
      </c>
      <c r="L50" s="895"/>
      <c r="M50" s="1861">
        <f>TBIn!E109</f>
        <v>0</v>
      </c>
      <c r="N50" s="1861">
        <f>TBIn!E117</f>
        <v>0</v>
      </c>
      <c r="O50" s="2230">
        <f t="shared" si="0"/>
        <v>0</v>
      </c>
      <c r="P50" s="80">
        <v>47</v>
      </c>
      <c r="Q50" s="677"/>
    </row>
    <row r="51" spans="1:17" ht="15.75" customHeight="1">
      <c r="A51" s="80">
        <v>48</v>
      </c>
      <c r="B51" s="615"/>
      <c r="C51" s="124" t="s">
        <v>869</v>
      </c>
      <c r="D51" s="2278"/>
      <c r="E51" s="889"/>
      <c r="F51" s="890"/>
      <c r="G51" s="886"/>
      <c r="H51" s="890"/>
      <c r="I51" s="891"/>
      <c r="J51" s="1861">
        <f>TBIn!E92</f>
        <v>13</v>
      </c>
      <c r="K51" s="1861">
        <f>TBIn!E101</f>
        <v>4</v>
      </c>
      <c r="L51" s="896"/>
      <c r="M51" s="899"/>
      <c r="N51" s="1861">
        <f>TBIn!E118</f>
        <v>0</v>
      </c>
      <c r="O51" s="614">
        <f t="shared" si="0"/>
        <v>17</v>
      </c>
      <c r="P51" s="80">
        <v>48</v>
      </c>
      <c r="Q51" s="576"/>
    </row>
    <row r="52" spans="1:17" ht="15.75" customHeight="1">
      <c r="A52" s="80">
        <v>49</v>
      </c>
      <c r="B52" s="615"/>
      <c r="C52" s="124" t="s">
        <v>870</v>
      </c>
      <c r="D52" s="2278"/>
      <c r="E52" s="1861">
        <f>TBIn!E63</f>
        <v>1</v>
      </c>
      <c r="F52" s="1861">
        <v>3</v>
      </c>
      <c r="G52" s="885"/>
      <c r="H52" s="1861">
        <f>TBIn!E79</f>
        <v>0</v>
      </c>
      <c r="I52" s="1861">
        <v>2</v>
      </c>
      <c r="J52" s="1861">
        <f>TBIn!E93</f>
        <v>1</v>
      </c>
      <c r="K52" s="1861">
        <f>TBIn!E102</f>
        <v>0.5</v>
      </c>
      <c r="L52" s="895"/>
      <c r="M52" s="1861">
        <f>TBIn!E110</f>
        <v>0.5</v>
      </c>
      <c r="N52" s="1861">
        <f>TBIn!E119</f>
        <v>0</v>
      </c>
      <c r="O52" s="614">
        <f t="shared" si="0"/>
        <v>8</v>
      </c>
      <c r="P52" s="80">
        <v>49</v>
      </c>
      <c r="Q52" s="576"/>
    </row>
    <row r="53" spans="1:17" ht="15.75" customHeight="1">
      <c r="A53" s="80">
        <v>50</v>
      </c>
      <c r="B53" s="615"/>
      <c r="C53" s="88" t="s">
        <v>871</v>
      </c>
      <c r="D53" s="2280"/>
      <c r="E53" s="1862">
        <v>0.5</v>
      </c>
      <c r="F53" s="1862">
        <v>0</v>
      </c>
      <c r="G53" s="885"/>
      <c r="H53" s="1862">
        <f>TBIn!E80</f>
        <v>0</v>
      </c>
      <c r="I53" s="1862">
        <f>TBIn!E85</f>
        <v>0</v>
      </c>
      <c r="J53" s="1862">
        <f>TBIn!E94</f>
        <v>1</v>
      </c>
      <c r="K53" s="1862">
        <f>TBIn!E103</f>
        <v>0</v>
      </c>
      <c r="L53" s="895"/>
      <c r="M53" s="1862">
        <f>TBIn!E111</f>
        <v>0</v>
      </c>
      <c r="N53" s="1862">
        <f>TBIn!E120</f>
        <v>0</v>
      </c>
      <c r="O53" s="616">
        <f t="shared" si="0"/>
        <v>1.5</v>
      </c>
      <c r="P53" s="80">
        <v>50</v>
      </c>
      <c r="Q53" s="576"/>
    </row>
    <row r="54" spans="1:17" ht="15.75" customHeight="1">
      <c r="A54" s="80">
        <v>51</v>
      </c>
      <c r="B54" s="615"/>
      <c r="C54" s="294" t="s">
        <v>834</v>
      </c>
      <c r="D54" s="122"/>
      <c r="E54" s="617">
        <f t="shared" ref="E54:N54" si="1">SUM(E47:E53)</f>
        <v>7.8</v>
      </c>
      <c r="F54" s="617">
        <f t="shared" si="1"/>
        <v>5.2</v>
      </c>
      <c r="G54" s="887"/>
      <c r="H54" s="617">
        <f t="shared" si="1"/>
        <v>0</v>
      </c>
      <c r="I54" s="617">
        <f t="shared" si="1"/>
        <v>2</v>
      </c>
      <c r="J54" s="617">
        <f t="shared" si="1"/>
        <v>19.3</v>
      </c>
      <c r="K54" s="617">
        <f t="shared" si="1"/>
        <v>6.6</v>
      </c>
      <c r="L54" s="897"/>
      <c r="M54" s="617">
        <f t="shared" si="1"/>
        <v>2.1</v>
      </c>
      <c r="N54" s="617">
        <f t="shared" si="1"/>
        <v>0</v>
      </c>
      <c r="O54" s="1321">
        <v>43</v>
      </c>
      <c r="P54" s="80">
        <v>51</v>
      </c>
      <c r="Q54" s="576"/>
    </row>
    <row r="55" spans="1:17" ht="15.75" customHeight="1">
      <c r="A55" s="80">
        <v>52</v>
      </c>
      <c r="B55" s="615"/>
      <c r="C55" s="142" t="s">
        <v>872</v>
      </c>
      <c r="D55" s="2281"/>
      <c r="E55" s="1863">
        <f>TBIn!E65</f>
        <v>0</v>
      </c>
      <c r="F55" s="1863">
        <f>TBIn!E73</f>
        <v>0</v>
      </c>
      <c r="G55" s="885"/>
      <c r="H55" s="1863">
        <f>TBIn!E81</f>
        <v>0</v>
      </c>
      <c r="I55" s="1863">
        <f>TBIn!E86</f>
        <v>0</v>
      </c>
      <c r="J55" s="1863">
        <f>TBIn!E95</f>
        <v>0</v>
      </c>
      <c r="K55" s="1863">
        <f>TBIn!E104</f>
        <v>0</v>
      </c>
      <c r="L55" s="895"/>
      <c r="M55" s="1863">
        <f>TBIn!E112</f>
        <v>0</v>
      </c>
      <c r="N55" s="1863">
        <f>TBIn!E121</f>
        <v>0</v>
      </c>
      <c r="O55" s="724">
        <f>IF(Flag=TRUE,SUM(E55:N55),TBIn!E124)</f>
        <v>0</v>
      </c>
      <c r="P55" s="80">
        <v>52</v>
      </c>
      <c r="Q55" s="576"/>
    </row>
    <row r="56" spans="1:17" ht="15.75" customHeight="1">
      <c r="A56" s="80">
        <v>53</v>
      </c>
      <c r="B56" s="618"/>
      <c r="C56" s="1267" t="s">
        <v>873</v>
      </c>
      <c r="D56" s="2280"/>
      <c r="E56" s="1862">
        <f>TBIn!E66</f>
        <v>0</v>
      </c>
      <c r="F56" s="1862">
        <f>TBIn!E74</f>
        <v>0</v>
      </c>
      <c r="G56" s="888"/>
      <c r="H56" s="1862">
        <f>TBIn!E82</f>
        <v>0</v>
      </c>
      <c r="I56" s="1862">
        <f>TBIn!E87</f>
        <v>0</v>
      </c>
      <c r="J56" s="1862">
        <f>TBIn!E96</f>
        <v>0</v>
      </c>
      <c r="K56" s="1862">
        <f>TBIn!E105</f>
        <v>0</v>
      </c>
      <c r="L56" s="898"/>
      <c r="M56" s="1862">
        <f>TBIn!E113</f>
        <v>0</v>
      </c>
      <c r="N56" s="1862">
        <f>TBIn!E122</f>
        <v>0</v>
      </c>
      <c r="O56" s="725">
        <f>IF(Flag=TRUE,SUM(E56:N56),TBIn!E125)</f>
        <v>0</v>
      </c>
      <c r="P56" s="80">
        <v>53</v>
      </c>
      <c r="Q56" s="576"/>
    </row>
    <row r="57" spans="1:17" ht="15.75" customHeight="1">
      <c r="A57" s="80">
        <v>54</v>
      </c>
      <c r="B57" s="610"/>
      <c r="C57" s="610"/>
      <c r="D57" s="2282"/>
      <c r="E57" s="619" t="s">
        <v>874</v>
      </c>
      <c r="F57" s="619"/>
      <c r="G57" s="620"/>
      <c r="H57" s="620"/>
      <c r="I57" s="620"/>
      <c r="J57" s="620"/>
      <c r="K57" s="620"/>
      <c r="L57" s="620"/>
      <c r="M57" s="620"/>
      <c r="N57" s="620"/>
      <c r="O57" s="621"/>
      <c r="P57" s="80">
        <v>54</v>
      </c>
      <c r="Q57" s="576"/>
    </row>
    <row r="58" spans="1:17" ht="15.75" customHeight="1">
      <c r="A58" s="80">
        <v>55</v>
      </c>
      <c r="B58" s="610"/>
      <c r="C58" s="189" t="s">
        <v>875</v>
      </c>
      <c r="D58" s="2282"/>
      <c r="E58" s="288" t="s">
        <v>876</v>
      </c>
      <c r="F58" s="210"/>
      <c r="G58" s="210"/>
      <c r="H58" s="337"/>
      <c r="I58" s="338" t="s">
        <v>834</v>
      </c>
      <c r="J58" s="211" t="s">
        <v>877</v>
      </c>
      <c r="K58" s="2781" t="s">
        <v>878</v>
      </c>
      <c r="L58" s="111"/>
      <c r="M58" s="339" t="s">
        <v>879</v>
      </c>
      <c r="N58" s="340" t="s">
        <v>880</v>
      </c>
      <c r="O58" s="340" t="s">
        <v>881</v>
      </c>
      <c r="P58" s="80">
        <v>55</v>
      </c>
      <c r="Q58" s="576"/>
    </row>
    <row r="59" spans="1:17" ht="15.75" customHeight="1">
      <c r="A59" s="80">
        <v>56</v>
      </c>
      <c r="B59" s="610"/>
      <c r="C59" s="195" t="s">
        <v>882</v>
      </c>
      <c r="D59" s="2282"/>
      <c r="E59" s="1539" t="s">
        <v>883</v>
      </c>
      <c r="F59" s="1545"/>
      <c r="G59" s="1545"/>
      <c r="H59" s="1653"/>
      <c r="I59" s="1847">
        <f>TBIn!E1043</f>
        <v>0</v>
      </c>
      <c r="J59" s="587">
        <f t="shared" ref="J59:J64" si="2">I59-SUM(M59:O59)</f>
        <v>0</v>
      </c>
      <c r="K59" s="2782"/>
      <c r="L59" s="111"/>
      <c r="M59" s="1851">
        <f>TBIn!E43</f>
        <v>0</v>
      </c>
      <c r="N59" s="1847">
        <f>TBIn!E48</f>
        <v>0</v>
      </c>
      <c r="O59" s="1845">
        <f>TBIn!E53</f>
        <v>0</v>
      </c>
      <c r="P59" s="80">
        <v>56</v>
      </c>
      <c r="Q59" s="576"/>
    </row>
    <row r="60" spans="1:17" ht="15.75" customHeight="1">
      <c r="A60" s="80">
        <v>57</v>
      </c>
      <c r="B60" s="610"/>
      <c r="C60" s="823">
        <f>IFERROR(N94,0)</f>
        <v>0.325105949192316</v>
      </c>
      <c r="D60" s="2282"/>
      <c r="E60" s="1539" t="s">
        <v>884</v>
      </c>
      <c r="F60" s="1545"/>
      <c r="G60" s="1545"/>
      <c r="H60" s="1653"/>
      <c r="I60" s="1847">
        <f>TBIn!E1044</f>
        <v>0</v>
      </c>
      <c r="J60" s="587">
        <f t="shared" si="2"/>
        <v>0</v>
      </c>
      <c r="K60" s="2782"/>
      <c r="L60" s="111"/>
      <c r="M60" s="1851">
        <f>TBIn!E44</f>
        <v>0</v>
      </c>
      <c r="N60" s="1847">
        <f>TBIn!E49</f>
        <v>0</v>
      </c>
      <c r="O60" s="1845">
        <f>TBIn!E54</f>
        <v>0</v>
      </c>
      <c r="P60" s="80">
        <v>57</v>
      </c>
      <c r="Q60" s="576"/>
    </row>
    <row r="61" spans="1:17" ht="15.75" customHeight="1">
      <c r="A61" s="80">
        <v>58</v>
      </c>
      <c r="B61" s="623" t="s">
        <v>166</v>
      </c>
      <c r="C61" s="624"/>
      <c r="D61" s="2282"/>
      <c r="E61" s="1654" t="s">
        <v>885</v>
      </c>
      <c r="F61" s="1655"/>
      <c r="G61" s="1655"/>
      <c r="H61" s="1653"/>
      <c r="I61" s="1847">
        <f>TBIn!E1045</f>
        <v>2340799</v>
      </c>
      <c r="J61" s="587">
        <f t="shared" si="2"/>
        <v>2340799</v>
      </c>
      <c r="K61" s="2782"/>
      <c r="L61" s="111"/>
      <c r="M61" s="1851">
        <f>TBIn!E45</f>
        <v>0</v>
      </c>
      <c r="N61" s="1847">
        <f>TBIn!E50</f>
        <v>0</v>
      </c>
      <c r="O61" s="1845">
        <f>TBIn!E55</f>
        <v>0</v>
      </c>
      <c r="P61" s="80">
        <v>58</v>
      </c>
      <c r="Q61" s="576"/>
    </row>
    <row r="62" spans="1:17" ht="15.75" customHeight="1">
      <c r="A62" s="80">
        <v>59</v>
      </c>
      <c r="B62" s="623"/>
      <c r="C62" s="610"/>
      <c r="D62" s="2282"/>
      <c r="E62" s="1539" t="s">
        <v>886</v>
      </c>
      <c r="F62" s="1545"/>
      <c r="G62" s="1545"/>
      <c r="H62" s="1653"/>
      <c r="I62" s="2684">
        <f>TBIn!E1046</f>
        <v>0</v>
      </c>
      <c r="J62" s="587">
        <f>SUM(Page8!N40:O40)</f>
        <v>0</v>
      </c>
      <c r="K62" s="2782"/>
      <c r="L62" s="111"/>
      <c r="M62" s="2687">
        <f>Page8!P40</f>
        <v>0</v>
      </c>
      <c r="N62" s="2688">
        <f>Page8!Q40</f>
        <v>0</v>
      </c>
      <c r="O62" s="2689">
        <f>Page8!R40</f>
        <v>0</v>
      </c>
      <c r="P62" s="80">
        <v>59</v>
      </c>
      <c r="Q62" s="576"/>
    </row>
    <row r="63" spans="1:17" ht="15.75" customHeight="1">
      <c r="A63" s="80">
        <v>60</v>
      </c>
      <c r="B63" s="610"/>
      <c r="C63" s="189" t="s">
        <v>887</v>
      </c>
      <c r="D63" s="2282"/>
      <c r="E63" s="1539" t="s">
        <v>888</v>
      </c>
      <c r="F63" s="1545"/>
      <c r="G63" s="1545"/>
      <c r="H63" s="1653"/>
      <c r="I63" s="1847">
        <f>TBIn!E1047</f>
        <v>282350</v>
      </c>
      <c r="J63" s="587">
        <f t="shared" si="2"/>
        <v>282350</v>
      </c>
      <c r="K63" s="2782"/>
      <c r="L63" s="111"/>
      <c r="M63" s="1851">
        <f>TBIn!E46</f>
        <v>0</v>
      </c>
      <c r="N63" s="1847">
        <f>TBIn!E51</f>
        <v>0</v>
      </c>
      <c r="O63" s="1845">
        <f>TBIn!E56</f>
        <v>0</v>
      </c>
      <c r="P63" s="80">
        <v>60</v>
      </c>
      <c r="Q63" s="576"/>
    </row>
    <row r="64" spans="1:17" ht="15.75" customHeight="1">
      <c r="A64" s="80">
        <v>61</v>
      </c>
      <c r="B64" s="626"/>
      <c r="C64" s="195" t="s">
        <v>889</v>
      </c>
      <c r="D64" s="2283"/>
      <c r="E64" s="1600" t="s">
        <v>890</v>
      </c>
      <c r="F64" s="1555"/>
      <c r="G64" s="1555"/>
      <c r="H64" s="1656"/>
      <c r="I64" s="1864">
        <f>TBIn!E1048</f>
        <v>17464</v>
      </c>
      <c r="J64" s="627">
        <f t="shared" si="2"/>
        <v>17464</v>
      </c>
      <c r="K64" s="2782"/>
      <c r="L64" s="111"/>
      <c r="M64" s="1867">
        <f>TBIn!E47</f>
        <v>0</v>
      </c>
      <c r="N64" s="1864">
        <f>TBIn!E52</f>
        <v>0</v>
      </c>
      <c r="O64" s="1868">
        <f>TBIn!E57</f>
        <v>0</v>
      </c>
      <c r="P64" s="80">
        <v>61</v>
      </c>
      <c r="Q64" s="576"/>
    </row>
    <row r="65" spans="1:17" ht="15.75" customHeight="1">
      <c r="A65" s="80">
        <v>62</v>
      </c>
      <c r="B65" s="610"/>
      <c r="C65" s="628">
        <f>IFERROR(H111,0)</f>
        <v>5.1168062479713977E-2</v>
      </c>
      <c r="D65" s="2283"/>
      <c r="E65" s="629" t="s">
        <v>891</v>
      </c>
      <c r="F65" s="296"/>
      <c r="G65" s="296"/>
      <c r="H65" s="630"/>
      <c r="I65" s="631">
        <f>SUM(I59:I64)</f>
        <v>2640613</v>
      </c>
      <c r="J65" s="132">
        <f>SUM(J59:J64)</f>
        <v>2640613</v>
      </c>
      <c r="K65" s="111"/>
      <c r="L65" s="111"/>
      <c r="M65" s="632">
        <f>SUM(M59:M64)</f>
        <v>0</v>
      </c>
      <c r="N65" s="631">
        <f>SUM(N59:N64)</f>
        <v>0</v>
      </c>
      <c r="O65" s="132">
        <f>SUM(O59:O64)</f>
        <v>0</v>
      </c>
      <c r="P65" s="80">
        <v>62</v>
      </c>
      <c r="Q65" s="576"/>
    </row>
    <row r="66" spans="1:17" ht="15.75" customHeight="1">
      <c r="A66" s="80">
        <v>63</v>
      </c>
      <c r="B66" s="610"/>
      <c r="C66" s="618"/>
      <c r="D66" s="2283"/>
      <c r="E66" s="1601" t="s">
        <v>892</v>
      </c>
      <c r="F66" s="1533"/>
      <c r="G66" s="1533"/>
      <c r="H66" s="1657"/>
      <c r="I66" s="1865">
        <f>IF(Flag=TRUE,TBIn!E1049*-1,TBIn!E1049)</f>
        <v>0</v>
      </c>
      <c r="J66" s="907"/>
      <c r="K66" s="907"/>
      <c r="L66" s="907"/>
      <c r="M66" s="907"/>
      <c r="N66" s="907"/>
      <c r="O66" s="909"/>
      <c r="P66" s="80">
        <v>63</v>
      </c>
      <c r="Q66" s="576"/>
    </row>
    <row r="67" spans="1:17" ht="15.65" customHeight="1">
      <c r="A67" s="80">
        <v>64</v>
      </c>
      <c r="B67" s="626"/>
      <c r="C67" s="618"/>
      <c r="D67" s="2283"/>
      <c r="E67" s="1579" t="s">
        <v>893</v>
      </c>
      <c r="F67" s="1580"/>
      <c r="G67" s="1580"/>
      <c r="H67" s="1581"/>
      <c r="I67" s="1866">
        <f>IF(Flag=TRUE,TBIn!E1050,TBIn!E1050*-1)</f>
        <v>0</v>
      </c>
      <c r="J67" s="907"/>
      <c r="K67" s="92" t="s">
        <v>894</v>
      </c>
      <c r="L67" s="514"/>
      <c r="M67" s="322" t="s">
        <v>7</v>
      </c>
      <c r="N67" s="594" t="s">
        <v>8</v>
      </c>
      <c r="O67" s="634"/>
      <c r="P67" s="80">
        <v>64</v>
      </c>
      <c r="Q67" s="576"/>
    </row>
    <row r="68" spans="1:17" ht="15.75" customHeight="1">
      <c r="A68" s="80">
        <v>65</v>
      </c>
      <c r="B68" s="626"/>
      <c r="C68" s="618"/>
      <c r="D68" s="2283"/>
      <c r="E68" s="288" t="s">
        <v>895</v>
      </c>
      <c r="F68" s="210"/>
      <c r="G68" s="210"/>
      <c r="H68" s="337"/>
      <c r="I68" s="762">
        <f>IF(Flag=TRUE,I65+I66-I67,TBIn!E1051)</f>
        <v>2640613</v>
      </c>
      <c r="J68" s="908"/>
      <c r="K68" s="1658" t="s">
        <v>896</v>
      </c>
      <c r="L68" s="1659"/>
      <c r="M68" s="280">
        <v>126073</v>
      </c>
      <c r="N68" s="2799">
        <v>306731</v>
      </c>
      <c r="O68" s="2800"/>
      <c r="P68" s="80">
        <v>65</v>
      </c>
      <c r="Q68" s="576"/>
    </row>
    <row r="69" spans="1:17" ht="15.75" customHeight="1">
      <c r="A69" s="80">
        <v>66</v>
      </c>
      <c r="B69" s="1270" t="s">
        <v>897</v>
      </c>
      <c r="C69" s="308"/>
      <c r="D69" s="308"/>
      <c r="E69" s="342"/>
      <c r="F69" s="343" t="s">
        <v>898</v>
      </c>
      <c r="G69" s="343"/>
      <c r="H69" s="344"/>
      <c r="I69" s="345"/>
      <c r="J69" s="346"/>
      <c r="K69" s="347" t="s">
        <v>899</v>
      </c>
      <c r="L69" s="347"/>
      <c r="M69" s="635"/>
      <c r="N69" s="636"/>
      <c r="O69" s="904"/>
      <c r="P69" s="80">
        <v>66</v>
      </c>
      <c r="Q69" s="576"/>
    </row>
    <row r="70" spans="1:17" ht="15.75" customHeight="1">
      <c r="A70" s="80">
        <v>67</v>
      </c>
      <c r="B70" s="1271" t="s">
        <v>824</v>
      </c>
      <c r="C70" s="311"/>
      <c r="D70" s="311"/>
      <c r="E70" s="1232" t="s">
        <v>102</v>
      </c>
      <c r="F70" s="1233" t="s">
        <v>103</v>
      </c>
      <c r="G70" s="1233" t="s">
        <v>104</v>
      </c>
      <c r="H70" s="1233" t="s">
        <v>802</v>
      </c>
      <c r="I70" s="1234" t="s">
        <v>106</v>
      </c>
      <c r="J70" s="1235" t="s">
        <v>102</v>
      </c>
      <c r="K70" s="1236" t="s">
        <v>103</v>
      </c>
      <c r="L70" s="1236" t="s">
        <v>104</v>
      </c>
      <c r="M70" s="1236" t="s">
        <v>802</v>
      </c>
      <c r="N70" s="1237" t="s">
        <v>106</v>
      </c>
      <c r="O70" s="904"/>
      <c r="P70" s="80">
        <v>67</v>
      </c>
      <c r="Q70" s="576"/>
    </row>
    <row r="71" spans="1:17" ht="15.75" customHeight="1">
      <c r="A71" s="80">
        <v>68</v>
      </c>
      <c r="B71" s="348" t="s">
        <v>110</v>
      </c>
      <c r="C71" s="2297" t="s">
        <v>900</v>
      </c>
      <c r="D71" s="2298"/>
      <c r="E71" s="350">
        <f>Page5_CHV_MCI!F23+Page5_BUI_MCI!F23+Page5_CAD_MCI!F23+Page5_GMC_MCI!F23+Page5i_SANS_OBJECT!F23+Page5j_SANS_OBJECT!F23</f>
        <v>0</v>
      </c>
      <c r="F71" s="351">
        <f>Page5_CHV_MCI!G23+Page5_BUI_MCI!G23+Page5_CAD_MCI!G23+Page5_GMC_MCI!G23+Page5i_SANS_OBJECT!G23+Page5j_SANS_OBJECT!G23</f>
        <v>0</v>
      </c>
      <c r="G71" s="351">
        <f>Page5_CHV_MCI!H23+Page5_BUI_MCI!H23+Page5_CAD_MCI!H23+Page5_GMC_MCI!H23+Page5i_SANS_OBJECT!H23+Page5j_SANS_OBJECT!H23</f>
        <v>0</v>
      </c>
      <c r="H71" s="351">
        <f>Page5_CHV_MCI!I23+Page5_BUI_MCI!I23+Page5_CAD_MCI!I23+Page5_GMC_MCI!I23+Page5i_SANS_OBJECT!I23+Page5j_SANS_OBJECT!I23</f>
        <v>0</v>
      </c>
      <c r="I71" s="2247">
        <f t="shared" ref="I71:I82" si="3">IF(E71=0,0,H71/E71)</f>
        <v>0</v>
      </c>
      <c r="J71" s="2243">
        <f>Page5_CHV_MCI!K23+Page5_BUI_MCI!K23+Page5_CAD_MCI!K23+Page5_GMC_MCI!K23+Page5i_SANS_OBJECT!K23+Page5j_SANS_OBJECT!K23</f>
        <v>1</v>
      </c>
      <c r="K71" s="353">
        <f>Page5_CHV_MCI!L23+Page5_BUI_MCI!L23+Page5_CAD_MCI!L23+Page5_GMC_MCI!L23+Page5i_SANS_OBJECT!L23+Page5j_SANS_OBJECT!L23</f>
        <v>33144</v>
      </c>
      <c r="L71" s="353">
        <f>Page5_CHV_MCI!M23+Page5_BUI_MCI!M23+Page5_CAD_MCI!M23+Page5_GMC_MCI!M23+Page5i_SANS_OBJECT!M23+Page5j_SANS_OBJECT!M23</f>
        <v>35000</v>
      </c>
      <c r="M71" s="353">
        <f>Page5_CHV_MCI!N23+Page5_BUI_MCI!N23+Page5_CAD_MCI!N23+Page5_GMC_MCI!N23+Page5i_SANS_OBJECT!N23+Page5j_SANS_OBJECT!N23</f>
        <v>-1856</v>
      </c>
      <c r="N71" s="2250">
        <f t="shared" ref="N71:N82" si="4">IF(J71=0,0,M71/J71)</f>
        <v>-1856</v>
      </c>
      <c r="O71" s="904"/>
      <c r="P71" s="80">
        <v>68</v>
      </c>
      <c r="Q71" s="576"/>
    </row>
    <row r="72" spans="1:17" s="654" customFormat="1" ht="15.75" customHeight="1">
      <c r="A72" s="80">
        <v>69</v>
      </c>
      <c r="B72" s="355" t="s">
        <v>112</v>
      </c>
      <c r="C72" s="2234" t="s">
        <v>901</v>
      </c>
      <c r="D72" s="2285"/>
      <c r="E72" s="2235">
        <f>Page5_CHV_VE!F23+Page5_BUI_VE!F23+Page5_CAD_VE!F23+Page5_GMC_VE!F23</f>
        <v>0</v>
      </c>
      <c r="F72" s="2236">
        <f>Page5_CHV_VE!G23+Page5_BUI_VE!G23+Page5_CAD_VE!G23+Page5_GMC_VE!G23</f>
        <v>0</v>
      </c>
      <c r="G72" s="2236">
        <f>Page5_CHV_VE!H23+Page5_BUI_VE!H23+Page5_CAD_VE!H23+Page5_GMC_VE!H23</f>
        <v>0</v>
      </c>
      <c r="H72" s="2236">
        <f>Page5_CHV_VE!I23+Page5_BUI_VE!I23+Page5_CAD_VE!I23+Page5_GMC_VE!I23</f>
        <v>0</v>
      </c>
      <c r="I72" s="2248">
        <f>IF(E72=0,0,H72/E72)</f>
        <v>0</v>
      </c>
      <c r="J72" s="2244">
        <f>Page5_CHV_VE!K23+Page5_BUI_VE!K23+Page5_CAD_VE!K23+Page5_GMC_VE!K23</f>
        <v>0</v>
      </c>
      <c r="K72" s="2237">
        <f>Page5_CHV_VE!L23+Page5_BUI_VE!L23+Page5_CAD_VE!L23+Page5_GMC_VE!L23</f>
        <v>0</v>
      </c>
      <c r="L72" s="2237">
        <f>Page5_CHV_VE!M23+Page5_BUI_VE!M23+Page5_CAD_VE!M23+Page5_GMC_VE!M23</f>
        <v>0</v>
      </c>
      <c r="M72" s="2237">
        <f>Page5_CHV_VE!N23+Page5_BUI_VE!N23+Page5_CAD_VE!N23+Page5_GMC_VE!N23</f>
        <v>0</v>
      </c>
      <c r="N72" s="2251">
        <f>IF(J72=0,0,M72/J72)</f>
        <v>0</v>
      </c>
      <c r="O72" s="2233"/>
      <c r="P72" s="80">
        <v>69</v>
      </c>
      <c r="Q72" s="677"/>
    </row>
    <row r="73" spans="1:17" ht="15.75" customHeight="1">
      <c r="A73" s="80">
        <v>70</v>
      </c>
      <c r="B73" s="355" t="s">
        <v>114</v>
      </c>
      <c r="C73" s="2238" t="s">
        <v>902</v>
      </c>
      <c r="D73" s="2286"/>
      <c r="E73" s="2239">
        <f>Page5_CHV_MCI!F25+Page5_CHV_MCI!F26+Page5_CHV_VE!F25+Page5_CHV_VE!F26+Page5_BUI_VE!F25+Page5_BUI_VE!F26+Page5_BUI_MCI!F25+Page5_BUI_MCI!F26+Page5_CAD_MCI!F25+Page5_CAD_MCI!F26+Page5_GMC_MCI!F25+Page5_GMC_MCI!F26+Page5_CAD_VE!F25+Page5_CAD_VE!F26+Page5_GMC_VE!F25+Page5_GMC_VE!F26+Page5i_SANS_OBJECT!F25+Page5i_SANS_OBJECT!F26+Page5j_SANS_OBJECT!F25+Page5j_SANS_OBJECT!F26</f>
        <v>0</v>
      </c>
      <c r="F73" s="2240">
        <f>Page5_CHV_MCI!G25+Page5_CHV_MCI!G26+Page5_CHV_VE!G25+Page5_CHV_VE!G26+Page5_BUI_VE!G25+Page5_BUI_VE!G26+Page5_BUI_MCI!G25+Page5_BUI_MCI!G26+Page5_CAD_MCI!G25+Page5_CAD_MCI!G26+Page5_GMC_MCI!G25+Page5_GMC_MCI!G26+Page5_CAD_VE!G25+Page5_CAD_VE!G26+Page5_GMC_VE!G25+Page5_GMC_VE!G26+Page5i_SANS_OBJECT!G25+Page5i_SANS_OBJECT!G26+Page5j_SANS_OBJECT!G25+Page5j_SANS_OBJECT!G26</f>
        <v>0</v>
      </c>
      <c r="G73" s="2240">
        <f>Page5_CHV_MCI!H25+Page5_CHV_MCI!H26+Page5_CHV_VE!H25+Page5_CHV_VE!H26+Page5_BUI_VE!H25+Page5_BUI_VE!H26+Page5_BUI_MCI!H25+Page5_BUI_MCI!H26+Page5_CAD_MCI!H25+Page5_CAD_MCI!H26+Page5_GMC_MCI!H25+Page5_GMC_MCI!H26+Page5_CAD_VE!H25+Page5_CAD_VE!H26+Page5_GMC_VE!H25+Page5_GMC_VE!H26+Page5i_SANS_OBJECT!H25+Page5i_SANS_OBJECT!H26+Page5j_SANS_OBJECT!H25+Page5j_SANS_OBJECT!H26</f>
        <v>0</v>
      </c>
      <c r="H73" s="2240">
        <f>Page5_CHV_MCI!I25+Page5_CHV_MCI!I26+Page5_CHV_VE!I25+Page5_CHV_VE!I26+Page5_BUI_VE!I25+Page5_BUI_VE!I26+Page5_BUI_MCI!I25+Page5_BUI_MCI!I26+Page5_CAD_MCI!I25+Page5_CAD_MCI!I26+Page5_GMC_MCI!I25+Page5_GMC_MCI!I26+Page5_CAD_VE!I25+Page5_CAD_VE!I26+Page5_GMC_VE!I25+Page5_GMC_VE!I26+Page5i_SANS_OBJECT!I25+Page5i_SANS_OBJECT!I26+Page5j_SANS_OBJECT!I25+Page5j_SANS_OBJECT!I26</f>
        <v>0</v>
      </c>
      <c r="I73" s="2249">
        <f t="shared" si="3"/>
        <v>0</v>
      </c>
      <c r="J73" s="2245">
        <f>Page5_CHV_MCI!K25+Page5_CHV_MCI!K26+Page5_CHV_VE!K25+Page5_CHV_VE!K26+Page5_BUI_VE!K25+Page5_BUI_VE!K26+Page5_BUI_MCI!K25+Page5_BUI_MCI!K26+Page5_CAD_MCI!K25+Page5_CAD_MCI!K26+Page5_GMC_MCI!K25+Page5_GMC_MCI!K26+Page5_CAD_VE!K25+Page5_CAD_VE!K26+Page5j_SANS_OBJECT!K25+Page5_GMC_VE!K26+Page5_GMC_VE!K25+Page5i_SANS_OBJECT!K26+Page5i_SANS_OBJECT!K25+Page5j_SANS_OBJECT!K26</f>
        <v>0</v>
      </c>
      <c r="K73" s="2241">
        <f>Page5_CHV_MCI!L25+Page5_CHV_MCI!L26+Page5_CHV_VE!L25+Page5_CHV_VE!L26+Page5_BUI_VE!L25+Page5_BUI_VE!L26+Page5_BUI_MCI!L25+Page5_BUI_MCI!L26+Page5_CAD_MCI!L25+Page5_CAD_MCI!L26+Page5_GMC_MCI!L25+Page5_GMC_MCI!L26+Page5_CAD_VE!L25+Page5_CAD_VE!L26+Page5j_SANS_OBJECT!L25+Page5_GMC_VE!L26+Page5_GMC_VE!L25+Page5i_SANS_OBJECT!L26+Page5i_SANS_OBJECT!L25+Page5j_SANS_OBJECT!L26</f>
        <v>0</v>
      </c>
      <c r="L73" s="2242">
        <f>Page5_CHV_MCI!M25+Page5_CHV_MCI!M26+Page5_CHV_VE!M25+Page5_CHV_VE!M26+Page5_BUI_VE!M25+Page5_BUI_VE!M26+Page5_BUI_MCI!M25+Page5_BUI_MCI!M26+Page5_CAD_MCI!M25+Page5_CAD_MCI!M26+Page5_GMC_MCI!M25+Page5_GMC_MCI!M26+Page5_CAD_VE!M25+Page5_CAD_VE!M26+Page5j_SANS_OBJECT!M25+Page5_GMC_VE!M26+Page5_GMC_VE!M25+Page5i_SANS_OBJECT!M26+Page5i_SANS_OBJECT!M25+Page5j_SANS_OBJECT!M26</f>
        <v>0</v>
      </c>
      <c r="M73" s="2242">
        <f>Page5_CHV_MCI!N25+Page5_CHV_MCI!N26+Page5_CHV_VE!N25+Page5_CHV_VE!N26+Page5_BUI_VE!N25+Page5_BUI_VE!N26+Page5_BUI_MCI!N25+Page5_BUI_MCI!N26+Page5_CAD_MCI!N25+Page5_CAD_MCI!N26+Page5_GMC_MCI!N25+Page5_GMC_MCI!N26+Page5_CAD_VE!N25+Page5_CAD_VE!N26+Page5j_SANS_OBJECT!N25+Page5_GMC_VE!N26+Page5_GMC_VE!N25+Page5i_SANS_OBJECT!N26+Page5i_SANS_OBJECT!N25+Page5j_SANS_OBJECT!N26</f>
        <v>0</v>
      </c>
      <c r="N73" s="2246">
        <f t="shared" si="4"/>
        <v>0</v>
      </c>
      <c r="O73" s="904"/>
      <c r="P73" s="80">
        <v>70</v>
      </c>
      <c r="Q73" s="576"/>
    </row>
    <row r="74" spans="1:17" ht="15.75" customHeight="1">
      <c r="A74" s="80">
        <v>71</v>
      </c>
      <c r="B74" s="360" t="s">
        <v>116</v>
      </c>
      <c r="C74" s="341" t="s">
        <v>903</v>
      </c>
      <c r="D74" s="2287"/>
      <c r="E74" s="361">
        <f>SUM(E71:E73)</f>
        <v>0</v>
      </c>
      <c r="F74" s="362">
        <f>SUM(F71:F73)</f>
        <v>0</v>
      </c>
      <c r="G74" s="362">
        <f>SUM(G71:G73)</f>
        <v>0</v>
      </c>
      <c r="H74" s="362">
        <f>SUM(H71:H73)</f>
        <v>0</v>
      </c>
      <c r="I74" s="363">
        <f t="shared" si="3"/>
        <v>0</v>
      </c>
      <c r="J74" s="364">
        <f>SUM(J71:J73)</f>
        <v>1</v>
      </c>
      <c r="K74" s="362">
        <f>SUM(K71:K73)</f>
        <v>33144</v>
      </c>
      <c r="L74" s="2136">
        <f>SUM(L71:L73)</f>
        <v>35000</v>
      </c>
      <c r="M74" s="2136">
        <f>SUM(M71:M73)</f>
        <v>-1856</v>
      </c>
      <c r="N74" s="363">
        <f t="shared" si="4"/>
        <v>-1856</v>
      </c>
      <c r="O74" s="904"/>
      <c r="P74" s="80">
        <v>71</v>
      </c>
      <c r="Q74" s="576"/>
    </row>
    <row r="75" spans="1:17" ht="15.75" customHeight="1">
      <c r="A75" s="80">
        <v>72</v>
      </c>
      <c r="B75" s="348" t="s">
        <v>143</v>
      </c>
      <c r="C75" s="349" t="s">
        <v>904</v>
      </c>
      <c r="D75" s="2284"/>
      <c r="E75" s="350">
        <f>Page5_CHV_MCI!F44+Page5_BUI_MCI!F44+Page5_CAD_MCI!F44+Page5_GMC_MCI!F44+Page5i_SANS_OBJECT!F44+Page5j_SANS_OBJECT!F44</f>
        <v>45</v>
      </c>
      <c r="F75" s="351">
        <f>Page5_CHV_MCI!G44+Page5_BUI_MCI!G44+Page5_CAD_MCI!G44+Page5_GMC_MCI!G44+Page5i_SANS_OBJECT!G44+Page5j_SANS_OBJECT!G44</f>
        <v>2981505</v>
      </c>
      <c r="G75" s="351">
        <f>Page5_CHV_MCI!H44+Page5_BUI_MCI!H44+Page5_CAD_MCI!H44+Page5_GMC_MCI!H44+Page5i_SANS_OBJECT!H44+Page5j_SANS_OBJECT!H44</f>
        <v>2861332</v>
      </c>
      <c r="H75" s="351">
        <f>Page5_CHV_MCI!I44+Page5_BUI_MCI!I44+Page5_CAD_MCI!I44+Page5_GMC_MCI!I44+Page5i_SANS_OBJECT!I44+Page5j_SANS_OBJECT!I44</f>
        <v>120173</v>
      </c>
      <c r="I75" s="2247">
        <f t="shared" si="3"/>
        <v>2670.5111111111109</v>
      </c>
      <c r="J75" s="2243">
        <f>Page5_CHV_MCI!K44+Page5_BUI_MCI!K44+Page5_CAD_MCI!K44+Page5_GMC_MCI!K44+Page5i_SANS_OBJECT!K44+Page5j_SANS_OBJECT!K44</f>
        <v>158</v>
      </c>
      <c r="K75" s="353">
        <f>Page5_CHV_MCI!L44+Page5_BUI_MCI!L44+Page5_CAD_MCI!L44+Page5_GMC_MCI!L44+Page5i_SANS_OBJECT!L44+Page5j_SANS_OBJECT!L44</f>
        <v>11789239</v>
      </c>
      <c r="L75" s="353">
        <f>Page5_CHV_MCI!M44+Page5_BUI_MCI!M44+Page5_CAD_MCI!M44+Page5_GMC_MCI!M44+Page5i_SANS_OBJECT!M44+Page5j_SANS_OBJECT!M44</f>
        <v>11328890</v>
      </c>
      <c r="M75" s="353">
        <f>Page5_CHV_MCI!N44+Page5_BUI_MCI!N44+Page5_CAD_MCI!N44+Page5_GMC_MCI!N44+Page5i_SANS_OBJECT!N44+Page5j_SANS_OBJECT!N44</f>
        <v>460349</v>
      </c>
      <c r="N75" s="2250">
        <f t="shared" si="4"/>
        <v>2913.6012658227846</v>
      </c>
      <c r="O75" s="904"/>
      <c r="P75" s="80">
        <v>72</v>
      </c>
      <c r="Q75" s="576"/>
    </row>
    <row r="76" spans="1:17" s="654" customFormat="1" ht="15.75" customHeight="1">
      <c r="A76" s="80">
        <v>73</v>
      </c>
      <c r="B76" s="355" t="s">
        <v>145</v>
      </c>
      <c r="C76" s="2234" t="s">
        <v>905</v>
      </c>
      <c r="D76" s="2285"/>
      <c r="E76" s="2235">
        <f>Page5_CHV_VE!F44+Page5_BUI_VE!F44+Page5_CAD_VE!F44+Page5_GMC_VE!F44</f>
        <v>9</v>
      </c>
      <c r="F76" s="2236">
        <f>Page5_CHV_VE!G44+Page5_BUI_VE!G44+Page5_CAD_VE!G44+Page5_GMC_VE!G44</f>
        <v>835814</v>
      </c>
      <c r="G76" s="2236">
        <f>Page5_CHV_VE!H44+Page5_BUI_VE!H44+Page5_CAD_VE!H44+Page5_GMC_VE!H44</f>
        <v>802923</v>
      </c>
      <c r="H76" s="2236">
        <f>Page5_CHV_VE!I44+Page5_BUI_VE!I44+Page5_CAD_VE!I44+Page5_GMC_VE!I44</f>
        <v>32891</v>
      </c>
      <c r="I76" s="2248">
        <f t="shared" si="3"/>
        <v>3654.5555555555557</v>
      </c>
      <c r="J76" s="2244">
        <f>Page5_CHV_VE!K44+Page5_BUI_VE!K44+Page5_CAD_VE!K44+Page5_GMC_VE!K44</f>
        <v>27</v>
      </c>
      <c r="K76" s="2237">
        <f>Page5_CHV_VE!L44+Page5_BUI_VE!L44+Page5_CAD_VE!L44+Page5_GMC_VE!L44</f>
        <v>2457456</v>
      </c>
      <c r="L76" s="2237">
        <f>Page5_CHV_VE!M44+Page5_BUI_VE!M44+Page5_CAD_VE!M44+Page5_GMC_VE!M44</f>
        <v>2352086</v>
      </c>
      <c r="M76" s="2237">
        <f>Page5_CHV_VE!N44+Page5_BUI_VE!N44+Page5_CAD_VE!N44+Page5_GMC_VE!N44</f>
        <v>105370</v>
      </c>
      <c r="N76" s="2251">
        <f t="shared" si="4"/>
        <v>3902.5925925925926</v>
      </c>
      <c r="O76" s="2233"/>
      <c r="P76" s="80">
        <v>73</v>
      </c>
      <c r="Q76" s="677"/>
    </row>
    <row r="77" spans="1:17" ht="15.75" customHeight="1">
      <c r="A77" s="80">
        <v>74</v>
      </c>
      <c r="B77" s="355" t="s">
        <v>147</v>
      </c>
      <c r="C77" s="2238" t="s">
        <v>906</v>
      </c>
      <c r="D77" s="2286"/>
      <c r="E77" s="2239">
        <f>Page5_CHV_MCI!F46+Page5_CHV_MCI!F47+Page5_CHV_VE!F46+Page5_CHV_VE!F47+Page5_BUI_VE!F46+Page5_BUI_VE!F47+Page5_BUI_MCI!F46+Page5_BUI_MCI!F47+Page5_CAD_MCI!F46+Page5_CAD_MCI!F47+Page5_GMC_MCI!F46+Page5_GMC_MCI!F47+Page5_CAD_VE!F46+Page5_CAD_VE!F47+Page5_GMC_VE!F46+Page5_GMC_VE!F47+Page5i_SANS_OBJECT!F46+Page5i_SANS_OBJECT!F47+Page5j_SANS_OBJECT!F46+Page5j_SANS_OBJECT!F47</f>
        <v>10</v>
      </c>
      <c r="F77" s="2240">
        <f>Page5_CHV_MCI!G46+Page5_CHV_MCI!G47+Page5_CHV_VE!G46+Page5_CHV_VE!G47+Page5_BUI_VE!G46+Page5_BUI_VE!G47+Page5_BUI_MCI!G46+Page5_BUI_MCI!G47+Page5_CAD_MCI!G46+Page5_CAD_MCI!G47+Page5_GMC_MCI!G46+Page5_GMC_MCI!G47+Page5_CAD_VE!G46+Page5_CAD_VE!G47+Page5_GMC_VE!G46+Page5_GMC_VE!G47+Page5i_SANS_OBJECT!G46+Page5i_SANS_OBJECT!G47+Page5j_SANS_OBJECT!G46+Page5j_SANS_OBJECT!G47</f>
        <v>619285</v>
      </c>
      <c r="G77" s="2240">
        <f>Page5_CHV_MCI!H46+Page5_CHV_MCI!H47+Page5_CHV_VE!H46+Page5_CHV_VE!H47+Page5_BUI_VE!H46+Page5_BUI_VE!H47+Page5_BUI_MCI!H46+Page5_BUI_MCI!H47+Page5_CAD_MCI!H46+Page5_CAD_MCI!H47+Page5_GMC_MCI!H46+Page5_GMC_MCI!H47+Page5_CAD_VE!H46+Page5_CAD_VE!H47+Page5_GMC_VE!H46+Page5_GMC_VE!H47+Page5i_SANS_OBJECT!H46+Page5i_SANS_OBJECT!H47+Page5j_SANS_OBJECT!H46+Page5j_SANS_OBJECT!H47</f>
        <v>611136</v>
      </c>
      <c r="H77" s="2240">
        <f>Page5_CHV_MCI!I46+Page5_CHV_MCI!I47+Page5_CHV_VE!I46+Page5_CHV_VE!I47+Page5_BUI_VE!I46+Page5_BUI_VE!I47+Page5_BUI_MCI!I46+Page5_BUI_MCI!I47+Page5_CAD_MCI!I46+Page5_CAD_MCI!I47+Page5_GMC_MCI!I46+Page5_GMC_MCI!I47+Page5_CAD_VE!I46+Page5_CAD_VE!I47+Page5_GMC_VE!I46+Page5_GMC_VE!I47+Page5i_SANS_OBJECT!I46+Page5i_SANS_OBJECT!I47+Page5j_SANS_OBJECT!I46+Page5j_SANS_OBJECT!I47</f>
        <v>8149</v>
      </c>
      <c r="I77" s="2249">
        <f t="shared" si="3"/>
        <v>814.9</v>
      </c>
      <c r="J77" s="2245">
        <f>Page5_CHV_MCI!K46+Page5_CHV_MCI!K47+Page5_CHV_VE!K46+Page5_CHV_VE!K47+Page5_BUI_VE!K46+Page5_BUI_VE!K47+Page5_BUI_MCI!K46+Page5_BUI_MCI!K47+Page5_CAD_MCI!K46+Page5_CAD_MCI!K47+Page5_GMC_MCI!K46+Page5_GMC_MCI!K47+Page5_CAD_VE!K46+Page5_CAD_VE!K47+Page5_GMC_VE!K46+Page5_GMC_VE!K47+Page5i_SANS_OBJECT!K46+Page5i_SANS_OBJECT!K47+Page5j_SANS_OBJECT!K46+Page5j_SANS_OBJECT!K47</f>
        <v>34</v>
      </c>
      <c r="K77" s="2241">
        <f>Page5_CHV_MCI!L46+Page5_CHV_MCI!L47+Page5_CHV_VE!L46+Page5_CHV_VE!L47+Page5_BUI_VE!L46+Page5_BUI_VE!L47+Page5_BUI_MCI!L46+Page5_BUI_MCI!L47+Page5_CAD_MCI!L46+Page5_CAD_MCI!L47+Page5_GMC_MCI!L46+Page5_GMC_MCI!L47+Page5_CAD_VE!L46+Page5_CAD_VE!L47+Page5_GMC_VE!L46+Page5_GMC_VE!L47+Page5i_SANS_OBJECT!L46+Page5i_SANS_OBJECT!L47+Page5j_SANS_OBJECT!L46+Page5j_SANS_OBJECT!L47</f>
        <v>2326463</v>
      </c>
      <c r="L77" s="2242">
        <f>Page5_CHV_MCI!M46+Page5_CHV_MCI!M47+Page5_CHV_VE!M46+Page5_CHV_VE!M47+Page5_BUI_VE!M46+Page5_BUI_VE!M47+Page5_BUI_MCI!M46+Page5_BUI_MCI!M47+Page5_CAD_MCI!M46+Page5_CAD_MCI!M47+Page5_GMC_MCI!M46+Page5_GMC_MCI!M47+Page5_CAD_VE!M46+Page5_CAD_VE!M47+Page5_GMC_VE!M46+Page5_GMC_VE!M47+Page5i_SANS_OBJECT!M46+Page5i_SANS_OBJECT!M47+Page5j_SANS_OBJECT!M46+Page5j_SANS_OBJECT!M47</f>
        <v>2310310</v>
      </c>
      <c r="M77" s="2242">
        <f>Page5_CHV_MCI!N46+Page5_CHV_MCI!N47+Page5_CHV_VE!N46+Page5_CHV_VE!N47+Page5_BUI_VE!N46+Page5_BUI_VE!N47+Page5_BUI_MCI!N46+Page5_BUI_MCI!N47+Page5_CAD_MCI!N46+Page5_CAD_MCI!N47+Page5_GMC_MCI!N46+Page5_GMC_MCI!N47+Page5_CAD_VE!N46+Page5_CAD_VE!N47+Page5_GMC_VE!N46+Page5_GMC_VE!N47+Page5i_SANS_OBJECT!N46+Page5i_SANS_OBJECT!N47+Page5j_SANS_OBJECT!N46+Page5j_SANS_OBJECT!N47</f>
        <v>16153</v>
      </c>
      <c r="N77" s="2246">
        <f t="shared" si="4"/>
        <v>475.08823529411762</v>
      </c>
      <c r="O77" s="904"/>
      <c r="P77" s="80">
        <v>74</v>
      </c>
      <c r="Q77" s="576"/>
    </row>
    <row r="78" spans="1:17" ht="15.75" customHeight="1">
      <c r="A78" s="80">
        <v>75</v>
      </c>
      <c r="B78" s="365" t="s">
        <v>114</v>
      </c>
      <c r="C78" s="341" t="s">
        <v>907</v>
      </c>
      <c r="D78" s="2287"/>
      <c r="E78" s="361">
        <f>SUM(E75:E77)</f>
        <v>64</v>
      </c>
      <c r="F78" s="362">
        <f>SUM(F75:F77)</f>
        <v>4436604</v>
      </c>
      <c r="G78" s="362">
        <f>SUM(G75:G77)</f>
        <v>4275391</v>
      </c>
      <c r="H78" s="362">
        <f>SUM(H75:H77)</f>
        <v>161213</v>
      </c>
      <c r="I78" s="363">
        <f t="shared" si="3"/>
        <v>2518.953125</v>
      </c>
      <c r="J78" s="364">
        <f>SUM(J75:J77)</f>
        <v>219</v>
      </c>
      <c r="K78" s="362">
        <f>SUM(K75:K77)</f>
        <v>16573158</v>
      </c>
      <c r="L78" s="2136">
        <f>SUM(L75:L77)</f>
        <v>15991286</v>
      </c>
      <c r="M78" s="2136">
        <f>SUM(M75:M77)</f>
        <v>581872</v>
      </c>
      <c r="N78" s="363">
        <f t="shared" si="4"/>
        <v>2656.9497716894975</v>
      </c>
      <c r="O78" s="904"/>
      <c r="P78" s="80">
        <v>75</v>
      </c>
      <c r="Q78" s="576"/>
    </row>
    <row r="79" spans="1:17" ht="15.75" customHeight="1">
      <c r="A79" s="80">
        <v>76</v>
      </c>
      <c r="B79" s="144" t="s">
        <v>116</v>
      </c>
      <c r="C79" s="1612" t="s">
        <v>908</v>
      </c>
      <c r="D79" s="2288">
        <v>445</v>
      </c>
      <c r="E79" s="906"/>
      <c r="F79" s="1095">
        <f>IFERROR(IF(Flag=TRUE,K79-TBIn!E2264,TBIn!D2264),0)</f>
        <v>0</v>
      </c>
      <c r="G79" s="1095">
        <f>IFERROR(IF(Flag=TRUE,L79-TBIn!E2265,TBIn!D2265),0)</f>
        <v>0</v>
      </c>
      <c r="H79" s="351">
        <f>F79-G79</f>
        <v>0</v>
      </c>
      <c r="I79" s="352">
        <f>IF(E81=0,0,H79/E82)</f>
        <v>0</v>
      </c>
      <c r="J79" s="906"/>
      <c r="K79" s="1096">
        <f>IFERROR(TBIn!E2264,0)</f>
        <v>0</v>
      </c>
      <c r="L79" s="2137">
        <f>IFERROR(TBIn!E2265,0)</f>
        <v>0</v>
      </c>
      <c r="M79" s="2134">
        <f>K79-L79</f>
        <v>0</v>
      </c>
      <c r="N79" s="354">
        <f>IF(J81=0,0,M79/J82)</f>
        <v>0</v>
      </c>
      <c r="O79" s="904"/>
      <c r="P79" s="80">
        <v>76</v>
      </c>
      <c r="Q79" s="576"/>
    </row>
    <row r="80" spans="1:17" ht="15.75" customHeight="1">
      <c r="A80" s="80">
        <v>77</v>
      </c>
      <c r="B80" s="212" t="s">
        <v>112</v>
      </c>
      <c r="C80" s="88" t="s">
        <v>783</v>
      </c>
      <c r="D80" s="2289"/>
      <c r="E80" s="1068">
        <f>Page5_CHV_MCI!F50+Page5_CHV_VE!F50+Page5_BUI_VE!F50+Page5_BUI_MCI!F50+Page5_CAD_MCI!F50+Page5_GMC_MCI!F50+Page5_CAD_VE!F50+Page5_GMC_VE!F50+Page5i_SANS_OBJECT!F50+Page5j_SANS_OBJECT!F50</f>
        <v>0</v>
      </c>
      <c r="F80" s="356">
        <f>Page5_CHV_MCI!G50+Page5_CHV_VE!G50+Page5_BUI_VE!G50+Page5_BUI_MCI!G50+Page5_CAD_MCI!G50+Page5_GMC_MCI!G50+Page5_CAD_VE!G50+Page5_GMC_VE!G50+Page5i_SANS_OBJECT!G50+Page5j_SANS_OBJECT!G50</f>
        <v>0</v>
      </c>
      <c r="G80" s="356">
        <f>Page5_CHV_MCI!H50+Page5_CHV_VE!H50+Page5_BUI_VE!H50+Page5_BUI_MCI!H50+Page5_CAD_MCI!H50+Page5_GMC_MCI!H50+Page5_CAD_VE!H50+Page5_GMC_VE!H50+Page5i_SANS_OBJECT!H50+Page5j_SANS_OBJECT!H50</f>
        <v>0</v>
      </c>
      <c r="H80" s="356">
        <f>Page5_CHV_MCI!I50+Page5_CHV_VE!I50+Page5_BUI_VE!I50+Page5_BUI_MCI!I50+Page5_CAD_MCI!I50+Page5_GMC_MCI!I50+Page5_CAD_VE!I50+Page5_GMC_VE!I50+Page5i_SANS_OBJECT!I50+Page5j_SANS_OBJECT!I50</f>
        <v>0</v>
      </c>
      <c r="I80" s="357">
        <f t="shared" si="3"/>
        <v>0</v>
      </c>
      <c r="J80" s="358">
        <f>Page5_CHV_MCI!K50+Page5_CHV_VE!K50+Page5_BUI_VE!K50+Page5_BUI_MCI!K50+Page5_CAD_MCI!K50+Page5_GMC_MCI!K50+Page5_CAD_VE!K50+Page5_GMC_VE!K50+Page5i_SANS_OBJECT!K50+Page5j_SANS_OBJECT!K50</f>
        <v>0</v>
      </c>
      <c r="K80" s="358">
        <f>Page5_CHV_MCI!L50+Page5_CHV_VE!L50+Page5_BUI_VE!L50+Page5_BUI_MCI!L50+Page5_CAD_MCI!L50+Page5_GMC_MCI!L50+Page5_CAD_VE!L50+Page5_GMC_VE!L50+Page5i_SANS_OBJECT!L50+Page5j_SANS_OBJECT!L50</f>
        <v>0</v>
      </c>
      <c r="L80" s="2135">
        <f>Page5_CHV_MCI!M50+Page5_CHV_VE!M50+Page5_BUI_VE!M50+Page5_BUI_MCI!M50+Page5_CAD_MCI!M50+Page5_GMC_MCI!M50+Page5_CAD_VE!M50+Page5_GMC_VE!M50+Page5i_SANS_OBJECT!M50+Page5j_SANS_OBJECT!M50</f>
        <v>0</v>
      </c>
      <c r="M80" s="2135">
        <f>Page5_CHV_MCI!N50+Page5_CHV_VE!N50+Page5_BUI_VE!N50+Page5_BUI_MCI!N50+Page5_CAD_MCI!N50+Page5_GMC_MCI!N50+Page5_CAD_VE!N50+Page5_GMC_VE!N50+Page5i_SANS_OBJECT!N50+Page5j_SANS_OBJECT!N50</f>
        <v>0</v>
      </c>
      <c r="N80" s="359">
        <f t="shared" si="4"/>
        <v>0</v>
      </c>
      <c r="O80" s="904"/>
      <c r="P80" s="80">
        <v>77</v>
      </c>
      <c r="Q80" s="576"/>
    </row>
    <row r="81" spans="1:17" ht="15.75" customHeight="1">
      <c r="A81" s="80">
        <v>78</v>
      </c>
      <c r="B81" s="360" t="s">
        <v>118</v>
      </c>
      <c r="C81" s="263" t="s">
        <v>168</v>
      </c>
      <c r="D81" s="2290"/>
      <c r="E81" s="361">
        <f>E74+E78</f>
        <v>64</v>
      </c>
      <c r="F81" s="362">
        <f>F74+F78+F80+F79</f>
        <v>4436604</v>
      </c>
      <c r="G81" s="362">
        <f>G74+G78+G80+G79</f>
        <v>4275391</v>
      </c>
      <c r="H81" s="362">
        <f>H74+H78+H80+H79</f>
        <v>161213</v>
      </c>
      <c r="I81" s="363">
        <f t="shared" si="3"/>
        <v>2518.953125</v>
      </c>
      <c r="J81" s="364">
        <f>J74+J78</f>
        <v>220</v>
      </c>
      <c r="K81" s="362">
        <f>K74+K78+K80+K79</f>
        <v>16606302</v>
      </c>
      <c r="L81" s="2136">
        <f>L74+L78+L80+L79</f>
        <v>16026286</v>
      </c>
      <c r="M81" s="2136">
        <f>M74+M78+M80+M79+IF(Page5j_SANS_OBJECT!N27+Page5j_SANS_OBJECT!N48+Page5j_SANS_OBJECT!N49+Page5j_SANS_OBJECT!N50=0,Page5j_SANS_OBJECT!N51,0)</f>
        <v>580016</v>
      </c>
      <c r="N81" s="363">
        <f t="shared" si="4"/>
        <v>2636.4363636363637</v>
      </c>
      <c r="O81" s="904"/>
      <c r="P81" s="80">
        <v>78</v>
      </c>
      <c r="Q81" s="576"/>
    </row>
    <row r="82" spans="1:17">
      <c r="A82" s="80">
        <v>79</v>
      </c>
      <c r="B82" s="360"/>
      <c r="C82" s="263" t="s">
        <v>909</v>
      </c>
      <c r="D82" s="2290"/>
      <c r="E82" s="366">
        <f>E71+E75+E72+E76</f>
        <v>54</v>
      </c>
      <c r="F82" s="367">
        <f>F71+F75+F72+F76</f>
        <v>3817319</v>
      </c>
      <c r="G82" s="367">
        <f>G71+G75+G72+G76</f>
        <v>3664255</v>
      </c>
      <c r="H82" s="367">
        <f>H71+H75+H72+H76</f>
        <v>153064</v>
      </c>
      <c r="I82" s="368">
        <f t="shared" si="3"/>
        <v>2834.5185185185187</v>
      </c>
      <c r="J82" s="369">
        <f>J71+J75+J72+J76</f>
        <v>186</v>
      </c>
      <c r="K82" s="370">
        <f>K71+K75+K72+K76</f>
        <v>14279839</v>
      </c>
      <c r="L82" s="2138">
        <f>L71+L75+L72+L76</f>
        <v>13715976</v>
      </c>
      <c r="M82" s="2138">
        <f>M71+M75+M72+M76</f>
        <v>563863</v>
      </c>
      <c r="N82" s="371">
        <f t="shared" si="4"/>
        <v>3031.5215053763441</v>
      </c>
      <c r="O82" s="905"/>
      <c r="P82" s="80">
        <v>79</v>
      </c>
      <c r="Q82" s="576"/>
    </row>
    <row r="83" spans="1:17" hidden="1">
      <c r="H83" s="37"/>
    </row>
    <row r="84" spans="1:17" hidden="1">
      <c r="A84" s="576"/>
      <c r="B84" s="576"/>
      <c r="N84" s="37"/>
    </row>
    <row r="85" spans="1:17" hidden="1">
      <c r="D85" s="2291"/>
      <c r="E85" s="576"/>
      <c r="F85" s="637" t="s">
        <v>910</v>
      </c>
      <c r="G85" s="637"/>
      <c r="H85" s="637"/>
      <c r="I85" s="611"/>
      <c r="K85" s="824" t="s">
        <v>911</v>
      </c>
      <c r="L85" s="824"/>
      <c r="M85" s="824"/>
      <c r="N85" s="824"/>
    </row>
    <row r="86" spans="1:17" hidden="1">
      <c r="A86" s="576" t="s">
        <v>912</v>
      </c>
      <c r="B86" s="576"/>
      <c r="C86" s="576"/>
      <c r="D86" s="2291"/>
      <c r="E86" s="576"/>
      <c r="F86" s="8"/>
      <c r="G86" s="8"/>
      <c r="H86" s="9">
        <f>Page1!I68</f>
        <v>30252650</v>
      </c>
      <c r="I86" s="611"/>
      <c r="K86" s="30" t="s">
        <v>913</v>
      </c>
      <c r="N86" s="37">
        <f>(Page2!J63/Page1!G91*12)</f>
        <v>1410900</v>
      </c>
    </row>
    <row r="87" spans="1:17" hidden="1">
      <c r="A87" s="576" t="s">
        <v>914</v>
      </c>
      <c r="B87" s="576"/>
      <c r="C87" s="576"/>
      <c r="D87" s="2291"/>
      <c r="E87" s="576"/>
      <c r="F87" s="8"/>
      <c r="G87" s="8"/>
      <c r="H87" s="9">
        <f>I43</f>
        <v>0</v>
      </c>
    </row>
    <row r="88" spans="1:17" hidden="1">
      <c r="A88" s="576" t="s">
        <v>915</v>
      </c>
      <c r="B88" s="576"/>
      <c r="C88" s="576"/>
      <c r="D88" s="2291"/>
      <c r="E88" s="576"/>
      <c r="F88" s="8"/>
      <c r="G88" s="8"/>
      <c r="H88" s="9">
        <f>H86+H87</f>
        <v>30252650</v>
      </c>
    </row>
    <row r="89" spans="1:17" hidden="1">
      <c r="A89" s="576" t="s">
        <v>916</v>
      </c>
      <c r="B89" s="576"/>
      <c r="C89" s="576"/>
      <c r="D89" s="2291"/>
      <c r="E89" s="576"/>
      <c r="F89" s="8"/>
      <c r="G89" s="8"/>
      <c r="H89" s="8"/>
      <c r="K89" s="30" t="s">
        <v>917</v>
      </c>
      <c r="M89" s="37">
        <f>Page1!R67</f>
        <v>4810116</v>
      </c>
    </row>
    <row r="90" spans="1:17" hidden="1">
      <c r="F90" s="1117"/>
      <c r="K90" s="30" t="s">
        <v>918</v>
      </c>
      <c r="M90" s="37">
        <f>Page1!I38*-1</f>
        <v>0</v>
      </c>
    </row>
    <row r="91" spans="1:17" hidden="1">
      <c r="A91" s="576"/>
      <c r="B91" s="576" t="s">
        <v>919</v>
      </c>
      <c r="C91" s="576"/>
      <c r="D91" s="2291"/>
      <c r="E91" s="576"/>
      <c r="F91" s="1117">
        <f>Page1!I24</f>
        <v>101989</v>
      </c>
      <c r="G91" s="10"/>
      <c r="H91" s="8"/>
      <c r="K91" s="30" t="s">
        <v>920</v>
      </c>
      <c r="M91" s="37">
        <f>Page1!R66</f>
        <v>470300</v>
      </c>
    </row>
    <row r="92" spans="1:17" hidden="1">
      <c r="A92" s="576"/>
      <c r="B92" s="576" t="s">
        <v>921</v>
      </c>
      <c r="C92" s="576"/>
      <c r="D92" s="2291"/>
      <c r="E92" s="576"/>
      <c r="F92" s="1117">
        <f>Page1!I25+Page1!I26</f>
        <v>10026181</v>
      </c>
      <c r="G92" s="10"/>
      <c r="H92" s="8"/>
      <c r="K92" s="30" t="s">
        <v>922</v>
      </c>
      <c r="N92" s="825">
        <f>SUM(M89:M90)-M91</f>
        <v>4339816</v>
      </c>
    </row>
    <row r="93" spans="1:17" hidden="1">
      <c r="A93" s="576"/>
      <c r="B93" s="576" t="s">
        <v>923</v>
      </c>
      <c r="C93" s="576"/>
      <c r="D93" s="2291"/>
      <c r="E93" s="576"/>
      <c r="F93" s="10">
        <f>Page1!I50</f>
        <v>0</v>
      </c>
      <c r="G93" s="10"/>
      <c r="H93" s="8"/>
    </row>
    <row r="94" spans="1:17" hidden="1">
      <c r="A94" s="576"/>
      <c r="B94" s="576" t="s">
        <v>924</v>
      </c>
      <c r="C94" s="576"/>
      <c r="D94" s="2291"/>
      <c r="E94" s="576"/>
      <c r="F94" s="10">
        <f>Page1!I51</f>
        <v>176437</v>
      </c>
      <c r="G94" s="10"/>
      <c r="H94" s="9">
        <f>SUM(F90:F94)*-1</f>
        <v>-10304607</v>
      </c>
      <c r="K94" s="30" t="s">
        <v>911</v>
      </c>
      <c r="N94" s="826">
        <f>IF(N92&lt;0,0,N86/N92)</f>
        <v>0.325105949192316</v>
      </c>
    </row>
    <row r="95" spans="1:17" hidden="1">
      <c r="A95" s="576" t="s">
        <v>925</v>
      </c>
      <c r="B95" s="576"/>
      <c r="C95" s="576"/>
      <c r="D95" s="2291"/>
      <c r="E95" s="576"/>
      <c r="F95" s="8"/>
      <c r="G95" s="8"/>
      <c r="H95" s="8"/>
    </row>
    <row r="96" spans="1:17" hidden="1">
      <c r="A96" s="576"/>
      <c r="B96" s="576" t="s">
        <v>926</v>
      </c>
      <c r="C96" s="576"/>
      <c r="D96" s="2291"/>
      <c r="E96" s="576"/>
      <c r="F96" s="2254">
        <f>IF(ISERROR(Page1!L76)=TRUE,0,(L71+L72)/Page1!G91*2)</f>
        <v>17500</v>
      </c>
      <c r="G96" s="10"/>
      <c r="H96" s="8"/>
    </row>
    <row r="97" spans="1:14" hidden="1">
      <c r="A97" s="576"/>
      <c r="B97" s="576" t="s">
        <v>927</v>
      </c>
      <c r="C97" s="576"/>
      <c r="D97" s="2291"/>
      <c r="E97" s="576"/>
      <c r="F97" s="2254">
        <f>IF(ISERROR(Page1!L76)=TRUE,0,(L75+L76)/Page1!G91*2)</f>
        <v>6840488</v>
      </c>
      <c r="G97" s="10"/>
      <c r="H97" s="8"/>
    </row>
    <row r="98" spans="1:14" hidden="1">
      <c r="A98" s="576"/>
      <c r="B98" s="576" t="s">
        <v>928</v>
      </c>
      <c r="C98" s="576"/>
      <c r="D98" s="2291"/>
      <c r="E98" s="576"/>
      <c r="F98" s="10">
        <f>IFERROR(ABS(PV(0.1075,15,Page2!J52*(12/Page1!G91),,)),0)</f>
        <v>6565879.4700707272</v>
      </c>
      <c r="G98" s="10"/>
      <c r="H98" s="11">
        <f>SUM(F96:F98)</f>
        <v>13423867.470070727</v>
      </c>
    </row>
    <row r="99" spans="1:14" hidden="1">
      <c r="A99" s="576"/>
      <c r="B99" s="576"/>
      <c r="C99" s="576"/>
      <c r="D99" s="2291"/>
      <c r="E99" s="576"/>
      <c r="F99" s="8"/>
      <c r="G99" s="8"/>
      <c r="H99" s="8"/>
    </row>
    <row r="100" spans="1:14" hidden="1">
      <c r="A100" s="576" t="s">
        <v>929</v>
      </c>
      <c r="B100" s="576"/>
      <c r="C100" s="576"/>
      <c r="D100" s="2291"/>
      <c r="E100" s="576"/>
      <c r="F100" s="8"/>
      <c r="G100" s="8"/>
      <c r="H100" s="9">
        <f>H88+H94+H98</f>
        <v>33371910.470070727</v>
      </c>
    </row>
    <row r="101" spans="1:14" hidden="1">
      <c r="A101" s="576"/>
      <c r="B101" s="576"/>
      <c r="C101" s="576"/>
      <c r="D101" s="2291"/>
      <c r="E101" s="576"/>
      <c r="F101" s="8"/>
      <c r="G101" s="8"/>
      <c r="H101" s="8"/>
    </row>
    <row r="102" spans="1:14" hidden="1">
      <c r="A102" s="576" t="s">
        <v>930</v>
      </c>
      <c r="B102" s="576"/>
      <c r="C102" s="576"/>
      <c r="D102" s="2291"/>
      <c r="E102" s="576"/>
      <c r="F102" s="9">
        <f>Page2!J5</f>
        <v>2088131</v>
      </c>
      <c r="G102" s="9"/>
      <c r="H102" s="8"/>
    </row>
    <row r="103" spans="1:14" hidden="1">
      <c r="A103" s="576" t="s">
        <v>931</v>
      </c>
      <c r="B103" s="576"/>
      <c r="C103" s="576"/>
      <c r="D103" s="2291"/>
      <c r="E103" s="576"/>
      <c r="F103" s="8"/>
      <c r="G103" s="8"/>
      <c r="H103" s="8"/>
    </row>
    <row r="104" spans="1:14" hidden="1">
      <c r="A104" s="576"/>
      <c r="B104" s="576" t="s">
        <v>932</v>
      </c>
      <c r="C104" s="576"/>
      <c r="D104" s="2291"/>
      <c r="E104" s="576"/>
      <c r="F104" s="9">
        <f>Page2!J60</f>
        <v>1902519</v>
      </c>
      <c r="G104" s="9"/>
      <c r="H104" s="8"/>
    </row>
    <row r="105" spans="1:14" hidden="1">
      <c r="A105" s="576" t="s">
        <v>925</v>
      </c>
      <c r="B105" s="576"/>
      <c r="C105" s="576"/>
      <c r="D105" s="2291"/>
      <c r="E105" s="598"/>
      <c r="F105" s="8"/>
      <c r="G105" s="8"/>
      <c r="H105" s="8"/>
    </row>
    <row r="106" spans="1:14" hidden="1">
      <c r="A106" s="576"/>
      <c r="B106" s="576" t="s">
        <v>933</v>
      </c>
      <c r="C106" s="576"/>
      <c r="D106" s="2291"/>
      <c r="E106" s="9">
        <f>Page2!J36+Page2!J37+Page2!J38</f>
        <v>154813</v>
      </c>
      <c r="F106" s="8"/>
      <c r="G106" s="8"/>
      <c r="H106" s="8"/>
    </row>
    <row r="107" spans="1:14" hidden="1">
      <c r="A107" s="576"/>
      <c r="B107" s="576" t="s">
        <v>934</v>
      </c>
      <c r="C107" s="576"/>
      <c r="D107" s="2291"/>
      <c r="E107" s="9">
        <f>Page2!J50</f>
        <v>0</v>
      </c>
      <c r="F107" s="654"/>
      <c r="G107" s="9"/>
      <c r="H107" s="8"/>
    </row>
    <row r="108" spans="1:14" s="654" customFormat="1" hidden="1">
      <c r="A108" s="677"/>
      <c r="B108" s="677" t="s">
        <v>935</v>
      </c>
      <c r="C108" s="677"/>
      <c r="D108" s="2292"/>
      <c r="E108" s="2176">
        <f>Page3!F69</f>
        <v>228767</v>
      </c>
      <c r="F108" s="2176">
        <f>SUM(E106:E108)</f>
        <v>383580</v>
      </c>
      <c r="G108" s="2176"/>
      <c r="H108" s="76"/>
    </row>
    <row r="109" spans="1:14" hidden="1">
      <c r="A109" s="576" t="s">
        <v>936</v>
      </c>
      <c r="B109" s="576"/>
      <c r="C109" s="576"/>
      <c r="D109" s="2291"/>
      <c r="E109" s="576"/>
      <c r="F109" s="8"/>
      <c r="G109" s="8"/>
      <c r="H109" s="9">
        <f>(F102-F104+F108)</f>
        <v>569192</v>
      </c>
    </row>
    <row r="110" spans="1:14" hidden="1">
      <c r="A110" s="576" t="s">
        <v>937</v>
      </c>
      <c r="B110" s="576"/>
      <c r="C110" s="576"/>
      <c r="D110" s="2291"/>
      <c r="E110" s="576"/>
      <c r="F110" s="8"/>
      <c r="G110" s="8"/>
      <c r="H110" s="10">
        <f>IF(ISERROR(Page1!L76)=TRUE,0,H109/Page1!G91*12)</f>
        <v>1707576</v>
      </c>
      <c r="M110" s="37"/>
      <c r="N110" s="37"/>
    </row>
    <row r="111" spans="1:14" hidden="1">
      <c r="A111" s="576" t="s">
        <v>938</v>
      </c>
      <c r="B111" s="576"/>
      <c r="C111" s="576"/>
      <c r="D111" s="2291"/>
      <c r="E111" s="576"/>
      <c r="F111" s="8"/>
      <c r="G111" s="8"/>
      <c r="H111" s="12">
        <f>IF(H100&gt;0,H110/H100,0)</f>
        <v>5.1168062479713977E-2</v>
      </c>
      <c r="M111" s="37"/>
      <c r="N111" s="37"/>
    </row>
    <row r="112" spans="1:14" hidden="1">
      <c r="M112" s="37"/>
      <c r="N112" s="37"/>
    </row>
    <row r="113" spans="2:14" hidden="1">
      <c r="B113" s="30" t="s">
        <v>939</v>
      </c>
      <c r="M113" s="37"/>
      <c r="N113" s="37"/>
    </row>
    <row r="114" spans="2:14" hidden="1">
      <c r="M114" s="37"/>
      <c r="N114" s="37"/>
    </row>
    <row r="115" spans="2:14" hidden="1">
      <c r="M115" s="37"/>
      <c r="N115" s="37"/>
    </row>
    <row r="116" spans="2:14" hidden="1">
      <c r="M116" s="37"/>
      <c r="N116" s="37"/>
    </row>
    <row r="117" spans="2:14" hidden="1">
      <c r="M117" s="37"/>
      <c r="N117" s="37"/>
    </row>
    <row r="118" spans="2:14" hidden="1">
      <c r="M118" s="37"/>
      <c r="N118" s="37"/>
    </row>
    <row r="119" spans="2:14" hidden="1">
      <c r="M119" s="37"/>
      <c r="N119" s="37"/>
    </row>
    <row r="120" spans="2:14" hidden="1">
      <c r="E120" s="638" t="str">
        <f>E46</f>
        <v>NEUFS</v>
      </c>
      <c r="F120" s="638" t="str">
        <f t="shared" ref="F120:M120" si="5">F46</f>
        <v>D'OCCASION</v>
      </c>
      <c r="G120" s="638"/>
      <c r="H120" s="638" t="str">
        <f t="shared" si="5"/>
        <v>L C&amp;L T</v>
      </c>
      <c r="I120" s="638" t="str">
        <f t="shared" si="5"/>
        <v>F&amp;A</v>
      </c>
      <c r="J120" s="638" t="str">
        <f t="shared" si="5"/>
        <v>MÉCANIQUE</v>
      </c>
      <c r="K120" s="638" t="str">
        <f t="shared" si="5"/>
        <v>CARROSSERIE</v>
      </c>
      <c r="L120" s="638"/>
      <c r="M120" s="638" t="str">
        <f t="shared" si="5"/>
        <v>PIÈCES</v>
      </c>
    </row>
    <row r="121" spans="2:14" hidden="1">
      <c r="C121" s="30" t="s">
        <v>940</v>
      </c>
      <c r="E121" s="33">
        <f>Page3!F4</f>
        <v>16606302</v>
      </c>
      <c r="F121" s="33">
        <f>Page3!J4</f>
        <v>16558650</v>
      </c>
      <c r="G121" s="33"/>
      <c r="H121" s="33">
        <f>Page3!N4</f>
        <v>0</v>
      </c>
      <c r="I121" s="33">
        <f>Page3!Q4</f>
        <v>170336</v>
      </c>
      <c r="J121" s="33">
        <f>Page4!F4</f>
        <v>483083</v>
      </c>
      <c r="K121" s="33">
        <f>Page4!J4</f>
        <v>453258</v>
      </c>
      <c r="L121" s="33"/>
      <c r="M121" s="33">
        <f>Page4!N4</f>
        <v>657456</v>
      </c>
      <c r="N121" s="37"/>
    </row>
    <row r="125" spans="2:14" hidden="1">
      <c r="C125" s="30" t="s">
        <v>171</v>
      </c>
      <c r="D125" s="1239" t="s">
        <v>88</v>
      </c>
      <c r="E125" s="30" t="s">
        <v>172</v>
      </c>
    </row>
    <row r="126" spans="2:14" hidden="1">
      <c r="C126" s="30" t="s">
        <v>173</v>
      </c>
      <c r="D126" s="1239" t="s">
        <v>88</v>
      </c>
      <c r="E126" s="30" t="s">
        <v>174</v>
      </c>
    </row>
  </sheetData>
  <sheetProtection algorithmName="SHA-512" hashValue="EiIirAkXHClzyWmyCkzz9SCVyCspgjT26E2ACYgzfkag/FJ0pnGvpMaN9sIej0WkRPwhu9VLwEVvmIOLHxOpog==" saltValue="+VjuQk1nF/31IxEm5Ayk6g==" spinCount="100000" sheet="1" objects="1" scenarios="1"/>
  <customSheetViews>
    <customSheetView guid="{42A0DCD3-5C27-4BB4-A491-D2E7F84D8A17}" scale="80" showGridLines="0" fitToPage="1" printArea="1" hiddenRows="1" hiddenColumns="1" showRuler="0">
      <selection activeCell="E13" sqref="E13"/>
      <pageMargins left="0" right="0" top="0" bottom="0" header="0" footer="0"/>
      <printOptions horizontalCentered="1"/>
      <pageSetup scale="65" orientation="portrait" r:id="rId1"/>
      <headerFooter alignWithMargins="0"/>
    </customSheetView>
    <customSheetView guid="{EB281BD4-ABCF-428C-A6C2-8158A21EF819}" showGridLines="0" fitToPage="1" printArea="1" showRuler="0" topLeftCell="A64">
      <selection activeCell="D77" sqref="A77:IV103"/>
      <pageMargins left="0" right="0" top="0" bottom="0" header="0" footer="0"/>
      <printOptions horizontalCentered="1"/>
      <pageSetup scale="63" orientation="portrait" r:id="rId2"/>
      <headerFooter alignWithMargins="0"/>
    </customSheetView>
    <customSheetView guid="{FA29746F-8847-4779-9FAE-66945DB06B8D}" showGridLines="0" fitToPage="1" hiddenRows="1" hiddenColumns="1" showRuler="0">
      <selection activeCell="F4" sqref="F4"/>
      <pageMargins left="0" right="0" top="0" bottom="0" header="0" footer="0"/>
      <printOptions horizontalCentered="1"/>
      <pageSetup scale="63" orientation="portrait"/>
      <headerFooter alignWithMargins="0"/>
    </customSheetView>
  </customSheetViews>
  <mergeCells count="8">
    <mergeCell ref="E35:F35"/>
    <mergeCell ref="I43:J43"/>
    <mergeCell ref="N68:O68"/>
    <mergeCell ref="B14:B22"/>
    <mergeCell ref="K58:K64"/>
    <mergeCell ref="B41:C41"/>
    <mergeCell ref="B44:D44"/>
    <mergeCell ref="I44:K44"/>
  </mergeCells>
  <phoneticPr fontId="7" type="noConversion"/>
  <dataValidations count="2">
    <dataValidation type="decimal" operator="greaterThanOrEqual" allowBlank="1" showInputMessage="1" showErrorMessage="1" errorTitle="Erreur d'Entrée!" error="Seulement des valeurs numériques peuvent être enregistrées dans ce champ!_x000a_" sqref="O54:O56 E47:F50 I48:K48 J47:K47 H47:H50 E52:F53 E55:F56 H52:K53 H55:K56 J49:K51 M52:M53 M55:N56 M47:M50 N47:N53" xr:uid="{00000000-0002-0000-1100-000000000000}">
      <formula1>0</formula1>
    </dataValidation>
    <dataValidation type="whole" allowBlank="1" showInputMessage="1" showErrorMessage="1" errorTitle="Erreur d'Entrée!" error="Seulement des valeurs numériques peuvent être enregistrées dans ce champ!_x000a_" sqref="E4:F5 J4:K5 M68:N68 E14:F15 G6:G12 J14:K15 L16 L21:M22 E24 H24 J24 M24 J19:J20 F34 E37:F38 H37:I38 K40:K42 F40:F42 F44 N44 I59:I61 I63:I64 I66:I68 M59:O61 M63:O64 E19:E20 L6:L12 G16:G22 J9:J10 E9:E10 F7:F10 E7 F17:F20 E17 K7:K10 J7 K17:L20 J17 E28:F33" xr:uid="{00000000-0002-0000-1100-000001000000}">
      <formula1>-999999999999</formula1>
      <formula2>9999999999999</formula2>
    </dataValidation>
  </dataValidations>
  <hyperlinks>
    <hyperlink ref="C4" r:id="rId3" tooltip="Lien au Manuel des méthodes comptables GM" xr:uid="{00000000-0004-0000-1100-000000000000}"/>
    <hyperlink ref="C5" r:id="rId4" tooltip="Lien au Manuel des méthodes comptables GM" xr:uid="{00000000-0004-0000-1100-000001000000}"/>
    <hyperlink ref="C6" r:id="rId5" tooltip="Lien au Manuel des méthodes comptables GM" xr:uid="{00000000-0004-0000-1100-000002000000}"/>
    <hyperlink ref="C7" r:id="rId6" tooltip="Lien au Manuel des méthodes comptables GM" xr:uid="{00000000-0004-0000-1100-000003000000}"/>
    <hyperlink ref="C8" r:id="rId7" tooltip="Lien au Manuel des méthodes comptables GM" xr:uid="{00000000-0004-0000-1100-000004000000}"/>
    <hyperlink ref="C9" r:id="rId8" tooltip="Lien au Manuel des méthodes comptables GM" xr:uid="{00000000-0004-0000-1100-000005000000}"/>
    <hyperlink ref="C10" r:id="rId9" tooltip="Lien au Manuel des méthodes comptables GM" xr:uid="{00000000-0004-0000-1100-000006000000}"/>
    <hyperlink ref="C11" r:id="rId10" tooltip="Lien au Manuel des méthodes comptables GM" xr:uid="{00000000-0004-0000-1100-000007000000}"/>
    <hyperlink ref="C12" r:id="rId11" tooltip="Lien au Manuel des méthodes comptables GM" xr:uid="{00000000-0004-0000-1100-000008000000}"/>
    <hyperlink ref="C14" r:id="rId12" tooltip="Lien au Manuel des méthodes comptables GM" xr:uid="{00000000-0004-0000-1100-000009000000}"/>
    <hyperlink ref="C15" r:id="rId13" tooltip="Lien au Manuel des méthodes comptables GM" xr:uid="{00000000-0004-0000-1100-00000A000000}"/>
    <hyperlink ref="C16" r:id="rId14" tooltip="Lien au Manuel des méthodes comptables GM" xr:uid="{00000000-0004-0000-1100-00000B000000}"/>
    <hyperlink ref="C17" r:id="rId15" tooltip="Lien au Manuel des méthodes comptables GM" xr:uid="{00000000-0004-0000-1100-00000C000000}"/>
    <hyperlink ref="C18" r:id="rId16" tooltip="Lien au Manuel des méthodes comptables GM" xr:uid="{00000000-0004-0000-1100-00000D000000}"/>
    <hyperlink ref="C19" r:id="rId17" tooltip="Lien au Manuel des méthodes comptables GM" xr:uid="{00000000-0004-0000-1100-00000E000000}"/>
    <hyperlink ref="C20" r:id="rId18" tooltip="Lien au Manuel des méthodes comptables GM" xr:uid="{00000000-0004-0000-1100-00000F000000}"/>
    <hyperlink ref="C21" r:id="rId19" tooltip="Lien au Manuel des méthodes comptables GM" xr:uid="{00000000-0004-0000-1100-000010000000}"/>
    <hyperlink ref="C22" r:id="rId20" tooltip="Lien au Manuel des méthodes comptables GM" xr:uid="{00000000-0004-0000-1100-000011000000}"/>
    <hyperlink ref="C28" r:id="rId21" tooltip="Lien au Manuel des méthodes comptables GM" xr:uid="{00000000-0004-0000-1100-000012000000}"/>
    <hyperlink ref="C29" r:id="rId22" tooltip="Lien au Manuel des méthodes comptables GM" xr:uid="{00000000-0004-0000-1100-000013000000}"/>
    <hyperlink ref="C31" r:id="rId23" tooltip="Lien au Manuel des méthodes comptables GM" xr:uid="{00000000-0004-0000-1100-000014000000}"/>
    <hyperlink ref="C33" r:id="rId24" tooltip="Lien au Manuel des méthodes comptables GM" xr:uid="{00000000-0004-0000-1100-000015000000}"/>
    <hyperlink ref="C34" r:id="rId25" tooltip="Lien au Manuel des méthodes comptables GM" xr:uid="{00000000-0004-0000-1100-000016000000}"/>
    <hyperlink ref="C37" r:id="rId26" tooltip="Lien au Manuel des méthodes comptables GM" xr:uid="{00000000-0004-0000-1100-000017000000}"/>
    <hyperlink ref="C38" r:id="rId27" tooltip="Lien au Manuel des méthodes comptables GM" xr:uid="{00000000-0004-0000-1100-000018000000}"/>
    <hyperlink ref="B40" r:id="rId28" tooltip="Lien au Manuel des méthodes comptables GM" xr:uid="{00000000-0004-0000-1100-000019000000}"/>
    <hyperlink ref="B41" r:id="rId29" tooltip="Lien au Manuel des méthodes comptables GM" xr:uid="{00000000-0004-0000-1100-00001A000000}"/>
    <hyperlink ref="B44" r:id="rId30" tooltip="Lien au Manuel des méthodes comptables GM" xr:uid="{00000000-0004-0000-1100-00001B000000}"/>
    <hyperlink ref="I44" r:id="rId31" tooltip="Lien au Manuel des méthodes comptables GM" xr:uid="{00000000-0004-0000-1100-00001C000000}"/>
    <hyperlink ref="E59" r:id="rId32" tooltip="Lien au Manuel des méthodes comptables GM" xr:uid="{00000000-0004-0000-1100-00001D000000}"/>
    <hyperlink ref="E60" r:id="rId33" tooltip="Lien au Manuel des méthodes comptables GM" xr:uid="{00000000-0004-0000-1100-00001E000000}"/>
    <hyperlink ref="E61" r:id="rId34" tooltip="Lien au Manuel des méthodes comptables GM" xr:uid="{00000000-0004-0000-1100-00001F000000}"/>
    <hyperlink ref="E62" r:id="rId35" tooltip="Lien au Manuel des méthodes comptables GM" xr:uid="{00000000-0004-0000-1100-000020000000}"/>
    <hyperlink ref="E63" r:id="rId36" tooltip="Lien au Manuel des méthodes comptables GM" xr:uid="{00000000-0004-0000-1100-000021000000}"/>
    <hyperlink ref="E64" r:id="rId37" tooltip="Lien au Manuel des méthodes comptables GM" xr:uid="{00000000-0004-0000-1100-000022000000}"/>
    <hyperlink ref="E66" r:id="rId38" tooltip="Lien au Manuel des méthodes comptables GM" xr:uid="{00000000-0004-0000-1100-000023000000}"/>
    <hyperlink ref="E67" r:id="rId39" tooltip="Lien au Manuel des méthodes comptables GM" xr:uid="{00000000-0004-0000-1100-000024000000}"/>
    <hyperlink ref="K68" r:id="rId40" tooltip="Lien au Manuel des méthodes comptables GM" xr:uid="{00000000-0004-0000-1100-000025000000}"/>
    <hyperlink ref="C79" r:id="rId41" tooltip="Lien au Manuel des méthodes comptables GM" xr:uid="{00000000-0004-0000-1100-000026000000}"/>
  </hyperlinks>
  <printOptions horizontalCentered="1"/>
  <pageMargins left="0" right="0" top="0" bottom="0" header="0" footer="0"/>
  <pageSetup scale="67" orientation="portrait" r:id="rId42"/>
  <headerFooter alignWithMargins="0"/>
  <drawing r:id="rId43"/>
  <legacyDrawing r:id="rId44"/>
  <controls>
    <mc:AlternateContent xmlns:mc="http://schemas.openxmlformats.org/markup-compatibility/2006">
      <mc:Choice Requires="x14">
        <control shapeId="6209" r:id="rId45" name="CommandButton7">
          <controlPr defaultSize="0" print="0" autoFill="0" autoLine="0" r:id="rId46">
            <anchor moveWithCells="1">
              <from>
                <xdr:col>10</xdr:col>
                <xdr:colOff>793750</xdr:colOff>
                <xdr:row>0</xdr:row>
                <xdr:rowOff>0</xdr:rowOff>
              </from>
              <to>
                <xdr:col>12</xdr:col>
                <xdr:colOff>596900</xdr:colOff>
                <xdr:row>0</xdr:row>
                <xdr:rowOff>234950</xdr:rowOff>
              </to>
            </anchor>
          </controlPr>
        </control>
      </mc:Choice>
      <mc:Fallback>
        <control shapeId="6209" r:id="rId45" name="CommandButton7"/>
      </mc:Fallback>
    </mc:AlternateContent>
  </control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pageSetUpPr autoPageBreaks="0" fitToPage="1"/>
  </sheetPr>
  <dimension ref="A1:AB67"/>
  <sheetViews>
    <sheetView showGridLines="0" showRowColHeaders="0" workbookViewId="0"/>
  </sheetViews>
  <sheetFormatPr baseColWidth="10" defaultColWidth="0" defaultRowHeight="12.5" zeroHeight="1"/>
  <cols>
    <col min="1" max="1" width="4" style="575" bestFit="1" customWidth="1"/>
    <col min="2" max="3" width="2.81640625" style="575" customWidth="1"/>
    <col min="4" max="4" width="17.1796875" style="17" customWidth="1"/>
    <col min="5" max="5" width="12.81640625" style="17" customWidth="1"/>
    <col min="6" max="6" width="7.54296875" style="17" customWidth="1"/>
    <col min="7" max="7" width="6.1796875" style="17" customWidth="1"/>
    <col min="8" max="8" width="14.453125" style="17" customWidth="1"/>
    <col min="9" max="9" width="5.453125" style="17" customWidth="1"/>
    <col min="10" max="10" width="14.453125" style="17" customWidth="1"/>
    <col min="11" max="11" width="5.1796875" style="17" customWidth="1"/>
    <col min="12" max="12" width="8.81640625" style="17" customWidth="1"/>
    <col min="13" max="15" width="10.81640625" style="17" customWidth="1"/>
    <col min="16" max="16" width="11.1796875" style="17" customWidth="1"/>
    <col min="17" max="17" width="10.81640625" style="17" customWidth="1"/>
    <col min="18" max="18" width="11.1796875" style="17" customWidth="1"/>
    <col min="19" max="19" width="4.1796875" style="17" customWidth="1"/>
    <col min="20" max="20" width="0" style="17" hidden="1" customWidth="1"/>
    <col min="21" max="16384" width="0" style="17" hidden="1"/>
  </cols>
  <sheetData>
    <row r="1" spans="1:19" ht="20.149999999999999" customHeight="1">
      <c r="A1" s="373"/>
      <c r="B1" s="1272" t="s">
        <v>941</v>
      </c>
      <c r="C1" s="374"/>
      <c r="D1" s="375"/>
      <c r="E1" s="375"/>
      <c r="F1" s="375"/>
      <c r="G1" s="375"/>
      <c r="H1" s="375"/>
      <c r="I1" s="375"/>
      <c r="J1" s="375"/>
      <c r="K1" s="375"/>
      <c r="L1" s="375"/>
      <c r="M1" s="375"/>
      <c r="N1" s="376"/>
      <c r="O1" s="375"/>
      <c r="P1" s="375"/>
      <c r="Q1" s="375"/>
      <c r="R1" s="377"/>
      <c r="S1" s="62" t="str">
        <f>TBIn!$E$2458&amp;" - "&amp;TBIn!$AH$10&amp;" - PAGE 8"</f>
        <v>319719 - 202504 - PAGE 8</v>
      </c>
    </row>
    <row r="2" spans="1:19" ht="16" customHeight="1">
      <c r="A2" s="67" t="s">
        <v>1</v>
      </c>
      <c r="B2" s="1273" t="s">
        <v>941</v>
      </c>
      <c r="C2" s="378"/>
      <c r="D2" s="379"/>
      <c r="E2" s="379"/>
      <c r="F2" s="379"/>
      <c r="G2" s="379"/>
      <c r="H2" s="1274" t="s">
        <v>166</v>
      </c>
      <c r="I2" s="380"/>
      <c r="J2" s="380"/>
      <c r="K2" s="380"/>
      <c r="L2" s="380"/>
      <c r="M2" s="1274" t="s">
        <v>942</v>
      </c>
      <c r="N2" s="1276"/>
      <c r="O2" s="1274" t="s">
        <v>943</v>
      </c>
      <c r="P2" s="1276"/>
      <c r="Q2" s="1274" t="s">
        <v>944</v>
      </c>
      <c r="R2" s="1277"/>
      <c r="S2" s="67" t="s">
        <v>1</v>
      </c>
    </row>
    <row r="3" spans="1:19" ht="16" customHeight="1">
      <c r="A3" s="71" t="s">
        <v>6</v>
      </c>
      <c r="B3" s="381" t="s">
        <v>945</v>
      </c>
      <c r="C3" s="382"/>
      <c r="D3" s="383"/>
      <c r="E3" s="383"/>
      <c r="F3" s="383"/>
      <c r="G3" s="383"/>
      <c r="H3" s="1275" t="s">
        <v>946</v>
      </c>
      <c r="I3" s="384"/>
      <c r="J3" s="384"/>
      <c r="K3" s="384"/>
      <c r="L3" s="384"/>
      <c r="M3" s="1275" t="s">
        <v>947</v>
      </c>
      <c r="N3" s="1278"/>
      <c r="O3" s="1275" t="s">
        <v>948</v>
      </c>
      <c r="P3" s="1278"/>
      <c r="Q3" s="1275" t="s">
        <v>949</v>
      </c>
      <c r="R3" s="1279"/>
      <c r="S3" s="71" t="s">
        <v>6</v>
      </c>
    </row>
    <row r="4" spans="1:19" ht="30.5">
      <c r="A4" s="74">
        <v>1</v>
      </c>
      <c r="B4" s="385"/>
      <c r="C4" s="1280"/>
      <c r="D4" s="404" t="s">
        <v>950</v>
      </c>
      <c r="E4" s="1285"/>
      <c r="F4" s="1286"/>
      <c r="G4" s="1281" t="s">
        <v>951</v>
      </c>
      <c r="H4" s="386" t="s">
        <v>7</v>
      </c>
      <c r="I4" s="387"/>
      <c r="J4" s="388" t="s">
        <v>8</v>
      </c>
      <c r="K4" s="389"/>
      <c r="L4" s="1315" t="s">
        <v>952</v>
      </c>
      <c r="M4" s="390" t="s">
        <v>7</v>
      </c>
      <c r="N4" s="388" t="s">
        <v>8</v>
      </c>
      <c r="O4" s="390" t="s">
        <v>7</v>
      </c>
      <c r="P4" s="388" t="s">
        <v>8</v>
      </c>
      <c r="Q4" s="390" t="s">
        <v>7</v>
      </c>
      <c r="R4" s="388" t="s">
        <v>8</v>
      </c>
      <c r="S4" s="74">
        <v>1</v>
      </c>
    </row>
    <row r="5" spans="1:19" ht="17.149999999999999" customHeight="1">
      <c r="A5" s="80">
        <v>2</v>
      </c>
      <c r="B5" s="1282" t="s">
        <v>953</v>
      </c>
      <c r="C5" s="1283" t="s">
        <v>120</v>
      </c>
      <c r="D5" s="1542" t="s">
        <v>954</v>
      </c>
      <c r="E5" s="1541"/>
      <c r="F5" s="1541"/>
      <c r="G5" s="392" t="s">
        <v>955</v>
      </c>
      <c r="H5" s="393">
        <f t="shared" ref="H5:H11" si="0">M5+O5+Q5</f>
        <v>0</v>
      </c>
      <c r="I5" s="1688"/>
      <c r="J5" s="395">
        <f t="shared" ref="J5:J11" si="1">N5+P5+R5</f>
        <v>0</v>
      </c>
      <c r="K5" s="1688"/>
      <c r="L5" s="852">
        <f>IF(J$12&gt;0,J5/J$12,0)</f>
        <v>0</v>
      </c>
      <c r="M5" s="2649">
        <f>IF(Flag=TRUE,N5-TBIn!E2403,TBIn!D2403)</f>
        <v>0</v>
      </c>
      <c r="N5" s="2650">
        <f>TBIn!E2403</f>
        <v>0</v>
      </c>
      <c r="O5" s="2649">
        <f>IF(Flag=TRUE,P5-TBIn!E2418,TBIn!D2418)</f>
        <v>0</v>
      </c>
      <c r="P5" s="2650">
        <f>TBIn!E2418</f>
        <v>0</v>
      </c>
      <c r="Q5" s="2651"/>
      <c r="R5" s="2651"/>
      <c r="S5" s="80">
        <v>2</v>
      </c>
    </row>
    <row r="6" spans="1:19" ht="17.149999999999999" customHeight="1">
      <c r="A6" s="80">
        <v>3</v>
      </c>
      <c r="B6" s="1282"/>
      <c r="C6" s="1283" t="s">
        <v>122</v>
      </c>
      <c r="D6" s="1542" t="s">
        <v>956</v>
      </c>
      <c r="E6" s="1541"/>
      <c r="F6" s="1541"/>
      <c r="G6" s="392" t="s">
        <v>957</v>
      </c>
      <c r="H6" s="393">
        <f t="shared" si="0"/>
        <v>0</v>
      </c>
      <c r="I6" s="1689"/>
      <c r="J6" s="395">
        <f t="shared" si="1"/>
        <v>0</v>
      </c>
      <c r="K6" s="1689"/>
      <c r="L6" s="852">
        <f t="shared" ref="L6:L11" si="2">IF(J$12&gt;0,J6/J$12,0)</f>
        <v>0</v>
      </c>
      <c r="M6" s="2649">
        <f>IF(Flag=TRUE,N6-TBIn!E2404,TBIn!D2404)</f>
        <v>0</v>
      </c>
      <c r="N6" s="2650">
        <f>TBIn!E2404</f>
        <v>0</v>
      </c>
      <c r="O6" s="2649">
        <f>IF(Flag=TRUE,P6-TBIn!E2419,TBIn!D2419)</f>
        <v>0</v>
      </c>
      <c r="P6" s="2650">
        <f>TBIn!E2419</f>
        <v>0</v>
      </c>
      <c r="Q6" s="2651"/>
      <c r="R6" s="2651"/>
      <c r="S6" s="80">
        <v>3</v>
      </c>
    </row>
    <row r="7" spans="1:19" ht="17.149999999999999" customHeight="1">
      <c r="A7" s="80">
        <v>4</v>
      </c>
      <c r="B7" s="1282" t="s">
        <v>143</v>
      </c>
      <c r="C7" s="1283" t="s">
        <v>145</v>
      </c>
      <c r="D7" s="1540" t="s">
        <v>958</v>
      </c>
      <c r="E7" s="1541"/>
      <c r="F7" s="1541"/>
      <c r="G7" s="392" t="s">
        <v>959</v>
      </c>
      <c r="H7" s="393">
        <f t="shared" si="0"/>
        <v>0</v>
      </c>
      <c r="I7" s="1689"/>
      <c r="J7" s="395">
        <f t="shared" si="1"/>
        <v>0</v>
      </c>
      <c r="K7" s="1689"/>
      <c r="L7" s="852">
        <f t="shared" si="2"/>
        <v>0</v>
      </c>
      <c r="M7" s="2649">
        <f>IF(Flag=TRUE,N7-TBIn!E2405,TBIn!D2405)</f>
        <v>0</v>
      </c>
      <c r="N7" s="2650">
        <f>TBIn!E2405</f>
        <v>0</v>
      </c>
      <c r="O7" s="2649">
        <f>IF(Flag=TRUE,P7-TBIn!E2420,TBIn!D2420)</f>
        <v>0</v>
      </c>
      <c r="P7" s="2650">
        <f>TBIn!E2420</f>
        <v>0</v>
      </c>
      <c r="Q7" s="2651"/>
      <c r="R7" s="2651"/>
      <c r="S7" s="80">
        <v>4</v>
      </c>
    </row>
    <row r="8" spans="1:19" ht="17.149999999999999" customHeight="1">
      <c r="A8" s="80">
        <v>5</v>
      </c>
      <c r="B8" s="1282" t="s">
        <v>960</v>
      </c>
      <c r="C8" s="1283" t="s">
        <v>122</v>
      </c>
      <c r="D8" s="1540" t="s">
        <v>961</v>
      </c>
      <c r="E8" s="1541"/>
      <c r="F8" s="1541"/>
      <c r="G8" s="392" t="s">
        <v>962</v>
      </c>
      <c r="H8" s="393">
        <f t="shared" si="0"/>
        <v>0</v>
      </c>
      <c r="I8" s="1689"/>
      <c r="J8" s="395">
        <f t="shared" si="1"/>
        <v>0</v>
      </c>
      <c r="K8" s="1689"/>
      <c r="L8" s="852">
        <f t="shared" si="2"/>
        <v>0</v>
      </c>
      <c r="M8" s="2649">
        <f>IF(Flag=TRUE,N8-TBIn!E2406,TBIn!D2406)</f>
        <v>0</v>
      </c>
      <c r="N8" s="2650">
        <f>TBIn!E2406</f>
        <v>0</v>
      </c>
      <c r="O8" s="2649">
        <f>IF(Flag=TRUE,P8-TBIn!E2421,TBIn!D2421)</f>
        <v>0</v>
      </c>
      <c r="P8" s="2650">
        <f>TBIn!E2421</f>
        <v>0</v>
      </c>
      <c r="Q8" s="2649">
        <f>IF(Flag=TRUE,R8-TBIn!E2433,TBIn!D2433)</f>
        <v>0</v>
      </c>
      <c r="R8" s="2652">
        <f>TBIn!E2433</f>
        <v>0</v>
      </c>
      <c r="S8" s="80">
        <v>5</v>
      </c>
    </row>
    <row r="9" spans="1:19" ht="17.149999999999999" customHeight="1">
      <c r="A9" s="80">
        <v>6</v>
      </c>
      <c r="B9" s="1282" t="s">
        <v>953</v>
      </c>
      <c r="C9" s="1283" t="s">
        <v>127</v>
      </c>
      <c r="D9" s="1542" t="s">
        <v>963</v>
      </c>
      <c r="E9" s="1541"/>
      <c r="F9" s="1541"/>
      <c r="G9" s="392" t="s">
        <v>964</v>
      </c>
      <c r="H9" s="393">
        <f t="shared" si="0"/>
        <v>0</v>
      </c>
      <c r="I9" s="1689"/>
      <c r="J9" s="395">
        <f t="shared" si="1"/>
        <v>0</v>
      </c>
      <c r="K9" s="1689"/>
      <c r="L9" s="852">
        <f t="shared" si="2"/>
        <v>0</v>
      </c>
      <c r="M9" s="2653"/>
      <c r="N9" s="2654"/>
      <c r="O9" s="2653"/>
      <c r="P9" s="2654"/>
      <c r="Q9" s="2655">
        <f>IF(Flag=TRUE,R9-TBIn!E2434,TBIn!D2434)</f>
        <v>0</v>
      </c>
      <c r="R9" s="2652">
        <f>TBIn!E2434</f>
        <v>0</v>
      </c>
      <c r="S9" s="80">
        <v>6</v>
      </c>
    </row>
    <row r="10" spans="1:19" ht="17.149999999999999" customHeight="1">
      <c r="A10" s="80">
        <v>7</v>
      </c>
      <c r="B10" s="1282"/>
      <c r="C10" s="1283" t="s">
        <v>118</v>
      </c>
      <c r="D10" s="1542" t="s">
        <v>965</v>
      </c>
      <c r="E10" s="1541"/>
      <c r="F10" s="1541"/>
      <c r="G10" s="392" t="s">
        <v>966</v>
      </c>
      <c r="H10" s="393">
        <f t="shared" si="0"/>
        <v>0</v>
      </c>
      <c r="I10" s="1689"/>
      <c r="J10" s="395">
        <f t="shared" si="1"/>
        <v>0</v>
      </c>
      <c r="K10" s="1689"/>
      <c r="L10" s="852">
        <f t="shared" si="2"/>
        <v>0</v>
      </c>
      <c r="M10" s="2649">
        <f>IF(Flag=TRUE,N10-TBIn!E2407,TBIn!D2407)</f>
        <v>0</v>
      </c>
      <c r="N10" s="2650">
        <f>TBIn!E2407</f>
        <v>0</v>
      </c>
      <c r="O10" s="2649">
        <f>IF(Flag=TRUE,P10-TBIn!E2422,TBIn!D2422)</f>
        <v>0</v>
      </c>
      <c r="P10" s="2650">
        <f>TBIn!E2422</f>
        <v>0</v>
      </c>
      <c r="Q10" s="2649">
        <f>IF(Flag=TRUE,R10-TBIn!E2435,TBIn!D2435)</f>
        <v>0</v>
      </c>
      <c r="R10" s="2652">
        <f>TBIn!E2435</f>
        <v>0</v>
      </c>
      <c r="S10" s="80">
        <v>7</v>
      </c>
    </row>
    <row r="11" spans="1:19" ht="17.149999999999999" customHeight="1">
      <c r="A11" s="80">
        <v>8</v>
      </c>
      <c r="B11" s="1282" t="s">
        <v>116</v>
      </c>
      <c r="C11" s="399"/>
      <c r="D11" s="1542" t="s">
        <v>967</v>
      </c>
      <c r="E11" s="1541"/>
      <c r="F11" s="1541"/>
      <c r="G11" s="392" t="s">
        <v>968</v>
      </c>
      <c r="H11" s="393">
        <f t="shared" si="0"/>
        <v>0</v>
      </c>
      <c r="I11" s="1689"/>
      <c r="J11" s="395">
        <f t="shared" si="1"/>
        <v>0</v>
      </c>
      <c r="K11" s="1689"/>
      <c r="L11" s="852">
        <f t="shared" si="2"/>
        <v>0</v>
      </c>
      <c r="M11" s="2649">
        <f>IF(Flag=TRUE,N11-TBIn!E2408,TBIn!D2408)</f>
        <v>0</v>
      </c>
      <c r="N11" s="2650">
        <f>TBIn!E2408</f>
        <v>0</v>
      </c>
      <c r="O11" s="2649">
        <f>IF(Flag=TRUE,P11-TBIn!E2423,TBIn!D2423)</f>
        <v>0</v>
      </c>
      <c r="P11" s="2650">
        <f>TBIn!E2423</f>
        <v>0</v>
      </c>
      <c r="Q11" s="2656"/>
      <c r="R11" s="2656"/>
      <c r="S11" s="80">
        <v>8</v>
      </c>
    </row>
    <row r="12" spans="1:19" ht="17.149999999999999" customHeight="1">
      <c r="A12" s="80">
        <v>9</v>
      </c>
      <c r="B12" s="411"/>
      <c r="C12" s="411"/>
      <c r="D12" s="1284" t="s">
        <v>969</v>
      </c>
      <c r="E12" s="1287"/>
      <c r="F12" s="1287"/>
      <c r="G12" s="401"/>
      <c r="H12" s="402">
        <f>SUM(H5:H11)</f>
        <v>0</v>
      </c>
      <c r="I12" s="1690"/>
      <c r="J12" s="402">
        <f>SUM(J5:J11)</f>
        <v>0</v>
      </c>
      <c r="K12" s="1690"/>
      <c r="L12" s="1115">
        <v>1</v>
      </c>
      <c r="M12" s="2692">
        <f>SUM(M5:M11)</f>
        <v>0</v>
      </c>
      <c r="N12" s="403">
        <f>SUM(N5:N11)</f>
        <v>0</v>
      </c>
      <c r="O12" s="2692">
        <f>SUM(O5:O11)</f>
        <v>0</v>
      </c>
      <c r="P12" s="403">
        <f>SUM(P5:P11)</f>
        <v>0</v>
      </c>
      <c r="Q12" s="2693">
        <f>SUM(Q8:Q10)</f>
        <v>0</v>
      </c>
      <c r="R12" s="403">
        <f>SUM(R8:R10)</f>
        <v>0</v>
      </c>
      <c r="S12" s="80">
        <v>9</v>
      </c>
    </row>
    <row r="13" spans="1:19" ht="19.5" customHeight="1">
      <c r="A13" s="80">
        <v>10</v>
      </c>
      <c r="B13" s="1283"/>
      <c r="C13" s="1283"/>
      <c r="D13" s="404" t="s">
        <v>970</v>
      </c>
      <c r="E13" s="1288"/>
      <c r="F13" s="1288"/>
      <c r="G13" s="1289"/>
      <c r="H13" s="910"/>
      <c r="I13" s="911"/>
      <c r="J13" s="912"/>
      <c r="K13" s="911"/>
      <c r="L13" s="405" t="s">
        <v>971</v>
      </c>
      <c r="M13" s="1293" t="s">
        <v>972</v>
      </c>
      <c r="N13" s="1294"/>
      <c r="O13" s="1293" t="s">
        <v>973</v>
      </c>
      <c r="P13" s="1294"/>
      <c r="Q13" s="1293" t="s">
        <v>974</v>
      </c>
      <c r="R13" s="1295"/>
      <c r="S13" s="80">
        <v>10</v>
      </c>
    </row>
    <row r="14" spans="1:19" ht="17.149999999999999" customHeight="1">
      <c r="A14" s="80">
        <v>11</v>
      </c>
      <c r="B14" s="1283"/>
      <c r="C14" s="1283" t="s">
        <v>580</v>
      </c>
      <c r="D14" s="1542" t="s">
        <v>975</v>
      </c>
      <c r="E14" s="1541"/>
      <c r="F14" s="1541"/>
      <c r="G14" s="392" t="s">
        <v>976</v>
      </c>
      <c r="H14" s="393">
        <f t="shared" ref="H14:H21" si="3">M14+O14+Q14</f>
        <v>0</v>
      </c>
      <c r="I14" s="1691"/>
      <c r="J14" s="395">
        <f t="shared" ref="J14:J21" si="4">N14+P14+R14</f>
        <v>0</v>
      </c>
      <c r="K14" s="1693"/>
      <c r="L14" s="406">
        <f t="shared" ref="L14:L22" si="5">IF(J$12&gt;0,J14/J$12,0)</f>
        <v>0</v>
      </c>
      <c r="M14" s="2649">
        <f>IF(Flag=TRUE,N14-TBIn!E2409,TBIn!D2409)</f>
        <v>0</v>
      </c>
      <c r="N14" s="2650">
        <f>TBIn!E2409</f>
        <v>0</v>
      </c>
      <c r="O14" s="2649">
        <f>IF(Flag=TRUE,P14-TBIn!E2424,TBIn!D2424)</f>
        <v>0</v>
      </c>
      <c r="P14" s="2650">
        <f>TBIn!E2424</f>
        <v>0</v>
      </c>
      <c r="Q14" s="2649">
        <f>IF(Flag=TRUE,R14-TBIn!E2436,TBIn!D2436)</f>
        <v>0</v>
      </c>
      <c r="R14" s="2652">
        <f>TBIn!E2436</f>
        <v>0</v>
      </c>
      <c r="S14" s="80">
        <v>11</v>
      </c>
    </row>
    <row r="15" spans="1:19" ht="17.149999999999999" customHeight="1">
      <c r="A15" s="80">
        <v>12</v>
      </c>
      <c r="B15" s="1283" t="s">
        <v>143</v>
      </c>
      <c r="C15" s="1283" t="s">
        <v>114</v>
      </c>
      <c r="D15" s="1542" t="s">
        <v>977</v>
      </c>
      <c r="E15" s="1541"/>
      <c r="F15" s="1541"/>
      <c r="G15" s="392" t="s">
        <v>978</v>
      </c>
      <c r="H15" s="393">
        <f t="shared" si="3"/>
        <v>0</v>
      </c>
      <c r="I15" s="1689"/>
      <c r="J15" s="395">
        <f t="shared" si="4"/>
        <v>0</v>
      </c>
      <c r="K15" s="1694"/>
      <c r="L15" s="406">
        <f t="shared" si="5"/>
        <v>0</v>
      </c>
      <c r="M15" s="2649">
        <f>IF(Flag=TRUE,N15-TBIn!E2410,TBIn!D2410)</f>
        <v>0</v>
      </c>
      <c r="N15" s="2650">
        <f>TBIn!E2410</f>
        <v>0</v>
      </c>
      <c r="O15" s="2649">
        <f>IF(Flag=TRUE,P15-TBIn!E2425,TBIn!D2425)</f>
        <v>0</v>
      </c>
      <c r="P15" s="2650">
        <f>TBIn!E2425</f>
        <v>0</v>
      </c>
      <c r="Q15" s="2649">
        <f>IF(Flag=TRUE,R15-TBIn!E2437,TBIn!D2437)</f>
        <v>0</v>
      </c>
      <c r="R15" s="2652">
        <f>TBIn!E2437</f>
        <v>0</v>
      </c>
      <c r="S15" s="80">
        <v>12</v>
      </c>
    </row>
    <row r="16" spans="1:19" ht="17.149999999999999" customHeight="1">
      <c r="A16" s="80">
        <v>13</v>
      </c>
      <c r="B16" s="1283" t="s">
        <v>112</v>
      </c>
      <c r="C16" s="1283" t="s">
        <v>120</v>
      </c>
      <c r="D16" s="1540" t="s">
        <v>979</v>
      </c>
      <c r="E16" s="1541"/>
      <c r="F16" s="1541"/>
      <c r="G16" s="392" t="s">
        <v>980</v>
      </c>
      <c r="H16" s="393">
        <f t="shared" si="3"/>
        <v>0</v>
      </c>
      <c r="I16" s="1689"/>
      <c r="J16" s="395">
        <f t="shared" si="4"/>
        <v>0</v>
      </c>
      <c r="K16" s="1694"/>
      <c r="L16" s="406">
        <f t="shared" si="5"/>
        <v>0</v>
      </c>
      <c r="M16" s="2649">
        <f>IF(Flag=TRUE,N16-TBIn!E2411,TBIn!D2411)</f>
        <v>0</v>
      </c>
      <c r="N16" s="2650">
        <f>TBIn!E2411</f>
        <v>0</v>
      </c>
      <c r="O16" s="2649">
        <f>IF(Flag=TRUE,P16-TBIn!E2426,TBIn!D2426)</f>
        <v>0</v>
      </c>
      <c r="P16" s="2650">
        <f>TBIn!E2426</f>
        <v>0</v>
      </c>
      <c r="Q16" s="2649">
        <f>IF(Flag=TRUE,R16-TBIn!E2438,TBIn!D2438)</f>
        <v>0</v>
      </c>
      <c r="R16" s="2652">
        <f>TBIn!E2438</f>
        <v>0</v>
      </c>
      <c r="S16" s="80">
        <v>13</v>
      </c>
    </row>
    <row r="17" spans="1:25" ht="17.149999999999999" customHeight="1">
      <c r="A17" s="80">
        <v>14</v>
      </c>
      <c r="B17" s="1283" t="s">
        <v>981</v>
      </c>
      <c r="C17" s="1283" t="s">
        <v>122</v>
      </c>
      <c r="D17" s="1542" t="s">
        <v>982</v>
      </c>
      <c r="E17" s="1541"/>
      <c r="F17" s="1541"/>
      <c r="G17" s="392" t="s">
        <v>983</v>
      </c>
      <c r="H17" s="393">
        <f t="shared" si="3"/>
        <v>0</v>
      </c>
      <c r="I17" s="1689"/>
      <c r="J17" s="395">
        <f t="shared" si="4"/>
        <v>0</v>
      </c>
      <c r="K17" s="1694"/>
      <c r="L17" s="406">
        <f t="shared" si="5"/>
        <v>0</v>
      </c>
      <c r="M17" s="2649">
        <f>IF(Flag=TRUE,N17-TBIn!E2412,TBIn!D2412)</f>
        <v>0</v>
      </c>
      <c r="N17" s="2650">
        <f>TBIn!E2412</f>
        <v>0</v>
      </c>
      <c r="O17" s="2649">
        <f>IF(Flag=TRUE,P17-TBIn!E2427,TBIn!D2427)</f>
        <v>0</v>
      </c>
      <c r="P17" s="2650">
        <f>TBIn!E2427</f>
        <v>0</v>
      </c>
      <c r="Q17" s="2649">
        <f>IF(Flag=TRUE,R17-TBIn!E2439,TBIn!D2439)</f>
        <v>0</v>
      </c>
      <c r="R17" s="2652">
        <f>TBIn!E2439</f>
        <v>0</v>
      </c>
      <c r="S17" s="80">
        <v>14</v>
      </c>
    </row>
    <row r="18" spans="1:25" ht="17.149999999999999" customHeight="1">
      <c r="A18" s="80">
        <v>15</v>
      </c>
      <c r="B18" s="1283" t="s">
        <v>116</v>
      </c>
      <c r="C18" s="1283" t="s">
        <v>143</v>
      </c>
      <c r="D18" s="1540" t="s">
        <v>984</v>
      </c>
      <c r="E18" s="1541"/>
      <c r="F18" s="1541"/>
      <c r="G18" s="392" t="s">
        <v>985</v>
      </c>
      <c r="H18" s="393">
        <f t="shared" si="3"/>
        <v>0</v>
      </c>
      <c r="I18" s="1689"/>
      <c r="J18" s="395">
        <f t="shared" si="4"/>
        <v>0</v>
      </c>
      <c r="K18" s="1694"/>
      <c r="L18" s="406">
        <f t="shared" si="5"/>
        <v>0</v>
      </c>
      <c r="M18" s="2649">
        <f>IF(Flag=TRUE,N18-TBIn!E2413,TBIn!D2413)</f>
        <v>0</v>
      </c>
      <c r="N18" s="2650">
        <f>TBIn!E2413</f>
        <v>0</v>
      </c>
      <c r="O18" s="2649">
        <f>IF(Flag=TRUE,P18-TBIn!E2428,TBIn!D2428)</f>
        <v>0</v>
      </c>
      <c r="P18" s="2650">
        <f>TBIn!E2428</f>
        <v>0</v>
      </c>
      <c r="Q18" s="2649">
        <f>IF(Flag=TRUE,R18-TBIn!E2440,TBIn!D2440)</f>
        <v>0</v>
      </c>
      <c r="R18" s="2652">
        <f>TBIn!E2440</f>
        <v>0</v>
      </c>
      <c r="S18" s="80">
        <v>15</v>
      </c>
    </row>
    <row r="19" spans="1:25" ht="17.149999999999999" customHeight="1">
      <c r="A19" s="80">
        <v>16</v>
      </c>
      <c r="B19" s="1283" t="s">
        <v>124</v>
      </c>
      <c r="C19" s="1283" t="s">
        <v>116</v>
      </c>
      <c r="D19" s="1542" t="s">
        <v>986</v>
      </c>
      <c r="E19" s="1541"/>
      <c r="F19" s="1541"/>
      <c r="G19" s="392" t="s">
        <v>987</v>
      </c>
      <c r="H19" s="393">
        <f t="shared" si="3"/>
        <v>0</v>
      </c>
      <c r="I19" s="1689"/>
      <c r="J19" s="395">
        <f t="shared" si="4"/>
        <v>0</v>
      </c>
      <c r="K19" s="1694"/>
      <c r="L19" s="406">
        <f t="shared" si="5"/>
        <v>0</v>
      </c>
      <c r="M19" s="2649">
        <f>IF(Flag=TRUE,N19-TBIn!E2414,TBIn!D2414)</f>
        <v>0</v>
      </c>
      <c r="N19" s="2650">
        <f>TBIn!E2414</f>
        <v>0</v>
      </c>
      <c r="O19" s="2649">
        <f>IF(Flag=TRUE,P19-TBIn!E2429,TBIn!D2429)</f>
        <v>0</v>
      </c>
      <c r="P19" s="2650">
        <f>TBIn!E2429</f>
        <v>0</v>
      </c>
      <c r="Q19" s="2649">
        <f>IF(Flag=TRUE,R19-TBIn!E2441,TBIn!D2441)</f>
        <v>0</v>
      </c>
      <c r="R19" s="2652">
        <f>TBIn!E2441</f>
        <v>0</v>
      </c>
      <c r="S19" s="80">
        <v>16</v>
      </c>
    </row>
    <row r="20" spans="1:25" ht="17.149999999999999" customHeight="1">
      <c r="A20" s="80">
        <v>17</v>
      </c>
      <c r="B20" s="1283"/>
      <c r="C20" s="1283" t="s">
        <v>124</v>
      </c>
      <c r="D20" s="1542" t="s">
        <v>988</v>
      </c>
      <c r="E20" s="1649"/>
      <c r="F20" s="1649"/>
      <c r="G20" s="392" t="s">
        <v>989</v>
      </c>
      <c r="H20" s="393">
        <f t="shared" si="3"/>
        <v>0</v>
      </c>
      <c r="I20" s="1689"/>
      <c r="J20" s="395">
        <f t="shared" si="4"/>
        <v>0</v>
      </c>
      <c r="K20" s="1694"/>
      <c r="L20" s="406">
        <f t="shared" si="5"/>
        <v>0</v>
      </c>
      <c r="M20" s="2649">
        <f>IF(Flag=TRUE,N20-TBIn!E2415,TBIn!D2415)</f>
        <v>0</v>
      </c>
      <c r="N20" s="2650">
        <f>TBIn!E2415</f>
        <v>0</v>
      </c>
      <c r="O20" s="2649">
        <f>IF(Flag=TRUE,P20-TBIn!E2430,TBIn!D2430)</f>
        <v>0</v>
      </c>
      <c r="P20" s="2650">
        <f>TBIn!E2430</f>
        <v>0</v>
      </c>
      <c r="Q20" s="2649">
        <f>IF(Flag=TRUE,R20-TBIn!E2442,TBIn!D2442)</f>
        <v>0</v>
      </c>
      <c r="R20" s="2652">
        <f>TBIn!E2442</f>
        <v>0</v>
      </c>
      <c r="S20" s="80">
        <v>17</v>
      </c>
    </row>
    <row r="21" spans="1:25" ht="17.149999999999999" customHeight="1">
      <c r="A21" s="80">
        <v>18</v>
      </c>
      <c r="B21" s="1283"/>
      <c r="C21" s="1283"/>
      <c r="D21" s="1542" t="s">
        <v>990</v>
      </c>
      <c r="E21" s="1650"/>
      <c r="F21" s="1650"/>
      <c r="G21" s="392" t="s">
        <v>991</v>
      </c>
      <c r="H21" s="393">
        <f t="shared" si="3"/>
        <v>0</v>
      </c>
      <c r="I21" s="1689"/>
      <c r="J21" s="395">
        <f t="shared" si="4"/>
        <v>0</v>
      </c>
      <c r="K21" s="1694"/>
      <c r="L21" s="407">
        <f t="shared" si="5"/>
        <v>0</v>
      </c>
      <c r="M21" s="2649">
        <f>IF(Flag=TRUE,N21-TBIn!E2416,TBIn!D2416)</f>
        <v>0</v>
      </c>
      <c r="N21" s="2650">
        <f>TBIn!E2416</f>
        <v>0</v>
      </c>
      <c r="O21" s="2649">
        <f>IF(Flag=TRUE,P21-TBIn!E2431,TBIn!D2431)</f>
        <v>0</v>
      </c>
      <c r="P21" s="2650">
        <f>TBIn!E2431</f>
        <v>0</v>
      </c>
      <c r="Q21" s="2649">
        <f>IF(Flag=TRUE,R21-TBIn!E2443,TBIn!D2443)</f>
        <v>0</v>
      </c>
      <c r="R21" s="2652">
        <f>TBIn!E2443</f>
        <v>0</v>
      </c>
      <c r="S21" s="80">
        <v>18</v>
      </c>
    </row>
    <row r="22" spans="1:25" ht="17.149999999999999" customHeight="1">
      <c r="A22" s="80">
        <v>19</v>
      </c>
      <c r="B22" s="1290"/>
      <c r="C22" s="1290"/>
      <c r="D22" s="408" t="s">
        <v>992</v>
      </c>
      <c r="E22" s="400"/>
      <c r="F22" s="400"/>
      <c r="G22" s="400"/>
      <c r="H22" s="403">
        <f>SUM(H14:H21)</f>
        <v>0</v>
      </c>
      <c r="I22" s="1692"/>
      <c r="J22" s="403">
        <f>SUM(J14:J21)</f>
        <v>0</v>
      </c>
      <c r="K22" s="1692"/>
      <c r="L22" s="410">
        <f t="shared" si="5"/>
        <v>0</v>
      </c>
      <c r="M22" s="403">
        <f t="shared" ref="M22:R22" si="6">SUM(M14:M21)</f>
        <v>0</v>
      </c>
      <c r="N22" s="403">
        <f t="shared" si="6"/>
        <v>0</v>
      </c>
      <c r="O22" s="403">
        <f t="shared" si="6"/>
        <v>0</v>
      </c>
      <c r="P22" s="403">
        <f t="shared" si="6"/>
        <v>0</v>
      </c>
      <c r="Q22" s="403">
        <f t="shared" si="6"/>
        <v>0</v>
      </c>
      <c r="R22" s="403">
        <f t="shared" si="6"/>
        <v>0</v>
      </c>
      <c r="S22" s="80">
        <v>19</v>
      </c>
    </row>
    <row r="23" spans="1:25" ht="17.149999999999999" customHeight="1">
      <c r="A23" s="80">
        <v>20</v>
      </c>
      <c r="B23" s="411" t="s">
        <v>993</v>
      </c>
      <c r="C23" s="411"/>
      <c r="D23" s="412"/>
      <c r="E23" s="412"/>
      <c r="F23" s="412"/>
      <c r="G23" s="412"/>
      <c r="H23" s="403">
        <f>H12-H22</f>
        <v>0</v>
      </c>
      <c r="I23" s="413" t="s">
        <v>719</v>
      </c>
      <c r="J23" s="403">
        <f>J12-J22</f>
        <v>0</v>
      </c>
      <c r="K23" s="413" t="s">
        <v>719</v>
      </c>
      <c r="L23" s="414" t="s">
        <v>994</v>
      </c>
      <c r="M23" s="403">
        <f t="shared" ref="M23:R23" si="7">M12-M22</f>
        <v>0</v>
      </c>
      <c r="N23" s="403">
        <f t="shared" si="7"/>
        <v>0</v>
      </c>
      <c r="O23" s="403">
        <f t="shared" si="7"/>
        <v>0</v>
      </c>
      <c r="P23" s="403">
        <f t="shared" si="7"/>
        <v>0</v>
      </c>
      <c r="Q23" s="403">
        <f t="shared" si="7"/>
        <v>0</v>
      </c>
      <c r="R23" s="403">
        <f t="shared" si="7"/>
        <v>0</v>
      </c>
      <c r="S23" s="80">
        <v>20</v>
      </c>
    </row>
    <row r="24" spans="1:25" ht="17.149999999999999" customHeight="1">
      <c r="A24" s="80">
        <v>21</v>
      </c>
      <c r="B24" s="1644" t="s">
        <v>995</v>
      </c>
      <c r="C24" s="1645"/>
      <c r="D24" s="1646"/>
      <c r="E24" s="1647"/>
      <c r="F24" s="1647"/>
      <c r="G24" s="419" t="s">
        <v>996</v>
      </c>
      <c r="H24" s="393">
        <f>M24+O24+Q24</f>
        <v>0</v>
      </c>
      <c r="I24" s="420">
        <f>IF(H$33&gt;0,H24/H$33,0)</f>
        <v>0</v>
      </c>
      <c r="J24" s="395">
        <f>N24+P24+R24</f>
        <v>0</v>
      </c>
      <c r="K24" s="421">
        <f>IF(J$33&gt;0,J24/J$33,0)</f>
        <v>0</v>
      </c>
      <c r="L24" s="397">
        <f>IF(J$24&gt;0,J24/J$24,0)</f>
        <v>0</v>
      </c>
      <c r="M24" s="474">
        <f>IF(Flag=TRUE,N24-TBIn!E975,TBIn!D975)</f>
        <v>0</v>
      </c>
      <c r="N24" s="1871">
        <f>TBIn!E975</f>
        <v>0</v>
      </c>
      <c r="O24" s="474">
        <f>IF(Flag=TRUE,P24-TBIn!E983,TBIn!D983)</f>
        <v>0</v>
      </c>
      <c r="P24" s="1871">
        <f>TBIn!E983</f>
        <v>0</v>
      </c>
      <c r="Q24" s="474">
        <f>IF(Flag=TRUE,R24-TBIn!E991,TBIn!D991)</f>
        <v>0</v>
      </c>
      <c r="R24" s="1872">
        <f>TBIn!E991</f>
        <v>0</v>
      </c>
      <c r="S24" s="80">
        <v>21</v>
      </c>
    </row>
    <row r="25" spans="1:25" ht="17.149999999999999" customHeight="1">
      <c r="A25" s="80">
        <v>22</v>
      </c>
      <c r="B25" s="422" t="s">
        <v>997</v>
      </c>
      <c r="C25" s="416"/>
      <c r="D25" s="417"/>
      <c r="E25" s="418"/>
      <c r="F25" s="418"/>
      <c r="G25" s="423" t="s">
        <v>998</v>
      </c>
      <c r="H25" s="393">
        <f>M25+O25+Q25</f>
        <v>0</v>
      </c>
      <c r="I25" s="394">
        <f>IF(H$33&gt;0,H25/H$33,0)</f>
        <v>0</v>
      </c>
      <c r="J25" s="395">
        <f>N25+P25+R25</f>
        <v>0</v>
      </c>
      <c r="K25" s="396">
        <f>IF(J$33&gt;0,J25/J$33,0)</f>
        <v>0</v>
      </c>
      <c r="L25" s="397">
        <f>IF(J$24&gt;0,J25/J$24,0)</f>
        <v>0</v>
      </c>
      <c r="M25" s="474">
        <f>IF(Flag=TRUE,N25-TBIn!E976,TBIn!D976)</f>
        <v>0</v>
      </c>
      <c r="N25" s="1871">
        <f>TBIn!E976</f>
        <v>0</v>
      </c>
      <c r="O25" s="474">
        <f>IF(Flag=TRUE,P25-TBIn!E984,TBIn!D984)</f>
        <v>0</v>
      </c>
      <c r="P25" s="1871">
        <f>TBIn!E984</f>
        <v>0</v>
      </c>
      <c r="Q25" s="474">
        <f>IF(Flag=TRUE,R25-TBIn!E992,TBIn!D992)</f>
        <v>0</v>
      </c>
      <c r="R25" s="1872">
        <f>TBIn!E992</f>
        <v>0</v>
      </c>
      <c r="S25" s="80">
        <v>22</v>
      </c>
    </row>
    <row r="26" spans="1:25" ht="17.149999999999999" customHeight="1">
      <c r="A26" s="80">
        <v>23</v>
      </c>
      <c r="B26" s="424" t="s">
        <v>999</v>
      </c>
      <c r="C26" s="425"/>
      <c r="D26" s="417"/>
      <c r="E26" s="418"/>
      <c r="F26" s="418"/>
      <c r="G26" s="423" t="s">
        <v>1000</v>
      </c>
      <c r="H26" s="393">
        <f>M26+O26+Q26</f>
        <v>0</v>
      </c>
      <c r="I26" s="394">
        <f>IF(H$33&gt;0,H26/H$33,0)</f>
        <v>0</v>
      </c>
      <c r="J26" s="395">
        <f>N26+P26+R26</f>
        <v>0</v>
      </c>
      <c r="K26" s="396">
        <f>IF(J$33&gt;0,J26/J$33,0)</f>
        <v>0</v>
      </c>
      <c r="L26" s="397">
        <f>IF(J$24&gt;0,J26/J$24,0)</f>
        <v>0</v>
      </c>
      <c r="M26" s="2649">
        <f>IF(Flag=TRUE,N26-TBIn!E2417,TBIn!D2417)</f>
        <v>0</v>
      </c>
      <c r="N26" s="2650">
        <f>TBIn!E2417</f>
        <v>0</v>
      </c>
      <c r="O26" s="2649">
        <f>IF(Flag=TRUE,P26-TBIn!E2432,TBIn!D2432)</f>
        <v>0</v>
      </c>
      <c r="P26" s="2650">
        <f>TBIn!E2432</f>
        <v>0</v>
      </c>
      <c r="Q26" s="2649">
        <f>IF(Flag=TRUE,R26-TBIn!E2444,TBIn!D2444)</f>
        <v>0</v>
      </c>
      <c r="R26" s="2652">
        <f>TBIn!E2444</f>
        <v>0</v>
      </c>
      <c r="S26" s="80">
        <v>23</v>
      </c>
    </row>
    <row r="27" spans="1:25" ht="17.149999999999999" customHeight="1">
      <c r="A27" s="80">
        <v>24</v>
      </c>
      <c r="B27" s="412" t="s">
        <v>12</v>
      </c>
      <c r="C27" s="411"/>
      <c r="D27" s="412"/>
      <c r="E27" s="412"/>
      <c r="F27" s="412"/>
      <c r="G27" s="426"/>
      <c r="H27" s="758">
        <f>IF(Flag=TRUE,H23+H26,TBIn!D2445)</f>
        <v>0</v>
      </c>
      <c r="I27" s="409">
        <f>IF(H$32&gt;0,H27/H$32,0)</f>
        <v>0</v>
      </c>
      <c r="J27" s="758">
        <f>IF(Flag=TRUE,J23+J26,TBIn!E2445)</f>
        <v>0</v>
      </c>
      <c r="K27" s="409">
        <f>IF(L$32&gt;0,J27/L$32,0)</f>
        <v>0</v>
      </c>
      <c r="L27" s="410">
        <f>IF(J$12&gt;0,J27/J$12,0)</f>
        <v>0</v>
      </c>
      <c r="M27" s="403">
        <f t="shared" ref="M27:R27" si="8">M23+M26</f>
        <v>0</v>
      </c>
      <c r="N27" s="403">
        <f t="shared" si="8"/>
        <v>0</v>
      </c>
      <c r="O27" s="403">
        <f t="shared" si="8"/>
        <v>0</v>
      </c>
      <c r="P27" s="403">
        <f t="shared" si="8"/>
        <v>0</v>
      </c>
      <c r="Q27" s="403">
        <f t="shared" si="8"/>
        <v>0</v>
      </c>
      <c r="R27" s="403">
        <f t="shared" si="8"/>
        <v>0</v>
      </c>
      <c r="S27" s="80">
        <v>24</v>
      </c>
    </row>
    <row r="28" spans="1:25" ht="17.149999999999999" customHeight="1">
      <c r="A28" s="80">
        <v>25</v>
      </c>
      <c r="B28" s="1291"/>
      <c r="C28" s="1291"/>
      <c r="D28" s="1291"/>
      <c r="E28" s="1291"/>
      <c r="F28" s="1291"/>
      <c r="G28" s="1291"/>
      <c r="H28" s="427" t="s">
        <v>7</v>
      </c>
      <c r="I28" s="428"/>
      <c r="J28" s="429" t="s">
        <v>8</v>
      </c>
      <c r="K28" s="430"/>
      <c r="L28" s="431"/>
      <c r="M28" s="432" t="s">
        <v>7</v>
      </c>
      <c r="N28" s="1296" t="s">
        <v>1001</v>
      </c>
      <c r="O28" s="432" t="s">
        <v>7</v>
      </c>
      <c r="P28" s="1296" t="s">
        <v>1001</v>
      </c>
      <c r="Q28" s="432" t="s">
        <v>7</v>
      </c>
      <c r="R28" s="1296" t="s">
        <v>1001</v>
      </c>
      <c r="S28" s="80">
        <v>25</v>
      </c>
      <c r="U28" s="34"/>
      <c r="V28" s="34"/>
      <c r="W28" s="34"/>
      <c r="X28" s="34"/>
    </row>
    <row r="29" spans="1:25" ht="17.149999999999999" customHeight="1">
      <c r="A29" s="80">
        <v>26</v>
      </c>
      <c r="B29" s="433" t="s">
        <v>1002</v>
      </c>
      <c r="C29" s="433"/>
      <c r="D29" s="433"/>
      <c r="E29" s="433"/>
      <c r="F29" s="433"/>
      <c r="G29" s="434"/>
      <c r="H29" s="2830"/>
      <c r="I29" s="2831"/>
      <c r="J29" s="2826">
        <f>IF(Flag=TRUE,N29+P29+R29,TBIn!E998)</f>
        <v>0</v>
      </c>
      <c r="K29" s="2826"/>
      <c r="L29" s="2827"/>
      <c r="M29" s="1726"/>
      <c r="N29" s="1721">
        <f>TBIn!E977</f>
        <v>0</v>
      </c>
      <c r="O29" s="1726"/>
      <c r="P29" s="1724">
        <f>TBIn!E985</f>
        <v>0</v>
      </c>
      <c r="Q29" s="1720"/>
      <c r="R29" s="1721">
        <f>TBIn!E993</f>
        <v>0</v>
      </c>
      <c r="S29" s="80">
        <v>26</v>
      </c>
      <c r="U29" s="34"/>
      <c r="V29" s="34"/>
      <c r="W29" s="34"/>
      <c r="X29" s="34"/>
    </row>
    <row r="30" spans="1:25" ht="17.149999999999999" customHeight="1">
      <c r="A30" s="80">
        <v>27</v>
      </c>
      <c r="B30" s="418" t="s">
        <v>1003</v>
      </c>
      <c r="C30" s="418"/>
      <c r="D30" s="418"/>
      <c r="E30" s="418"/>
      <c r="F30" s="418"/>
      <c r="G30" s="415"/>
      <c r="H30" s="2840">
        <f>IF(Flag=TRUE,M30+O30+Q30,TBIn!D999)</f>
        <v>0</v>
      </c>
      <c r="I30" s="2833"/>
      <c r="J30" s="2828"/>
      <c r="K30" s="2828"/>
      <c r="L30" s="2829"/>
      <c r="M30" s="470">
        <f>TBIn!D978</f>
        <v>0</v>
      </c>
      <c r="N30" s="1717"/>
      <c r="O30" s="470">
        <f>TBIn!D986</f>
        <v>0</v>
      </c>
      <c r="P30" s="1717"/>
      <c r="Q30" s="470">
        <f>TBIn!D994</f>
        <v>0</v>
      </c>
      <c r="R30" s="1717"/>
      <c r="S30" s="80">
        <v>27</v>
      </c>
      <c r="U30" s="33"/>
      <c r="V30" s="773"/>
      <c r="W30" s="773"/>
      <c r="X30" s="773"/>
      <c r="Y30" s="773"/>
    </row>
    <row r="31" spans="1:25" ht="17.149999999999999" customHeight="1">
      <c r="A31" s="80">
        <v>28</v>
      </c>
      <c r="B31" s="418" t="s">
        <v>1004</v>
      </c>
      <c r="C31" s="418"/>
      <c r="D31" s="418"/>
      <c r="E31" s="418"/>
      <c r="F31" s="418"/>
      <c r="G31" s="415"/>
      <c r="H31" s="2841">
        <f>IF(Flag=TRUE,M31+O31+Q31,TBIn!D1000)</f>
        <v>0</v>
      </c>
      <c r="I31" s="2842"/>
      <c r="J31" s="2834"/>
      <c r="K31" s="2834"/>
      <c r="L31" s="2835"/>
      <c r="M31" s="471">
        <f>TBIn!D979</f>
        <v>0</v>
      </c>
      <c r="N31" s="1718"/>
      <c r="O31" s="471">
        <f>TBIn!D987</f>
        <v>0</v>
      </c>
      <c r="P31" s="1718"/>
      <c r="Q31" s="471">
        <f>TBIn!D995</f>
        <v>0</v>
      </c>
      <c r="R31" s="1718"/>
      <c r="S31" s="80">
        <v>28</v>
      </c>
      <c r="U31" s="33"/>
      <c r="V31" s="33"/>
      <c r="W31" s="33"/>
      <c r="X31" s="773"/>
      <c r="Y31" s="33"/>
    </row>
    <row r="32" spans="1:25" ht="17.149999999999999" customHeight="1">
      <c r="A32" s="80">
        <v>29</v>
      </c>
      <c r="B32" s="418" t="s">
        <v>1005</v>
      </c>
      <c r="C32" s="418"/>
      <c r="D32" s="418"/>
      <c r="E32" s="418"/>
      <c r="F32" s="418"/>
      <c r="G32" s="415"/>
      <c r="H32" s="2832">
        <f>IF(Flag=TRUE,J29+H30-H31,TBIn!D1001)</f>
        <v>0</v>
      </c>
      <c r="I32" s="2833"/>
      <c r="J32" s="2848"/>
      <c r="K32" s="2848"/>
      <c r="L32" s="2691"/>
      <c r="M32" s="1727">
        <f>N29+M30-M31</f>
        <v>0</v>
      </c>
      <c r="N32" s="1719"/>
      <c r="O32" s="1727">
        <f>P29+O30-O31</f>
        <v>0</v>
      </c>
      <c r="P32" s="1719"/>
      <c r="Q32" s="1727">
        <f>R29+Q30-Q31</f>
        <v>0</v>
      </c>
      <c r="R32" s="1719"/>
      <c r="S32" s="80">
        <v>29</v>
      </c>
      <c r="U32" s="33"/>
      <c r="V32" s="33"/>
      <c r="W32" s="33"/>
      <c r="X32" s="773"/>
      <c r="Y32" s="33"/>
    </row>
    <row r="33" spans="1:28" ht="17.149999999999999" customHeight="1">
      <c r="A33" s="80">
        <v>30</v>
      </c>
      <c r="B33" s="418" t="s">
        <v>1006</v>
      </c>
      <c r="C33" s="418"/>
      <c r="D33" s="418"/>
      <c r="E33" s="418"/>
      <c r="F33" s="418"/>
      <c r="G33" s="415"/>
      <c r="H33" s="2836">
        <f>IF(Flag=TRUE,M33+O33+Q33,TBIn!D1002)</f>
        <v>0</v>
      </c>
      <c r="I33" s="2837"/>
      <c r="J33" s="2832">
        <f>IF(Flag=TRUE,N33+P33+R33,TBIn!E1002)</f>
        <v>0</v>
      </c>
      <c r="K33" s="2832"/>
      <c r="L33" s="2843"/>
      <c r="M33" s="472">
        <f>IF(Flag=TRUE,N33-TBIn!E981,TBIn!D981)</f>
        <v>0</v>
      </c>
      <c r="N33" s="1722">
        <f>TBIn!E981</f>
        <v>0</v>
      </c>
      <c r="O33" s="472">
        <f>IF(Flag=TRUE,P33-TBIn!E989,TBIn!D989)</f>
        <v>0</v>
      </c>
      <c r="P33" s="1722">
        <f>TBIn!E989</f>
        <v>0</v>
      </c>
      <c r="Q33" s="472">
        <f>IF(Flag=TRUE,R33-TBIn!E997,TBIn!D997)</f>
        <v>0</v>
      </c>
      <c r="R33" s="1725">
        <f>TBIn!E997</f>
        <v>0</v>
      </c>
      <c r="S33" s="80">
        <v>30</v>
      </c>
      <c r="U33" s="33"/>
      <c r="V33" s="33"/>
      <c r="W33" s="33"/>
      <c r="X33" s="773"/>
      <c r="Y33" s="33"/>
    </row>
    <row r="34" spans="1:28" ht="17.149999999999999" customHeight="1">
      <c r="A34" s="80">
        <v>31</v>
      </c>
      <c r="B34" s="435" t="s">
        <v>1007</v>
      </c>
      <c r="C34" s="435"/>
      <c r="D34" s="435"/>
      <c r="E34" s="435"/>
      <c r="F34" s="435"/>
      <c r="G34" s="436"/>
      <c r="H34" s="2838">
        <f>IF(Flag=TRUE,M34+O34,TBIn!D1003)</f>
        <v>0</v>
      </c>
      <c r="I34" s="2839"/>
      <c r="J34" s="2851">
        <f>IF(Flag=TRUE,N34+P34+R34,TBIn!E1003)</f>
        <v>0</v>
      </c>
      <c r="K34" s="2851"/>
      <c r="L34" s="2852"/>
      <c r="M34" s="473">
        <f>IF(Flag=TRUE,N34-TBIn!E982,TBIn!D982)</f>
        <v>0</v>
      </c>
      <c r="N34" s="1723">
        <f>TBIn!E982</f>
        <v>0</v>
      </c>
      <c r="O34" s="473">
        <f>IF(Flag=TRUE,P34-TBIn!E990,TBIn!D990)</f>
        <v>0</v>
      </c>
      <c r="P34" s="1723">
        <f>TBIn!E990</f>
        <v>0</v>
      </c>
      <c r="Q34" s="1715"/>
      <c r="R34" s="1716"/>
      <c r="S34" s="80">
        <v>31</v>
      </c>
      <c r="U34" s="33"/>
      <c r="V34" s="33"/>
      <c r="W34" s="33"/>
      <c r="X34" s="773"/>
      <c r="Y34" s="33"/>
    </row>
    <row r="35" spans="1:28" ht="17.149999999999999" customHeight="1">
      <c r="A35" s="80">
        <v>32</v>
      </c>
      <c r="B35" s="1292"/>
      <c r="C35" s="1292"/>
      <c r="D35" s="1292"/>
      <c r="E35" s="1292"/>
      <c r="F35" s="1291"/>
      <c r="G35" s="1291"/>
      <c r="H35" s="437"/>
      <c r="I35" s="437"/>
      <c r="J35" s="437"/>
      <c r="K35" s="437"/>
      <c r="L35" s="437"/>
      <c r="M35" s="437"/>
      <c r="N35" s="437"/>
      <c r="O35" s="437"/>
      <c r="P35" s="437"/>
      <c r="Q35" s="437"/>
      <c r="R35" s="437"/>
      <c r="S35" s="80">
        <v>32</v>
      </c>
      <c r="U35" s="33"/>
      <c r="V35" s="33"/>
      <c r="W35" s="33"/>
      <c r="X35" s="773"/>
      <c r="Y35" s="33"/>
    </row>
    <row r="36" spans="1:28" ht="17.149999999999999" customHeight="1">
      <c r="A36" s="80">
        <v>33</v>
      </c>
      <c r="B36" s="438"/>
      <c r="C36" s="438" t="s">
        <v>1008</v>
      </c>
      <c r="D36" s="438"/>
      <c r="E36" s="438"/>
      <c r="F36" s="439" t="s">
        <v>842</v>
      </c>
      <c r="G36" s="440" t="s">
        <v>951</v>
      </c>
      <c r="H36" s="441" t="s">
        <v>1009</v>
      </c>
      <c r="I36" s="437"/>
      <c r="J36" s="437"/>
      <c r="K36" s="437"/>
      <c r="L36" s="437"/>
      <c r="M36" s="437"/>
      <c r="N36" s="437"/>
      <c r="O36" s="437"/>
      <c r="P36" s="437"/>
      <c r="Q36" s="437"/>
      <c r="R36" s="437"/>
      <c r="S36" s="80">
        <v>33</v>
      </c>
      <c r="U36" s="33"/>
      <c r="V36" s="33"/>
      <c r="W36" s="33"/>
      <c r="X36" s="773"/>
      <c r="Y36" s="33"/>
    </row>
    <row r="37" spans="1:28" ht="17.149999999999999" customHeight="1">
      <c r="A37" s="80">
        <v>34</v>
      </c>
      <c r="B37" s="437"/>
      <c r="C37" s="1331" t="s">
        <v>1010</v>
      </c>
      <c r="D37" s="1331"/>
      <c r="E37" s="442"/>
      <c r="F37" s="1883">
        <f>TBIn!E1008</f>
        <v>0</v>
      </c>
      <c r="G37" s="443" t="s">
        <v>1011</v>
      </c>
      <c r="H37" s="1885">
        <f>TBIn!E1004</f>
        <v>0</v>
      </c>
      <c r="I37" s="437"/>
      <c r="J37" s="2817" t="s">
        <v>1012</v>
      </c>
      <c r="K37" s="2818"/>
      <c r="L37" s="440" t="s">
        <v>951</v>
      </c>
      <c r="M37" s="440" t="s">
        <v>834</v>
      </c>
      <c r="N37" s="440" t="s">
        <v>1013</v>
      </c>
      <c r="O37" s="1303" t="s">
        <v>1014</v>
      </c>
      <c r="P37" s="1304" t="s">
        <v>1015</v>
      </c>
      <c r="Q37" s="1305" t="s">
        <v>1016</v>
      </c>
      <c r="R37" s="1306" t="s">
        <v>1017</v>
      </c>
      <c r="S37" s="80">
        <v>34</v>
      </c>
      <c r="U37" s="33"/>
      <c r="V37" s="33"/>
      <c r="W37" s="33"/>
      <c r="X37" s="773"/>
      <c r="Y37" s="33"/>
    </row>
    <row r="38" spans="1:28" ht="17.149999999999999" customHeight="1">
      <c r="A38" s="80">
        <v>35</v>
      </c>
      <c r="B38" s="437"/>
      <c r="C38" s="1332" t="s">
        <v>1018</v>
      </c>
      <c r="D38" s="1332"/>
      <c r="E38" s="1333"/>
      <c r="F38" s="1884">
        <f>TBIn!E1009</f>
        <v>0</v>
      </c>
      <c r="G38" s="444" t="s">
        <v>1019</v>
      </c>
      <c r="H38" s="1871">
        <f>TBIn!E1005</f>
        <v>0</v>
      </c>
      <c r="I38" s="437"/>
      <c r="J38" s="445" t="s">
        <v>1020</v>
      </c>
      <c r="K38" s="442"/>
      <c r="L38" s="1297" t="s">
        <v>1021</v>
      </c>
      <c r="M38" s="446">
        <f>SUM(N38:R38)</f>
        <v>0</v>
      </c>
      <c r="N38" s="1876">
        <f>TBIn!E1021</f>
        <v>0</v>
      </c>
      <c r="O38" s="1877">
        <f>TBIn!E1025</f>
        <v>0</v>
      </c>
      <c r="P38" s="1877">
        <f>TBIn!E1027</f>
        <v>0</v>
      </c>
      <c r="Q38" s="1876">
        <f>TBIn!E1029</f>
        <v>0</v>
      </c>
      <c r="R38" s="1877">
        <f>TBIn!E1031</f>
        <v>0</v>
      </c>
      <c r="S38" s="80">
        <v>35</v>
      </c>
      <c r="U38" s="33"/>
      <c r="V38" s="33"/>
      <c r="W38" s="33"/>
      <c r="X38" s="773"/>
      <c r="Y38" s="33"/>
    </row>
    <row r="39" spans="1:28" ht="17.149999999999999" customHeight="1">
      <c r="A39" s="80">
        <v>36</v>
      </c>
      <c r="B39" s="447"/>
      <c r="C39" s="1332" t="s">
        <v>1022</v>
      </c>
      <c r="D39" s="1332"/>
      <c r="E39" s="1333"/>
      <c r="F39" s="1884">
        <f>TBIn!E1010</f>
        <v>0</v>
      </c>
      <c r="G39" s="444" t="s">
        <v>1023</v>
      </c>
      <c r="H39" s="1871">
        <f>TBIn!E1006</f>
        <v>0</v>
      </c>
      <c r="I39" s="437"/>
      <c r="J39" s="448" t="s">
        <v>1024</v>
      </c>
      <c r="K39" s="449"/>
      <c r="L39" s="1298" t="s">
        <v>1025</v>
      </c>
      <c r="M39" s="450">
        <f>SUM(N39:R39)</f>
        <v>0</v>
      </c>
      <c r="N39" s="1878">
        <f>TBIn!E1022</f>
        <v>0</v>
      </c>
      <c r="O39" s="1879">
        <f>TBIn!E1026</f>
        <v>0</v>
      </c>
      <c r="P39" s="1878">
        <f>TBIn!E1028</f>
        <v>0</v>
      </c>
      <c r="Q39" s="1878">
        <f>TBIn!E1030</f>
        <v>0</v>
      </c>
      <c r="R39" s="1880">
        <f>TBIn!E1032</f>
        <v>0</v>
      </c>
      <c r="S39" s="80">
        <v>36</v>
      </c>
      <c r="U39" s="33"/>
      <c r="V39" s="33"/>
      <c r="W39" s="33"/>
      <c r="X39" s="773"/>
      <c r="Y39" s="33"/>
    </row>
    <row r="40" spans="1:28" ht="17.149999999999999" customHeight="1">
      <c r="A40" s="80">
        <v>37</v>
      </c>
      <c r="B40" s="447"/>
      <c r="C40" s="391" t="s">
        <v>1026</v>
      </c>
      <c r="D40" s="391"/>
      <c r="E40" s="1886">
        <f>TBIn!$E$1007</f>
        <v>0</v>
      </c>
      <c r="F40" s="1887">
        <f>TBIn!E1011</f>
        <v>0</v>
      </c>
      <c r="G40" s="917"/>
      <c r="H40" s="918"/>
      <c r="I40" s="437"/>
      <c r="J40" s="451" t="s">
        <v>754</v>
      </c>
      <c r="K40" s="452"/>
      <c r="L40" s="1299"/>
      <c r="M40" s="453">
        <f t="shared" ref="M40:R40" si="9">SUM(M38:M39)</f>
        <v>0</v>
      </c>
      <c r="N40" s="453">
        <f t="shared" si="9"/>
        <v>0</v>
      </c>
      <c r="O40" s="453">
        <f t="shared" si="9"/>
        <v>0</v>
      </c>
      <c r="P40" s="453">
        <f t="shared" si="9"/>
        <v>0</v>
      </c>
      <c r="Q40" s="455">
        <f t="shared" si="9"/>
        <v>0</v>
      </c>
      <c r="R40" s="454">
        <f t="shared" si="9"/>
        <v>0</v>
      </c>
      <c r="S40" s="80">
        <v>37</v>
      </c>
      <c r="U40" s="33"/>
      <c r="V40" s="33"/>
      <c r="W40" s="33"/>
      <c r="X40" s="773"/>
      <c r="Y40" s="33"/>
    </row>
    <row r="41" spans="1:28" ht="17.149999999999999" customHeight="1">
      <c r="A41" s="80">
        <v>38</v>
      </c>
      <c r="B41" s="447"/>
      <c r="C41" s="456" t="s">
        <v>1027</v>
      </c>
      <c r="D41" s="456"/>
      <c r="E41" s="1582" t="s">
        <v>1028</v>
      </c>
      <c r="F41" s="444" t="s">
        <v>842</v>
      </c>
      <c r="G41" s="917"/>
      <c r="H41" s="457" t="s">
        <v>1029</v>
      </c>
      <c r="I41" s="437"/>
      <c r="J41" s="2849" t="s">
        <v>1030</v>
      </c>
      <c r="K41" s="2850"/>
      <c r="L41" s="1300" t="s">
        <v>1031</v>
      </c>
      <c r="M41" s="1888">
        <f>-TBIn!$E$1023</f>
        <v>0</v>
      </c>
      <c r="N41" s="913"/>
      <c r="O41" s="913"/>
      <c r="P41" s="913"/>
      <c r="Q41" s="913"/>
      <c r="R41" s="914"/>
      <c r="S41" s="80">
        <v>38</v>
      </c>
      <c r="U41" s="33"/>
      <c r="V41" s="33"/>
      <c r="W41" s="33"/>
      <c r="X41" s="775"/>
    </row>
    <row r="42" spans="1:28" ht="16.5" customHeight="1">
      <c r="A42" s="80">
        <v>39</v>
      </c>
      <c r="B42" s="447"/>
      <c r="C42" s="398" t="s">
        <v>1032</v>
      </c>
      <c r="D42" s="391"/>
      <c r="E42" s="1881">
        <f>TBIn!E1015</f>
        <v>0</v>
      </c>
      <c r="F42" s="756">
        <f>TBIn!E1018</f>
        <v>0</v>
      </c>
      <c r="G42" s="444" t="s">
        <v>1033</v>
      </c>
      <c r="H42" s="1871">
        <f>TBIn!E1012-TBIn!E1015</f>
        <v>0</v>
      </c>
      <c r="I42" s="437"/>
      <c r="J42" s="1302" t="s">
        <v>834</v>
      </c>
      <c r="K42" s="458"/>
      <c r="L42" s="1301" t="s">
        <v>1034</v>
      </c>
      <c r="M42" s="760">
        <f>IF(Flag=TRUE,M40-M41,TBIn!E1024)</f>
        <v>0</v>
      </c>
      <c r="N42" s="915"/>
      <c r="O42" s="915"/>
      <c r="P42" s="915"/>
      <c r="Q42" s="915"/>
      <c r="R42" s="916"/>
      <c r="S42" s="80">
        <v>39</v>
      </c>
      <c r="X42" s="33"/>
    </row>
    <row r="43" spans="1:28" ht="17.25" customHeight="1">
      <c r="A43" s="80">
        <v>40</v>
      </c>
      <c r="B43" s="447"/>
      <c r="C43" s="398" t="s">
        <v>1035</v>
      </c>
      <c r="D43" s="391"/>
      <c r="E43" s="1881">
        <f>TBIn!E1016</f>
        <v>0</v>
      </c>
      <c r="F43" s="756">
        <f>TBIn!E1019</f>
        <v>0</v>
      </c>
      <c r="G43" s="444" t="s">
        <v>1036</v>
      </c>
      <c r="H43" s="1871">
        <f>TBIn!E1013-TBIn!E1016</f>
        <v>0</v>
      </c>
      <c r="I43" s="459"/>
      <c r="J43" s="437"/>
      <c r="K43" s="677"/>
      <c r="L43" s="677"/>
      <c r="M43" s="677"/>
      <c r="N43" s="677"/>
      <c r="O43" s="677"/>
      <c r="P43" s="460"/>
      <c r="Q43" s="677"/>
      <c r="R43" s="437"/>
      <c r="S43" s="80">
        <v>40</v>
      </c>
      <c r="U43" s="33"/>
      <c r="V43" s="774"/>
      <c r="W43" s="774"/>
      <c r="X43" s="33"/>
      <c r="Y43" s="775"/>
      <c r="Z43" s="30"/>
      <c r="AA43" s="569"/>
      <c r="AB43" s="569"/>
    </row>
    <row r="44" spans="1:28" ht="17.149999999999999" customHeight="1">
      <c r="A44" s="80">
        <v>41</v>
      </c>
      <c r="B44" s="447"/>
      <c r="C44" s="461" t="s">
        <v>1037</v>
      </c>
      <c r="D44" s="461"/>
      <c r="E44" s="1882">
        <f>TBIn!E1017</f>
        <v>0</v>
      </c>
      <c r="F44" s="756">
        <f>TBIn!E1020</f>
        <v>0</v>
      </c>
      <c r="G44" s="462" t="s">
        <v>1038</v>
      </c>
      <c r="H44" s="1871">
        <f>TBIn!E1014-TBIn!E1017</f>
        <v>0</v>
      </c>
      <c r="I44" s="459" t="s">
        <v>1039</v>
      </c>
      <c r="J44" s="437"/>
      <c r="K44" s="570"/>
      <c r="L44" s="570"/>
      <c r="M44" s="570"/>
      <c r="N44" s="571"/>
      <c r="O44" s="570"/>
      <c r="P44" s="463"/>
      <c r="Q44" s="570"/>
      <c r="R44" s="437"/>
      <c r="S44" s="80">
        <v>41</v>
      </c>
      <c r="T44" s="572"/>
      <c r="U44" s="573"/>
      <c r="V44" s="573"/>
      <c r="W44" s="573"/>
      <c r="X44" s="573"/>
      <c r="Y44" s="573"/>
      <c r="Z44" s="573"/>
      <c r="AA44" s="573"/>
      <c r="AB44" s="18"/>
    </row>
    <row r="45" spans="1:28" ht="17.149999999999999" customHeight="1">
      <c r="A45" s="80">
        <v>42</v>
      </c>
      <c r="B45" s="464"/>
      <c r="C45" s="465" t="s">
        <v>1040</v>
      </c>
      <c r="D45" s="465"/>
      <c r="E45" s="755">
        <f>IF(Flag=TRUE,SUM(E42:E44),TBIn!E1077*-1)</f>
        <v>0</v>
      </c>
      <c r="F45" s="2690">
        <f>SUM(F37:F39)+SUM(F42:F44)</f>
        <v>0</v>
      </c>
      <c r="G45" s="466">
        <v>277</v>
      </c>
      <c r="H45" s="759">
        <f>IF(Flag=TRUE,SUM(H37:H39)+SUM(H42:H44),TBIn!E1076-E45)</f>
        <v>0</v>
      </c>
      <c r="I45" s="467"/>
      <c r="J45" s="468"/>
      <c r="K45" s="566" t="s">
        <v>1041</v>
      </c>
      <c r="L45" s="469"/>
      <c r="M45" s="574"/>
      <c r="N45" s="574"/>
      <c r="O45" s="469"/>
      <c r="P45" s="437"/>
      <c r="Q45" s="570"/>
      <c r="R45" s="570"/>
      <c r="S45" s="80">
        <v>42</v>
      </c>
      <c r="T45" s="2"/>
      <c r="U45" s="2"/>
      <c r="V45" s="2"/>
      <c r="W45" s="2"/>
      <c r="X45" s="2"/>
      <c r="Y45" s="2"/>
      <c r="Z45" s="2"/>
      <c r="AA45" s="2"/>
      <c r="AB45" s="19"/>
    </row>
    <row r="46" spans="1:28" ht="17.149999999999999" customHeight="1">
      <c r="A46" s="80">
        <v>43</v>
      </c>
      <c r="B46" s="307" t="s">
        <v>1042</v>
      </c>
      <c r="C46" s="307"/>
      <c r="D46" s="308"/>
      <c r="E46" s="308"/>
      <c r="F46" s="309"/>
      <c r="G46" s="1307" t="s">
        <v>7</v>
      </c>
      <c r="H46" s="1312"/>
      <c r="I46" s="1312"/>
      <c r="J46" s="1312"/>
      <c r="K46" s="1312"/>
      <c r="L46" s="1312"/>
      <c r="M46" s="1313"/>
      <c r="N46" s="1308" t="s">
        <v>8</v>
      </c>
      <c r="O46" s="1314"/>
      <c r="P46" s="1314"/>
      <c r="Q46" s="581"/>
      <c r="R46" s="581"/>
      <c r="S46" s="80">
        <v>43</v>
      </c>
      <c r="T46" s="20"/>
      <c r="U46" s="20"/>
      <c r="V46" s="20"/>
      <c r="W46" s="20"/>
      <c r="X46" s="20"/>
      <c r="Y46" s="20"/>
      <c r="Z46" s="20"/>
      <c r="AA46" s="2"/>
      <c r="AB46" s="19"/>
    </row>
    <row r="47" spans="1:28" ht="17.149999999999999" customHeight="1">
      <c r="A47" s="80">
        <v>44</v>
      </c>
      <c r="B47" s="310" t="s">
        <v>1043</v>
      </c>
      <c r="C47" s="310"/>
      <c r="D47" s="311"/>
      <c r="E47" s="311"/>
      <c r="F47" s="312"/>
      <c r="G47" s="1309" t="s">
        <v>801</v>
      </c>
      <c r="H47" s="2813" t="s">
        <v>103</v>
      </c>
      <c r="I47" s="2814"/>
      <c r="J47" s="1233" t="s">
        <v>104</v>
      </c>
      <c r="K47" s="2844" t="s">
        <v>1044</v>
      </c>
      <c r="L47" s="2845"/>
      <c r="M47" s="1260" t="s">
        <v>803</v>
      </c>
      <c r="N47" s="1310" t="s">
        <v>801</v>
      </c>
      <c r="O47" s="1334" t="s">
        <v>103</v>
      </c>
      <c r="P47" s="1236" t="s">
        <v>104</v>
      </c>
      <c r="Q47" s="1311" t="s">
        <v>802</v>
      </c>
      <c r="R47" s="1263" t="s">
        <v>803</v>
      </c>
      <c r="S47" s="80">
        <v>44</v>
      </c>
      <c r="T47" s="20"/>
      <c r="U47" s="20"/>
      <c r="V47" s="20"/>
      <c r="W47" s="20"/>
      <c r="X47" s="20"/>
      <c r="Y47" s="20"/>
      <c r="Z47" s="20"/>
      <c r="AA47" s="2"/>
      <c r="AB47" s="19"/>
    </row>
    <row r="48" spans="1:28" ht="17.149999999999999" customHeight="1">
      <c r="A48" s="80">
        <v>45</v>
      </c>
      <c r="B48" s="187" t="s">
        <v>953</v>
      </c>
      <c r="C48" s="101"/>
      <c r="D48" s="1539" t="s">
        <v>1045</v>
      </c>
      <c r="E48" s="1543"/>
      <c r="F48" s="239">
        <v>541</v>
      </c>
      <c r="G48" s="485">
        <f>IF(Flag=TRUE,N48-TBIn!E1033,TBIn!D1033)</f>
        <v>0</v>
      </c>
      <c r="H48" s="2815">
        <f>IF(Flag=TRUE,O48-TBIn!E2452,TBIn!D2452)</f>
        <v>0</v>
      </c>
      <c r="I48" s="2816"/>
      <c r="J48" s="2702"/>
      <c r="K48" s="2846">
        <f t="shared" ref="K48:K53" si="10">H48-J48</f>
        <v>0</v>
      </c>
      <c r="L48" s="2847"/>
      <c r="M48" s="925">
        <f>IF(G48&gt;0,K48/G48,0)</f>
        <v>0</v>
      </c>
      <c r="N48" s="1873">
        <f>TBIn!E1033</f>
        <v>0</v>
      </c>
      <c r="O48" s="2657">
        <f>TBIn!E2452</f>
        <v>0</v>
      </c>
      <c r="P48" s="2705"/>
      <c r="Q48" s="711">
        <f t="shared" ref="Q48:Q53" si="11">O48-P48</f>
        <v>0</v>
      </c>
      <c r="R48" s="924">
        <f>IF(N48&gt;0,Q48/N48,0)</f>
        <v>0</v>
      </c>
      <c r="S48" s="80">
        <v>45</v>
      </c>
      <c r="T48" s="20"/>
      <c r="U48" s="20"/>
      <c r="V48" s="20"/>
      <c r="W48" s="20"/>
      <c r="X48" s="20"/>
      <c r="Y48" s="20"/>
      <c r="Z48" s="20"/>
      <c r="AA48" s="2"/>
      <c r="AB48" s="19"/>
    </row>
    <row r="49" spans="1:28" ht="17.149999999999999" customHeight="1">
      <c r="A49" s="80">
        <v>46</v>
      </c>
      <c r="B49" s="187"/>
      <c r="C49" s="101"/>
      <c r="D49" s="1539" t="s">
        <v>806</v>
      </c>
      <c r="E49" s="1543"/>
      <c r="F49" s="239">
        <v>741</v>
      </c>
      <c r="G49" s="920"/>
      <c r="H49" s="2703"/>
      <c r="I49" s="2704"/>
      <c r="J49" s="2648">
        <f>IF(Flag=TRUE,P49-TBIn!E2453,TBIn!D2453)</f>
        <v>0</v>
      </c>
      <c r="K49" s="2821">
        <f t="shared" si="10"/>
        <v>0</v>
      </c>
      <c r="L49" s="2822"/>
      <c r="M49" s="921"/>
      <c r="N49" s="920"/>
      <c r="O49" s="2706"/>
      <c r="P49" s="2658">
        <f>TBIn!E2453</f>
        <v>0</v>
      </c>
      <c r="Q49" s="711">
        <f t="shared" si="11"/>
        <v>0</v>
      </c>
      <c r="R49" s="921"/>
      <c r="S49" s="80">
        <v>46</v>
      </c>
      <c r="T49" s="20"/>
      <c r="U49" s="20"/>
      <c r="V49" s="20"/>
      <c r="W49" s="20"/>
      <c r="X49" s="20"/>
      <c r="Y49" s="20"/>
      <c r="Z49" s="20"/>
      <c r="AA49" s="2"/>
      <c r="AB49" s="19"/>
    </row>
    <row r="50" spans="1:28" ht="17.149999999999999" customHeight="1">
      <c r="A50" s="80">
        <v>47</v>
      </c>
      <c r="B50" s="187" t="s">
        <v>143</v>
      </c>
      <c r="C50" s="101"/>
      <c r="D50" s="1539" t="s">
        <v>783</v>
      </c>
      <c r="E50" s="1543"/>
      <c r="F50" s="193">
        <v>542</v>
      </c>
      <c r="G50" s="486">
        <f>IF(Flag=TRUE,N50-TBIn!E1034,TBIn!D1034)</f>
        <v>0</v>
      </c>
      <c r="H50" s="2815">
        <f>IF(Flag=TRUE,O50-TBIn!E2446,TBIn!D2446)</f>
        <v>0</v>
      </c>
      <c r="I50" s="2816"/>
      <c r="J50" s="2648">
        <f>IF(Flag=TRUE,P50-(TBIn!E2449),TBIn!D2449)</f>
        <v>0</v>
      </c>
      <c r="K50" s="2821">
        <f t="shared" si="10"/>
        <v>0</v>
      </c>
      <c r="L50" s="2822"/>
      <c r="M50" s="489">
        <f>IF(G50&gt;0,K50/G50,0)</f>
        <v>0</v>
      </c>
      <c r="N50" s="1874">
        <f>TBIn!E1034</f>
        <v>0</v>
      </c>
      <c r="O50" s="2657">
        <f>TBIn!E2446</f>
        <v>0</v>
      </c>
      <c r="P50" s="2657">
        <f>TBIn!E2449</f>
        <v>0</v>
      </c>
      <c r="Q50" s="711">
        <f t="shared" si="11"/>
        <v>0</v>
      </c>
      <c r="R50" s="490">
        <f>IF(N50&gt;0,Q50/N50,0)</f>
        <v>0</v>
      </c>
      <c r="S50" s="80">
        <v>47</v>
      </c>
      <c r="T50" s="20"/>
      <c r="U50" s="20"/>
      <c r="V50" s="20"/>
      <c r="W50" s="20"/>
      <c r="X50" s="20"/>
      <c r="Y50" s="20"/>
      <c r="Z50" s="20"/>
      <c r="AA50" s="2"/>
      <c r="AB50" s="19"/>
    </row>
    <row r="51" spans="1:28" ht="20.149999999999999" customHeight="1">
      <c r="A51" s="80">
        <v>48</v>
      </c>
      <c r="B51" s="187" t="s">
        <v>960</v>
      </c>
      <c r="C51" s="101"/>
      <c r="D51" s="1539" t="s">
        <v>808</v>
      </c>
      <c r="E51" s="1543"/>
      <c r="F51" s="239">
        <v>543</v>
      </c>
      <c r="G51" s="487">
        <f>IF(Flag=TRUE,N51-TBIn!E1035,TBIn!D1035)</f>
        <v>0</v>
      </c>
      <c r="H51" s="2815">
        <f>IF(Flag=TRUE,O51-TBIn!E2447,TBIn!D2447)</f>
        <v>0</v>
      </c>
      <c r="I51" s="2816"/>
      <c r="J51" s="2648">
        <f>IF(Flag=TRUE,P51-(TBIn!E2450),TBIn!D2450)</f>
        <v>0</v>
      </c>
      <c r="K51" s="2821">
        <f t="shared" si="10"/>
        <v>0</v>
      </c>
      <c r="L51" s="2822"/>
      <c r="M51" s="1522">
        <f>IF(G51&gt;0,K51/G51,0)</f>
        <v>0</v>
      </c>
      <c r="N51" s="1875">
        <f>TBIn!E1035</f>
        <v>0</v>
      </c>
      <c r="O51" s="2657">
        <f>TBIn!E2447</f>
        <v>0</v>
      </c>
      <c r="P51" s="2657">
        <f>TBIn!E2450</f>
        <v>0</v>
      </c>
      <c r="Q51" s="711">
        <f t="shared" si="11"/>
        <v>0</v>
      </c>
      <c r="R51" s="1523">
        <f>IF(N51&gt;0,Q51/N51,0)</f>
        <v>0</v>
      </c>
      <c r="S51" s="80">
        <v>48</v>
      </c>
      <c r="T51" s="20"/>
      <c r="U51" s="20"/>
      <c r="V51" s="20"/>
      <c r="W51" s="20"/>
      <c r="X51" s="20"/>
      <c r="Y51" s="20"/>
      <c r="Z51" s="20"/>
      <c r="AA51" s="2"/>
      <c r="AB51" s="19"/>
    </row>
    <row r="52" spans="1:28" ht="20.149999999999999" customHeight="1">
      <c r="A52" s="80">
        <v>49</v>
      </c>
      <c r="B52" s="187" t="s">
        <v>953</v>
      </c>
      <c r="C52" s="101"/>
      <c r="D52" s="1539" t="s">
        <v>1046</v>
      </c>
      <c r="E52" s="1543"/>
      <c r="F52" s="239">
        <v>544</v>
      </c>
      <c r="G52" s="488">
        <f>IF(Flag=TRUE,N52-TBIn!E1036,TBIn!D1036)</f>
        <v>0</v>
      </c>
      <c r="H52" s="2815">
        <f>IF(Flag=TRUE,O52-TBIn!E2448,TBIn!D2448)</f>
        <v>0</v>
      </c>
      <c r="I52" s="2816"/>
      <c r="J52" s="2648">
        <f>IF(Flag=TRUE,P52-(TBIn!E2451),TBIn!D2451)</f>
        <v>0</v>
      </c>
      <c r="K52" s="2821">
        <f t="shared" si="10"/>
        <v>0</v>
      </c>
      <c r="L52" s="2822"/>
      <c r="M52" s="1522">
        <f>IF(G52&gt;0,K52/G52,0)</f>
        <v>0</v>
      </c>
      <c r="N52" s="1875">
        <f>TBIn!E1036</f>
        <v>0</v>
      </c>
      <c r="O52" s="2657">
        <f>TBIn!E2448</f>
        <v>0</v>
      </c>
      <c r="P52" s="2657">
        <f>TBIn!E2451</f>
        <v>0</v>
      </c>
      <c r="Q52" s="711">
        <f t="shared" si="11"/>
        <v>0</v>
      </c>
      <c r="R52" s="1523">
        <f>IF(N52&gt;0,Q52/N52,0)</f>
        <v>0</v>
      </c>
      <c r="S52" s="80">
        <v>49</v>
      </c>
      <c r="T52" s="22"/>
      <c r="U52" s="22"/>
      <c r="V52" s="22"/>
      <c r="W52" s="22"/>
      <c r="X52" s="22"/>
      <c r="Y52" s="22"/>
      <c r="Z52" s="20"/>
      <c r="AA52" s="2"/>
      <c r="AB52" s="19"/>
    </row>
    <row r="53" spans="1:28" ht="22.5" customHeight="1">
      <c r="A53" s="80">
        <v>51</v>
      </c>
      <c r="B53" s="187"/>
      <c r="C53" s="101"/>
      <c r="D53" s="1600" t="s">
        <v>1047</v>
      </c>
      <c r="E53" s="1539"/>
      <c r="F53" s="239">
        <v>740</v>
      </c>
      <c r="G53" s="920"/>
      <c r="H53" s="1524"/>
      <c r="I53" s="1524"/>
      <c r="J53" s="2648">
        <f>IF(Flag=TRUE,P53-TBIn!E2454,TBIn!D2454)</f>
        <v>0</v>
      </c>
      <c r="K53" s="2821">
        <f t="shared" si="10"/>
        <v>0</v>
      </c>
      <c r="L53" s="2822"/>
      <c r="M53" s="1695"/>
      <c r="N53" s="920"/>
      <c r="O53" s="922"/>
      <c r="P53" s="2657">
        <f>TBIn!E2454</f>
        <v>0</v>
      </c>
      <c r="Q53" s="2658">
        <f t="shared" si="11"/>
        <v>0</v>
      </c>
      <c r="R53" s="1695"/>
      <c r="S53" s="80">
        <v>51</v>
      </c>
    </row>
    <row r="54" spans="1:28" ht="20.149999999999999" customHeight="1">
      <c r="A54" s="179">
        <v>52</v>
      </c>
      <c r="B54" s="315" t="s">
        <v>116</v>
      </c>
      <c r="C54" s="330"/>
      <c r="D54" s="2823" t="s">
        <v>1048</v>
      </c>
      <c r="E54" s="2824"/>
      <c r="F54" s="2825"/>
      <c r="G54" s="757">
        <f>IF(Flag=TRUE,SUM(G48:G53),TBIn!D1037)</f>
        <v>0</v>
      </c>
      <c r="H54" s="2811">
        <f>SUM(H48:H52)</f>
        <v>0</v>
      </c>
      <c r="I54" s="2812"/>
      <c r="J54" s="515">
        <f>SUM(J48:J53)</f>
        <v>0</v>
      </c>
      <c r="K54" s="2819">
        <f>IF(Flag=TRUE,SUM(K48:L53),TBIn!D2455)</f>
        <v>0</v>
      </c>
      <c r="L54" s="2820"/>
      <c r="M54" s="1696"/>
      <c r="N54" s="757">
        <f>IF(Flag=TRUE,SUM(N48:N53),TBIn!E1037)</f>
        <v>0</v>
      </c>
      <c r="O54" s="923">
        <f>SUM(O48:O52)</f>
        <v>0</v>
      </c>
      <c r="P54" s="1433">
        <f>SUM(P48:P53)</f>
        <v>0</v>
      </c>
      <c r="Q54" s="1889">
        <f>IF(Flag=TRUE,SUM(Q48:Q53),TBIn!E2455)</f>
        <v>0</v>
      </c>
      <c r="R54" s="1696"/>
      <c r="S54" s="179">
        <v>52</v>
      </c>
    </row>
    <row r="55" spans="1:28" ht="13" hidden="1">
      <c r="A55" s="23"/>
      <c r="B55" s="21"/>
      <c r="C55" s="21"/>
      <c r="Q55" s="2"/>
      <c r="S55" s="23"/>
    </row>
    <row r="56" spans="1:28" hidden="1">
      <c r="A56" s="21"/>
      <c r="B56" s="746"/>
      <c r="C56" s="21"/>
      <c r="F56" s="31"/>
      <c r="H56" s="32"/>
      <c r="S56" s="23"/>
    </row>
    <row r="57" spans="1:28" hidden="1">
      <c r="A57" s="21"/>
      <c r="B57" s="746"/>
      <c r="C57" s="21"/>
      <c r="F57" s="31"/>
      <c r="H57" s="32"/>
      <c r="I57" s="34"/>
      <c r="J57" s="34"/>
      <c r="K57" s="34"/>
      <c r="L57" s="34"/>
      <c r="M57" s="34"/>
      <c r="N57" s="34"/>
      <c r="S57" s="23"/>
    </row>
    <row r="58" spans="1:28" hidden="1">
      <c r="H58" s="35"/>
      <c r="J58" s="32"/>
      <c r="L58" s="32"/>
      <c r="S58" s="23"/>
    </row>
    <row r="59" spans="1:28" ht="10" hidden="1">
      <c r="A59" s="23"/>
      <c r="B59" s="21"/>
      <c r="C59" s="21"/>
      <c r="S59" s="23"/>
    </row>
    <row r="60" spans="1:28" ht="10" hidden="1">
      <c r="A60" s="23"/>
      <c r="B60" s="21"/>
      <c r="C60" s="21"/>
      <c r="S60" s="23"/>
    </row>
    <row r="61" spans="1:28" ht="10" hidden="1">
      <c r="A61" s="21"/>
      <c r="B61" s="21"/>
      <c r="C61" s="21"/>
    </row>
    <row r="62" spans="1:28" ht="10" hidden="1">
      <c r="A62" s="21"/>
      <c r="B62" s="21"/>
      <c r="C62" s="21"/>
    </row>
    <row r="63" spans="1:28" ht="10" hidden="1">
      <c r="A63" s="21"/>
      <c r="B63" s="21"/>
      <c r="C63" s="21"/>
    </row>
    <row r="64" spans="1:28" ht="10" hidden="1">
      <c r="A64" s="21"/>
      <c r="B64" s="21"/>
      <c r="C64" s="21"/>
    </row>
    <row r="65" spans="1:3" ht="10" hidden="1">
      <c r="A65" s="21"/>
      <c r="B65" s="21"/>
      <c r="C65" s="21"/>
    </row>
    <row r="66" spans="1:3" ht="10" hidden="1">
      <c r="A66" s="21"/>
      <c r="B66" s="21"/>
      <c r="C66" s="21"/>
    </row>
    <row r="67" spans="1:3" ht="10" hidden="1">
      <c r="A67" s="21"/>
      <c r="B67" s="21"/>
      <c r="C67" s="21"/>
    </row>
  </sheetData>
  <sheetProtection algorithmName="SHA-512" hashValue="Fs2eMmZHOYNbgqv/cgXCg7NSsf43gxQtoJ0RNyiE/jjhdctdbDinEf2KShVNKJgLW+eTKu92Tyq+acnRkXFsnw==" saltValue="ulFIQuvRNdFtLaPlUfWrJw==" spinCount="100000" sheet="1" objects="1" scenarios="1"/>
  <customSheetViews>
    <customSheetView guid="{42A0DCD3-5C27-4BB4-A491-D2E7F84D8A17}" scale="80" showGridLines="0" fitToPage="1" printArea="1" hiddenRows="1" showRuler="0">
      <selection activeCell="E13" sqref="E13"/>
      <pageMargins left="0" right="0" top="0" bottom="0" header="0.5" footer="0.5"/>
      <pageSetup paperSize="3" scale="80" orientation="portrait" r:id="rId1"/>
      <headerFooter alignWithMargins="0"/>
    </customSheetView>
    <customSheetView guid="{EB281BD4-ABCF-428C-A6C2-8158A21EF819}" scale="80" showGridLines="0" fitToPage="1" showRuler="0" topLeftCell="F37">
      <selection activeCell="S1" sqref="S1"/>
      <pageMargins left="0" right="0" top="0" bottom="0" header="0.5" footer="0.5"/>
      <pageSetup paperSize="3" scale="61" orientation="portrait" r:id="rId2"/>
      <headerFooter alignWithMargins="0"/>
    </customSheetView>
    <customSheetView guid="{FA29746F-8847-4779-9FAE-66945DB06B8D}" scale="80" showGridLines="0" showRowCol="0" fitToPage="1" hiddenRows="1" showRuler="0">
      <pane xSplit="6" topLeftCell="G1" activePane="topRight" state="frozen"/>
      <selection pane="topRight" activeCell="D5" sqref="D5"/>
      <pageMargins left="0" right="0" top="0" bottom="0" header="0.5" footer="0.5"/>
      <pageSetup paperSize="3" scale="80" orientation="portrait"/>
      <headerFooter alignWithMargins="0"/>
    </customSheetView>
  </customSheetViews>
  <mergeCells count="29">
    <mergeCell ref="D54:F54"/>
    <mergeCell ref="J29:L29"/>
    <mergeCell ref="J30:L30"/>
    <mergeCell ref="H29:I29"/>
    <mergeCell ref="H32:I32"/>
    <mergeCell ref="J31:L31"/>
    <mergeCell ref="H33:I33"/>
    <mergeCell ref="H34:I34"/>
    <mergeCell ref="H30:I30"/>
    <mergeCell ref="H31:I31"/>
    <mergeCell ref="J33:L33"/>
    <mergeCell ref="K47:L47"/>
    <mergeCell ref="K48:L48"/>
    <mergeCell ref="J32:K32"/>
    <mergeCell ref="J41:K41"/>
    <mergeCell ref="J34:L34"/>
    <mergeCell ref="J37:K37"/>
    <mergeCell ref="K54:L54"/>
    <mergeCell ref="K50:L50"/>
    <mergeCell ref="K53:L53"/>
    <mergeCell ref="K51:L51"/>
    <mergeCell ref="K49:L49"/>
    <mergeCell ref="K52:L52"/>
    <mergeCell ref="H54:I54"/>
    <mergeCell ref="H47:I47"/>
    <mergeCell ref="H51:I51"/>
    <mergeCell ref="H52:I52"/>
    <mergeCell ref="H50:I50"/>
    <mergeCell ref="H48:I48"/>
  </mergeCells>
  <phoneticPr fontId="7" type="noConversion"/>
  <dataValidations count="1">
    <dataValidation type="whole" allowBlank="1" showInputMessage="1" showErrorMessage="1" errorTitle="Erreur d'Entrée!" error="Seulement des valeurs numériques peuvent être enregistrées dans ce champ!_x000a_" sqref="M5:P8 Q8:R10 M10:P11 M14:R21 M24:R26 N29:N34 M30:M34 O30:O31 O33:O34 P29:P34 Q30:Q31 Q33:R33 R29:R32 J33:J34 L32 Q54 J29:J31 F37:F40 E40 H37:H39 E42:F44 E45 H42:H45 N38:R39 M42 H32:H34 J49:J53 G50:H52 G54 G48:H48 N48:O48 N50:P52 P49 P53:Q53 N54 H29:H31 K54" xr:uid="{00000000-0002-0000-1200-000000000000}">
      <formula1>-999999999999</formula1>
      <formula2>9999999999999</formula2>
    </dataValidation>
  </dataValidations>
  <hyperlinks>
    <hyperlink ref="D5" r:id="rId3" tooltip="Lien au Manuel des méthodes comptables GM" xr:uid="{00000000-0004-0000-1200-000000000000}"/>
    <hyperlink ref="D6" r:id="rId4" tooltip="Lien au Manuel des méthodes comptables GM" xr:uid="{00000000-0004-0000-1200-000001000000}"/>
    <hyperlink ref="D7" r:id="rId5" tooltip="Lien au Manuel des méthodes comptables GM" xr:uid="{00000000-0004-0000-1200-000002000000}"/>
    <hyperlink ref="D8" r:id="rId6" tooltip="Lien au Manuel des méthodes comptables GM" xr:uid="{00000000-0004-0000-1200-000003000000}"/>
    <hyperlink ref="D9" r:id="rId7" tooltip="Lien au Manuel des méthodes comptables GM" xr:uid="{00000000-0004-0000-1200-000004000000}"/>
    <hyperlink ref="D10" r:id="rId8" tooltip="Lien au Manuel des méthodes comptables GM" xr:uid="{00000000-0004-0000-1200-000005000000}"/>
    <hyperlink ref="D11" r:id="rId9" tooltip="Lien au Manuel des méthodes comptables GM" xr:uid="{00000000-0004-0000-1200-000006000000}"/>
    <hyperlink ref="D14" r:id="rId10" tooltip="Lien au Manuel des méthodes comptables GM" xr:uid="{00000000-0004-0000-1200-000007000000}"/>
    <hyperlink ref="D15" r:id="rId11" tooltip="Lien au Manuel des méthodes comptables GM" xr:uid="{00000000-0004-0000-1200-000008000000}"/>
    <hyperlink ref="D16" r:id="rId12" tooltip="Lien au Manuel des méthodes comptables GM" xr:uid="{00000000-0004-0000-1200-000009000000}"/>
    <hyperlink ref="D17" r:id="rId13" tooltip="Lien au Manuel des méthodes comptables GM" xr:uid="{00000000-0004-0000-1200-00000A000000}"/>
    <hyperlink ref="D18" r:id="rId14" tooltip="Lien au Manuel des méthodes comptables GM" xr:uid="{00000000-0004-0000-1200-00000B000000}"/>
    <hyperlink ref="D19" r:id="rId15" tooltip="Lien au Manuel des méthodes comptables GM" xr:uid="{00000000-0004-0000-1200-00000C000000}"/>
    <hyperlink ref="D20" r:id="rId16" tooltip="Lien au Manuel des méthodes comptables GM" xr:uid="{00000000-0004-0000-1200-00000D000000}"/>
    <hyperlink ref="D21" r:id="rId17" tooltip="Lien au Manuel des méthodes comptables GM" xr:uid="{00000000-0004-0000-1200-00000E000000}"/>
    <hyperlink ref="B24" r:id="rId18" tooltip="Lien au Manuel des méthodes comptables GM" xr:uid="{00000000-0004-0000-1200-00000F000000}"/>
    <hyperlink ref="E41" r:id="rId19" tooltip="Lien au Manuel des méthodes comptables GM" xr:uid="{00000000-0004-0000-1200-000010000000}"/>
    <hyperlink ref="D48" r:id="rId20" tooltip="Lien au Manuel des méthodes comptables GM" xr:uid="{00000000-0004-0000-1200-000011000000}"/>
    <hyperlink ref="D49" r:id="rId21" tooltip="Lien au Manuel des méthodes comptables GM" xr:uid="{00000000-0004-0000-1200-000012000000}"/>
    <hyperlink ref="D50" r:id="rId22" tooltip="Lien au Manuel des méthodes comptables GM" xr:uid="{00000000-0004-0000-1200-000013000000}"/>
    <hyperlink ref="D51" r:id="rId23" tooltip="Lien au Manuel des méthodes comptables GM" xr:uid="{00000000-0004-0000-1200-000014000000}"/>
    <hyperlink ref="D52" r:id="rId24" tooltip="Lien au Manuel des méthodes comptables GM" xr:uid="{00000000-0004-0000-1200-000015000000}"/>
    <hyperlink ref="D53" r:id="rId25" tooltip="Lien au Manuel des méthodes comptables GM" xr:uid="{00000000-0004-0000-1200-000016000000}"/>
  </hyperlinks>
  <pageMargins left="0" right="0" top="0" bottom="0" header="0.5" footer="0.5"/>
  <pageSetup scale="62" orientation="portrait" r:id="rId26"/>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N44"/>
  <sheetViews>
    <sheetView showGridLines="0" showRowColHeaders="0" workbookViewId="0"/>
  </sheetViews>
  <sheetFormatPr baseColWidth="10" defaultColWidth="0" defaultRowHeight="12.5" zeroHeight="1"/>
  <cols>
    <col min="1" max="1" width="3.81640625" style="1492" customWidth="1"/>
    <col min="2" max="2" width="9.1796875" style="1492" customWidth="1"/>
    <col min="3" max="12" width="10.1796875" style="1492" customWidth="1"/>
    <col min="13" max="13" width="8.81640625" style="1492" customWidth="1"/>
    <col min="14" max="14" width="0" hidden="1" customWidth="1"/>
    <col min="15" max="15" width="8.81640625" style="1492" hidden="1" customWidth="1"/>
    <col min="16" max="16384" width="8.81640625" style="1492" hidden="1"/>
  </cols>
  <sheetData>
    <row r="1" spans="1:12" s="1789" customFormat="1" ht="11.5">
      <c r="B1" s="1814" t="s">
        <v>1049</v>
      </c>
      <c r="C1" s="1790"/>
      <c r="D1" s="1790"/>
      <c r="E1" s="1790"/>
      <c r="F1" s="1790"/>
      <c r="G1" s="1790"/>
      <c r="H1" s="1790"/>
      <c r="I1" s="1790"/>
      <c r="J1" s="1790"/>
      <c r="K1" s="1790"/>
      <c r="L1" s="1790"/>
    </row>
    <row r="2" spans="1:12" s="1791" customFormat="1" ht="12" customHeight="1">
      <c r="B2" s="1791" t="s">
        <v>1050</v>
      </c>
      <c r="C2" s="1792" t="s">
        <v>1051</v>
      </c>
      <c r="D2" s="1792" t="s">
        <v>1052</v>
      </c>
      <c r="E2" s="1792" t="s">
        <v>1053</v>
      </c>
      <c r="F2" s="1792" t="s">
        <v>1054</v>
      </c>
      <c r="G2" s="1792" t="s">
        <v>1055</v>
      </c>
      <c r="H2" s="1792" t="s">
        <v>1056</v>
      </c>
      <c r="I2" s="1792" t="s">
        <v>1057</v>
      </c>
      <c r="J2" s="1792" t="s">
        <v>1058</v>
      </c>
      <c r="K2" s="2272" t="s">
        <v>1059</v>
      </c>
      <c r="L2" s="2272" t="s">
        <v>1060</v>
      </c>
    </row>
    <row r="3" spans="1:12" s="1791" customFormat="1" ht="12" customHeight="1">
      <c r="B3" s="1807" t="s">
        <v>1061</v>
      </c>
      <c r="C3" s="1810" t="str">
        <f>OR_VEH!B2</f>
        <v>CHEVROLET</v>
      </c>
      <c r="D3" s="2221" t="str">
        <f>OR_VEH!B52</f>
        <v>CHEVROLET - VE</v>
      </c>
      <c r="E3" s="1810" t="str">
        <f>OR_VEH!B152</f>
        <v>BUICK</v>
      </c>
      <c r="F3" s="1810" t="str">
        <f>OR_VEH!B102</f>
        <v>BUICK - VE</v>
      </c>
      <c r="G3" s="1810" t="str">
        <f>OR_VEH!B252</f>
        <v>GMC</v>
      </c>
      <c r="H3" s="1810" t="str">
        <f>OR_VEH!B352</f>
        <v>GMC - VE</v>
      </c>
      <c r="I3" s="1810" t="str">
        <f>OR_VEH!B202</f>
        <v>CADILLAC</v>
      </c>
      <c r="J3" s="2221" t="str">
        <f>OR_VEH!B302</f>
        <v>CADILLAC - VE</v>
      </c>
      <c r="K3" s="1810" t="str">
        <f>OR_VEH!B402</f>
        <v>SANS OBJECT</v>
      </c>
      <c r="L3" s="1810" t="str">
        <f>OR_VEH!B452</f>
        <v>SANS OBJECT</v>
      </c>
    </row>
    <row r="4" spans="1:12" s="1798" customFormat="1" ht="45" customHeight="1">
      <c r="A4" s="2853" t="s">
        <v>1062</v>
      </c>
      <c r="B4" s="1794">
        <v>400</v>
      </c>
      <c r="C4" s="1795" t="str">
        <f>OR_VEH!B3&amp;"
"&amp;TEXT(OR_VEH!E3/1000,"0K")&amp;"/"&amp;TEXT(OR_VEH!F3/1000,"0K")&amp;"
"&amp;OR_VEH!H3</f>
        <v>VOLT
20K/135K
400K/L/M</v>
      </c>
      <c r="D4" s="1796" t="str">
        <f>OR_VEH!B53&amp;"
"&amp;TEXT(OR_VEH!E53/1000,"0K")&amp;"/"&amp;TEXT(OR_VEH!F53/1000,"0K")&amp;"
"&amp;OR_VEH!H53</f>
        <v xml:space="preserve">NE PAS UTILISER
0K/0K
</v>
      </c>
      <c r="E4" s="1796" t="str">
        <f>OR_VEH!B153&amp;"
"&amp;TEXT(OR_VEH!E153/1000,"0K")&amp;"/"&amp;TEXT(OR_VEH!F153/1000,"0K")&amp;"
"&amp;OR_VEH!H153</f>
        <v>REGAL
20K/130K
402K/L/M</v>
      </c>
      <c r="F4" s="1796" t="str">
        <f>OR_VEH!B103&amp;"
"&amp;TEXT(OR_VEH!E103/1000,"0K")&amp;"/"&amp;TEXT(OR_VEH!F103/1000,"0K")&amp;"
"&amp;OR_VEH!H103</f>
        <v xml:space="preserve">NE PAS UTILISER
0K/0K
</v>
      </c>
      <c r="G4" s="1796" t="str">
        <f>OR_VEH!B253&amp;"
"&amp;TEXT(OR_VEH!E253/1000,"0K")&amp;"/"&amp;TEXT(OR_VEH!F253/1000,"0K")&amp;"
"&amp;OR_VEH!H253</f>
        <v xml:space="preserve">NE PAS UTILISER
0K/0K
</v>
      </c>
      <c r="H4" s="1796" t="str">
        <f>OR_VEH!B353&amp;"
"&amp;TEXT(OR_VEH!E353/1000,"0K")&amp;"/"&amp;TEXT(OR_VEH!F353/1000,"0K")&amp;"
"&amp;OR_VEH!H353</f>
        <v xml:space="preserve">NE PAS UTILISER
0K/0K
</v>
      </c>
      <c r="I4" s="1796" t="str">
        <f>OR_VEH!B203&amp;"
"&amp;TEXT(OR_VEH!E203/1000,"0K")&amp;"/"&amp;TEXT(OR_VEH!F203/1000,"0K")&amp;"
"&amp;OR_VEH!H203</f>
        <v xml:space="preserve">NE PAS UTILISER
0K/0K
</v>
      </c>
      <c r="J4" s="1796" t="str">
        <f>OR_VEH!B303&amp;"
"&amp;TEXT(OR_VEH!E303/1000,"0K")&amp;"/"&amp;TEXT(OR_VEH!F303/1000,"0K")&amp;"
"&amp;OR_VEH!H303</f>
        <v xml:space="preserve">CELESTIQ
300K/450K
</v>
      </c>
      <c r="K4" s="1796" t="str">
        <f>OR_VEH!B403&amp;"
"&amp;TEXT(OR_VEH!E403/1000,"0K")&amp;"/"&amp;TEXT(OR_VEH!F403/1000,"0K")&amp;"
"&amp;OR_VEH!H403</f>
        <v xml:space="preserve">NE PAS UTILISER
0K/0K
</v>
      </c>
      <c r="L4" s="1797" t="str">
        <f>OR_VEH!B453&amp;"
"&amp;TEXT(OR_VEH!E453/1000,"0K")&amp;"/"&amp;TEXT(OR_VEH!F453/1000,"0K")&amp;"
"&amp;OR_VEH!H453</f>
        <v xml:space="preserve">NE PAS UTILISER
0K/0K
</v>
      </c>
    </row>
    <row r="5" spans="1:12" s="1798" customFormat="1" ht="45" customHeight="1">
      <c r="A5" s="2853"/>
      <c r="B5" s="1799">
        <v>401</v>
      </c>
      <c r="C5" s="1800" t="str">
        <f>OR_VEH!B4&amp;"
"&amp;TEXT(OR_VEH!E4/1000,"0K")&amp;"/"&amp;TEXT(OR_VEH!F4/1000,"0K")&amp;"
"&amp;OR_VEH!H4</f>
        <v>MALIBU
13K/110K
400K/L/M</v>
      </c>
      <c r="D5" s="1801" t="str">
        <f>OR_VEH!B54&amp;"
"&amp;TEXT(OR_VEH!E54/1000,"0K")&amp;"/"&amp;TEXT(OR_VEH!F54/1000,"0K")&amp;"
"&amp;OR_VEH!H54</f>
        <v xml:space="preserve">NE PAS UTILISER
0K/0K
</v>
      </c>
      <c r="E5" s="1801" t="str">
        <f>OR_VEH!B154&amp;"
"&amp;TEXT(OR_VEH!E154/1000,"0K")&amp;"/"&amp;TEXT(OR_VEH!F154/1000,"0K")&amp;"
"&amp;OR_VEH!H154</f>
        <v>LACROSSE
20K/130K
402K/L/M</v>
      </c>
      <c r="F5" s="1801" t="str">
        <f>OR_VEH!B104&amp;"
"&amp;TEXT(OR_VEH!E104/1000,"0K")&amp;"/"&amp;TEXT(OR_VEH!F104/1000,"0K")&amp;"
"&amp;OR_VEH!H104</f>
        <v xml:space="preserve">NE PAS UTILISER
0K/0K
</v>
      </c>
      <c r="G5" s="1801" t="str">
        <f>OR_VEH!B254&amp;"
"&amp;TEXT(OR_VEH!E254/1000,"0K")&amp;"/"&amp;TEXT(OR_VEH!F254/1000,"0K")&amp;"
"&amp;OR_VEH!H254</f>
        <v xml:space="preserve">NE PAS UTILISER
0K/0K
</v>
      </c>
      <c r="H5" s="1801" t="str">
        <f>OR_VEH!B354&amp;"
"&amp;TEXT(OR_VEH!E354/1000,"0K")&amp;"/"&amp;TEXT(OR_VEH!F354/1000,"0K")&amp;"
"&amp;OR_VEH!H354</f>
        <v xml:space="preserve">NE PAS UTILISER
0K/0K
</v>
      </c>
      <c r="I5" s="1801" t="str">
        <f>OR_VEH!B204&amp;"
"&amp;TEXT(OR_VEH!E204/1000,"0K")&amp;"/"&amp;TEXT(OR_VEH!F204/1000,"0K")&amp;"
"&amp;OR_VEH!H204</f>
        <v xml:space="preserve">NE PAS UTILISER
0K/0K
</v>
      </c>
      <c r="J5" s="1801" t="str">
        <f>OR_VEH!B304&amp;"
"&amp;TEXT(OR_VEH!E304/1000,"0K")&amp;"/"&amp;TEXT(OR_VEH!F304/1000,"0K")&amp;"
"&amp;OR_VEH!H304</f>
        <v xml:space="preserve">NE PAS UTILISER
0K/0K
</v>
      </c>
      <c r="K5" s="1801" t="str">
        <f>OR_VEH!B404&amp;"
"&amp;TEXT(OR_VEH!E404/1000,"0K")&amp;"/"&amp;TEXT(OR_VEH!F404/1000,"0K")&amp;"
"&amp;OR_VEH!H404</f>
        <v xml:space="preserve">NE PAS UTILISER
0K/0K
</v>
      </c>
      <c r="L5" s="1802" t="str">
        <f>OR_VEH!B454&amp;"
"&amp;TEXT(OR_VEH!E454/1000,"0K")&amp;"/"&amp;TEXT(OR_VEH!F454/1000,"0K")&amp;"
"&amp;OR_VEH!H454</f>
        <v xml:space="preserve">NE PAS UTILISER
0K/0K
</v>
      </c>
    </row>
    <row r="6" spans="1:12" s="1798" customFormat="1" ht="45" customHeight="1">
      <c r="A6" s="2853"/>
      <c r="B6" s="1799">
        <v>402</v>
      </c>
      <c r="C6" s="1800" t="str">
        <f>OR_VEH!B5&amp;"
"&amp;TEXT(OR_VEH!E5/1000,"0K")&amp;"/"&amp;TEXT(OR_VEH!F5/1000,"0K")&amp;"
"&amp;OR_VEH!H5</f>
        <v>SONIC
10K/90K
400K/L/M</v>
      </c>
      <c r="D6" s="1801" t="str">
        <f>OR_VEH!B55&amp;"
"&amp;TEXT(OR_VEH!E55/1000,"0K")&amp;"/"&amp;TEXT(OR_VEH!F55/1000,"0K")&amp;"
"&amp;OR_VEH!H55</f>
        <v xml:space="preserve">NE PAS UTILISER
0K/0K
</v>
      </c>
      <c r="E6" s="1801" t="str">
        <f>OR_VEH!B155&amp;"
"&amp;TEXT(OR_VEH!E155/1000,"0K")&amp;"/"&amp;TEXT(OR_VEH!F155/1000,"0K")&amp;"
"&amp;OR_VEH!H155</f>
        <v>VERANO
15K/125K
402K/L/M</v>
      </c>
      <c r="F6" s="1801" t="str">
        <f>OR_VEH!B105&amp;"
"&amp;TEXT(OR_VEH!E105/1000,"0K")&amp;"/"&amp;TEXT(OR_VEH!F105/1000,"0K")&amp;"
"&amp;OR_VEH!H105</f>
        <v xml:space="preserve">NE PAS UTILISER
0K/0K
</v>
      </c>
      <c r="G6" s="1801" t="str">
        <f>OR_VEH!B255&amp;"
"&amp;TEXT(OR_VEH!E255/1000,"0K")&amp;"/"&amp;TEXT(OR_VEH!F255/1000,"0K")&amp;"
"&amp;OR_VEH!H255</f>
        <v xml:space="preserve">NE PAS UTILISER
0K/0K
</v>
      </c>
      <c r="H6" s="1801" t="str">
        <f>OR_VEH!B355&amp;"
"&amp;TEXT(OR_VEH!E355/1000,"0K")&amp;"/"&amp;TEXT(OR_VEH!F355/1000,"0K")&amp;"
"&amp;OR_VEH!H355</f>
        <v xml:space="preserve">NE PAS UTILISER
0K/0K
</v>
      </c>
      <c r="I6" s="1801" t="str">
        <f>OR_VEH!B205&amp;"
"&amp;TEXT(OR_VEH!E205/1000,"0K")&amp;"/"&amp;TEXT(OR_VEH!F205/1000,"0K")&amp;"
"&amp;OR_VEH!H205</f>
        <v>CTS 
25K/200K
404K/L/M</v>
      </c>
      <c r="J6" s="1801" t="str">
        <f>OR_VEH!B305&amp;"
"&amp;TEXT(OR_VEH!E305/1000,"0K")&amp;"/"&amp;TEXT(OR_VEH!F305/1000,"0K")&amp;"
"&amp;OR_VEH!H305</f>
        <v xml:space="preserve">NE PAS UTILISER
0K/0K
</v>
      </c>
      <c r="K6" s="1801" t="str">
        <f>OR_VEH!B405&amp;"
"&amp;TEXT(OR_VEH!E405/1000,"0K")&amp;"/"&amp;TEXT(OR_VEH!F405/1000,"0K")&amp;"
"&amp;OR_VEH!H405</f>
        <v xml:space="preserve">NE PAS UTILISER
0K/0K
</v>
      </c>
      <c r="L6" s="1802" t="str">
        <f>OR_VEH!B455&amp;"
"&amp;TEXT(OR_VEH!E455/1000,"0K")&amp;"/"&amp;TEXT(OR_VEH!F455/1000,"0K")&amp;"
"&amp;OR_VEH!H455</f>
        <v xml:space="preserve">NE PAS UTILISER
0K/0K
</v>
      </c>
    </row>
    <row r="7" spans="1:12" s="1798" customFormat="1" ht="45" customHeight="1">
      <c r="A7" s="2853"/>
      <c r="B7" s="1799">
        <v>403</v>
      </c>
      <c r="C7" s="1800" t="str">
        <f>OR_VEH!B6&amp;"
"&amp;TEXT(OR_VEH!E6/1000,"0K")&amp;"/"&amp;TEXT(OR_VEH!F6/1000,"0K")&amp;"
"&amp;OR_VEH!H6</f>
        <v>IMPALA
15K/110K
400K/L/M</v>
      </c>
      <c r="D7" s="1801" t="str">
        <f>OR_VEH!B56&amp;"
"&amp;TEXT(OR_VEH!E56/1000,"0K")&amp;"/"&amp;TEXT(OR_VEH!F56/1000,"0K")&amp;"
"&amp;OR_VEH!H56</f>
        <v xml:space="preserve">NE PAS UTILISER
0K/0K
</v>
      </c>
      <c r="E7" s="1801" t="str">
        <f>OR_VEH!B156&amp;"
"&amp;TEXT(OR_VEH!E156/1000,"0K")&amp;"/"&amp;TEXT(OR_VEH!F156/1000,"0K")&amp;"
"&amp;OR_VEH!H156</f>
        <v xml:space="preserve">NE PAS UTILISER
0K/0K
</v>
      </c>
      <c r="F7" s="1801" t="str">
        <f>OR_VEH!B106&amp;"
"&amp;TEXT(OR_VEH!E106/1000,"0K")&amp;"/"&amp;TEXT(OR_VEH!F106/1000,"0K")&amp;"
"&amp;OR_VEH!H106</f>
        <v xml:space="preserve">NE PAS UTILISER
0K/0K
</v>
      </c>
      <c r="G7" s="1801" t="str">
        <f>OR_VEH!B256&amp;"
"&amp;TEXT(OR_VEH!E256/1000,"0K")&amp;"/"&amp;TEXT(OR_VEH!F256/1000,"0K")&amp;"
"&amp;OR_VEH!H256</f>
        <v xml:space="preserve">NE PAS UTILISER
0K/0K
</v>
      </c>
      <c r="H7" s="1801" t="str">
        <f>OR_VEH!B356&amp;"
"&amp;TEXT(OR_VEH!E356/1000,"0K")&amp;"/"&amp;TEXT(OR_VEH!F356/1000,"0K")&amp;"
"&amp;OR_VEH!H356</f>
        <v xml:space="preserve">NE PAS UTILISER
0K/0K
</v>
      </c>
      <c r="I7" s="1801" t="str">
        <f>OR_VEH!B206&amp;"
"&amp;TEXT(OR_VEH!E206/1000,"0K")&amp;"/"&amp;TEXT(OR_VEH!F206/1000,"0K")&amp;"
"&amp;OR_VEH!H206</f>
        <v>CTS-V
40K/155K
404K/L/M</v>
      </c>
      <c r="J7" s="1801" t="str">
        <f>OR_VEH!B306&amp;"
"&amp;TEXT(OR_VEH!E306/1000,"0K")&amp;"/"&amp;TEXT(OR_VEH!F306/1000,"0K")&amp;"
"&amp;OR_VEH!H306</f>
        <v xml:space="preserve">NE PAS UTILISER
0K/0K
</v>
      </c>
      <c r="K7" s="1801" t="str">
        <f>OR_VEH!B406&amp;"
"&amp;TEXT(OR_VEH!E406/1000,"0K")&amp;"/"&amp;TEXT(OR_VEH!F406/1000,"0K")&amp;"
"&amp;OR_VEH!H406</f>
        <v xml:space="preserve">NE PAS UTILISER
0K/0K
</v>
      </c>
      <c r="L7" s="1802" t="str">
        <f>OR_VEH!B456&amp;"
"&amp;TEXT(OR_VEH!E456/1000,"0K")&amp;"/"&amp;TEXT(OR_VEH!F456/1000,"0K")&amp;"
"&amp;OR_VEH!H456</f>
        <v xml:space="preserve">NE PAS UTILISER
0K/0K
</v>
      </c>
    </row>
    <row r="8" spans="1:12" s="1798" customFormat="1" ht="45" customHeight="1">
      <c r="A8" s="2853"/>
      <c r="B8" s="1799">
        <v>404</v>
      </c>
      <c r="C8" s="1800" t="str">
        <f>OR_VEH!B7&amp;"
"&amp;TEXT(OR_VEH!E7/1000,"0K")&amp;"/"&amp;TEXT(OR_VEH!F7/1000,"0K")&amp;"
"&amp;OR_VEH!H7</f>
        <v>SPARK
10K/90K
400K/L/M</v>
      </c>
      <c r="D8" s="1801" t="str">
        <f>OR_VEH!B57&amp;"
"&amp;TEXT(OR_VEH!E57/1000,"0K")&amp;"/"&amp;TEXT(OR_VEH!F57/1000,"0K")&amp;"
"&amp;OR_VEH!H57</f>
        <v xml:space="preserve">NE PAS UTILISER
0K/0K
</v>
      </c>
      <c r="E8" s="1801" t="str">
        <f>OR_VEH!B157&amp;"
"&amp;TEXT(OR_VEH!E157/1000,"0K")&amp;"/"&amp;TEXT(OR_VEH!F157/1000,"0K")&amp;"
"&amp;OR_VEH!H157</f>
        <v xml:space="preserve">NE PAS UTILISER
0K/0K
</v>
      </c>
      <c r="F8" s="1801" t="str">
        <f>OR_VEH!B107&amp;"
"&amp;TEXT(OR_VEH!E107/1000,"0K")&amp;"/"&amp;TEXT(OR_VEH!F107/1000,"0K")&amp;"
"&amp;OR_VEH!H107</f>
        <v xml:space="preserve">NE PAS UTILISER
0K/0K
</v>
      </c>
      <c r="G8" s="1801" t="str">
        <f>OR_VEH!B257&amp;"
"&amp;TEXT(OR_VEH!E257/1000,"0K")&amp;"/"&amp;TEXT(OR_VEH!F257/1000,"0K")&amp;"
"&amp;OR_VEH!H257</f>
        <v xml:space="preserve">NE PAS UTILISER
0K/0K
</v>
      </c>
      <c r="H8" s="1801" t="str">
        <f>OR_VEH!B357&amp;"
"&amp;TEXT(OR_VEH!E357/1000,"0K")&amp;"/"&amp;TEXT(OR_VEH!F357/1000,"0K")&amp;"
"&amp;OR_VEH!H357</f>
        <v xml:space="preserve">NE PAS UTILISER
0K/0K
</v>
      </c>
      <c r="I8" s="1801" t="str">
        <f>OR_VEH!B207&amp;"
"&amp;TEXT(OR_VEH!E207/1000,"0K")&amp;"/"&amp;TEXT(OR_VEH!F207/1000,"0K")&amp;"
"&amp;OR_VEH!H207</f>
        <v>CT4
20K/150K
404K/L/M</v>
      </c>
      <c r="J8" s="1801" t="str">
        <f>OR_VEH!B307&amp;"
"&amp;TEXT(OR_VEH!E307/1000,"0K")&amp;"/"&amp;TEXT(OR_VEH!F307/1000,"0K")&amp;"
"&amp;OR_VEH!H307</f>
        <v xml:space="preserve">NE PAS UTILISER
0K/0K
</v>
      </c>
      <c r="K8" s="1801" t="str">
        <f>OR_VEH!B407&amp;"
"&amp;TEXT(OR_VEH!E407/1000,"0K")&amp;"/"&amp;TEXT(OR_VEH!F407/1000,"0K")&amp;"
"&amp;OR_VEH!H407</f>
        <v xml:space="preserve">NE PAS UTILISER
0K/0K
</v>
      </c>
      <c r="L8" s="1802" t="str">
        <f>OR_VEH!B457&amp;"
"&amp;TEXT(OR_VEH!E457/1000,"0K")&amp;"/"&amp;TEXT(OR_VEH!F457/1000,"0K")&amp;"
"&amp;OR_VEH!H457</f>
        <v xml:space="preserve">NE PAS UTILISER
0K/0K
</v>
      </c>
    </row>
    <row r="9" spans="1:12" s="1798" customFormat="1" ht="45" customHeight="1">
      <c r="A9" s="2853"/>
      <c r="B9" s="1799">
        <v>405</v>
      </c>
      <c r="C9" s="1800" t="str">
        <f>OR_VEH!B8&amp;"
"&amp;TEXT(OR_VEH!E8/1000,"0K")&amp;"/"&amp;TEXT(OR_VEH!F8/1000,"0K")&amp;"
"&amp;OR_VEH!H8</f>
        <v>CORVETTE
40K/230K
400K/L/M</v>
      </c>
      <c r="D9" s="1801" t="str">
        <f>OR_VEH!B58&amp;"
"&amp;TEXT(OR_VEH!E58/1000,"0K")&amp;"/"&amp;TEXT(OR_VEH!F58/1000,"0K")&amp;"
"&amp;OR_VEH!H58</f>
        <v xml:space="preserve">NE PAS UTILISER
0K/0K
</v>
      </c>
      <c r="E9" s="1801" t="str">
        <f>OR_VEH!B158&amp;"
"&amp;TEXT(OR_VEH!E158/1000,"0K")&amp;"/"&amp;TEXT(OR_VEH!F158/1000,"0K")&amp;"
"&amp;OR_VEH!H158</f>
        <v xml:space="preserve">NE PAS UTILISER
0K/0K
</v>
      </c>
      <c r="F9" s="1801" t="str">
        <f>OR_VEH!B108&amp;"
"&amp;TEXT(OR_VEH!E108/1000,"0K")&amp;"/"&amp;TEXT(OR_VEH!F108/1000,"0K")&amp;"
"&amp;OR_VEH!H108</f>
        <v xml:space="preserve">NE PAS UTILISER
0K/0K
</v>
      </c>
      <c r="G9" s="1801" t="str">
        <f>OR_VEH!B258&amp;"
"&amp;TEXT(OR_VEH!E258/1000,"0K")&amp;"/"&amp;TEXT(OR_VEH!F258/1000,"0K")&amp;"
"&amp;OR_VEH!H258</f>
        <v xml:space="preserve">NE PAS UTILISER
0K/0K
</v>
      </c>
      <c r="H9" s="1801" t="str">
        <f>OR_VEH!B358&amp;"
"&amp;TEXT(OR_VEH!E358/1000,"0K")&amp;"/"&amp;TEXT(OR_VEH!F358/1000,"0K")&amp;"
"&amp;OR_VEH!H358</f>
        <v xml:space="preserve">NE PAS UTILISER
0K/0K
</v>
      </c>
      <c r="I9" s="1801" t="str">
        <f>OR_VEH!B208&amp;"
"&amp;TEXT(OR_VEH!E208/1000,"0K")&amp;"/"&amp;TEXT(OR_VEH!F208/1000,"0K")&amp;"
"&amp;OR_VEH!H208</f>
        <v>CT5
25K/200K
404K/L/M</v>
      </c>
      <c r="J9" s="1801" t="str">
        <f>OR_VEH!B308&amp;"
"&amp;TEXT(OR_VEH!E308/1000,"0K")&amp;"/"&amp;TEXT(OR_VEH!F308/1000,"0K")&amp;"
"&amp;OR_VEH!H308</f>
        <v xml:space="preserve">NE PAS UTILISER
0K/0K
</v>
      </c>
      <c r="K9" s="1801" t="str">
        <f>OR_VEH!B408&amp;"
"&amp;TEXT(OR_VEH!E408/1000,"0K")&amp;"/"&amp;TEXT(OR_VEH!F408/1000,"0K")&amp;"
"&amp;OR_VEH!H408</f>
        <v xml:space="preserve">NE PAS UTILISER
0K/0K
</v>
      </c>
      <c r="L9" s="1802" t="str">
        <f>OR_VEH!B458&amp;"
"&amp;TEXT(OR_VEH!E458/1000,"0K")&amp;"/"&amp;TEXT(OR_VEH!F458/1000,"0K")&amp;"
"&amp;OR_VEH!H458</f>
        <v xml:space="preserve">NE PAS UTILISER
0K/0K
</v>
      </c>
    </row>
    <row r="10" spans="1:12" s="1798" customFormat="1" ht="45" customHeight="1">
      <c r="A10" s="2853"/>
      <c r="B10" s="1799">
        <v>406</v>
      </c>
      <c r="C10" s="1800" t="str">
        <f>OR_VEH!B9&amp;"
"&amp;TEXT(OR_VEH!E9/1000,"0K")&amp;"/"&amp;TEXT(OR_VEH!F9/1000,"0K")&amp;"
"&amp;OR_VEH!H9</f>
        <v>CORVETTE E-RAY
5K/250K
400K/L/M</v>
      </c>
      <c r="D10" s="1801" t="str">
        <f>OR_VEH!B59&amp;"
"&amp;TEXT(OR_VEH!E59/1000,"0K")&amp;"/"&amp;TEXT(OR_VEH!F59/1000,"0K")&amp;"
"&amp;OR_VEH!H59</f>
        <v xml:space="preserve">NE PAS UTILISER
0K/0K
</v>
      </c>
      <c r="E10" s="1801" t="str">
        <f>OR_VEH!B159&amp;"
"&amp;TEXT(OR_VEH!E159/1000,"0K")&amp;"/"&amp;TEXT(OR_VEH!F159/1000,"0K")&amp;"
"&amp;OR_VEH!H159</f>
        <v xml:space="preserve">NE PAS UTILISER
0K/0K
</v>
      </c>
      <c r="F10" s="1801" t="str">
        <f>OR_VEH!B109&amp;"
"&amp;TEXT(OR_VEH!E109/1000,"0K")&amp;"/"&amp;TEXT(OR_VEH!F109/1000,"0K")&amp;"
"&amp;OR_VEH!H109</f>
        <v xml:space="preserve">NE PAS UTILISER
0K/0K
</v>
      </c>
      <c r="G10" s="1801" t="str">
        <f>OR_VEH!B259&amp;"
"&amp;TEXT(OR_VEH!E259/1000,"0K")&amp;"/"&amp;TEXT(OR_VEH!F259/1000,"0K")&amp;"
"&amp;OR_VEH!H259</f>
        <v xml:space="preserve">NE PAS UTILISER
0K/0K
</v>
      </c>
      <c r="H10" s="1801" t="str">
        <f>OR_VEH!B359&amp;"
"&amp;TEXT(OR_VEH!E359/1000,"0K")&amp;"/"&amp;TEXT(OR_VEH!F359/1000,"0K")&amp;"
"&amp;OR_VEH!H359</f>
        <v xml:space="preserve">NE PAS UTILISER
0K/0K
</v>
      </c>
      <c r="I10" s="1801" t="str">
        <f>OR_VEH!B209&amp;"
"&amp;TEXT(OR_VEH!E209/1000,"0K")&amp;"/"&amp;TEXT(OR_VEH!F209/1000,"0K")&amp;"
"&amp;OR_VEH!H209</f>
        <v xml:space="preserve">NE PAS UTILISER
0K/0K
</v>
      </c>
      <c r="J10" s="1801" t="str">
        <f>OR_VEH!B309&amp;"
"&amp;TEXT(OR_VEH!E309/1000,"0K")&amp;"/"&amp;TEXT(OR_VEH!F309/1000,"0K")&amp;"
"&amp;OR_VEH!H309</f>
        <v xml:space="preserve">NE PAS UTILISER
0K/0K
</v>
      </c>
      <c r="K10" s="1801" t="str">
        <f>OR_VEH!B409&amp;"
"&amp;TEXT(OR_VEH!E409/1000,"0K")&amp;"/"&amp;TEXT(OR_VEH!F409/1000,"0K")&amp;"
"&amp;OR_VEH!H409</f>
        <v xml:space="preserve">NE PAS UTILISER
0K/0K
</v>
      </c>
      <c r="L10" s="1802" t="str">
        <f>OR_VEH!B459&amp;"
"&amp;TEXT(OR_VEH!E459/1000,"0K")&amp;"/"&amp;TEXT(OR_VEH!F459/1000,"0K")&amp;"
"&amp;OR_VEH!H459</f>
        <v xml:space="preserve">NE PAS UTILISER
0K/0K
</v>
      </c>
    </row>
    <row r="11" spans="1:12" s="1798" customFormat="1" ht="45" customHeight="1">
      <c r="A11" s="2853"/>
      <c r="B11" s="1799">
        <v>407</v>
      </c>
      <c r="C11" s="1800" t="str">
        <f>OR_VEH!B10&amp;"
"&amp;TEXT(OR_VEH!E10/1000,"0K")&amp;"/"&amp;TEXT(OR_VEH!F10/1000,"0K")&amp;"
"&amp;OR_VEH!H10</f>
        <v>NE PAS UTILISER
0K/0K
-</v>
      </c>
      <c r="D11" s="1801" t="str">
        <f>OR_VEH!B60&amp;"
"&amp;TEXT(OR_VEH!E60/1000,"0K")&amp;"/"&amp;TEXT(OR_VEH!F60/1000,"0K")&amp;"
"&amp;OR_VEH!H60</f>
        <v xml:space="preserve">NE PAS UTILISER
0K/0K
</v>
      </c>
      <c r="E11" s="1801" t="str">
        <f>OR_VEH!B160&amp;"
"&amp;TEXT(OR_VEH!E160/1000,"0K")&amp;"/"&amp;TEXT(OR_VEH!F160/1000,"0K")&amp;"
"&amp;OR_VEH!H160</f>
        <v xml:space="preserve">NE PAS UTILISER
0K/0K
</v>
      </c>
      <c r="F11" s="1801" t="str">
        <f>OR_VEH!B110&amp;"
"&amp;TEXT(OR_VEH!E110/1000,"0K")&amp;"/"&amp;TEXT(OR_VEH!F110/1000,"0K")&amp;"
"&amp;OR_VEH!H110</f>
        <v xml:space="preserve">NE PAS UTILISER
0K/0K
</v>
      </c>
      <c r="G11" s="1801" t="str">
        <f>OR_VEH!B260&amp;"
"&amp;TEXT(OR_VEH!E260/1000,"0K")&amp;"/"&amp;TEXT(OR_VEH!F260/1000,"0K")&amp;"
"&amp;OR_VEH!H260</f>
        <v xml:space="preserve">NE PAS UTILISER
0K/0K
</v>
      </c>
      <c r="H11" s="1801" t="str">
        <f>OR_VEH!B360&amp;"
"&amp;TEXT(OR_VEH!E360/1000,"0K")&amp;"/"&amp;TEXT(OR_VEH!F360/1000,"0K")&amp;"
"&amp;OR_VEH!H360</f>
        <v xml:space="preserve">NE PAS UTILISER
0K/0K
</v>
      </c>
      <c r="I11" s="1801" t="str">
        <f>OR_VEH!B210&amp;"
"&amp;TEXT(OR_VEH!E210/1000,"0K")&amp;"/"&amp;TEXT(OR_VEH!F210/1000,"0K")&amp;"
"&amp;OR_VEH!H210</f>
        <v>NE PAS UTILISER
0K/0K
404K/L/M</v>
      </c>
      <c r="J11" s="1801" t="str">
        <f>OR_VEH!B310&amp;"
"&amp;TEXT(OR_VEH!E310/1000,"0K")&amp;"/"&amp;TEXT(OR_VEH!F310/1000,"0K")&amp;"
"&amp;OR_VEH!H310</f>
        <v xml:space="preserve">NE PAS UTILISER
0K/0K
</v>
      </c>
      <c r="K11" s="1801" t="str">
        <f>OR_VEH!B410&amp;"
"&amp;TEXT(OR_VEH!E410/1000,"0K")&amp;"/"&amp;TEXT(OR_VEH!F410/1000,"0K")&amp;"
"&amp;OR_VEH!H410</f>
        <v xml:space="preserve">NE PAS UTILISER
0K/0K
</v>
      </c>
      <c r="L11" s="1802" t="str">
        <f>OR_VEH!B460&amp;"
"&amp;TEXT(OR_VEH!E460/1000,"0K")&amp;"/"&amp;TEXT(OR_VEH!F460/1000,"0K")&amp;"
"&amp;OR_VEH!H460</f>
        <v xml:space="preserve">NE PAS UTILISER
0K/0K
</v>
      </c>
    </row>
    <row r="12" spans="1:12" s="1798" customFormat="1" ht="45" customHeight="1">
      <c r="A12" s="2853"/>
      <c r="B12" s="1799">
        <v>408</v>
      </c>
      <c r="C12" s="1800" t="str">
        <f>OR_VEH!B11&amp;"
"&amp;TEXT(OR_VEH!E11/1000,"0K")&amp;"/"&amp;TEXT(OR_VEH!F11/1000,"0K")&amp;"
"&amp;OR_VEH!H11</f>
        <v>NE PAS UTILISER
0K/0K
-</v>
      </c>
      <c r="D12" s="1801" t="str">
        <f>OR_VEH!B61&amp;"
"&amp;TEXT(OR_VEH!E61/1000,"0K")&amp;"/"&amp;TEXT(OR_VEH!F61/1000,"0K")&amp;"
"&amp;OR_VEH!H61</f>
        <v xml:space="preserve">NE PAS UTILISER
0K/0K
</v>
      </c>
      <c r="E12" s="1801" t="str">
        <f>OR_VEH!B161&amp;"
"&amp;TEXT(OR_VEH!E161/1000,"0K")&amp;"/"&amp;TEXT(OR_VEH!F161/1000,"0K")&amp;"
"&amp;OR_VEH!H161</f>
        <v xml:space="preserve">NE PAS UTILISER
0K/0K
</v>
      </c>
      <c r="F12" s="1801" t="str">
        <f>OR_VEH!B111&amp;"
"&amp;TEXT(OR_VEH!E111/1000,"0K")&amp;"/"&amp;TEXT(OR_VEH!F111/1000,"0K")&amp;"
"&amp;OR_VEH!H111</f>
        <v xml:space="preserve">NE PAS UTILISER
0K/0K
</v>
      </c>
      <c r="G12" s="1801" t="str">
        <f>OR_VEH!B261&amp;"
"&amp;TEXT(OR_VEH!E261/1000,"0K")&amp;"/"&amp;TEXT(OR_VEH!F261/1000,"0K")&amp;"
"&amp;OR_VEH!H261</f>
        <v xml:space="preserve">NE PAS UTILISER
0K/0K
</v>
      </c>
      <c r="H12" s="1801" t="str">
        <f>OR_VEH!B361&amp;"
"&amp;TEXT(OR_VEH!E361/1000,"0K")&amp;"/"&amp;TEXT(OR_VEH!F361/1000,"0K")&amp;"
"&amp;OR_VEH!H361</f>
        <v xml:space="preserve">NE PAS UTILISER
0K/0K
</v>
      </c>
      <c r="I12" s="1801" t="str">
        <f>OR_VEH!B211&amp;"
"&amp;TEXT(OR_VEH!E211/1000,"0K")&amp;"/"&amp;TEXT(OR_VEH!F211/1000,"0K")&amp;"
"&amp;OR_VEH!H211</f>
        <v>ATS
25K/150K
404K/L/M</v>
      </c>
      <c r="J12" s="1801" t="str">
        <f>OR_VEH!B311&amp;"
"&amp;TEXT(OR_VEH!E311/1000,"0K")&amp;"/"&amp;TEXT(OR_VEH!F311/1000,"0K")&amp;"
"&amp;OR_VEH!H311</f>
        <v xml:space="preserve">NE PAS UTILISER
0K/0K
</v>
      </c>
      <c r="K12" s="1801" t="str">
        <f>OR_VEH!B411&amp;"
"&amp;TEXT(OR_VEH!E411/1000,"0K")&amp;"/"&amp;TEXT(OR_VEH!F411/1000,"0K")&amp;"
"&amp;OR_VEH!H411</f>
        <v xml:space="preserve">NE PAS UTILISER
0K/0K
</v>
      </c>
      <c r="L12" s="1802" t="str">
        <f>OR_VEH!B461&amp;"
"&amp;TEXT(OR_VEH!E461/1000,"0K")&amp;"/"&amp;TEXT(OR_VEH!F461/1000,"0K")&amp;"
"&amp;OR_VEH!H461</f>
        <v xml:space="preserve">NE PAS UTILISER
0K/0K
</v>
      </c>
    </row>
    <row r="13" spans="1:12" s="1798" customFormat="1" ht="45" customHeight="1">
      <c r="A13" s="2853"/>
      <c r="B13" s="1799">
        <v>409</v>
      </c>
      <c r="C13" s="1800" t="str">
        <f>OR_VEH!B12&amp;"
"&amp;TEXT(OR_VEH!E12/1000,"0K")&amp;"/"&amp;TEXT(OR_VEH!F12/1000,"0K")&amp;"
"&amp;OR_VEH!H12</f>
        <v>NE PAS UTILISER
0K/0K
-</v>
      </c>
      <c r="D13" s="1801" t="str">
        <f>OR_VEH!B62&amp;"
"&amp;TEXT(OR_VEH!E62/1000,"0K")&amp;"/"&amp;TEXT(OR_VEH!F62/1000,"0K")&amp;"
"&amp;OR_VEH!H62</f>
        <v xml:space="preserve">NE PAS UTILISER
0K/0K
</v>
      </c>
      <c r="E13" s="1801" t="str">
        <f>OR_VEH!B162&amp;"
"&amp;TEXT(OR_VEH!E162/1000,"0K")&amp;"/"&amp;TEXT(OR_VEH!F162/1000,"0K")&amp;"
"&amp;OR_VEH!H162</f>
        <v xml:space="preserve">NE PAS UTILISER
0K/0K
</v>
      </c>
      <c r="F13" s="1801" t="str">
        <f>OR_VEH!B112&amp;"
"&amp;TEXT(OR_VEH!E112/1000,"0K")&amp;"/"&amp;TEXT(OR_VEH!F112/1000,"0K")&amp;"
"&amp;OR_VEH!H112</f>
        <v xml:space="preserve">NE PAS UTILISER
0K/0K
</v>
      </c>
      <c r="G13" s="1801" t="str">
        <f>OR_VEH!B262&amp;"
"&amp;TEXT(OR_VEH!E262/1000,"0K")&amp;"/"&amp;TEXT(OR_VEH!F262/1000,"0K")&amp;"
"&amp;OR_VEH!H262</f>
        <v xml:space="preserve">NE PAS UTILISER
0K/0K
</v>
      </c>
      <c r="H13" s="1801" t="str">
        <f>OR_VEH!B362&amp;"
"&amp;TEXT(OR_VEH!E362/1000,"0K")&amp;"/"&amp;TEXT(OR_VEH!F362/1000,"0K")&amp;"
"&amp;OR_VEH!H362</f>
        <v xml:space="preserve">NE PAS UTILISER
0K/0K
</v>
      </c>
      <c r="I13" s="1801" t="str">
        <f>OR_VEH!B212&amp;"
"&amp;TEXT(OR_VEH!E212/1000,"0K")&amp;"/"&amp;TEXT(OR_VEH!F212/1000,"0K")&amp;"
"&amp;OR_VEH!H212</f>
        <v>XTS
35K/150K
404K/L/M</v>
      </c>
      <c r="J13" s="1801" t="str">
        <f>OR_VEH!B312&amp;"
"&amp;TEXT(OR_VEH!E312/1000,"0K")&amp;"/"&amp;TEXT(OR_VEH!F312/1000,"0K")&amp;"
"&amp;OR_VEH!H312</f>
        <v xml:space="preserve">NE PAS UTILISER
0K/0K
</v>
      </c>
      <c r="K13" s="1801" t="str">
        <f>OR_VEH!B412&amp;"
"&amp;TEXT(OR_VEH!E412/1000,"0K")&amp;"/"&amp;TEXT(OR_VEH!F412/1000,"0K")&amp;"
"&amp;OR_VEH!H412</f>
        <v xml:space="preserve">NE PAS UTILISER
0K/0K
</v>
      </c>
      <c r="L13" s="1802" t="str">
        <f>OR_VEH!B462&amp;"
"&amp;TEXT(OR_VEH!E462/1000,"0K")&amp;"/"&amp;TEXT(OR_VEH!F462/1000,"0K")&amp;"
"&amp;OR_VEH!H462</f>
        <v xml:space="preserve">NE PAS UTILISER
0K/0K
</v>
      </c>
    </row>
    <row r="14" spans="1:12" s="1798" customFormat="1" ht="45" customHeight="1">
      <c r="A14" s="2853"/>
      <c r="B14" s="1799">
        <v>410</v>
      </c>
      <c r="C14" s="1800" t="str">
        <f>OR_VEH!B13&amp;"
"&amp;TEXT(OR_VEH!E13/1000,"0K")&amp;"/"&amp;TEXT(OR_VEH!F13/1000,"0K")&amp;"
"&amp;OR_VEH!H13</f>
        <v>CAMARO
20K/141K
400K/L/M</v>
      </c>
      <c r="D14" s="1801" t="str">
        <f>OR_VEH!B63&amp;"
"&amp;TEXT(OR_VEH!E63/1000,"0K")&amp;"/"&amp;TEXT(OR_VEH!F63/1000,"0K")&amp;"
"&amp;OR_VEH!H63</f>
        <v xml:space="preserve">NE PAS UTILISER
0K/0K
</v>
      </c>
      <c r="E14" s="1801" t="str">
        <f>OR_VEH!B163&amp;"
"&amp;TEXT(OR_VEH!E163/1000,"0K")&amp;"/"&amp;TEXT(OR_VEH!F163/1000,"0K")&amp;"
"&amp;OR_VEH!H163</f>
        <v xml:space="preserve">NE PAS UTILISER
0K/0K
</v>
      </c>
      <c r="F14" s="1801" t="str">
        <f>OR_VEH!B113&amp;"
"&amp;TEXT(OR_VEH!E113/1000,"0K")&amp;"/"&amp;TEXT(OR_VEH!F113/1000,"0K")&amp;"
"&amp;OR_VEH!H113</f>
        <v xml:space="preserve">NE PAS UTILISER
0K/0K
</v>
      </c>
      <c r="G14" s="1801" t="str">
        <f>OR_VEH!B263&amp;"
"&amp;TEXT(OR_VEH!E263/1000,"0K")&amp;"/"&amp;TEXT(OR_VEH!F263/1000,"0K")&amp;"
"&amp;OR_VEH!H263</f>
        <v xml:space="preserve">NE PAS UTILISER
0K/0K
</v>
      </c>
      <c r="H14" s="1801" t="str">
        <f>OR_VEH!B363&amp;"
"&amp;TEXT(OR_VEH!E363/1000,"0K")&amp;"/"&amp;TEXT(OR_VEH!F363/1000,"0K")&amp;"
"&amp;OR_VEH!H363</f>
        <v xml:space="preserve">NE PAS UTILISER
0K/0K
</v>
      </c>
      <c r="I14" s="1801" t="str">
        <f>OR_VEH!B213&amp;"
"&amp;TEXT(OR_VEH!E213/1000,"0K")&amp;"/"&amp;TEXT(OR_VEH!F213/1000,"0K")&amp;"
"&amp;OR_VEH!H213</f>
        <v>ELR
40K/160K
404K/L/M</v>
      </c>
      <c r="J14" s="1801" t="str">
        <f>OR_VEH!B313&amp;"
"&amp;TEXT(OR_VEH!E313/1000,"0K")&amp;"/"&amp;TEXT(OR_VEH!F313/1000,"0K")&amp;"
"&amp;OR_VEH!H313</f>
        <v xml:space="preserve">NE PAS UTILISER
0K/0K
</v>
      </c>
      <c r="K14" s="1801" t="str">
        <f>OR_VEH!B413&amp;"
"&amp;TEXT(OR_VEH!E413/1000,"0K")&amp;"/"&amp;TEXT(OR_VEH!F413/1000,"0K")&amp;"
"&amp;OR_VEH!H413</f>
        <v xml:space="preserve">NE PAS UTILISER
0K/0K
</v>
      </c>
      <c r="L14" s="1802" t="str">
        <f>OR_VEH!B463&amp;"
"&amp;TEXT(OR_VEH!E463/1000,"0K")&amp;"/"&amp;TEXT(OR_VEH!F463/1000,"0K")&amp;"
"&amp;OR_VEH!H463</f>
        <v xml:space="preserve">NE PAS UTILISER
0K/0K
</v>
      </c>
    </row>
    <row r="15" spans="1:12" s="1798" customFormat="1" ht="45" customHeight="1">
      <c r="A15" s="2853"/>
      <c r="B15" s="1799">
        <v>411</v>
      </c>
      <c r="C15" s="1800" t="str">
        <f>OR_VEH!B14&amp;"
"&amp;TEXT(OR_VEH!E14/1000,"0K")&amp;"/"&amp;TEXT(OR_VEH!F14/1000,"0K")&amp;"
"&amp;OR_VEH!H14</f>
        <v>CRUZE
8K/105K
400K/L/M</v>
      </c>
      <c r="D15" s="1801" t="str">
        <f>OR_VEH!B64&amp;"
"&amp;TEXT(OR_VEH!E64/1000,"0K")&amp;"/"&amp;TEXT(OR_VEH!F64/1000,"0K")&amp;"
"&amp;OR_VEH!H64</f>
        <v xml:space="preserve">NE PAS UTILISER
0K/0K
</v>
      </c>
      <c r="E15" s="1801" t="str">
        <f>OR_VEH!B164&amp;"
"&amp;TEXT(OR_VEH!E164/1000,"0K")&amp;"/"&amp;TEXT(OR_VEH!F164/1000,"0K")&amp;"
"&amp;OR_VEH!H164</f>
        <v xml:space="preserve">NE PAS UTILISER
0K/0K
</v>
      </c>
      <c r="F15" s="1801" t="str">
        <f>OR_VEH!B114&amp;"
"&amp;TEXT(OR_VEH!E114/1000,"0K")&amp;"/"&amp;TEXT(OR_VEH!F114/1000,"0K")&amp;"
"&amp;OR_VEH!H114</f>
        <v xml:space="preserve">NE PAS UTILISER
0K/0K
</v>
      </c>
      <c r="G15" s="1801" t="str">
        <f>OR_VEH!B264&amp;"
"&amp;TEXT(OR_VEH!E264/1000,"0K")&amp;"/"&amp;TEXT(OR_VEH!F264/1000,"0K")&amp;"
"&amp;OR_VEH!H264</f>
        <v xml:space="preserve">NE PAS UTILISER
0K/0K
</v>
      </c>
      <c r="H15" s="1801" t="str">
        <f>OR_VEH!B364&amp;"
"&amp;TEXT(OR_VEH!E364/1000,"0K")&amp;"/"&amp;TEXT(OR_VEH!F364/1000,"0K")&amp;"
"&amp;OR_VEH!H364</f>
        <v xml:space="preserve">NE PAS UTILISER
0K/0K
</v>
      </c>
      <c r="I15" s="1801" t="str">
        <f>OR_VEH!B214&amp;"
"&amp;TEXT(OR_VEH!E214/1000,"0K")&amp;"/"&amp;TEXT(OR_VEH!F214/1000,"0K")&amp;"
"&amp;OR_VEH!H214</f>
        <v>ATS-V
40K/150K
404K/L/M</v>
      </c>
      <c r="J15" s="1801" t="str">
        <f>OR_VEH!B314&amp;"
"&amp;TEXT(OR_VEH!E314/1000,"0K")&amp;"/"&amp;TEXT(OR_VEH!F314/1000,"0K")&amp;"
"&amp;OR_VEH!H314</f>
        <v xml:space="preserve">NE PAS UTILISER
0K/0K
</v>
      </c>
      <c r="K15" s="1801" t="str">
        <f>OR_VEH!B414&amp;"
"&amp;TEXT(OR_VEH!E414/1000,"0K")&amp;"/"&amp;TEXT(OR_VEH!F414/1000,"0K")&amp;"
"&amp;OR_VEH!H414</f>
        <v xml:space="preserve">NE PAS UTILISER
0K/0K
</v>
      </c>
      <c r="L15" s="1802" t="str">
        <f>OR_VEH!B464&amp;"
"&amp;TEXT(OR_VEH!E464/1000,"0K")&amp;"/"&amp;TEXT(OR_VEH!F464/1000,"0K")&amp;"
"&amp;OR_VEH!H464</f>
        <v xml:space="preserve">NE PAS UTILISER
0K/0K
</v>
      </c>
    </row>
    <row r="16" spans="1:12" s="1798" customFormat="1" ht="45" customHeight="1">
      <c r="A16" s="2853"/>
      <c r="B16" s="1799">
        <v>412</v>
      </c>
      <c r="C16" s="1800" t="str">
        <f>OR_VEH!B15&amp;"
"&amp;TEXT(OR_VEH!E15/1000,"0K")&amp;"/"&amp;TEXT(OR_VEH!F15/1000,"0K")&amp;"
"&amp;OR_VEH!H15</f>
        <v xml:space="preserve">NE PAS UTILISER
0K/0K
</v>
      </c>
      <c r="D16" s="1801" t="str">
        <f>OR_VEH!B65&amp;"
"&amp;TEXT(OR_VEH!E65/1000,"0K")&amp;"/"&amp;TEXT(OR_VEH!F65/1000,"0K")&amp;"
"&amp;OR_VEH!H65</f>
        <v xml:space="preserve">NE PAS UTILISER
0K/0K
</v>
      </c>
      <c r="E16" s="1801" t="str">
        <f>OR_VEH!B165&amp;"
"&amp;TEXT(OR_VEH!E165/1000,"0K")&amp;"/"&amp;TEXT(OR_VEH!F165/1000,"0K")&amp;"
"&amp;OR_VEH!H165</f>
        <v xml:space="preserve">NE PAS UTILISER
0K/0K
</v>
      </c>
      <c r="F16" s="1801" t="str">
        <f>OR_VEH!B115&amp;"
"&amp;TEXT(OR_VEH!E115/1000,"0K")&amp;"/"&amp;TEXT(OR_VEH!F115/1000,"0K")&amp;"
"&amp;OR_VEH!H115</f>
        <v xml:space="preserve">NE PAS UTILISER
0K/0K
</v>
      </c>
      <c r="G16" s="1801" t="str">
        <f>OR_VEH!B265&amp;"
"&amp;TEXT(OR_VEH!E265/1000,"0K")&amp;"/"&amp;TEXT(OR_VEH!F265/1000,"0K")&amp;"
"&amp;OR_VEH!H265</f>
        <v xml:space="preserve">NE PAS UTILISER
0K/0K
</v>
      </c>
      <c r="H16" s="1801" t="str">
        <f>OR_VEH!B365&amp;"
"&amp;TEXT(OR_VEH!E365/1000,"0K")&amp;"/"&amp;TEXT(OR_VEH!F365/1000,"0K")&amp;"
"&amp;OR_VEH!H365</f>
        <v xml:space="preserve">NE PAS UTILISER
0K/0K
</v>
      </c>
      <c r="I16" s="1801" t="str">
        <f>OR_VEH!B215&amp;"
"&amp;TEXT(OR_VEH!E215/1000,"0K")&amp;"/"&amp;TEXT(OR_VEH!F215/1000,"0K")&amp;"
"&amp;OR_VEH!H215</f>
        <v>CT6
50K/175K
404K/L/M</v>
      </c>
      <c r="J16" s="1801" t="str">
        <f>OR_VEH!B315&amp;"
"&amp;TEXT(OR_VEH!E315/1000,"0K")&amp;"/"&amp;TEXT(OR_VEH!F315/1000,"0K")&amp;"
"&amp;OR_VEH!H315</f>
        <v xml:space="preserve">NE PAS UTILISER
0K/0K
</v>
      </c>
      <c r="K16" s="1801" t="str">
        <f>OR_VEH!B415&amp;"
"&amp;TEXT(OR_VEH!E415/1000,"0K")&amp;"/"&amp;TEXT(OR_VEH!F415/1000,"0K")&amp;"
"&amp;OR_VEH!H415</f>
        <v xml:space="preserve">NE PAS UTILISER
0K/0K
</v>
      </c>
      <c r="L16" s="1802" t="str">
        <f>OR_VEH!B465&amp;"
"&amp;TEXT(OR_VEH!E465/1000,"0K")&amp;"/"&amp;TEXT(OR_VEH!F465/1000,"0K")&amp;"
"&amp;OR_VEH!H465</f>
        <v xml:space="preserve">NE PAS UTILISER
0K/0K
</v>
      </c>
    </row>
    <row r="17" spans="1:12" s="1798" customFormat="1" ht="45" customHeight="1">
      <c r="A17" s="2853"/>
      <c r="B17" s="1799">
        <v>413</v>
      </c>
      <c r="C17" s="1800" t="str">
        <f>OR_VEH!B16&amp;"
"&amp;TEXT(OR_VEH!E16/1000,"0K")&amp;"/"&amp;TEXT(OR_VEH!F16/1000,"0K")&amp;"
"&amp;OR_VEH!H16</f>
        <v xml:space="preserve">NE PAS UTILISER
0K/0K
</v>
      </c>
      <c r="D17" s="1801" t="str">
        <f>OR_VEH!B66&amp;"
"&amp;TEXT(OR_VEH!E66/1000,"0K")&amp;"/"&amp;TEXT(OR_VEH!F66/1000,"0K")&amp;"
"&amp;OR_VEH!H66</f>
        <v xml:space="preserve">NE PAS UTILISER
0K/0K
</v>
      </c>
      <c r="E17" s="1801" t="str">
        <f>OR_VEH!B166&amp;"
"&amp;TEXT(OR_VEH!E166/1000,"0K")&amp;"/"&amp;TEXT(OR_VEH!F166/1000,"0K")&amp;"
"&amp;OR_VEH!H166</f>
        <v xml:space="preserve">NE PAS UTILISER
0K/0K
</v>
      </c>
      <c r="F17" s="1801" t="str">
        <f>OR_VEH!B116&amp;"
"&amp;TEXT(OR_VEH!E116/1000,"0K")&amp;"/"&amp;TEXT(OR_VEH!F116/1000,"0K")&amp;"
"&amp;OR_VEH!H116</f>
        <v xml:space="preserve">NE PAS UTILISER
0K/0K
</v>
      </c>
      <c r="G17" s="1801" t="str">
        <f>OR_VEH!B266&amp;"
"&amp;TEXT(OR_VEH!E266/1000,"0K")&amp;"/"&amp;TEXT(OR_VEH!F266/1000,"0K")&amp;"
"&amp;OR_VEH!H266</f>
        <v xml:space="preserve">NE PAS UTILISER
0K/0K
</v>
      </c>
      <c r="H17" s="1801" t="str">
        <f>OR_VEH!B366&amp;"
"&amp;TEXT(OR_VEH!E366/1000,"0K")&amp;"/"&amp;TEXT(OR_VEH!F366/1000,"0K")&amp;"
"&amp;OR_VEH!H366</f>
        <v xml:space="preserve">NE PAS UTILISER
0K/0K
</v>
      </c>
      <c r="I17" s="1801" t="str">
        <f>OR_VEH!B216&amp;"
"&amp;TEXT(OR_VEH!E216/1000,"0K")&amp;"/"&amp;TEXT(OR_VEH!F216/1000,"0K")&amp;"
"&amp;OR_VEH!H216</f>
        <v xml:space="preserve">NE PAS UTILISER
0K/0K
</v>
      </c>
      <c r="J17" s="1801" t="str">
        <f>OR_VEH!B316&amp;"
"&amp;TEXT(OR_VEH!E316/1000,"0K")&amp;"/"&amp;TEXT(OR_VEH!F316/1000,"0K")&amp;"
"&amp;OR_VEH!H316</f>
        <v xml:space="preserve">NE PAS UTILISER
0K/0K
</v>
      </c>
      <c r="K17" s="1801" t="str">
        <f>OR_VEH!B416&amp;"
"&amp;TEXT(OR_VEH!E416/1000,"0K")&amp;"/"&amp;TEXT(OR_VEH!F416/1000,"0K")&amp;"
"&amp;OR_VEH!H416</f>
        <v xml:space="preserve">NE PAS UTILISER
0K/0K
</v>
      </c>
      <c r="L17" s="1802" t="str">
        <f>OR_VEH!B466&amp;"
"&amp;TEXT(OR_VEH!E466/1000,"0K")&amp;"/"&amp;TEXT(OR_VEH!F466/1000,"0K")&amp;"
"&amp;OR_VEH!H466</f>
        <v xml:space="preserve">NE PAS UTILISER
0K/0K
</v>
      </c>
    </row>
    <row r="18" spans="1:12" s="1798" customFormat="1" ht="45" customHeight="1">
      <c r="A18" s="2853"/>
      <c r="B18" s="1799">
        <v>414</v>
      </c>
      <c r="C18" s="1800" t="str">
        <f>OR_VEH!B17&amp;"
"&amp;TEXT(OR_VEH!E17/1000,"0K")&amp;"/"&amp;TEXT(OR_VEH!F17/1000,"0K")&amp;"
"&amp;OR_VEH!H17</f>
        <v xml:space="preserve">NE PAS UTILISER
0K/0K
</v>
      </c>
      <c r="D18" s="1801" t="str">
        <f>OR_VEH!B67&amp;"
"&amp;TEXT(OR_VEH!E67/1000,"0K")&amp;"/"&amp;TEXT(OR_VEH!F67/1000,"0K")&amp;"
"&amp;OR_VEH!H67</f>
        <v xml:space="preserve">NE PAS UTILISER
0K/0K
</v>
      </c>
      <c r="E18" s="1801" t="str">
        <f>OR_VEH!B167&amp;"
"&amp;TEXT(OR_VEH!E167/1000,"0K")&amp;"/"&amp;TEXT(OR_VEH!F167/1000,"0K")&amp;"
"&amp;OR_VEH!H167</f>
        <v xml:space="preserve">NE PAS UTILISER
0K/0K
</v>
      </c>
      <c r="F18" s="1801" t="str">
        <f>OR_VEH!B117&amp;"
"&amp;TEXT(OR_VEH!E117/1000,"0K")&amp;"/"&amp;TEXT(OR_VEH!F117/1000,"0K")&amp;"
"&amp;OR_VEH!H117</f>
        <v xml:space="preserve">NE PAS UTILISER
0K/0K
</v>
      </c>
      <c r="G18" s="1801" t="str">
        <f>OR_VEH!B267&amp;"
"&amp;TEXT(OR_VEH!E267/1000,"0K")&amp;"/"&amp;TEXT(OR_VEH!F267/1000,"0K")&amp;"
"&amp;OR_VEH!H267</f>
        <v xml:space="preserve">NE PAS UTILISER
0K/0K
</v>
      </c>
      <c r="H18" s="1801" t="str">
        <f>OR_VEH!B367&amp;"
"&amp;TEXT(OR_VEH!E367/1000,"0K")&amp;"/"&amp;TEXT(OR_VEH!F367/1000,"0K")&amp;"
"&amp;OR_VEH!H367</f>
        <v xml:space="preserve">NE PAS UTILISER
0K/0K
</v>
      </c>
      <c r="I18" s="1801" t="str">
        <f>OR_VEH!B217&amp;"
"&amp;TEXT(OR_VEH!E217/1000,"0K")&amp;"/"&amp;TEXT(OR_VEH!F217/1000,"0K")&amp;"
"&amp;OR_VEH!H217</f>
        <v xml:space="preserve">NE PAS UTILISER
0K/0K
</v>
      </c>
      <c r="J18" s="1801" t="str">
        <f>OR_VEH!B317&amp;"
"&amp;TEXT(OR_VEH!E317/1000,"0K")&amp;"/"&amp;TEXT(OR_VEH!F317/1000,"0K")&amp;"
"&amp;OR_VEH!H317</f>
        <v xml:space="preserve">NE PAS UTILISER
0K/0K
</v>
      </c>
      <c r="K18" s="1801" t="str">
        <f>OR_VEH!B417&amp;"
"&amp;TEXT(OR_VEH!E417/1000,"0K")&amp;"/"&amp;TEXT(OR_VEH!F417/1000,"0K")&amp;"
"&amp;OR_VEH!H417</f>
        <v xml:space="preserve">NE PAS UTILISER
0K/0K
</v>
      </c>
      <c r="L18" s="1802" t="str">
        <f>OR_VEH!B467&amp;"
"&amp;TEXT(OR_VEH!E467/1000,"0K")&amp;"/"&amp;TEXT(OR_VEH!F467/1000,"0K")&amp;"
"&amp;OR_VEH!H467</f>
        <v xml:space="preserve">NE PAS UTILISER
0K/0K
</v>
      </c>
    </row>
    <row r="19" spans="1:12" s="1798" customFormat="1" ht="45" customHeight="1">
      <c r="A19" s="2853"/>
      <c r="B19" s="1799">
        <v>415</v>
      </c>
      <c r="C19" s="1800" t="str">
        <f>OR_VEH!B18&amp;"
"&amp;TEXT(OR_VEH!E18/1000,"0K")&amp;"/"&amp;TEXT(OR_VEH!F18/1000,"0K")&amp;"
"&amp;OR_VEH!H18</f>
        <v xml:space="preserve">NE PAS UTILISER
0K/0K
</v>
      </c>
      <c r="D19" s="1801" t="str">
        <f>OR_VEH!B68&amp;"
"&amp;TEXT(OR_VEH!E68/1000,"0K")&amp;"/"&amp;TEXT(OR_VEH!F68/1000,"0K")&amp;"
"&amp;OR_VEH!H68</f>
        <v xml:space="preserve">NE PAS UTILISER
0K/0K
</v>
      </c>
      <c r="E19" s="1801" t="str">
        <f>OR_VEH!B168&amp;"
"&amp;TEXT(OR_VEH!E168/1000,"0K")&amp;"/"&amp;TEXT(OR_VEH!F168/1000,"0K")&amp;"
"&amp;OR_VEH!H168</f>
        <v xml:space="preserve">NE PAS UTILISER
0K/0K
</v>
      </c>
      <c r="F19" s="1801" t="str">
        <f>OR_VEH!B118&amp;"
"&amp;TEXT(OR_VEH!E118/1000,"0K")&amp;"/"&amp;TEXT(OR_VEH!F118/1000,"0K")&amp;"
"&amp;OR_VEH!H118</f>
        <v xml:space="preserve">NE PAS UTILISER
0K/0K
</v>
      </c>
      <c r="G19" s="1801" t="str">
        <f>OR_VEH!B268&amp;"
"&amp;TEXT(OR_VEH!E268/1000,"0K")&amp;"/"&amp;TEXT(OR_VEH!F268/1000,"0K")&amp;"
"&amp;OR_VEH!H268</f>
        <v xml:space="preserve">NE PAS UTILISER
0K/0K
</v>
      </c>
      <c r="H19" s="1801" t="str">
        <f>OR_VEH!B368&amp;"
"&amp;TEXT(OR_VEH!E368/1000,"0K")&amp;"/"&amp;TEXT(OR_VEH!F368/1000,"0K")&amp;"
"&amp;OR_VEH!H368</f>
        <v xml:space="preserve">NE PAS UTILISER
0K/0K
</v>
      </c>
      <c r="I19" s="1801" t="str">
        <f>OR_VEH!B218&amp;"
"&amp;TEXT(OR_VEH!E218/1000,"0K")&amp;"/"&amp;TEXT(OR_VEH!F218/1000,"0K")&amp;"
"&amp;OR_VEH!H218</f>
        <v xml:space="preserve">NE PAS UTILISER
0K/0K
</v>
      </c>
      <c r="J19" s="1801" t="str">
        <f>OR_VEH!B318&amp;"
"&amp;TEXT(OR_VEH!E318/1000,"0K")&amp;"/"&amp;TEXT(OR_VEH!F318/1000,"0K")&amp;"
"&amp;OR_VEH!H318</f>
        <v xml:space="preserve">NE PAS UTILISER
0K/0K
</v>
      </c>
      <c r="K19" s="1801" t="str">
        <f>OR_VEH!B418&amp;"
"&amp;TEXT(OR_VEH!E418/1000,"0K")&amp;"/"&amp;TEXT(OR_VEH!F418/1000,"0K")&amp;"
"&amp;OR_VEH!H418</f>
        <v xml:space="preserve">NE PAS UTILISER
0K/0K
</v>
      </c>
      <c r="L19" s="1802" t="str">
        <f>OR_VEH!B468&amp;"
"&amp;TEXT(OR_VEH!E468/1000,"0K")&amp;"/"&amp;TEXT(OR_VEH!F468/1000,"0K")&amp;"
"&amp;OR_VEH!H468</f>
        <v xml:space="preserve">NE PAS UTILISER
0K/0K
</v>
      </c>
    </row>
    <row r="20" spans="1:12" s="1798" customFormat="1" ht="45" customHeight="1">
      <c r="A20" s="2853"/>
      <c r="B20" s="1799">
        <v>416</v>
      </c>
      <c r="C20" s="1800" t="str">
        <f>OR_VEH!B19&amp;"
"&amp;TEXT(OR_VEH!E19/1000,"0K")&amp;"/"&amp;TEXT(OR_VEH!F19/1000,"0K")&amp;"
"&amp;OR_VEH!H19</f>
        <v xml:space="preserve">POUR USAGE FUTUR
0K/1000K
</v>
      </c>
      <c r="D20" s="1801" t="str">
        <f>OR_VEH!B69&amp;"
"&amp;TEXT(OR_VEH!E69/1000,"0K")&amp;"/"&amp;TEXT(OR_VEH!F69/1000,"0K")&amp;"
"&amp;OR_VEH!H69</f>
        <v xml:space="preserve">NE PAS UTILISER
0K/0K
</v>
      </c>
      <c r="E20" s="1801" t="str">
        <f>OR_VEH!B169&amp;"
"&amp;TEXT(OR_VEH!E169/1000,"0K")&amp;"/"&amp;TEXT(OR_VEH!F169/1000,"0K")&amp;"
"&amp;OR_VEH!H169</f>
        <v xml:space="preserve">POUR USAGE FUTUR
0K/1000K
</v>
      </c>
      <c r="F20" s="1801" t="str">
        <f>OR_VEH!B119&amp;"
"&amp;TEXT(OR_VEH!E119/1000,"0K")&amp;"/"&amp;TEXT(OR_VEH!F119/1000,"0K")&amp;"
"&amp;OR_VEH!H119</f>
        <v xml:space="preserve">NE PAS UTILISER
0K/0K
</v>
      </c>
      <c r="G20" s="1801" t="str">
        <f>OR_VEH!B269&amp;"
"&amp;TEXT(OR_VEH!E269/1000,"0K")&amp;"/"&amp;TEXT(OR_VEH!F269/1000,"0K")&amp;"
"&amp;OR_VEH!H269</f>
        <v xml:space="preserve">POUR USAGE FUTUR
0K/1000K
</v>
      </c>
      <c r="H20" s="1801" t="str">
        <f>OR_VEH!B369&amp;"
"&amp;TEXT(OR_VEH!E369/1000,"0K")&amp;"/"&amp;TEXT(OR_VEH!F369/1000,"0K")&amp;"
"&amp;OR_VEH!H369</f>
        <v xml:space="preserve">NE PAS UTILISER
0K/0K
</v>
      </c>
      <c r="I20" s="1801" t="str">
        <f>OR_VEH!B219&amp;"
"&amp;TEXT(OR_VEH!E219/1000,"0K")&amp;"/"&amp;TEXT(OR_VEH!F219/1000,"0K")&amp;"
"&amp;OR_VEH!H219</f>
        <v xml:space="preserve">POUR USAGE FUTUR
0K/1000K
</v>
      </c>
      <c r="J20" s="1801" t="str">
        <f>OR_VEH!B319&amp;"
"&amp;TEXT(OR_VEH!E319/1000,"0K")&amp;"/"&amp;TEXT(OR_VEH!F319/1000,"0K")&amp;"
"&amp;OR_VEH!H319</f>
        <v xml:space="preserve">NE PAS UTILISER
0K/0K
</v>
      </c>
      <c r="K20" s="1801" t="str">
        <f>OR_VEH!B419&amp;"
"&amp;TEXT(OR_VEH!E419/1000,"0K")&amp;"/"&amp;TEXT(OR_VEH!F419/1000,"0K")&amp;"
"&amp;OR_VEH!H419</f>
        <v xml:space="preserve">NE PAS UTILISER
0K/0K
</v>
      </c>
      <c r="L20" s="1802" t="str">
        <f>OR_VEH!B469&amp;"
"&amp;TEXT(OR_VEH!E469/1000,"0K")&amp;"/"&amp;TEXT(OR_VEH!F469/1000,"0K")&amp;"
"&amp;OR_VEH!H469</f>
        <v xml:space="preserve">NE PAS UTILISER
0K/0K
</v>
      </c>
    </row>
    <row r="21" spans="1:12" s="1798" customFormat="1" ht="45" customHeight="1">
      <c r="A21" s="2853"/>
      <c r="B21" s="1799">
        <v>417</v>
      </c>
      <c r="C21" s="1800" t="str">
        <f>OR_VEH!B20&amp;"
"&amp;TEXT(OR_VEH!E20/1000,"0K")&amp;"/"&amp;TEXT(OR_VEH!F20/1000,"0K")&amp;"
"&amp;OR_VEH!H20</f>
        <v xml:space="preserve">NE PAS UTILISER
0K/0K
</v>
      </c>
      <c r="D21" s="1801" t="str">
        <f>OR_VEH!B70&amp;"
"&amp;TEXT(OR_VEH!E70/1000,"0K")&amp;"/"&amp;TEXT(OR_VEH!F70/1000,"0K")&amp;"
"&amp;OR_VEH!H70</f>
        <v xml:space="preserve">NE PAS UTILISER
0K/0K
</v>
      </c>
      <c r="E21" s="1801" t="str">
        <f>OR_VEH!B170&amp;"
"&amp;TEXT(OR_VEH!E170/1000,"0K")&amp;"/"&amp;TEXT(OR_VEH!F170/1000,"0K")&amp;"
"&amp;OR_VEH!H170</f>
        <v xml:space="preserve">NE PAS UTILISER
0K/0K
</v>
      </c>
      <c r="F21" s="1801" t="str">
        <f>OR_VEH!B120&amp;"
"&amp;TEXT(OR_VEH!E120/1000,"0K")&amp;"/"&amp;TEXT(OR_VEH!F120/1000,"0K")&amp;"
"&amp;OR_VEH!H120</f>
        <v xml:space="preserve">NE PAS UTILISER
0K/0K
</v>
      </c>
      <c r="G21" s="1801" t="str">
        <f>OR_VEH!B270&amp;"
"&amp;TEXT(OR_VEH!E270/1000,"0K")&amp;"/"&amp;TEXT(OR_VEH!F270/1000,"0K")&amp;"
"&amp;OR_VEH!H270</f>
        <v xml:space="preserve">NE PAS UTILISER
0K/0K
</v>
      </c>
      <c r="H21" s="1801" t="str">
        <f>OR_VEH!B370&amp;"
"&amp;TEXT(OR_VEH!E370/1000,"0K")&amp;"/"&amp;TEXT(OR_VEH!F370/1000,"0K")&amp;"
"&amp;OR_VEH!H370</f>
        <v xml:space="preserve">NE PAS UTILISER
0K/0K
</v>
      </c>
      <c r="I21" s="1801" t="str">
        <f>OR_VEH!B220&amp;"
"&amp;TEXT(OR_VEH!E220/1000,"0K")&amp;"/"&amp;TEXT(OR_VEH!F220/1000,"0K")&amp;"
"&amp;OR_VEH!H220</f>
        <v xml:space="preserve">NE PAS UTILISER
0K/0K
</v>
      </c>
      <c r="J21" s="1801" t="str">
        <f>OR_VEH!B320&amp;"
"&amp;TEXT(OR_VEH!E320/1000,"0K")&amp;"/"&amp;TEXT(OR_VEH!F320/1000,"0K")&amp;"
"&amp;OR_VEH!H320</f>
        <v xml:space="preserve">NE PAS UTILISER
0K/0K
</v>
      </c>
      <c r="K21" s="1801" t="str">
        <f>OR_VEH!B420&amp;"
"&amp;TEXT(OR_VEH!E420/1000,"0K")&amp;"/"&amp;TEXT(OR_VEH!F420/1000,"0K")&amp;"
"&amp;OR_VEH!H420</f>
        <v xml:space="preserve">NE PAS UTILISER
0K/0K
</v>
      </c>
      <c r="L21" s="1802" t="str">
        <f>OR_VEH!B470&amp;"
"&amp;TEXT(OR_VEH!E470/1000,"0K")&amp;"/"&amp;TEXT(OR_VEH!F470/1000,"0K")&amp;"
"&amp;OR_VEH!H470</f>
        <v xml:space="preserve">NE PAS UTILISER
0K/0K
</v>
      </c>
    </row>
    <row r="22" spans="1:12" s="1798" customFormat="1" ht="45" customHeight="1">
      <c r="A22" s="2853"/>
      <c r="B22" s="1799">
        <v>418</v>
      </c>
      <c r="C22" s="1803" t="str">
        <f>OR_VEH!B21&amp;"
"&amp;TEXT(OR_VEH!E21/1000,"0K")&amp;"/"&amp;TEXT(OR_VEH!F21/1000,"0K")&amp;"
"&amp;OR_VEH!H21</f>
        <v>AUTRES CHEVROLET
12K/125K
400K/L/M</v>
      </c>
      <c r="D22" s="1804" t="str">
        <f>OR_VEH!B71&amp;"
"&amp;TEXT(OR_VEH!E71/1000,"0K")&amp;"/"&amp;TEXT(OR_VEH!F71/1000,"0K")&amp;"
"&amp;OR_VEH!H71</f>
        <v xml:space="preserve">NE PAS UTILISER
0K/0K
</v>
      </c>
      <c r="E22" s="1804" t="str">
        <f>OR_VEH!B171&amp;"
"&amp;TEXT(OR_VEH!E171/1000,"0K")&amp;"/"&amp;TEXT(OR_VEH!F171/1000,"0K")&amp;"
"&amp;OR_VEH!H171</f>
        <v>AUTRES BUICK
17K/110K
402K/L/M</v>
      </c>
      <c r="F22" s="1804" t="str">
        <f>OR_VEH!B121&amp;"
"&amp;TEXT(OR_VEH!E121/1000,"0K")&amp;"/"&amp;TEXT(OR_VEH!F121/1000,"0K")&amp;"
"&amp;OR_VEH!H121</f>
        <v xml:space="preserve">NE PAS UTILISER
0K/0K
</v>
      </c>
      <c r="G22" s="1804" t="str">
        <f>OR_VEH!B271&amp;"
"&amp;TEXT(OR_VEH!E271/1000,"0K")&amp;"/"&amp;TEXT(OR_VEH!F271/1000,"0K")&amp;"
"&amp;OR_VEH!H271</f>
        <v xml:space="preserve">AUTRES GMC
10K/110K
</v>
      </c>
      <c r="H22" s="1804" t="str">
        <f>OR_VEH!B371&amp;"
"&amp;TEXT(OR_VEH!E371/1000,"0K")&amp;"/"&amp;TEXT(OR_VEH!F371/1000,"0K")&amp;"
"&amp;OR_VEH!H371</f>
        <v xml:space="preserve">NE PAS UTILISER
0K/0K
</v>
      </c>
      <c r="I22" s="1804" t="str">
        <f>OR_VEH!B221&amp;"
"&amp;TEXT(OR_VEH!E221/1000,"0K")&amp;"/"&amp;TEXT(OR_VEH!F221/1000,"0K")&amp;"
"&amp;OR_VEH!H221</f>
        <v>AUTRES CADILLAC
30K/180K
404K/L/M</v>
      </c>
      <c r="J22" s="1804" t="str">
        <f>OR_VEH!B321&amp;"
"&amp;TEXT(OR_VEH!E321/1000,"0K")&amp;"/"&amp;TEXT(OR_VEH!F321/1000,"0K")&amp;"
"&amp;OR_VEH!H321</f>
        <v xml:space="preserve">NE PAS UTILISER
0K/0K
</v>
      </c>
      <c r="K22" s="1804" t="str">
        <f>OR_VEH!B421&amp;"
"&amp;TEXT(OR_VEH!E421/1000,"0K")&amp;"/"&amp;TEXT(OR_VEH!F421/1000,"0K")&amp;"
"&amp;OR_VEH!H421</f>
        <v xml:space="preserve">NE PAS UTILISER
0K/0K
</v>
      </c>
      <c r="L22" s="1805" t="str">
        <f>OR_VEH!B471&amp;"
"&amp;TEXT(OR_VEH!E471/1000,"0K")&amp;"/"&amp;TEXT(OR_VEH!F471/1000,"0K")&amp;"
"&amp;OR_VEH!H471</f>
        <v xml:space="preserve">NE PAS UTILISER
0K/0K
</v>
      </c>
    </row>
    <row r="23" spans="1:12" s="1798" customFormat="1" ht="17.5">
      <c r="A23" s="1793"/>
      <c r="B23" s="1813" t="str">
        <f>B1</f>
        <v>Étendue de vérification de la gamme de modèles de véhicules ainsi que le mappage à la page 5 PARCS</v>
      </c>
      <c r="C23" s="1806"/>
      <c r="D23" s="1806"/>
      <c r="E23" s="1806"/>
      <c r="F23" s="1806"/>
      <c r="G23" s="1806"/>
      <c r="H23" s="1806"/>
      <c r="I23" s="1806"/>
      <c r="J23" s="1806"/>
      <c r="K23" s="1806"/>
      <c r="L23" s="1806"/>
    </row>
    <row r="24" spans="1:12" s="1791" customFormat="1" ht="12" customHeight="1">
      <c r="B24" s="1791" t="s">
        <v>1050</v>
      </c>
      <c r="C24" s="1792" t="s">
        <v>1051</v>
      </c>
      <c r="D24" s="1792" t="s">
        <v>1052</v>
      </c>
      <c r="E24" s="1792" t="s">
        <v>1053</v>
      </c>
      <c r="F24" s="1792" t="s">
        <v>1054</v>
      </c>
      <c r="G24" s="1792" t="s">
        <v>1055</v>
      </c>
      <c r="H24" s="1792" t="s">
        <v>1056</v>
      </c>
      <c r="I24" s="1792" t="s">
        <v>1057</v>
      </c>
      <c r="J24" s="1792" t="s">
        <v>1058</v>
      </c>
      <c r="K24" s="1792" t="s">
        <v>1059</v>
      </c>
      <c r="L24" s="1792" t="s">
        <v>1060</v>
      </c>
    </row>
    <row r="25" spans="1:12" s="1798" customFormat="1" ht="12" customHeight="1">
      <c r="B25" s="1807" t="s">
        <v>1061</v>
      </c>
      <c r="C25" s="1811" t="str">
        <f t="shared" ref="C25:L25" si="0">C3</f>
        <v>CHEVROLET</v>
      </c>
      <c r="D25" s="1812" t="str">
        <f t="shared" si="0"/>
        <v>CHEVROLET - VE</v>
      </c>
      <c r="E25" s="1811" t="str">
        <f t="shared" ref="E25:J25" si="1">E3</f>
        <v>BUICK</v>
      </c>
      <c r="F25" s="1811" t="str">
        <f t="shared" si="1"/>
        <v>BUICK - VE</v>
      </c>
      <c r="G25" s="1811" t="str">
        <f t="shared" si="1"/>
        <v>GMC</v>
      </c>
      <c r="H25" s="1811" t="str">
        <f t="shared" si="1"/>
        <v>GMC - VE</v>
      </c>
      <c r="I25" s="1811" t="str">
        <f t="shared" si="1"/>
        <v>CADILLAC</v>
      </c>
      <c r="J25" s="1811" t="str">
        <f t="shared" si="1"/>
        <v>CADILLAC - VE</v>
      </c>
      <c r="K25" s="1811" t="str">
        <f t="shared" si="0"/>
        <v>SANS OBJECT</v>
      </c>
      <c r="L25" s="1811" t="str">
        <f t="shared" si="0"/>
        <v>SANS OBJECT</v>
      </c>
    </row>
    <row r="26" spans="1:12" s="1798" customFormat="1" ht="45" customHeight="1">
      <c r="A26" s="2854" t="s">
        <v>847</v>
      </c>
      <c r="B26" s="1794">
        <v>423</v>
      </c>
      <c r="C26" s="1795" t="str">
        <f>OR_VEH!B27&amp;"
"&amp;TEXT(OR_VEH!E27/1000,"0K")&amp;"/"&amp;TEXT(OR_VEH!F27/1000,"0K")&amp;"
"&amp;OR_VEH!H27</f>
        <v xml:space="preserve">NE PAS UTILISER
0K/0K
</v>
      </c>
      <c r="D26" s="1796" t="str">
        <f>OR_VEH!B77&amp;"
"&amp;TEXT(OR_VEH!E77/1000,"0K")&amp;"/"&amp;TEXT(OR_VEH!F77/1000,"0K")&amp;"
"&amp;OR_VEH!H77</f>
        <v>BOLT EUV
30K/120K
418K/L/M</v>
      </c>
      <c r="E26" s="1796" t="str">
        <f>OR_VEH!B177&amp;"
"&amp;TEXT(OR_VEH!E177/1000,"0K")&amp;"/"&amp;TEXT(OR_VEH!F177/1000,"0K")&amp;"
"&amp;OR_VEH!H177</f>
        <v xml:space="preserve">NE PAS UTILISER
0K/0K
</v>
      </c>
      <c r="F26" s="1796" t="str">
        <f>OR_VEH!B127&amp;"
"&amp;TEXT(OR_VEH!E127/1000,"0K")&amp;"/"&amp;TEXT(OR_VEH!F127/1000,"0K")&amp;"
"&amp;OR_VEH!H127</f>
        <v xml:space="preserve">NE PAS UTILISER
0K/0K
</v>
      </c>
      <c r="G26" s="1796" t="str">
        <f>OR_VEH!B277&amp;"
"&amp;TEXT(OR_VEH!E277/1000,"0K")&amp;"/"&amp;TEXT(OR_VEH!F277/1000,"0K")&amp;"
"&amp;OR_VEH!H277</f>
        <v xml:space="preserve">NE PAS UTILISER
0K/0K
</v>
      </c>
      <c r="H26" s="1796" t="str">
        <f>OR_VEH!B377&amp;"
"&amp;TEXT(OR_VEH!E377/1000,"0K")&amp;"/"&amp;TEXT(OR_VEH!F377/1000,"0K")&amp;"
"&amp;OR_VEH!H377</f>
        <v>HUMMER EV SUT
70K/300K
427K/L/M</v>
      </c>
      <c r="I26" s="1796" t="str">
        <f>OR_VEH!B227&amp;"
"&amp;TEXT(OR_VEH!E227/1000,"0K")&amp;"/"&amp;TEXT(OR_VEH!F227/1000,"0K")&amp;"
"&amp;OR_VEH!H227</f>
        <v>ESCALADE   
45K/220K
417K/L/M</v>
      </c>
      <c r="J26" s="1796" t="str">
        <f>OR_VEH!B327&amp;"
"&amp;TEXT(OR_VEH!E327/1000,"0K")&amp;"/"&amp;TEXT(OR_VEH!F327/1000,"0K")&amp;"
"&amp;OR_VEH!H327</f>
        <v>LYRIQ
50K/170K
414K/L/M</v>
      </c>
      <c r="K26" s="1796" t="str">
        <f>OR_VEH!B427&amp;"
"&amp;TEXT(OR_VEH!E427/1000,"0K")&amp;"/"&amp;TEXT(OR_VEH!F427/1000,"0K")&amp;"
"&amp;OR_VEH!H427</f>
        <v xml:space="preserve">NE PAS UTILISER
0K/0K
</v>
      </c>
      <c r="L26" s="1797" t="str">
        <f>OR_VEH!B477&amp;"
"&amp;TEXT(OR_VEH!E477/1000,"0K")&amp;"/"&amp;TEXT(OR_VEH!F477/1000,"0K")&amp;"
"&amp;OR_VEH!H477</f>
        <v xml:space="preserve">POIDS LOURD
0K/1000K
</v>
      </c>
    </row>
    <row r="27" spans="1:12" s="1798" customFormat="1" ht="40">
      <c r="A27" s="2854"/>
      <c r="B27" s="1799">
        <v>424</v>
      </c>
      <c r="C27" s="1800" t="str">
        <f>OR_VEH!B28&amp;"
"&amp;TEXT(OR_VEH!E28/1000,"0K")&amp;"/"&amp;TEXT(OR_VEH!F28/1000,"0K")&amp;"
"&amp;OR_VEH!H28</f>
        <v xml:space="preserve">NE PAS UTILISER
0K/0K
</v>
      </c>
      <c r="D27" s="1801" t="str">
        <f>OR_VEH!B78&amp;"
"&amp;TEXT(OR_VEH!E78/1000,"0K")&amp;"/"&amp;TEXT(OR_VEH!F78/1000,"0K")&amp;"
"&amp;OR_VEH!H78</f>
        <v>BOLT EV
30K/125K
418K/L/M</v>
      </c>
      <c r="E27" s="1801" t="str">
        <f>OR_VEH!B178&amp;"
"&amp;TEXT(OR_VEH!E178/1000,"0K")&amp;"/"&amp;TEXT(OR_VEH!F178/1000,"0K")&amp;"
"&amp;OR_VEH!H178</f>
        <v>ENVISTA
15K/100K
416K/L/M</v>
      </c>
      <c r="F27" s="1801" t="str">
        <f>OR_VEH!B128&amp;"
"&amp;TEXT(OR_VEH!E128/1000,"0K")&amp;"/"&amp;TEXT(OR_VEH!F128/1000,"0K")&amp;"
"&amp;OR_VEH!H128</f>
        <v xml:space="preserve">NE PAS UTILISER
0K/0K
</v>
      </c>
      <c r="G27" s="1801" t="str">
        <f>OR_VEH!B278&amp;"
"&amp;TEXT(OR_VEH!E278/1000,"0K")&amp;"/"&amp;TEXT(OR_VEH!F278/1000,"0K")&amp;"
"&amp;OR_VEH!H278</f>
        <v>TERRAIN
14K/120K
421K/L/M</v>
      </c>
      <c r="H27" s="1801" t="str">
        <f>OR_VEH!B378&amp;"
"&amp;TEXT(OR_VEH!E378/1000,"0K")&amp;"/"&amp;TEXT(OR_VEH!F378/1000,"0K")&amp;"
"&amp;OR_VEH!H378</f>
        <v>HUMMER EV SUV
70K/300K
422K/L/M</v>
      </c>
      <c r="I27" s="1801" t="str">
        <f>OR_VEH!B228&amp;"
"&amp;TEXT(OR_VEH!E228/1000,"0K")&amp;"/"&amp;TEXT(OR_VEH!F228/1000,"0K")&amp;"
"&amp;OR_VEH!H228</f>
        <v xml:space="preserve">NE PAS UTILISER
0K/0K
</v>
      </c>
      <c r="J27" s="1801" t="str">
        <f>OR_VEH!B328&amp;"
"&amp;TEXT(OR_VEH!E328/1000,"0K")&amp;"/"&amp;TEXT(OR_VEH!F328/1000,"0K")&amp;"
"&amp;OR_VEH!H328</f>
        <v xml:space="preserve">OPTIQ
40K/140K
</v>
      </c>
      <c r="K27" s="1801" t="str">
        <f>OR_VEH!B428&amp;"
"&amp;TEXT(OR_VEH!E428/1000,"0K")&amp;"/"&amp;TEXT(OR_VEH!F428/1000,"0K")&amp;"
"&amp;OR_VEH!H428</f>
        <v xml:space="preserve">NE PAS UTILISER
0K/0K
</v>
      </c>
      <c r="L27" s="1802" t="str">
        <f>OR_VEH!B478&amp;"
"&amp;TEXT(OR_VEH!E478/1000,"0K")&amp;"/"&amp;TEXT(OR_VEH!F478/1000,"0K")&amp;"
"&amp;OR_VEH!H478</f>
        <v xml:space="preserve">NE PAS UTILISER
0K/0K
</v>
      </c>
    </row>
    <row r="28" spans="1:12" s="1798" customFormat="1" ht="40">
      <c r="A28" s="2854"/>
      <c r="B28" s="1799">
        <v>425</v>
      </c>
      <c r="C28" s="1800" t="str">
        <f>OR_VEH!B29&amp;"
"&amp;TEXT(OR_VEH!E29/1000,"0K")&amp;"/"&amp;TEXT(OR_VEH!F29/1000,"0K")&amp;"
"&amp;OR_VEH!H29</f>
        <v>EXPRESS
20K/130K
432K/L/M</v>
      </c>
      <c r="D28" s="1801" t="str">
        <f>OR_VEH!B79&amp;"
"&amp;TEXT(OR_VEH!E79/1000,"0K")&amp;"/"&amp;TEXT(OR_VEH!F79/1000,"0K")&amp;"
"&amp;OR_VEH!H79</f>
        <v>BLAZER EV
45K/130K
420K/L/M</v>
      </c>
      <c r="E28" s="1801" t="str">
        <f>OR_VEH!B179&amp;"
"&amp;TEXT(OR_VEH!E179/1000,"0K")&amp;"/"&amp;TEXT(OR_VEH!F179/1000,"0K")&amp;"
"&amp;OR_VEH!H179</f>
        <v xml:space="preserve">NE PAS UTILISER
0K/0K
</v>
      </c>
      <c r="F28" s="1801" t="str">
        <f>OR_VEH!B129&amp;"
"&amp;TEXT(OR_VEH!E129/1000,"0K")&amp;"/"&amp;TEXT(OR_VEH!F129/1000,"0K")&amp;"
"&amp;OR_VEH!H129</f>
        <v xml:space="preserve">NE PAS UTILISER
0K/0K
</v>
      </c>
      <c r="G28" s="1801" t="str">
        <f>OR_VEH!B279&amp;"
"&amp;TEXT(OR_VEH!E279/1000,"0K")&amp;"/"&amp;TEXT(OR_VEH!F279/1000,"0K")&amp;"
"&amp;OR_VEH!H279</f>
        <v>SAVANA
20K/140K
432K/L/M</v>
      </c>
      <c r="H28" s="1801" t="str">
        <f>OR_VEH!B379&amp;"
"&amp;TEXT(OR_VEH!E379/1000,"0K")&amp;"/"&amp;TEXT(OR_VEH!F379/1000,"0K")&amp;"
"&amp;OR_VEH!H379</f>
        <v>SIERRA EV
40K/155K
427K/L/M</v>
      </c>
      <c r="I28" s="1801" t="str">
        <f>OR_VEH!B229&amp;"
"&amp;TEXT(OR_VEH!E229/1000,"0K")&amp;"/"&amp;TEXT(OR_VEH!F229/1000,"0K")&amp;"
"&amp;OR_VEH!H229</f>
        <v>ESCALADE-ESV
45K/250K
417K/L/M</v>
      </c>
      <c r="J28" s="1801" t="str">
        <f>OR_VEH!B329&amp;"
"&amp;TEXT(OR_VEH!E329/1000,"0K")&amp;"/"&amp;TEXT(OR_VEH!F329/1000,"0K")&amp;"
"&amp;OR_VEH!H329</f>
        <v>ESCALADE IQ
5K/350K
416K/L/M</v>
      </c>
      <c r="K28" s="1801" t="str">
        <f>OR_VEH!B429&amp;"
"&amp;TEXT(OR_VEH!E429/1000,"0K")&amp;"/"&amp;TEXT(OR_VEH!F429/1000,"0K")&amp;"
"&amp;OR_VEH!H429</f>
        <v xml:space="preserve">NE PAS UTILISER
0K/0K
</v>
      </c>
      <c r="L28" s="1802" t="str">
        <f>OR_VEH!B479&amp;"
"&amp;TEXT(OR_VEH!E479/1000,"0K")&amp;"/"&amp;TEXT(OR_VEH!F479/1000,"0K")&amp;"
"&amp;OR_VEH!H479</f>
        <v xml:space="preserve">NE PAS UTILISER
0K/0K
</v>
      </c>
    </row>
    <row r="29" spans="1:12" s="1798" customFormat="1" ht="40">
      <c r="A29" s="2854"/>
      <c r="B29" s="1799">
        <v>426</v>
      </c>
      <c r="C29" s="1800" t="str">
        <f>OR_VEH!B30&amp;"
"&amp;TEXT(OR_VEH!E30/1000,"0K")&amp;"/"&amp;TEXT(OR_VEH!F30/1000,"0K")&amp;"
"&amp;OR_VEH!H30</f>
        <v>COLORADO
20K/130K
428K/L/M</v>
      </c>
      <c r="D29" s="1801" t="str">
        <f>OR_VEH!B80&amp;"
"&amp;TEXT(OR_VEH!E80/1000,"0K")&amp;"/"&amp;TEXT(OR_VEH!F80/1000,"0K")&amp;"
"&amp;OR_VEH!H80</f>
        <v>EQUINOX EV
34K/96K
418K/L/M</v>
      </c>
      <c r="E29" s="1801" t="str">
        <f>OR_VEH!B180&amp;"
"&amp;TEXT(OR_VEH!E180/1000,"0K")&amp;"/"&amp;TEXT(OR_VEH!F180/1000,"0K")&amp;"
"&amp;OR_VEH!H180</f>
        <v>ENCLAVE
25K/140K
415K/L/M</v>
      </c>
      <c r="F29" s="1801" t="str">
        <f>OR_VEH!B130&amp;"
"&amp;TEXT(OR_VEH!E130/1000,"0K")&amp;"/"&amp;TEXT(OR_VEH!F130/1000,"0K")&amp;"
"&amp;OR_VEH!H130</f>
        <v xml:space="preserve">NE PAS UTILISER
0K/0K
</v>
      </c>
      <c r="G29" s="1801" t="str">
        <f>OR_VEH!B280&amp;"
"&amp;TEXT(OR_VEH!E280/1000,"0K")&amp;"/"&amp;TEXT(OR_VEH!F280/1000,"0K")&amp;"
"&amp;OR_VEH!H280</f>
        <v>CANYON
20K/130K
428K/L/M</v>
      </c>
      <c r="H29" s="1801" t="str">
        <f>OR_VEH!B380&amp;"
"&amp;TEXT(OR_VEH!E380/1000,"0K")&amp;"/"&amp;TEXT(OR_VEH!F380/1000,"0K")&amp;"
"&amp;OR_VEH!H380</f>
        <v>NE PAS UTILISER
0K/0K
-</v>
      </c>
      <c r="I29" s="1801" t="str">
        <f>OR_VEH!B230&amp;"
"&amp;TEXT(OR_VEH!E230/1000,"0K")&amp;"/"&amp;TEXT(OR_VEH!F230/1000,"0K")&amp;"
"&amp;OR_VEH!H230</f>
        <v>SRX
30K/170K
413K/L/M</v>
      </c>
      <c r="J29" s="1801" t="str">
        <f>OR_VEH!B330&amp;"
"&amp;TEXT(OR_VEH!E330/1000,"0K")&amp;"/"&amp;TEXT(OR_VEH!F330/1000,"0K")&amp;"
"&amp;OR_VEH!H330</f>
        <v xml:space="preserve">VISTIQ
50K/200K
</v>
      </c>
      <c r="K29" s="1801" t="str">
        <f>OR_VEH!B430&amp;"
"&amp;TEXT(OR_VEH!E430/1000,"0K")&amp;"/"&amp;TEXT(OR_VEH!F430/1000,"0K")&amp;"
"&amp;OR_VEH!H430</f>
        <v xml:space="preserve">NE PAS UTILISER
0K/0K
</v>
      </c>
      <c r="L29" s="1802" t="str">
        <f>OR_VEH!B480&amp;"
"&amp;TEXT(OR_VEH!E480/1000,"0K")&amp;"/"&amp;TEXT(OR_VEH!F480/1000,"0K")&amp;"
"&amp;OR_VEH!H480</f>
        <v xml:space="preserve">NE PAS UTILISER
0K/0K
</v>
      </c>
    </row>
    <row r="30" spans="1:12" s="1798" customFormat="1" ht="40">
      <c r="A30" s="2854"/>
      <c r="B30" s="1799">
        <v>427</v>
      </c>
      <c r="C30" s="1800" t="str">
        <f>OR_VEH!B31&amp;"
"&amp;TEXT(OR_VEH!E31/1000,"0K")&amp;"/"&amp;TEXT(OR_VEH!F31/1000,"0K")&amp;"
"&amp;OR_VEH!H31</f>
        <v>TRAVERSE
24K/130K
421K/L/M</v>
      </c>
      <c r="D30" s="1801" t="str">
        <f>OR_VEH!B81&amp;"
"&amp;TEXT(OR_VEH!E81/1000,"0K")&amp;"/"&amp;TEXT(OR_VEH!F81/1000,"0K")&amp;"
"&amp;OR_VEH!H81</f>
        <v xml:space="preserve">SILVERADO EV
40K/155K
</v>
      </c>
      <c r="E30" s="1801" t="str">
        <f>OR_VEH!B181&amp;"
"&amp;TEXT(OR_VEH!E181/1000,"0K")&amp;"/"&amp;TEXT(OR_VEH!F181/1000,"0K")&amp;"
"&amp;OR_VEH!H181</f>
        <v>ENCORE GX
15K/125K
416K/L/M</v>
      </c>
      <c r="F30" s="1801" t="str">
        <f>OR_VEH!B131&amp;"
"&amp;TEXT(OR_VEH!E131/1000,"0K")&amp;"/"&amp;TEXT(OR_VEH!F131/1000,"0K")&amp;"
"&amp;OR_VEH!H131</f>
        <v xml:space="preserve">NE PAS UTILISER
0K/0K
</v>
      </c>
      <c r="G30" s="1801" t="str">
        <f>OR_VEH!B281&amp;"
"&amp;TEXT(OR_VEH!E281/1000,"0K")&amp;"/"&amp;TEXT(OR_VEH!F281/1000,"0K")&amp;"
"&amp;OR_VEH!H281</f>
        <v xml:space="preserve">NE PAS UTILISER
0K/0K
</v>
      </c>
      <c r="H30" s="1801" t="str">
        <f>OR_VEH!B381&amp;"
"&amp;TEXT(OR_VEH!E381/1000,"0K")&amp;"/"&amp;TEXT(OR_VEH!F381/1000,"0K")&amp;"
"&amp;OR_VEH!H381</f>
        <v>NE PAS UTILISER
0K/0K
-</v>
      </c>
      <c r="I30" s="1801" t="str">
        <f>OR_VEH!B231&amp;"
"&amp;TEXT(OR_VEH!E231/1000,"0K")&amp;"/"&amp;TEXT(OR_VEH!F231/1000,"0K")&amp;"
"&amp;OR_VEH!H231</f>
        <v xml:space="preserve">NE PAS UTILISER
0K/0K
</v>
      </c>
      <c r="J30" s="1801" t="str">
        <f>OR_VEH!B331&amp;"
"&amp;TEXT(OR_VEH!E331/1000,"0K")&amp;"/"&amp;TEXT(OR_VEH!F331/1000,"0K")&amp;"
"&amp;OR_VEH!H331</f>
        <v xml:space="preserve">ESCALADE IQL
50K/300K
</v>
      </c>
      <c r="K30" s="1801" t="str">
        <f>OR_VEH!B431&amp;"
"&amp;TEXT(OR_VEH!E431/1000,"0K")&amp;"/"&amp;TEXT(OR_VEH!F431/1000,"0K")&amp;"
"&amp;OR_VEH!H431</f>
        <v xml:space="preserve">NE PAS UTILISER
0K/0K
</v>
      </c>
      <c r="L30" s="1802" t="str">
        <f>OR_VEH!B481&amp;"
"&amp;TEXT(OR_VEH!E481/1000,"0K")&amp;"/"&amp;TEXT(OR_VEH!F481/1000,"0K")&amp;"
"&amp;OR_VEH!H481</f>
        <v xml:space="preserve">NE PAS UTILISER
0K/0K
</v>
      </c>
    </row>
    <row r="31" spans="1:12" s="1798" customFormat="1" ht="40">
      <c r="A31" s="2854"/>
      <c r="B31" s="1799">
        <v>428</v>
      </c>
      <c r="C31" s="1800" t="str">
        <f>OR_VEH!B32&amp;"
"&amp;TEXT(OR_VEH!E32/1000,"0K")&amp;"/"&amp;TEXT(OR_VEH!F32/1000,"0K")&amp;"
"&amp;OR_VEH!H32</f>
        <v>TRAX
15K/115K
419K/L/M</v>
      </c>
      <c r="D31" s="1801" t="str">
        <f>OR_VEH!B82&amp;"
"&amp;TEXT(OR_VEH!E82/1000,"0K")&amp;"/"&amp;TEXT(OR_VEH!F82/1000,"0K")&amp;"
"&amp;OR_VEH!H82</f>
        <v xml:space="preserve">ZEVO 400 AWD
50K/200K
</v>
      </c>
      <c r="E31" s="1801" t="str">
        <f>OR_VEH!B182&amp;"
"&amp;TEXT(OR_VEH!E182/1000,"0K")&amp;"/"&amp;TEXT(OR_VEH!F182/1000,"0K")&amp;"
"&amp;OR_VEH!H182</f>
        <v>ENCORE
20K/115K
416K/L/M</v>
      </c>
      <c r="F31" s="1801" t="str">
        <f>OR_VEH!B132&amp;"
"&amp;TEXT(OR_VEH!E132/1000,"0K")&amp;"/"&amp;TEXT(OR_VEH!F132/1000,"0K")&amp;"
"&amp;OR_VEH!H132</f>
        <v xml:space="preserve">NE PAS UTILISER
0K/0K
</v>
      </c>
      <c r="G31" s="1801" t="str">
        <f>OR_VEH!B282&amp;"
"&amp;TEXT(OR_VEH!E282/1000,"0K")&amp;"/"&amp;TEXT(OR_VEH!F282/1000,"0K")&amp;"
"&amp;OR_VEH!H282</f>
        <v xml:space="preserve">NE PAS UTILISER
0K/0K
</v>
      </c>
      <c r="H31" s="1801" t="str">
        <f>OR_VEH!B382&amp;"
"&amp;TEXT(OR_VEH!E382/1000,"0K")&amp;"/"&amp;TEXT(OR_VEH!F382/1000,"0K")&amp;"
"&amp;OR_VEH!H382</f>
        <v>NE PAS UTILISER
0K/0K
-</v>
      </c>
      <c r="I31" s="1801" t="str">
        <f>OR_VEH!B232&amp;"
"&amp;TEXT(OR_VEH!E232/1000,"0K")&amp;"/"&amp;TEXT(OR_VEH!F232/1000,"0K")&amp;"
"&amp;OR_VEH!H232</f>
        <v xml:space="preserve">NE PAS UTILISER
0K/0K
</v>
      </c>
      <c r="J31" s="1801" t="str">
        <f>OR_VEH!B332&amp;"
"&amp;TEXT(OR_VEH!E332/1000,"0K")&amp;"/"&amp;TEXT(OR_VEH!F332/1000,"0K")&amp;"
"&amp;OR_VEH!H332</f>
        <v xml:space="preserve">NE PAS UTILISER
0K/0K
</v>
      </c>
      <c r="K31" s="1801" t="str">
        <f>OR_VEH!B432&amp;"
"&amp;TEXT(OR_VEH!E432/1000,"0K")&amp;"/"&amp;TEXT(OR_VEH!F432/1000,"0K")&amp;"
"&amp;OR_VEH!H432</f>
        <v xml:space="preserve">NE PAS UTILISER
0K/0K
</v>
      </c>
      <c r="L31" s="1802" t="str">
        <f>OR_VEH!B482&amp;"
"&amp;TEXT(OR_VEH!E482/1000,"0K")&amp;"/"&amp;TEXT(OR_VEH!F482/1000,"0K")&amp;"
"&amp;OR_VEH!H482</f>
        <v xml:space="preserve">NE PAS UTILISER
0K/0K
</v>
      </c>
    </row>
    <row r="32" spans="1:12" s="1798" customFormat="1" ht="40">
      <c r="A32" s="2854"/>
      <c r="B32" s="1799">
        <v>429</v>
      </c>
      <c r="C32" s="1800" t="str">
        <f>OR_VEH!B33&amp;"
"&amp;TEXT(OR_VEH!E33/1000,"0K")&amp;"/"&amp;TEXT(OR_VEH!F33/1000,"0K")&amp;"
"&amp;OR_VEH!H33</f>
        <v>TAHOE/SUBURBAN
24K/150K
423K/L/M</v>
      </c>
      <c r="D32" s="1801" t="str">
        <f>OR_VEH!B83&amp;"
"&amp;TEXT(OR_VEH!E83/1000,"0K")&amp;"/"&amp;TEXT(OR_VEH!F83/1000,"0K")&amp;"
"&amp;OR_VEH!H83</f>
        <v xml:space="preserve">ZEVO 600 AWD
50K/200K
</v>
      </c>
      <c r="E32" s="1801" t="str">
        <f>OR_VEH!B183&amp;"
"&amp;TEXT(OR_VEH!E183/1000,"0K")&amp;"/"&amp;TEXT(OR_VEH!F183/1000,"0K")&amp;"
"&amp;OR_VEH!H183</f>
        <v>ENVISION
25K/120K
416K/L/M</v>
      </c>
      <c r="F32" s="1801" t="str">
        <f>OR_VEH!B133&amp;"
"&amp;TEXT(OR_VEH!E133/1000,"0K")&amp;"/"&amp;TEXT(OR_VEH!F133/1000,"0K")&amp;"
"&amp;OR_VEH!H133</f>
        <v xml:space="preserve">NE PAS UTILISER
0K/0K
</v>
      </c>
      <c r="G32" s="1801" t="str">
        <f>OR_VEH!B283&amp;"
"&amp;TEXT(OR_VEH!E283/1000,"0K")&amp;"/"&amp;TEXT(OR_VEH!F283/1000,"0K")&amp;"
"&amp;OR_VEH!H283</f>
        <v xml:space="preserve">NE PAS UTILISER
0K/0K
</v>
      </c>
      <c r="H32" s="1801" t="str">
        <f>OR_VEH!B383&amp;"
"&amp;TEXT(OR_VEH!E383/1000,"0K")&amp;"/"&amp;TEXT(OR_VEH!F383/1000,"0K")&amp;"
"&amp;OR_VEH!H383</f>
        <v>NE PAS UTILISER
0K/0K
-</v>
      </c>
      <c r="I32" s="1801" t="str">
        <f>OR_VEH!B233&amp;"
"&amp;TEXT(OR_VEH!E233/1000,"0K")&amp;"/"&amp;TEXT(OR_VEH!F233/1000,"0K")&amp;"
"&amp;OR_VEH!H233</f>
        <v xml:space="preserve">NE PAS UTILISER
0K/0K
</v>
      </c>
      <c r="J32" s="1801" t="str">
        <f>OR_VEH!B333&amp;"
"&amp;TEXT(OR_VEH!E333/1000,"0K")&amp;"/"&amp;TEXT(OR_VEH!F333/1000,"0K")&amp;"
"&amp;OR_VEH!H333</f>
        <v xml:space="preserve">NE PAS UTILISER
0K/0K
</v>
      </c>
      <c r="K32" s="1801" t="str">
        <f>OR_VEH!B433&amp;"
"&amp;TEXT(OR_VEH!E433/1000,"0K")&amp;"/"&amp;TEXT(OR_VEH!F433/1000,"0K")&amp;"
"&amp;OR_VEH!H433</f>
        <v xml:space="preserve">NE PAS UTILISER
0K/0K
</v>
      </c>
      <c r="L32" s="1802" t="str">
        <f>OR_VEH!B483&amp;"
"&amp;TEXT(OR_VEH!E483/1000,"0K")&amp;"/"&amp;TEXT(OR_VEH!F483/1000,"0K")&amp;"
"&amp;OR_VEH!H483</f>
        <v xml:space="preserve">NE PAS UTILISER
0K/0K
</v>
      </c>
    </row>
    <row r="33" spans="1:12" s="1798" customFormat="1" ht="40">
      <c r="A33" s="2854"/>
      <c r="B33" s="1799">
        <v>430</v>
      </c>
      <c r="C33" s="1800" t="str">
        <f>OR_VEH!B34&amp;"
"&amp;TEXT(OR_VEH!E34/1000,"0K")&amp;"/"&amp;TEXT(OR_VEH!F34/1000,"0K")&amp;"
"&amp;OR_VEH!H34</f>
        <v>CL 1500 SILVERADO
12K/140K
423K/L/M</v>
      </c>
      <c r="D33" s="1801" t="str">
        <f>OR_VEH!B84&amp;"
"&amp;TEXT(OR_VEH!E84/1000,"0K")&amp;"/"&amp;TEXT(OR_VEH!F84/1000,"0K")&amp;"
"&amp;OR_VEH!H84</f>
        <v xml:space="preserve">NE PAS UTILISER
0K/0K
</v>
      </c>
      <c r="E33" s="1801" t="str">
        <f>OR_VEH!B184&amp;"
"&amp;TEXT(OR_VEH!E184/1000,"0K")&amp;"/"&amp;TEXT(OR_VEH!F184/1000,"0K")&amp;"
"&amp;OR_VEH!H184</f>
        <v xml:space="preserve">NE PAS UTILISER
0K/0K
</v>
      </c>
      <c r="F33" s="1801" t="str">
        <f>OR_VEH!B134&amp;"
"&amp;TEXT(OR_VEH!E134/1000,"0K")&amp;"/"&amp;TEXT(OR_VEH!F134/1000,"0K")&amp;"
"&amp;OR_VEH!H134</f>
        <v xml:space="preserve">NE PAS UTILISER
0K/0K
</v>
      </c>
      <c r="G33" s="1801" t="str">
        <f>OR_VEH!B284&amp;"
"&amp;TEXT(OR_VEH!E284/1000,"0K")&amp;"/"&amp;TEXT(OR_VEH!F284/1000,"0K")&amp;"
"&amp;OR_VEH!H284</f>
        <v>YUKON/XL
24K/170K
423K/L/M</v>
      </c>
      <c r="H33" s="1801" t="str">
        <f>OR_VEH!B384&amp;"
"&amp;TEXT(OR_VEH!E384/1000,"0K")&amp;"/"&amp;TEXT(OR_VEH!F384/1000,"0K")&amp;"
"&amp;OR_VEH!H384</f>
        <v>NE PAS UTILISER
0K/0K
-</v>
      </c>
      <c r="I33" s="1801" t="str">
        <f>OR_VEH!B234&amp;"
"&amp;TEXT(OR_VEH!E234/1000,"0K")&amp;"/"&amp;TEXT(OR_VEH!F234/1000,"0K")&amp;"
"&amp;OR_VEH!H234</f>
        <v>XT4
25K/150K
413K/L/M</v>
      </c>
      <c r="J33" s="1801" t="str">
        <f>OR_VEH!B334&amp;"
"&amp;TEXT(OR_VEH!E334/1000,"0K")&amp;"/"&amp;TEXT(OR_VEH!F334/1000,"0K")&amp;"
"&amp;OR_VEH!H334</f>
        <v xml:space="preserve">NE PAS UTILISER
0K/0K
</v>
      </c>
      <c r="K33" s="1801" t="str">
        <f>OR_VEH!B434&amp;"
"&amp;TEXT(OR_VEH!E434/1000,"0K")&amp;"/"&amp;TEXT(OR_VEH!F434/1000,"0K")&amp;"
"&amp;OR_VEH!H434</f>
        <v xml:space="preserve">NE PAS UTILISER
0K/0K
</v>
      </c>
      <c r="L33" s="1802" t="str">
        <f>OR_VEH!B484&amp;"
"&amp;TEXT(OR_VEH!E484/1000,"0K")&amp;"/"&amp;TEXT(OR_VEH!F484/1000,"0K")&amp;"
"&amp;OR_VEH!H484</f>
        <v xml:space="preserve">NE PAS UTILISER
0K/0K
</v>
      </c>
    </row>
    <row r="34" spans="1:12" s="1798" customFormat="1" ht="40">
      <c r="A34" s="2854"/>
      <c r="B34" s="1799">
        <v>431</v>
      </c>
      <c r="C34" s="1800" t="str">
        <f>OR_VEH!B35&amp;"
"&amp;TEXT(OR_VEH!E35/1000,"0K")&amp;"/"&amp;TEXT(OR_VEH!F35/1000,"0K")&amp;"
"&amp;OR_VEH!H35</f>
        <v>CL 2500 SILVERADO
18K/160K
423K/L/M</v>
      </c>
      <c r="D34" s="1801" t="str">
        <f>OR_VEH!B85&amp;"
"&amp;TEXT(OR_VEH!E85/1000,"0K")&amp;"/"&amp;TEXT(OR_VEH!F85/1000,"0K")&amp;"
"&amp;OR_VEH!H85</f>
        <v xml:space="preserve">NE PAS UTILISER
0K/0K
</v>
      </c>
      <c r="E34" s="1801" t="str">
        <f>OR_VEH!B185&amp;"
"&amp;TEXT(OR_VEH!E185/1000,"0K")&amp;"/"&amp;TEXT(OR_VEH!F185/1000,"0K")&amp;"
"&amp;OR_VEH!H185</f>
        <v xml:space="preserve">NE PAS UTILISER
0K/0K
</v>
      </c>
      <c r="F34" s="1801" t="str">
        <f>OR_VEH!B135&amp;"
"&amp;TEXT(OR_VEH!E135/1000,"0K")&amp;"/"&amp;TEXT(OR_VEH!F135/1000,"0K")&amp;"
"&amp;OR_VEH!H135</f>
        <v xml:space="preserve">NE PAS UTILISER
0K/0K
</v>
      </c>
      <c r="G34" s="1801" t="str">
        <f>OR_VEH!B285&amp;"
"&amp;TEXT(OR_VEH!E285/1000,"0K")&amp;"/"&amp;TEXT(OR_VEH!F285/1000,"0K")&amp;"
"&amp;OR_VEH!H285</f>
        <v>LD 1500 SIERRA
12K/145K
423K/L/M</v>
      </c>
      <c r="H34" s="1801" t="str">
        <f>OR_VEH!B385&amp;"
"&amp;TEXT(OR_VEH!E385/1000,"0K")&amp;"/"&amp;TEXT(OR_VEH!F385/1000,"0K")&amp;"
"&amp;OR_VEH!H385</f>
        <v>NE PAS UTILISER
0K/0K
-</v>
      </c>
      <c r="I34" s="1801" t="str">
        <f>OR_VEH!B235&amp;"
"&amp;TEXT(OR_VEH!E235/1000,"0K")&amp;"/"&amp;TEXT(OR_VEH!F235/1000,"0K")&amp;"
"&amp;OR_VEH!H235</f>
        <v>XT5
30K/160K
413K/L/M</v>
      </c>
      <c r="J34" s="1801" t="str">
        <f>OR_VEH!B335&amp;"
"&amp;TEXT(OR_VEH!E335/1000,"0K")&amp;"/"&amp;TEXT(OR_VEH!F335/1000,"0K")&amp;"
"&amp;OR_VEH!H335</f>
        <v xml:space="preserve">NE PAS UTILISER
0K/0K
</v>
      </c>
      <c r="K34" s="1801" t="str">
        <f>OR_VEH!B435&amp;"
"&amp;TEXT(OR_VEH!E435/1000,"0K")&amp;"/"&amp;TEXT(OR_VEH!F435/1000,"0K")&amp;"
"&amp;OR_VEH!H435</f>
        <v xml:space="preserve">NE PAS UTILISER
0K/0K
</v>
      </c>
      <c r="L34" s="1802" t="str">
        <f>OR_VEH!B485&amp;"
"&amp;TEXT(OR_VEH!E485/1000,"0K")&amp;"/"&amp;TEXT(OR_VEH!F485/1000,"0K")&amp;"
"&amp;OR_VEH!H485</f>
        <v xml:space="preserve">NE PAS UTILISER
0K/0K
</v>
      </c>
    </row>
    <row r="35" spans="1:12" s="1798" customFormat="1" ht="40">
      <c r="A35" s="2854"/>
      <c r="B35" s="1799">
        <v>432</v>
      </c>
      <c r="C35" s="1800" t="str">
        <f>OR_VEH!B36&amp;"
"&amp;TEXT(OR_VEH!E36/1000,"0K")&amp;"/"&amp;TEXT(OR_VEH!F36/1000,"0K")&amp;"
"&amp;OR_VEH!H36</f>
        <v>CL 3500 SILVERADO
20K/160K
423K/L/M</v>
      </c>
      <c r="D35" s="1801" t="str">
        <f>OR_VEH!B86&amp;"
"&amp;TEXT(OR_VEH!E86/1000,"0K")&amp;"/"&amp;TEXT(OR_VEH!F86/1000,"0K")&amp;"
"&amp;OR_VEH!H86</f>
        <v xml:space="preserve">NE PAS UTILISER
0K/0K
</v>
      </c>
      <c r="E35" s="1801" t="str">
        <f>OR_VEH!B186&amp;"
"&amp;TEXT(OR_VEH!E186/1000,"0K")&amp;"/"&amp;TEXT(OR_VEH!F186/1000,"0K")&amp;"
"&amp;OR_VEH!H186</f>
        <v xml:space="preserve">NE PAS UTILISER
0K/0K
</v>
      </c>
      <c r="F35" s="1801" t="str">
        <f>OR_VEH!B136&amp;"
"&amp;TEXT(OR_VEH!E136/1000,"0K")&amp;"/"&amp;TEXT(OR_VEH!F136/1000,"0K")&amp;"
"&amp;OR_VEH!H136</f>
        <v xml:space="preserve">NE PAS UTILISER
0K/0K
</v>
      </c>
      <c r="G35" s="1801" t="str">
        <f>OR_VEH!B286&amp;"
"&amp;TEXT(OR_VEH!E286/1000,"0K")&amp;"/"&amp;TEXT(OR_VEH!F286/1000,"0K")&amp;"
"&amp;OR_VEH!H286</f>
        <v>LD 2500 SIERRA
18K/160K
423K/L/M</v>
      </c>
      <c r="H35" s="1801" t="str">
        <f>OR_VEH!B386&amp;"
"&amp;TEXT(OR_VEH!E386/1000,"0K")&amp;"/"&amp;TEXT(OR_VEH!F386/1000,"0K")&amp;"
"&amp;OR_VEH!H386</f>
        <v>NE PAS UTILISER
0K/0K
-</v>
      </c>
      <c r="I35" s="1801" t="str">
        <f>OR_VEH!B236&amp;"
"&amp;TEXT(OR_VEH!E236/1000,"0K")&amp;"/"&amp;TEXT(OR_VEH!F236/1000,"0K")&amp;"
"&amp;OR_VEH!H236</f>
        <v>XT6
30K/180K
415K/L/M</v>
      </c>
      <c r="J35" s="1801" t="str">
        <f>OR_VEH!B336&amp;"
"&amp;TEXT(OR_VEH!E336/1000,"0K")&amp;"/"&amp;TEXT(OR_VEH!F336/1000,"0K")&amp;"
"&amp;OR_VEH!H336</f>
        <v xml:space="preserve">NE PAS UTILISER
0K/0K
</v>
      </c>
      <c r="K35" s="1801" t="str">
        <f>OR_VEH!B436&amp;"
"&amp;TEXT(OR_VEH!E436/1000,"0K")&amp;"/"&amp;TEXT(OR_VEH!F436/1000,"0K")&amp;"
"&amp;OR_VEH!H436</f>
        <v xml:space="preserve">NE PAS UTILISER
0K/0K
</v>
      </c>
      <c r="L35" s="1802" t="str">
        <f>OR_VEH!B486&amp;"
"&amp;TEXT(OR_VEH!E486/1000,"0K")&amp;"/"&amp;TEXT(OR_VEH!F486/1000,"0K")&amp;"
"&amp;OR_VEH!H486</f>
        <v xml:space="preserve">NE PAS UTILISER
0K/0K
</v>
      </c>
    </row>
    <row r="36" spans="1:12" s="1798" customFormat="1" ht="40">
      <c r="A36" s="2854"/>
      <c r="B36" s="1799">
        <v>433</v>
      </c>
      <c r="C36" s="1800" t="str">
        <f>OR_VEH!B37&amp;"
"&amp;TEXT(OR_VEH!E37/1000,"0K")&amp;"/"&amp;TEXT(OR_VEH!F37/1000,"0K")&amp;"
"&amp;OR_VEH!H37</f>
        <v>BLAZER
20K/125K
421K/L/M</v>
      </c>
      <c r="D36" s="1801" t="str">
        <f>OR_VEH!B87&amp;"
"&amp;TEXT(OR_VEH!E87/1000,"0K")&amp;"/"&amp;TEXT(OR_VEH!F87/1000,"0K")&amp;"
"&amp;OR_VEH!H87</f>
        <v xml:space="preserve">NE PAS UTILISER
0K/0K
</v>
      </c>
      <c r="E36" s="1801" t="str">
        <f>OR_VEH!B187&amp;"
"&amp;TEXT(OR_VEH!E187/1000,"0K")&amp;"/"&amp;TEXT(OR_VEH!F187/1000,"0K")&amp;"
"&amp;OR_VEH!H187</f>
        <v xml:space="preserve">NE PAS UTILISER
0K/0K
</v>
      </c>
      <c r="F36" s="1801" t="str">
        <f>OR_VEH!B137&amp;"
"&amp;TEXT(OR_VEH!E137/1000,"0K")&amp;"/"&amp;TEXT(OR_VEH!F137/1000,"0K")&amp;"
"&amp;OR_VEH!H137</f>
        <v xml:space="preserve">NE PAS UTILISER
0K/0K
</v>
      </c>
      <c r="G36" s="1801" t="str">
        <f>OR_VEH!B287&amp;"
"&amp;TEXT(OR_VEH!E287/1000,"0K")&amp;"/"&amp;TEXT(OR_VEH!F287/1000,"0K")&amp;"
"&amp;OR_VEH!H287</f>
        <v>LD 3500 SIERRA
20K/180K
423K/L/M</v>
      </c>
      <c r="H36" s="1801" t="str">
        <f>OR_VEH!B387&amp;"
"&amp;TEXT(OR_VEH!E387/1000,"0K")&amp;"/"&amp;TEXT(OR_VEH!F387/1000,"0K")&amp;"
"&amp;OR_VEH!H387</f>
        <v>NE PAS UTILISER
0K/0K
-</v>
      </c>
      <c r="I36" s="1801" t="str">
        <f>OR_VEH!B237&amp;"
"&amp;TEXT(OR_VEH!E237/1000,"0K")&amp;"/"&amp;TEXT(OR_VEH!F237/1000,"0K")&amp;"
"&amp;OR_VEH!H237</f>
        <v xml:space="preserve">NE PAS UTILISER
0K/0K
</v>
      </c>
      <c r="J36" s="1801" t="str">
        <f>OR_VEH!B337&amp;"
"&amp;TEXT(OR_VEH!E337/1000,"0K")&amp;"/"&amp;TEXT(OR_VEH!F337/1000,"0K")&amp;"
"&amp;OR_VEH!H337</f>
        <v xml:space="preserve">NE PAS UTILISER
0K/0K
</v>
      </c>
      <c r="K36" s="1801" t="str">
        <f>OR_VEH!B437&amp;"
"&amp;TEXT(OR_VEH!E437/1000,"0K")&amp;"/"&amp;TEXT(OR_VEH!F437/1000,"0K")&amp;"
"&amp;OR_VEH!H437</f>
        <v xml:space="preserve">NE PAS UTILISER
0K/0K
</v>
      </c>
      <c r="L36" s="1802" t="str">
        <f>OR_VEH!B487&amp;"
"&amp;TEXT(OR_VEH!E487/1000,"0K")&amp;"/"&amp;TEXT(OR_VEH!F487/1000,"0K")&amp;"
"&amp;OR_VEH!H487</f>
        <v xml:space="preserve">NE PAS UTILISER
0K/0K
</v>
      </c>
    </row>
    <row r="37" spans="1:12" s="1798" customFormat="1" ht="40">
      <c r="A37" s="2854"/>
      <c r="B37" s="1799">
        <v>434</v>
      </c>
      <c r="C37" s="1800" t="str">
        <f>OR_VEH!B38&amp;"
"&amp;TEXT(OR_VEH!E38/1000,"0K")&amp;"/"&amp;TEXT(OR_VEH!F38/1000,"0K")&amp;"
"&amp;OR_VEH!H38</f>
        <v>EQUINOX
16K/120K
419K/L/M</v>
      </c>
      <c r="D37" s="1801" t="str">
        <f>OR_VEH!B88&amp;"
"&amp;TEXT(OR_VEH!E88/1000,"0K")&amp;"/"&amp;TEXT(OR_VEH!F88/1000,"0K")&amp;"
"&amp;OR_VEH!H88</f>
        <v xml:space="preserve">NE PAS UTILISER
0K/0K
</v>
      </c>
      <c r="E37" s="1801" t="str">
        <f>OR_VEH!B188&amp;"
"&amp;TEXT(OR_VEH!E188/1000,"0K")&amp;"/"&amp;TEXT(OR_VEH!F188/1000,"0K")&amp;"
"&amp;OR_VEH!H188</f>
        <v xml:space="preserve">NE PAS UTILISER
0K/0K
</v>
      </c>
      <c r="F37" s="1801" t="str">
        <f>OR_VEH!B138&amp;"
"&amp;TEXT(OR_VEH!E138/1000,"0K")&amp;"/"&amp;TEXT(OR_VEH!F138/1000,"0K")&amp;"
"&amp;OR_VEH!H138</f>
        <v xml:space="preserve">NE PAS UTILISER
0K/0K
</v>
      </c>
      <c r="G37" s="1801" t="str">
        <f>OR_VEH!B288&amp;"
"&amp;TEXT(OR_VEH!E288/1000,"0K")&amp;"/"&amp;TEXT(OR_VEH!F288/1000,"0K")&amp;"
"&amp;OR_VEH!H288</f>
        <v xml:space="preserve">NE PAS UTILISER
0K/0K
</v>
      </c>
      <c r="H37" s="1801" t="str">
        <f>OR_VEH!B388&amp;"
"&amp;TEXT(OR_VEH!E388/1000,"0K")&amp;"/"&amp;TEXT(OR_VEH!F388/1000,"0K")&amp;"
"&amp;OR_VEH!H388</f>
        <v>NE PAS UTILISER
0K/0K
-</v>
      </c>
      <c r="I37" s="1801" t="str">
        <f>OR_VEH!B238&amp;"
"&amp;TEXT(OR_VEH!E238/1000,"0K")&amp;"/"&amp;TEXT(OR_VEH!F238/1000,"0K")&amp;"
"&amp;OR_VEH!H238</f>
        <v>ESCALADE V
151K/250K
417K/L/M</v>
      </c>
      <c r="J37" s="1801" t="str">
        <f>OR_VEH!B338&amp;"
"&amp;TEXT(OR_VEH!E338/1000,"0K")&amp;"/"&amp;TEXT(OR_VEH!F338/1000,"0K")&amp;"
"&amp;OR_VEH!H338</f>
        <v xml:space="preserve">NE PAS UTILISER
0K/0K
</v>
      </c>
      <c r="K37" s="1801" t="str">
        <f>OR_VEH!B438&amp;"
"&amp;TEXT(OR_VEH!E438/1000,"0K")&amp;"/"&amp;TEXT(OR_VEH!F438/1000,"0K")&amp;"
"&amp;OR_VEH!H438</f>
        <v xml:space="preserve">NE PAS UTILISER
0K/0K
</v>
      </c>
      <c r="L37" s="1802" t="str">
        <f>OR_VEH!B488&amp;"
"&amp;TEXT(OR_VEH!E488/1000,"0K")&amp;"/"&amp;TEXT(OR_VEH!F488/1000,"0K")&amp;"
"&amp;OR_VEH!H488</f>
        <v xml:space="preserve">NE PAS UTILISER
0K/0K
</v>
      </c>
    </row>
    <row r="38" spans="1:12" s="1798" customFormat="1" ht="40">
      <c r="A38" s="2854"/>
      <c r="B38" s="1799">
        <v>435</v>
      </c>
      <c r="C38" s="1800" t="str">
        <f>OR_VEH!B39&amp;"
"&amp;TEXT(OR_VEH!E39/1000,"0K")&amp;"/"&amp;TEXT(OR_VEH!F39/1000,"0K")&amp;"
"&amp;OR_VEH!H39</f>
        <v>CITY EXPRESS
15K/98K
432K/L/M</v>
      </c>
      <c r="D38" s="1801" t="str">
        <f>OR_VEH!B89&amp;"
"&amp;TEXT(OR_VEH!E89/1000,"0K")&amp;"/"&amp;TEXT(OR_VEH!F89/1000,"0K")&amp;"
"&amp;OR_VEH!H89</f>
        <v xml:space="preserve">NE PAS UTILISER
0K/0K
</v>
      </c>
      <c r="E38" s="1801" t="str">
        <f>OR_VEH!B189&amp;"
"&amp;TEXT(OR_VEH!E189/1000,"0K")&amp;"/"&amp;TEXT(OR_VEH!F189/1000,"0K")&amp;"
"&amp;OR_VEH!H189</f>
        <v xml:space="preserve">NE PAS UTILISER
0K/0K
</v>
      </c>
      <c r="F38" s="1801" t="str">
        <f>OR_VEH!B139&amp;"
"&amp;TEXT(OR_VEH!E139/1000,"0K")&amp;"/"&amp;TEXT(OR_VEH!F139/1000,"0K")&amp;"
"&amp;OR_VEH!H139</f>
        <v xml:space="preserve">NE PAS UTILISER
0K/0K
</v>
      </c>
      <c r="G38" s="1801" t="str">
        <f>OR_VEH!B289&amp;"
"&amp;TEXT(OR_VEH!E289/1000,"0K")&amp;"/"&amp;TEXT(OR_VEH!F289/1000,"0K")&amp;"
"&amp;OR_VEH!H289</f>
        <v xml:space="preserve">NE PAS UTILISER
0K/0K
</v>
      </c>
      <c r="H38" s="1801" t="str">
        <f>OR_VEH!B389&amp;"
"&amp;TEXT(OR_VEH!E389/1000,"0K")&amp;"/"&amp;TEXT(OR_VEH!F389/1000,"0K")&amp;"
"&amp;OR_VEH!H389</f>
        <v>NE PAS UTILISER
0K/0K
-</v>
      </c>
      <c r="I38" s="1801" t="str">
        <f>OR_VEH!B239&amp;"
"&amp;TEXT(OR_VEH!E239/1000,"0K")&amp;"/"&amp;TEXT(OR_VEH!F239/1000,"0K")&amp;"
"&amp;OR_VEH!H239</f>
        <v xml:space="preserve">NE PAS UTILISER
0K/0K
</v>
      </c>
      <c r="J38" s="1801" t="str">
        <f>OR_VEH!B339&amp;"
"&amp;TEXT(OR_VEH!E339/1000,"0K")&amp;"/"&amp;TEXT(OR_VEH!F339/1000,"0K")&amp;"
"&amp;OR_VEH!H339</f>
        <v xml:space="preserve">NE PAS UTILISER
0K/0K
</v>
      </c>
      <c r="K38" s="1801" t="str">
        <f>OR_VEH!B439&amp;"
"&amp;TEXT(OR_VEH!E439/1000,"0K")&amp;"/"&amp;TEXT(OR_VEH!F439/1000,"0K")&amp;"
"&amp;OR_VEH!H439</f>
        <v xml:space="preserve">NE PAS UTILISER
0K/0K
</v>
      </c>
      <c r="L38" s="1802" t="str">
        <f>OR_VEH!B489&amp;"
"&amp;TEXT(OR_VEH!E489/1000,"0K")&amp;"/"&amp;TEXT(OR_VEH!F489/1000,"0K")&amp;"
"&amp;OR_VEH!H489</f>
        <v xml:space="preserve">NE PAS UTILISER
0K/0K
</v>
      </c>
    </row>
    <row r="39" spans="1:12" s="1798" customFormat="1" ht="40">
      <c r="A39" s="2854"/>
      <c r="B39" s="1799">
        <v>436</v>
      </c>
      <c r="C39" s="1800" t="str">
        <f>OR_VEH!B40&amp;"
"&amp;TEXT(OR_VEH!E40/1000,"0K")&amp;"/"&amp;TEXT(OR_VEH!F40/1000,"0K")&amp;"
"&amp;OR_VEH!H40</f>
        <v>TRAILBLAZER
15K/120K
419K/L/M</v>
      </c>
      <c r="D39" s="1801" t="str">
        <f>OR_VEH!B90&amp;"
"&amp;TEXT(OR_VEH!E90/1000,"0K")&amp;"/"&amp;TEXT(OR_VEH!F90/1000,"0K")&amp;"
"&amp;OR_VEH!H90</f>
        <v xml:space="preserve">NE PAS UTILISER
0K/0K
</v>
      </c>
      <c r="E39" s="1801" t="str">
        <f>OR_VEH!B190&amp;"
"&amp;TEXT(OR_VEH!E190/1000,"0K")&amp;"/"&amp;TEXT(OR_VEH!F190/1000,"0K")&amp;"
"&amp;OR_VEH!H190</f>
        <v xml:space="preserve">NE PAS UTILISER
0K/0K
</v>
      </c>
      <c r="F39" s="1801" t="str">
        <f>OR_VEH!B140&amp;"
"&amp;TEXT(OR_VEH!E140/1000,"0K")&amp;"/"&amp;TEXT(OR_VEH!F140/1000,"0K")&amp;"
"&amp;OR_VEH!H140</f>
        <v xml:space="preserve">NE PAS UTILISER
0K/0K
</v>
      </c>
      <c r="G39" s="1801" t="str">
        <f>OR_VEH!B290&amp;"
"&amp;TEXT(OR_VEH!E290/1000,"0K")&amp;"/"&amp;TEXT(OR_VEH!F290/1000,"0K")&amp;"
"&amp;OR_VEH!H290</f>
        <v>ACADIA
25K/135K
421K/L/M</v>
      </c>
      <c r="H39" s="1801" t="str">
        <f>OR_VEH!B390&amp;"
"&amp;TEXT(OR_VEH!E390/1000,"0K")&amp;"/"&amp;TEXT(OR_VEH!F390/1000,"0K")&amp;"
"&amp;OR_VEH!H390</f>
        <v>NE PAS UTILISER
0K/0K
-</v>
      </c>
      <c r="I39" s="1801" t="str">
        <f>OR_VEH!B240&amp;"
"&amp;TEXT(OR_VEH!E240/1000,"0K")&amp;"/"&amp;TEXT(OR_VEH!F240/1000,"0K")&amp;"
"&amp;OR_VEH!H240</f>
        <v xml:space="preserve">NE PAS UTILISER
0K/0K
</v>
      </c>
      <c r="J39" s="1801" t="str">
        <f>OR_VEH!B340&amp;"
"&amp;TEXT(OR_VEH!E340/1000,"0K")&amp;"/"&amp;TEXT(OR_VEH!F340/1000,"0K")&amp;"
"&amp;OR_VEH!H340</f>
        <v xml:space="preserve">NE PAS UTILISER
0K/0K
</v>
      </c>
      <c r="K39" s="1801" t="str">
        <f>OR_VEH!B440&amp;"
"&amp;TEXT(OR_VEH!E440/1000,"0K")&amp;"/"&amp;TEXT(OR_VEH!F440/1000,"0K")&amp;"
"&amp;OR_VEH!H440</f>
        <v xml:space="preserve">NE PAS UTILISER
0K/0K
</v>
      </c>
      <c r="L39" s="1802" t="str">
        <f>OR_VEH!B490&amp;"
"&amp;TEXT(OR_VEH!E490/1000,"0K")&amp;"/"&amp;TEXT(OR_VEH!F490/1000,"0K")&amp;"
"&amp;OR_VEH!H490</f>
        <v xml:space="preserve">NE PAS UTILISER
0K/0K
</v>
      </c>
    </row>
    <row r="40" spans="1:12" s="1798" customFormat="1" ht="50">
      <c r="A40" s="2854"/>
      <c r="B40" s="1799">
        <v>437</v>
      </c>
      <c r="C40" s="1800" t="str">
        <f>OR_VEH!B41&amp;"
"&amp;TEXT(OR_VEH!E41/1000,"0K")&amp;"/"&amp;TEXT(OR_VEH!F41/1000,"0K")&amp;"
"&amp;OR_VEH!H41</f>
        <v xml:space="preserve">POUR USAGE FUTUR
0K/1000K
</v>
      </c>
      <c r="D40" s="1801" t="str">
        <f>OR_VEH!B91&amp;"
"&amp;TEXT(OR_VEH!E91/1000,"0K")&amp;"/"&amp;TEXT(OR_VEH!F91/1000,"0K")&amp;"
"&amp;OR_VEH!H91</f>
        <v xml:space="preserve">NE PAS UTILISER
0K/0K
</v>
      </c>
      <c r="E40" s="1801" t="str">
        <f>OR_VEH!B191&amp;"
"&amp;TEXT(OR_VEH!E191/1000,"0K")&amp;"/"&amp;TEXT(OR_VEH!F191/1000,"0K")&amp;"
"&amp;OR_VEH!H191</f>
        <v xml:space="preserve">POUR USAGE FUTUR
0K/1000K
</v>
      </c>
      <c r="F40" s="1801" t="str">
        <f>OR_VEH!B141&amp;"
"&amp;TEXT(OR_VEH!E141/1000,"0K")&amp;"/"&amp;TEXT(OR_VEH!F141/1000,"0K")&amp;"
"&amp;OR_VEH!H141</f>
        <v xml:space="preserve">NE PAS UTILISER
0K/0K
</v>
      </c>
      <c r="G40" s="1801" t="str">
        <f>OR_VEH!B291&amp;"
"&amp;TEXT(OR_VEH!E291/1000,"0K")&amp;"/"&amp;TEXT(OR_VEH!F291/1000,"0K")&amp;"
"&amp;OR_VEH!H291</f>
        <v xml:space="preserve">POUR USAGE FUTUR
0K/1000K
</v>
      </c>
      <c r="H40" s="1801" t="str">
        <f>OR_VEH!B391&amp;"
"&amp;TEXT(OR_VEH!E391/1000,"0K")&amp;"/"&amp;TEXT(OR_VEH!F391/1000,"0K")&amp;"
"&amp;OR_VEH!H391</f>
        <v>NE PAS UTILISER
0K/0K
-</v>
      </c>
      <c r="I40" s="1801" t="str">
        <f>OR_VEH!B241&amp;"
"&amp;TEXT(OR_VEH!E241/1000,"0K")&amp;"/"&amp;TEXT(OR_VEH!F241/1000,"0K")&amp;"
"&amp;OR_VEH!H241</f>
        <v xml:space="preserve">POUR USAGE FUTUR
0K/1000K
</v>
      </c>
      <c r="J40" s="1801" t="str">
        <f>OR_VEH!B341&amp;"
"&amp;TEXT(OR_VEH!E341/1000,"0K")&amp;"/"&amp;TEXT(OR_VEH!F341/1000,"0K")&amp;"
"&amp;OR_VEH!H341</f>
        <v xml:space="preserve">NE PAS UTILISER
0K/0K
</v>
      </c>
      <c r="K40" s="1801" t="str">
        <f>OR_VEH!B441&amp;"
"&amp;TEXT(OR_VEH!E441/1000,"0K")&amp;"/"&amp;TEXT(OR_VEH!F441/1000,"0K")&amp;"
"&amp;OR_VEH!H441</f>
        <v xml:space="preserve">POUR USAGE FUTUR
0K/1000K
</v>
      </c>
      <c r="L40" s="1802" t="str">
        <f>OR_VEH!B491&amp;"
"&amp;TEXT(OR_VEH!E491/1000,"0K")&amp;"/"&amp;TEXT(OR_VEH!F491/1000,"0K")&amp;"
"&amp;OR_VEH!H491</f>
        <v xml:space="preserve">NE PAS UTILISER
0K/0K
</v>
      </c>
    </row>
    <row r="41" spans="1:12" s="1798" customFormat="1" ht="50">
      <c r="A41" s="2854"/>
      <c r="B41" s="1799">
        <v>438</v>
      </c>
      <c r="C41" s="1803" t="str">
        <f>OR_VEH!B42&amp;"
"&amp;TEXT(OR_VEH!E42/1000,"0K")&amp;"/"&amp;TEXT(OR_VEH!F42/1000,"0K")&amp;"
"&amp;OR_VEH!H42</f>
        <v xml:space="preserve">AUTRES CHEVROLET
12K/125K
</v>
      </c>
      <c r="D41" s="1804" t="str">
        <f>OR_VEH!B92&amp;"
"&amp;TEXT(OR_VEH!E92/1000,"0K")&amp;"/"&amp;TEXT(OR_VEH!F92/1000,"0K")&amp;"
"&amp;OR_VEH!H92</f>
        <v xml:space="preserve">NE PAS UTILISER
0K/0K
</v>
      </c>
      <c r="E41" s="1804" t="str">
        <f>OR_VEH!B192&amp;"
"&amp;TEXT(OR_VEH!E192/1000,"0K")&amp;"/"&amp;TEXT(OR_VEH!F192/1000,"0K")&amp;"
"&amp;OR_VEH!H192</f>
        <v>AUTRES CAMIONS GM
16K/120K
432k</v>
      </c>
      <c r="F41" s="1804" t="str">
        <f>OR_VEH!B142&amp;"
"&amp;TEXT(OR_VEH!E142/1000,"0K")&amp;"/"&amp;TEXT(OR_VEH!F142/1000,"0K")&amp;"
"&amp;OR_VEH!H142</f>
        <v xml:space="preserve">NE PAS UTILISER
0K/0K
</v>
      </c>
      <c r="G41" s="1804" t="str">
        <f>OR_VEH!B292&amp;"
"&amp;TEXT(OR_VEH!E292/1000,"0K")&amp;"/"&amp;TEXT(OR_VEH!F292/1000,"0K")&amp;"
"&amp;OR_VEH!H292</f>
        <v xml:space="preserve">AUTRES CAMIONS GMC
12K/125K
</v>
      </c>
      <c r="H41" s="1804" t="str">
        <f>OR_VEH!B392&amp;"
"&amp;TEXT(OR_VEH!E392/1000,"0K")&amp;"/"&amp;TEXT(OR_VEH!F392/1000,"0K")&amp;"
"&amp;OR_VEH!H392</f>
        <v>NE PAS UTILISER
0K/0K
-</v>
      </c>
      <c r="I41" s="1804" t="str">
        <f>OR_VEH!B242&amp;"
"&amp;TEXT(OR_VEH!E242/1000,"0K")&amp;"/"&amp;TEXT(OR_VEH!F242/1000,"0K")&amp;"
"&amp;OR_VEH!H242</f>
        <v xml:space="preserve">AUTRES CAMIONS CADILLAC
25K/150K
</v>
      </c>
      <c r="J41" s="1804" t="str">
        <f>OR_VEH!B342&amp;"
"&amp;TEXT(OR_VEH!E342/1000,"0K")&amp;"/"&amp;TEXT(OR_VEH!F342/1000,"0K")&amp;"
"&amp;OR_VEH!H342</f>
        <v xml:space="preserve">NE PAS UTILISER
0K/0K
</v>
      </c>
      <c r="K41" s="1804" t="str">
        <f>OR_VEH!B442&amp;"
"&amp;TEXT(OR_VEH!E442/1000,"0K")&amp;"/"&amp;TEXT(OR_VEH!F442/1000,"0K")&amp;"
"&amp;OR_VEH!H442</f>
        <v xml:space="preserve">AUTRES POIDS MOYEN
30K/160K
</v>
      </c>
      <c r="L41" s="1805" t="str">
        <f>OR_VEH!B492&amp;"
"&amp;TEXT(OR_VEH!E492/1000,"0K")&amp;"/"&amp;TEXT(OR_VEH!F492/1000,"0K")&amp;"
"&amp;OR_VEH!H492</f>
        <v xml:space="preserve">NE PAS UTILISER
0K/0K
</v>
      </c>
    </row>
    <row r="42" spans="1:12" hidden="1">
      <c r="A42" s="1808"/>
    </row>
    <row r="43" spans="1:12" hidden="1">
      <c r="A43" s="1808"/>
    </row>
    <row r="44" spans="1:12" hidden="1">
      <c r="A44" s="1808"/>
    </row>
  </sheetData>
  <sheetProtection algorithmName="SHA-512" hashValue="HJVBqtJX9RT4mXa5osCqX1ttMJHOaSqH1fWV1yRABx3CnElxpgRkquDTvPqyU6pUOggKZTbJLB3KVqqMEogdTg==" saltValue="IiOD7ODJJwruMLX2Z4pk5g==" spinCount="100000" sheet="1" objects="1" scenarios="1"/>
  <mergeCells count="2">
    <mergeCell ref="A4:A22"/>
    <mergeCell ref="A26:A41"/>
  </mergeCells>
  <phoneticPr fontId="7" type="noConversion"/>
  <pageMargins left="0" right="0" top="0" bottom="0" header="0.5" footer="0.5"/>
  <pageSetup scale="89" fitToHeight="2" orientation="portrait" horizontalDpi="4294967293" verticalDpi="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1">
    <pageSetUpPr fitToPage="1"/>
  </sheetPr>
  <dimension ref="A1:Z2692"/>
  <sheetViews>
    <sheetView showRowColHeaders="0"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9.1796875" defaultRowHeight="10"/>
  <cols>
    <col min="1" max="1" width="27" style="611" customWidth="1"/>
    <col min="2" max="2" width="10.81640625" style="611" customWidth="1"/>
    <col min="3" max="3" width="12" style="1445" customWidth="1"/>
    <col min="4" max="4" width="11.1796875" style="1445" customWidth="1"/>
    <col min="5" max="5" width="12.453125" style="1445" customWidth="1"/>
    <col min="6" max="6" width="11.81640625" style="1445" customWidth="1"/>
    <col min="7" max="7" width="46.81640625" style="1467" customWidth="1"/>
    <col min="8" max="11" width="15.81640625" style="1447" customWidth="1"/>
    <col min="12" max="12" width="7.81640625" style="611" customWidth="1"/>
    <col min="13" max="13" width="7.54296875" style="611" customWidth="1"/>
    <col min="14" max="14" width="49.453125" style="611" customWidth="1"/>
    <col min="15" max="15" width="9.1796875" style="611" customWidth="1"/>
    <col min="16" max="16" width="10.453125" style="611" customWidth="1"/>
    <col min="17" max="17" width="9.1796875" style="611" bestFit="1" customWidth="1"/>
    <col min="18" max="18" width="11.1796875" style="611" bestFit="1" customWidth="1"/>
    <col min="19" max="19" width="11.453125" style="611" customWidth="1"/>
    <col min="20" max="21" width="13.81640625" style="611" bestFit="1" customWidth="1"/>
    <col min="22" max="22" width="10" style="611" customWidth="1"/>
    <col min="23" max="23" width="23.453125" style="611" bestFit="1" customWidth="1"/>
    <col min="24" max="26" width="16.1796875" style="611" customWidth="1"/>
    <col min="27" max="27" width="9.1796875" style="611" customWidth="1"/>
    <col min="28" max="16384" width="9.1796875" style="611"/>
  </cols>
  <sheetData>
    <row r="1" spans="1:26" s="1442" customFormat="1" ht="31.5">
      <c r="A1" s="1437" t="s">
        <v>1063</v>
      </c>
      <c r="B1" s="1437" t="s">
        <v>1064</v>
      </c>
      <c r="C1" s="1438" t="s">
        <v>1065</v>
      </c>
      <c r="D1" s="1438" t="s">
        <v>1066</v>
      </c>
      <c r="E1" s="1438" t="s">
        <v>1067</v>
      </c>
      <c r="F1" s="1438" t="s">
        <v>1068</v>
      </c>
      <c r="G1" s="1439" t="s">
        <v>1069</v>
      </c>
      <c r="H1" s="1440" t="s">
        <v>1070</v>
      </c>
      <c r="I1" s="1440" t="s">
        <v>1071</v>
      </c>
      <c r="J1" s="1441" t="s">
        <v>1072</v>
      </c>
      <c r="K1" s="1441" t="s">
        <v>1073</v>
      </c>
      <c r="L1" s="1437" t="s">
        <v>1074</v>
      </c>
      <c r="M1" s="1437" t="s">
        <v>1075</v>
      </c>
      <c r="N1" s="1437" t="s">
        <v>1076</v>
      </c>
      <c r="O1" s="1437" t="s">
        <v>1077</v>
      </c>
      <c r="P1" s="1442" t="s">
        <v>1078</v>
      </c>
      <c r="Q1" s="1442" t="s">
        <v>1079</v>
      </c>
      <c r="R1" s="1437" t="s">
        <v>1080</v>
      </c>
      <c r="S1" s="1437" t="s">
        <v>1081</v>
      </c>
      <c r="T1" s="1437" t="s">
        <v>1082</v>
      </c>
      <c r="U1" s="1437" t="s">
        <v>1083</v>
      </c>
      <c r="V1" s="1437" t="s">
        <v>1084</v>
      </c>
      <c r="W1" s="1440" t="s">
        <v>1085</v>
      </c>
      <c r="X1" s="1440"/>
      <c r="Y1" s="1441"/>
      <c r="Z1" s="1441"/>
    </row>
    <row r="2" spans="1:26">
      <c r="A2" s="1443" t="str">
        <f>celladdr(Page1!C3)</f>
        <v>Page1!C3</v>
      </c>
      <c r="B2" s="1444" t="s">
        <v>1086</v>
      </c>
      <c r="C2" s="1445" t="b">
        <f>Page1!M93=0</f>
        <v>0</v>
      </c>
      <c r="G2" s="1444" t="str">
        <f t="shared" ref="G2:G65" si="0">IF(H2&amp;I2&amp;J2&amp;K2&lt;&gt;"","No.de ref. du commentaire.: "&amp;W2&amp;" "&amp;N2&amp;" "&amp;H2&amp;I2&amp;IF(OR(C2=TRUE,D2=TRUE),"",J2&amp;K2&amp;V2),"")</f>
        <v/>
      </c>
      <c r="H2" s="1446" t="str">
        <f>IF(C2=TRUE,Comments!$B$76,"")</f>
        <v/>
      </c>
      <c r="J2" s="1446"/>
      <c r="N2" s="611" t="str">
        <f>UPPER(Page1!C2)</f>
        <v>MÉTHODE D’ENTRÉE / FOURNISSEUR (DSP).</v>
      </c>
      <c r="P2" s="611" t="str">
        <f t="shared" ref="P2:P65" si="1">LEFT(A2,FIND("!",A2)+1)</f>
        <v>Page1!C</v>
      </c>
      <c r="Q2" s="611">
        <f t="shared" ref="Q2:Q65" si="2">VALUE(RIGHT(A2,LEN(A2)-FIND("!",A2)-1))</f>
        <v>3</v>
      </c>
      <c r="R2" s="1447">
        <f t="shared" ref="R2:R65" ca="1" si="3">IF(E2=TRUE,INDIRECT("Comments!$D$"&amp;T2),0)</f>
        <v>0</v>
      </c>
      <c r="S2" s="1447">
        <f t="shared" ref="S2:S65" ca="1" si="4">IF(F2=TRUE,INDIRECT("Comments!$D$"&amp;U2),0)</f>
        <v>0</v>
      </c>
      <c r="V2" s="2557" t="str">
        <f t="shared" ref="V2:V65" ca="1" si="5">IF(SUM(R2+S2)=0,"","
*** "&amp;TEXT(SUM(R2+S2),"0,0")&amp;" Points de précision seront déduits suite à cette(ces) erreur(s) !")</f>
        <v/>
      </c>
      <c r="W2" s="611" t="str">
        <f t="shared" ref="W2:W65" ca="1" si="6">LEFT(A2,FIND("!",A2,1)-1)&amp;", Ligne "&amp;INDIRECT(ADDRESS(ROW(INDIRECT(A2)),IF(INDIRECT(ADDRESS(ROW(INDIRECT(A2)),1,,,LEFT(A2,FIND("!",A2,1)-1)))="",2,1),,,LEFT(A2,FIND("!",A2,1)-1)))&amp;" ["&amp;A2&amp;"] "&amp;" -"</f>
        <v>Page1, Ligne ligne [Page1!C3]  -</v>
      </c>
    </row>
    <row r="3" spans="1:26">
      <c r="A3" s="1443" t="str">
        <f>celladdr(Page1!C6)</f>
        <v>Page1!C6</v>
      </c>
      <c r="B3" s="1444" t="s">
        <v>1086</v>
      </c>
      <c r="C3" s="1445" t="b">
        <f>OR(NOT(ISNUMBER(VALUE(Page1!$C$6))),LEN(Page1!$C$6)&lt;&gt;6)</f>
        <v>0</v>
      </c>
      <c r="G3" s="1444" t="str">
        <f t="shared" si="0"/>
        <v/>
      </c>
      <c r="H3" s="1446" t="str">
        <f>IF(C3=TRUE,Comments!$B$2,"")</f>
        <v/>
      </c>
      <c r="J3" s="1446"/>
      <c r="N3" s="611" t="s">
        <v>1087</v>
      </c>
      <c r="O3" s="611" t="str">
        <f t="shared" ref="O3:O66" si="7">IF(A3=A2,"TRUE","")</f>
        <v/>
      </c>
      <c r="P3" s="611" t="str">
        <f t="shared" si="1"/>
        <v>Page1!C</v>
      </c>
      <c r="Q3" s="611">
        <f t="shared" si="2"/>
        <v>6</v>
      </c>
      <c r="R3" s="1447">
        <f t="shared" ca="1" si="3"/>
        <v>0</v>
      </c>
      <c r="S3" s="1447">
        <f t="shared" ca="1" si="4"/>
        <v>0</v>
      </c>
      <c r="V3" s="2557" t="str">
        <f t="shared" ca="1" si="5"/>
        <v/>
      </c>
      <c r="W3" s="611" t="str">
        <f t="shared" ca="1" si="6"/>
        <v>Page1, Ligne 3 [Page1!C6]  -</v>
      </c>
    </row>
    <row r="4" spans="1:26">
      <c r="A4" s="1443" t="str">
        <f>celladdr(Page1!E7)</f>
        <v>Page1!E7</v>
      </c>
      <c r="B4" s="1444" t="s">
        <v>1086</v>
      </c>
      <c r="G4" s="1444" t="str">
        <f t="shared" si="0"/>
        <v/>
      </c>
      <c r="H4" s="1446"/>
      <c r="J4" s="1446"/>
      <c r="N4" s="611" t="s">
        <v>1088</v>
      </c>
      <c r="O4" s="611" t="str">
        <f t="shared" si="7"/>
        <v/>
      </c>
      <c r="P4" s="611" t="str">
        <f t="shared" si="1"/>
        <v>Page1!E</v>
      </c>
      <c r="Q4" s="611">
        <f t="shared" si="2"/>
        <v>7</v>
      </c>
      <c r="R4" s="1447">
        <f t="shared" ca="1" si="3"/>
        <v>0</v>
      </c>
      <c r="S4" s="1447">
        <f t="shared" ca="1" si="4"/>
        <v>0</v>
      </c>
      <c r="V4" s="2557" t="str">
        <f t="shared" ca="1" si="5"/>
        <v/>
      </c>
      <c r="W4" s="611" t="str">
        <f t="shared" ca="1" si="6"/>
        <v>Page1, Ligne 4 [Page1!E7]  -</v>
      </c>
    </row>
    <row r="5" spans="1:26">
      <c r="A5" s="1443" t="str">
        <f>celladdr(Page1!E8)</f>
        <v>Page1!E8</v>
      </c>
      <c r="B5" s="1444" t="s">
        <v>1086</v>
      </c>
      <c r="G5" s="1444" t="str">
        <f t="shared" si="0"/>
        <v/>
      </c>
      <c r="H5" s="1446"/>
      <c r="J5" s="1446"/>
      <c r="N5" s="611" t="s">
        <v>1089</v>
      </c>
      <c r="O5" s="611" t="str">
        <f t="shared" si="7"/>
        <v/>
      </c>
      <c r="P5" s="611" t="str">
        <f t="shared" si="1"/>
        <v>Page1!E</v>
      </c>
      <c r="Q5" s="611">
        <f t="shared" si="2"/>
        <v>8</v>
      </c>
      <c r="R5" s="1447">
        <f t="shared" ca="1" si="3"/>
        <v>0</v>
      </c>
      <c r="S5" s="1447">
        <f t="shared" ca="1" si="4"/>
        <v>0</v>
      </c>
      <c r="V5" s="2557" t="str">
        <f t="shared" ca="1" si="5"/>
        <v/>
      </c>
      <c r="W5" s="611" t="str">
        <f t="shared" ca="1" si="6"/>
        <v>Page1, Ligne 5 [Page1!E8]  -</v>
      </c>
    </row>
    <row r="6" spans="1:26">
      <c r="A6" s="1443" t="str">
        <f>celladdr(Page1!F4)</f>
        <v>Page1!F4</v>
      </c>
      <c r="B6" s="1462" t="s">
        <v>1086</v>
      </c>
      <c r="G6" s="1444" t="str">
        <f t="shared" si="0"/>
        <v/>
      </c>
      <c r="H6" s="1446"/>
      <c r="J6" s="1446"/>
      <c r="N6" s="611" t="s">
        <v>1090</v>
      </c>
      <c r="O6" s="611" t="str">
        <f t="shared" si="7"/>
        <v/>
      </c>
      <c r="P6" s="611" t="str">
        <f t="shared" si="1"/>
        <v>Page1!F</v>
      </c>
      <c r="Q6" s="611">
        <f t="shared" si="2"/>
        <v>4</v>
      </c>
      <c r="R6" s="1447">
        <f t="shared" ca="1" si="3"/>
        <v>0</v>
      </c>
      <c r="S6" s="1447">
        <f t="shared" ca="1" si="4"/>
        <v>0</v>
      </c>
      <c r="U6" s="1448"/>
      <c r="V6" s="2557" t="str">
        <f t="shared" ca="1" si="5"/>
        <v/>
      </c>
      <c r="W6" s="611" t="str">
        <f t="shared" ca="1" si="6"/>
        <v>Page1, Ligne 1 [Page1!F4]  -</v>
      </c>
    </row>
    <row r="7" spans="1:26">
      <c r="A7" s="1443" t="str">
        <f>celladdr(Page1!F7)</f>
        <v>Page1!F7</v>
      </c>
      <c r="B7" s="1444" t="s">
        <v>1086</v>
      </c>
      <c r="G7" s="1444" t="str">
        <f t="shared" si="0"/>
        <v/>
      </c>
      <c r="H7" s="1446"/>
      <c r="J7" s="1446"/>
      <c r="N7" s="611" t="s">
        <v>1091</v>
      </c>
      <c r="O7" s="611" t="str">
        <f t="shared" si="7"/>
        <v/>
      </c>
      <c r="P7" s="611" t="str">
        <f t="shared" si="1"/>
        <v>Page1!F</v>
      </c>
      <c r="Q7" s="611">
        <f t="shared" si="2"/>
        <v>7</v>
      </c>
      <c r="R7" s="1447">
        <f t="shared" ca="1" si="3"/>
        <v>0</v>
      </c>
      <c r="S7" s="1447">
        <f t="shared" ca="1" si="4"/>
        <v>0</v>
      </c>
      <c r="V7" s="2557" t="str">
        <f t="shared" ca="1" si="5"/>
        <v/>
      </c>
      <c r="W7" s="611" t="str">
        <f t="shared" ca="1" si="6"/>
        <v>Page1, Ligne 4 [Page1!F7]  -</v>
      </c>
    </row>
    <row r="8" spans="1:26">
      <c r="A8" s="1443" t="str">
        <f>celladdr(Page1!F8)</f>
        <v>Page1!F8</v>
      </c>
      <c r="B8" s="1444" t="s">
        <v>1086</v>
      </c>
      <c r="G8" s="1444" t="str">
        <f t="shared" si="0"/>
        <v/>
      </c>
      <c r="H8" s="1446"/>
      <c r="J8" s="1446"/>
      <c r="N8" s="611" t="s">
        <v>1092</v>
      </c>
      <c r="O8" s="611" t="str">
        <f t="shared" si="7"/>
        <v/>
      </c>
      <c r="P8" s="611" t="str">
        <f t="shared" si="1"/>
        <v>Page1!F</v>
      </c>
      <c r="Q8" s="611">
        <f t="shared" si="2"/>
        <v>8</v>
      </c>
      <c r="R8" s="1447">
        <f t="shared" ca="1" si="3"/>
        <v>0</v>
      </c>
      <c r="S8" s="1447">
        <f t="shared" ca="1" si="4"/>
        <v>0</v>
      </c>
      <c r="V8" s="2557" t="str">
        <f t="shared" ca="1" si="5"/>
        <v/>
      </c>
      <c r="W8" s="611" t="str">
        <f t="shared" ca="1" si="6"/>
        <v>Page1, Ligne 5 [Page1!F8]  -</v>
      </c>
    </row>
    <row r="9" spans="1:26">
      <c r="A9" s="1443" t="str">
        <f>celladdr(Page1!F50)</f>
        <v>Page1!F50</v>
      </c>
      <c r="B9" s="1449" t="s">
        <v>1086</v>
      </c>
      <c r="G9" s="1444" t="str">
        <f t="shared" si="0"/>
        <v/>
      </c>
      <c r="H9" s="1446"/>
      <c r="J9" s="1446"/>
      <c r="N9" s="611" t="s">
        <v>1093</v>
      </c>
      <c r="O9" s="611" t="str">
        <f t="shared" si="7"/>
        <v/>
      </c>
      <c r="P9" s="611" t="str">
        <f t="shared" si="1"/>
        <v>Page1!F</v>
      </c>
      <c r="Q9" s="611">
        <f t="shared" si="2"/>
        <v>50</v>
      </c>
      <c r="R9" s="1447">
        <f t="shared" ca="1" si="3"/>
        <v>0</v>
      </c>
      <c r="S9" s="1447">
        <f t="shared" ca="1" si="4"/>
        <v>0</v>
      </c>
      <c r="V9" s="2557" t="str">
        <f t="shared" ca="1" si="5"/>
        <v/>
      </c>
      <c r="W9" s="611" t="str">
        <f t="shared" ca="1" si="6"/>
        <v>Page1, Ligne 47 [Page1!F50]  -</v>
      </c>
    </row>
    <row r="10" spans="1:26">
      <c r="A10" s="1443" t="str">
        <f>celladdr(Page1!F51)</f>
        <v>Page1!F51</v>
      </c>
      <c r="B10" s="1449" t="s">
        <v>1086</v>
      </c>
      <c r="G10" s="1444" t="str">
        <f t="shared" si="0"/>
        <v/>
      </c>
      <c r="H10" s="1446"/>
      <c r="J10" s="1446"/>
      <c r="N10" s="611" t="s">
        <v>1094</v>
      </c>
      <c r="O10" s="611" t="str">
        <f t="shared" si="7"/>
        <v/>
      </c>
      <c r="P10" s="611" t="str">
        <f t="shared" si="1"/>
        <v>Page1!F</v>
      </c>
      <c r="Q10" s="611">
        <f t="shared" si="2"/>
        <v>51</v>
      </c>
      <c r="R10" s="1447">
        <f t="shared" ca="1" si="3"/>
        <v>0</v>
      </c>
      <c r="S10" s="1447">
        <f t="shared" ca="1" si="4"/>
        <v>0</v>
      </c>
      <c r="V10" s="2557" t="str">
        <f t="shared" ca="1" si="5"/>
        <v/>
      </c>
      <c r="W10" s="611" t="str">
        <f t="shared" ca="1" si="6"/>
        <v>Page1, Ligne 48 [Page1!F51]  -</v>
      </c>
    </row>
    <row r="11" spans="1:26">
      <c r="A11" s="1443" t="str">
        <f>celladdr(Page1!F52)</f>
        <v>Page1!F52</v>
      </c>
      <c r="B11" s="1449" t="s">
        <v>1086</v>
      </c>
      <c r="G11" s="1444" t="str">
        <f t="shared" si="0"/>
        <v/>
      </c>
      <c r="H11" s="1446"/>
      <c r="J11" s="1446"/>
      <c r="N11" s="611" t="s">
        <v>1095</v>
      </c>
      <c r="O11" s="611" t="str">
        <f t="shared" si="7"/>
        <v/>
      </c>
      <c r="P11" s="611" t="str">
        <f t="shared" si="1"/>
        <v>Page1!F</v>
      </c>
      <c r="Q11" s="611">
        <f t="shared" si="2"/>
        <v>52</v>
      </c>
      <c r="R11" s="1447">
        <f t="shared" ca="1" si="3"/>
        <v>0</v>
      </c>
      <c r="S11" s="1447">
        <f t="shared" ca="1" si="4"/>
        <v>0</v>
      </c>
      <c r="V11" s="2557" t="str">
        <f t="shared" ca="1" si="5"/>
        <v/>
      </c>
      <c r="W11" s="611" t="str">
        <f t="shared" ca="1" si="6"/>
        <v>Page1, Ligne 49 [Page1!F52]  -</v>
      </c>
    </row>
    <row r="12" spans="1:26">
      <c r="A12" s="1443" t="str">
        <f>celladdr(Page1!F53)</f>
        <v>Page1!F53</v>
      </c>
      <c r="B12" s="1449" t="s">
        <v>1086</v>
      </c>
      <c r="G12" s="1444" t="str">
        <f t="shared" si="0"/>
        <v/>
      </c>
      <c r="H12" s="1446"/>
      <c r="J12" s="1446"/>
      <c r="N12" s="611" t="s">
        <v>1096</v>
      </c>
      <c r="O12" s="611" t="str">
        <f t="shared" si="7"/>
        <v/>
      </c>
      <c r="P12" s="611" t="str">
        <f t="shared" si="1"/>
        <v>Page1!F</v>
      </c>
      <c r="Q12" s="611">
        <f t="shared" si="2"/>
        <v>53</v>
      </c>
      <c r="R12" s="1447">
        <f t="shared" ca="1" si="3"/>
        <v>0</v>
      </c>
      <c r="S12" s="1447">
        <f t="shared" ca="1" si="4"/>
        <v>0</v>
      </c>
      <c r="V12" s="2557" t="str">
        <f t="shared" ca="1" si="5"/>
        <v/>
      </c>
      <c r="W12" s="611" t="str">
        <f t="shared" ca="1" si="6"/>
        <v>Page1, Ligne 50 [Page1!F53]  -</v>
      </c>
    </row>
    <row r="13" spans="1:26">
      <c r="A13" s="1443" t="str">
        <f>celladdr(Page1!F54)</f>
        <v>Page1!F54</v>
      </c>
      <c r="B13" s="1449" t="s">
        <v>1086</v>
      </c>
      <c r="G13" s="1444" t="str">
        <f t="shared" si="0"/>
        <v/>
      </c>
      <c r="H13" s="1446"/>
      <c r="J13" s="1446"/>
      <c r="N13" s="611" t="s">
        <v>1097</v>
      </c>
      <c r="O13" s="611" t="str">
        <f t="shared" si="7"/>
        <v/>
      </c>
      <c r="P13" s="611" t="str">
        <f t="shared" si="1"/>
        <v>Page1!F</v>
      </c>
      <c r="Q13" s="611">
        <f t="shared" si="2"/>
        <v>54</v>
      </c>
      <c r="R13" s="1447">
        <f t="shared" ca="1" si="3"/>
        <v>0</v>
      </c>
      <c r="S13" s="1447">
        <f t="shared" ca="1" si="4"/>
        <v>0</v>
      </c>
      <c r="V13" s="2557" t="str">
        <f t="shared" ca="1" si="5"/>
        <v/>
      </c>
      <c r="W13" s="611" t="str">
        <f t="shared" ca="1" si="6"/>
        <v>Page1, Ligne 51 [Page1!F54]  -</v>
      </c>
    </row>
    <row r="14" spans="1:26">
      <c r="A14" s="1443" t="str">
        <f>celladdr(Page1!F55)</f>
        <v>Page1!F55</v>
      </c>
      <c r="B14" s="1449" t="s">
        <v>1086</v>
      </c>
      <c r="G14" s="1444" t="str">
        <f t="shared" si="0"/>
        <v/>
      </c>
      <c r="H14" s="1446"/>
      <c r="J14" s="1446"/>
      <c r="N14" s="611" t="s">
        <v>1098</v>
      </c>
      <c r="O14" s="611" t="str">
        <f t="shared" si="7"/>
        <v/>
      </c>
      <c r="P14" s="611" t="str">
        <f t="shared" si="1"/>
        <v>Page1!F</v>
      </c>
      <c r="Q14" s="611">
        <f t="shared" si="2"/>
        <v>55</v>
      </c>
      <c r="R14" s="1447">
        <f t="shared" ca="1" si="3"/>
        <v>0</v>
      </c>
      <c r="S14" s="1447">
        <f t="shared" ca="1" si="4"/>
        <v>0</v>
      </c>
      <c r="V14" s="2557" t="str">
        <f t="shared" ca="1" si="5"/>
        <v/>
      </c>
      <c r="W14" s="611" t="str">
        <f t="shared" ca="1" si="6"/>
        <v>Page1, Ligne 52 [Page1!F55]  -</v>
      </c>
    </row>
    <row r="15" spans="1:26">
      <c r="A15" s="1443" t="str">
        <f>celladdr(Page1!F56)</f>
        <v>Page1!F56</v>
      </c>
      <c r="B15" s="1449" t="s">
        <v>1086</v>
      </c>
      <c r="G15" s="1444" t="str">
        <f t="shared" si="0"/>
        <v/>
      </c>
      <c r="H15" s="1446"/>
      <c r="J15" s="1446"/>
      <c r="N15" s="611" t="s">
        <v>1099</v>
      </c>
      <c r="O15" s="611" t="str">
        <f t="shared" si="7"/>
        <v/>
      </c>
      <c r="P15" s="611" t="str">
        <f t="shared" si="1"/>
        <v>Page1!F</v>
      </c>
      <c r="Q15" s="611">
        <f t="shared" si="2"/>
        <v>56</v>
      </c>
      <c r="R15" s="1447">
        <f t="shared" ca="1" si="3"/>
        <v>0</v>
      </c>
      <c r="S15" s="1447">
        <f t="shared" ca="1" si="4"/>
        <v>0</v>
      </c>
      <c r="V15" s="2557" t="str">
        <f t="shared" ca="1" si="5"/>
        <v/>
      </c>
      <c r="W15" s="611" t="str">
        <f t="shared" ca="1" si="6"/>
        <v>Page1, Ligne 53 [Page1!F56]  -</v>
      </c>
    </row>
    <row r="16" spans="1:26">
      <c r="A16" s="1443" t="str">
        <f>celladdr(Page1!F57)</f>
        <v>Page1!F57</v>
      </c>
      <c r="B16" s="1449" t="s">
        <v>1086</v>
      </c>
      <c r="G16" s="1444" t="str">
        <f t="shared" si="0"/>
        <v/>
      </c>
      <c r="H16" s="1446"/>
      <c r="J16" s="1446"/>
      <c r="N16" s="611" t="s">
        <v>1100</v>
      </c>
      <c r="O16" s="611" t="str">
        <f t="shared" si="7"/>
        <v/>
      </c>
      <c r="P16" s="611" t="str">
        <f t="shared" si="1"/>
        <v>Page1!F</v>
      </c>
      <c r="Q16" s="611">
        <f t="shared" si="2"/>
        <v>57</v>
      </c>
      <c r="R16" s="1447">
        <f t="shared" ca="1" si="3"/>
        <v>0</v>
      </c>
      <c r="S16" s="1447">
        <f t="shared" ca="1" si="4"/>
        <v>0</v>
      </c>
      <c r="V16" s="2557" t="str">
        <f t="shared" ca="1" si="5"/>
        <v/>
      </c>
      <c r="W16" s="611" t="str">
        <f t="shared" ca="1" si="6"/>
        <v>Page1, Ligne 54 [Page1!F57]  -</v>
      </c>
    </row>
    <row r="17" spans="1:23">
      <c r="A17" s="611" t="str">
        <f>celladdr(Page1!F58)</f>
        <v>Page1!F58</v>
      </c>
      <c r="B17" s="1449" t="s">
        <v>1086</v>
      </c>
      <c r="C17" s="1445" t="b">
        <f>OR(AND((Page1!$F$61+Page1!$H$61)=0,Page1!$F$58&gt;0),AND((Page1!$F$61+Page1!$H$61)&gt;0,Page1!$F$58=0))</f>
        <v>0</v>
      </c>
      <c r="D17" s="1451" t="b">
        <f>IF((Page1!$F$61+Page1!$H$61)=0,FALSE,OR(Page1!$F$58/(Page1!$F$61+Page1!$H$61)&lt;INDEX(Min_Table,L17),Page1!$F$58/(Page1!$F$61+Page1!$H$61)&gt;INDEX(Max_Table,L17)))</f>
        <v>0</v>
      </c>
      <c r="E17" s="1451" t="b">
        <f>IF((Page1!$F$61+Page1!$H$61)=0,FALSE,OR(Page1!$F$58/(Page1!$F$61+Page1!$H$61)&lt;INDEX(Min_Table,M17),Page1!$F$58/(Page1!$F$61+Page1!$H$61)&gt;INDEX(Max_Table,M17)))</f>
        <v>0</v>
      </c>
      <c r="F17" s="1450"/>
      <c r="G17" s="1444" t="str">
        <f t="shared" si="0"/>
        <v/>
      </c>
      <c r="H17" s="1446" t="str">
        <f>IF(C17=TRUE,Comments!$B$4,"")</f>
        <v/>
      </c>
      <c r="I17" s="1447" t="str">
        <f>IF(D17=TRUE,Comments!$B$20&amp;DOLLAR(INDEX(Min_Table,L17),0)&amp;Comments!$B$18&amp;DOLLAR(INDEX(Max_Table,L17),0)&amp;Comments!$B$19&amp;DOLLAR(Page1!$F$58/(Page1!$F$61+Page1!$H$61),0)&amp;" = "&amp;DOLLAR(Page1!$F$58,0)&amp;" ÷ ("&amp;Page1!$F$61&amp;" + "&amp;Page1!$H$61&amp;") ","")</f>
        <v/>
      </c>
      <c r="J17" s="1447" t="str">
        <f>IF(E17=TRUE,Comments!$B$22&amp;DOLLAR(INDEX(Min_Table,M17),0)&amp;Comments!$B$18&amp;DOLLAR(INDEX(Max_Table,M17),0)&amp;Comments!$B$19&amp;DOLLAR(Page1!$F$58/(Page1!$F$61+Page1!$H$61),0)&amp;" = "&amp;DOLLAR(Page1!$F$58,0)&amp;" ÷ ("&amp;Page1!$F$61&amp;" + "&amp;Page1!$H$61&amp;") ","")</f>
        <v/>
      </c>
      <c r="K17" s="1452"/>
      <c r="L17" s="611">
        <f>ROW(OR_VEH!$A$650)</f>
        <v>650</v>
      </c>
      <c r="M17" s="611">
        <f>ROW(OR_VEH!$A$649)</f>
        <v>649</v>
      </c>
      <c r="N17" s="611" t="s">
        <v>1101</v>
      </c>
      <c r="O17" s="611" t="str">
        <f t="shared" si="7"/>
        <v/>
      </c>
      <c r="P17" s="611" t="str">
        <f t="shared" si="1"/>
        <v>Page1!F</v>
      </c>
      <c r="Q17" s="611">
        <f t="shared" si="2"/>
        <v>58</v>
      </c>
      <c r="R17" s="1447">
        <f t="shared" ca="1" si="3"/>
        <v>0</v>
      </c>
      <c r="S17" s="1447">
        <f t="shared" ca="1" si="4"/>
        <v>0</v>
      </c>
      <c r="T17" s="611">
        <v>22</v>
      </c>
      <c r="V17" s="2557" t="str">
        <f t="shared" ca="1" si="5"/>
        <v/>
      </c>
      <c r="W17" s="611" t="str">
        <f t="shared" ca="1" si="6"/>
        <v>Page1, Ligne 55 [Page1!F58]  -</v>
      </c>
    </row>
    <row r="18" spans="1:23">
      <c r="A18" s="1443" t="str">
        <f>celladdr(Page1!F59)</f>
        <v>Page1!F59</v>
      </c>
      <c r="B18" s="1449" t="s">
        <v>1086</v>
      </c>
      <c r="G18" s="1444" t="str">
        <f t="shared" si="0"/>
        <v/>
      </c>
      <c r="H18" s="1446"/>
      <c r="I18" s="1446"/>
      <c r="J18" s="1446"/>
      <c r="N18" s="611" t="s">
        <v>1101</v>
      </c>
      <c r="O18" s="611" t="str">
        <f t="shared" si="7"/>
        <v/>
      </c>
      <c r="P18" s="611" t="str">
        <f t="shared" si="1"/>
        <v>Page1!F</v>
      </c>
      <c r="Q18" s="611">
        <f t="shared" si="2"/>
        <v>59</v>
      </c>
      <c r="R18" s="1447">
        <f t="shared" ca="1" si="3"/>
        <v>0</v>
      </c>
      <c r="S18" s="1447">
        <f t="shared" ca="1" si="4"/>
        <v>0</v>
      </c>
      <c r="V18" s="2557" t="str">
        <f t="shared" ca="1" si="5"/>
        <v/>
      </c>
      <c r="W18" s="611" t="str">
        <f t="shared" ca="1" si="6"/>
        <v>Page1, Ligne 56 [Page1!F59]  -</v>
      </c>
    </row>
    <row r="19" spans="1:23">
      <c r="A19" s="611" t="str">
        <f>celladdr(Page1!F61)</f>
        <v>Page1!F61</v>
      </c>
      <c r="B19" s="1453" t="s">
        <v>1086</v>
      </c>
      <c r="C19" s="1445" t="b">
        <f>OR(AND((Page1!$F$61+Page1!$H$61)=0,Page1!$F$58&gt;0),AND((Page1!$F$61+Page1!$H$61)&gt;0,Page1!$F$58=0),Page1!$F$61&lt;0)</f>
        <v>0</v>
      </c>
      <c r="D19" s="1451" t="b">
        <f>IF((Page1!$F$61+Page1!$H$61)=0,FALSE,OR(Page1!$F$58/(Page1!$F$61+Page1!$H$61)&lt;INDEX(Min_Table,L19),Page1!$F$58/(Page1!$F$61+Page1!$H$61)&gt;INDEX(Max_Table,L19)))</f>
        <v>0</v>
      </c>
      <c r="E19" s="1451" t="b">
        <f>IF((Page1!$F$61+Page1!$H$61)=0,FALSE,OR(Page1!$F$58/(Page1!$F$61+Page1!$H$61)&lt;INDEX(Min_Table,M19),Page1!$F$58/(Page1!$F$61+Page1!$H$61)&gt;INDEX(Max_Table,M19)))</f>
        <v>0</v>
      </c>
      <c r="F19" s="1450"/>
      <c r="G19" s="1444" t="str">
        <f t="shared" si="0"/>
        <v/>
      </c>
      <c r="H19" s="1446" t="str">
        <f>IF(C19=TRUE,IF(Page1!$F$61&lt;0,Comments!$B$26,Comments!$B$4),"")</f>
        <v/>
      </c>
      <c r="I19" s="1447" t="str">
        <f>IF(D19=TRUE,Comments!$B$20&amp;DOLLAR(INDEX(Min_Table,L19),0)&amp;Comments!$B$18&amp;DOLLAR(INDEX(Max_Table,L19),0)&amp;Comments!$B$19&amp;DOLLAR(Page1!$F$58/(Page1!$F$61+Page1!$H$61),0)&amp;" = "&amp;DOLLAR(Page1!$F$58,0)&amp;" ÷ ("&amp;Page1!$F$61&amp;" + "&amp;Page1!$H$61&amp;") ","")</f>
        <v/>
      </c>
      <c r="J19" s="1447" t="str">
        <f>IF(E19=TRUE,Comments!$B$22&amp;DOLLAR(INDEX(Min_Table,M19),0)&amp;Comments!$B$18&amp;DOLLAR(INDEX(Max_Table,M19),0)&amp;Comments!$B$19&amp;DOLLAR(Page1!$F$58/(Page1!$F$61+Page1!$H$61),0)&amp;" = "&amp;DOLLAR(Page1!$F$58,0)&amp;" ÷ ("&amp;Page1!$F$61&amp;" + "&amp;Page1!$H$61&amp;") ","")</f>
        <v/>
      </c>
      <c r="K19" s="1452"/>
      <c r="L19" s="611">
        <f>ROW(OR_VEH!$A$650)</f>
        <v>650</v>
      </c>
      <c r="M19" s="611">
        <f>ROW(OR_VEH!$A$649)</f>
        <v>649</v>
      </c>
      <c r="N19" s="611" t="s">
        <v>1102</v>
      </c>
      <c r="O19" s="611" t="str">
        <f t="shared" si="7"/>
        <v/>
      </c>
      <c r="P19" s="611" t="str">
        <f t="shared" si="1"/>
        <v>Page1!F</v>
      </c>
      <c r="Q19" s="611">
        <f t="shared" si="2"/>
        <v>61</v>
      </c>
      <c r="R19" s="1447">
        <f t="shared" ca="1" si="3"/>
        <v>0</v>
      </c>
      <c r="S19" s="1447">
        <f t="shared" ca="1" si="4"/>
        <v>0</v>
      </c>
      <c r="T19" s="611">
        <v>2</v>
      </c>
      <c r="V19" s="2557" t="str">
        <f t="shared" ca="1" si="5"/>
        <v/>
      </c>
      <c r="W19" s="611" t="str">
        <f t="shared" ca="1" si="6"/>
        <v>Page1, Ligne 58 [Page1!F61]  -</v>
      </c>
    </row>
    <row r="20" spans="1:23">
      <c r="A20" s="611" t="str">
        <f>celladdr(Page1!G7)</f>
        <v>Page1!G7</v>
      </c>
      <c r="B20" s="1444" t="s">
        <v>1086</v>
      </c>
      <c r="D20" s="1450"/>
      <c r="E20" s="1450"/>
      <c r="F20" s="1450"/>
      <c r="G20" s="1444" t="str">
        <f t="shared" si="0"/>
        <v/>
      </c>
      <c r="H20" s="1446"/>
      <c r="I20" s="1452"/>
      <c r="J20" s="1452"/>
      <c r="K20" s="1452"/>
      <c r="N20" s="611" t="s">
        <v>1103</v>
      </c>
      <c r="O20" s="611" t="str">
        <f t="shared" si="7"/>
        <v/>
      </c>
      <c r="P20" s="611" t="str">
        <f t="shared" si="1"/>
        <v>Page1!G</v>
      </c>
      <c r="Q20" s="611">
        <f t="shared" si="2"/>
        <v>7</v>
      </c>
      <c r="R20" s="1447">
        <f t="shared" ca="1" si="3"/>
        <v>0</v>
      </c>
      <c r="S20" s="1447">
        <f t="shared" ca="1" si="4"/>
        <v>0</v>
      </c>
      <c r="V20" s="2557" t="str">
        <f t="shared" ca="1" si="5"/>
        <v/>
      </c>
      <c r="W20" s="611" t="str">
        <f t="shared" ca="1" si="6"/>
        <v>Page1, Ligne 4 [Page1!G7]  -</v>
      </c>
    </row>
    <row r="21" spans="1:23">
      <c r="A21" s="611" t="str">
        <f>celladdr(Page1!G8)</f>
        <v>Page1!G8</v>
      </c>
      <c r="B21" s="1444" t="s">
        <v>1086</v>
      </c>
      <c r="D21" s="1450"/>
      <c r="E21" s="1450"/>
      <c r="F21" s="1450"/>
      <c r="G21" s="1444" t="str">
        <f t="shared" si="0"/>
        <v/>
      </c>
      <c r="H21" s="1446"/>
      <c r="I21" s="1452"/>
      <c r="J21" s="1452"/>
      <c r="K21" s="1452"/>
      <c r="N21" s="611" t="s">
        <v>1104</v>
      </c>
      <c r="O21" s="611" t="str">
        <f t="shared" si="7"/>
        <v/>
      </c>
      <c r="P21" s="611" t="str">
        <f t="shared" si="1"/>
        <v>Page1!G</v>
      </c>
      <c r="Q21" s="611">
        <f t="shared" si="2"/>
        <v>8</v>
      </c>
      <c r="R21" s="1447">
        <f t="shared" ca="1" si="3"/>
        <v>0</v>
      </c>
      <c r="S21" s="1447">
        <f t="shared" ca="1" si="4"/>
        <v>0</v>
      </c>
      <c r="V21" s="2557" t="str">
        <f t="shared" ca="1" si="5"/>
        <v/>
      </c>
      <c r="W21" s="611" t="str">
        <f t="shared" ca="1" si="6"/>
        <v>Page1, Ligne 5 [Page1!G8]  -</v>
      </c>
    </row>
    <row r="22" spans="1:23">
      <c r="A22" s="611" t="str">
        <f>celladdr(Page1!G44)</f>
        <v>Page1!G44</v>
      </c>
      <c r="B22" s="1453" t="s">
        <v>1086</v>
      </c>
      <c r="C22" s="1445" t="b">
        <f>OR(AND(Page1!$G$44=0,Page1!$I$44&gt;0),AND(Page1!$G$44&gt;0,Page1!$I$44=0))</f>
        <v>0</v>
      </c>
      <c r="D22" s="1450"/>
      <c r="E22" s="1450"/>
      <c r="F22" s="1454"/>
      <c r="G22" s="1444" t="str">
        <f t="shared" si="0"/>
        <v/>
      </c>
      <c r="H22" s="1446" t="str">
        <f>IF(C22=TRUE,Comments!$B$4,"")</f>
        <v/>
      </c>
      <c r="I22" s="1452"/>
      <c r="J22" s="1452"/>
      <c r="K22" s="1446"/>
      <c r="N22" s="611" t="s">
        <v>1105</v>
      </c>
      <c r="O22" s="611" t="str">
        <f t="shared" si="7"/>
        <v/>
      </c>
      <c r="P22" s="611" t="str">
        <f t="shared" si="1"/>
        <v>Page1!G</v>
      </c>
      <c r="Q22" s="611">
        <f t="shared" si="2"/>
        <v>44</v>
      </c>
      <c r="R22" s="1447">
        <f t="shared" ca="1" si="3"/>
        <v>0</v>
      </c>
      <c r="S22" s="1447">
        <f t="shared" ca="1" si="4"/>
        <v>0</v>
      </c>
      <c r="V22" s="2557" t="str">
        <f t="shared" ca="1" si="5"/>
        <v/>
      </c>
      <c r="W22" s="611" t="str">
        <f t="shared" ca="1" si="6"/>
        <v>Page1, Ligne 41 [Page1!G44]  -</v>
      </c>
    </row>
    <row r="23" spans="1:23">
      <c r="A23" s="611" t="str">
        <f>celladdr(Page1!G46)</f>
        <v>Page1!G46</v>
      </c>
      <c r="B23" s="1455" t="s">
        <v>1086</v>
      </c>
      <c r="D23" s="1445" t="b">
        <f>OR(AND(Page1!$G$46=0,Page1!$I$45&lt;&gt;0),AND(Page1!$G$46&lt;&gt;0,Page1!$I$45=0))</f>
        <v>0</v>
      </c>
      <c r="E23" s="1450"/>
      <c r="F23" s="1450"/>
      <c r="G23" s="1444" t="str">
        <f t="shared" si="0"/>
        <v/>
      </c>
      <c r="H23" s="1446"/>
      <c r="I23" s="1446" t="str">
        <f>IF(D23=TRUE,Comments!$B$5,"")</f>
        <v/>
      </c>
      <c r="J23" s="1452"/>
      <c r="K23" s="1446"/>
      <c r="N23" s="611" t="s">
        <v>1106</v>
      </c>
      <c r="O23" s="611" t="str">
        <f t="shared" si="7"/>
        <v/>
      </c>
      <c r="P23" s="611" t="str">
        <f t="shared" si="1"/>
        <v>Page1!G</v>
      </c>
      <c r="Q23" s="611">
        <f t="shared" si="2"/>
        <v>46</v>
      </c>
      <c r="R23" s="1447">
        <f t="shared" ca="1" si="3"/>
        <v>0</v>
      </c>
      <c r="S23" s="1447">
        <f t="shared" ca="1" si="4"/>
        <v>0</v>
      </c>
      <c r="V23" s="2557" t="str">
        <f t="shared" ca="1" si="5"/>
        <v/>
      </c>
      <c r="W23" s="611" t="str">
        <f t="shared" ca="1" si="6"/>
        <v>Page1, Ligne 43 [Page1!G46]  -</v>
      </c>
    </row>
    <row r="24" spans="1:23">
      <c r="A24" s="1117" t="str">
        <f>celladdr(Page1!G51)</f>
        <v>Page1!G51</v>
      </c>
      <c r="B24" s="1456" t="s">
        <v>1086</v>
      </c>
      <c r="E24" s="1450"/>
      <c r="F24" s="1450"/>
      <c r="G24" s="1444" t="str">
        <f t="shared" si="0"/>
        <v/>
      </c>
      <c r="H24" s="1446"/>
      <c r="I24" s="1446"/>
      <c r="J24" s="1452"/>
      <c r="K24" s="1446"/>
      <c r="N24" s="611" t="s">
        <v>1107</v>
      </c>
      <c r="O24" s="611" t="str">
        <f t="shared" si="7"/>
        <v/>
      </c>
      <c r="P24" s="611" t="str">
        <f t="shared" si="1"/>
        <v>Page1!G</v>
      </c>
      <c r="Q24" s="611">
        <f t="shared" si="2"/>
        <v>51</v>
      </c>
      <c r="R24" s="1447">
        <f t="shared" ca="1" si="3"/>
        <v>0</v>
      </c>
      <c r="S24" s="1447">
        <f t="shared" ca="1" si="4"/>
        <v>0</v>
      </c>
      <c r="V24" s="2557" t="str">
        <f t="shared" ca="1" si="5"/>
        <v/>
      </c>
      <c r="W24" s="611" t="str">
        <f t="shared" ca="1" si="6"/>
        <v>Page1, Ligne 48 [Page1!G51]  -</v>
      </c>
    </row>
    <row r="25" spans="1:23">
      <c r="A25" s="1117" t="str">
        <f>celladdr(Page1!G52)</f>
        <v>Page1!G52</v>
      </c>
      <c r="B25" s="1456" t="s">
        <v>1086</v>
      </c>
      <c r="E25" s="1450"/>
      <c r="F25" s="1450"/>
      <c r="G25" s="1444" t="str">
        <f t="shared" si="0"/>
        <v/>
      </c>
      <c r="H25" s="1446"/>
      <c r="I25" s="1446"/>
      <c r="J25" s="1452"/>
      <c r="K25" s="1446"/>
      <c r="N25" s="611" t="s">
        <v>1108</v>
      </c>
      <c r="O25" s="611" t="str">
        <f t="shared" si="7"/>
        <v/>
      </c>
      <c r="P25" s="611" t="str">
        <f t="shared" si="1"/>
        <v>Page1!G</v>
      </c>
      <c r="Q25" s="611">
        <f t="shared" si="2"/>
        <v>52</v>
      </c>
      <c r="R25" s="1447">
        <f t="shared" ca="1" si="3"/>
        <v>0</v>
      </c>
      <c r="S25" s="1447">
        <f t="shared" ca="1" si="4"/>
        <v>0</v>
      </c>
      <c r="V25" s="2557" t="str">
        <f t="shared" ca="1" si="5"/>
        <v/>
      </c>
      <c r="W25" s="611" t="str">
        <f t="shared" ca="1" si="6"/>
        <v>Page1, Ligne 49 [Page1!G52]  -</v>
      </c>
    </row>
    <row r="26" spans="1:23">
      <c r="A26" s="1117" t="str">
        <f>celladdr(Page1!G53)</f>
        <v>Page1!G53</v>
      </c>
      <c r="B26" s="1456" t="s">
        <v>1086</v>
      </c>
      <c r="E26" s="1450"/>
      <c r="F26" s="1450"/>
      <c r="G26" s="1444" t="str">
        <f t="shared" si="0"/>
        <v/>
      </c>
      <c r="H26" s="1446"/>
      <c r="I26" s="1446"/>
      <c r="J26" s="1452"/>
      <c r="K26" s="1446"/>
      <c r="N26" s="611" t="s">
        <v>1109</v>
      </c>
      <c r="O26" s="611" t="str">
        <f t="shared" si="7"/>
        <v/>
      </c>
      <c r="P26" s="611" t="str">
        <f t="shared" si="1"/>
        <v>Page1!G</v>
      </c>
      <c r="Q26" s="611">
        <f t="shared" si="2"/>
        <v>53</v>
      </c>
      <c r="R26" s="1447">
        <f t="shared" ca="1" si="3"/>
        <v>0</v>
      </c>
      <c r="S26" s="1447">
        <f t="shared" ca="1" si="4"/>
        <v>0</v>
      </c>
      <c r="V26" s="2557" t="str">
        <f t="shared" ca="1" si="5"/>
        <v/>
      </c>
      <c r="W26" s="611" t="str">
        <f t="shared" ca="1" si="6"/>
        <v>Page1, Ligne 50 [Page1!G53]  -</v>
      </c>
    </row>
    <row r="27" spans="1:23">
      <c r="A27" s="1117" t="str">
        <f>celladdr(Page1!G54)</f>
        <v>Page1!G54</v>
      </c>
      <c r="B27" s="1456" t="s">
        <v>1086</v>
      </c>
      <c r="E27" s="1450"/>
      <c r="F27" s="1450"/>
      <c r="G27" s="1444" t="str">
        <f t="shared" si="0"/>
        <v/>
      </c>
      <c r="H27" s="1446"/>
      <c r="I27" s="1446"/>
      <c r="J27" s="1452"/>
      <c r="K27" s="1446"/>
      <c r="N27" s="611" t="s">
        <v>1110</v>
      </c>
      <c r="O27" s="611" t="str">
        <f t="shared" si="7"/>
        <v/>
      </c>
      <c r="P27" s="611" t="str">
        <f t="shared" si="1"/>
        <v>Page1!G</v>
      </c>
      <c r="Q27" s="611">
        <f t="shared" si="2"/>
        <v>54</v>
      </c>
      <c r="R27" s="1447">
        <f t="shared" ca="1" si="3"/>
        <v>0</v>
      </c>
      <c r="S27" s="1447">
        <f t="shared" ca="1" si="4"/>
        <v>0</v>
      </c>
      <c r="V27" s="2557" t="str">
        <f t="shared" ca="1" si="5"/>
        <v/>
      </c>
      <c r="W27" s="611" t="str">
        <f t="shared" ca="1" si="6"/>
        <v>Page1, Ligne 51 [Page1!G54]  -</v>
      </c>
    </row>
    <row r="28" spans="1:23">
      <c r="A28" s="1117" t="str">
        <f>celladdr(Page1!G55)</f>
        <v>Page1!G55</v>
      </c>
      <c r="B28" s="1456" t="s">
        <v>1086</v>
      </c>
      <c r="E28" s="1450"/>
      <c r="F28" s="1450"/>
      <c r="G28" s="1444" t="str">
        <f t="shared" si="0"/>
        <v/>
      </c>
      <c r="H28" s="1446"/>
      <c r="I28" s="1446"/>
      <c r="J28" s="1452"/>
      <c r="K28" s="1446"/>
      <c r="N28" s="611" t="s">
        <v>1111</v>
      </c>
      <c r="O28" s="611" t="str">
        <f t="shared" si="7"/>
        <v/>
      </c>
      <c r="P28" s="611" t="str">
        <f t="shared" si="1"/>
        <v>Page1!G</v>
      </c>
      <c r="Q28" s="611">
        <f t="shared" si="2"/>
        <v>55</v>
      </c>
      <c r="R28" s="1447">
        <f t="shared" ca="1" si="3"/>
        <v>0</v>
      </c>
      <c r="S28" s="1447">
        <f t="shared" ca="1" si="4"/>
        <v>0</v>
      </c>
      <c r="V28" s="2557" t="str">
        <f t="shared" ca="1" si="5"/>
        <v/>
      </c>
      <c r="W28" s="611" t="str">
        <f t="shared" ca="1" si="6"/>
        <v>Page1, Ligne 52 [Page1!G55]  -</v>
      </c>
    </row>
    <row r="29" spans="1:23">
      <c r="A29" s="1117" t="str">
        <f>celladdr(Page1!G56)</f>
        <v>Page1!G56</v>
      </c>
      <c r="B29" s="1456" t="s">
        <v>1086</v>
      </c>
      <c r="E29" s="1450"/>
      <c r="F29" s="1450"/>
      <c r="G29" s="1444" t="str">
        <f t="shared" si="0"/>
        <v/>
      </c>
      <c r="H29" s="1446"/>
      <c r="I29" s="1446"/>
      <c r="J29" s="1452"/>
      <c r="K29" s="1446"/>
      <c r="N29" s="611" t="s">
        <v>1112</v>
      </c>
      <c r="O29" s="611" t="str">
        <f t="shared" si="7"/>
        <v/>
      </c>
      <c r="P29" s="611" t="str">
        <f t="shared" si="1"/>
        <v>Page1!G</v>
      </c>
      <c r="Q29" s="611">
        <f t="shared" si="2"/>
        <v>56</v>
      </c>
      <c r="R29" s="1447">
        <f t="shared" ca="1" si="3"/>
        <v>0</v>
      </c>
      <c r="S29" s="1447">
        <f t="shared" ca="1" si="4"/>
        <v>0</v>
      </c>
      <c r="V29" s="2557" t="str">
        <f t="shared" ca="1" si="5"/>
        <v/>
      </c>
      <c r="W29" s="611" t="str">
        <f t="shared" ca="1" si="6"/>
        <v>Page1, Ligne 53 [Page1!G56]  -</v>
      </c>
    </row>
    <row r="30" spans="1:23">
      <c r="A30" s="1117" t="str">
        <f>celladdr(Page1!G57)</f>
        <v>Page1!G57</v>
      </c>
      <c r="B30" s="1456" t="s">
        <v>1086</v>
      </c>
      <c r="E30" s="1450"/>
      <c r="F30" s="1450"/>
      <c r="G30" s="1444" t="str">
        <f t="shared" si="0"/>
        <v/>
      </c>
      <c r="H30" s="1446"/>
      <c r="I30" s="1446"/>
      <c r="J30" s="1452"/>
      <c r="K30" s="1446"/>
      <c r="N30" s="611" t="s">
        <v>1113</v>
      </c>
      <c r="O30" s="611" t="str">
        <f t="shared" si="7"/>
        <v/>
      </c>
      <c r="P30" s="611" t="str">
        <f t="shared" si="1"/>
        <v>Page1!G</v>
      </c>
      <c r="Q30" s="611">
        <f t="shared" si="2"/>
        <v>57</v>
      </c>
      <c r="R30" s="1447">
        <f t="shared" ca="1" si="3"/>
        <v>0</v>
      </c>
      <c r="S30" s="1447">
        <f t="shared" ca="1" si="4"/>
        <v>0</v>
      </c>
      <c r="V30" s="2557" t="str">
        <f t="shared" ca="1" si="5"/>
        <v/>
      </c>
      <c r="W30" s="611" t="str">
        <f t="shared" ca="1" si="6"/>
        <v>Page1, Ligne 54 [Page1!G57]  -</v>
      </c>
    </row>
    <row r="31" spans="1:23">
      <c r="A31" s="1117" t="str">
        <f>celladdr(Page1!G58)</f>
        <v>Page1!G58</v>
      </c>
      <c r="B31" s="1456" t="s">
        <v>1086</v>
      </c>
      <c r="E31" s="1450"/>
      <c r="F31" s="1450"/>
      <c r="G31" s="1444" t="str">
        <f t="shared" si="0"/>
        <v/>
      </c>
      <c r="H31" s="1446"/>
      <c r="I31" s="1446"/>
      <c r="J31" s="1452"/>
      <c r="K31" s="1446"/>
      <c r="N31" s="611" t="s">
        <v>1114</v>
      </c>
      <c r="O31" s="611" t="str">
        <f t="shared" si="7"/>
        <v/>
      </c>
      <c r="P31" s="611" t="str">
        <f t="shared" si="1"/>
        <v>Page1!G</v>
      </c>
      <c r="Q31" s="611">
        <f t="shared" si="2"/>
        <v>58</v>
      </c>
      <c r="R31" s="1447">
        <f t="shared" ca="1" si="3"/>
        <v>0</v>
      </c>
      <c r="S31" s="1447">
        <f t="shared" ca="1" si="4"/>
        <v>0</v>
      </c>
      <c r="V31" s="2557" t="str">
        <f t="shared" ca="1" si="5"/>
        <v/>
      </c>
      <c r="W31" s="611" t="str">
        <f t="shared" ca="1" si="6"/>
        <v>Page1, Ligne 55 [Page1!G58]  -</v>
      </c>
    </row>
    <row r="32" spans="1:23">
      <c r="A32" s="1117" t="str">
        <f>celladdr(Page1!G59)</f>
        <v>Page1!G59</v>
      </c>
      <c r="B32" s="1456" t="s">
        <v>1086</v>
      </c>
      <c r="E32" s="1450"/>
      <c r="F32" s="1450"/>
      <c r="G32" s="1444" t="str">
        <f t="shared" si="0"/>
        <v/>
      </c>
      <c r="H32" s="1446"/>
      <c r="I32" s="1446"/>
      <c r="J32" s="1452"/>
      <c r="K32" s="1446"/>
      <c r="N32" s="611" t="s">
        <v>1115</v>
      </c>
      <c r="O32" s="611" t="str">
        <f t="shared" si="7"/>
        <v/>
      </c>
      <c r="P32" s="611" t="str">
        <f t="shared" si="1"/>
        <v>Page1!G</v>
      </c>
      <c r="Q32" s="611">
        <f t="shared" si="2"/>
        <v>59</v>
      </c>
      <c r="R32" s="1447">
        <f t="shared" ca="1" si="3"/>
        <v>0</v>
      </c>
      <c r="S32" s="1447">
        <f t="shared" ca="1" si="4"/>
        <v>0</v>
      </c>
      <c r="V32" s="2557" t="str">
        <f t="shared" ca="1" si="5"/>
        <v/>
      </c>
      <c r="W32" s="611" t="str">
        <f t="shared" ca="1" si="6"/>
        <v>Page1, Ligne 56 [Page1!G59]  -</v>
      </c>
    </row>
    <row r="33" spans="1:23">
      <c r="A33" s="611" t="str">
        <f>celladdr(Page1!H61)</f>
        <v>Page1!H61</v>
      </c>
      <c r="B33" s="1453" t="s">
        <v>1086</v>
      </c>
      <c r="C33" s="1445" t="b">
        <f>OR(AND((Page1!$F$61+Page1!$H$61)=0,Page1!$F$58&gt;0),AND((Page1!$F$61+Page1!$H$61)&gt;0,Page1!$F$58=0),Page1!$H$61&lt;0)</f>
        <v>0</v>
      </c>
      <c r="D33" s="1451" t="b">
        <f>IF((Page1!$F$61+Page1!$H$61)=0,FALSE,OR(Page1!$F$58/(Page1!$F$61+Page1!$H$61)&lt;INDEX(Min_Table,L33),Page1!$F$58/(Page1!$F$61+Page1!$H$61)&gt;INDEX(Max_Table,L33)))</f>
        <v>0</v>
      </c>
      <c r="E33" s="1451" t="b">
        <f>IF((Page1!$F$61+Page1!$H$61)=0,FALSE,OR(Page1!$F$58/(Page1!$F$61+Page1!$H$61)&lt;INDEX(Min_Table,M33),Page1!$F$58/(Page1!$F$61+Page1!$H$61)&gt;INDEX(Max_Table,M33)))</f>
        <v>0</v>
      </c>
      <c r="F33" s="1450"/>
      <c r="G33" s="1444" t="str">
        <f t="shared" si="0"/>
        <v/>
      </c>
      <c r="H33" s="1446" t="str">
        <f>IF(C33=TRUE,IF(Page1!$H$61&lt;0,Comments!$B$26,Comments!$B$4),"")</f>
        <v/>
      </c>
      <c r="I33" s="1447" t="str">
        <f>IF(D33=TRUE,Comments!$B$20&amp;DOLLAR(INDEX(Min_Table,L33),0)&amp;Comments!$B$18&amp;DOLLAR(INDEX(Max_Table,L33),0)&amp;Comments!$B$19&amp;DOLLAR(Page1!$F$58/(Page1!$F$61+Page1!$H$61),0)&amp;" = "&amp;DOLLAR(Page1!$F$58,0)&amp;" ÷ ("&amp;Page1!$F$61&amp;" + "&amp;Page1!$H$61&amp;") ","")</f>
        <v/>
      </c>
      <c r="J33" s="1447" t="str">
        <f>IF(E33=TRUE,Comments!$B$22&amp;DOLLAR(INDEX(Min_Table,M33),0)&amp;Comments!$B$18&amp;DOLLAR(INDEX(Max_Table,M33),0)&amp;Comments!$B$19&amp;DOLLAR(Page1!$F$58/(Page1!$F$61+Page1!$H$61),0)&amp;" = "&amp;DOLLAR(Page1!$F$58,0)&amp;" ÷ ("&amp;Page1!$F$61&amp;" + "&amp;Page1!$H$61&amp;") ","")</f>
        <v/>
      </c>
      <c r="K33" s="1452"/>
      <c r="L33" s="611">
        <f>ROW(OR_VEH!$A$650)</f>
        <v>650</v>
      </c>
      <c r="M33" s="611">
        <f>ROW(OR_VEH!$A$649)</f>
        <v>649</v>
      </c>
      <c r="N33" s="611" t="s">
        <v>1116</v>
      </c>
      <c r="O33" s="611" t="str">
        <f t="shared" si="7"/>
        <v/>
      </c>
      <c r="P33" s="611" t="str">
        <f t="shared" si="1"/>
        <v>Page1!H</v>
      </c>
      <c r="Q33" s="611">
        <f t="shared" si="2"/>
        <v>61</v>
      </c>
      <c r="R33" s="1447">
        <f t="shared" ca="1" si="3"/>
        <v>0</v>
      </c>
      <c r="S33" s="1447">
        <f t="shared" ca="1" si="4"/>
        <v>0</v>
      </c>
      <c r="T33" s="611">
        <v>2</v>
      </c>
      <c r="V33" s="2557" t="str">
        <f t="shared" ca="1" si="5"/>
        <v/>
      </c>
      <c r="W33" s="611" t="str">
        <f t="shared" ca="1" si="6"/>
        <v>Page1, Ligne 58 [Page1!H61]  -</v>
      </c>
    </row>
    <row r="34" spans="1:23" ht="80">
      <c r="A34" s="1443" t="str">
        <f>celladdr(Page1!I10)</f>
        <v>Page1!I10</v>
      </c>
      <c r="B34" s="1449" t="s">
        <v>1086</v>
      </c>
      <c r="E34" s="1445" t="b">
        <f>Page1!I10&lt;0</f>
        <v>1</v>
      </c>
      <c r="G34" s="1444" t="str">
        <f t="shared" ca="1" si="0"/>
        <v>No.de ref. du commentaire.: Page1, Ligne 7 [Page1!I10]  - ENCAISSE 
--- Un solde de clôture d'un compte de l'actif DEVRAIT ÊTRE supérieur ou égal à zéro (0) !
*** 100,0 Points de précision seront déduits suite à cette(ces) erreur(s) !</v>
      </c>
      <c r="H34" s="1446"/>
      <c r="J34" s="1446" t="str">
        <f>IF(E34=TRUE,Comments!$B$6,"")</f>
        <v xml:space="preserve">
--- Un solde de clôture d'un compte de l'actif DEVRAIT ÊTRE supérieur ou égal à zéro (0) !</v>
      </c>
      <c r="N34" s="611" t="s">
        <v>1117</v>
      </c>
      <c r="O34" s="611" t="str">
        <f t="shared" si="7"/>
        <v/>
      </c>
      <c r="P34" s="611" t="str">
        <f t="shared" si="1"/>
        <v>Page1!I</v>
      </c>
      <c r="Q34" s="611">
        <f t="shared" si="2"/>
        <v>10</v>
      </c>
      <c r="R34" s="1447">
        <f t="shared" ca="1" si="3"/>
        <v>100</v>
      </c>
      <c r="S34" s="1447">
        <f t="shared" ca="1" si="4"/>
        <v>0</v>
      </c>
      <c r="T34" s="611">
        <v>6</v>
      </c>
      <c r="V34" s="2557" t="str">
        <f t="shared" ca="1" si="5"/>
        <v xml:space="preserve">
*** 100,0 Points de précision seront déduits suite à cette(ces) erreur(s) !</v>
      </c>
      <c r="W34" s="611" t="str">
        <f t="shared" ca="1" si="6"/>
        <v>Page1, Ligne 7 [Page1!I10]  -</v>
      </c>
    </row>
    <row r="35" spans="1:23">
      <c r="A35" s="1443" t="str">
        <f>celladdr(Page1!I11)</f>
        <v>Page1!I11</v>
      </c>
      <c r="B35" s="1449" t="s">
        <v>1086</v>
      </c>
      <c r="E35" s="1445" t="b">
        <f>Page1!I11&lt;0</f>
        <v>0</v>
      </c>
      <c r="G35" s="1444" t="str">
        <f t="shared" si="0"/>
        <v/>
      </c>
      <c r="H35" s="1446"/>
      <c r="J35" s="1446" t="str">
        <f>IF(E35=TRUE,Comments!$B$6,"")</f>
        <v/>
      </c>
      <c r="N35" s="611" t="s">
        <v>1118</v>
      </c>
      <c r="O35" s="611" t="str">
        <f t="shared" si="7"/>
        <v/>
      </c>
      <c r="P35" s="611" t="str">
        <f t="shared" si="1"/>
        <v>Page1!I</v>
      </c>
      <c r="Q35" s="611">
        <f t="shared" si="2"/>
        <v>11</v>
      </c>
      <c r="R35" s="1447">
        <f t="shared" ca="1" si="3"/>
        <v>0</v>
      </c>
      <c r="S35" s="1447">
        <f t="shared" ca="1" si="4"/>
        <v>0</v>
      </c>
      <c r="T35" s="611">
        <v>6</v>
      </c>
      <c r="V35" s="2557" t="str">
        <f t="shared" ca="1" si="5"/>
        <v/>
      </c>
      <c r="W35" s="611" t="str">
        <f t="shared" ca="1" si="6"/>
        <v>Page1, Ligne 8 [Page1!I11]  -</v>
      </c>
    </row>
    <row r="36" spans="1:23">
      <c r="A36" s="1443" t="str">
        <f>celladdr(Page1!I12)</f>
        <v>Page1!I12</v>
      </c>
      <c r="B36" s="1449" t="s">
        <v>1086</v>
      </c>
      <c r="E36" s="1445" t="b">
        <f>Page1!I12&lt;0</f>
        <v>0</v>
      </c>
      <c r="G36" s="1444" t="str">
        <f t="shared" si="0"/>
        <v/>
      </c>
      <c r="H36" s="1446"/>
      <c r="J36" s="1446" t="str">
        <f>IF(E36=TRUE,Comments!$B$6,"")</f>
        <v/>
      </c>
      <c r="N36" s="611" t="s">
        <v>1119</v>
      </c>
      <c r="O36" s="611" t="str">
        <f t="shared" si="7"/>
        <v/>
      </c>
      <c r="P36" s="611" t="str">
        <f t="shared" si="1"/>
        <v>Page1!I</v>
      </c>
      <c r="Q36" s="611">
        <f t="shared" si="2"/>
        <v>12</v>
      </c>
      <c r="R36" s="1447">
        <f t="shared" ca="1" si="3"/>
        <v>0</v>
      </c>
      <c r="S36" s="1447">
        <f t="shared" ca="1" si="4"/>
        <v>0</v>
      </c>
      <c r="T36" s="611">
        <v>6</v>
      </c>
      <c r="V36" s="2557" t="str">
        <f t="shared" ca="1" si="5"/>
        <v/>
      </c>
      <c r="W36" s="611" t="str">
        <f t="shared" ca="1" si="6"/>
        <v>Page1, Ligne 9 [Page1!I12]  -</v>
      </c>
    </row>
    <row r="37" spans="1:23">
      <c r="A37" s="1443" t="str">
        <f>celladdr(Page1!I13)</f>
        <v>Page1!I13</v>
      </c>
      <c r="B37" s="1449" t="s">
        <v>1086</v>
      </c>
      <c r="E37" s="1445" t="b">
        <f>Page1!I13&lt;0</f>
        <v>0</v>
      </c>
      <c r="G37" s="1444" t="str">
        <f t="shared" si="0"/>
        <v/>
      </c>
      <c r="H37" s="1446"/>
      <c r="J37" s="1446" t="str">
        <f>IF(E37=TRUE,Comments!$B$6,"")</f>
        <v/>
      </c>
      <c r="N37" s="611" t="s">
        <v>1120</v>
      </c>
      <c r="O37" s="611" t="str">
        <f t="shared" si="7"/>
        <v/>
      </c>
      <c r="P37" s="611" t="str">
        <f t="shared" si="1"/>
        <v>Page1!I</v>
      </c>
      <c r="Q37" s="611">
        <f t="shared" si="2"/>
        <v>13</v>
      </c>
      <c r="R37" s="1447">
        <f t="shared" ca="1" si="3"/>
        <v>0</v>
      </c>
      <c r="S37" s="1447">
        <f t="shared" ca="1" si="4"/>
        <v>0</v>
      </c>
      <c r="T37" s="611">
        <v>6</v>
      </c>
      <c r="V37" s="2557" t="str">
        <f t="shared" ca="1" si="5"/>
        <v/>
      </c>
      <c r="W37" s="611" t="str">
        <f t="shared" ca="1" si="6"/>
        <v>Page1, Ligne 10 [Page1!I13]  -</v>
      </c>
    </row>
    <row r="38" spans="1:23">
      <c r="A38" s="1443" t="str">
        <f>celladdr(Page1!I14)</f>
        <v>Page1!I14</v>
      </c>
      <c r="B38" s="1449" t="s">
        <v>1086</v>
      </c>
      <c r="E38" s="1445" t="b">
        <f>Page1!I14&lt;0</f>
        <v>0</v>
      </c>
      <c r="G38" s="1444" t="str">
        <f t="shared" si="0"/>
        <v/>
      </c>
      <c r="H38" s="1446"/>
      <c r="J38" s="1446" t="str">
        <f>IF(E38=TRUE,Comments!$B$6,"")</f>
        <v/>
      </c>
      <c r="O38" s="611" t="str">
        <f t="shared" si="7"/>
        <v/>
      </c>
      <c r="P38" s="611" t="str">
        <f t="shared" si="1"/>
        <v>Page1!I</v>
      </c>
      <c r="Q38" s="611">
        <f t="shared" si="2"/>
        <v>14</v>
      </c>
      <c r="R38" s="1447">
        <f t="shared" ca="1" si="3"/>
        <v>0</v>
      </c>
      <c r="S38" s="1447">
        <f t="shared" ca="1" si="4"/>
        <v>0</v>
      </c>
      <c r="T38" s="611">
        <v>6</v>
      </c>
      <c r="V38" s="2557" t="str">
        <f t="shared" ca="1" si="5"/>
        <v/>
      </c>
      <c r="W38" s="611" t="str">
        <f t="shared" ca="1" si="6"/>
        <v>Page1, Ligne 11 [Page1!I14]  -</v>
      </c>
    </row>
    <row r="39" spans="1:23">
      <c r="A39" s="1443" t="str">
        <f>celladdr(Page1!I17)</f>
        <v>Page1!I17</v>
      </c>
      <c r="B39" s="1449" t="s">
        <v>1086</v>
      </c>
      <c r="E39" s="1445" t="b">
        <f>Page1!I17&lt;0</f>
        <v>0</v>
      </c>
      <c r="G39" s="1444" t="str">
        <f t="shared" si="0"/>
        <v/>
      </c>
      <c r="H39" s="1446"/>
      <c r="J39" s="1446" t="str">
        <f>IF(E39=TRUE,Comments!$B$6,"")</f>
        <v/>
      </c>
      <c r="N39" s="611" t="s">
        <v>1121</v>
      </c>
      <c r="O39" s="611" t="str">
        <f t="shared" si="7"/>
        <v/>
      </c>
      <c r="P39" s="611" t="str">
        <f t="shared" si="1"/>
        <v>Page1!I</v>
      </c>
      <c r="Q39" s="611">
        <f t="shared" si="2"/>
        <v>17</v>
      </c>
      <c r="R39" s="1447">
        <f t="shared" ca="1" si="3"/>
        <v>0</v>
      </c>
      <c r="S39" s="1447">
        <f t="shared" ca="1" si="4"/>
        <v>0</v>
      </c>
      <c r="T39" s="611">
        <v>900</v>
      </c>
      <c r="V39" s="2557" t="str">
        <f t="shared" ca="1" si="5"/>
        <v/>
      </c>
      <c r="W39" s="611" t="str">
        <f t="shared" ca="1" si="6"/>
        <v>Page1, Ligne 14 [Page1!I17]  -</v>
      </c>
    </row>
    <row r="40" spans="1:23">
      <c r="A40" s="1443" t="str">
        <f>celladdr(Page1!I18)</f>
        <v>Page1!I18</v>
      </c>
      <c r="B40" s="1449" t="s">
        <v>1086</v>
      </c>
      <c r="E40" s="1445" t="b">
        <f>Page1!I18&lt;0</f>
        <v>0</v>
      </c>
      <c r="G40" s="1444" t="str">
        <f t="shared" si="0"/>
        <v/>
      </c>
      <c r="H40" s="1446"/>
      <c r="J40" s="1446" t="str">
        <f>IF(E40=TRUE,Comments!$B$6,"")</f>
        <v/>
      </c>
      <c r="N40" s="611" t="s">
        <v>1122</v>
      </c>
      <c r="O40" s="611" t="str">
        <f t="shared" si="7"/>
        <v/>
      </c>
      <c r="P40" s="611" t="str">
        <f t="shared" si="1"/>
        <v>Page1!I</v>
      </c>
      <c r="Q40" s="611">
        <f t="shared" si="2"/>
        <v>18</v>
      </c>
      <c r="R40" s="1447">
        <f t="shared" ca="1" si="3"/>
        <v>0</v>
      </c>
      <c r="S40" s="1447">
        <f t="shared" ca="1" si="4"/>
        <v>0</v>
      </c>
      <c r="T40" s="611">
        <v>6</v>
      </c>
      <c r="V40" s="2557" t="str">
        <f t="shared" ca="1" si="5"/>
        <v/>
      </c>
      <c r="W40" s="611" t="str">
        <f t="shared" ca="1" si="6"/>
        <v>Page1, Ligne 15 [Page1!I18]  -</v>
      </c>
    </row>
    <row r="41" spans="1:23">
      <c r="A41" s="1443" t="str">
        <f>celladdr(Page1!I19)</f>
        <v>Page1!I19</v>
      </c>
      <c r="B41" s="1449" t="s">
        <v>1086</v>
      </c>
      <c r="E41" s="1445" t="b">
        <f>Page1!I19&lt;0</f>
        <v>0</v>
      </c>
      <c r="G41" s="1444" t="str">
        <f t="shared" si="0"/>
        <v/>
      </c>
      <c r="H41" s="1446"/>
      <c r="J41" s="1446" t="str">
        <f>IF(E41=TRUE,Comments!$B$6,"")</f>
        <v/>
      </c>
      <c r="N41" s="611" t="s">
        <v>1123</v>
      </c>
      <c r="O41" s="611" t="str">
        <f t="shared" si="7"/>
        <v/>
      </c>
      <c r="P41" s="611" t="str">
        <f t="shared" si="1"/>
        <v>Page1!I</v>
      </c>
      <c r="Q41" s="611">
        <f t="shared" si="2"/>
        <v>19</v>
      </c>
      <c r="R41" s="1447">
        <f t="shared" ca="1" si="3"/>
        <v>0</v>
      </c>
      <c r="S41" s="1447">
        <f t="shared" ca="1" si="4"/>
        <v>0</v>
      </c>
      <c r="T41" s="611">
        <v>6</v>
      </c>
      <c r="V41" s="2557" t="str">
        <f t="shared" ca="1" si="5"/>
        <v/>
      </c>
      <c r="W41" s="611" t="str">
        <f t="shared" ca="1" si="6"/>
        <v>Page1, Ligne 16 [Page1!I19]  -</v>
      </c>
    </row>
    <row r="42" spans="1:23">
      <c r="A42" s="1443" t="str">
        <f>celladdr(Page1!I20)</f>
        <v>Page1!I20</v>
      </c>
      <c r="B42" s="1449" t="s">
        <v>1086</v>
      </c>
      <c r="E42" s="1445" t="b">
        <f>Page1!I20&lt;0</f>
        <v>0</v>
      </c>
      <c r="G42" s="1444" t="str">
        <f t="shared" si="0"/>
        <v/>
      </c>
      <c r="H42" s="1446"/>
      <c r="J42" s="1446" t="str">
        <f>IF(E42=TRUE,Comments!$B$6,"")</f>
        <v/>
      </c>
      <c r="N42" s="611" t="s">
        <v>1124</v>
      </c>
      <c r="O42" s="611" t="str">
        <f t="shared" si="7"/>
        <v/>
      </c>
      <c r="P42" s="611" t="str">
        <f t="shared" si="1"/>
        <v>Page1!I</v>
      </c>
      <c r="Q42" s="611">
        <f t="shared" si="2"/>
        <v>20</v>
      </c>
      <c r="R42" s="1447">
        <f t="shared" ca="1" si="3"/>
        <v>0</v>
      </c>
      <c r="S42" s="1447">
        <f t="shared" ca="1" si="4"/>
        <v>0</v>
      </c>
      <c r="T42" s="611">
        <v>6</v>
      </c>
      <c r="V42" s="2557" t="str">
        <f t="shared" ca="1" si="5"/>
        <v/>
      </c>
      <c r="W42" s="611" t="str">
        <f t="shared" ca="1" si="6"/>
        <v>Page1, Ligne 17 [Page1!I20]  -</v>
      </c>
    </row>
    <row r="43" spans="1:23">
      <c r="A43" s="1443" t="str">
        <f>celladdr(Page1!I21)</f>
        <v>Page1!I21</v>
      </c>
      <c r="B43" s="1449" t="s">
        <v>1086</v>
      </c>
      <c r="E43" s="1445" t="b">
        <f>Page1!I21&lt;0</f>
        <v>0</v>
      </c>
      <c r="G43" s="1444" t="str">
        <f t="shared" si="0"/>
        <v/>
      </c>
      <c r="H43" s="1446"/>
      <c r="J43" s="1446" t="str">
        <f>IF(E43=TRUE,Comments!$B$6,"")</f>
        <v/>
      </c>
      <c r="N43" s="611" t="s">
        <v>1125</v>
      </c>
      <c r="O43" s="611" t="str">
        <f t="shared" si="7"/>
        <v/>
      </c>
      <c r="P43" s="611" t="str">
        <f t="shared" si="1"/>
        <v>Page1!I</v>
      </c>
      <c r="Q43" s="611">
        <f t="shared" si="2"/>
        <v>21</v>
      </c>
      <c r="R43" s="1447">
        <f t="shared" ca="1" si="3"/>
        <v>0</v>
      </c>
      <c r="S43" s="1447">
        <f t="shared" ca="1" si="4"/>
        <v>0</v>
      </c>
      <c r="T43" s="611">
        <v>6</v>
      </c>
      <c r="V43" s="2557" t="str">
        <f t="shared" ca="1" si="5"/>
        <v/>
      </c>
      <c r="W43" s="611" t="str">
        <f t="shared" ca="1" si="6"/>
        <v>Page1, Ligne 18 [Page1!I21]  -</v>
      </c>
    </row>
    <row r="44" spans="1:23">
      <c r="A44" s="1443" t="str">
        <f>celladdr(Page1!I30)</f>
        <v>Page1!I30</v>
      </c>
      <c r="B44" s="1449" t="s">
        <v>1086</v>
      </c>
      <c r="C44" s="1445" t="b">
        <f>Page1!$I$30&lt;&gt;(Page7!$F$40+Page7!$F$41+Page7!$K$40+Page7!$K$41)</f>
        <v>0</v>
      </c>
      <c r="E44" s="1445" t="b">
        <f>Page1!I30&lt;0</f>
        <v>0</v>
      </c>
      <c r="G44" s="1444" t="str">
        <f t="shared" si="0"/>
        <v/>
      </c>
      <c r="H44" s="1446" t="str">
        <f>IF(C44=TRUE,Comments!$B$62&amp;DOLLAR(Page1!$I$30-(Page7!$F$40+Page7!$F$41+Page7!$K$40+Page7!$K$41),0),"")</f>
        <v/>
      </c>
      <c r="J44" s="1446" t="str">
        <f>IF(E44=TRUE,Comments!$B$6,"")</f>
        <v/>
      </c>
      <c r="N44" s="611" t="s">
        <v>1126</v>
      </c>
      <c r="O44" s="611" t="str">
        <f t="shared" si="7"/>
        <v/>
      </c>
      <c r="P44" s="611" t="str">
        <f t="shared" si="1"/>
        <v>Page1!I</v>
      </c>
      <c r="Q44" s="611">
        <f t="shared" si="2"/>
        <v>30</v>
      </c>
      <c r="R44" s="1447">
        <f t="shared" ca="1" si="3"/>
        <v>0</v>
      </c>
      <c r="S44" s="1447">
        <f t="shared" ca="1" si="4"/>
        <v>0</v>
      </c>
      <c r="T44" s="611">
        <v>6</v>
      </c>
      <c r="V44" s="2557" t="str">
        <f t="shared" ca="1" si="5"/>
        <v/>
      </c>
      <c r="W44" s="611" t="str">
        <f t="shared" ca="1" si="6"/>
        <v>Page1, Ligne 27 [Page1!I30]  -</v>
      </c>
    </row>
    <row r="45" spans="1:23">
      <c r="A45" s="1443" t="str">
        <f>celladdr(Page1!I31)</f>
        <v>Page1!I31</v>
      </c>
      <c r="B45" s="1449" t="s">
        <v>1086</v>
      </c>
      <c r="C45" s="1445" t="b">
        <f>(Page1!$I$31+Page1!$I$32+Page1!$I$33+Page1!$I$37)&lt;&gt;(Page7!$F$42+Page7!$K$42)</f>
        <v>0</v>
      </c>
      <c r="E45" s="1445" t="b">
        <f>Page1!I31&lt;0</f>
        <v>0</v>
      </c>
      <c r="G45" s="1444" t="str">
        <f t="shared" si="0"/>
        <v/>
      </c>
      <c r="H45" s="1446" t="str">
        <f>IF(C45=TRUE,Comments!$B$3&amp;DOLLAR((Page1!$I$31+Page1!$I$32+Page1!$I$33+Page1!$I$36+Page1!$I$37)-(Page7!$F$42+Page7!$K$42),0),"")</f>
        <v/>
      </c>
      <c r="J45" s="1446" t="str">
        <f>IF(E45=TRUE,Comments!$B$6,"")</f>
        <v/>
      </c>
      <c r="N45" s="611" t="s">
        <v>1127</v>
      </c>
      <c r="O45" s="611" t="str">
        <f t="shared" si="7"/>
        <v/>
      </c>
      <c r="P45" s="611" t="str">
        <f t="shared" si="1"/>
        <v>Page1!I</v>
      </c>
      <c r="Q45" s="611">
        <f t="shared" si="2"/>
        <v>31</v>
      </c>
      <c r="R45" s="1447">
        <f t="shared" ca="1" si="3"/>
        <v>0</v>
      </c>
      <c r="S45" s="1447">
        <f t="shared" ca="1" si="4"/>
        <v>0</v>
      </c>
      <c r="T45" s="611">
        <v>6</v>
      </c>
      <c r="V45" s="2557" t="str">
        <f t="shared" ca="1" si="5"/>
        <v/>
      </c>
      <c r="W45" s="611" t="str">
        <f t="shared" ca="1" si="6"/>
        <v>Page1, Ligne 28 [Page1!I31]  -</v>
      </c>
    </row>
    <row r="46" spans="1:23">
      <c r="A46" s="1443" t="str">
        <f>celladdr(Page1!I32)</f>
        <v>Page1!I32</v>
      </c>
      <c r="B46" s="1449" t="s">
        <v>1086</v>
      </c>
      <c r="C46" s="1445" t="b">
        <f>(Page1!$I$31+Page1!$I$32+Page1!$I$33+Page1!$I$37)&lt;&gt;(Page7!$F$42+Page7!$K$42)</f>
        <v>0</v>
      </c>
      <c r="E46" s="1445" t="b">
        <f>Page1!I32&lt;0</f>
        <v>0</v>
      </c>
      <c r="G46" s="1444" t="str">
        <f t="shared" si="0"/>
        <v/>
      </c>
      <c r="H46" s="1446" t="str">
        <f>IF(C46=TRUE,Comments!$B$3&amp;DOLLAR((Page1!$I$31+Page1!$I$32+Page1!$I$33+Page1!$I$36+Page1!$I$37)-(Page7!$F$42+Page7!$K$42),0),"")</f>
        <v/>
      </c>
      <c r="J46" s="1446" t="str">
        <f>IF(E46=TRUE,Comments!$B$6,"")</f>
        <v/>
      </c>
      <c r="N46" s="611" t="s">
        <v>1128</v>
      </c>
      <c r="O46" s="611" t="str">
        <f t="shared" si="7"/>
        <v/>
      </c>
      <c r="P46" s="611" t="str">
        <f t="shared" si="1"/>
        <v>Page1!I</v>
      </c>
      <c r="Q46" s="611">
        <f t="shared" si="2"/>
        <v>32</v>
      </c>
      <c r="R46" s="1447">
        <f t="shared" ca="1" si="3"/>
        <v>0</v>
      </c>
      <c r="S46" s="1447">
        <f t="shared" ca="1" si="4"/>
        <v>0</v>
      </c>
      <c r="T46" s="611">
        <v>6</v>
      </c>
      <c r="V46" s="2557" t="str">
        <f t="shared" ca="1" si="5"/>
        <v/>
      </c>
      <c r="W46" s="611" t="str">
        <f t="shared" ca="1" si="6"/>
        <v>Page1, Ligne 29 [Page1!I32]  -</v>
      </c>
    </row>
    <row r="47" spans="1:23">
      <c r="A47" s="1443" t="str">
        <f>celladdr(Page1!I33)</f>
        <v>Page1!I33</v>
      </c>
      <c r="B47" s="1449" t="s">
        <v>1086</v>
      </c>
      <c r="C47" s="1445" t="b">
        <f>(Page1!$I$31+Page1!$I$32+Page1!$I$33+Page1!$I$37)&lt;&gt;(Page7!$F$42+Page7!$K$42)</f>
        <v>0</v>
      </c>
      <c r="E47" s="1445" t="b">
        <f>Page1!I33&lt;0</f>
        <v>0</v>
      </c>
      <c r="G47" s="1444" t="str">
        <f t="shared" si="0"/>
        <v/>
      </c>
      <c r="H47" s="1446" t="str">
        <f>IF(C47=TRUE,Comments!$B$3&amp;DOLLAR((Page1!$I$31+Page1!$I$32+Page1!$I$33+Page1!$I$36+Page1!$I$37)-(Page7!$F$42+Page7!$K$42),0),"")</f>
        <v/>
      </c>
      <c r="J47" s="1446" t="str">
        <f>IF(E47=TRUE,Comments!$B$6,"")</f>
        <v/>
      </c>
      <c r="N47" s="611" t="s">
        <v>1129</v>
      </c>
      <c r="O47" s="611" t="str">
        <f t="shared" si="7"/>
        <v/>
      </c>
      <c r="P47" s="611" t="str">
        <f t="shared" si="1"/>
        <v>Page1!I</v>
      </c>
      <c r="Q47" s="611">
        <f t="shared" si="2"/>
        <v>33</v>
      </c>
      <c r="R47" s="1447">
        <f t="shared" ca="1" si="3"/>
        <v>0</v>
      </c>
      <c r="S47" s="1447">
        <f t="shared" ca="1" si="4"/>
        <v>0</v>
      </c>
      <c r="T47" s="611">
        <v>6</v>
      </c>
      <c r="V47" s="2557" t="str">
        <f t="shared" ca="1" si="5"/>
        <v/>
      </c>
      <c r="W47" s="611" t="str">
        <f t="shared" ca="1" si="6"/>
        <v>Page1, Ligne 30 [Page1!I33]  -</v>
      </c>
    </row>
    <row r="48" spans="1:23">
      <c r="A48" s="1443" t="str">
        <f>celladdr(Page1!I34)</f>
        <v>Page1!I34</v>
      </c>
      <c r="B48" s="1449" t="s">
        <v>1086</v>
      </c>
      <c r="E48" s="1445" t="b">
        <f>Page1!I34&lt;0</f>
        <v>0</v>
      </c>
      <c r="G48" s="1444" t="str">
        <f t="shared" si="0"/>
        <v/>
      </c>
      <c r="H48" s="1446"/>
      <c r="J48" s="1446" t="str">
        <f>IF(E48=TRUE,Comments!$B$6,"")</f>
        <v/>
      </c>
      <c r="N48" s="611" t="s">
        <v>1130</v>
      </c>
      <c r="O48" s="611" t="str">
        <f t="shared" si="7"/>
        <v/>
      </c>
      <c r="P48" s="611" t="str">
        <f t="shared" si="1"/>
        <v>Page1!I</v>
      </c>
      <c r="Q48" s="611">
        <f t="shared" si="2"/>
        <v>34</v>
      </c>
      <c r="R48" s="1447">
        <f t="shared" ca="1" si="3"/>
        <v>0</v>
      </c>
      <c r="S48" s="1447">
        <f t="shared" ca="1" si="4"/>
        <v>0</v>
      </c>
      <c r="T48" s="611">
        <v>6</v>
      </c>
      <c r="V48" s="2557" t="str">
        <f t="shared" ca="1" si="5"/>
        <v/>
      </c>
      <c r="W48" s="611" t="str">
        <f t="shared" ca="1" si="6"/>
        <v>Page1, Ligne 31 [Page1!I34]  -</v>
      </c>
    </row>
    <row r="49" spans="1:23">
      <c r="A49" s="1443" t="str">
        <f>celladdr(Page1!I35)</f>
        <v>Page1!I35</v>
      </c>
      <c r="B49" s="1449" t="s">
        <v>1086</v>
      </c>
      <c r="C49" s="1445" t="b">
        <f>Page1!$I$35&lt;&gt;(Page7!$F$44+Page7!$N$44)</f>
        <v>0</v>
      </c>
      <c r="E49" s="1445" t="b">
        <f>Page1!I35&lt;0</f>
        <v>0</v>
      </c>
      <c r="G49" s="1444" t="str">
        <f t="shared" si="0"/>
        <v/>
      </c>
      <c r="H49" s="1446" t="str">
        <f>IF(C49=TRUE,Comments!$B$61&amp;DOLLAR(Page1!$I$35-(Page7!$F$44+Page7!$N$44),0),"")</f>
        <v/>
      </c>
      <c r="J49" s="1446" t="str">
        <f>IF(E49=TRUE,Comments!$B$6,"")</f>
        <v/>
      </c>
      <c r="N49" s="611" t="s">
        <v>1131</v>
      </c>
      <c r="O49" s="611" t="str">
        <f t="shared" si="7"/>
        <v/>
      </c>
      <c r="P49" s="611" t="str">
        <f t="shared" si="1"/>
        <v>Page1!I</v>
      </c>
      <c r="Q49" s="611">
        <f t="shared" si="2"/>
        <v>35</v>
      </c>
      <c r="R49" s="1447">
        <f t="shared" ca="1" si="3"/>
        <v>0</v>
      </c>
      <c r="S49" s="1447">
        <f t="shared" ca="1" si="4"/>
        <v>0</v>
      </c>
      <c r="T49" s="611">
        <v>6</v>
      </c>
      <c r="V49" s="2557" t="str">
        <f t="shared" ca="1" si="5"/>
        <v/>
      </c>
      <c r="W49" s="611" t="str">
        <f t="shared" ca="1" si="6"/>
        <v>Page1, Ligne 32 [Page1!I35]  -</v>
      </c>
    </row>
    <row r="50" spans="1:23">
      <c r="A50" s="1443" t="str">
        <f>celladdr(Page1!I36)</f>
        <v>Page1!I36</v>
      </c>
      <c r="B50" s="1449" t="s">
        <v>1086</v>
      </c>
      <c r="E50" s="1445" t="b">
        <f>Page1!I36&lt;0</f>
        <v>0</v>
      </c>
      <c r="G50" s="1444" t="str">
        <f t="shared" si="0"/>
        <v/>
      </c>
      <c r="H50" s="1446"/>
      <c r="J50" s="1446" t="str">
        <f>IF(E50=TRUE,Comments!$B$6,"")</f>
        <v/>
      </c>
      <c r="N50" s="611" t="s">
        <v>1132</v>
      </c>
      <c r="O50" s="611" t="str">
        <f t="shared" si="7"/>
        <v/>
      </c>
      <c r="P50" s="611" t="str">
        <f t="shared" si="1"/>
        <v>Page1!I</v>
      </c>
      <c r="Q50" s="611">
        <f t="shared" si="2"/>
        <v>36</v>
      </c>
      <c r="R50" s="1447">
        <f t="shared" ca="1" si="3"/>
        <v>0</v>
      </c>
      <c r="S50" s="1447">
        <f t="shared" ca="1" si="4"/>
        <v>0</v>
      </c>
      <c r="T50" s="611">
        <v>6</v>
      </c>
      <c r="V50" s="2557" t="str">
        <f t="shared" ca="1" si="5"/>
        <v/>
      </c>
      <c r="W50" s="611" t="str">
        <f t="shared" ca="1" si="6"/>
        <v>Page1, Ligne 33 [Page1!I36]  -</v>
      </c>
    </row>
    <row r="51" spans="1:23">
      <c r="A51" s="1443" t="str">
        <f>celladdr(Page1!I37)</f>
        <v>Page1!I37</v>
      </c>
      <c r="B51" s="1449" t="s">
        <v>1086</v>
      </c>
      <c r="C51" s="1445" t="b">
        <f>(Page1!$I$31+Page1!$I$32+Page1!$I$33+Page1!$I$37)&lt;&gt;(Page7!$F$42+Page7!$K$42)</f>
        <v>0</v>
      </c>
      <c r="E51" s="1445" t="b">
        <f>Page1!I37&lt;0</f>
        <v>0</v>
      </c>
      <c r="G51" s="1444" t="str">
        <f t="shared" si="0"/>
        <v/>
      </c>
      <c r="H51" s="1446" t="str">
        <f>IF(C51=TRUE,Comments!$B$3&amp;DOLLAR((Page1!$I$31+Page1!$I$32+Page1!$I$33+Page1!$I$37)-(Page7!$F$42+Page7!$K$42),0),"")</f>
        <v/>
      </c>
      <c r="J51" s="1446" t="str">
        <f>IF(E51=TRUE,Comments!$B$6,"")</f>
        <v/>
      </c>
      <c r="N51" s="611" t="s">
        <v>1133</v>
      </c>
      <c r="O51" s="611" t="str">
        <f t="shared" si="7"/>
        <v/>
      </c>
      <c r="P51" s="611" t="str">
        <f t="shared" si="1"/>
        <v>Page1!I</v>
      </c>
      <c r="Q51" s="611">
        <f t="shared" si="2"/>
        <v>37</v>
      </c>
      <c r="R51" s="1447">
        <f t="shared" ca="1" si="3"/>
        <v>0</v>
      </c>
      <c r="S51" s="1447">
        <f t="shared" ca="1" si="4"/>
        <v>0</v>
      </c>
      <c r="T51" s="611">
        <v>6</v>
      </c>
      <c r="V51" s="2557" t="str">
        <f t="shared" ca="1" si="5"/>
        <v/>
      </c>
      <c r="W51" s="611" t="str">
        <f t="shared" ca="1" si="6"/>
        <v>Page1, Ligne 34 [Page1!I37]  -</v>
      </c>
    </row>
    <row r="52" spans="1:23">
      <c r="A52" s="1443" t="str">
        <f>celladdr(Page1!I40)</f>
        <v>Page1!I40</v>
      </c>
      <c r="B52" s="1449" t="s">
        <v>1086</v>
      </c>
      <c r="E52" s="1445" t="b">
        <f>Page1!I40&lt;0</f>
        <v>0</v>
      </c>
      <c r="F52" s="1445" t="b">
        <f>IFERROR(Page1!I40/((Page2!J48+Page2!J54)/Page1!$G$91)&gt;12,FALSE)</f>
        <v>1</v>
      </c>
      <c r="G52" s="1444" t="str">
        <f t="shared" ca="1" si="0"/>
        <v>No.de ref. du commentaire.: Page1, Ligne 37 [Page1!I40]  - FRAIS PAYÉS D'AVANCE : IMPÔTS 
--- Les frais payés d'avance représentent PLUS DE 12 mois de frais mensuels moyens courants! CETTE ERREUR NE REPRÉSENTE QU'UNE OBSERVATION.  AUCUN POINT NE SERA DÉDUIT ET AUCUN COMPTE D'ERREUR NE SERA ENREGISTRÉ!</v>
      </c>
      <c r="H52" s="1446"/>
      <c r="J52" s="1446" t="str">
        <f>IF(E52=TRUE,Comments!$B$6,"")</f>
        <v/>
      </c>
      <c r="K52" s="1446" t="str">
        <f>IF(F52=TRUE,Comments!$B$7,"")</f>
        <v xml:space="preserve">
--- Les frais payés d'avance représentent PLUS DE 12 mois de frais mensuels moyens courants! CETTE ERREUR NE REPRÉSENTE QU'UNE OBSERVATION.  AUCUN POINT NE SERA DÉDUIT ET AUCUN COMPTE D'ERREUR NE SERA ENREGISTRÉ!</v>
      </c>
      <c r="N52" s="611" t="s">
        <v>1134</v>
      </c>
      <c r="O52" s="611" t="str">
        <f t="shared" si="7"/>
        <v/>
      </c>
      <c r="P52" s="611" t="str">
        <f t="shared" si="1"/>
        <v>Page1!I</v>
      </c>
      <c r="Q52" s="611">
        <f t="shared" si="2"/>
        <v>40</v>
      </c>
      <c r="R52" s="1447">
        <f t="shared" ca="1" si="3"/>
        <v>0</v>
      </c>
      <c r="S52" s="1447">
        <f t="shared" ca="1" si="4"/>
        <v>0</v>
      </c>
      <c r="T52" s="611">
        <v>6</v>
      </c>
      <c r="U52" s="611">
        <v>7</v>
      </c>
      <c r="V52" s="2557" t="str">
        <f t="shared" ca="1" si="5"/>
        <v/>
      </c>
      <c r="W52" s="611" t="str">
        <f t="shared" ca="1" si="6"/>
        <v>Page1, Ligne 37 [Page1!I40]  -</v>
      </c>
    </row>
    <row r="53" spans="1:23">
      <c r="A53" s="1443" t="str">
        <f>celladdr(Page1!I41)</f>
        <v>Page1!I41</v>
      </c>
      <c r="B53" s="1449" t="s">
        <v>1086</v>
      </c>
      <c r="E53" s="1445" t="b">
        <f>Page1!I41&lt;0</f>
        <v>0</v>
      </c>
      <c r="F53" s="1445" t="b">
        <f>IFERROR(Page1!I41/((Page2!J49+Page2!J53)/Page1!$G$91)&gt;12,FALSE)</f>
        <v>0</v>
      </c>
      <c r="G53" s="1444" t="str">
        <f t="shared" si="0"/>
        <v/>
      </c>
      <c r="H53" s="1446"/>
      <c r="J53" s="1446" t="str">
        <f>IF(E53=TRUE,Comments!$B$6,"")</f>
        <v/>
      </c>
      <c r="K53" s="1446" t="str">
        <f>IF(F53=TRUE,Comments!$B$7,"")</f>
        <v/>
      </c>
      <c r="N53" s="611" t="s">
        <v>1135</v>
      </c>
      <c r="O53" s="611" t="str">
        <f t="shared" si="7"/>
        <v/>
      </c>
      <c r="P53" s="611" t="str">
        <f t="shared" si="1"/>
        <v>Page1!I</v>
      </c>
      <c r="Q53" s="611">
        <f t="shared" si="2"/>
        <v>41</v>
      </c>
      <c r="R53" s="1447">
        <f t="shared" ca="1" si="3"/>
        <v>0</v>
      </c>
      <c r="S53" s="1447">
        <f t="shared" ca="1" si="4"/>
        <v>0</v>
      </c>
      <c r="T53" s="611">
        <v>6</v>
      </c>
      <c r="U53" s="611">
        <v>7</v>
      </c>
      <c r="V53" s="2557" t="str">
        <f t="shared" ca="1" si="5"/>
        <v/>
      </c>
      <c r="W53" s="611" t="str">
        <f t="shared" ca="1" si="6"/>
        <v>Page1, Ligne 38 [Page1!I41]  -</v>
      </c>
    </row>
    <row r="54" spans="1:23">
      <c r="A54" s="1443" t="str">
        <f>celladdr(Page1!I42)</f>
        <v>Page1!I42</v>
      </c>
      <c r="B54" s="1449" t="s">
        <v>1086</v>
      </c>
      <c r="E54" s="1445" t="b">
        <f>Page1!I42&lt;0</f>
        <v>0</v>
      </c>
      <c r="G54" s="1444" t="str">
        <f t="shared" si="0"/>
        <v/>
      </c>
      <c r="H54" s="1446"/>
      <c r="J54" s="1446" t="str">
        <f>IF(E54=TRUE,Comments!$B$6,"")</f>
        <v/>
      </c>
      <c r="K54" s="1446" t="str">
        <f>IF(F54=TRUE,Comments!$B$7,"")</f>
        <v/>
      </c>
      <c r="N54" s="611" t="s">
        <v>1136</v>
      </c>
      <c r="O54" s="611" t="str">
        <f t="shared" si="7"/>
        <v/>
      </c>
      <c r="P54" s="611" t="str">
        <f t="shared" si="1"/>
        <v>Page1!I</v>
      </c>
      <c r="Q54" s="611">
        <f t="shared" si="2"/>
        <v>42</v>
      </c>
      <c r="R54" s="1447">
        <f t="shared" ca="1" si="3"/>
        <v>0</v>
      </c>
      <c r="S54" s="1447">
        <f t="shared" ca="1" si="4"/>
        <v>0</v>
      </c>
      <c r="T54" s="611">
        <v>6</v>
      </c>
      <c r="U54" s="611">
        <v>7</v>
      </c>
      <c r="V54" s="2557" t="str">
        <f t="shared" ca="1" si="5"/>
        <v/>
      </c>
      <c r="W54" s="611" t="str">
        <f t="shared" ca="1" si="6"/>
        <v>Page1, Ligne 39 [Page1!I42]  -</v>
      </c>
    </row>
    <row r="55" spans="1:23">
      <c r="A55" s="611" t="str">
        <f>celladdr(Page1!I44)</f>
        <v>Page1!I44</v>
      </c>
      <c r="B55" s="1449" t="s">
        <v>1086</v>
      </c>
      <c r="C55" s="1445" t="b">
        <f>OR(AND(Page1!$G$44=0,Page1!$I$44&gt;0),AND(Page1!$G$44&gt;0,Page1!$I$44=0))</f>
        <v>0</v>
      </c>
      <c r="E55" s="1451" t="b">
        <f>IF((Page1!$F$44+Page1!$G$44)=0,FALSE,OR(Page1!$I$44/(Page1!$F$44+Page1!$G$44)&lt;INDEX(Min_Table,M55),Page1!$I$44/(Page1!$F$44+Page1!$G$44)&gt;INDEX(Max_Table,M55)))</f>
        <v>0</v>
      </c>
      <c r="G55" s="1444" t="str">
        <f t="shared" si="0"/>
        <v/>
      </c>
      <c r="H55" s="1446" t="str">
        <f>IF(C55=TRUE,Comments!$B$4,"")</f>
        <v/>
      </c>
      <c r="J55" s="1447" t="str">
        <f>IF(E55=TRUE,Comments!$B$22&amp;DOLLAR(INDEX(Min_Table,M55),0)&amp;Comments!$B$18&amp;DOLLAR(INDEX(Max_Table,M55),0)&amp;IFERROR(Comments!$B$19&amp;DOLLAR(Page1!$I$44/(Page1!$F$44+Page1!$G$44)),0),"")</f>
        <v/>
      </c>
      <c r="M55" s="611">
        <f>ROW(OR_VEH!$A$647)</f>
        <v>647</v>
      </c>
      <c r="N55" s="611" t="s">
        <v>1137</v>
      </c>
      <c r="O55" s="611" t="str">
        <f t="shared" si="7"/>
        <v/>
      </c>
      <c r="P55" s="611" t="str">
        <f t="shared" si="1"/>
        <v>Page1!I</v>
      </c>
      <c r="Q55" s="611">
        <f t="shared" si="2"/>
        <v>44</v>
      </c>
      <c r="R55" s="1447">
        <f t="shared" ca="1" si="3"/>
        <v>0</v>
      </c>
      <c r="S55" s="1447">
        <f t="shared" ca="1" si="4"/>
        <v>0</v>
      </c>
      <c r="T55" s="611">
        <v>22</v>
      </c>
      <c r="V55" s="2557" t="str">
        <f t="shared" ca="1" si="5"/>
        <v/>
      </c>
      <c r="W55" s="611" t="str">
        <f t="shared" ca="1" si="6"/>
        <v>Page1, Ligne 41 [Page1!I44]  -</v>
      </c>
    </row>
    <row r="56" spans="1:23">
      <c r="A56" s="611" t="str">
        <f>celladdr(Page1!I50)</f>
        <v>Page1!I50</v>
      </c>
      <c r="B56" s="1462" t="s">
        <v>1086</v>
      </c>
      <c r="C56" s="1450"/>
      <c r="D56" s="1450"/>
      <c r="E56" s="1445" t="b">
        <f>Page1!$I$50&lt;0</f>
        <v>0</v>
      </c>
      <c r="F56" s="1450"/>
      <c r="G56" s="1444" t="str">
        <f t="shared" si="0"/>
        <v/>
      </c>
      <c r="H56" s="1452"/>
      <c r="I56" s="1452"/>
      <c r="J56" s="1446" t="str">
        <f>IF(E56=TRUE,Comments!$B$6,"")</f>
        <v/>
      </c>
      <c r="K56" s="1452"/>
      <c r="N56" s="611" t="s">
        <v>1138</v>
      </c>
      <c r="O56" s="611" t="str">
        <f t="shared" si="7"/>
        <v/>
      </c>
      <c r="P56" s="611" t="str">
        <f t="shared" si="1"/>
        <v>Page1!I</v>
      </c>
      <c r="Q56" s="611">
        <f t="shared" si="2"/>
        <v>50</v>
      </c>
      <c r="R56" s="1447">
        <f t="shared" ca="1" si="3"/>
        <v>0</v>
      </c>
      <c r="S56" s="1447">
        <f t="shared" ca="1" si="4"/>
        <v>0</v>
      </c>
      <c r="T56" s="611">
        <v>6</v>
      </c>
      <c r="V56" s="2557" t="str">
        <f t="shared" ca="1" si="5"/>
        <v/>
      </c>
      <c r="W56" s="611" t="str">
        <f t="shared" ca="1" si="6"/>
        <v>Page1, Ligne 47 [Page1!I50]  -</v>
      </c>
    </row>
    <row r="57" spans="1:23">
      <c r="A57" s="611" t="str">
        <f>celladdr(Page1!I51)</f>
        <v>Page1!I51</v>
      </c>
      <c r="B57" s="1462" t="s">
        <v>1086</v>
      </c>
      <c r="C57" s="1450"/>
      <c r="D57" s="1450"/>
      <c r="E57" s="1445" t="b">
        <f>Page1!$I$51&lt;0</f>
        <v>0</v>
      </c>
      <c r="F57" s="1450"/>
      <c r="G57" s="1444" t="str">
        <f t="shared" si="0"/>
        <v/>
      </c>
      <c r="H57" s="1452"/>
      <c r="I57" s="1452"/>
      <c r="J57" s="1446" t="str">
        <f>IF(E57=TRUE,Comments!$B$8,"")</f>
        <v/>
      </c>
      <c r="K57" s="1452"/>
      <c r="N57" s="611" t="s">
        <v>1139</v>
      </c>
      <c r="O57" s="611" t="str">
        <f t="shared" si="7"/>
        <v/>
      </c>
      <c r="P57" s="611" t="str">
        <f t="shared" si="1"/>
        <v>Page1!I</v>
      </c>
      <c r="Q57" s="611">
        <f t="shared" si="2"/>
        <v>51</v>
      </c>
      <c r="R57" s="1447">
        <f t="shared" ca="1" si="3"/>
        <v>0</v>
      </c>
      <c r="S57" s="1447">
        <f t="shared" ca="1" si="4"/>
        <v>0</v>
      </c>
      <c r="T57" s="611">
        <v>8</v>
      </c>
      <c r="V57" s="2557" t="str">
        <f t="shared" ca="1" si="5"/>
        <v/>
      </c>
      <c r="W57" s="611" t="str">
        <f t="shared" ca="1" si="6"/>
        <v>Page1, Ligne 48 [Page1!I51]  -</v>
      </c>
    </row>
    <row r="58" spans="1:23">
      <c r="A58" s="611" t="str">
        <f>celladdr(Page1!I52)</f>
        <v>Page1!I52</v>
      </c>
      <c r="B58" s="1462" t="s">
        <v>1086</v>
      </c>
      <c r="E58" s="1445" t="b">
        <f>Page1!$I$52&lt;0</f>
        <v>0</v>
      </c>
      <c r="G58" s="1444" t="str">
        <f t="shared" si="0"/>
        <v/>
      </c>
      <c r="H58" s="1446"/>
      <c r="J58" s="1446" t="str">
        <f>IF(E58=TRUE,Comments!$B$8,"")</f>
        <v/>
      </c>
      <c r="N58" s="611" t="s">
        <v>1140</v>
      </c>
      <c r="O58" s="611" t="str">
        <f t="shared" si="7"/>
        <v/>
      </c>
      <c r="P58" s="611" t="str">
        <f t="shared" si="1"/>
        <v>Page1!I</v>
      </c>
      <c r="Q58" s="611">
        <f t="shared" si="2"/>
        <v>52</v>
      </c>
      <c r="R58" s="1447">
        <f t="shared" ca="1" si="3"/>
        <v>0</v>
      </c>
      <c r="S58" s="1447">
        <f t="shared" ca="1" si="4"/>
        <v>0</v>
      </c>
      <c r="T58" s="611">
        <v>8</v>
      </c>
      <c r="V58" s="2557" t="str">
        <f t="shared" ca="1" si="5"/>
        <v/>
      </c>
      <c r="W58" s="611" t="str">
        <f t="shared" ca="1" si="6"/>
        <v>Page1, Ligne 49 [Page1!I52]  -</v>
      </c>
    </row>
    <row r="59" spans="1:23">
      <c r="A59" s="611" t="str">
        <f>celladdr(Page1!I53)</f>
        <v>Page1!I53</v>
      </c>
      <c r="B59" s="1462" t="s">
        <v>1086</v>
      </c>
      <c r="E59" s="1445" t="b">
        <f>Page1!$I$53&lt;0</f>
        <v>0</v>
      </c>
      <c r="G59" s="1444" t="str">
        <f t="shared" si="0"/>
        <v/>
      </c>
      <c r="H59" s="1446"/>
      <c r="J59" s="1446" t="str">
        <f>IF(E59=TRUE,Comments!$B$8,"")</f>
        <v/>
      </c>
      <c r="N59" s="611" t="s">
        <v>1141</v>
      </c>
      <c r="O59" s="611" t="str">
        <f t="shared" si="7"/>
        <v/>
      </c>
      <c r="P59" s="611" t="str">
        <f t="shared" si="1"/>
        <v>Page1!I</v>
      </c>
      <c r="Q59" s="611">
        <f t="shared" si="2"/>
        <v>53</v>
      </c>
      <c r="R59" s="1447">
        <f t="shared" ca="1" si="3"/>
        <v>0</v>
      </c>
      <c r="S59" s="1447">
        <f t="shared" ca="1" si="4"/>
        <v>0</v>
      </c>
      <c r="T59" s="611">
        <v>8</v>
      </c>
      <c r="V59" s="2557" t="str">
        <f t="shared" ca="1" si="5"/>
        <v/>
      </c>
      <c r="W59" s="611" t="str">
        <f t="shared" ca="1" si="6"/>
        <v>Page1, Ligne 50 [Page1!I53]  -</v>
      </c>
    </row>
    <row r="60" spans="1:23">
      <c r="A60" s="611" t="str">
        <f>celladdr(Page1!I54)</f>
        <v>Page1!I54</v>
      </c>
      <c r="B60" s="1462" t="s">
        <v>1086</v>
      </c>
      <c r="E60" s="1445" t="b">
        <f>Page1!$I$54&lt;0</f>
        <v>0</v>
      </c>
      <c r="G60" s="1444" t="str">
        <f t="shared" si="0"/>
        <v/>
      </c>
      <c r="H60" s="1446"/>
      <c r="J60" s="1446" t="str">
        <f>IF(E60=TRUE,Comments!$B$8,"")</f>
        <v/>
      </c>
      <c r="N60" s="611" t="s">
        <v>1142</v>
      </c>
      <c r="O60" s="611" t="str">
        <f t="shared" si="7"/>
        <v/>
      </c>
      <c r="P60" s="611" t="str">
        <f t="shared" si="1"/>
        <v>Page1!I</v>
      </c>
      <c r="Q60" s="611">
        <f t="shared" si="2"/>
        <v>54</v>
      </c>
      <c r="R60" s="1447">
        <f t="shared" ca="1" si="3"/>
        <v>0</v>
      </c>
      <c r="S60" s="1447">
        <f t="shared" ca="1" si="4"/>
        <v>0</v>
      </c>
      <c r="T60" s="611">
        <v>8</v>
      </c>
      <c r="V60" s="2557" t="str">
        <f t="shared" ca="1" si="5"/>
        <v/>
      </c>
      <c r="W60" s="611" t="str">
        <f t="shared" ca="1" si="6"/>
        <v>Page1, Ligne 51 [Page1!I54]  -</v>
      </c>
    </row>
    <row r="61" spans="1:23">
      <c r="A61" s="611" t="str">
        <f>celladdr(Page1!I55)</f>
        <v>Page1!I55</v>
      </c>
      <c r="B61" s="1462" t="s">
        <v>1086</v>
      </c>
      <c r="E61" s="1445" t="b">
        <f>Page1!$I$55&lt;0</f>
        <v>0</v>
      </c>
      <c r="G61" s="1444" t="str">
        <f t="shared" si="0"/>
        <v/>
      </c>
      <c r="H61" s="1446"/>
      <c r="J61" s="1446" t="str">
        <f>IF(E61=TRUE,Comments!$B$8,"")</f>
        <v/>
      </c>
      <c r="N61" s="611" t="s">
        <v>1143</v>
      </c>
      <c r="O61" s="611" t="str">
        <f t="shared" si="7"/>
        <v/>
      </c>
      <c r="P61" s="611" t="str">
        <f t="shared" si="1"/>
        <v>Page1!I</v>
      </c>
      <c r="Q61" s="611">
        <f t="shared" si="2"/>
        <v>55</v>
      </c>
      <c r="R61" s="1447">
        <f t="shared" ca="1" si="3"/>
        <v>0</v>
      </c>
      <c r="S61" s="1447">
        <f t="shared" ca="1" si="4"/>
        <v>0</v>
      </c>
      <c r="T61" s="611">
        <v>8</v>
      </c>
      <c r="V61" s="2557" t="str">
        <f t="shared" ca="1" si="5"/>
        <v/>
      </c>
      <c r="W61" s="611" t="str">
        <f t="shared" ca="1" si="6"/>
        <v>Page1, Ligne 52 [Page1!I55]  -</v>
      </c>
    </row>
    <row r="62" spans="1:23">
      <c r="A62" s="611" t="str">
        <f>celladdr(Page1!I56)</f>
        <v>Page1!I56</v>
      </c>
      <c r="B62" s="1462" t="s">
        <v>1086</v>
      </c>
      <c r="D62" s="1450"/>
      <c r="E62" s="1445" t="b">
        <f>Page1!$I$56&lt;0</f>
        <v>0</v>
      </c>
      <c r="G62" s="1444" t="str">
        <f t="shared" si="0"/>
        <v/>
      </c>
      <c r="H62" s="1446"/>
      <c r="I62" s="1452"/>
      <c r="J62" s="1446" t="str">
        <f>IF(E64=TRUE,Comments!$B$8,"")</f>
        <v/>
      </c>
      <c r="N62" s="611" t="s">
        <v>1144</v>
      </c>
      <c r="O62" s="611" t="str">
        <f t="shared" si="7"/>
        <v/>
      </c>
      <c r="P62" s="611" t="str">
        <f t="shared" si="1"/>
        <v>Page1!I</v>
      </c>
      <c r="Q62" s="611">
        <f t="shared" si="2"/>
        <v>56</v>
      </c>
      <c r="R62" s="1447">
        <f t="shared" ca="1" si="3"/>
        <v>0</v>
      </c>
      <c r="S62" s="1447">
        <f t="shared" ca="1" si="4"/>
        <v>0</v>
      </c>
      <c r="T62" s="611">
        <v>8</v>
      </c>
      <c r="V62" s="2557" t="str">
        <f t="shared" ca="1" si="5"/>
        <v/>
      </c>
      <c r="W62" s="611" t="str">
        <f t="shared" ca="1" si="6"/>
        <v>Page1, Ligne 53 [Page1!I56]  -</v>
      </c>
    </row>
    <row r="63" spans="1:23">
      <c r="A63" s="611" t="str">
        <f>celladdr(Page1!I57)</f>
        <v>Page1!I57</v>
      </c>
      <c r="B63" s="1462" t="s">
        <v>1086</v>
      </c>
      <c r="E63" s="1445" t="b">
        <f>Page1!$I$57&lt;0</f>
        <v>0</v>
      </c>
      <c r="G63" s="1444" t="str">
        <f t="shared" si="0"/>
        <v/>
      </c>
      <c r="H63" s="1446"/>
      <c r="J63" s="1446" t="str">
        <f>IF(E63=TRUE,Comments!$B$8,"")</f>
        <v/>
      </c>
      <c r="N63" s="611" t="s">
        <v>1145</v>
      </c>
      <c r="O63" s="611" t="str">
        <f t="shared" si="7"/>
        <v/>
      </c>
      <c r="P63" s="611" t="str">
        <f t="shared" si="1"/>
        <v>Page1!I</v>
      </c>
      <c r="Q63" s="611">
        <f t="shared" si="2"/>
        <v>57</v>
      </c>
      <c r="R63" s="1447">
        <f t="shared" ca="1" si="3"/>
        <v>0</v>
      </c>
      <c r="S63" s="1447">
        <f t="shared" ca="1" si="4"/>
        <v>0</v>
      </c>
      <c r="T63" s="611">
        <v>8</v>
      </c>
      <c r="V63" s="2557" t="str">
        <f t="shared" ca="1" si="5"/>
        <v/>
      </c>
      <c r="W63" s="611" t="str">
        <f t="shared" ca="1" si="6"/>
        <v>Page1, Ligne 54 [Page1!I57]  -</v>
      </c>
    </row>
    <row r="64" spans="1:23">
      <c r="A64" s="611" t="str">
        <f>celladdr(Page1!I58)</f>
        <v>Page1!I58</v>
      </c>
      <c r="B64" s="1462" t="s">
        <v>1086</v>
      </c>
      <c r="E64" s="1445" t="b">
        <f>Page1!$I$58&lt;0</f>
        <v>0</v>
      </c>
      <c r="F64" s="1451"/>
      <c r="G64" s="1444" t="str">
        <f t="shared" si="0"/>
        <v/>
      </c>
      <c r="H64" s="1446"/>
      <c r="J64" s="1446" t="str">
        <f>IF(E64=TRUE,Comments!$B$8,"")</f>
        <v/>
      </c>
      <c r="N64" s="611" t="s">
        <v>1146</v>
      </c>
      <c r="O64" s="611" t="str">
        <f t="shared" si="7"/>
        <v/>
      </c>
      <c r="P64" s="611" t="str">
        <f t="shared" si="1"/>
        <v>Page1!I</v>
      </c>
      <c r="Q64" s="611">
        <f t="shared" si="2"/>
        <v>58</v>
      </c>
      <c r="R64" s="1447">
        <f t="shared" ca="1" si="3"/>
        <v>0</v>
      </c>
      <c r="S64" s="1447">
        <f t="shared" ca="1" si="4"/>
        <v>0</v>
      </c>
      <c r="T64" s="611">
        <v>8</v>
      </c>
      <c r="V64" s="2557" t="str">
        <f t="shared" ca="1" si="5"/>
        <v/>
      </c>
      <c r="W64" s="611" t="str">
        <f t="shared" ca="1" si="6"/>
        <v>Page1, Ligne 55 [Page1!I58]  -</v>
      </c>
    </row>
    <row r="65" spans="1:23">
      <c r="A65" s="611" t="str">
        <f>celladdr(Page1!I59)</f>
        <v>Page1!I59</v>
      </c>
      <c r="B65" s="1462" t="s">
        <v>1086</v>
      </c>
      <c r="E65" s="1445" t="b">
        <f>Page1!$I$59&lt;0</f>
        <v>0</v>
      </c>
      <c r="G65" s="1444" t="str">
        <f t="shared" si="0"/>
        <v/>
      </c>
      <c r="H65" s="1446"/>
      <c r="J65" s="1446" t="str">
        <f>IF(E65=TRUE,Comments!$B$8,"")</f>
        <v/>
      </c>
      <c r="N65" s="611" t="s">
        <v>1147</v>
      </c>
      <c r="O65" s="611" t="str">
        <f t="shared" si="7"/>
        <v/>
      </c>
      <c r="P65" s="611" t="str">
        <f t="shared" si="1"/>
        <v>Page1!I</v>
      </c>
      <c r="Q65" s="611">
        <f t="shared" si="2"/>
        <v>59</v>
      </c>
      <c r="R65" s="1447">
        <f t="shared" ca="1" si="3"/>
        <v>0</v>
      </c>
      <c r="S65" s="1447">
        <f t="shared" ca="1" si="4"/>
        <v>0</v>
      </c>
      <c r="T65" s="611">
        <v>8</v>
      </c>
      <c r="V65" s="2557" t="str">
        <f t="shared" ca="1" si="5"/>
        <v/>
      </c>
      <c r="W65" s="611" t="str">
        <f t="shared" ca="1" si="6"/>
        <v>Page1, Ligne 56 [Page1!I59]  -</v>
      </c>
    </row>
    <row r="66" spans="1:23">
      <c r="A66" s="611" t="str">
        <f>celladdr(Page1!I60)</f>
        <v>Page1!I60</v>
      </c>
      <c r="B66" s="1661" t="s">
        <v>1086</v>
      </c>
      <c r="C66" s="1445" t="b">
        <f>Page1!$I$60&lt;&gt;SUM(Page1!$I$50:$I$59)</f>
        <v>0</v>
      </c>
      <c r="D66" s="1450"/>
      <c r="E66" s="1450"/>
      <c r="F66" s="1450"/>
      <c r="G66" s="1444" t="str">
        <f t="shared" ref="G66:G129" si="8">IF(H66&amp;I66&amp;J66&amp;K66&lt;&gt;"","No.de ref. du commentaire.: "&amp;W66&amp;" "&amp;N66&amp;" "&amp;H66&amp;I66&amp;IF(OR(C66=TRUE,D66=TRUE),"",J66&amp;K66&amp;V66),"")</f>
        <v/>
      </c>
      <c r="H66" s="1446" t="str">
        <f>IF(C66=TRUE,Comments!$B$36&amp;DOLLAR(SUM(Page1!$I$50:$I$59),0),"")</f>
        <v/>
      </c>
      <c r="I66" s="1446"/>
      <c r="J66" s="1452"/>
      <c r="K66" s="1452"/>
      <c r="N66" s="611" t="s">
        <v>1148</v>
      </c>
      <c r="O66" s="611" t="str">
        <f t="shared" si="7"/>
        <v/>
      </c>
      <c r="P66" s="611" t="str">
        <f t="shared" ref="P66:P129" si="9">LEFT(A66,FIND("!",A66)+1)</f>
        <v>Page1!I</v>
      </c>
      <c r="Q66" s="611">
        <f t="shared" ref="Q66:Q129" si="10">VALUE(RIGHT(A66,LEN(A66)-FIND("!",A66)-1))</f>
        <v>60</v>
      </c>
      <c r="R66" s="1447">
        <f t="shared" ref="R66:R129" ca="1" si="11">IF(E66=TRUE,INDIRECT("Comments!$D$"&amp;T66),0)</f>
        <v>0</v>
      </c>
      <c r="S66" s="1447">
        <f t="shared" ref="S66:S129" ca="1" si="12">IF(F66=TRUE,INDIRECT("Comments!$D$"&amp;U66),0)</f>
        <v>0</v>
      </c>
      <c r="V66" s="2557" t="str">
        <f t="shared" ref="V66:V129" ca="1" si="13">IF(SUM(R66+S66)=0,"","
*** "&amp;TEXT(SUM(R66+S66),"0,0")&amp;" Points de précision seront déduits suite à cette(ces) erreur(s) !")</f>
        <v/>
      </c>
      <c r="W66" s="611" t="str">
        <f t="shared" ref="W66:W129" ca="1" si="14">LEFT(A66,FIND("!",A66,1)-1)&amp;", Ligne "&amp;INDIRECT(ADDRESS(ROW(INDIRECT(A66)),IF(INDIRECT(ADDRESS(ROW(INDIRECT(A66)),1,,,LEFT(A66,FIND("!",A66,1)-1)))="",2,1),,,LEFT(A66,FIND("!",A66,1)-1)))&amp;" ["&amp;A66&amp;"] "&amp;" -"</f>
        <v>Page1, Ligne 57 [Page1!I60]  -</v>
      </c>
    </row>
    <row r="67" spans="1:23">
      <c r="A67" s="611" t="str">
        <f>celladdr(Page1!I62)</f>
        <v>Page1!I62</v>
      </c>
      <c r="B67" s="1449" t="s">
        <v>1086</v>
      </c>
      <c r="E67" s="1445" t="b">
        <f>Page1!$I62&lt;0</f>
        <v>0</v>
      </c>
      <c r="G67" s="1444" t="str">
        <f t="shared" si="8"/>
        <v/>
      </c>
      <c r="H67" s="1446"/>
      <c r="J67" s="1446" t="str">
        <f>IF(E67=TRUE,Comments!$B$6,"")</f>
        <v/>
      </c>
      <c r="N67" s="611" t="s">
        <v>1149</v>
      </c>
      <c r="O67" s="611" t="str">
        <f t="shared" ref="O67:O130" si="15">IF(A67=A66,"TRUE","")</f>
        <v/>
      </c>
      <c r="P67" s="611" t="str">
        <f t="shared" si="9"/>
        <v>Page1!I</v>
      </c>
      <c r="Q67" s="611">
        <f t="shared" si="10"/>
        <v>62</v>
      </c>
      <c r="R67" s="1447">
        <f t="shared" ca="1" si="11"/>
        <v>0</v>
      </c>
      <c r="S67" s="1447">
        <f t="shared" ca="1" si="12"/>
        <v>0</v>
      </c>
      <c r="T67" s="611">
        <v>6</v>
      </c>
      <c r="V67" s="2557" t="str">
        <f t="shared" ca="1" si="13"/>
        <v/>
      </c>
      <c r="W67" s="611" t="str">
        <f t="shared" ca="1" si="14"/>
        <v>Page1, Ligne 59 [Page1!I62]  -</v>
      </c>
    </row>
    <row r="68" spans="1:23">
      <c r="A68" s="611" t="str">
        <f>celladdr(Page1!I63)</f>
        <v>Page1!I63</v>
      </c>
      <c r="B68" s="1449" t="s">
        <v>1086</v>
      </c>
      <c r="E68" s="1445" t="b">
        <f>Page1!$I63&lt;0</f>
        <v>0</v>
      </c>
      <c r="G68" s="1444" t="str">
        <f t="shared" si="8"/>
        <v/>
      </c>
      <c r="H68" s="1446"/>
      <c r="J68" s="1446" t="str">
        <f>IF(E68=TRUE,Comments!$B$6,"")</f>
        <v/>
      </c>
      <c r="N68" s="611" t="s">
        <v>1150</v>
      </c>
      <c r="O68" s="611" t="str">
        <f t="shared" si="15"/>
        <v/>
      </c>
      <c r="P68" s="611" t="str">
        <f t="shared" si="9"/>
        <v>Page1!I</v>
      </c>
      <c r="Q68" s="611">
        <f t="shared" si="10"/>
        <v>63</v>
      </c>
      <c r="R68" s="1447">
        <f t="shared" ca="1" si="11"/>
        <v>0</v>
      </c>
      <c r="S68" s="1447">
        <f t="shared" ca="1" si="12"/>
        <v>0</v>
      </c>
      <c r="T68" s="611">
        <v>6</v>
      </c>
      <c r="V68" s="2557" t="str">
        <f t="shared" ca="1" si="13"/>
        <v/>
      </c>
      <c r="W68" s="611" t="str">
        <f t="shared" ca="1" si="14"/>
        <v>Page1, Ligne 60 [Page1!I63]  -</v>
      </c>
    </row>
    <row r="69" spans="1:23">
      <c r="A69" s="611" t="str">
        <f>celladdr(Page1!I64)</f>
        <v>Page1!I64</v>
      </c>
      <c r="B69" s="1449" t="s">
        <v>1086</v>
      </c>
      <c r="E69" s="1445" t="b">
        <f>Page1!$I64&lt;0</f>
        <v>0</v>
      </c>
      <c r="G69" s="1444" t="str">
        <f t="shared" si="8"/>
        <v/>
      </c>
      <c r="H69" s="1446"/>
      <c r="J69" s="1446" t="str">
        <f>IF(E69=TRUE,Comments!$B$6,"")</f>
        <v/>
      </c>
      <c r="N69" s="611" t="s">
        <v>1151</v>
      </c>
      <c r="O69" s="611" t="str">
        <f t="shared" si="15"/>
        <v/>
      </c>
      <c r="P69" s="611" t="str">
        <f t="shared" si="9"/>
        <v>Page1!I</v>
      </c>
      <c r="Q69" s="611">
        <f t="shared" si="10"/>
        <v>64</v>
      </c>
      <c r="R69" s="1447">
        <f t="shared" ca="1" si="11"/>
        <v>0</v>
      </c>
      <c r="S69" s="1447">
        <f t="shared" ca="1" si="12"/>
        <v>0</v>
      </c>
      <c r="T69" s="611">
        <v>6</v>
      </c>
      <c r="V69" s="2557" t="str">
        <f t="shared" ca="1" si="13"/>
        <v/>
      </c>
      <c r="W69" s="611" t="str">
        <f t="shared" ca="1" si="14"/>
        <v>Page1, Ligne 61 [Page1!I64]  -</v>
      </c>
    </row>
    <row r="70" spans="1:23">
      <c r="A70" s="611" t="str">
        <f>celladdr(Page1!I65)</f>
        <v>Page1!I65</v>
      </c>
      <c r="B70" s="1449" t="s">
        <v>1086</v>
      </c>
      <c r="E70" s="1445" t="b">
        <f>Page1!$I65&lt;0</f>
        <v>0</v>
      </c>
      <c r="G70" s="1444" t="str">
        <f t="shared" si="8"/>
        <v/>
      </c>
      <c r="H70" s="1446"/>
      <c r="J70" s="1446" t="str">
        <f>IF(E70=TRUE,Comments!$B$6,"")</f>
        <v/>
      </c>
      <c r="N70" s="611" t="s">
        <v>1152</v>
      </c>
      <c r="O70" s="611" t="str">
        <f t="shared" si="15"/>
        <v/>
      </c>
      <c r="P70" s="611" t="str">
        <f t="shared" si="9"/>
        <v>Page1!I</v>
      </c>
      <c r="Q70" s="611">
        <f t="shared" si="10"/>
        <v>65</v>
      </c>
      <c r="R70" s="1447">
        <f t="shared" ca="1" si="11"/>
        <v>0</v>
      </c>
      <c r="S70" s="1447">
        <f t="shared" ca="1" si="12"/>
        <v>0</v>
      </c>
      <c r="T70" s="611">
        <v>6</v>
      </c>
      <c r="V70" s="2557" t="str">
        <f t="shared" ca="1" si="13"/>
        <v/>
      </c>
      <c r="W70" s="611" t="str">
        <f t="shared" ca="1" si="14"/>
        <v>Page1, Ligne 62 [Page1!I65]  -</v>
      </c>
    </row>
    <row r="71" spans="1:23">
      <c r="A71" s="611" t="str">
        <f>celladdr(Page1!I68)</f>
        <v>Page1!I68</v>
      </c>
      <c r="B71" s="1455" t="s">
        <v>1086</v>
      </c>
      <c r="C71" s="1445" t="b">
        <f>Page1!I68&lt;&gt;(Page1!I47+Page1!I60+Page1!I67)</f>
        <v>0</v>
      </c>
      <c r="D71" s="1450" t="b">
        <f>OR(Page1!$I$68=0,Page1!$I$68&lt;0)</f>
        <v>0</v>
      </c>
      <c r="E71" s="1450"/>
      <c r="F71" s="1450"/>
      <c r="G71" s="1444" t="str">
        <f t="shared" si="8"/>
        <v/>
      </c>
      <c r="H71" s="1446" t="str">
        <f>IF(C71=TRUE,Comments!$B$9&amp;DOLLAR(Page1!I68-(Page1!I47+Page1!I60+Page1!I67),0),"")</f>
        <v/>
      </c>
      <c r="I71" s="1446" t="str">
        <f>IF(D71=TRUE,Comments!$B$81,"")</f>
        <v/>
      </c>
      <c r="J71" s="1452"/>
      <c r="K71" s="1452"/>
      <c r="N71" s="611" t="s">
        <v>1153</v>
      </c>
      <c r="O71" s="611" t="str">
        <f t="shared" si="15"/>
        <v/>
      </c>
      <c r="P71" s="611" t="str">
        <f t="shared" si="9"/>
        <v>Page1!I</v>
      </c>
      <c r="Q71" s="611">
        <f t="shared" si="10"/>
        <v>68</v>
      </c>
      <c r="R71" s="1447">
        <f t="shared" ca="1" si="11"/>
        <v>0</v>
      </c>
      <c r="S71" s="1447">
        <f t="shared" ca="1" si="12"/>
        <v>0</v>
      </c>
      <c r="V71" s="2557" t="str">
        <f t="shared" ca="1" si="13"/>
        <v/>
      </c>
      <c r="W71" s="611" t="str">
        <f t="shared" ca="1" si="14"/>
        <v>Page1, Ligne 65 [Page1!I68]  -</v>
      </c>
    </row>
    <row r="72" spans="1:23">
      <c r="A72" s="1443" t="str">
        <f>celladdr(Page1!J6)</f>
        <v>Page1!J6</v>
      </c>
      <c r="B72" s="1444" t="s">
        <v>1086</v>
      </c>
      <c r="G72" s="1444" t="str">
        <f t="shared" si="8"/>
        <v/>
      </c>
      <c r="H72" s="1446"/>
      <c r="J72" s="1446"/>
      <c r="N72" s="611" t="s">
        <v>1154</v>
      </c>
      <c r="O72" s="611" t="str">
        <f t="shared" si="15"/>
        <v/>
      </c>
      <c r="P72" s="611" t="str">
        <f t="shared" si="9"/>
        <v>Page1!J</v>
      </c>
      <c r="Q72" s="611">
        <f t="shared" si="10"/>
        <v>6</v>
      </c>
      <c r="R72" s="1447">
        <f t="shared" ca="1" si="11"/>
        <v>0</v>
      </c>
      <c r="S72" s="1447">
        <f t="shared" ca="1" si="12"/>
        <v>0</v>
      </c>
      <c r="V72" s="2557" t="str">
        <f t="shared" ca="1" si="13"/>
        <v/>
      </c>
      <c r="W72" s="611" t="str">
        <f t="shared" ca="1" si="14"/>
        <v>Page1, Ligne 3 [Page1!J6]  -</v>
      </c>
    </row>
    <row r="73" spans="1:23">
      <c r="A73" s="1443" t="str">
        <f>celladdr(Page1!J7)</f>
        <v>Page1!J7</v>
      </c>
      <c r="B73" s="1444" t="s">
        <v>1086</v>
      </c>
      <c r="G73" s="1444" t="str">
        <f t="shared" si="8"/>
        <v/>
      </c>
      <c r="H73" s="1446"/>
      <c r="J73" s="1446"/>
      <c r="N73" s="611" t="s">
        <v>1155</v>
      </c>
      <c r="O73" s="611" t="str">
        <f t="shared" si="15"/>
        <v/>
      </c>
      <c r="P73" s="611" t="str">
        <f t="shared" si="9"/>
        <v>Page1!J</v>
      </c>
      <c r="Q73" s="611">
        <f t="shared" si="10"/>
        <v>7</v>
      </c>
      <c r="R73" s="1447">
        <f t="shared" ca="1" si="11"/>
        <v>0</v>
      </c>
      <c r="S73" s="1447">
        <f t="shared" ca="1" si="12"/>
        <v>0</v>
      </c>
      <c r="V73" s="2557" t="str">
        <f t="shared" ca="1" si="13"/>
        <v/>
      </c>
      <c r="W73" s="611" t="str">
        <f t="shared" ca="1" si="14"/>
        <v>Page1, Ligne 4 [Page1!J7]  -</v>
      </c>
    </row>
    <row r="74" spans="1:23">
      <c r="A74" s="1443" t="str">
        <f>celladdr(Page1!J8)</f>
        <v>Page1!J8</v>
      </c>
      <c r="B74" s="1444" t="s">
        <v>1086</v>
      </c>
      <c r="G74" s="1444" t="str">
        <f t="shared" si="8"/>
        <v/>
      </c>
      <c r="H74" s="1446"/>
      <c r="J74" s="1446"/>
      <c r="N74" s="611" t="s">
        <v>1156</v>
      </c>
      <c r="O74" s="611" t="str">
        <f t="shared" si="15"/>
        <v/>
      </c>
      <c r="P74" s="611" t="str">
        <f t="shared" si="9"/>
        <v>Page1!J</v>
      </c>
      <c r="Q74" s="611">
        <f t="shared" si="10"/>
        <v>8</v>
      </c>
      <c r="R74" s="1447">
        <f t="shared" ca="1" si="11"/>
        <v>0</v>
      </c>
      <c r="S74" s="1447">
        <f t="shared" ca="1" si="12"/>
        <v>0</v>
      </c>
      <c r="V74" s="2557" t="str">
        <f t="shared" ca="1" si="13"/>
        <v/>
      </c>
      <c r="W74" s="611" t="str">
        <f t="shared" ca="1" si="14"/>
        <v>Page1, Ligne 5 [Page1!J8]  -</v>
      </c>
    </row>
    <row r="75" spans="1:23">
      <c r="A75" s="1443" t="str">
        <f>celladdr(Page1!M8)</f>
        <v>Page1!M8</v>
      </c>
      <c r="B75" s="1444" t="s">
        <v>1086</v>
      </c>
      <c r="G75" s="1444" t="str">
        <f t="shared" si="8"/>
        <v/>
      </c>
      <c r="H75" s="1446"/>
      <c r="J75" s="1446"/>
      <c r="N75" s="611" t="s">
        <v>1157</v>
      </c>
      <c r="O75" s="611" t="str">
        <f t="shared" si="15"/>
        <v/>
      </c>
      <c r="P75" s="611" t="str">
        <f t="shared" si="9"/>
        <v>Page1!M</v>
      </c>
      <c r="Q75" s="611">
        <f t="shared" si="10"/>
        <v>8</v>
      </c>
      <c r="R75" s="1447">
        <f t="shared" ca="1" si="11"/>
        <v>0</v>
      </c>
      <c r="S75" s="1447">
        <f t="shared" ca="1" si="12"/>
        <v>0</v>
      </c>
      <c r="V75" s="2557" t="str">
        <f t="shared" ca="1" si="13"/>
        <v/>
      </c>
      <c r="W75" s="611" t="str">
        <f t="shared" ca="1" si="14"/>
        <v>Page1, Ligne 5 [Page1!M8]  -</v>
      </c>
    </row>
    <row r="76" spans="1:23">
      <c r="A76" s="611" t="str">
        <f>celladdr(Page1!O17)</f>
        <v>Page1!O17</v>
      </c>
      <c r="B76" s="1457" t="s">
        <v>1086</v>
      </c>
      <c r="D76" s="1450"/>
      <c r="E76" s="1450" t="b">
        <f>Page1!O17&lt;0</f>
        <v>0</v>
      </c>
      <c r="F76" s="1450"/>
      <c r="G76" s="1444" t="str">
        <f t="shared" si="8"/>
        <v/>
      </c>
      <c r="I76" s="1452"/>
      <c r="J76" s="1446" t="str">
        <f>IF(E76=TRUE,Comments!$B$11,"")</f>
        <v/>
      </c>
      <c r="K76" s="1452"/>
      <c r="N76" s="611" t="s">
        <v>1158</v>
      </c>
      <c r="O76" s="611" t="str">
        <f t="shared" si="15"/>
        <v/>
      </c>
      <c r="P76" s="611" t="str">
        <f t="shared" si="9"/>
        <v>Page1!O</v>
      </c>
      <c r="Q76" s="611">
        <f t="shared" si="10"/>
        <v>17</v>
      </c>
      <c r="R76" s="1447">
        <f t="shared" ca="1" si="11"/>
        <v>0</v>
      </c>
      <c r="S76" s="1447">
        <f t="shared" ca="1" si="12"/>
        <v>0</v>
      </c>
      <c r="T76" s="611">
        <v>11</v>
      </c>
      <c r="V76" s="2557" t="str">
        <f t="shared" ca="1" si="13"/>
        <v/>
      </c>
      <c r="W76" s="611" t="str">
        <f t="shared" ca="1" si="14"/>
        <v>Page1, Ligne 14 [Page1!O17]  -</v>
      </c>
    </row>
    <row r="77" spans="1:23">
      <c r="A77" s="1443" t="str">
        <f>celladdr(Page1!P8)</f>
        <v>Page1!P8</v>
      </c>
      <c r="B77" s="1444" t="s">
        <v>1086</v>
      </c>
      <c r="G77" s="1444" t="str">
        <f t="shared" si="8"/>
        <v/>
      </c>
      <c r="H77" s="1446"/>
      <c r="J77" s="1446"/>
      <c r="N77" s="611" t="s">
        <v>1159</v>
      </c>
      <c r="O77" s="611" t="str">
        <f t="shared" si="15"/>
        <v/>
      </c>
      <c r="P77" s="611" t="str">
        <f t="shared" si="9"/>
        <v>Page1!P</v>
      </c>
      <c r="Q77" s="611">
        <f t="shared" si="10"/>
        <v>8</v>
      </c>
      <c r="R77" s="1447">
        <f t="shared" ca="1" si="11"/>
        <v>0</v>
      </c>
      <c r="S77" s="1447">
        <f t="shared" ca="1" si="12"/>
        <v>0</v>
      </c>
      <c r="V77" s="2557" t="str">
        <f t="shared" ca="1" si="13"/>
        <v/>
      </c>
      <c r="W77" s="611" t="str">
        <f t="shared" ca="1" si="14"/>
        <v>Page1, Ligne 5 [Page1!P8]  -</v>
      </c>
    </row>
    <row r="78" spans="1:23">
      <c r="A78" s="611" t="str">
        <f>celladdr(Page1!P46)</f>
        <v>Page1!P46</v>
      </c>
      <c r="B78" s="1456" t="s">
        <v>1086</v>
      </c>
      <c r="C78" s="1445" t="b">
        <f>Page1!P46&lt;0</f>
        <v>0</v>
      </c>
      <c r="D78" s="1450" t="b">
        <f>IF(Page1!P48=0,FALSE,Page1!P46&gt;(0.5*Page1!P48))</f>
        <v>0</v>
      </c>
      <c r="E78" s="1450" t="b">
        <f>Page1!P46&gt;Page1!R37</f>
        <v>0</v>
      </c>
      <c r="F78" s="1450"/>
      <c r="G78" s="1444" t="str">
        <f t="shared" si="8"/>
        <v/>
      </c>
      <c r="H78" s="1446" t="str">
        <f>IF(C78=TRUE,Comments!$B$88,"")</f>
        <v/>
      </c>
      <c r="I78" s="1452" t="str">
        <f>IF(D78=TRUE,Comments!B85,"")</f>
        <v/>
      </c>
      <c r="J78" s="1446" t="str">
        <f>IF(E78=TRUE,Comments!$B$83,"")</f>
        <v/>
      </c>
      <c r="K78" s="1446"/>
      <c r="N78" s="611" t="s">
        <v>1160</v>
      </c>
      <c r="O78" s="611" t="str">
        <f t="shared" si="15"/>
        <v/>
      </c>
      <c r="P78" s="611" t="str">
        <f t="shared" si="9"/>
        <v>Page1!P</v>
      </c>
      <c r="Q78" s="611">
        <f t="shared" si="10"/>
        <v>46</v>
      </c>
      <c r="R78" s="1447">
        <f t="shared" ca="1" si="11"/>
        <v>0</v>
      </c>
      <c r="S78" s="1447">
        <f t="shared" ca="1" si="12"/>
        <v>0</v>
      </c>
      <c r="T78" s="611">
        <v>83</v>
      </c>
      <c r="V78" s="2557" t="str">
        <f t="shared" ca="1" si="13"/>
        <v/>
      </c>
      <c r="W78" s="611" t="str">
        <f t="shared" ca="1" si="14"/>
        <v>Page1, Ligne 43 [Page1!P46]  -</v>
      </c>
    </row>
    <row r="79" spans="1:23">
      <c r="A79" s="611" t="str">
        <f>celladdr(Page1!R10)</f>
        <v>Page1!R10</v>
      </c>
      <c r="B79" s="1456" t="s">
        <v>1086</v>
      </c>
      <c r="D79" s="1450"/>
      <c r="E79" s="1450" t="b">
        <f>Page1!R10&lt;0</f>
        <v>0</v>
      </c>
      <c r="F79" s="1450"/>
      <c r="G79" s="1444" t="str">
        <f t="shared" si="8"/>
        <v/>
      </c>
      <c r="I79" s="1452"/>
      <c r="J79" s="1446" t="str">
        <f>IF(E79=TRUE,Comments!$B$11,"")</f>
        <v/>
      </c>
      <c r="K79" s="1452"/>
      <c r="N79" s="611" t="s">
        <v>1161</v>
      </c>
      <c r="O79" s="611" t="str">
        <f t="shared" si="15"/>
        <v/>
      </c>
      <c r="P79" s="611" t="str">
        <f t="shared" si="9"/>
        <v>Page1!R</v>
      </c>
      <c r="Q79" s="611">
        <f t="shared" si="10"/>
        <v>10</v>
      </c>
      <c r="R79" s="1447">
        <f t="shared" ca="1" si="11"/>
        <v>0</v>
      </c>
      <c r="S79" s="1447">
        <f t="shared" ca="1" si="12"/>
        <v>0</v>
      </c>
      <c r="T79" s="611">
        <v>11</v>
      </c>
      <c r="V79" s="2557" t="str">
        <f t="shared" ca="1" si="13"/>
        <v/>
      </c>
      <c r="W79" s="611" t="str">
        <f t="shared" ca="1" si="14"/>
        <v>Page1, Ligne 7 [Page1!R10]  -</v>
      </c>
    </row>
    <row r="80" spans="1:23" ht="80">
      <c r="A80" s="611" t="str">
        <f>celladdr(Page1!R11)</f>
        <v>Page1!R11</v>
      </c>
      <c r="B80" s="1456" t="s">
        <v>1086</v>
      </c>
      <c r="D80" s="1450"/>
      <c r="E80" s="1450" t="b">
        <f>Page1!R11&lt;0</f>
        <v>1</v>
      </c>
      <c r="F80" s="1450"/>
      <c r="G80" s="1444" t="str">
        <f t="shared" ca="1" si="8"/>
        <v>No.de ref. du commentaire.: Page1, Ligne 8 [Page1!R11]  - COMPTES À PAYER - FOURNISSEURS 
--- Un solde de clôture d'un compte du passif DEVRAIT ÊTRE supérieur ou égal à zéro (0) !
*** 100,0 Points de précision seront déduits suite à cette(ces) erreur(s) !</v>
      </c>
      <c r="I80" s="1452"/>
      <c r="J80" s="1446" t="str">
        <f>IF(E80=TRUE,Comments!$B$11,"")</f>
        <v xml:space="preserve">
--- Un solde de clôture d'un compte du passif DEVRAIT ÊTRE supérieur ou égal à zéro (0) !</v>
      </c>
      <c r="K80" s="1452"/>
      <c r="N80" s="611" t="s">
        <v>1162</v>
      </c>
      <c r="O80" s="611" t="str">
        <f t="shared" si="15"/>
        <v/>
      </c>
      <c r="P80" s="611" t="str">
        <f t="shared" si="9"/>
        <v>Page1!R</v>
      </c>
      <c r="Q80" s="611">
        <f t="shared" si="10"/>
        <v>11</v>
      </c>
      <c r="R80" s="1447">
        <f t="shared" ca="1" si="11"/>
        <v>100</v>
      </c>
      <c r="S80" s="1447">
        <f t="shared" ca="1" si="12"/>
        <v>0</v>
      </c>
      <c r="T80" s="611">
        <v>11</v>
      </c>
      <c r="V80" s="2557" t="str">
        <f t="shared" ca="1" si="13"/>
        <v xml:space="preserve">
*** 100,0 Points de précision seront déduits suite à cette(ces) erreur(s) !</v>
      </c>
      <c r="W80" s="611" t="str">
        <f t="shared" ca="1" si="14"/>
        <v>Page1, Ligne 8 [Page1!R11]  -</v>
      </c>
    </row>
    <row r="81" spans="1:23">
      <c r="A81" s="611" t="str">
        <f>celladdr(Page1!R12)</f>
        <v>Page1!R12</v>
      </c>
      <c r="B81" s="1456" t="s">
        <v>1086</v>
      </c>
      <c r="D81" s="1450"/>
      <c r="E81" s="1450" t="b">
        <f>Page1!R12&lt;0</f>
        <v>0</v>
      </c>
      <c r="F81" s="1450"/>
      <c r="G81" s="1444" t="str">
        <f t="shared" si="8"/>
        <v/>
      </c>
      <c r="I81" s="1452"/>
      <c r="J81" s="1446" t="str">
        <f>IF(E81=TRUE,Comments!$B$11,"")</f>
        <v/>
      </c>
      <c r="K81" s="1452"/>
      <c r="N81" s="611" t="s">
        <v>1163</v>
      </c>
      <c r="O81" s="611" t="str">
        <f t="shared" si="15"/>
        <v/>
      </c>
      <c r="P81" s="611" t="str">
        <f t="shared" si="9"/>
        <v>Page1!R</v>
      </c>
      <c r="Q81" s="611">
        <f t="shared" si="10"/>
        <v>12</v>
      </c>
      <c r="R81" s="1447">
        <f t="shared" ca="1" si="11"/>
        <v>0</v>
      </c>
      <c r="S81" s="1447">
        <f t="shared" ca="1" si="12"/>
        <v>0</v>
      </c>
      <c r="T81" s="611">
        <v>11</v>
      </c>
      <c r="V81" s="2557" t="str">
        <f t="shared" ca="1" si="13"/>
        <v/>
      </c>
      <c r="W81" s="611" t="str">
        <f t="shared" ca="1" si="14"/>
        <v>Page1, Ligne 9 [Page1!R12]  -</v>
      </c>
    </row>
    <row r="82" spans="1:23">
      <c r="A82" s="611" t="str">
        <f>celladdr(Page1!R13)</f>
        <v>Page1!R13</v>
      </c>
      <c r="B82" s="1456" t="s">
        <v>1086</v>
      </c>
      <c r="D82" s="1450"/>
      <c r="E82" s="1450" t="b">
        <f>Page1!R13&lt;0</f>
        <v>0</v>
      </c>
      <c r="F82" s="1450"/>
      <c r="G82" s="1444" t="str">
        <f t="shared" si="8"/>
        <v/>
      </c>
      <c r="I82" s="1452"/>
      <c r="J82" s="1446" t="str">
        <f>IF(E82=TRUE,Comments!$B$11,"")</f>
        <v/>
      </c>
      <c r="K82" s="1452"/>
      <c r="N82" s="611" t="s">
        <v>1164</v>
      </c>
      <c r="O82" s="611" t="str">
        <f t="shared" si="15"/>
        <v/>
      </c>
      <c r="P82" s="611" t="str">
        <f t="shared" si="9"/>
        <v>Page1!R</v>
      </c>
      <c r="Q82" s="611">
        <f t="shared" si="10"/>
        <v>13</v>
      </c>
      <c r="R82" s="1447">
        <f t="shared" ca="1" si="11"/>
        <v>0</v>
      </c>
      <c r="S82" s="1447">
        <f t="shared" ca="1" si="12"/>
        <v>0</v>
      </c>
      <c r="T82" s="611">
        <v>11</v>
      </c>
      <c r="V82" s="2557" t="str">
        <f t="shared" ca="1" si="13"/>
        <v/>
      </c>
      <c r="W82" s="611" t="str">
        <f t="shared" ca="1" si="14"/>
        <v>Page1, Ligne 10 [Page1!R13]  -</v>
      </c>
    </row>
    <row r="83" spans="1:23">
      <c r="A83" s="611" t="str">
        <f>celladdr(Page1!R14)</f>
        <v>Page1!R14</v>
      </c>
      <c r="B83" s="1456" t="s">
        <v>1086</v>
      </c>
      <c r="D83" s="1450"/>
      <c r="E83" s="1450" t="b">
        <f>Page1!R14&lt;0</f>
        <v>0</v>
      </c>
      <c r="F83" s="1450"/>
      <c r="G83" s="1444" t="str">
        <f t="shared" si="8"/>
        <v/>
      </c>
      <c r="I83" s="1452"/>
      <c r="J83" s="1446" t="str">
        <f>IF(E83=TRUE,Comments!$B$11,"")</f>
        <v/>
      </c>
      <c r="K83" s="1452"/>
      <c r="N83" s="611" t="s">
        <v>1165</v>
      </c>
      <c r="O83" s="611" t="str">
        <f t="shared" si="15"/>
        <v/>
      </c>
      <c r="P83" s="611" t="str">
        <f t="shared" si="9"/>
        <v>Page1!R</v>
      </c>
      <c r="Q83" s="611">
        <f t="shared" si="10"/>
        <v>14</v>
      </c>
      <c r="R83" s="1447">
        <f t="shared" ca="1" si="11"/>
        <v>0</v>
      </c>
      <c r="S83" s="1447">
        <f t="shared" ca="1" si="12"/>
        <v>0</v>
      </c>
      <c r="T83" s="611">
        <v>11</v>
      </c>
      <c r="V83" s="2557" t="str">
        <f t="shared" ca="1" si="13"/>
        <v/>
      </c>
      <c r="W83" s="611" t="str">
        <f t="shared" ca="1" si="14"/>
        <v>Page1, Ligne 11 [Page1!R14]  -</v>
      </c>
    </row>
    <row r="84" spans="1:23">
      <c r="A84" s="611" t="str">
        <f>celladdr(Page1!R15)</f>
        <v>Page1!R15</v>
      </c>
      <c r="B84" s="1456" t="s">
        <v>1086</v>
      </c>
      <c r="D84" s="1450"/>
      <c r="E84" s="1450" t="b">
        <f>Page1!R15&lt;0</f>
        <v>0</v>
      </c>
      <c r="F84" s="1450"/>
      <c r="G84" s="1444" t="str">
        <f t="shared" si="8"/>
        <v/>
      </c>
      <c r="I84" s="1452"/>
      <c r="J84" s="1446" t="str">
        <f>IF(E84=TRUE,Comments!$B$11,"")</f>
        <v/>
      </c>
      <c r="K84" s="1452"/>
      <c r="N84" s="611" t="s">
        <v>1166</v>
      </c>
      <c r="O84" s="611" t="str">
        <f t="shared" si="15"/>
        <v/>
      </c>
      <c r="P84" s="611" t="str">
        <f t="shared" si="9"/>
        <v>Page1!R</v>
      </c>
      <c r="Q84" s="611">
        <f t="shared" si="10"/>
        <v>15</v>
      </c>
      <c r="R84" s="1447">
        <f t="shared" ca="1" si="11"/>
        <v>0</v>
      </c>
      <c r="S84" s="1447">
        <f t="shared" ca="1" si="12"/>
        <v>0</v>
      </c>
      <c r="T84" s="611">
        <v>11</v>
      </c>
      <c r="V84" s="2557" t="str">
        <f t="shared" ca="1" si="13"/>
        <v/>
      </c>
      <c r="W84" s="611" t="str">
        <f t="shared" ca="1" si="14"/>
        <v>Page1, Ligne 12 [Page1!R15]  -</v>
      </c>
    </row>
    <row r="85" spans="1:23">
      <c r="A85" s="611" t="str">
        <f>celladdr(Page1!R18)</f>
        <v>Page1!R18</v>
      </c>
      <c r="B85" s="1456" t="s">
        <v>1086</v>
      </c>
      <c r="D85" s="1450"/>
      <c r="E85" s="1450" t="b">
        <f>Page1!R18&lt;0</f>
        <v>0</v>
      </c>
      <c r="F85" s="1450"/>
      <c r="G85" s="1444" t="str">
        <f t="shared" si="8"/>
        <v/>
      </c>
      <c r="I85" s="1452"/>
      <c r="J85" s="1446" t="str">
        <f>IF(E85=TRUE,Comments!$B$11,"")</f>
        <v/>
      </c>
      <c r="K85" s="1452"/>
      <c r="N85" s="611" t="s">
        <v>1167</v>
      </c>
      <c r="O85" s="611" t="str">
        <f t="shared" si="15"/>
        <v/>
      </c>
      <c r="P85" s="611" t="str">
        <f t="shared" si="9"/>
        <v>Page1!R</v>
      </c>
      <c r="Q85" s="611">
        <f t="shared" si="10"/>
        <v>18</v>
      </c>
      <c r="R85" s="1447">
        <f t="shared" ca="1" si="11"/>
        <v>0</v>
      </c>
      <c r="S85" s="1447">
        <f t="shared" ca="1" si="12"/>
        <v>0</v>
      </c>
      <c r="T85" s="611">
        <v>11</v>
      </c>
      <c r="V85" s="2557" t="str">
        <f t="shared" ca="1" si="13"/>
        <v/>
      </c>
      <c r="W85" s="611" t="str">
        <f t="shared" ca="1" si="14"/>
        <v>Page1, Ligne 15 [Page1!R18]  -</v>
      </c>
    </row>
    <row r="86" spans="1:23">
      <c r="A86" s="611" t="str">
        <f>celladdr(Page1!R19)</f>
        <v>Page1!R19</v>
      </c>
      <c r="B86" s="1456" t="s">
        <v>1086</v>
      </c>
      <c r="D86" s="1450"/>
      <c r="E86" s="1450" t="b">
        <f>Page1!R19&lt;0</f>
        <v>0</v>
      </c>
      <c r="F86" s="1450"/>
      <c r="G86" s="1444" t="str">
        <f t="shared" si="8"/>
        <v/>
      </c>
      <c r="I86" s="1452"/>
      <c r="J86" s="1446" t="str">
        <f>IF(E86=TRUE,Comments!$B$11,"")</f>
        <v/>
      </c>
      <c r="K86" s="1452"/>
      <c r="N86" s="611" t="s">
        <v>1168</v>
      </c>
      <c r="O86" s="611" t="str">
        <f t="shared" si="15"/>
        <v/>
      </c>
      <c r="P86" s="611" t="str">
        <f t="shared" si="9"/>
        <v>Page1!R</v>
      </c>
      <c r="Q86" s="611">
        <f t="shared" si="10"/>
        <v>19</v>
      </c>
      <c r="R86" s="1447">
        <f t="shared" ca="1" si="11"/>
        <v>0</v>
      </c>
      <c r="S86" s="1447">
        <f t="shared" ca="1" si="12"/>
        <v>0</v>
      </c>
      <c r="T86" s="611">
        <v>11</v>
      </c>
      <c r="V86" s="2557" t="str">
        <f t="shared" ca="1" si="13"/>
        <v/>
      </c>
      <c r="W86" s="611" t="str">
        <f t="shared" ca="1" si="14"/>
        <v>Page1, Ligne 16 [Page1!R19]  -</v>
      </c>
    </row>
    <row r="87" spans="1:23">
      <c r="A87" s="611" t="str">
        <f>celladdr(Page1!R20)</f>
        <v>Page1!R20</v>
      </c>
      <c r="B87" s="1456" t="s">
        <v>1086</v>
      </c>
      <c r="D87" s="1450"/>
      <c r="E87" s="1450" t="b">
        <f>Page1!R20&lt;0</f>
        <v>0</v>
      </c>
      <c r="F87" s="1450"/>
      <c r="G87" s="1444" t="str">
        <f t="shared" si="8"/>
        <v/>
      </c>
      <c r="I87" s="1452"/>
      <c r="J87" s="1446" t="str">
        <f>IF(E87=TRUE,Comments!$B$11,"")</f>
        <v/>
      </c>
      <c r="K87" s="1452"/>
      <c r="N87" s="611" t="s">
        <v>1169</v>
      </c>
      <c r="O87" s="611" t="str">
        <f t="shared" si="15"/>
        <v/>
      </c>
      <c r="P87" s="611" t="str">
        <f t="shared" si="9"/>
        <v>Page1!R</v>
      </c>
      <c r="Q87" s="611">
        <f t="shared" si="10"/>
        <v>20</v>
      </c>
      <c r="R87" s="1447">
        <f t="shared" ca="1" si="11"/>
        <v>0</v>
      </c>
      <c r="S87" s="1447">
        <f t="shared" ca="1" si="12"/>
        <v>0</v>
      </c>
      <c r="T87" s="611">
        <v>11</v>
      </c>
      <c r="V87" s="2557" t="str">
        <f t="shared" ca="1" si="13"/>
        <v/>
      </c>
      <c r="W87" s="611" t="str">
        <f t="shared" ca="1" si="14"/>
        <v>Page1, Ligne 17 [Page1!R20]  -</v>
      </c>
    </row>
    <row r="88" spans="1:23" ht="80">
      <c r="A88" s="611" t="str">
        <f>celladdr(Page1!R21)</f>
        <v>Page1!R21</v>
      </c>
      <c r="B88" s="1456" t="s">
        <v>1086</v>
      </c>
      <c r="D88" s="1450"/>
      <c r="E88" s="1450" t="b">
        <f>Page1!R21&lt;0</f>
        <v>1</v>
      </c>
      <c r="F88" s="1450"/>
      <c r="G88" s="1444" t="str">
        <f t="shared" ca="1" si="8"/>
        <v>No.de ref. du commentaire.: Page1, Ligne 18 [Page1!R21]  - T.P.S. À PAYER 
--- Un solde de clôture d'un compte du passif DEVRAIT ÊTRE supérieur ou égal à zéro (0) !
*** 100,0 Points de précision seront déduits suite à cette(ces) erreur(s) !</v>
      </c>
      <c r="I88" s="1452"/>
      <c r="J88" s="1446" t="str">
        <f>IF(E88=TRUE,Comments!$B$11,"")</f>
        <v xml:space="preserve">
--- Un solde de clôture d'un compte du passif DEVRAIT ÊTRE supérieur ou égal à zéro (0) !</v>
      </c>
      <c r="K88" s="1452"/>
      <c r="N88" s="611" t="s">
        <v>1170</v>
      </c>
      <c r="O88" s="611" t="str">
        <f t="shared" si="15"/>
        <v/>
      </c>
      <c r="P88" s="611" t="str">
        <f t="shared" si="9"/>
        <v>Page1!R</v>
      </c>
      <c r="Q88" s="611">
        <f t="shared" si="10"/>
        <v>21</v>
      </c>
      <c r="R88" s="1447">
        <f t="shared" ca="1" si="11"/>
        <v>100</v>
      </c>
      <c r="S88" s="1447">
        <f t="shared" ca="1" si="12"/>
        <v>0</v>
      </c>
      <c r="T88" s="611">
        <v>11</v>
      </c>
      <c r="V88" s="2557" t="str">
        <f t="shared" ca="1" si="13"/>
        <v xml:space="preserve">
*** 100,0 Points de précision seront déduits suite à cette(ces) erreur(s) !</v>
      </c>
      <c r="W88" s="611" t="str">
        <f t="shared" ca="1" si="14"/>
        <v>Page1, Ligne 18 [Page1!R21]  -</v>
      </c>
    </row>
    <row r="89" spans="1:23">
      <c r="A89" s="611" t="str">
        <f>celladdr(Page1!R22)</f>
        <v>Page1!R22</v>
      </c>
      <c r="B89" s="1456" t="s">
        <v>1086</v>
      </c>
      <c r="D89" s="1450"/>
      <c r="E89" s="1450"/>
      <c r="F89" s="1450"/>
      <c r="G89" s="1444" t="str">
        <f t="shared" si="8"/>
        <v/>
      </c>
      <c r="I89" s="1452"/>
      <c r="J89" s="1446"/>
      <c r="K89" s="1452"/>
      <c r="N89" s="611" t="s">
        <v>1171</v>
      </c>
      <c r="O89" s="611" t="str">
        <f t="shared" si="15"/>
        <v/>
      </c>
      <c r="P89" s="611" t="str">
        <f t="shared" si="9"/>
        <v>Page1!R</v>
      </c>
      <c r="Q89" s="611">
        <f t="shared" si="10"/>
        <v>22</v>
      </c>
      <c r="R89" s="1447">
        <f t="shared" ca="1" si="11"/>
        <v>0</v>
      </c>
      <c r="S89" s="1447">
        <f t="shared" ca="1" si="12"/>
        <v>0</v>
      </c>
      <c r="V89" s="2557" t="str">
        <f t="shared" ca="1" si="13"/>
        <v/>
      </c>
      <c r="W89" s="611" t="str">
        <f t="shared" ca="1" si="14"/>
        <v>Page1, Ligne 19 [Page1!R22]  -</v>
      </c>
    </row>
    <row r="90" spans="1:23">
      <c r="A90" s="611" t="str">
        <f>celladdr(Page1!R23)</f>
        <v>Page1!R23</v>
      </c>
      <c r="B90" s="1456" t="s">
        <v>1086</v>
      </c>
      <c r="D90" s="1450"/>
      <c r="E90" s="1450"/>
      <c r="F90" s="1450"/>
      <c r="G90" s="1444" t="str">
        <f t="shared" si="8"/>
        <v/>
      </c>
      <c r="I90" s="1452"/>
      <c r="J90" s="1446"/>
      <c r="K90" s="1452"/>
      <c r="N90" s="611" t="s">
        <v>1172</v>
      </c>
      <c r="O90" s="611" t="str">
        <f t="shared" si="15"/>
        <v/>
      </c>
      <c r="P90" s="611" t="str">
        <f t="shared" si="9"/>
        <v>Page1!R</v>
      </c>
      <c r="Q90" s="611">
        <f t="shared" si="10"/>
        <v>23</v>
      </c>
      <c r="R90" s="1447">
        <f t="shared" ca="1" si="11"/>
        <v>0</v>
      </c>
      <c r="S90" s="1447">
        <f t="shared" ca="1" si="12"/>
        <v>0</v>
      </c>
      <c r="V90" s="2557" t="str">
        <f t="shared" ca="1" si="13"/>
        <v/>
      </c>
      <c r="W90" s="611" t="str">
        <f t="shared" ca="1" si="14"/>
        <v>Page1, Ligne 20 [Page1!R23]  -</v>
      </c>
    </row>
    <row r="91" spans="1:23">
      <c r="A91" s="611" t="str">
        <f>celladdr(Page1!R24)</f>
        <v>Page1!R24</v>
      </c>
      <c r="B91" s="1456" t="s">
        <v>1086</v>
      </c>
      <c r="D91" s="1450"/>
      <c r="E91" s="1450"/>
      <c r="F91" s="1450"/>
      <c r="G91" s="1444" t="str">
        <f t="shared" si="8"/>
        <v/>
      </c>
      <c r="I91" s="1452"/>
      <c r="J91" s="1446"/>
      <c r="K91" s="1452"/>
      <c r="N91" s="611" t="s">
        <v>1173</v>
      </c>
      <c r="O91" s="611" t="str">
        <f t="shared" si="15"/>
        <v/>
      </c>
      <c r="P91" s="611" t="str">
        <f t="shared" si="9"/>
        <v>Page1!R</v>
      </c>
      <c r="Q91" s="611">
        <f t="shared" si="10"/>
        <v>24</v>
      </c>
      <c r="R91" s="1447">
        <f t="shared" ca="1" si="11"/>
        <v>0</v>
      </c>
      <c r="S91" s="1447">
        <f t="shared" ca="1" si="12"/>
        <v>0</v>
      </c>
      <c r="V91" s="2557" t="str">
        <f t="shared" ca="1" si="13"/>
        <v/>
      </c>
      <c r="W91" s="611" t="str">
        <f t="shared" ca="1" si="14"/>
        <v>Page1, Ligne 21 [Page1!R24]  -</v>
      </c>
    </row>
    <row r="92" spans="1:23">
      <c r="A92" s="611" t="str">
        <f>celladdr(Page1!R25)</f>
        <v>Page1!R25</v>
      </c>
      <c r="B92" s="1456" t="s">
        <v>1086</v>
      </c>
      <c r="D92" s="1450"/>
      <c r="E92" s="1450"/>
      <c r="F92" s="1450"/>
      <c r="G92" s="1444" t="str">
        <f t="shared" si="8"/>
        <v/>
      </c>
      <c r="I92" s="1452"/>
      <c r="J92" s="1446"/>
      <c r="K92" s="1452"/>
      <c r="N92" s="611" t="s">
        <v>1174</v>
      </c>
      <c r="O92" s="611" t="str">
        <f t="shared" si="15"/>
        <v/>
      </c>
      <c r="P92" s="611" t="str">
        <f t="shared" si="9"/>
        <v>Page1!R</v>
      </c>
      <c r="Q92" s="611">
        <f t="shared" si="10"/>
        <v>25</v>
      </c>
      <c r="R92" s="1447">
        <f t="shared" ca="1" si="11"/>
        <v>0</v>
      </c>
      <c r="S92" s="1447">
        <f t="shared" ca="1" si="12"/>
        <v>0</v>
      </c>
      <c r="V92" s="2557" t="str">
        <f t="shared" ca="1" si="13"/>
        <v/>
      </c>
      <c r="W92" s="611" t="str">
        <f t="shared" ca="1" si="14"/>
        <v>Page1, Ligne 22 [Page1!R25]  -</v>
      </c>
    </row>
    <row r="93" spans="1:23">
      <c r="A93" s="611" t="str">
        <f>celladdr(Page1!R26)</f>
        <v>Page1!R26</v>
      </c>
      <c r="B93" s="1456" t="s">
        <v>1086</v>
      </c>
      <c r="D93" s="1450"/>
      <c r="E93" s="1450"/>
      <c r="F93" s="1450"/>
      <c r="G93" s="1444" t="str">
        <f t="shared" si="8"/>
        <v/>
      </c>
      <c r="I93" s="1452"/>
      <c r="J93" s="1446"/>
      <c r="K93" s="1452"/>
      <c r="N93" s="611" t="s">
        <v>1175</v>
      </c>
      <c r="O93" s="611" t="str">
        <f t="shared" si="15"/>
        <v/>
      </c>
      <c r="P93" s="611" t="str">
        <f t="shared" si="9"/>
        <v>Page1!R</v>
      </c>
      <c r="Q93" s="611">
        <f t="shared" si="10"/>
        <v>26</v>
      </c>
      <c r="R93" s="1447">
        <f t="shared" ca="1" si="11"/>
        <v>0</v>
      </c>
      <c r="S93" s="1447">
        <f t="shared" ca="1" si="12"/>
        <v>0</v>
      </c>
      <c r="V93" s="2557" t="str">
        <f t="shared" ca="1" si="13"/>
        <v/>
      </c>
      <c r="W93" s="611" t="str">
        <f t="shared" ca="1" si="14"/>
        <v>Page1, Ligne 23 [Page1!R26]  -</v>
      </c>
    </row>
    <row r="94" spans="1:23">
      <c r="A94" s="611" t="str">
        <f>celladdr(Page1!R27)</f>
        <v>Page1!R27</v>
      </c>
      <c r="B94" s="1456" t="s">
        <v>1086</v>
      </c>
      <c r="D94" s="1450"/>
      <c r="E94" s="1450"/>
      <c r="F94" s="1450"/>
      <c r="G94" s="1444" t="str">
        <f t="shared" si="8"/>
        <v/>
      </c>
      <c r="I94" s="1452"/>
      <c r="J94" s="1446"/>
      <c r="K94" s="1452"/>
      <c r="N94" s="611" t="s">
        <v>1176</v>
      </c>
      <c r="O94" s="611" t="str">
        <f t="shared" si="15"/>
        <v/>
      </c>
      <c r="P94" s="611" t="str">
        <f t="shared" si="9"/>
        <v>Page1!R</v>
      </c>
      <c r="Q94" s="611">
        <f t="shared" si="10"/>
        <v>27</v>
      </c>
      <c r="R94" s="1447">
        <f t="shared" ca="1" si="11"/>
        <v>0</v>
      </c>
      <c r="S94" s="1447">
        <f t="shared" ca="1" si="12"/>
        <v>0</v>
      </c>
      <c r="V94" s="2557" t="str">
        <f t="shared" ca="1" si="13"/>
        <v/>
      </c>
      <c r="W94" s="611" t="str">
        <f t="shared" ca="1" si="14"/>
        <v>Page1, Ligne 24 [Page1!R27]  -</v>
      </c>
    </row>
    <row r="95" spans="1:23">
      <c r="A95" s="611" t="str">
        <f>celladdr(Page1!R28)</f>
        <v>Page1!R28</v>
      </c>
      <c r="B95" s="1456" t="s">
        <v>1086</v>
      </c>
      <c r="D95" s="1450"/>
      <c r="E95" s="1450"/>
      <c r="F95" s="1450"/>
      <c r="G95" s="1444" t="str">
        <f t="shared" si="8"/>
        <v/>
      </c>
      <c r="I95" s="1452"/>
      <c r="J95" s="1446"/>
      <c r="K95" s="1452"/>
      <c r="N95" s="611" t="s">
        <v>1177</v>
      </c>
      <c r="O95" s="611" t="str">
        <f t="shared" si="15"/>
        <v/>
      </c>
      <c r="P95" s="611" t="str">
        <f t="shared" si="9"/>
        <v>Page1!R</v>
      </c>
      <c r="Q95" s="611">
        <f t="shared" si="10"/>
        <v>28</v>
      </c>
      <c r="R95" s="1447">
        <f t="shared" ca="1" si="11"/>
        <v>0</v>
      </c>
      <c r="S95" s="1447">
        <f t="shared" ca="1" si="12"/>
        <v>0</v>
      </c>
      <c r="V95" s="2557" t="str">
        <f t="shared" ca="1" si="13"/>
        <v/>
      </c>
      <c r="W95" s="611" t="str">
        <f t="shared" ca="1" si="14"/>
        <v>Page1, Ligne 25 [Page1!R28]  -</v>
      </c>
    </row>
    <row r="96" spans="1:23">
      <c r="A96" s="611" t="str">
        <f>celladdr(Page1!R29)</f>
        <v>Page1!R29</v>
      </c>
      <c r="B96" s="1456" t="s">
        <v>1086</v>
      </c>
      <c r="D96" s="1450"/>
      <c r="E96" s="1450"/>
      <c r="F96" s="1450"/>
      <c r="G96" s="1444" t="str">
        <f t="shared" si="8"/>
        <v/>
      </c>
      <c r="I96" s="1452"/>
      <c r="J96" s="1446"/>
      <c r="K96" s="1452"/>
      <c r="N96" s="611" t="s">
        <v>1178</v>
      </c>
      <c r="O96" s="611" t="str">
        <f t="shared" si="15"/>
        <v/>
      </c>
      <c r="P96" s="611" t="str">
        <f t="shared" si="9"/>
        <v>Page1!R</v>
      </c>
      <c r="Q96" s="611">
        <f t="shared" si="10"/>
        <v>29</v>
      </c>
      <c r="R96" s="1447">
        <f t="shared" ca="1" si="11"/>
        <v>0</v>
      </c>
      <c r="S96" s="1447">
        <f t="shared" ca="1" si="12"/>
        <v>0</v>
      </c>
      <c r="V96" s="2557" t="str">
        <f t="shared" ca="1" si="13"/>
        <v/>
      </c>
      <c r="W96" s="611" t="str">
        <f t="shared" ca="1" si="14"/>
        <v>Page1, Ligne 26 [Page1!R29]  -</v>
      </c>
    </row>
    <row r="97" spans="1:23">
      <c r="A97" s="611" t="str">
        <f>celladdr(Page1!R30)</f>
        <v>Page1!R30</v>
      </c>
      <c r="B97" s="1456" t="s">
        <v>1086</v>
      </c>
      <c r="D97" s="1450"/>
      <c r="E97" s="1450"/>
      <c r="F97" s="1450"/>
      <c r="G97" s="1444" t="str">
        <f t="shared" si="8"/>
        <v/>
      </c>
      <c r="I97" s="1452"/>
      <c r="J97" s="1446"/>
      <c r="K97" s="1452"/>
      <c r="N97" s="611" t="s">
        <v>1179</v>
      </c>
      <c r="O97" s="611" t="str">
        <f t="shared" si="15"/>
        <v/>
      </c>
      <c r="P97" s="611" t="str">
        <f t="shared" si="9"/>
        <v>Page1!R</v>
      </c>
      <c r="Q97" s="611">
        <f t="shared" si="10"/>
        <v>30</v>
      </c>
      <c r="R97" s="1447">
        <f t="shared" ca="1" si="11"/>
        <v>0</v>
      </c>
      <c r="S97" s="1447">
        <f t="shared" ca="1" si="12"/>
        <v>0</v>
      </c>
      <c r="V97" s="2557" t="str">
        <f t="shared" ca="1" si="13"/>
        <v/>
      </c>
      <c r="W97" s="611" t="str">
        <f t="shared" ca="1" si="14"/>
        <v>Page1, Ligne 27 [Page1!R30]  -</v>
      </c>
    </row>
    <row r="98" spans="1:23">
      <c r="A98" s="611" t="str">
        <f>celladdr(Page1!R31)</f>
        <v>Page1!R31</v>
      </c>
      <c r="B98" s="1456" t="s">
        <v>1086</v>
      </c>
      <c r="D98" s="1450"/>
      <c r="E98" s="1450"/>
      <c r="F98" s="1450"/>
      <c r="G98" s="1444" t="str">
        <f t="shared" si="8"/>
        <v/>
      </c>
      <c r="I98" s="1452"/>
      <c r="J98" s="1446"/>
      <c r="K98" s="1452"/>
      <c r="N98" s="611" t="s">
        <v>1180</v>
      </c>
      <c r="O98" s="611" t="str">
        <f t="shared" si="15"/>
        <v/>
      </c>
      <c r="P98" s="611" t="str">
        <f t="shared" si="9"/>
        <v>Page1!R</v>
      </c>
      <c r="Q98" s="611">
        <f t="shared" si="10"/>
        <v>31</v>
      </c>
      <c r="R98" s="1447">
        <f t="shared" ca="1" si="11"/>
        <v>0</v>
      </c>
      <c r="S98" s="1447">
        <f t="shared" ca="1" si="12"/>
        <v>0</v>
      </c>
      <c r="V98" s="2557" t="str">
        <f t="shared" ca="1" si="13"/>
        <v/>
      </c>
      <c r="W98" s="611" t="str">
        <f t="shared" ca="1" si="14"/>
        <v>Page1, Ligne 28 [Page1!R31]  -</v>
      </c>
    </row>
    <row r="99" spans="1:23">
      <c r="A99" s="611" t="str">
        <f>celladdr(Page1!R32)</f>
        <v>Page1!R32</v>
      </c>
      <c r="B99" s="1456" t="s">
        <v>1086</v>
      </c>
      <c r="D99" s="1450"/>
      <c r="E99" s="1450"/>
      <c r="F99" s="1450"/>
      <c r="G99" s="1444" t="str">
        <f t="shared" si="8"/>
        <v/>
      </c>
      <c r="I99" s="1452"/>
      <c r="J99" s="1446"/>
      <c r="K99" s="1452"/>
      <c r="N99" s="611" t="s">
        <v>1181</v>
      </c>
      <c r="O99" s="611" t="str">
        <f t="shared" si="15"/>
        <v/>
      </c>
      <c r="P99" s="611" t="str">
        <f t="shared" si="9"/>
        <v>Page1!R</v>
      </c>
      <c r="Q99" s="611">
        <f t="shared" si="10"/>
        <v>32</v>
      </c>
      <c r="R99" s="1447">
        <f t="shared" ca="1" si="11"/>
        <v>0</v>
      </c>
      <c r="S99" s="1447">
        <f t="shared" ca="1" si="12"/>
        <v>0</v>
      </c>
      <c r="V99" s="2557" t="str">
        <f t="shared" ca="1" si="13"/>
        <v/>
      </c>
      <c r="W99" s="611" t="str">
        <f t="shared" ca="1" si="14"/>
        <v>Page1, Ligne 29 [Page1!R32]  -</v>
      </c>
    </row>
    <row r="100" spans="1:23">
      <c r="A100" s="611" t="str">
        <f>celladdr(Page1!R35)</f>
        <v>Page1!R35</v>
      </c>
      <c r="B100" s="1456" t="s">
        <v>1086</v>
      </c>
      <c r="D100" s="1450"/>
      <c r="E100" s="1450" t="b">
        <f>Page1!R36&lt;&gt;0</f>
        <v>0</v>
      </c>
      <c r="F100" s="1450"/>
      <c r="G100" s="1444" t="str">
        <f t="shared" si="8"/>
        <v/>
      </c>
      <c r="I100" s="1452"/>
      <c r="J100" s="1446" t="str">
        <f>IF(E100=TRUE,Comments!$B$11,"")</f>
        <v/>
      </c>
      <c r="K100" s="1452"/>
      <c r="N100" s="611" t="s">
        <v>1182</v>
      </c>
      <c r="O100" s="611" t="str">
        <f t="shared" si="15"/>
        <v/>
      </c>
      <c r="P100" s="611" t="str">
        <f t="shared" si="9"/>
        <v>Page1!R</v>
      </c>
      <c r="Q100" s="611">
        <f t="shared" si="10"/>
        <v>35</v>
      </c>
      <c r="R100" s="1447">
        <f t="shared" ca="1" si="11"/>
        <v>0</v>
      </c>
      <c r="S100" s="1447">
        <f t="shared" ca="1" si="12"/>
        <v>0</v>
      </c>
      <c r="T100" s="611">
        <v>66</v>
      </c>
      <c r="V100" s="2557" t="str">
        <f t="shared" ca="1" si="13"/>
        <v/>
      </c>
      <c r="W100" s="611" t="str">
        <f t="shared" ca="1" si="14"/>
        <v>Page1, Ligne 32 [Page1!R35]  -</v>
      </c>
    </row>
    <row r="101" spans="1:23">
      <c r="A101" s="611" t="str">
        <f>celladdr(Page1!R37)</f>
        <v>Page1!R37</v>
      </c>
      <c r="B101" s="1456" t="s">
        <v>1086</v>
      </c>
      <c r="C101" s="1445" t="b">
        <f>Page1!R37&lt;0</f>
        <v>0</v>
      </c>
      <c r="D101" s="1450"/>
      <c r="E101" s="1450"/>
      <c r="F101" s="1450"/>
      <c r="G101" s="1444" t="str">
        <f t="shared" si="8"/>
        <v/>
      </c>
      <c r="H101" s="1447" t="str">
        <f>IF(C101=TRUE,Comments!$B$103,"")</f>
        <v/>
      </c>
      <c r="I101" s="1452"/>
      <c r="J101" s="1446"/>
      <c r="K101" s="1452"/>
      <c r="N101" s="611" t="s">
        <v>1183</v>
      </c>
      <c r="O101" s="611" t="str">
        <f t="shared" si="15"/>
        <v/>
      </c>
      <c r="P101" s="611" t="str">
        <f t="shared" si="9"/>
        <v>Page1!R</v>
      </c>
      <c r="Q101" s="611">
        <f t="shared" si="10"/>
        <v>37</v>
      </c>
      <c r="R101" s="1447">
        <f t="shared" ca="1" si="11"/>
        <v>0</v>
      </c>
      <c r="S101" s="1447">
        <f t="shared" ca="1" si="12"/>
        <v>0</v>
      </c>
      <c r="V101" s="2557" t="str">
        <f t="shared" ca="1" si="13"/>
        <v/>
      </c>
      <c r="W101" s="611" t="str">
        <f t="shared" ca="1" si="14"/>
        <v>Page1, Ligne 34 [Page1!R37]  -</v>
      </c>
    </row>
    <row r="102" spans="1:23" ht="80">
      <c r="A102" s="611" t="str">
        <f>celladdr(Page1!R39)</f>
        <v>Page1!R39</v>
      </c>
      <c r="B102" s="1456" t="s">
        <v>1086</v>
      </c>
      <c r="D102" s="1450"/>
      <c r="E102" s="1450" t="b">
        <f>Page1!R39&lt;0</f>
        <v>1</v>
      </c>
      <c r="F102" s="1450"/>
      <c r="G102" s="1444" t="str">
        <f t="shared" ca="1" si="8"/>
        <v>No.de ref. du commentaire.: Page1, Ligne 36 [Page1!R39]  - TAXES DIFFÉRÉES 
--- Un solde de clôture d'un compte du passif DEVRAIT ÊTRE supérieur ou égal à zéro (0) !
*** 100,0 Points de précision seront déduits suite à cette(ces) erreur(s) !</v>
      </c>
      <c r="I102" s="1452"/>
      <c r="J102" s="1446" t="str">
        <f>IF(E102=TRUE,Comments!$B$11,"")</f>
        <v xml:space="preserve">
--- Un solde de clôture d'un compte du passif DEVRAIT ÊTRE supérieur ou égal à zéro (0) !</v>
      </c>
      <c r="K102" s="1452"/>
      <c r="N102" s="611" t="s">
        <v>1184</v>
      </c>
      <c r="O102" s="611" t="str">
        <f t="shared" si="15"/>
        <v/>
      </c>
      <c r="P102" s="611" t="str">
        <f t="shared" si="9"/>
        <v>Page1!R</v>
      </c>
      <c r="Q102" s="611">
        <f t="shared" si="10"/>
        <v>39</v>
      </c>
      <c r="R102" s="1447">
        <f t="shared" ca="1" si="11"/>
        <v>100</v>
      </c>
      <c r="S102" s="1447">
        <f t="shared" ca="1" si="12"/>
        <v>0</v>
      </c>
      <c r="T102" s="611">
        <v>11</v>
      </c>
      <c r="V102" s="2557" t="str">
        <f t="shared" ca="1" si="13"/>
        <v xml:space="preserve">
*** 100,0 Points de précision seront déduits suite à cette(ces) erreur(s) !</v>
      </c>
      <c r="W102" s="611" t="str">
        <f t="shared" ca="1" si="14"/>
        <v>Page1, Ligne 36 [Page1!R39]  -</v>
      </c>
    </row>
    <row r="103" spans="1:23">
      <c r="A103" s="611" t="str">
        <f>celladdr(Page1!R42)</f>
        <v>Page1!R42</v>
      </c>
      <c r="B103" s="1456" t="s">
        <v>1086</v>
      </c>
      <c r="C103" s="1450" t="b">
        <f>IF(Page1!R42=0,FALSE,Page1!F50+Page1!F51=0)</f>
        <v>0</v>
      </c>
      <c r="D103" s="1450"/>
      <c r="E103" s="1450" t="b">
        <f>Page1!R42&lt;0</f>
        <v>0</v>
      </c>
      <c r="F103" s="1450"/>
      <c r="G103" s="1444" t="str">
        <f t="shared" si="8"/>
        <v/>
      </c>
      <c r="H103" s="1446" t="str">
        <f>IF(C103=TRUE,Comments!$B$94,"")</f>
        <v/>
      </c>
      <c r="I103" s="1452"/>
      <c r="J103" s="1446" t="str">
        <f>IF(E103=TRUE,Comments!$B$11,"")</f>
        <v/>
      </c>
      <c r="K103" s="1452"/>
      <c r="N103" s="611" t="s">
        <v>1185</v>
      </c>
      <c r="O103" s="611" t="str">
        <f t="shared" si="15"/>
        <v/>
      </c>
      <c r="P103" s="611" t="str">
        <f t="shared" si="9"/>
        <v>Page1!R</v>
      </c>
      <c r="Q103" s="611">
        <f t="shared" si="10"/>
        <v>42</v>
      </c>
      <c r="R103" s="1447">
        <f t="shared" ca="1" si="11"/>
        <v>0</v>
      </c>
      <c r="S103" s="1447">
        <f t="shared" ca="1" si="12"/>
        <v>0</v>
      </c>
      <c r="T103" s="611">
        <v>11</v>
      </c>
      <c r="V103" s="2557" t="str">
        <f t="shared" ca="1" si="13"/>
        <v/>
      </c>
      <c r="W103" s="611" t="str">
        <f t="shared" ca="1" si="14"/>
        <v>Page1, Ligne 39 [Page1!R42]  -</v>
      </c>
    </row>
    <row r="104" spans="1:23">
      <c r="A104" s="611" t="str">
        <f>celladdr(Page1!R52)</f>
        <v>Page1!R52</v>
      </c>
      <c r="B104" s="1456" t="s">
        <v>1086</v>
      </c>
      <c r="C104" s="1445" t="b">
        <f>IF(AND(Page1!R52&lt;&gt;0,Page1!R59&lt;&gt;0),TRUE,FALSE)</f>
        <v>0</v>
      </c>
      <c r="D104" s="1450"/>
      <c r="E104" s="1450"/>
      <c r="F104" s="1450"/>
      <c r="G104" s="1444" t="str">
        <f t="shared" si="8"/>
        <v/>
      </c>
      <c r="H104" s="1446" t="str">
        <f>IF(C104=TRUE,Comments!$B$95,"")</f>
        <v/>
      </c>
      <c r="I104" s="1452"/>
      <c r="J104" s="1446"/>
      <c r="K104" s="1452"/>
      <c r="N104" s="611" t="s">
        <v>1186</v>
      </c>
      <c r="O104" s="611" t="str">
        <f t="shared" si="15"/>
        <v/>
      </c>
      <c r="P104" s="611" t="str">
        <f t="shared" si="9"/>
        <v>Page1!R</v>
      </c>
      <c r="Q104" s="611">
        <f t="shared" si="10"/>
        <v>52</v>
      </c>
      <c r="R104" s="1447">
        <f t="shared" ca="1" si="11"/>
        <v>0</v>
      </c>
      <c r="S104" s="1447">
        <f t="shared" ca="1" si="12"/>
        <v>0</v>
      </c>
      <c r="V104" s="2557" t="str">
        <f t="shared" ca="1" si="13"/>
        <v/>
      </c>
      <c r="W104" s="611" t="str">
        <f t="shared" ca="1" si="14"/>
        <v>Page1, Ligne 49 [Page1!R52]  -</v>
      </c>
    </row>
    <row r="105" spans="1:23">
      <c r="A105" s="611" t="str">
        <f>celladdr(Page1!R55)</f>
        <v>Page1!R55</v>
      </c>
      <c r="B105" s="1456" t="s">
        <v>1086</v>
      </c>
      <c r="D105" s="1450"/>
      <c r="E105" s="1450"/>
      <c r="F105" s="1450"/>
      <c r="G105" s="1444" t="str">
        <f t="shared" si="8"/>
        <v/>
      </c>
      <c r="I105" s="1452"/>
      <c r="J105" s="1446"/>
      <c r="K105" s="1452"/>
      <c r="N105" s="611" t="s">
        <v>1187</v>
      </c>
      <c r="O105" s="611" t="str">
        <f t="shared" si="15"/>
        <v/>
      </c>
      <c r="P105" s="611" t="str">
        <f t="shared" si="9"/>
        <v>Page1!R</v>
      </c>
      <c r="Q105" s="611">
        <f t="shared" si="10"/>
        <v>55</v>
      </c>
      <c r="R105" s="1447">
        <f t="shared" ca="1" si="11"/>
        <v>0</v>
      </c>
      <c r="S105" s="1447">
        <f t="shared" ca="1" si="12"/>
        <v>0</v>
      </c>
      <c r="V105" s="2557" t="str">
        <f t="shared" ca="1" si="13"/>
        <v/>
      </c>
      <c r="W105" s="611" t="str">
        <f t="shared" ca="1" si="14"/>
        <v>Page1, Ligne 52 [Page1!R55]  -</v>
      </c>
    </row>
    <row r="106" spans="1:23">
      <c r="A106" s="611" t="str">
        <f>celladdr(Page1!R57)</f>
        <v>Page1!R57</v>
      </c>
      <c r="B106" s="1456" t="s">
        <v>1086</v>
      </c>
      <c r="D106" s="1450"/>
      <c r="E106" s="1450"/>
      <c r="F106" s="1450"/>
      <c r="G106" s="1444" t="str">
        <f t="shared" si="8"/>
        <v/>
      </c>
      <c r="I106" s="1452"/>
      <c r="J106" s="1446"/>
      <c r="K106" s="1452"/>
      <c r="N106" s="611" t="s">
        <v>1188</v>
      </c>
      <c r="O106" s="611" t="str">
        <f t="shared" si="15"/>
        <v/>
      </c>
      <c r="P106" s="611" t="str">
        <f t="shared" si="9"/>
        <v>Page1!R</v>
      </c>
      <c r="Q106" s="611">
        <f t="shared" si="10"/>
        <v>57</v>
      </c>
      <c r="R106" s="1447">
        <f t="shared" ca="1" si="11"/>
        <v>0</v>
      </c>
      <c r="S106" s="1447">
        <f t="shared" ca="1" si="12"/>
        <v>0</v>
      </c>
      <c r="V106" s="2557" t="str">
        <f t="shared" ca="1" si="13"/>
        <v/>
      </c>
      <c r="W106" s="611" t="str">
        <f t="shared" ca="1" si="14"/>
        <v>Page1, Ligne 54 [Page1!R57]  -</v>
      </c>
    </row>
    <row r="107" spans="1:23">
      <c r="A107" s="611" t="str">
        <f>celladdr(Page1!R59)</f>
        <v>Page1!R59</v>
      </c>
      <c r="B107" s="1456" t="s">
        <v>1086</v>
      </c>
      <c r="C107" s="1445" t="b">
        <f>IF(AND(Page1!R52&lt;&gt;0,Page1!R59&lt;&gt;0),TRUE,FALSE)</f>
        <v>0</v>
      </c>
      <c r="D107" s="1450"/>
      <c r="E107" s="1450"/>
      <c r="F107" s="1450"/>
      <c r="G107" s="1444" t="str">
        <f t="shared" si="8"/>
        <v/>
      </c>
      <c r="H107" s="1446" t="str">
        <f>IF(C107=TRUE,Comments!$B$96,"")</f>
        <v/>
      </c>
      <c r="I107" s="1452"/>
      <c r="J107" s="1446"/>
      <c r="K107" s="1452"/>
      <c r="N107" s="611" t="s">
        <v>1189</v>
      </c>
      <c r="O107" s="611" t="str">
        <f t="shared" si="15"/>
        <v/>
      </c>
      <c r="P107" s="611" t="str">
        <f t="shared" si="9"/>
        <v>Page1!R</v>
      </c>
      <c r="Q107" s="611">
        <f t="shared" si="10"/>
        <v>59</v>
      </c>
      <c r="R107" s="1447">
        <f t="shared" ca="1" si="11"/>
        <v>0</v>
      </c>
      <c r="S107" s="1447">
        <f t="shared" ca="1" si="12"/>
        <v>0</v>
      </c>
      <c r="V107" s="2557" t="str">
        <f t="shared" ca="1" si="13"/>
        <v/>
      </c>
      <c r="W107" s="611" t="str">
        <f t="shared" ca="1" si="14"/>
        <v>Page1, Ligne 56 [Page1!R59]  -</v>
      </c>
    </row>
    <row r="108" spans="1:23">
      <c r="A108" s="611" t="str">
        <f>celladdr(Page1!R63)</f>
        <v>Page1!R63</v>
      </c>
      <c r="B108" s="1456" t="s">
        <v>1086</v>
      </c>
      <c r="D108" s="1450"/>
      <c r="E108" s="1450"/>
      <c r="F108" s="1450"/>
      <c r="G108" s="1444" t="str">
        <f t="shared" si="8"/>
        <v/>
      </c>
      <c r="I108" s="1452"/>
      <c r="J108" s="1446"/>
      <c r="K108" s="1452"/>
      <c r="N108" s="611" t="s">
        <v>1190</v>
      </c>
      <c r="O108" s="611" t="str">
        <f t="shared" si="15"/>
        <v/>
      </c>
      <c r="P108" s="611" t="str">
        <f t="shared" si="9"/>
        <v>Page1!R</v>
      </c>
      <c r="Q108" s="611">
        <f t="shared" si="10"/>
        <v>63</v>
      </c>
      <c r="R108" s="1447">
        <f t="shared" ca="1" si="11"/>
        <v>0</v>
      </c>
      <c r="S108" s="1447">
        <f t="shared" ca="1" si="12"/>
        <v>0</v>
      </c>
      <c r="V108" s="2557" t="str">
        <f t="shared" ca="1" si="13"/>
        <v/>
      </c>
      <c r="W108" s="611" t="str">
        <f t="shared" ca="1" si="14"/>
        <v>Page1, Ligne 60 [Page1!R63]  -</v>
      </c>
    </row>
    <row r="109" spans="1:23">
      <c r="A109" s="611" t="str">
        <f>celladdr(Page1!R64)</f>
        <v>Page1!R64</v>
      </c>
      <c r="B109" s="1456" t="s">
        <v>1086</v>
      </c>
      <c r="C109" s="1445" t="b">
        <f>OR(Page1!R64&gt;100,Page1!R64&lt;-100)</f>
        <v>0</v>
      </c>
      <c r="D109" s="1450"/>
      <c r="E109" s="1450"/>
      <c r="F109" s="1450"/>
      <c r="G109" s="1444" t="str">
        <f t="shared" si="8"/>
        <v/>
      </c>
      <c r="H109" s="1446" t="str">
        <f>IF(C109=TRUE,Comments!$B$77,"")</f>
        <v/>
      </c>
      <c r="I109" s="1452"/>
      <c r="J109" s="1446"/>
      <c r="K109" s="1452"/>
      <c r="N109" s="611" t="s">
        <v>1191</v>
      </c>
      <c r="O109" s="611" t="str">
        <f t="shared" si="15"/>
        <v/>
      </c>
      <c r="P109" s="611" t="str">
        <f t="shared" si="9"/>
        <v>Page1!R</v>
      </c>
      <c r="Q109" s="611">
        <f t="shared" si="10"/>
        <v>64</v>
      </c>
      <c r="R109" s="1447">
        <f t="shared" ca="1" si="11"/>
        <v>0</v>
      </c>
      <c r="S109" s="1447">
        <f t="shared" ca="1" si="12"/>
        <v>0</v>
      </c>
      <c r="V109" s="2557" t="str">
        <f t="shared" ca="1" si="13"/>
        <v/>
      </c>
      <c r="W109" s="611" t="str">
        <f t="shared" ca="1" si="14"/>
        <v>Page1, Ligne 61 [Page1!R64]  -</v>
      </c>
    </row>
    <row r="110" spans="1:23">
      <c r="A110" s="611" t="str">
        <f>celladdr(Page1!R68)</f>
        <v>Page1!R68</v>
      </c>
      <c r="B110" s="1458" t="s">
        <v>1086</v>
      </c>
      <c r="C110" s="1445" t="b">
        <f>Page1!$R$68&lt;&gt;Page1!$R$67+Page1!$R$45</f>
        <v>0</v>
      </c>
      <c r="D110" s="1450" t="b">
        <f>OR(Page1!$I$68-Page1!$R$68&gt;100,Page1!$I$68-Page1!$R$68&lt;-100)</f>
        <v>0</v>
      </c>
      <c r="E110" s="1450"/>
      <c r="F110" s="1450"/>
      <c r="G110" s="1444" t="str">
        <f t="shared" si="8"/>
        <v/>
      </c>
      <c r="H110" s="1446" t="str">
        <f>IF(C110=TRUE,Comments!$B$59&amp;DOLLAR(Page1!$R$68-(Page1!$R$67+Page1!$R$45),0),"")</f>
        <v/>
      </c>
      <c r="I110" s="1446" t="str">
        <f>IF(D110=TRUE,Comments!$B$10&amp;DOLLAR(Page1!I68-Page1!R68,0),"")</f>
        <v/>
      </c>
      <c r="J110" s="1452"/>
      <c r="K110" s="1452"/>
      <c r="N110" s="611" t="s">
        <v>1192</v>
      </c>
      <c r="O110" s="611" t="str">
        <f t="shared" si="15"/>
        <v/>
      </c>
      <c r="P110" s="611" t="str">
        <f t="shared" si="9"/>
        <v>Page1!R</v>
      </c>
      <c r="Q110" s="611">
        <f t="shared" si="10"/>
        <v>68</v>
      </c>
      <c r="R110" s="1447">
        <f t="shared" ca="1" si="11"/>
        <v>0</v>
      </c>
      <c r="S110" s="1447">
        <f t="shared" ca="1" si="12"/>
        <v>0</v>
      </c>
      <c r="V110" s="2557" t="str">
        <f t="shared" ca="1" si="13"/>
        <v/>
      </c>
      <c r="W110" s="611" t="str">
        <f t="shared" ca="1" si="14"/>
        <v>Page1, Ligne 65 [Page1!R68]  -</v>
      </c>
    </row>
    <row r="111" spans="1:23">
      <c r="A111" s="611" t="str">
        <f>celladdr(Page2!G4)</f>
        <v>Page2!G4</v>
      </c>
      <c r="B111" s="1463" t="s">
        <v>1086</v>
      </c>
      <c r="C111" s="1445" t="b">
        <f>Page2!G4=0</f>
        <v>0</v>
      </c>
      <c r="D111" s="1450" t="b">
        <f>AND(TBIn!E2460=1,Page2!G4&lt;&gt;Page2!J4)</f>
        <v>0</v>
      </c>
      <c r="E111" s="1450"/>
      <c r="F111" s="1450"/>
      <c r="G111" s="1444" t="str">
        <f t="shared" si="8"/>
        <v/>
      </c>
      <c r="H111" s="1446" t="str">
        <f>IF(C111=TRUE,Comments!$B$69,"")</f>
        <v/>
      </c>
      <c r="I111" s="1446" t="str">
        <f>IF(D111=TRUE,Comments!$B$78,"")</f>
        <v/>
      </c>
      <c r="J111" s="1452"/>
      <c r="K111" s="1452"/>
      <c r="N111" s="611" t="s">
        <v>1193</v>
      </c>
      <c r="O111" s="611" t="str">
        <f t="shared" si="15"/>
        <v/>
      </c>
      <c r="P111" s="611" t="str">
        <f t="shared" si="9"/>
        <v>Page2!G</v>
      </c>
      <c r="Q111" s="611">
        <f t="shared" si="10"/>
        <v>4</v>
      </c>
      <c r="R111" s="1447">
        <f t="shared" ca="1" si="11"/>
        <v>0</v>
      </c>
      <c r="S111" s="1447">
        <f t="shared" ca="1" si="12"/>
        <v>0</v>
      </c>
      <c r="V111" s="2557" t="str">
        <f t="shared" ca="1" si="13"/>
        <v/>
      </c>
      <c r="W111" s="611" t="str">
        <f t="shared" ca="1" si="14"/>
        <v>Page2, Ligne 1 [Page2!G4]  -</v>
      </c>
    </row>
    <row r="112" spans="1:23">
      <c r="A112" s="611" t="str">
        <f>celladdr(Page2!J4)</f>
        <v>Page2!J4</v>
      </c>
      <c r="B112" s="1463" t="s">
        <v>1086</v>
      </c>
      <c r="C112" s="1445" t="b">
        <f>IF(TBIn!E2469=0,FALSE,OR(TBIn!E2469&gt;Page2!J4,TBIn!E2469=Page2!J4))</f>
        <v>0</v>
      </c>
      <c r="D112" s="1450" t="b">
        <f>Page2!J4=0</f>
        <v>0</v>
      </c>
      <c r="E112" s="1450"/>
      <c r="F112" s="1450"/>
      <c r="G112" s="1444" t="str">
        <f t="shared" si="8"/>
        <v/>
      </c>
      <c r="H112" s="1446" t="str">
        <f>IF(C112=TRUE,Comments!$B$68&amp;DOLLAR(TBIn!E2469,0)&amp;Comments!$B$19&amp;DOLLAR(Page2!J4,0),"")</f>
        <v/>
      </c>
      <c r="I112" s="1446" t="str">
        <f>IF(D112=TRUE,Comments!$B$69,"")</f>
        <v/>
      </c>
      <c r="J112" s="1452"/>
      <c r="K112" s="1452"/>
      <c r="N112" s="611" t="s">
        <v>1194</v>
      </c>
      <c r="O112" s="611" t="str">
        <f t="shared" si="15"/>
        <v/>
      </c>
      <c r="P112" s="611" t="str">
        <f t="shared" si="9"/>
        <v>Page2!J</v>
      </c>
      <c r="Q112" s="611">
        <f t="shared" si="10"/>
        <v>4</v>
      </c>
      <c r="R112" s="1447">
        <f t="shared" ca="1" si="11"/>
        <v>0</v>
      </c>
      <c r="S112" s="1447">
        <f t="shared" ca="1" si="12"/>
        <v>0</v>
      </c>
      <c r="V112" s="2557" t="str">
        <f t="shared" ca="1" si="13"/>
        <v/>
      </c>
      <c r="W112" s="611" t="str">
        <f t="shared" ca="1" si="14"/>
        <v>Page2, Ligne 1 [Page2!J4]  -</v>
      </c>
    </row>
    <row r="113" spans="1:23">
      <c r="A113" s="611" t="str">
        <f>celladdr(Page2!J64)</f>
        <v>Page2!J64</v>
      </c>
      <c r="B113" s="1456" t="s">
        <v>1086</v>
      </c>
      <c r="D113" s="1450"/>
      <c r="E113" s="1450"/>
      <c r="F113" s="1450"/>
      <c r="G113" s="1444" t="str">
        <f t="shared" si="8"/>
        <v/>
      </c>
      <c r="H113" s="1446"/>
      <c r="I113" s="1446"/>
      <c r="J113" s="1452"/>
      <c r="K113" s="1452"/>
      <c r="N113" s="611" t="s">
        <v>1195</v>
      </c>
      <c r="O113" s="611" t="str">
        <f t="shared" si="15"/>
        <v/>
      </c>
      <c r="P113" s="611" t="str">
        <f t="shared" si="9"/>
        <v>Page2!J</v>
      </c>
      <c r="Q113" s="611">
        <f t="shared" si="10"/>
        <v>64</v>
      </c>
      <c r="R113" s="1447">
        <f t="shared" ca="1" si="11"/>
        <v>0</v>
      </c>
      <c r="S113" s="1447">
        <f t="shared" ca="1" si="12"/>
        <v>0</v>
      </c>
      <c r="V113" s="2557" t="str">
        <f t="shared" ca="1" si="13"/>
        <v/>
      </c>
      <c r="W113" s="611" t="str">
        <f t="shared" ca="1" si="14"/>
        <v>Page2, Ligne 61 [Page2!J64]  -</v>
      </c>
    </row>
    <row r="114" spans="1:23">
      <c r="A114" s="611" t="str">
        <f>celladdr(Page2!J65)</f>
        <v>Page2!J65</v>
      </c>
      <c r="B114" s="1456" t="s">
        <v>1086</v>
      </c>
      <c r="D114" s="1450"/>
      <c r="E114" s="1450"/>
      <c r="F114" s="1450"/>
      <c r="G114" s="1444" t="str">
        <f t="shared" si="8"/>
        <v/>
      </c>
      <c r="H114" s="1446"/>
      <c r="I114" s="1446"/>
      <c r="J114" s="1452"/>
      <c r="K114" s="1452"/>
      <c r="N114" s="611" t="s">
        <v>1196</v>
      </c>
      <c r="O114" s="611" t="str">
        <f t="shared" si="15"/>
        <v/>
      </c>
      <c r="P114" s="611" t="str">
        <f t="shared" si="9"/>
        <v>Page2!J</v>
      </c>
      <c r="Q114" s="611">
        <f t="shared" si="10"/>
        <v>65</v>
      </c>
      <c r="R114" s="1447">
        <f t="shared" ca="1" si="11"/>
        <v>0</v>
      </c>
      <c r="S114" s="1447">
        <f t="shared" ca="1" si="12"/>
        <v>0</v>
      </c>
      <c r="V114" s="2557" t="str">
        <f t="shared" ca="1" si="13"/>
        <v/>
      </c>
      <c r="W114" s="611" t="str">
        <f t="shared" ca="1" si="14"/>
        <v>Page2, Ligne 62 [Page2!J65]  -</v>
      </c>
    </row>
    <row r="115" spans="1:23">
      <c r="A115" s="611" t="str">
        <f>celladdr(Page2!J67)</f>
        <v>Page2!J67</v>
      </c>
      <c r="B115" s="1456" t="s">
        <v>1086</v>
      </c>
      <c r="D115" s="1450"/>
      <c r="E115" s="1450"/>
      <c r="F115" s="1450"/>
      <c r="G115" s="1444" t="str">
        <f t="shared" si="8"/>
        <v/>
      </c>
      <c r="H115" s="1446"/>
      <c r="I115" s="1446"/>
      <c r="J115" s="1452"/>
      <c r="K115" s="1452"/>
      <c r="N115" s="611" t="s">
        <v>1197</v>
      </c>
      <c r="O115" s="611" t="str">
        <f t="shared" si="15"/>
        <v/>
      </c>
      <c r="P115" s="611" t="str">
        <f t="shared" si="9"/>
        <v>Page2!J</v>
      </c>
      <c r="Q115" s="611">
        <f t="shared" si="10"/>
        <v>67</v>
      </c>
      <c r="R115" s="1447">
        <f t="shared" ca="1" si="11"/>
        <v>0</v>
      </c>
      <c r="S115" s="1447">
        <f t="shared" ca="1" si="12"/>
        <v>0</v>
      </c>
      <c r="V115" s="2557" t="str">
        <f t="shared" ca="1" si="13"/>
        <v/>
      </c>
      <c r="W115" s="611" t="str">
        <f t="shared" ca="1" si="14"/>
        <v>Page2, Ligne 64 [Page2!J67]  -</v>
      </c>
    </row>
    <row r="116" spans="1:23">
      <c r="A116" s="1117" t="str">
        <f>celladdr(Page3!D7)</f>
        <v>Page3!D7</v>
      </c>
      <c r="B116" s="1449" t="s">
        <v>1086</v>
      </c>
      <c r="C116" s="1445" t="b">
        <f>OR(AND(Page3!$D$7=0,Page7!$E$49&gt;0),AND(Page3!$D$7&gt;0,Page7!$E$49=0))</f>
        <v>0</v>
      </c>
      <c r="D116" s="1450"/>
      <c r="E116" s="1450"/>
      <c r="F116" s="1450"/>
      <c r="G116" s="1444" t="str">
        <f t="shared" si="8"/>
        <v/>
      </c>
      <c r="H116" s="1446" t="str">
        <f>IF(C116=TRUE,Comments!$B$13,"")</f>
        <v/>
      </c>
      <c r="I116" s="1446"/>
      <c r="J116" s="1452"/>
      <c r="K116" s="1452"/>
      <c r="N116" s="611" t="s">
        <v>1198</v>
      </c>
      <c r="O116" s="611" t="str">
        <f t="shared" si="15"/>
        <v/>
      </c>
      <c r="P116" s="611" t="str">
        <f t="shared" si="9"/>
        <v>Page3!D</v>
      </c>
      <c r="Q116" s="611">
        <f t="shared" si="10"/>
        <v>7</v>
      </c>
      <c r="R116" s="1447">
        <f t="shared" ca="1" si="11"/>
        <v>0</v>
      </c>
      <c r="S116" s="1447">
        <f t="shared" ca="1" si="12"/>
        <v>0</v>
      </c>
      <c r="V116" s="2557" t="str">
        <f t="shared" ca="1" si="13"/>
        <v/>
      </c>
      <c r="W116" s="611" t="str">
        <f t="shared" ca="1" si="14"/>
        <v>Page3, Ligne 4 [Page3!D7]  -</v>
      </c>
    </row>
    <row r="117" spans="1:23">
      <c r="A117" s="1117" t="str">
        <f>celladdr(Page3!D8)</f>
        <v>Page3!D8</v>
      </c>
      <c r="B117" s="1449" t="s">
        <v>1086</v>
      </c>
      <c r="D117" s="1450"/>
      <c r="E117" s="1450"/>
      <c r="F117" s="1450"/>
      <c r="G117" s="1444" t="str">
        <f t="shared" si="8"/>
        <v/>
      </c>
      <c r="H117" s="1446"/>
      <c r="I117" s="1446"/>
      <c r="J117" s="1452"/>
      <c r="K117" s="1452"/>
      <c r="N117" s="611" t="s">
        <v>1199</v>
      </c>
      <c r="O117" s="611" t="str">
        <f t="shared" si="15"/>
        <v/>
      </c>
      <c r="P117" s="611" t="str">
        <f t="shared" si="9"/>
        <v>Page3!D</v>
      </c>
      <c r="Q117" s="611">
        <f t="shared" si="10"/>
        <v>8</v>
      </c>
      <c r="R117" s="1447">
        <f t="shared" ca="1" si="11"/>
        <v>0</v>
      </c>
      <c r="S117" s="1447">
        <f t="shared" ca="1" si="12"/>
        <v>0</v>
      </c>
      <c r="V117" s="2557" t="str">
        <f t="shared" ca="1" si="13"/>
        <v/>
      </c>
      <c r="W117" s="611" t="str">
        <f t="shared" ca="1" si="14"/>
        <v>Page3, Ligne 5 [Page3!D8]  -</v>
      </c>
    </row>
    <row r="118" spans="1:23">
      <c r="A118" s="1117" t="str">
        <f>celladdr(Page3!D9)</f>
        <v>Page3!D9</v>
      </c>
      <c r="B118" s="1449" t="s">
        <v>1086</v>
      </c>
      <c r="D118" s="1450"/>
      <c r="E118" s="1450"/>
      <c r="F118" s="1450"/>
      <c r="G118" s="1444" t="str">
        <f t="shared" si="8"/>
        <v/>
      </c>
      <c r="H118" s="1446"/>
      <c r="I118" s="1446"/>
      <c r="J118" s="1452"/>
      <c r="K118" s="1452"/>
      <c r="N118" s="611" t="s">
        <v>1200</v>
      </c>
      <c r="O118" s="611" t="str">
        <f t="shared" si="15"/>
        <v/>
      </c>
      <c r="P118" s="611" t="str">
        <f t="shared" si="9"/>
        <v>Page3!D</v>
      </c>
      <c r="Q118" s="611">
        <f t="shared" si="10"/>
        <v>9</v>
      </c>
      <c r="R118" s="1447">
        <f t="shared" ca="1" si="11"/>
        <v>0</v>
      </c>
      <c r="S118" s="1447">
        <f t="shared" ca="1" si="12"/>
        <v>0</v>
      </c>
      <c r="V118" s="2557" t="str">
        <f t="shared" ca="1" si="13"/>
        <v/>
      </c>
      <c r="W118" s="611" t="str">
        <f t="shared" ca="1" si="14"/>
        <v>Page3, Ligne 6 [Page3!D9]  -</v>
      </c>
    </row>
    <row r="119" spans="1:23">
      <c r="A119" s="1117" t="str">
        <f>celladdr(Page3!D11)</f>
        <v>Page3!D11</v>
      </c>
      <c r="B119" s="1449" t="s">
        <v>1086</v>
      </c>
      <c r="C119" s="1445" t="b">
        <f>OR(AND(Page3!$D$11=0,Page7!$E$47&gt;0),AND(Page3!$D$11&gt;0,Page7!$E$47=0))</f>
        <v>0</v>
      </c>
      <c r="D119" s="1450"/>
      <c r="E119" s="1450"/>
      <c r="F119" s="1450"/>
      <c r="G119" s="1444" t="str">
        <f t="shared" si="8"/>
        <v/>
      </c>
      <c r="H119" s="1446" t="str">
        <f>IF(C119=TRUE,Comments!$B$13,"")</f>
        <v/>
      </c>
      <c r="I119" s="1446"/>
      <c r="J119" s="1452"/>
      <c r="K119" s="1452"/>
      <c r="N119" s="611" t="s">
        <v>1201</v>
      </c>
      <c r="O119" s="611" t="str">
        <f t="shared" si="15"/>
        <v/>
      </c>
      <c r="P119" s="611" t="str">
        <f t="shared" si="9"/>
        <v>Page3!D</v>
      </c>
      <c r="Q119" s="611">
        <f t="shared" si="10"/>
        <v>11</v>
      </c>
      <c r="R119" s="1447">
        <f t="shared" ca="1" si="11"/>
        <v>0</v>
      </c>
      <c r="S119" s="1447">
        <f t="shared" ca="1" si="12"/>
        <v>0</v>
      </c>
      <c r="V119" s="2557" t="str">
        <f t="shared" ca="1" si="13"/>
        <v/>
      </c>
      <c r="W119" s="611" t="str">
        <f t="shared" ca="1" si="14"/>
        <v>Page3, Ligne 8 [Page3!D11]  -</v>
      </c>
    </row>
    <row r="120" spans="1:23">
      <c r="A120" s="1117" t="str">
        <f>celladdr(Page3!D12)</f>
        <v>Page3!D12</v>
      </c>
      <c r="B120" s="1449" t="s">
        <v>1086</v>
      </c>
      <c r="C120" s="1445" t="b">
        <f>OR(AND(Page3!$D$12=0,Page7!$E$48&gt;0),AND(Page3!$D$12&gt;0,Page7!$E$48=0))</f>
        <v>0</v>
      </c>
      <c r="D120" s="1450"/>
      <c r="E120" s="1450"/>
      <c r="F120" s="1450"/>
      <c r="G120" s="1444" t="str">
        <f t="shared" si="8"/>
        <v/>
      </c>
      <c r="H120" s="1446" t="str">
        <f>IF(C120=TRUE,Comments!$B$13,"")</f>
        <v/>
      </c>
      <c r="I120" s="1446"/>
      <c r="J120" s="1452"/>
      <c r="K120" s="1452"/>
      <c r="N120" s="611" t="s">
        <v>1202</v>
      </c>
      <c r="O120" s="611" t="str">
        <f t="shared" si="15"/>
        <v/>
      </c>
      <c r="P120" s="611" t="str">
        <f t="shared" si="9"/>
        <v>Page3!D</v>
      </c>
      <c r="Q120" s="611">
        <f t="shared" si="10"/>
        <v>12</v>
      </c>
      <c r="R120" s="1447">
        <f t="shared" ca="1" si="11"/>
        <v>0</v>
      </c>
      <c r="S120" s="1447">
        <f t="shared" ca="1" si="12"/>
        <v>0</v>
      </c>
      <c r="V120" s="2557" t="str">
        <f t="shared" ca="1" si="13"/>
        <v/>
      </c>
      <c r="W120" s="611" t="str">
        <f t="shared" ca="1" si="14"/>
        <v>Page3, Ligne 9 [Page3!D12]  -</v>
      </c>
    </row>
    <row r="121" spans="1:23">
      <c r="A121" s="1117" t="str">
        <f>celladdr(Page3!D13)</f>
        <v>Page3!D13</v>
      </c>
      <c r="B121" s="1449" t="s">
        <v>1086</v>
      </c>
      <c r="C121" s="1445" t="b">
        <f>OR(AND(Page3!$D$13=0,Page7!$E$52&gt;0),AND(Page3!$D$13&gt;0,Page7!$E$52=0))</f>
        <v>0</v>
      </c>
      <c r="D121" s="1450"/>
      <c r="E121" s="1450"/>
      <c r="F121" s="1450"/>
      <c r="G121" s="1444" t="str">
        <f t="shared" si="8"/>
        <v/>
      </c>
      <c r="H121" s="1446" t="str">
        <f>IF(C121=TRUE,Comments!$B$13,"")</f>
        <v/>
      </c>
      <c r="I121" s="1446"/>
      <c r="J121" s="1452"/>
      <c r="K121" s="1452"/>
      <c r="N121" s="611" t="s">
        <v>1203</v>
      </c>
      <c r="O121" s="611" t="str">
        <f t="shared" si="15"/>
        <v/>
      </c>
      <c r="P121" s="611" t="str">
        <f t="shared" si="9"/>
        <v>Page3!D</v>
      </c>
      <c r="Q121" s="611">
        <f t="shared" si="10"/>
        <v>13</v>
      </c>
      <c r="R121" s="1447">
        <f t="shared" ca="1" si="11"/>
        <v>0</v>
      </c>
      <c r="S121" s="1447">
        <f t="shared" ca="1" si="12"/>
        <v>0</v>
      </c>
      <c r="V121" s="2557" t="str">
        <f t="shared" ca="1" si="13"/>
        <v/>
      </c>
      <c r="W121" s="611" t="str">
        <f t="shared" ca="1" si="14"/>
        <v>Page3, Ligne 10 [Page3!D13]  -</v>
      </c>
    </row>
    <row r="122" spans="1:23">
      <c r="A122" s="1117" t="str">
        <f>celladdr(Page3!D14)</f>
        <v>Page3!D14</v>
      </c>
      <c r="B122" s="1449" t="s">
        <v>1086</v>
      </c>
      <c r="C122" s="1445" t="b">
        <f>OR(AND(Page3!$D$14=0,Page7!$E$53&gt;0),AND(Page3!$D$14&gt;0,Page7!$E$53=0))</f>
        <v>0</v>
      </c>
      <c r="D122" s="1450"/>
      <c r="E122" s="1450"/>
      <c r="F122" s="1450"/>
      <c r="G122" s="1444" t="str">
        <f t="shared" si="8"/>
        <v/>
      </c>
      <c r="H122" s="1446" t="str">
        <f>IF(C122=TRUE,Comments!$B$13,"")</f>
        <v/>
      </c>
      <c r="I122" s="1446"/>
      <c r="J122" s="1452"/>
      <c r="K122" s="1452"/>
      <c r="N122" s="611" t="s">
        <v>1204</v>
      </c>
      <c r="O122" s="611" t="str">
        <f t="shared" si="15"/>
        <v/>
      </c>
      <c r="P122" s="611" t="str">
        <f t="shared" si="9"/>
        <v>Page3!D</v>
      </c>
      <c r="Q122" s="611">
        <f t="shared" si="10"/>
        <v>14</v>
      </c>
      <c r="R122" s="1447">
        <f t="shared" ca="1" si="11"/>
        <v>0</v>
      </c>
      <c r="S122" s="1447">
        <f t="shared" ca="1" si="12"/>
        <v>0</v>
      </c>
      <c r="V122" s="2557" t="str">
        <f t="shared" ca="1" si="13"/>
        <v/>
      </c>
      <c r="W122" s="611" t="str">
        <f t="shared" ca="1" si="14"/>
        <v>Page3, Ligne 11 [Page3!D14]  -</v>
      </c>
    </row>
    <row r="123" spans="1:23">
      <c r="A123" s="1443" t="str">
        <f>celladdr(Page3!D63)</f>
        <v>Page3!D63</v>
      </c>
      <c r="B123" s="1460" t="s">
        <v>1086</v>
      </c>
      <c r="C123" s="1445" t="b">
        <f>OR(Page3!$D$63+Page3!$H$63+Page3!$L$63+Page4!$D$63+Page4!$H$63+Page4!$L$63+Page4!$P$63&gt;100,Page3!$D$63+Page3!$H$63+Page3!$L$63+Page4!$D$63+Page4!$H$63+Page4!$L$63+Page4!$P$63&lt;-100)</f>
        <v>0</v>
      </c>
      <c r="D123" s="1445" t="b">
        <f>ABS(Page3!D$63)&gt;ABS(Page4!$P$63)</f>
        <v>0</v>
      </c>
      <c r="G123" s="1444" t="str">
        <f t="shared" si="8"/>
        <v/>
      </c>
      <c r="H123" s="1446" t="str">
        <f>IF(C123=TRUE,Comments!$B$15&amp;DOLLAR(Page4!$P$60+Page4!$D$63+Page4!$H$63+Page4!$L$63+Page3!$D$63+Page3!$H$63+Page3!$L$63,0),"")</f>
        <v/>
      </c>
      <c r="I123" s="1447" t="str">
        <f>IF(D123=TRUE,Comments!$B$71,"")</f>
        <v/>
      </c>
      <c r="J123" s="1446"/>
      <c r="N123" s="611" t="s">
        <v>1205</v>
      </c>
      <c r="O123" s="611" t="str">
        <f t="shared" si="15"/>
        <v/>
      </c>
      <c r="P123" s="611" t="str">
        <f t="shared" si="9"/>
        <v>Page3!D</v>
      </c>
      <c r="Q123" s="611">
        <f t="shared" si="10"/>
        <v>63</v>
      </c>
      <c r="R123" s="1447">
        <f t="shared" ca="1" si="11"/>
        <v>0</v>
      </c>
      <c r="S123" s="1447">
        <f t="shared" ca="1" si="12"/>
        <v>0</v>
      </c>
      <c r="V123" s="2557" t="str">
        <f t="shared" ca="1" si="13"/>
        <v/>
      </c>
      <c r="W123" s="611" t="str">
        <f t="shared" ca="1" si="14"/>
        <v>Page3, Ligne 60 [Page3!D63]  -</v>
      </c>
    </row>
    <row r="124" spans="1:23">
      <c r="A124" s="1117" t="str">
        <f>celladdr(Page3!D64)</f>
        <v>Page3!D64</v>
      </c>
      <c r="B124" s="1444" t="s">
        <v>1086</v>
      </c>
      <c r="C124" s="1445" t="b">
        <f>Page3!$D$64&lt;&gt;Page3!$D$61+Page3!$D$62+Page3!$D$63</f>
        <v>0</v>
      </c>
      <c r="D124" s="1450"/>
      <c r="E124" s="1450"/>
      <c r="F124" s="1450"/>
      <c r="G124" s="1444" t="str">
        <f t="shared" si="8"/>
        <v/>
      </c>
      <c r="H124" s="1446" t="str">
        <f>IF(C124=TRUE,Comments!$B$14&amp;DOLLAR(Page3!$D$64-(Page3!$D$61+Page3!$D$62+Page3!$D$63),0),"")</f>
        <v/>
      </c>
      <c r="I124" s="1452"/>
      <c r="J124" s="1452"/>
      <c r="K124" s="1452"/>
      <c r="N124" s="611" t="s">
        <v>1206</v>
      </c>
      <c r="O124" s="611" t="str">
        <f t="shared" si="15"/>
        <v/>
      </c>
      <c r="P124" s="611" t="str">
        <f t="shared" si="9"/>
        <v>Page3!D</v>
      </c>
      <c r="Q124" s="611">
        <f t="shared" si="10"/>
        <v>64</v>
      </c>
      <c r="R124" s="1447">
        <f t="shared" ca="1" si="11"/>
        <v>0</v>
      </c>
      <c r="S124" s="1447">
        <f t="shared" ca="1" si="12"/>
        <v>0</v>
      </c>
      <c r="V124" s="2557" t="str">
        <f t="shared" ca="1" si="13"/>
        <v/>
      </c>
      <c r="W124" s="611" t="str">
        <f t="shared" ca="1" si="14"/>
        <v>Page3, Ligne 61 [Page3!D64]  -</v>
      </c>
    </row>
    <row r="125" spans="1:23">
      <c r="A125" s="1117" t="str">
        <f>celladdr(Page3!D70)</f>
        <v>Page3!D70</v>
      </c>
      <c r="B125" s="1449" t="s">
        <v>1086</v>
      </c>
      <c r="C125" s="1445" t="b">
        <f>OR(Page3!$D$70&gt;100,Page3!$D$70&lt;-100)</f>
        <v>0</v>
      </c>
      <c r="D125" s="1450"/>
      <c r="E125" s="1450"/>
      <c r="F125" s="1450"/>
      <c r="G125" s="1444" t="str">
        <f t="shared" si="8"/>
        <v/>
      </c>
      <c r="H125" s="1452" t="str">
        <f>IF(C125=TRUE,Comments!$B$77,"")</f>
        <v/>
      </c>
      <c r="I125" s="1452"/>
      <c r="J125" s="1452"/>
      <c r="K125" s="1452"/>
      <c r="N125" s="611" t="s">
        <v>1191</v>
      </c>
      <c r="O125" s="611" t="str">
        <f t="shared" si="15"/>
        <v/>
      </c>
      <c r="P125" s="611" t="str">
        <f t="shared" si="9"/>
        <v>Page3!D</v>
      </c>
      <c r="Q125" s="611">
        <f t="shared" si="10"/>
        <v>70</v>
      </c>
      <c r="R125" s="1447">
        <f t="shared" ca="1" si="11"/>
        <v>0</v>
      </c>
      <c r="S125" s="1447">
        <f t="shared" ca="1" si="12"/>
        <v>0</v>
      </c>
      <c r="V125" s="2557" t="str">
        <f t="shared" ca="1" si="13"/>
        <v/>
      </c>
      <c r="W125" s="611" t="str">
        <f t="shared" ca="1" si="14"/>
        <v>Page3, Ligne 67 [Page3!D70]  -</v>
      </c>
    </row>
    <row r="126" spans="1:23">
      <c r="A126" s="1117" t="str">
        <f>celladdr(Page3!F15)</f>
        <v>Page3!F15</v>
      </c>
      <c r="B126" s="1456" t="s">
        <v>1086</v>
      </c>
      <c r="D126" s="1450"/>
      <c r="E126" s="1450"/>
      <c r="F126" s="1454"/>
      <c r="G126" s="1444" t="str">
        <f t="shared" si="8"/>
        <v/>
      </c>
      <c r="I126" s="1452"/>
      <c r="J126" s="1452"/>
      <c r="K126" s="1446"/>
      <c r="N126" s="611" t="s">
        <v>1207</v>
      </c>
      <c r="O126" s="611" t="str">
        <f t="shared" si="15"/>
        <v/>
      </c>
      <c r="P126" s="611" t="str">
        <f t="shared" si="9"/>
        <v>Page3!F</v>
      </c>
      <c r="Q126" s="611">
        <f t="shared" si="10"/>
        <v>15</v>
      </c>
      <c r="R126" s="1447">
        <f t="shared" ca="1" si="11"/>
        <v>0</v>
      </c>
      <c r="S126" s="1447">
        <f t="shared" ca="1" si="12"/>
        <v>0</v>
      </c>
      <c r="V126" s="2557" t="str">
        <f t="shared" ca="1" si="13"/>
        <v/>
      </c>
      <c r="W126" s="611" t="str">
        <f t="shared" ca="1" si="14"/>
        <v>Page3, Ligne 12 [Page3!F15]  -</v>
      </c>
    </row>
    <row r="127" spans="1:23">
      <c r="A127" s="1117" t="str">
        <f>celladdr(Page3!F16)</f>
        <v>Page3!F16</v>
      </c>
      <c r="B127" s="1456" t="s">
        <v>1086</v>
      </c>
      <c r="D127" s="1450"/>
      <c r="E127" s="1450"/>
      <c r="F127" s="1454"/>
      <c r="G127" s="1444" t="str">
        <f t="shared" si="8"/>
        <v/>
      </c>
      <c r="I127" s="1452"/>
      <c r="J127" s="1452"/>
      <c r="K127" s="1446"/>
      <c r="N127" s="611" t="s">
        <v>1208</v>
      </c>
      <c r="O127" s="611" t="str">
        <f t="shared" si="15"/>
        <v/>
      </c>
      <c r="P127" s="611" t="str">
        <f t="shared" si="9"/>
        <v>Page3!F</v>
      </c>
      <c r="Q127" s="611">
        <f t="shared" si="10"/>
        <v>16</v>
      </c>
      <c r="R127" s="1447">
        <f t="shared" ca="1" si="11"/>
        <v>0</v>
      </c>
      <c r="S127" s="1447">
        <f t="shared" ca="1" si="12"/>
        <v>0</v>
      </c>
      <c r="V127" s="2557" t="str">
        <f t="shared" ca="1" si="13"/>
        <v/>
      </c>
      <c r="W127" s="611" t="str">
        <f t="shared" ca="1" si="14"/>
        <v>Page3, Ligne 13 [Page3!F16]  -</v>
      </c>
    </row>
    <row r="128" spans="1:23">
      <c r="A128" s="1117" t="str">
        <f>celladdr(Page3!F17)</f>
        <v>Page3!F17</v>
      </c>
      <c r="B128" s="1456" t="s">
        <v>1086</v>
      </c>
      <c r="D128" s="1450"/>
      <c r="E128" s="1450" t="b">
        <f>OR(AND(SUM(Page3!$F$11:$F$14)+Page3!$F$7&gt;0,Page3!$F$17=0),AND(SUM(Page3!$F$11:$F$14)+Page3!$F$7=0,Page3!$F$17&gt;0))</f>
        <v>0</v>
      </c>
      <c r="F128" s="1454"/>
      <c r="G128" s="1444" t="str">
        <f t="shared" si="8"/>
        <v/>
      </c>
      <c r="I128" s="1452"/>
      <c r="J128" s="1452" t="str">
        <f>IF(E128=TRUE,Comments!$B$12,"")</f>
        <v/>
      </c>
      <c r="K128" s="1446"/>
      <c r="N128" s="611" t="s">
        <v>1209</v>
      </c>
      <c r="O128" s="611" t="str">
        <f t="shared" si="15"/>
        <v/>
      </c>
      <c r="P128" s="611" t="str">
        <f t="shared" si="9"/>
        <v>Page3!F</v>
      </c>
      <c r="Q128" s="611">
        <f t="shared" si="10"/>
        <v>17</v>
      </c>
      <c r="R128" s="1447">
        <f t="shared" ca="1" si="11"/>
        <v>0</v>
      </c>
      <c r="S128" s="1447">
        <f t="shared" ca="1" si="12"/>
        <v>0</v>
      </c>
      <c r="T128" s="611">
        <v>12</v>
      </c>
      <c r="V128" s="2557" t="str">
        <f t="shared" ca="1" si="13"/>
        <v/>
      </c>
      <c r="W128" s="611" t="str">
        <f t="shared" ca="1" si="14"/>
        <v>Page3, Ligne 14 [Page3!F17]  -</v>
      </c>
    </row>
    <row r="129" spans="1:23">
      <c r="A129" s="1117" t="str">
        <f>celladdr(Page3!F18)</f>
        <v>Page3!F18</v>
      </c>
      <c r="B129" s="1456" t="s">
        <v>1086</v>
      </c>
      <c r="D129" s="1450"/>
      <c r="E129" s="1450" t="b">
        <f>OR(AND(SUM(Page3!$F$11:$F$14)+Page3!$F$7&gt;0,Page3!$F$18=0),AND(SUM(Page3!$F$11:$F$14)+Page3!$F$7=0,Page3!$F$18&gt;0))</f>
        <v>0</v>
      </c>
      <c r="F129" s="1450"/>
      <c r="G129" s="1444" t="str">
        <f t="shared" si="8"/>
        <v/>
      </c>
      <c r="I129" s="1452"/>
      <c r="J129" s="1452" t="str">
        <f>IF(E129=TRUE,Comments!$B$12,"")</f>
        <v/>
      </c>
      <c r="K129" s="1452"/>
      <c r="N129" s="611" t="s">
        <v>1210</v>
      </c>
      <c r="O129" s="611" t="str">
        <f t="shared" si="15"/>
        <v/>
      </c>
      <c r="P129" s="611" t="str">
        <f t="shared" si="9"/>
        <v>Page3!F</v>
      </c>
      <c r="Q129" s="611">
        <f t="shared" si="10"/>
        <v>18</v>
      </c>
      <c r="R129" s="1447">
        <f t="shared" ca="1" si="11"/>
        <v>0</v>
      </c>
      <c r="S129" s="1447">
        <f t="shared" ca="1" si="12"/>
        <v>0</v>
      </c>
      <c r="T129" s="611">
        <v>12</v>
      </c>
      <c r="V129" s="2557" t="str">
        <f t="shared" ca="1" si="13"/>
        <v/>
      </c>
      <c r="W129" s="611" t="str">
        <f t="shared" ca="1" si="14"/>
        <v>Page3, Ligne 15 [Page3!F18]  -</v>
      </c>
    </row>
    <row r="130" spans="1:23">
      <c r="A130" s="1117" t="str">
        <f>celladdr(Page3!F19)</f>
        <v>Page3!F19</v>
      </c>
      <c r="B130" s="1456" t="s">
        <v>1086</v>
      </c>
      <c r="D130" s="1450"/>
      <c r="E130" s="1450"/>
      <c r="F130" s="1450"/>
      <c r="G130" s="1444" t="str">
        <f t="shared" ref="G130:G193" si="16">IF(H130&amp;I130&amp;J130&amp;K130&lt;&gt;"","No.de ref. du commentaire.: "&amp;W130&amp;" "&amp;N130&amp;" "&amp;H130&amp;I130&amp;IF(OR(C130=TRUE,D130=TRUE),"",J130&amp;K130&amp;V130),"")</f>
        <v/>
      </c>
      <c r="I130" s="1452"/>
      <c r="J130" s="1452"/>
      <c r="K130" s="1452"/>
      <c r="N130" s="611" t="s">
        <v>1211</v>
      </c>
      <c r="O130" s="611" t="str">
        <f t="shared" si="15"/>
        <v/>
      </c>
      <c r="P130" s="611" t="str">
        <f t="shared" ref="P130:P193" si="17">LEFT(A130,FIND("!",A130)+1)</f>
        <v>Page3!F</v>
      </c>
      <c r="Q130" s="611">
        <f t="shared" ref="Q130:Q193" si="18">VALUE(RIGHT(A130,LEN(A130)-FIND("!",A130)-1))</f>
        <v>19</v>
      </c>
      <c r="R130" s="1447">
        <f t="shared" ref="R130:R193" ca="1" si="19">IF(E130=TRUE,INDIRECT("Comments!$D$"&amp;T130),0)</f>
        <v>0</v>
      </c>
      <c r="S130" s="1447">
        <f t="shared" ref="S130:S193" ca="1" si="20">IF(F130=TRUE,INDIRECT("Comments!$D$"&amp;U130),0)</f>
        <v>0</v>
      </c>
      <c r="V130" s="2557" t="str">
        <f t="shared" ref="V130:V193" ca="1" si="21">IF(SUM(R130+S130)=0,"","
*** "&amp;TEXT(SUM(R130+S130),"0,0")&amp;" Points de précision seront déduits suite à cette(ces) erreur(s) !")</f>
        <v/>
      </c>
      <c r="W130" s="611" t="str">
        <f t="shared" ref="W130:W193" ca="1" si="22">LEFT(A130,FIND("!",A130,1)-1)&amp;", Ligne "&amp;INDIRECT(ADDRESS(ROW(INDIRECT(A130)),IF(INDIRECT(ADDRESS(ROW(INDIRECT(A130)),1,,,LEFT(A130,FIND("!",A130,1)-1)))="",2,1),,,LEFT(A130,FIND("!",A130,1)-1)))&amp;" ["&amp;A130&amp;"] "&amp;" -"</f>
        <v>Page3, Ligne 16 [Page3!F19]  -</v>
      </c>
    </row>
    <row r="131" spans="1:23">
      <c r="A131" s="1117" t="str">
        <f>celladdr(Page3!F21)</f>
        <v>Page3!F21</v>
      </c>
      <c r="B131" s="1456" t="s">
        <v>1086</v>
      </c>
      <c r="D131" s="1450"/>
      <c r="E131" s="1450"/>
      <c r="F131" s="1450"/>
      <c r="G131" s="1444" t="str">
        <f t="shared" si="16"/>
        <v/>
      </c>
      <c r="I131" s="1452"/>
      <c r="J131" s="1452"/>
      <c r="K131" s="1452"/>
      <c r="N131" s="611" t="s">
        <v>1212</v>
      </c>
      <c r="O131" s="611" t="str">
        <f t="shared" ref="O131:O194" si="23">IF(A131=A130,"TRUE","")</f>
        <v/>
      </c>
      <c r="P131" s="611" t="str">
        <f t="shared" si="17"/>
        <v>Page3!F</v>
      </c>
      <c r="Q131" s="611">
        <f t="shared" si="18"/>
        <v>21</v>
      </c>
      <c r="R131" s="1447">
        <f t="shared" ca="1" si="19"/>
        <v>0</v>
      </c>
      <c r="S131" s="1447">
        <f t="shared" ca="1" si="20"/>
        <v>0</v>
      </c>
      <c r="V131" s="2557" t="str">
        <f t="shared" ca="1" si="21"/>
        <v/>
      </c>
      <c r="W131" s="611" t="str">
        <f t="shared" ca="1" si="22"/>
        <v>Page3, Ligne 18 [Page3!F21]  -</v>
      </c>
    </row>
    <row r="132" spans="1:23">
      <c r="A132" s="1117" t="str">
        <f>celladdr(Page3!F22)</f>
        <v>Page3!F22</v>
      </c>
      <c r="B132" s="1456" t="s">
        <v>1086</v>
      </c>
      <c r="D132" s="1450"/>
      <c r="E132" s="1450"/>
      <c r="F132" s="1450"/>
      <c r="G132" s="1444" t="str">
        <f t="shared" si="16"/>
        <v/>
      </c>
      <c r="I132" s="1452"/>
      <c r="J132" s="1452"/>
      <c r="K132" s="1452"/>
      <c r="N132" s="611" t="s">
        <v>1213</v>
      </c>
      <c r="O132" s="611" t="str">
        <f t="shared" si="23"/>
        <v/>
      </c>
      <c r="P132" s="611" t="str">
        <f t="shared" si="17"/>
        <v>Page3!F</v>
      </c>
      <c r="Q132" s="611">
        <f t="shared" si="18"/>
        <v>22</v>
      </c>
      <c r="R132" s="1447">
        <f t="shared" ca="1" si="19"/>
        <v>0</v>
      </c>
      <c r="S132" s="1447">
        <f t="shared" ca="1" si="20"/>
        <v>0</v>
      </c>
      <c r="V132" s="2557" t="str">
        <f t="shared" ca="1" si="21"/>
        <v/>
      </c>
      <c r="W132" s="611" t="str">
        <f t="shared" ca="1" si="22"/>
        <v>Page3, Ligne 19 [Page3!F22]  -</v>
      </c>
    </row>
    <row r="133" spans="1:23">
      <c r="A133" s="1117" t="str">
        <f>celladdr(Page3!F23)</f>
        <v>Page3!F23</v>
      </c>
      <c r="B133" s="1456" t="s">
        <v>1086</v>
      </c>
      <c r="D133" s="1450"/>
      <c r="E133" s="1450"/>
      <c r="F133" s="1450"/>
      <c r="G133" s="1444" t="str">
        <f t="shared" si="16"/>
        <v/>
      </c>
      <c r="I133" s="1452"/>
      <c r="J133" s="1452"/>
      <c r="K133" s="1452"/>
      <c r="N133" s="611" t="s">
        <v>1214</v>
      </c>
      <c r="O133" s="611" t="str">
        <f t="shared" si="23"/>
        <v/>
      </c>
      <c r="P133" s="611" t="str">
        <f t="shared" si="17"/>
        <v>Page3!F</v>
      </c>
      <c r="Q133" s="611">
        <f t="shared" si="18"/>
        <v>23</v>
      </c>
      <c r="R133" s="1447">
        <f t="shared" ca="1" si="19"/>
        <v>0</v>
      </c>
      <c r="S133" s="1447">
        <f t="shared" ca="1" si="20"/>
        <v>0</v>
      </c>
      <c r="V133" s="2557" t="str">
        <f t="shared" ca="1" si="21"/>
        <v/>
      </c>
      <c r="W133" s="611" t="str">
        <f t="shared" ca="1" si="22"/>
        <v>Page3, Ligne 20 [Page3!F23]  -</v>
      </c>
    </row>
    <row r="134" spans="1:23">
      <c r="A134" s="1117" t="str">
        <f>celladdr(Page3!F24)</f>
        <v>Page3!F24</v>
      </c>
      <c r="B134" s="1456" t="s">
        <v>1086</v>
      </c>
      <c r="D134" s="1450"/>
      <c r="E134" s="1450"/>
      <c r="F134" s="1450"/>
      <c r="G134" s="1444" t="str">
        <f t="shared" si="16"/>
        <v/>
      </c>
      <c r="I134" s="1452"/>
      <c r="J134" s="1452"/>
      <c r="K134" s="1452"/>
      <c r="N134" s="611" t="s">
        <v>1215</v>
      </c>
      <c r="O134" s="611" t="str">
        <f t="shared" si="23"/>
        <v/>
      </c>
      <c r="P134" s="611" t="str">
        <f t="shared" si="17"/>
        <v>Page3!F</v>
      </c>
      <c r="Q134" s="611">
        <f t="shared" si="18"/>
        <v>24</v>
      </c>
      <c r="R134" s="1447">
        <f t="shared" ca="1" si="19"/>
        <v>0</v>
      </c>
      <c r="S134" s="1447">
        <f t="shared" ca="1" si="20"/>
        <v>0</v>
      </c>
      <c r="V134" s="2557" t="str">
        <f t="shared" ca="1" si="21"/>
        <v/>
      </c>
      <c r="W134" s="611" t="str">
        <f t="shared" ca="1" si="22"/>
        <v>Page3, Ligne 21 [Page3!F24]  -</v>
      </c>
    </row>
    <row r="135" spans="1:23">
      <c r="A135" s="1117" t="str">
        <f>celladdr(Page3!F25)</f>
        <v>Page3!F25</v>
      </c>
      <c r="B135" s="1456" t="s">
        <v>1086</v>
      </c>
      <c r="D135" s="1450"/>
      <c r="E135" s="1450"/>
      <c r="F135" s="1450"/>
      <c r="G135" s="1444" t="str">
        <f t="shared" si="16"/>
        <v/>
      </c>
      <c r="I135" s="1452"/>
      <c r="J135" s="1452"/>
      <c r="K135" s="1452"/>
      <c r="N135" s="611" t="s">
        <v>1216</v>
      </c>
      <c r="O135" s="611" t="str">
        <f t="shared" si="23"/>
        <v/>
      </c>
      <c r="P135" s="611" t="str">
        <f t="shared" si="17"/>
        <v>Page3!F</v>
      </c>
      <c r="Q135" s="611">
        <f t="shared" si="18"/>
        <v>25</v>
      </c>
      <c r="R135" s="1447">
        <f t="shared" ca="1" si="19"/>
        <v>0</v>
      </c>
      <c r="S135" s="1447">
        <f t="shared" ca="1" si="20"/>
        <v>0</v>
      </c>
      <c r="V135" s="2557" t="str">
        <f t="shared" ca="1" si="21"/>
        <v/>
      </c>
      <c r="W135" s="611" t="str">
        <f t="shared" ca="1" si="22"/>
        <v>Page3, Ligne 22 [Page3!F25]  -</v>
      </c>
    </row>
    <row r="136" spans="1:23">
      <c r="A136" s="1117" t="str">
        <f>celladdr(Page3!F26)</f>
        <v>Page3!F26</v>
      </c>
      <c r="B136" s="1456" t="s">
        <v>1086</v>
      </c>
      <c r="D136" s="1450"/>
      <c r="E136" s="1450"/>
      <c r="F136" s="1450"/>
      <c r="G136" s="1444" t="str">
        <f t="shared" si="16"/>
        <v/>
      </c>
      <c r="I136" s="1452"/>
      <c r="J136" s="1452"/>
      <c r="K136" s="1452"/>
      <c r="N136" s="611" t="s">
        <v>1217</v>
      </c>
      <c r="O136" s="611" t="str">
        <f t="shared" si="23"/>
        <v/>
      </c>
      <c r="P136" s="611" t="str">
        <f t="shared" si="17"/>
        <v>Page3!F</v>
      </c>
      <c r="Q136" s="611">
        <f t="shared" si="18"/>
        <v>26</v>
      </c>
      <c r="R136" s="1447">
        <f t="shared" ca="1" si="19"/>
        <v>0</v>
      </c>
      <c r="S136" s="1447">
        <f t="shared" ca="1" si="20"/>
        <v>0</v>
      </c>
      <c r="V136" s="2557" t="str">
        <f t="shared" ca="1" si="21"/>
        <v/>
      </c>
      <c r="W136" s="611" t="str">
        <f t="shared" ca="1" si="22"/>
        <v>Page3, Ligne 23 [Page3!F26]  -</v>
      </c>
    </row>
    <row r="137" spans="1:23">
      <c r="A137" s="1117" t="str">
        <f>celladdr(Page3!F27)</f>
        <v>Page3!F27</v>
      </c>
      <c r="B137" s="1456" t="s">
        <v>1086</v>
      </c>
      <c r="D137" s="1450"/>
      <c r="E137" s="1450"/>
      <c r="F137" s="1450"/>
      <c r="G137" s="1444" t="str">
        <f t="shared" si="16"/>
        <v/>
      </c>
      <c r="I137" s="1452"/>
      <c r="J137" s="1452"/>
      <c r="K137" s="1452"/>
      <c r="N137" s="611" t="s">
        <v>1218</v>
      </c>
      <c r="O137" s="611" t="str">
        <f t="shared" si="23"/>
        <v/>
      </c>
      <c r="P137" s="611" t="str">
        <f t="shared" si="17"/>
        <v>Page3!F</v>
      </c>
      <c r="Q137" s="611">
        <f t="shared" si="18"/>
        <v>27</v>
      </c>
      <c r="R137" s="1447">
        <f t="shared" ca="1" si="19"/>
        <v>0</v>
      </c>
      <c r="S137" s="1447">
        <f t="shared" ca="1" si="20"/>
        <v>0</v>
      </c>
      <c r="V137" s="2557" t="str">
        <f t="shared" ca="1" si="21"/>
        <v/>
      </c>
      <c r="W137" s="611" t="str">
        <f t="shared" ca="1" si="22"/>
        <v>Page3, Ligne 24 [Page3!F27]  -</v>
      </c>
    </row>
    <row r="138" spans="1:23">
      <c r="A138" s="1117" t="str">
        <f>celladdr(Page3!F29)</f>
        <v>Page3!F29</v>
      </c>
      <c r="B138" s="1456" t="s">
        <v>1086</v>
      </c>
      <c r="D138" s="1450"/>
      <c r="E138" s="1450"/>
      <c r="F138" s="1450"/>
      <c r="G138" s="1444" t="str">
        <f t="shared" si="16"/>
        <v/>
      </c>
      <c r="I138" s="1452"/>
      <c r="J138" s="1452"/>
      <c r="K138" s="1452"/>
      <c r="N138" s="611" t="s">
        <v>1219</v>
      </c>
      <c r="O138" s="611" t="str">
        <f t="shared" si="23"/>
        <v/>
      </c>
      <c r="P138" s="611" t="str">
        <f t="shared" si="17"/>
        <v>Page3!F</v>
      </c>
      <c r="Q138" s="611">
        <f t="shared" si="18"/>
        <v>29</v>
      </c>
      <c r="R138" s="1447">
        <f t="shared" ca="1" si="19"/>
        <v>0</v>
      </c>
      <c r="S138" s="1447">
        <f t="shared" ca="1" si="20"/>
        <v>0</v>
      </c>
      <c r="V138" s="2557" t="str">
        <f t="shared" ca="1" si="21"/>
        <v/>
      </c>
      <c r="W138" s="611" t="str">
        <f t="shared" ca="1" si="22"/>
        <v>Page3, Ligne 26 [Page3!F29]  -</v>
      </c>
    </row>
    <row r="139" spans="1:23">
      <c r="A139" s="1117" t="str">
        <f>celladdr(Page3!F30)</f>
        <v>Page3!F30</v>
      </c>
      <c r="B139" s="1456" t="s">
        <v>1086</v>
      </c>
      <c r="D139" s="1450"/>
      <c r="E139" s="1450"/>
      <c r="F139" s="1450"/>
      <c r="G139" s="1444" t="str">
        <f t="shared" si="16"/>
        <v/>
      </c>
      <c r="I139" s="1452"/>
      <c r="J139" s="1452"/>
      <c r="K139" s="1452"/>
      <c r="N139" s="611" t="s">
        <v>1220</v>
      </c>
      <c r="O139" s="611" t="str">
        <f t="shared" si="23"/>
        <v/>
      </c>
      <c r="P139" s="611" t="str">
        <f t="shared" si="17"/>
        <v>Page3!F</v>
      </c>
      <c r="Q139" s="611">
        <f t="shared" si="18"/>
        <v>30</v>
      </c>
      <c r="R139" s="1447">
        <f t="shared" ca="1" si="19"/>
        <v>0</v>
      </c>
      <c r="S139" s="1447">
        <f t="shared" ca="1" si="20"/>
        <v>0</v>
      </c>
      <c r="V139" s="2557" t="str">
        <f t="shared" ca="1" si="21"/>
        <v/>
      </c>
      <c r="W139" s="611" t="str">
        <f t="shared" ca="1" si="22"/>
        <v>Page3, Ligne 27 [Page3!F30]  -</v>
      </c>
    </row>
    <row r="140" spans="1:23">
      <c r="A140" s="1117" t="str">
        <f>celladdr(Page3!F31)</f>
        <v>Page3!F31</v>
      </c>
      <c r="B140" s="1456" t="s">
        <v>1086</v>
      </c>
      <c r="D140" s="1450"/>
      <c r="E140" s="1450"/>
      <c r="F140" s="1450"/>
      <c r="G140" s="1444" t="str">
        <f t="shared" si="16"/>
        <v/>
      </c>
      <c r="I140" s="1452"/>
      <c r="J140" s="1452"/>
      <c r="K140" s="1452"/>
      <c r="N140" s="611" t="s">
        <v>1221</v>
      </c>
      <c r="O140" s="611" t="str">
        <f t="shared" si="23"/>
        <v/>
      </c>
      <c r="P140" s="611" t="str">
        <f t="shared" si="17"/>
        <v>Page3!F</v>
      </c>
      <c r="Q140" s="611">
        <f t="shared" si="18"/>
        <v>31</v>
      </c>
      <c r="R140" s="1447">
        <f t="shared" ca="1" si="19"/>
        <v>0</v>
      </c>
      <c r="S140" s="1447">
        <f t="shared" ca="1" si="20"/>
        <v>0</v>
      </c>
      <c r="V140" s="2557" t="str">
        <f t="shared" ca="1" si="21"/>
        <v/>
      </c>
      <c r="W140" s="611" t="str">
        <f t="shared" ca="1" si="22"/>
        <v>Page3, Ligne 28 [Page3!F31]  -</v>
      </c>
    </row>
    <row r="141" spans="1:23">
      <c r="A141" s="1117" t="str">
        <f>celladdr(Page3!F32)</f>
        <v>Page3!F32</v>
      </c>
      <c r="B141" s="1456" t="s">
        <v>1086</v>
      </c>
      <c r="D141" s="1450"/>
      <c r="E141" s="1450"/>
      <c r="F141" s="1450"/>
      <c r="G141" s="1444" t="str">
        <f t="shared" si="16"/>
        <v/>
      </c>
      <c r="I141" s="1452"/>
      <c r="J141" s="1452"/>
      <c r="K141" s="1452"/>
      <c r="N141" s="611" t="s">
        <v>1222</v>
      </c>
      <c r="O141" s="611" t="str">
        <f t="shared" si="23"/>
        <v/>
      </c>
      <c r="P141" s="611" t="str">
        <f t="shared" si="17"/>
        <v>Page3!F</v>
      </c>
      <c r="Q141" s="611">
        <f t="shared" si="18"/>
        <v>32</v>
      </c>
      <c r="R141" s="1447">
        <f t="shared" ca="1" si="19"/>
        <v>0</v>
      </c>
      <c r="S141" s="1447">
        <f t="shared" ca="1" si="20"/>
        <v>0</v>
      </c>
      <c r="V141" s="2557" t="str">
        <f t="shared" ca="1" si="21"/>
        <v/>
      </c>
      <c r="W141" s="611" t="str">
        <f t="shared" ca="1" si="22"/>
        <v>Page3, Ligne 29 [Page3!F32]  -</v>
      </c>
    </row>
    <row r="142" spans="1:23">
      <c r="A142" s="1117" t="str">
        <f>celladdr(Page3!F33)</f>
        <v>Page3!F33</v>
      </c>
      <c r="B142" s="1456" t="s">
        <v>1086</v>
      </c>
      <c r="D142" s="1450"/>
      <c r="E142" s="1450"/>
      <c r="F142" s="1450"/>
      <c r="G142" s="1444" t="str">
        <f t="shared" si="16"/>
        <v/>
      </c>
      <c r="I142" s="1452"/>
      <c r="J142" s="1452"/>
      <c r="K142" s="1452"/>
      <c r="N142" s="611" t="s">
        <v>1223</v>
      </c>
      <c r="O142" s="611" t="str">
        <f t="shared" si="23"/>
        <v/>
      </c>
      <c r="P142" s="611" t="str">
        <f t="shared" si="17"/>
        <v>Page3!F</v>
      </c>
      <c r="Q142" s="611">
        <f t="shared" si="18"/>
        <v>33</v>
      </c>
      <c r="R142" s="1447">
        <f t="shared" ca="1" si="19"/>
        <v>0</v>
      </c>
      <c r="S142" s="1447">
        <f t="shared" ca="1" si="20"/>
        <v>0</v>
      </c>
      <c r="V142" s="2557" t="str">
        <f t="shared" ca="1" si="21"/>
        <v/>
      </c>
      <c r="W142" s="611" t="str">
        <f t="shared" ca="1" si="22"/>
        <v>Page3, Ligne 30 [Page3!F33]  -</v>
      </c>
    </row>
    <row r="143" spans="1:23">
      <c r="A143" s="1117" t="str">
        <f>celladdr(Page3!F34)</f>
        <v>Page3!F34</v>
      </c>
      <c r="B143" s="1456" t="s">
        <v>1086</v>
      </c>
      <c r="D143" s="1450"/>
      <c r="E143" s="1450"/>
      <c r="F143" s="1450"/>
      <c r="G143" s="1444" t="str">
        <f t="shared" si="16"/>
        <v/>
      </c>
      <c r="I143" s="1452"/>
      <c r="J143" s="1452"/>
      <c r="K143" s="1452"/>
      <c r="N143" s="611" t="s">
        <v>1224</v>
      </c>
      <c r="O143" s="611" t="str">
        <f t="shared" si="23"/>
        <v/>
      </c>
      <c r="P143" s="611" t="str">
        <f t="shared" si="17"/>
        <v>Page3!F</v>
      </c>
      <c r="Q143" s="611">
        <f t="shared" si="18"/>
        <v>34</v>
      </c>
      <c r="R143" s="1447">
        <f t="shared" ca="1" si="19"/>
        <v>0</v>
      </c>
      <c r="S143" s="1447">
        <f t="shared" ca="1" si="20"/>
        <v>0</v>
      </c>
      <c r="V143" s="2557" t="str">
        <f t="shared" ca="1" si="21"/>
        <v/>
      </c>
      <c r="W143" s="611" t="str">
        <f t="shared" ca="1" si="22"/>
        <v>Page3, Ligne 31 [Page3!F34]  -</v>
      </c>
    </row>
    <row r="144" spans="1:23">
      <c r="A144" s="1117" t="str">
        <f>celladdr(Page3!F35)</f>
        <v>Page3!F35</v>
      </c>
      <c r="B144" s="1456" t="s">
        <v>1086</v>
      </c>
      <c r="D144" s="1450"/>
      <c r="E144" s="1450"/>
      <c r="F144" s="1450"/>
      <c r="G144" s="1444" t="str">
        <f t="shared" si="16"/>
        <v/>
      </c>
      <c r="I144" s="1452"/>
      <c r="J144" s="1452"/>
      <c r="K144" s="1452"/>
      <c r="N144" s="611" t="s">
        <v>1225</v>
      </c>
      <c r="O144" s="611" t="str">
        <f t="shared" si="23"/>
        <v/>
      </c>
      <c r="P144" s="611" t="str">
        <f t="shared" si="17"/>
        <v>Page3!F</v>
      </c>
      <c r="Q144" s="611">
        <f t="shared" si="18"/>
        <v>35</v>
      </c>
      <c r="R144" s="1447">
        <f t="shared" ca="1" si="19"/>
        <v>0</v>
      </c>
      <c r="S144" s="1447">
        <f t="shared" ca="1" si="20"/>
        <v>0</v>
      </c>
      <c r="V144" s="2557" t="str">
        <f t="shared" ca="1" si="21"/>
        <v/>
      </c>
      <c r="W144" s="611" t="str">
        <f t="shared" ca="1" si="22"/>
        <v>Page3, Ligne 32 [Page3!F35]  -</v>
      </c>
    </row>
    <row r="145" spans="1:23">
      <c r="A145" s="1117" t="str">
        <f>celladdr(Page3!F36)</f>
        <v>Page3!F36</v>
      </c>
      <c r="B145" s="1456" t="s">
        <v>1086</v>
      </c>
      <c r="D145" s="1450"/>
      <c r="E145" s="1450"/>
      <c r="F145" s="1450"/>
      <c r="G145" s="1444" t="str">
        <f t="shared" si="16"/>
        <v/>
      </c>
      <c r="I145" s="1452"/>
      <c r="J145" s="1452"/>
      <c r="K145" s="1452"/>
      <c r="N145" s="611" t="s">
        <v>1226</v>
      </c>
      <c r="O145" s="611" t="str">
        <f t="shared" si="23"/>
        <v/>
      </c>
      <c r="P145" s="611" t="str">
        <f t="shared" si="17"/>
        <v>Page3!F</v>
      </c>
      <c r="Q145" s="611">
        <f t="shared" si="18"/>
        <v>36</v>
      </c>
      <c r="R145" s="1447">
        <f t="shared" ca="1" si="19"/>
        <v>0</v>
      </c>
      <c r="S145" s="1447">
        <f t="shared" ca="1" si="20"/>
        <v>0</v>
      </c>
      <c r="V145" s="2557" t="str">
        <f t="shared" ca="1" si="21"/>
        <v/>
      </c>
      <c r="W145" s="611" t="str">
        <f t="shared" ca="1" si="22"/>
        <v>Page3, Ligne 33 [Page3!F36]  -</v>
      </c>
    </row>
    <row r="146" spans="1:23">
      <c r="A146" s="1117" t="str">
        <f>celladdr(Page3!F37)</f>
        <v>Page3!F37</v>
      </c>
      <c r="B146" s="1456" t="s">
        <v>1086</v>
      </c>
      <c r="D146" s="1450"/>
      <c r="E146" s="1450"/>
      <c r="F146" s="1450"/>
      <c r="G146" s="1444" t="str">
        <f t="shared" si="16"/>
        <v/>
      </c>
      <c r="I146" s="1452"/>
      <c r="J146" s="1452"/>
      <c r="K146" s="1452"/>
      <c r="N146" s="611" t="s">
        <v>1227</v>
      </c>
      <c r="O146" s="611" t="str">
        <f t="shared" si="23"/>
        <v/>
      </c>
      <c r="P146" s="611" t="str">
        <f t="shared" si="17"/>
        <v>Page3!F</v>
      </c>
      <c r="Q146" s="611">
        <f t="shared" si="18"/>
        <v>37</v>
      </c>
      <c r="R146" s="1447">
        <f t="shared" ca="1" si="19"/>
        <v>0</v>
      </c>
      <c r="S146" s="1447">
        <f t="shared" ca="1" si="20"/>
        <v>0</v>
      </c>
      <c r="V146" s="2557" t="str">
        <f t="shared" ca="1" si="21"/>
        <v/>
      </c>
      <c r="W146" s="611" t="str">
        <f t="shared" ca="1" si="22"/>
        <v>Page3, Ligne 34 [Page3!F37]  -</v>
      </c>
    </row>
    <row r="147" spans="1:23">
      <c r="A147" s="1117" t="str">
        <f>celladdr(Page3!F38)</f>
        <v>Page3!F38</v>
      </c>
      <c r="B147" s="1456" t="s">
        <v>1086</v>
      </c>
      <c r="D147" s="1450"/>
      <c r="E147" s="1450"/>
      <c r="F147" s="1450"/>
      <c r="G147" s="1444" t="str">
        <f t="shared" si="16"/>
        <v/>
      </c>
      <c r="I147" s="1452"/>
      <c r="J147" s="1452"/>
      <c r="K147" s="1452"/>
      <c r="N147" s="611" t="s">
        <v>1228</v>
      </c>
      <c r="O147" s="611" t="str">
        <f t="shared" si="23"/>
        <v/>
      </c>
      <c r="P147" s="611" t="str">
        <f t="shared" si="17"/>
        <v>Page3!F</v>
      </c>
      <c r="Q147" s="611">
        <f t="shared" si="18"/>
        <v>38</v>
      </c>
      <c r="R147" s="1447">
        <f t="shared" ca="1" si="19"/>
        <v>0</v>
      </c>
      <c r="S147" s="1447">
        <f t="shared" ca="1" si="20"/>
        <v>0</v>
      </c>
      <c r="V147" s="2557" t="str">
        <f t="shared" ca="1" si="21"/>
        <v/>
      </c>
      <c r="W147" s="611" t="str">
        <f t="shared" ca="1" si="22"/>
        <v>Page3, Ligne 35 [Page3!F38]  -</v>
      </c>
    </row>
    <row r="148" spans="1:23">
      <c r="A148" s="1117" t="str">
        <f>celladdr(Page3!F39)</f>
        <v>Page3!F39</v>
      </c>
      <c r="B148" s="1456" t="s">
        <v>1086</v>
      </c>
      <c r="D148" s="1450"/>
      <c r="E148" s="1450"/>
      <c r="F148" s="1450"/>
      <c r="G148" s="1444" t="str">
        <f t="shared" si="16"/>
        <v/>
      </c>
      <c r="I148" s="1452"/>
      <c r="J148" s="1452"/>
      <c r="K148" s="1452"/>
      <c r="N148" s="611" t="s">
        <v>1229</v>
      </c>
      <c r="O148" s="611" t="str">
        <f t="shared" si="23"/>
        <v/>
      </c>
      <c r="P148" s="611" t="str">
        <f t="shared" si="17"/>
        <v>Page3!F</v>
      </c>
      <c r="Q148" s="611">
        <f t="shared" si="18"/>
        <v>39</v>
      </c>
      <c r="R148" s="1447">
        <f t="shared" ca="1" si="19"/>
        <v>0</v>
      </c>
      <c r="S148" s="1447">
        <f t="shared" ca="1" si="20"/>
        <v>0</v>
      </c>
      <c r="V148" s="2557" t="str">
        <f t="shared" ca="1" si="21"/>
        <v/>
      </c>
      <c r="W148" s="611" t="str">
        <f t="shared" ca="1" si="22"/>
        <v>Page3, Ligne 36 [Page3!F39]  -</v>
      </c>
    </row>
    <row r="149" spans="1:23">
      <c r="A149" s="1117" t="str">
        <f>celladdr(Page3!F40)</f>
        <v>Page3!F40</v>
      </c>
      <c r="B149" s="1456" t="s">
        <v>1086</v>
      </c>
      <c r="D149" s="1450"/>
      <c r="E149" s="1450"/>
      <c r="F149" s="1450"/>
      <c r="G149" s="1444" t="str">
        <f t="shared" si="16"/>
        <v/>
      </c>
      <c r="I149" s="1452"/>
      <c r="J149" s="1452"/>
      <c r="K149" s="1452"/>
      <c r="N149" s="611" t="s">
        <v>1230</v>
      </c>
      <c r="O149" s="611" t="str">
        <f t="shared" si="23"/>
        <v/>
      </c>
      <c r="P149" s="611" t="str">
        <f t="shared" si="17"/>
        <v>Page3!F</v>
      </c>
      <c r="Q149" s="611">
        <f t="shared" si="18"/>
        <v>40</v>
      </c>
      <c r="R149" s="1447">
        <f t="shared" ca="1" si="19"/>
        <v>0</v>
      </c>
      <c r="S149" s="1447">
        <f t="shared" ca="1" si="20"/>
        <v>0</v>
      </c>
      <c r="V149" s="2557" t="str">
        <f t="shared" ca="1" si="21"/>
        <v/>
      </c>
      <c r="W149" s="611" t="str">
        <f t="shared" ca="1" si="22"/>
        <v>Page3, Ligne 37 [Page3!F40]  -</v>
      </c>
    </row>
    <row r="150" spans="1:23">
      <c r="A150" s="1117" t="str">
        <f>celladdr(Page3!F41)</f>
        <v>Page3!F41</v>
      </c>
      <c r="B150" s="1456" t="s">
        <v>1086</v>
      </c>
      <c r="D150" s="1450"/>
      <c r="E150" s="1450"/>
      <c r="F150" s="1450"/>
      <c r="G150" s="1444" t="str">
        <f t="shared" si="16"/>
        <v/>
      </c>
      <c r="I150" s="1452"/>
      <c r="J150" s="1452"/>
      <c r="K150" s="1452"/>
      <c r="N150" s="611" t="s">
        <v>1231</v>
      </c>
      <c r="O150" s="611" t="str">
        <f t="shared" si="23"/>
        <v/>
      </c>
      <c r="P150" s="611" t="str">
        <f t="shared" si="17"/>
        <v>Page3!F</v>
      </c>
      <c r="Q150" s="611">
        <f t="shared" si="18"/>
        <v>41</v>
      </c>
      <c r="R150" s="1447">
        <f t="shared" ca="1" si="19"/>
        <v>0</v>
      </c>
      <c r="S150" s="1447">
        <f t="shared" ca="1" si="20"/>
        <v>0</v>
      </c>
      <c r="V150" s="2557" t="str">
        <f t="shared" ca="1" si="21"/>
        <v/>
      </c>
      <c r="W150" s="611" t="str">
        <f t="shared" ca="1" si="22"/>
        <v>Page3, Ligne 38 [Page3!F41]  -</v>
      </c>
    </row>
    <row r="151" spans="1:23">
      <c r="A151" s="1117" t="str">
        <f>celladdr(Page3!F42)</f>
        <v>Page3!F42</v>
      </c>
      <c r="B151" s="1456" t="s">
        <v>1086</v>
      </c>
      <c r="D151" s="1450"/>
      <c r="E151" s="1450"/>
      <c r="F151" s="1450"/>
      <c r="G151" s="1444" t="str">
        <f t="shared" si="16"/>
        <v/>
      </c>
      <c r="I151" s="1452"/>
      <c r="J151" s="1452"/>
      <c r="K151" s="1452"/>
      <c r="N151" s="611" t="s">
        <v>1232</v>
      </c>
      <c r="O151" s="611" t="str">
        <f t="shared" si="23"/>
        <v/>
      </c>
      <c r="P151" s="611" t="str">
        <f t="shared" si="17"/>
        <v>Page3!F</v>
      </c>
      <c r="Q151" s="611">
        <f t="shared" si="18"/>
        <v>42</v>
      </c>
      <c r="R151" s="1447">
        <f t="shared" ca="1" si="19"/>
        <v>0</v>
      </c>
      <c r="S151" s="1447">
        <f t="shared" ca="1" si="20"/>
        <v>0</v>
      </c>
      <c r="V151" s="2557" t="str">
        <f t="shared" ca="1" si="21"/>
        <v/>
      </c>
      <c r="W151" s="611" t="str">
        <f t="shared" ca="1" si="22"/>
        <v>Page3, Ligne 39 [Page3!F42]  -</v>
      </c>
    </row>
    <row r="152" spans="1:23">
      <c r="A152" s="1117" t="str">
        <f>celladdr(Page3!F44)</f>
        <v>Page3!F44</v>
      </c>
      <c r="B152" s="1456" t="s">
        <v>1086</v>
      </c>
      <c r="D152" s="1450"/>
      <c r="E152" s="1450"/>
      <c r="F152" s="1450"/>
      <c r="G152" s="1444" t="str">
        <f t="shared" si="16"/>
        <v/>
      </c>
      <c r="I152" s="1452"/>
      <c r="J152" s="1452"/>
      <c r="K152" s="1452"/>
      <c r="N152" s="611" t="s">
        <v>1233</v>
      </c>
      <c r="O152" s="611" t="str">
        <f t="shared" si="23"/>
        <v/>
      </c>
      <c r="P152" s="611" t="str">
        <f t="shared" si="17"/>
        <v>Page3!F</v>
      </c>
      <c r="Q152" s="611">
        <f t="shared" si="18"/>
        <v>44</v>
      </c>
      <c r="R152" s="1447">
        <f t="shared" ca="1" si="19"/>
        <v>0</v>
      </c>
      <c r="S152" s="1447">
        <f t="shared" ca="1" si="20"/>
        <v>0</v>
      </c>
      <c r="V152" s="2557" t="str">
        <f t="shared" ca="1" si="21"/>
        <v/>
      </c>
      <c r="W152" s="611" t="str">
        <f t="shared" ca="1" si="22"/>
        <v>Page3, Ligne 41 [Page3!F44]  -</v>
      </c>
    </row>
    <row r="153" spans="1:23">
      <c r="A153" s="1117" t="str">
        <f>celladdr(Page3!F45)</f>
        <v>Page3!F45</v>
      </c>
      <c r="B153" s="1456" t="s">
        <v>1086</v>
      </c>
      <c r="D153" s="1450"/>
      <c r="E153" s="1450"/>
      <c r="F153" s="1450"/>
      <c r="G153" s="1444" t="str">
        <f t="shared" si="16"/>
        <v/>
      </c>
      <c r="I153" s="1452"/>
      <c r="J153" s="1452"/>
      <c r="K153" s="1452"/>
      <c r="N153" s="611" t="s">
        <v>1234</v>
      </c>
      <c r="O153" s="611" t="str">
        <f t="shared" si="23"/>
        <v/>
      </c>
      <c r="P153" s="611" t="str">
        <f t="shared" si="17"/>
        <v>Page3!F</v>
      </c>
      <c r="Q153" s="611">
        <f t="shared" si="18"/>
        <v>45</v>
      </c>
      <c r="R153" s="1447">
        <f t="shared" ca="1" si="19"/>
        <v>0</v>
      </c>
      <c r="S153" s="1447">
        <f t="shared" ca="1" si="20"/>
        <v>0</v>
      </c>
      <c r="V153" s="2557" t="str">
        <f t="shared" ca="1" si="21"/>
        <v/>
      </c>
      <c r="W153" s="611" t="str">
        <f t="shared" ca="1" si="22"/>
        <v>Page3, Ligne 42 [Page3!F45]  -</v>
      </c>
    </row>
    <row r="154" spans="1:23">
      <c r="A154" s="1117" t="str">
        <f>celladdr(Page3!F46)</f>
        <v>Page3!F46</v>
      </c>
      <c r="B154" s="1456" t="s">
        <v>1086</v>
      </c>
      <c r="D154" s="1450"/>
      <c r="E154" s="1450"/>
      <c r="F154" s="1450"/>
      <c r="G154" s="1444" t="str">
        <f t="shared" si="16"/>
        <v/>
      </c>
      <c r="I154" s="1452"/>
      <c r="J154" s="1452"/>
      <c r="K154" s="1452"/>
      <c r="N154" s="611" t="s">
        <v>1235</v>
      </c>
      <c r="O154" s="611" t="str">
        <f t="shared" si="23"/>
        <v/>
      </c>
      <c r="P154" s="611" t="str">
        <f t="shared" si="17"/>
        <v>Page3!F</v>
      </c>
      <c r="Q154" s="611">
        <f t="shared" si="18"/>
        <v>46</v>
      </c>
      <c r="R154" s="1447">
        <f t="shared" ca="1" si="19"/>
        <v>0</v>
      </c>
      <c r="S154" s="1447">
        <f t="shared" ca="1" si="20"/>
        <v>0</v>
      </c>
      <c r="V154" s="2557" t="str">
        <f t="shared" ca="1" si="21"/>
        <v/>
      </c>
      <c r="W154" s="611" t="str">
        <f t="shared" ca="1" si="22"/>
        <v>Page3, Ligne 43 [Page3!F46]  -</v>
      </c>
    </row>
    <row r="155" spans="1:23">
      <c r="A155" s="1117" t="str">
        <f>celladdr(Page3!F47)</f>
        <v>Page3!F47</v>
      </c>
      <c r="B155" s="1456" t="s">
        <v>1086</v>
      </c>
      <c r="D155" s="1450"/>
      <c r="E155" s="1450"/>
      <c r="F155" s="1450"/>
      <c r="G155" s="1444" t="str">
        <f t="shared" si="16"/>
        <v/>
      </c>
      <c r="I155" s="1452"/>
      <c r="J155" s="1452"/>
      <c r="K155" s="1452"/>
      <c r="N155" s="611" t="s">
        <v>1236</v>
      </c>
      <c r="O155" s="611" t="str">
        <f t="shared" si="23"/>
        <v/>
      </c>
      <c r="P155" s="611" t="str">
        <f t="shared" si="17"/>
        <v>Page3!F</v>
      </c>
      <c r="Q155" s="611">
        <f t="shared" si="18"/>
        <v>47</v>
      </c>
      <c r="R155" s="1447">
        <f t="shared" ca="1" si="19"/>
        <v>0</v>
      </c>
      <c r="S155" s="1447">
        <f t="shared" ca="1" si="20"/>
        <v>0</v>
      </c>
      <c r="V155" s="2557" t="str">
        <f t="shared" ca="1" si="21"/>
        <v/>
      </c>
      <c r="W155" s="611" t="str">
        <f t="shared" ca="1" si="22"/>
        <v>Page3, Ligne 44 [Page3!F47]  -</v>
      </c>
    </row>
    <row r="156" spans="1:23">
      <c r="A156" s="1117" t="str">
        <f>celladdr(Page3!F48)</f>
        <v>Page3!F48</v>
      </c>
      <c r="B156" s="1456" t="s">
        <v>1086</v>
      </c>
      <c r="D156" s="1450"/>
      <c r="E156" s="1450"/>
      <c r="F156" s="1450"/>
      <c r="G156" s="1444" t="str">
        <f t="shared" si="16"/>
        <v/>
      </c>
      <c r="I156" s="1452"/>
      <c r="J156" s="1452"/>
      <c r="K156" s="1452"/>
      <c r="N156" s="611" t="s">
        <v>1237</v>
      </c>
      <c r="O156" s="611" t="str">
        <f t="shared" si="23"/>
        <v/>
      </c>
      <c r="P156" s="611" t="str">
        <f t="shared" si="17"/>
        <v>Page3!F</v>
      </c>
      <c r="Q156" s="611">
        <f t="shared" si="18"/>
        <v>48</v>
      </c>
      <c r="R156" s="1447">
        <f t="shared" ca="1" si="19"/>
        <v>0</v>
      </c>
      <c r="S156" s="1447">
        <f t="shared" ca="1" si="20"/>
        <v>0</v>
      </c>
      <c r="V156" s="2557" t="str">
        <f t="shared" ca="1" si="21"/>
        <v/>
      </c>
      <c r="W156" s="611" t="str">
        <f t="shared" ca="1" si="22"/>
        <v>Page3, Ligne 45 [Page3!F48]  -</v>
      </c>
    </row>
    <row r="157" spans="1:23">
      <c r="A157" s="1117" t="str">
        <f>celladdr(Page3!F49)</f>
        <v>Page3!F49</v>
      </c>
      <c r="B157" s="1456" t="s">
        <v>1086</v>
      </c>
      <c r="D157" s="1450"/>
      <c r="E157" s="1450"/>
      <c r="F157" s="1450"/>
      <c r="G157" s="1444" t="str">
        <f t="shared" si="16"/>
        <v/>
      </c>
      <c r="I157" s="1452"/>
      <c r="J157" s="1452"/>
      <c r="K157" s="1452"/>
      <c r="N157" s="611" t="s">
        <v>1238</v>
      </c>
      <c r="O157" s="611" t="str">
        <f t="shared" si="23"/>
        <v/>
      </c>
      <c r="P157" s="611" t="str">
        <f t="shared" si="17"/>
        <v>Page3!F</v>
      </c>
      <c r="Q157" s="611">
        <f t="shared" si="18"/>
        <v>49</v>
      </c>
      <c r="R157" s="1447">
        <f t="shared" ca="1" si="19"/>
        <v>0</v>
      </c>
      <c r="S157" s="1447">
        <f t="shared" ca="1" si="20"/>
        <v>0</v>
      </c>
      <c r="V157" s="2557" t="str">
        <f t="shared" ca="1" si="21"/>
        <v/>
      </c>
      <c r="W157" s="611" t="str">
        <f t="shared" ca="1" si="22"/>
        <v>Page3, Ligne 46 [Page3!F49]  -</v>
      </c>
    </row>
    <row r="158" spans="1:23">
      <c r="A158" s="1117" t="str">
        <f>celladdr(Page3!F50)</f>
        <v>Page3!F50</v>
      </c>
      <c r="B158" s="1456" t="s">
        <v>1086</v>
      </c>
      <c r="D158" s="1450"/>
      <c r="E158" s="1450"/>
      <c r="F158" s="1450"/>
      <c r="G158" s="1444" t="str">
        <f t="shared" si="16"/>
        <v/>
      </c>
      <c r="I158" s="1452"/>
      <c r="J158" s="1452"/>
      <c r="K158" s="1452"/>
      <c r="N158" s="611" t="s">
        <v>1239</v>
      </c>
      <c r="O158" s="611" t="str">
        <f t="shared" si="23"/>
        <v/>
      </c>
      <c r="P158" s="611" t="str">
        <f t="shared" si="17"/>
        <v>Page3!F</v>
      </c>
      <c r="Q158" s="611">
        <f t="shared" si="18"/>
        <v>50</v>
      </c>
      <c r="R158" s="1447">
        <f t="shared" ca="1" si="19"/>
        <v>0</v>
      </c>
      <c r="S158" s="1447">
        <f t="shared" ca="1" si="20"/>
        <v>0</v>
      </c>
      <c r="V158" s="2557" t="str">
        <f t="shared" ca="1" si="21"/>
        <v/>
      </c>
      <c r="W158" s="611" t="str">
        <f t="shared" ca="1" si="22"/>
        <v>Page3, Ligne 47 [Page3!F50]  -</v>
      </c>
    </row>
    <row r="159" spans="1:23">
      <c r="A159" s="1117" t="str">
        <f>celladdr(Page3!F51)</f>
        <v>Page3!F51</v>
      </c>
      <c r="B159" s="1456" t="s">
        <v>1086</v>
      </c>
      <c r="D159" s="1450"/>
      <c r="E159" s="1450"/>
      <c r="F159" s="1450"/>
      <c r="G159" s="1444" t="str">
        <f t="shared" si="16"/>
        <v/>
      </c>
      <c r="I159" s="1452"/>
      <c r="J159" s="1452"/>
      <c r="K159" s="1452"/>
      <c r="N159" s="611" t="s">
        <v>1240</v>
      </c>
      <c r="O159" s="611" t="str">
        <f t="shared" si="23"/>
        <v/>
      </c>
      <c r="P159" s="611" t="str">
        <f t="shared" si="17"/>
        <v>Page3!F</v>
      </c>
      <c r="Q159" s="611">
        <f t="shared" si="18"/>
        <v>51</v>
      </c>
      <c r="R159" s="1447">
        <f t="shared" ca="1" si="19"/>
        <v>0</v>
      </c>
      <c r="S159" s="1447">
        <f t="shared" ca="1" si="20"/>
        <v>0</v>
      </c>
      <c r="V159" s="2557" t="str">
        <f t="shared" ca="1" si="21"/>
        <v/>
      </c>
      <c r="W159" s="611" t="str">
        <f t="shared" ca="1" si="22"/>
        <v>Page3, Ligne 48 [Page3!F51]  -</v>
      </c>
    </row>
    <row r="160" spans="1:23">
      <c r="A160" s="1117" t="str">
        <f>celladdr(Page3!F53)</f>
        <v>Page3!F53</v>
      </c>
      <c r="B160" s="1456" t="s">
        <v>1086</v>
      </c>
      <c r="D160" s="1450"/>
      <c r="E160" s="1450"/>
      <c r="F160" s="1450"/>
      <c r="G160" s="1444" t="str">
        <f t="shared" si="16"/>
        <v/>
      </c>
      <c r="I160" s="1452"/>
      <c r="J160" s="1452"/>
      <c r="K160" s="1452"/>
      <c r="N160" s="611" t="s">
        <v>1241</v>
      </c>
      <c r="O160" s="611" t="str">
        <f t="shared" si="23"/>
        <v/>
      </c>
      <c r="P160" s="611" t="str">
        <f t="shared" si="17"/>
        <v>Page3!F</v>
      </c>
      <c r="Q160" s="611">
        <f t="shared" si="18"/>
        <v>53</v>
      </c>
      <c r="R160" s="1447">
        <f t="shared" ca="1" si="19"/>
        <v>0</v>
      </c>
      <c r="S160" s="1447">
        <f t="shared" ca="1" si="20"/>
        <v>0</v>
      </c>
      <c r="V160" s="2557" t="str">
        <f t="shared" ca="1" si="21"/>
        <v/>
      </c>
      <c r="W160" s="611" t="str">
        <f t="shared" ca="1" si="22"/>
        <v>Page3, Ligne 50 [Page3!F53]  -</v>
      </c>
    </row>
    <row r="161" spans="1:23">
      <c r="A161" s="1117" t="str">
        <f>celladdr(Page3!F54)</f>
        <v>Page3!F54</v>
      </c>
      <c r="B161" s="1456" t="s">
        <v>1086</v>
      </c>
      <c r="D161" s="1450"/>
      <c r="E161" s="1450"/>
      <c r="F161" s="1450"/>
      <c r="G161" s="1444" t="str">
        <f t="shared" si="16"/>
        <v/>
      </c>
      <c r="I161" s="1452"/>
      <c r="J161" s="1452"/>
      <c r="K161" s="1452"/>
      <c r="N161" s="611" t="s">
        <v>1242</v>
      </c>
      <c r="O161" s="611" t="str">
        <f t="shared" si="23"/>
        <v/>
      </c>
      <c r="P161" s="611" t="str">
        <f t="shared" si="17"/>
        <v>Page3!F</v>
      </c>
      <c r="Q161" s="611">
        <f t="shared" si="18"/>
        <v>54</v>
      </c>
      <c r="R161" s="1447">
        <f t="shared" ca="1" si="19"/>
        <v>0</v>
      </c>
      <c r="S161" s="1447">
        <f t="shared" ca="1" si="20"/>
        <v>0</v>
      </c>
      <c r="V161" s="2557" t="str">
        <f t="shared" ca="1" si="21"/>
        <v/>
      </c>
      <c r="W161" s="611" t="str">
        <f t="shared" ca="1" si="22"/>
        <v>Page3, Ligne 51 [Page3!F54]  -</v>
      </c>
    </row>
    <row r="162" spans="1:23">
      <c r="A162" s="1117" t="str">
        <f>celladdr(Page3!F55)</f>
        <v>Page3!F55</v>
      </c>
      <c r="B162" s="1456" t="s">
        <v>1086</v>
      </c>
      <c r="D162" s="1450"/>
      <c r="E162" s="1450"/>
      <c r="F162" s="1450"/>
      <c r="G162" s="1444" t="str">
        <f t="shared" si="16"/>
        <v/>
      </c>
      <c r="I162" s="1452"/>
      <c r="J162" s="1452"/>
      <c r="K162" s="1452"/>
      <c r="N162" s="611" t="s">
        <v>1243</v>
      </c>
      <c r="O162" s="611" t="str">
        <f t="shared" si="23"/>
        <v/>
      </c>
      <c r="P162" s="611" t="str">
        <f t="shared" si="17"/>
        <v>Page3!F</v>
      </c>
      <c r="Q162" s="611">
        <f t="shared" si="18"/>
        <v>55</v>
      </c>
      <c r="R162" s="1447">
        <f t="shared" ca="1" si="19"/>
        <v>0</v>
      </c>
      <c r="S162" s="1447">
        <f t="shared" ca="1" si="20"/>
        <v>0</v>
      </c>
      <c r="V162" s="2557" t="str">
        <f t="shared" ca="1" si="21"/>
        <v/>
      </c>
      <c r="W162" s="611" t="str">
        <f t="shared" ca="1" si="22"/>
        <v>Page3, Ligne 52 [Page3!F55]  -</v>
      </c>
    </row>
    <row r="163" spans="1:23">
      <c r="A163" s="1117" t="str">
        <f>celladdr(Page3!F56)</f>
        <v>Page3!F56</v>
      </c>
      <c r="B163" s="1456" t="s">
        <v>1086</v>
      </c>
      <c r="D163" s="1450"/>
      <c r="E163" s="1450"/>
      <c r="F163" s="1450"/>
      <c r="G163" s="1444" t="str">
        <f t="shared" si="16"/>
        <v/>
      </c>
      <c r="I163" s="1452"/>
      <c r="J163" s="1452"/>
      <c r="K163" s="1452"/>
      <c r="N163" s="611" t="s">
        <v>1244</v>
      </c>
      <c r="O163" s="611" t="str">
        <f t="shared" si="23"/>
        <v/>
      </c>
      <c r="P163" s="611" t="str">
        <f t="shared" si="17"/>
        <v>Page3!F</v>
      </c>
      <c r="Q163" s="611">
        <f t="shared" si="18"/>
        <v>56</v>
      </c>
      <c r="R163" s="1447">
        <f t="shared" ca="1" si="19"/>
        <v>0</v>
      </c>
      <c r="S163" s="1447">
        <f t="shared" ca="1" si="20"/>
        <v>0</v>
      </c>
      <c r="V163" s="2557" t="str">
        <f t="shared" ca="1" si="21"/>
        <v/>
      </c>
      <c r="W163" s="611" t="str">
        <f t="shared" ca="1" si="22"/>
        <v>Page3, Ligne 53 [Page3!F56]  -</v>
      </c>
    </row>
    <row r="164" spans="1:23">
      <c r="A164" s="1117" t="str">
        <f>celladdr(Page3!F57)</f>
        <v>Page3!F57</v>
      </c>
      <c r="B164" s="1456" t="s">
        <v>1086</v>
      </c>
      <c r="D164" s="1450"/>
      <c r="E164" s="1450"/>
      <c r="F164" s="1450"/>
      <c r="G164" s="1444" t="str">
        <f t="shared" si="16"/>
        <v/>
      </c>
      <c r="I164" s="1452"/>
      <c r="J164" s="1452"/>
      <c r="K164" s="1452"/>
      <c r="N164" s="611" t="s">
        <v>1245</v>
      </c>
      <c r="O164" s="611" t="str">
        <f t="shared" si="23"/>
        <v/>
      </c>
      <c r="P164" s="611" t="str">
        <f t="shared" si="17"/>
        <v>Page3!F</v>
      </c>
      <c r="Q164" s="611">
        <f t="shared" si="18"/>
        <v>57</v>
      </c>
      <c r="R164" s="1447">
        <f t="shared" ca="1" si="19"/>
        <v>0</v>
      </c>
      <c r="S164" s="1447">
        <f t="shared" ca="1" si="20"/>
        <v>0</v>
      </c>
      <c r="V164" s="2557" t="str">
        <f t="shared" ca="1" si="21"/>
        <v/>
      </c>
      <c r="W164" s="611" t="str">
        <f t="shared" ca="1" si="22"/>
        <v>Page3, Ligne 54 [Page3!F57]  -</v>
      </c>
    </row>
    <row r="165" spans="1:23">
      <c r="A165" s="1443" t="str">
        <f>celladdr(Page3!F63)</f>
        <v>Page3!F63</v>
      </c>
      <c r="B165" s="1464" t="s">
        <v>1086</v>
      </c>
      <c r="C165" s="1445" t="b">
        <f>OR(Page3!$F$63+Page3!$J$63+Page3!$N$63+Page4!$F$63+Page4!$J$63+Page4!$N$63+Page4!$R$63&gt;100,Page3!$F$63+Page3!$J$63+Page3!$N$63+Page4!$F$63+Page4!$J$63+Page4!$N$63+Page4!$R$63&lt;-100)</f>
        <v>0</v>
      </c>
      <c r="D165" s="1445" t="b">
        <f>ABS(Page3!F$63)&gt;ABS(Page4!$R$63)</f>
        <v>0</v>
      </c>
      <c r="F165" s="1454"/>
      <c r="G165" s="1444" t="str">
        <f t="shared" si="16"/>
        <v/>
      </c>
      <c r="H165" s="1446" t="str">
        <f>IF(C165=TRUE,Comments!$B$15&amp;DOLLAR(Page4!$R$60+Page4!$F$63+Page4!$J$63+Page4!$N$63+Page3!$F$63+Page3!$J$63+Page3!$N$63,0),"")</f>
        <v/>
      </c>
      <c r="I165" s="1447" t="str">
        <f>IF(D165=TRUE,Comments!$B$71,"")</f>
        <v/>
      </c>
      <c r="K165" s="1452"/>
      <c r="N165" s="611" t="s">
        <v>1246</v>
      </c>
      <c r="O165" s="611" t="str">
        <f t="shared" si="23"/>
        <v/>
      </c>
      <c r="P165" s="611" t="str">
        <f t="shared" si="17"/>
        <v>Page3!F</v>
      </c>
      <c r="Q165" s="611">
        <f t="shared" si="18"/>
        <v>63</v>
      </c>
      <c r="R165" s="1447">
        <f t="shared" ca="1" si="19"/>
        <v>0</v>
      </c>
      <c r="S165" s="1447">
        <f t="shared" ca="1" si="20"/>
        <v>0</v>
      </c>
      <c r="V165" s="2557" t="str">
        <f t="shared" ca="1" si="21"/>
        <v/>
      </c>
      <c r="W165" s="611" t="str">
        <f t="shared" ca="1" si="22"/>
        <v>Page3, Ligne 60 [Page3!F63]  -</v>
      </c>
    </row>
    <row r="166" spans="1:23">
      <c r="A166" s="1117" t="str">
        <f>celladdr(Page3!F64)</f>
        <v>Page3!F64</v>
      </c>
      <c r="B166" s="1444" t="s">
        <v>1086</v>
      </c>
      <c r="C166" s="1445" t="b">
        <f>Page3!$F$64&lt;&gt;Page3!$F$61+Page3!$F$62+Page3!$F$63</f>
        <v>0</v>
      </c>
      <c r="D166" s="1459"/>
      <c r="E166" s="1450"/>
      <c r="F166" s="1450"/>
      <c r="G166" s="1444" t="str">
        <f t="shared" si="16"/>
        <v/>
      </c>
      <c r="H166" s="1446" t="str">
        <f>IF(C166=TRUE,Comments!$B$14&amp;DOLLAR(Page3!$F$64-(Page3!$F$61+Page3!$F$62+Page3!$F$63),0),"")</f>
        <v/>
      </c>
      <c r="I166" s="1452"/>
      <c r="J166" s="1452"/>
      <c r="K166" s="1452"/>
      <c r="N166" s="611" t="s">
        <v>1247</v>
      </c>
      <c r="O166" s="611" t="str">
        <f t="shared" si="23"/>
        <v/>
      </c>
      <c r="P166" s="611" t="str">
        <f t="shared" si="17"/>
        <v>Page3!F</v>
      </c>
      <c r="Q166" s="611">
        <f t="shared" si="18"/>
        <v>64</v>
      </c>
      <c r="R166" s="1447">
        <f t="shared" ca="1" si="19"/>
        <v>0</v>
      </c>
      <c r="S166" s="1447">
        <f t="shared" ca="1" si="20"/>
        <v>0</v>
      </c>
      <c r="V166" s="2557" t="str">
        <f t="shared" ca="1" si="21"/>
        <v/>
      </c>
      <c r="W166" s="611" t="str">
        <f t="shared" ca="1" si="22"/>
        <v>Page3, Ligne 61 [Page3!F64]  -</v>
      </c>
    </row>
    <row r="167" spans="1:23">
      <c r="A167" s="1117" t="str">
        <f>celladdr(Page3!F66)</f>
        <v>Page3!F66</v>
      </c>
      <c r="B167" s="1456" t="s">
        <v>1086</v>
      </c>
      <c r="D167" s="1450"/>
      <c r="E167" s="1450"/>
      <c r="F167" s="1450"/>
      <c r="G167" s="1444" t="str">
        <f t="shared" si="16"/>
        <v/>
      </c>
      <c r="I167" s="1452"/>
      <c r="J167" s="1452"/>
      <c r="K167" s="1452"/>
      <c r="N167" s="611" t="s">
        <v>1248</v>
      </c>
      <c r="O167" s="611" t="str">
        <f t="shared" si="23"/>
        <v/>
      </c>
      <c r="P167" s="611" t="str">
        <f t="shared" si="17"/>
        <v>Page3!F</v>
      </c>
      <c r="Q167" s="611">
        <f t="shared" si="18"/>
        <v>66</v>
      </c>
      <c r="R167" s="1447">
        <f t="shared" ca="1" si="19"/>
        <v>0</v>
      </c>
      <c r="S167" s="1447">
        <f t="shared" ca="1" si="20"/>
        <v>0</v>
      </c>
      <c r="V167" s="2557" t="str">
        <f t="shared" ca="1" si="21"/>
        <v/>
      </c>
      <c r="W167" s="611" t="str">
        <f t="shared" ca="1" si="22"/>
        <v>Page3, Ligne 63 [Page3!F66]  -</v>
      </c>
    </row>
    <row r="168" spans="1:23">
      <c r="A168" s="1117" t="str">
        <f>celladdr(Page3!F67)</f>
        <v>Page3!F67</v>
      </c>
      <c r="B168" s="1456" t="s">
        <v>1086</v>
      </c>
      <c r="D168" s="1450"/>
      <c r="E168" s="1450"/>
      <c r="F168" s="1450"/>
      <c r="G168" s="1444" t="str">
        <f t="shared" si="16"/>
        <v/>
      </c>
      <c r="I168" s="1452"/>
      <c r="J168" s="1452"/>
      <c r="K168" s="1452"/>
      <c r="N168" s="611" t="s">
        <v>1249</v>
      </c>
      <c r="O168" s="611" t="str">
        <f t="shared" si="23"/>
        <v/>
      </c>
      <c r="P168" s="611" t="str">
        <f t="shared" si="17"/>
        <v>Page3!F</v>
      </c>
      <c r="Q168" s="611">
        <f t="shared" si="18"/>
        <v>67</v>
      </c>
      <c r="R168" s="1447">
        <f t="shared" ca="1" si="19"/>
        <v>0</v>
      </c>
      <c r="S168" s="1447">
        <f t="shared" ca="1" si="20"/>
        <v>0</v>
      </c>
      <c r="V168" s="2557" t="str">
        <f t="shared" ca="1" si="21"/>
        <v/>
      </c>
      <c r="W168" s="611" t="str">
        <f t="shared" ca="1" si="22"/>
        <v>Page3, Ligne 64 [Page3!F67]  -</v>
      </c>
    </row>
    <row r="169" spans="1:23">
      <c r="A169" s="1117" t="str">
        <f>celladdr(Page3!F68)</f>
        <v>Page3!F68</v>
      </c>
      <c r="B169" s="1456" t="s">
        <v>1086</v>
      </c>
      <c r="D169" s="1450"/>
      <c r="E169" s="1450"/>
      <c r="F169" s="1450"/>
      <c r="G169" s="1444" t="str">
        <f t="shared" si="16"/>
        <v/>
      </c>
      <c r="I169" s="1452"/>
      <c r="J169" s="1452"/>
      <c r="K169" s="1452"/>
      <c r="N169" s="611" t="s">
        <v>1250</v>
      </c>
      <c r="O169" s="611" t="str">
        <f t="shared" si="23"/>
        <v/>
      </c>
      <c r="P169" s="611" t="str">
        <f t="shared" si="17"/>
        <v>Page3!F</v>
      </c>
      <c r="Q169" s="611">
        <f t="shared" si="18"/>
        <v>68</v>
      </c>
      <c r="R169" s="1447">
        <f t="shared" ca="1" si="19"/>
        <v>0</v>
      </c>
      <c r="S169" s="1447">
        <f t="shared" ca="1" si="20"/>
        <v>0</v>
      </c>
      <c r="V169" s="2557" t="str">
        <f t="shared" ca="1" si="21"/>
        <v/>
      </c>
      <c r="W169" s="611" t="str">
        <f t="shared" ca="1" si="22"/>
        <v>Page3, Ligne 65 [Page3!F68]  -</v>
      </c>
    </row>
    <row r="170" spans="1:23">
      <c r="A170" s="1117" t="str">
        <f>celladdr(Page3!F70)</f>
        <v>Page3!F70</v>
      </c>
      <c r="B170" s="1456" t="s">
        <v>1086</v>
      </c>
      <c r="C170" s="1450" t="b">
        <f>OR(Page3!$F$70&gt;100,Page3!$F$70&lt;-100)</f>
        <v>0</v>
      </c>
      <c r="D170" s="1450"/>
      <c r="E170" s="1450"/>
      <c r="F170" s="1450"/>
      <c r="G170" s="1444" t="str">
        <f t="shared" si="16"/>
        <v/>
      </c>
      <c r="H170" s="1452" t="str">
        <f>IF(C170=TRUE,Comments!$B$77,"")</f>
        <v/>
      </c>
      <c r="I170" s="1452"/>
      <c r="J170" s="1452"/>
      <c r="K170" s="1452"/>
      <c r="N170" s="611" t="s">
        <v>1191</v>
      </c>
      <c r="O170" s="611" t="str">
        <f t="shared" si="23"/>
        <v/>
      </c>
      <c r="P170" s="611" t="str">
        <f t="shared" si="17"/>
        <v>Page3!F</v>
      </c>
      <c r="Q170" s="611">
        <f t="shared" si="18"/>
        <v>70</v>
      </c>
      <c r="R170" s="1447">
        <f t="shared" ca="1" si="19"/>
        <v>0</v>
      </c>
      <c r="S170" s="1447">
        <f t="shared" ca="1" si="20"/>
        <v>0</v>
      </c>
      <c r="V170" s="2557" t="str">
        <f t="shared" ca="1" si="21"/>
        <v/>
      </c>
      <c r="W170" s="611" t="str">
        <f t="shared" ca="1" si="22"/>
        <v>Page3, Ligne 67 [Page3!F70]  -</v>
      </c>
    </row>
    <row r="171" spans="1:23">
      <c r="A171" s="1117" t="str">
        <f>celladdr(Page3!H7)</f>
        <v>Page3!H7</v>
      </c>
      <c r="B171" s="1449" t="s">
        <v>1086</v>
      </c>
      <c r="C171" s="1445" t="b">
        <f>OR(AND(Page3!$H$7=0,Page7!$F$49&gt;0),AND(Page3!$H$7&gt;0,Page7!$F$49=0))</f>
        <v>0</v>
      </c>
      <c r="D171" s="1450"/>
      <c r="E171" s="1450"/>
      <c r="F171" s="1450"/>
      <c r="G171" s="1444" t="str">
        <f t="shared" si="16"/>
        <v/>
      </c>
      <c r="H171" s="1446" t="str">
        <f>IF(C171=TRUE,Comments!$B$13,"")</f>
        <v/>
      </c>
      <c r="I171" s="1446"/>
      <c r="J171" s="1452"/>
      <c r="K171" s="1452"/>
      <c r="N171" s="611" t="s">
        <v>1251</v>
      </c>
      <c r="O171" s="611" t="str">
        <f t="shared" si="23"/>
        <v/>
      </c>
      <c r="P171" s="611" t="str">
        <f t="shared" si="17"/>
        <v>Page3!H</v>
      </c>
      <c r="Q171" s="611">
        <f t="shared" si="18"/>
        <v>7</v>
      </c>
      <c r="R171" s="1447">
        <f t="shared" ca="1" si="19"/>
        <v>0</v>
      </c>
      <c r="S171" s="1447">
        <f t="shared" ca="1" si="20"/>
        <v>0</v>
      </c>
      <c r="V171" s="2557" t="str">
        <f t="shared" ca="1" si="21"/>
        <v/>
      </c>
      <c r="W171" s="611" t="str">
        <f t="shared" ca="1" si="22"/>
        <v>Page3, Ligne 4 [Page3!H7]  -</v>
      </c>
    </row>
    <row r="172" spans="1:23">
      <c r="A172" s="1117" t="str">
        <f>celladdr(Page3!H8)</f>
        <v>Page3!H8</v>
      </c>
      <c r="B172" s="1449" t="s">
        <v>1086</v>
      </c>
      <c r="D172" s="1450"/>
      <c r="E172" s="1450"/>
      <c r="F172" s="1450"/>
      <c r="G172" s="1444" t="str">
        <f t="shared" si="16"/>
        <v/>
      </c>
      <c r="H172" s="1446"/>
      <c r="I172" s="1446"/>
      <c r="J172" s="1452"/>
      <c r="K172" s="1452"/>
      <c r="N172" s="611" t="s">
        <v>1252</v>
      </c>
      <c r="O172" s="611" t="str">
        <f t="shared" si="23"/>
        <v/>
      </c>
      <c r="P172" s="611" t="str">
        <f t="shared" si="17"/>
        <v>Page3!H</v>
      </c>
      <c r="Q172" s="611">
        <f t="shared" si="18"/>
        <v>8</v>
      </c>
      <c r="R172" s="1447">
        <f t="shared" ca="1" si="19"/>
        <v>0</v>
      </c>
      <c r="S172" s="1447">
        <f t="shared" ca="1" si="20"/>
        <v>0</v>
      </c>
      <c r="V172" s="2557" t="str">
        <f t="shared" ca="1" si="21"/>
        <v/>
      </c>
      <c r="W172" s="611" t="str">
        <f t="shared" ca="1" si="22"/>
        <v>Page3, Ligne 5 [Page3!H8]  -</v>
      </c>
    </row>
    <row r="173" spans="1:23">
      <c r="A173" s="1117" t="str">
        <f>celladdr(Page3!H9)</f>
        <v>Page3!H9</v>
      </c>
      <c r="B173" s="1449" t="s">
        <v>1086</v>
      </c>
      <c r="D173" s="1450"/>
      <c r="E173" s="1450"/>
      <c r="F173" s="1450"/>
      <c r="G173" s="1444" t="str">
        <f t="shared" si="16"/>
        <v/>
      </c>
      <c r="H173" s="1446"/>
      <c r="I173" s="1446"/>
      <c r="J173" s="1452"/>
      <c r="K173" s="1452"/>
      <c r="N173" s="611" t="s">
        <v>1253</v>
      </c>
      <c r="O173" s="611" t="str">
        <f t="shared" si="23"/>
        <v/>
      </c>
      <c r="P173" s="611" t="str">
        <f t="shared" si="17"/>
        <v>Page3!H</v>
      </c>
      <c r="Q173" s="611">
        <f t="shared" si="18"/>
        <v>9</v>
      </c>
      <c r="R173" s="1447">
        <f t="shared" ca="1" si="19"/>
        <v>0</v>
      </c>
      <c r="S173" s="1447">
        <f t="shared" ca="1" si="20"/>
        <v>0</v>
      </c>
      <c r="V173" s="2557" t="str">
        <f t="shared" ca="1" si="21"/>
        <v/>
      </c>
      <c r="W173" s="611" t="str">
        <f t="shared" ca="1" si="22"/>
        <v>Page3, Ligne 6 [Page3!H9]  -</v>
      </c>
    </row>
    <row r="174" spans="1:23">
      <c r="A174" s="1117" t="str">
        <f>celladdr(Page3!H11)</f>
        <v>Page3!H11</v>
      </c>
      <c r="B174" s="1449" t="s">
        <v>1086</v>
      </c>
      <c r="C174" s="1445" t="b">
        <f>OR(AND(Page3!$H$11=0,Page7!$F$47&gt;0),AND(Page3!$H$11&gt;0,Page7!$F$47=0))</f>
        <v>0</v>
      </c>
      <c r="D174" s="1450"/>
      <c r="E174" s="1450"/>
      <c r="F174" s="1450"/>
      <c r="G174" s="1444" t="str">
        <f t="shared" si="16"/>
        <v/>
      </c>
      <c r="H174" s="1446" t="str">
        <f>IF(C174=TRUE,Comments!$B$13,"")</f>
        <v/>
      </c>
      <c r="I174" s="1446"/>
      <c r="J174" s="1452"/>
      <c r="K174" s="1452"/>
      <c r="N174" s="611" t="s">
        <v>1254</v>
      </c>
      <c r="O174" s="611" t="str">
        <f t="shared" si="23"/>
        <v/>
      </c>
      <c r="P174" s="611" t="str">
        <f t="shared" si="17"/>
        <v>Page3!H</v>
      </c>
      <c r="Q174" s="611">
        <f t="shared" si="18"/>
        <v>11</v>
      </c>
      <c r="R174" s="1447">
        <f t="shared" ca="1" si="19"/>
        <v>0</v>
      </c>
      <c r="S174" s="1447">
        <f t="shared" ca="1" si="20"/>
        <v>0</v>
      </c>
      <c r="V174" s="2557" t="str">
        <f t="shared" ca="1" si="21"/>
        <v/>
      </c>
      <c r="W174" s="611" t="str">
        <f t="shared" ca="1" si="22"/>
        <v>Page3, Ligne 8 [Page3!H11]  -</v>
      </c>
    </row>
    <row r="175" spans="1:23">
      <c r="A175" s="1117" t="str">
        <f>celladdr(Page3!H12)</f>
        <v>Page3!H12</v>
      </c>
      <c r="B175" s="1449" t="s">
        <v>1086</v>
      </c>
      <c r="C175" s="1445" t="b">
        <f>OR(AND(Page3!$H$12=0,Page7!$F$48&gt;0),AND(Page3!$H$12&gt;0,Page7!$F$48=0))</f>
        <v>0</v>
      </c>
      <c r="D175" s="1450"/>
      <c r="E175" s="1450"/>
      <c r="F175" s="1450"/>
      <c r="G175" s="1444" t="str">
        <f t="shared" si="16"/>
        <v/>
      </c>
      <c r="H175" s="1446" t="str">
        <f>IF(C175=TRUE,Comments!$B$13,"")</f>
        <v/>
      </c>
      <c r="I175" s="1446"/>
      <c r="J175" s="1452"/>
      <c r="K175" s="1452"/>
      <c r="N175" s="611" t="s">
        <v>1255</v>
      </c>
      <c r="O175" s="611" t="str">
        <f t="shared" si="23"/>
        <v/>
      </c>
      <c r="P175" s="611" t="str">
        <f t="shared" si="17"/>
        <v>Page3!H</v>
      </c>
      <c r="Q175" s="611">
        <f t="shared" si="18"/>
        <v>12</v>
      </c>
      <c r="R175" s="1447">
        <f t="shared" ca="1" si="19"/>
        <v>0</v>
      </c>
      <c r="S175" s="1447">
        <f t="shared" ca="1" si="20"/>
        <v>0</v>
      </c>
      <c r="V175" s="2557" t="str">
        <f t="shared" ca="1" si="21"/>
        <v/>
      </c>
      <c r="W175" s="611" t="str">
        <f t="shared" ca="1" si="22"/>
        <v>Page3, Ligne 9 [Page3!H12]  -</v>
      </c>
    </row>
    <row r="176" spans="1:23">
      <c r="A176" s="1117" t="str">
        <f>celladdr(Page3!H13)</f>
        <v>Page3!H13</v>
      </c>
      <c r="B176" s="1449" t="s">
        <v>1086</v>
      </c>
      <c r="C176" s="1445" t="b">
        <f>OR(AND(Page3!$H$13=0,Page7!$F$52&gt;0),AND(Page3!$H$13&gt;0,Page7!$F$52=0))</f>
        <v>0</v>
      </c>
      <c r="D176" s="1450"/>
      <c r="E176" s="1450"/>
      <c r="F176" s="1450"/>
      <c r="G176" s="1444" t="str">
        <f t="shared" si="16"/>
        <v/>
      </c>
      <c r="H176" s="1446" t="str">
        <f>IF(C176=TRUE,Comments!$B$13,"")</f>
        <v/>
      </c>
      <c r="I176" s="1446"/>
      <c r="J176" s="1452"/>
      <c r="K176" s="1452"/>
      <c r="N176" s="611" t="s">
        <v>1256</v>
      </c>
      <c r="O176" s="611" t="str">
        <f t="shared" si="23"/>
        <v/>
      </c>
      <c r="P176" s="611" t="str">
        <f t="shared" si="17"/>
        <v>Page3!H</v>
      </c>
      <c r="Q176" s="611">
        <f t="shared" si="18"/>
        <v>13</v>
      </c>
      <c r="R176" s="1447">
        <f t="shared" ca="1" si="19"/>
        <v>0</v>
      </c>
      <c r="S176" s="1447">
        <f t="shared" ca="1" si="20"/>
        <v>0</v>
      </c>
      <c r="V176" s="2557" t="str">
        <f t="shared" ca="1" si="21"/>
        <v/>
      </c>
      <c r="W176" s="611" t="str">
        <f t="shared" ca="1" si="22"/>
        <v>Page3, Ligne 10 [Page3!H13]  -</v>
      </c>
    </row>
    <row r="177" spans="1:23">
      <c r="A177" s="1117" t="str">
        <f>celladdr(Page3!H14)</f>
        <v>Page3!H14</v>
      </c>
      <c r="B177" s="1449" t="s">
        <v>1086</v>
      </c>
      <c r="C177" s="1445" t="b">
        <f>OR(AND(Page3!$H$14=0,Page7!$F$53&gt;0),AND(Page3!$H$14&gt;0,Page7!$F$53=0))</f>
        <v>0</v>
      </c>
      <c r="D177" s="1450"/>
      <c r="E177" s="1450"/>
      <c r="F177" s="1450"/>
      <c r="G177" s="1444" t="str">
        <f t="shared" si="16"/>
        <v/>
      </c>
      <c r="H177" s="1446" t="str">
        <f>IF(C177=TRUE,Comments!$B$13,"")</f>
        <v/>
      </c>
      <c r="I177" s="1446"/>
      <c r="J177" s="1452"/>
      <c r="K177" s="1452"/>
      <c r="N177" s="611" t="s">
        <v>1257</v>
      </c>
      <c r="O177" s="611" t="str">
        <f t="shared" si="23"/>
        <v/>
      </c>
      <c r="P177" s="611" t="str">
        <f t="shared" si="17"/>
        <v>Page3!H</v>
      </c>
      <c r="Q177" s="611">
        <f t="shared" si="18"/>
        <v>14</v>
      </c>
      <c r="R177" s="1447">
        <f t="shared" ca="1" si="19"/>
        <v>0</v>
      </c>
      <c r="S177" s="1447">
        <f t="shared" ca="1" si="20"/>
        <v>0</v>
      </c>
      <c r="V177" s="2557" t="str">
        <f t="shared" ca="1" si="21"/>
        <v/>
      </c>
      <c r="W177" s="611" t="str">
        <f t="shared" ca="1" si="22"/>
        <v>Page3, Ligne 11 [Page3!H14]  -</v>
      </c>
    </row>
    <row r="178" spans="1:23">
      <c r="A178" s="1443" t="str">
        <f>celladdr(Page3!H63)</f>
        <v>Page3!H63</v>
      </c>
      <c r="B178" s="1460" t="s">
        <v>1086</v>
      </c>
      <c r="C178" s="1445" t="b">
        <f>OR(Page3!$D$63+Page3!$H$63+Page3!$L$63+Page4!$D$63+Page4!$H$63+Page4!$L$63+Page4!$P$63&gt;100,Page3!$D$63+Page3!$H$63+Page3!$L$63+Page4!$D$63+Page4!$H$63+Page4!$L$63+Page4!$P$63&lt;-100)</f>
        <v>0</v>
      </c>
      <c r="D178" s="1445" t="b">
        <f>ABS(Page3!H$63)&gt;ABS(Page4!$P$63)</f>
        <v>0</v>
      </c>
      <c r="G178" s="1444" t="str">
        <f t="shared" si="16"/>
        <v/>
      </c>
      <c r="H178" s="1446" t="str">
        <f>IF(C178=TRUE,Comments!$B$15&amp;DOLLAR(Page4!$P$60+Page4!$D$63+Page4!$H$63+Page4!$L$63+Page3!$D$63+Page3!$H$63+Page3!$L$63,0),"")</f>
        <v/>
      </c>
      <c r="I178" s="1447" t="str">
        <f>IF(D178=TRUE,Comments!$B$71,"")</f>
        <v/>
      </c>
      <c r="J178" s="1446"/>
      <c r="N178" s="611" t="s">
        <v>1258</v>
      </c>
      <c r="O178" s="611" t="str">
        <f t="shared" si="23"/>
        <v/>
      </c>
      <c r="P178" s="611" t="str">
        <f t="shared" si="17"/>
        <v>Page3!H</v>
      </c>
      <c r="Q178" s="611">
        <f t="shared" si="18"/>
        <v>63</v>
      </c>
      <c r="R178" s="1447">
        <f t="shared" ca="1" si="19"/>
        <v>0</v>
      </c>
      <c r="S178" s="1447">
        <f t="shared" ca="1" si="20"/>
        <v>0</v>
      </c>
      <c r="V178" s="2557" t="str">
        <f t="shared" ca="1" si="21"/>
        <v/>
      </c>
      <c r="W178" s="611" t="str">
        <f t="shared" ca="1" si="22"/>
        <v>Page3, Ligne 60 [Page3!H63]  -</v>
      </c>
    </row>
    <row r="179" spans="1:23">
      <c r="A179" s="1117" t="str">
        <f>celladdr(Page3!H64)</f>
        <v>Page3!H64</v>
      </c>
      <c r="B179" s="1444" t="s">
        <v>1086</v>
      </c>
      <c r="C179" s="1445" t="b">
        <f>Page3!$H$64&lt;&gt;Page3!$H$61+Page3!$H$62+Page3!$H$63</f>
        <v>0</v>
      </c>
      <c r="D179" s="1450"/>
      <c r="E179" s="1450"/>
      <c r="F179" s="1450"/>
      <c r="G179" s="1444" t="str">
        <f t="shared" si="16"/>
        <v/>
      </c>
      <c r="H179" s="1446" t="str">
        <f>IF(C179=TRUE,Comments!$B$14&amp;DOLLAR(Page3!$H$64-(Page3!$H$61+Page3!$H$62+Page3!$H$63),0),"")</f>
        <v/>
      </c>
      <c r="I179" s="1452"/>
      <c r="J179" s="1452"/>
      <c r="K179" s="1452"/>
      <c r="N179" s="611" t="s">
        <v>1259</v>
      </c>
      <c r="O179" s="611" t="str">
        <f t="shared" si="23"/>
        <v/>
      </c>
      <c r="P179" s="611" t="str">
        <f t="shared" si="17"/>
        <v>Page3!H</v>
      </c>
      <c r="Q179" s="611">
        <f t="shared" si="18"/>
        <v>64</v>
      </c>
      <c r="R179" s="1447">
        <f t="shared" ca="1" si="19"/>
        <v>0</v>
      </c>
      <c r="S179" s="1447">
        <f t="shared" ca="1" si="20"/>
        <v>0</v>
      </c>
      <c r="V179" s="2557" t="str">
        <f t="shared" ca="1" si="21"/>
        <v/>
      </c>
      <c r="W179" s="611" t="str">
        <f t="shared" ca="1" si="22"/>
        <v>Page3, Ligne 61 [Page3!H64]  -</v>
      </c>
    </row>
    <row r="180" spans="1:23">
      <c r="A180" s="1117" t="str">
        <f>celladdr(Page3!J15)</f>
        <v>Page3!J15</v>
      </c>
      <c r="B180" s="1456" t="s">
        <v>1086</v>
      </c>
      <c r="D180" s="1450"/>
      <c r="E180" s="1450"/>
      <c r="F180" s="1454"/>
      <c r="G180" s="1444" t="str">
        <f t="shared" si="16"/>
        <v/>
      </c>
      <c r="I180" s="1452"/>
      <c r="J180" s="1452"/>
      <c r="K180" s="1446"/>
      <c r="N180" s="611" t="s">
        <v>1260</v>
      </c>
      <c r="O180" s="611" t="str">
        <f t="shared" si="23"/>
        <v/>
      </c>
      <c r="P180" s="611" t="str">
        <f t="shared" si="17"/>
        <v>Page3!J</v>
      </c>
      <c r="Q180" s="611">
        <f t="shared" si="18"/>
        <v>15</v>
      </c>
      <c r="R180" s="1447">
        <f t="shared" ca="1" si="19"/>
        <v>0</v>
      </c>
      <c r="S180" s="1447">
        <f t="shared" ca="1" si="20"/>
        <v>0</v>
      </c>
      <c r="V180" s="2557" t="str">
        <f t="shared" ca="1" si="21"/>
        <v/>
      </c>
      <c r="W180" s="611" t="str">
        <f t="shared" ca="1" si="22"/>
        <v>Page3, Ligne 12 [Page3!J15]  -</v>
      </c>
    </row>
    <row r="181" spans="1:23">
      <c r="A181" s="1117" t="str">
        <f>celladdr(Page3!J16)</f>
        <v>Page3!J16</v>
      </c>
      <c r="B181" s="1456" t="s">
        <v>1086</v>
      </c>
      <c r="D181" s="1450"/>
      <c r="E181" s="1450"/>
      <c r="F181" s="1454"/>
      <c r="G181" s="1444" t="str">
        <f t="shared" si="16"/>
        <v/>
      </c>
      <c r="I181" s="1452"/>
      <c r="J181" s="1452"/>
      <c r="K181" s="1446"/>
      <c r="N181" s="611" t="s">
        <v>1261</v>
      </c>
      <c r="O181" s="611" t="str">
        <f t="shared" si="23"/>
        <v/>
      </c>
      <c r="P181" s="611" t="str">
        <f t="shared" si="17"/>
        <v>Page3!J</v>
      </c>
      <c r="Q181" s="611">
        <f t="shared" si="18"/>
        <v>16</v>
      </c>
      <c r="R181" s="1447">
        <f t="shared" ca="1" si="19"/>
        <v>0</v>
      </c>
      <c r="S181" s="1447">
        <f t="shared" ca="1" si="20"/>
        <v>0</v>
      </c>
      <c r="V181" s="2557" t="str">
        <f t="shared" ca="1" si="21"/>
        <v/>
      </c>
      <c r="W181" s="611" t="str">
        <f t="shared" ca="1" si="22"/>
        <v>Page3, Ligne 13 [Page3!J16]  -</v>
      </c>
    </row>
    <row r="182" spans="1:23">
      <c r="A182" s="1117" t="str">
        <f>celladdr(Page3!J17)</f>
        <v>Page3!J17</v>
      </c>
      <c r="B182" s="1456" t="s">
        <v>1086</v>
      </c>
      <c r="D182" s="1450"/>
      <c r="E182" s="1450" t="b">
        <f>OR(AND(SUM(Page3!$J$11:$J$14)+Page3!$J$7&gt;0,Page3!$J$17=0),AND(SUM(Page3!$J$11:$J$14)+Page3!$J$7=0,Page3!$J$17&gt;0))</f>
        <v>0</v>
      </c>
      <c r="F182" s="1454"/>
      <c r="G182" s="1444" t="str">
        <f t="shared" si="16"/>
        <v/>
      </c>
      <c r="I182" s="1452"/>
      <c r="J182" s="1452" t="str">
        <f>IF(E182=TRUE,Comments!$B$12,"")</f>
        <v/>
      </c>
      <c r="K182" s="1446"/>
      <c r="N182" s="611" t="s">
        <v>1262</v>
      </c>
      <c r="O182" s="611" t="str">
        <f t="shared" si="23"/>
        <v/>
      </c>
      <c r="P182" s="611" t="str">
        <f t="shared" si="17"/>
        <v>Page3!J</v>
      </c>
      <c r="Q182" s="611">
        <f t="shared" si="18"/>
        <v>17</v>
      </c>
      <c r="R182" s="1447">
        <f t="shared" ca="1" si="19"/>
        <v>0</v>
      </c>
      <c r="S182" s="1447">
        <f t="shared" ca="1" si="20"/>
        <v>0</v>
      </c>
      <c r="T182" s="611">
        <v>12</v>
      </c>
      <c r="V182" s="2557" t="str">
        <f t="shared" ca="1" si="21"/>
        <v/>
      </c>
      <c r="W182" s="611" t="str">
        <f t="shared" ca="1" si="22"/>
        <v>Page3, Ligne 14 [Page3!J17]  -</v>
      </c>
    </row>
    <row r="183" spans="1:23">
      <c r="A183" s="1117" t="str">
        <f>celladdr(Page3!J18)</f>
        <v>Page3!J18</v>
      </c>
      <c r="B183" s="1456" t="s">
        <v>1086</v>
      </c>
      <c r="D183" s="1450"/>
      <c r="E183" s="1450" t="b">
        <f>OR(AND(SUM(Page3!$J$11:$J$14)+Page3!$J$7&gt;0,Page3!$J$18=0),AND(SUM(Page3!$J$11:$J$14)+Page3!$J$7=0,Page3!$J$18&gt;0))</f>
        <v>0</v>
      </c>
      <c r="F183" s="1450"/>
      <c r="G183" s="1444" t="str">
        <f t="shared" si="16"/>
        <v/>
      </c>
      <c r="I183" s="1452"/>
      <c r="J183" s="1452" t="str">
        <f>IF(E183=TRUE,Comments!$B$12,"")</f>
        <v/>
      </c>
      <c r="K183" s="1452"/>
      <c r="N183" s="611" t="s">
        <v>1263</v>
      </c>
      <c r="O183" s="611" t="str">
        <f t="shared" si="23"/>
        <v/>
      </c>
      <c r="P183" s="611" t="str">
        <f t="shared" si="17"/>
        <v>Page3!J</v>
      </c>
      <c r="Q183" s="611">
        <f t="shared" si="18"/>
        <v>18</v>
      </c>
      <c r="R183" s="1447">
        <f t="shared" ca="1" si="19"/>
        <v>0</v>
      </c>
      <c r="S183" s="1447">
        <f t="shared" ca="1" si="20"/>
        <v>0</v>
      </c>
      <c r="T183" s="611">
        <v>12</v>
      </c>
      <c r="V183" s="2557" t="str">
        <f t="shared" ca="1" si="21"/>
        <v/>
      </c>
      <c r="W183" s="611" t="str">
        <f t="shared" ca="1" si="22"/>
        <v>Page3, Ligne 15 [Page3!J18]  -</v>
      </c>
    </row>
    <row r="184" spans="1:23">
      <c r="A184" s="1117" t="str">
        <f>celladdr(Page3!J19)</f>
        <v>Page3!J19</v>
      </c>
      <c r="B184" s="1456" t="s">
        <v>1086</v>
      </c>
      <c r="D184" s="1450"/>
      <c r="E184" s="1450"/>
      <c r="F184" s="1450"/>
      <c r="G184" s="1444" t="str">
        <f t="shared" si="16"/>
        <v/>
      </c>
      <c r="I184" s="1452"/>
      <c r="J184" s="1452"/>
      <c r="K184" s="1452"/>
      <c r="N184" s="611" t="s">
        <v>1264</v>
      </c>
      <c r="O184" s="611" t="str">
        <f t="shared" si="23"/>
        <v/>
      </c>
      <c r="P184" s="611" t="str">
        <f t="shared" si="17"/>
        <v>Page3!J</v>
      </c>
      <c r="Q184" s="611">
        <f t="shared" si="18"/>
        <v>19</v>
      </c>
      <c r="R184" s="1447">
        <f t="shared" ca="1" si="19"/>
        <v>0</v>
      </c>
      <c r="S184" s="1447">
        <f t="shared" ca="1" si="20"/>
        <v>0</v>
      </c>
      <c r="V184" s="2557" t="str">
        <f t="shared" ca="1" si="21"/>
        <v/>
      </c>
      <c r="W184" s="611" t="str">
        <f t="shared" ca="1" si="22"/>
        <v>Page3, Ligne 16 [Page3!J19]  -</v>
      </c>
    </row>
    <row r="185" spans="1:23">
      <c r="A185" s="1117" t="str">
        <f>celladdr(Page3!J21)</f>
        <v>Page3!J21</v>
      </c>
      <c r="B185" s="1456" t="s">
        <v>1086</v>
      </c>
      <c r="D185" s="1450"/>
      <c r="E185" s="1450"/>
      <c r="F185" s="1450"/>
      <c r="G185" s="1444" t="str">
        <f t="shared" si="16"/>
        <v/>
      </c>
      <c r="I185" s="1452"/>
      <c r="J185" s="1452"/>
      <c r="K185" s="1452"/>
      <c r="N185" s="611" t="s">
        <v>1265</v>
      </c>
      <c r="O185" s="611" t="str">
        <f t="shared" si="23"/>
        <v/>
      </c>
      <c r="P185" s="611" t="str">
        <f t="shared" si="17"/>
        <v>Page3!J</v>
      </c>
      <c r="Q185" s="611">
        <f t="shared" si="18"/>
        <v>21</v>
      </c>
      <c r="R185" s="1447">
        <f t="shared" ca="1" si="19"/>
        <v>0</v>
      </c>
      <c r="S185" s="1447">
        <f t="shared" ca="1" si="20"/>
        <v>0</v>
      </c>
      <c r="V185" s="2557" t="str">
        <f t="shared" ca="1" si="21"/>
        <v/>
      </c>
      <c r="W185" s="611" t="str">
        <f t="shared" ca="1" si="22"/>
        <v>Page3, Ligne 18 [Page3!J21]  -</v>
      </c>
    </row>
    <row r="186" spans="1:23">
      <c r="A186" s="1117" t="str">
        <f>celladdr(Page3!J22)</f>
        <v>Page3!J22</v>
      </c>
      <c r="B186" s="1456" t="s">
        <v>1086</v>
      </c>
      <c r="D186" s="1450"/>
      <c r="E186" s="1450"/>
      <c r="F186" s="1450"/>
      <c r="G186" s="1444" t="str">
        <f t="shared" si="16"/>
        <v/>
      </c>
      <c r="I186" s="1452"/>
      <c r="J186" s="1452"/>
      <c r="K186" s="1452"/>
      <c r="N186" s="611" t="s">
        <v>1266</v>
      </c>
      <c r="O186" s="611" t="str">
        <f t="shared" si="23"/>
        <v/>
      </c>
      <c r="P186" s="611" t="str">
        <f t="shared" si="17"/>
        <v>Page3!J</v>
      </c>
      <c r="Q186" s="611">
        <f t="shared" si="18"/>
        <v>22</v>
      </c>
      <c r="R186" s="1447">
        <f t="shared" ca="1" si="19"/>
        <v>0</v>
      </c>
      <c r="S186" s="1447">
        <f t="shared" ca="1" si="20"/>
        <v>0</v>
      </c>
      <c r="V186" s="2557" t="str">
        <f t="shared" ca="1" si="21"/>
        <v/>
      </c>
      <c r="W186" s="611" t="str">
        <f t="shared" ca="1" si="22"/>
        <v>Page3, Ligne 19 [Page3!J22]  -</v>
      </c>
    </row>
    <row r="187" spans="1:23">
      <c r="A187" s="1117" t="str">
        <f>celladdr(Page3!J23)</f>
        <v>Page3!J23</v>
      </c>
      <c r="B187" s="1456" t="s">
        <v>1086</v>
      </c>
      <c r="D187" s="1450"/>
      <c r="E187" s="1450"/>
      <c r="F187" s="1450"/>
      <c r="G187" s="1444" t="str">
        <f t="shared" si="16"/>
        <v/>
      </c>
      <c r="I187" s="1452"/>
      <c r="J187" s="1452"/>
      <c r="K187" s="1452"/>
      <c r="N187" s="611" t="s">
        <v>1267</v>
      </c>
      <c r="O187" s="611" t="str">
        <f t="shared" si="23"/>
        <v/>
      </c>
      <c r="P187" s="611" t="str">
        <f t="shared" si="17"/>
        <v>Page3!J</v>
      </c>
      <c r="Q187" s="611">
        <f t="shared" si="18"/>
        <v>23</v>
      </c>
      <c r="R187" s="1447">
        <f t="shared" ca="1" si="19"/>
        <v>0</v>
      </c>
      <c r="S187" s="1447">
        <f t="shared" ca="1" si="20"/>
        <v>0</v>
      </c>
      <c r="V187" s="2557" t="str">
        <f t="shared" ca="1" si="21"/>
        <v/>
      </c>
      <c r="W187" s="611" t="str">
        <f t="shared" ca="1" si="22"/>
        <v>Page3, Ligne 20 [Page3!J23]  -</v>
      </c>
    </row>
    <row r="188" spans="1:23">
      <c r="A188" s="1117" t="str">
        <f>celladdr(Page3!J24)</f>
        <v>Page3!J24</v>
      </c>
      <c r="B188" s="1456" t="s">
        <v>1086</v>
      </c>
      <c r="D188" s="1450"/>
      <c r="E188" s="1450"/>
      <c r="F188" s="1450"/>
      <c r="G188" s="1444" t="str">
        <f t="shared" si="16"/>
        <v/>
      </c>
      <c r="I188" s="1452"/>
      <c r="J188" s="1452"/>
      <c r="K188" s="1452"/>
      <c r="N188" s="611" t="s">
        <v>1268</v>
      </c>
      <c r="O188" s="611" t="str">
        <f t="shared" si="23"/>
        <v/>
      </c>
      <c r="P188" s="611" t="str">
        <f t="shared" si="17"/>
        <v>Page3!J</v>
      </c>
      <c r="Q188" s="611">
        <f t="shared" si="18"/>
        <v>24</v>
      </c>
      <c r="R188" s="1447">
        <f t="shared" ca="1" si="19"/>
        <v>0</v>
      </c>
      <c r="S188" s="1447">
        <f t="shared" ca="1" si="20"/>
        <v>0</v>
      </c>
      <c r="V188" s="2557" t="str">
        <f t="shared" ca="1" si="21"/>
        <v/>
      </c>
      <c r="W188" s="611" t="str">
        <f t="shared" ca="1" si="22"/>
        <v>Page3, Ligne 21 [Page3!J24]  -</v>
      </c>
    </row>
    <row r="189" spans="1:23">
      <c r="A189" s="1117" t="str">
        <f>celladdr(Page3!J25)</f>
        <v>Page3!J25</v>
      </c>
      <c r="B189" s="1456" t="s">
        <v>1086</v>
      </c>
      <c r="D189" s="1450"/>
      <c r="E189" s="1450"/>
      <c r="F189" s="1450"/>
      <c r="G189" s="1444" t="str">
        <f t="shared" si="16"/>
        <v/>
      </c>
      <c r="I189" s="1452"/>
      <c r="J189" s="1452"/>
      <c r="K189" s="1452"/>
      <c r="N189" s="611" t="s">
        <v>1269</v>
      </c>
      <c r="O189" s="611" t="str">
        <f t="shared" si="23"/>
        <v/>
      </c>
      <c r="P189" s="611" t="str">
        <f t="shared" si="17"/>
        <v>Page3!J</v>
      </c>
      <c r="Q189" s="611">
        <f t="shared" si="18"/>
        <v>25</v>
      </c>
      <c r="R189" s="1447">
        <f t="shared" ca="1" si="19"/>
        <v>0</v>
      </c>
      <c r="S189" s="1447">
        <f t="shared" ca="1" si="20"/>
        <v>0</v>
      </c>
      <c r="V189" s="2557" t="str">
        <f t="shared" ca="1" si="21"/>
        <v/>
      </c>
      <c r="W189" s="611" t="str">
        <f t="shared" ca="1" si="22"/>
        <v>Page3, Ligne 22 [Page3!J25]  -</v>
      </c>
    </row>
    <row r="190" spans="1:23">
      <c r="A190" s="1117" t="str">
        <f>celladdr(Page3!J26)</f>
        <v>Page3!J26</v>
      </c>
      <c r="B190" s="1456" t="s">
        <v>1086</v>
      </c>
      <c r="D190" s="1450"/>
      <c r="E190" s="1450"/>
      <c r="F190" s="1450"/>
      <c r="G190" s="1444" t="str">
        <f t="shared" si="16"/>
        <v/>
      </c>
      <c r="I190" s="1452"/>
      <c r="J190" s="1452"/>
      <c r="K190" s="1452"/>
      <c r="N190" s="611" t="s">
        <v>1270</v>
      </c>
      <c r="O190" s="611" t="str">
        <f t="shared" si="23"/>
        <v/>
      </c>
      <c r="P190" s="611" t="str">
        <f t="shared" si="17"/>
        <v>Page3!J</v>
      </c>
      <c r="Q190" s="611">
        <f t="shared" si="18"/>
        <v>26</v>
      </c>
      <c r="R190" s="1447">
        <f t="shared" ca="1" si="19"/>
        <v>0</v>
      </c>
      <c r="S190" s="1447">
        <f t="shared" ca="1" si="20"/>
        <v>0</v>
      </c>
      <c r="V190" s="2557" t="str">
        <f t="shared" ca="1" si="21"/>
        <v/>
      </c>
      <c r="W190" s="611" t="str">
        <f t="shared" ca="1" si="22"/>
        <v>Page3, Ligne 23 [Page3!J26]  -</v>
      </c>
    </row>
    <row r="191" spans="1:23">
      <c r="A191" s="1117" t="str">
        <f>celladdr(Page3!J27)</f>
        <v>Page3!J27</v>
      </c>
      <c r="B191" s="1456" t="s">
        <v>1086</v>
      </c>
      <c r="D191" s="1450"/>
      <c r="E191" s="1450"/>
      <c r="F191" s="1450"/>
      <c r="G191" s="1444" t="str">
        <f t="shared" si="16"/>
        <v/>
      </c>
      <c r="I191" s="1452"/>
      <c r="J191" s="1452"/>
      <c r="K191" s="1452"/>
      <c r="N191" s="611" t="s">
        <v>1271</v>
      </c>
      <c r="O191" s="611" t="str">
        <f t="shared" si="23"/>
        <v/>
      </c>
      <c r="P191" s="611" t="str">
        <f t="shared" si="17"/>
        <v>Page3!J</v>
      </c>
      <c r="Q191" s="611">
        <f t="shared" si="18"/>
        <v>27</v>
      </c>
      <c r="R191" s="1447">
        <f t="shared" ca="1" si="19"/>
        <v>0</v>
      </c>
      <c r="S191" s="1447">
        <f t="shared" ca="1" si="20"/>
        <v>0</v>
      </c>
      <c r="V191" s="2557" t="str">
        <f t="shared" ca="1" si="21"/>
        <v/>
      </c>
      <c r="W191" s="611" t="str">
        <f t="shared" ca="1" si="22"/>
        <v>Page3, Ligne 24 [Page3!J27]  -</v>
      </c>
    </row>
    <row r="192" spans="1:23">
      <c r="A192" s="1117" t="str">
        <f>celladdr(Page3!J29)</f>
        <v>Page3!J29</v>
      </c>
      <c r="B192" s="1456" t="s">
        <v>1086</v>
      </c>
      <c r="D192" s="1450"/>
      <c r="E192" s="1450"/>
      <c r="F192" s="1450"/>
      <c r="G192" s="1444" t="str">
        <f t="shared" si="16"/>
        <v/>
      </c>
      <c r="I192" s="1452"/>
      <c r="J192" s="1452"/>
      <c r="K192" s="1452"/>
      <c r="N192" s="611" t="s">
        <v>1272</v>
      </c>
      <c r="O192" s="611" t="str">
        <f t="shared" si="23"/>
        <v/>
      </c>
      <c r="P192" s="611" t="str">
        <f t="shared" si="17"/>
        <v>Page3!J</v>
      </c>
      <c r="Q192" s="611">
        <f t="shared" si="18"/>
        <v>29</v>
      </c>
      <c r="R192" s="1447">
        <f t="shared" ca="1" si="19"/>
        <v>0</v>
      </c>
      <c r="S192" s="1447">
        <f t="shared" ca="1" si="20"/>
        <v>0</v>
      </c>
      <c r="V192" s="2557" t="str">
        <f t="shared" ca="1" si="21"/>
        <v/>
      </c>
      <c r="W192" s="611" t="str">
        <f t="shared" ca="1" si="22"/>
        <v>Page3, Ligne 26 [Page3!J29]  -</v>
      </c>
    </row>
    <row r="193" spans="1:23">
      <c r="A193" s="1117" t="str">
        <f>celladdr(Page3!J30)</f>
        <v>Page3!J30</v>
      </c>
      <c r="B193" s="1456" t="s">
        <v>1086</v>
      </c>
      <c r="D193" s="1450"/>
      <c r="E193" s="1450"/>
      <c r="F193" s="1450"/>
      <c r="G193" s="1444" t="str">
        <f t="shared" si="16"/>
        <v/>
      </c>
      <c r="I193" s="1452"/>
      <c r="J193" s="1452"/>
      <c r="K193" s="1452"/>
      <c r="N193" s="611" t="s">
        <v>1273</v>
      </c>
      <c r="O193" s="611" t="str">
        <f t="shared" si="23"/>
        <v/>
      </c>
      <c r="P193" s="611" t="str">
        <f t="shared" si="17"/>
        <v>Page3!J</v>
      </c>
      <c r="Q193" s="611">
        <f t="shared" si="18"/>
        <v>30</v>
      </c>
      <c r="R193" s="1447">
        <f t="shared" ca="1" si="19"/>
        <v>0</v>
      </c>
      <c r="S193" s="1447">
        <f t="shared" ca="1" si="20"/>
        <v>0</v>
      </c>
      <c r="V193" s="2557" t="str">
        <f t="shared" ca="1" si="21"/>
        <v/>
      </c>
      <c r="W193" s="611" t="str">
        <f t="shared" ca="1" si="22"/>
        <v>Page3, Ligne 27 [Page3!J30]  -</v>
      </c>
    </row>
    <row r="194" spans="1:23">
      <c r="A194" s="1117" t="str">
        <f>celladdr(Page3!J31)</f>
        <v>Page3!J31</v>
      </c>
      <c r="B194" s="1456" t="s">
        <v>1086</v>
      </c>
      <c r="D194" s="1450"/>
      <c r="E194" s="1450"/>
      <c r="F194" s="1450"/>
      <c r="G194" s="1444" t="str">
        <f t="shared" ref="G194:G257" si="24">IF(H194&amp;I194&amp;J194&amp;K194&lt;&gt;"","No.de ref. du commentaire.: "&amp;W194&amp;" "&amp;N194&amp;" "&amp;H194&amp;I194&amp;IF(OR(C194=TRUE,D194=TRUE),"",J194&amp;K194&amp;V194),"")</f>
        <v/>
      </c>
      <c r="I194" s="1452"/>
      <c r="J194" s="1452"/>
      <c r="K194" s="1452"/>
      <c r="N194" s="611" t="s">
        <v>1274</v>
      </c>
      <c r="O194" s="611" t="str">
        <f t="shared" si="23"/>
        <v/>
      </c>
      <c r="P194" s="611" t="str">
        <f t="shared" ref="P194:P257" si="25">LEFT(A194,FIND("!",A194)+1)</f>
        <v>Page3!J</v>
      </c>
      <c r="Q194" s="611">
        <f t="shared" ref="Q194:Q257" si="26">VALUE(RIGHT(A194,LEN(A194)-FIND("!",A194)-1))</f>
        <v>31</v>
      </c>
      <c r="R194" s="1447">
        <f t="shared" ref="R194:R257" ca="1" si="27">IF(E194=TRUE,INDIRECT("Comments!$D$"&amp;T194),0)</f>
        <v>0</v>
      </c>
      <c r="S194" s="1447">
        <f t="shared" ref="S194:S257" ca="1" si="28">IF(F194=TRUE,INDIRECT("Comments!$D$"&amp;U194),0)</f>
        <v>0</v>
      </c>
      <c r="V194" s="2557" t="str">
        <f t="shared" ref="V194:V257" ca="1" si="29">IF(SUM(R194+S194)=0,"","
*** "&amp;TEXT(SUM(R194+S194),"0,0")&amp;" Points de précision seront déduits suite à cette(ces) erreur(s) !")</f>
        <v/>
      </c>
      <c r="W194" s="611" t="str">
        <f t="shared" ref="W194:W257" ca="1" si="30">LEFT(A194,FIND("!",A194,1)-1)&amp;", Ligne "&amp;INDIRECT(ADDRESS(ROW(INDIRECT(A194)),IF(INDIRECT(ADDRESS(ROW(INDIRECT(A194)),1,,,LEFT(A194,FIND("!",A194,1)-1)))="",2,1),,,LEFT(A194,FIND("!",A194,1)-1)))&amp;" ["&amp;A194&amp;"] "&amp;" -"</f>
        <v>Page3, Ligne 28 [Page3!J31]  -</v>
      </c>
    </row>
    <row r="195" spans="1:23">
      <c r="A195" s="1117" t="str">
        <f>celladdr(Page3!J32)</f>
        <v>Page3!J32</v>
      </c>
      <c r="B195" s="1456" t="s">
        <v>1086</v>
      </c>
      <c r="D195" s="1450"/>
      <c r="E195" s="1450"/>
      <c r="F195" s="1450"/>
      <c r="G195" s="1444" t="str">
        <f t="shared" si="24"/>
        <v/>
      </c>
      <c r="I195" s="1452"/>
      <c r="J195" s="1452"/>
      <c r="K195" s="1452"/>
      <c r="N195" s="611" t="s">
        <v>1275</v>
      </c>
      <c r="O195" s="611" t="str">
        <f t="shared" ref="O195:O258" si="31">IF(A195=A194,"TRUE","")</f>
        <v/>
      </c>
      <c r="P195" s="611" t="str">
        <f t="shared" si="25"/>
        <v>Page3!J</v>
      </c>
      <c r="Q195" s="611">
        <f t="shared" si="26"/>
        <v>32</v>
      </c>
      <c r="R195" s="1447">
        <f t="shared" ca="1" si="27"/>
        <v>0</v>
      </c>
      <c r="S195" s="1447">
        <f t="shared" ca="1" si="28"/>
        <v>0</v>
      </c>
      <c r="V195" s="2557" t="str">
        <f t="shared" ca="1" si="29"/>
        <v/>
      </c>
      <c r="W195" s="611" t="str">
        <f t="shared" ca="1" si="30"/>
        <v>Page3, Ligne 29 [Page3!J32]  -</v>
      </c>
    </row>
    <row r="196" spans="1:23">
      <c r="A196" s="1117" t="str">
        <f>celladdr(Page3!J33)</f>
        <v>Page3!J33</v>
      </c>
      <c r="B196" s="1456" t="s">
        <v>1086</v>
      </c>
      <c r="D196" s="1450"/>
      <c r="E196" s="1450"/>
      <c r="F196" s="1450"/>
      <c r="G196" s="1444" t="str">
        <f t="shared" si="24"/>
        <v/>
      </c>
      <c r="I196" s="1452"/>
      <c r="J196" s="1452"/>
      <c r="K196" s="1452"/>
      <c r="N196" s="611" t="s">
        <v>1276</v>
      </c>
      <c r="O196" s="611" t="str">
        <f t="shared" si="31"/>
        <v/>
      </c>
      <c r="P196" s="611" t="str">
        <f t="shared" si="25"/>
        <v>Page3!J</v>
      </c>
      <c r="Q196" s="611">
        <f t="shared" si="26"/>
        <v>33</v>
      </c>
      <c r="R196" s="1447">
        <f t="shared" ca="1" si="27"/>
        <v>0</v>
      </c>
      <c r="S196" s="1447">
        <f t="shared" ca="1" si="28"/>
        <v>0</v>
      </c>
      <c r="V196" s="2557" t="str">
        <f t="shared" ca="1" si="29"/>
        <v/>
      </c>
      <c r="W196" s="611" t="str">
        <f t="shared" ca="1" si="30"/>
        <v>Page3, Ligne 30 [Page3!J33]  -</v>
      </c>
    </row>
    <row r="197" spans="1:23">
      <c r="A197" s="1117" t="str">
        <f>celladdr(Page3!J34)</f>
        <v>Page3!J34</v>
      </c>
      <c r="B197" s="1456" t="s">
        <v>1086</v>
      </c>
      <c r="D197" s="1450"/>
      <c r="E197" s="1450"/>
      <c r="F197" s="1450"/>
      <c r="G197" s="1444" t="str">
        <f t="shared" si="24"/>
        <v/>
      </c>
      <c r="I197" s="1452"/>
      <c r="J197" s="1452"/>
      <c r="K197" s="1452"/>
      <c r="N197" s="611" t="s">
        <v>1277</v>
      </c>
      <c r="O197" s="611" t="str">
        <f t="shared" si="31"/>
        <v/>
      </c>
      <c r="P197" s="611" t="str">
        <f t="shared" si="25"/>
        <v>Page3!J</v>
      </c>
      <c r="Q197" s="611">
        <f t="shared" si="26"/>
        <v>34</v>
      </c>
      <c r="R197" s="1447">
        <f t="shared" ca="1" si="27"/>
        <v>0</v>
      </c>
      <c r="S197" s="1447">
        <f t="shared" ca="1" si="28"/>
        <v>0</v>
      </c>
      <c r="V197" s="2557" t="str">
        <f t="shared" ca="1" si="29"/>
        <v/>
      </c>
      <c r="W197" s="611" t="str">
        <f t="shared" ca="1" si="30"/>
        <v>Page3, Ligne 31 [Page3!J34]  -</v>
      </c>
    </row>
    <row r="198" spans="1:23">
      <c r="A198" s="1117" t="str">
        <f>celladdr(Page3!J35)</f>
        <v>Page3!J35</v>
      </c>
      <c r="B198" s="1456" t="s">
        <v>1086</v>
      </c>
      <c r="D198" s="1450"/>
      <c r="E198" s="1450"/>
      <c r="F198" s="1450"/>
      <c r="G198" s="1444" t="str">
        <f t="shared" si="24"/>
        <v/>
      </c>
      <c r="I198" s="1452"/>
      <c r="J198" s="1452"/>
      <c r="K198" s="1452"/>
      <c r="N198" s="611" t="s">
        <v>1278</v>
      </c>
      <c r="O198" s="611" t="str">
        <f t="shared" si="31"/>
        <v/>
      </c>
      <c r="P198" s="611" t="str">
        <f t="shared" si="25"/>
        <v>Page3!J</v>
      </c>
      <c r="Q198" s="611">
        <f t="shared" si="26"/>
        <v>35</v>
      </c>
      <c r="R198" s="1447">
        <f t="shared" ca="1" si="27"/>
        <v>0</v>
      </c>
      <c r="S198" s="1447">
        <f t="shared" ca="1" si="28"/>
        <v>0</v>
      </c>
      <c r="V198" s="2557" t="str">
        <f t="shared" ca="1" si="29"/>
        <v/>
      </c>
      <c r="W198" s="611" t="str">
        <f t="shared" ca="1" si="30"/>
        <v>Page3, Ligne 32 [Page3!J35]  -</v>
      </c>
    </row>
    <row r="199" spans="1:23">
      <c r="A199" s="1117" t="str">
        <f>celladdr(Page3!J36)</f>
        <v>Page3!J36</v>
      </c>
      <c r="B199" s="1456" t="s">
        <v>1086</v>
      </c>
      <c r="D199" s="1450"/>
      <c r="E199" s="1450"/>
      <c r="F199" s="1450"/>
      <c r="G199" s="1444" t="str">
        <f t="shared" si="24"/>
        <v/>
      </c>
      <c r="I199" s="1452"/>
      <c r="J199" s="1452"/>
      <c r="K199" s="1452"/>
      <c r="N199" s="611" t="s">
        <v>1279</v>
      </c>
      <c r="O199" s="611" t="str">
        <f t="shared" si="31"/>
        <v/>
      </c>
      <c r="P199" s="611" t="str">
        <f t="shared" si="25"/>
        <v>Page3!J</v>
      </c>
      <c r="Q199" s="611">
        <f t="shared" si="26"/>
        <v>36</v>
      </c>
      <c r="R199" s="1447">
        <f t="shared" ca="1" si="27"/>
        <v>0</v>
      </c>
      <c r="S199" s="1447">
        <f t="shared" ca="1" si="28"/>
        <v>0</v>
      </c>
      <c r="V199" s="2557" t="str">
        <f t="shared" ca="1" si="29"/>
        <v/>
      </c>
      <c r="W199" s="611" t="str">
        <f t="shared" ca="1" si="30"/>
        <v>Page3, Ligne 33 [Page3!J36]  -</v>
      </c>
    </row>
    <row r="200" spans="1:23">
      <c r="A200" s="1117" t="str">
        <f>celladdr(Page3!J37)</f>
        <v>Page3!J37</v>
      </c>
      <c r="B200" s="1456" t="s">
        <v>1086</v>
      </c>
      <c r="D200" s="1450"/>
      <c r="E200" s="1450"/>
      <c r="F200" s="1450"/>
      <c r="G200" s="1444" t="str">
        <f t="shared" si="24"/>
        <v/>
      </c>
      <c r="I200" s="1452"/>
      <c r="J200" s="1452"/>
      <c r="K200" s="1452"/>
      <c r="N200" s="611" t="s">
        <v>1280</v>
      </c>
      <c r="O200" s="611" t="str">
        <f t="shared" si="31"/>
        <v/>
      </c>
      <c r="P200" s="611" t="str">
        <f t="shared" si="25"/>
        <v>Page3!J</v>
      </c>
      <c r="Q200" s="611">
        <f t="shared" si="26"/>
        <v>37</v>
      </c>
      <c r="R200" s="1447">
        <f t="shared" ca="1" si="27"/>
        <v>0</v>
      </c>
      <c r="S200" s="1447">
        <f t="shared" ca="1" si="28"/>
        <v>0</v>
      </c>
      <c r="V200" s="2557" t="str">
        <f t="shared" ca="1" si="29"/>
        <v/>
      </c>
      <c r="W200" s="611" t="str">
        <f t="shared" ca="1" si="30"/>
        <v>Page3, Ligne 34 [Page3!J37]  -</v>
      </c>
    </row>
    <row r="201" spans="1:23">
      <c r="A201" s="1117" t="str">
        <f>celladdr(Page3!J38)</f>
        <v>Page3!J38</v>
      </c>
      <c r="B201" s="1456" t="s">
        <v>1086</v>
      </c>
      <c r="D201" s="1450"/>
      <c r="E201" s="1450"/>
      <c r="F201" s="1450"/>
      <c r="G201" s="1444" t="str">
        <f t="shared" si="24"/>
        <v/>
      </c>
      <c r="I201" s="1452"/>
      <c r="J201" s="1452"/>
      <c r="K201" s="1452"/>
      <c r="N201" s="611" t="s">
        <v>1281</v>
      </c>
      <c r="O201" s="611" t="str">
        <f t="shared" si="31"/>
        <v/>
      </c>
      <c r="P201" s="611" t="str">
        <f t="shared" si="25"/>
        <v>Page3!J</v>
      </c>
      <c r="Q201" s="611">
        <f t="shared" si="26"/>
        <v>38</v>
      </c>
      <c r="R201" s="1447">
        <f t="shared" ca="1" si="27"/>
        <v>0</v>
      </c>
      <c r="S201" s="1447">
        <f t="shared" ca="1" si="28"/>
        <v>0</v>
      </c>
      <c r="V201" s="2557" t="str">
        <f t="shared" ca="1" si="29"/>
        <v/>
      </c>
      <c r="W201" s="611" t="str">
        <f t="shared" ca="1" si="30"/>
        <v>Page3, Ligne 35 [Page3!J38]  -</v>
      </c>
    </row>
    <row r="202" spans="1:23">
      <c r="A202" s="1117" t="str">
        <f>celladdr(Page3!J39)</f>
        <v>Page3!J39</v>
      </c>
      <c r="B202" s="1456" t="s">
        <v>1086</v>
      </c>
      <c r="D202" s="1450"/>
      <c r="E202" s="1450"/>
      <c r="F202" s="1450"/>
      <c r="G202" s="1444" t="str">
        <f t="shared" si="24"/>
        <v/>
      </c>
      <c r="I202" s="1452"/>
      <c r="J202" s="1452"/>
      <c r="K202" s="1452"/>
      <c r="N202" s="611" t="s">
        <v>1282</v>
      </c>
      <c r="O202" s="611" t="str">
        <f t="shared" si="31"/>
        <v/>
      </c>
      <c r="P202" s="611" t="str">
        <f t="shared" si="25"/>
        <v>Page3!J</v>
      </c>
      <c r="Q202" s="611">
        <f t="shared" si="26"/>
        <v>39</v>
      </c>
      <c r="R202" s="1447">
        <f t="shared" ca="1" si="27"/>
        <v>0</v>
      </c>
      <c r="S202" s="1447">
        <f t="shared" ca="1" si="28"/>
        <v>0</v>
      </c>
      <c r="V202" s="2557" t="str">
        <f t="shared" ca="1" si="29"/>
        <v/>
      </c>
      <c r="W202" s="611" t="str">
        <f t="shared" ca="1" si="30"/>
        <v>Page3, Ligne 36 [Page3!J39]  -</v>
      </c>
    </row>
    <row r="203" spans="1:23">
      <c r="A203" s="1117" t="str">
        <f>celladdr(Page3!J40)</f>
        <v>Page3!J40</v>
      </c>
      <c r="B203" s="1456" t="s">
        <v>1086</v>
      </c>
      <c r="D203" s="1450"/>
      <c r="E203" s="1450"/>
      <c r="F203" s="1450"/>
      <c r="G203" s="1444" t="str">
        <f t="shared" si="24"/>
        <v/>
      </c>
      <c r="I203" s="1452"/>
      <c r="J203" s="1452"/>
      <c r="K203" s="1452"/>
      <c r="N203" s="611" t="s">
        <v>1283</v>
      </c>
      <c r="O203" s="611" t="str">
        <f t="shared" si="31"/>
        <v/>
      </c>
      <c r="P203" s="611" t="str">
        <f t="shared" si="25"/>
        <v>Page3!J</v>
      </c>
      <c r="Q203" s="611">
        <f t="shared" si="26"/>
        <v>40</v>
      </c>
      <c r="R203" s="1447">
        <f t="shared" ca="1" si="27"/>
        <v>0</v>
      </c>
      <c r="S203" s="1447">
        <f t="shared" ca="1" si="28"/>
        <v>0</v>
      </c>
      <c r="V203" s="2557" t="str">
        <f t="shared" ca="1" si="29"/>
        <v/>
      </c>
      <c r="W203" s="611" t="str">
        <f t="shared" ca="1" si="30"/>
        <v>Page3, Ligne 37 [Page3!J40]  -</v>
      </c>
    </row>
    <row r="204" spans="1:23">
      <c r="A204" s="1117" t="str">
        <f>celladdr(Page3!J41)</f>
        <v>Page3!J41</v>
      </c>
      <c r="B204" s="1456" t="s">
        <v>1086</v>
      </c>
      <c r="D204" s="1450"/>
      <c r="E204" s="1450"/>
      <c r="F204" s="1450"/>
      <c r="G204" s="1444" t="str">
        <f t="shared" si="24"/>
        <v/>
      </c>
      <c r="I204" s="1452"/>
      <c r="J204" s="1452"/>
      <c r="K204" s="1452"/>
      <c r="N204" s="611" t="s">
        <v>1284</v>
      </c>
      <c r="O204" s="611" t="str">
        <f t="shared" si="31"/>
        <v/>
      </c>
      <c r="P204" s="611" t="str">
        <f t="shared" si="25"/>
        <v>Page3!J</v>
      </c>
      <c r="Q204" s="611">
        <f t="shared" si="26"/>
        <v>41</v>
      </c>
      <c r="R204" s="1447">
        <f t="shared" ca="1" si="27"/>
        <v>0</v>
      </c>
      <c r="S204" s="1447">
        <f t="shared" ca="1" si="28"/>
        <v>0</v>
      </c>
      <c r="V204" s="2557" t="str">
        <f t="shared" ca="1" si="29"/>
        <v/>
      </c>
      <c r="W204" s="611" t="str">
        <f t="shared" ca="1" si="30"/>
        <v>Page3, Ligne 38 [Page3!J41]  -</v>
      </c>
    </row>
    <row r="205" spans="1:23">
      <c r="A205" s="1117" t="str">
        <f>celladdr(Page3!J42)</f>
        <v>Page3!J42</v>
      </c>
      <c r="B205" s="1456" t="s">
        <v>1086</v>
      </c>
      <c r="D205" s="1450"/>
      <c r="E205" s="1450"/>
      <c r="F205" s="1450"/>
      <c r="G205" s="1444" t="str">
        <f t="shared" si="24"/>
        <v/>
      </c>
      <c r="I205" s="1452"/>
      <c r="J205" s="1452"/>
      <c r="K205" s="1452"/>
      <c r="N205" s="611" t="s">
        <v>1285</v>
      </c>
      <c r="O205" s="611" t="str">
        <f t="shared" si="31"/>
        <v/>
      </c>
      <c r="P205" s="611" t="str">
        <f t="shared" si="25"/>
        <v>Page3!J</v>
      </c>
      <c r="Q205" s="611">
        <f t="shared" si="26"/>
        <v>42</v>
      </c>
      <c r="R205" s="1447">
        <f t="shared" ca="1" si="27"/>
        <v>0</v>
      </c>
      <c r="S205" s="1447">
        <f t="shared" ca="1" si="28"/>
        <v>0</v>
      </c>
      <c r="V205" s="2557" t="str">
        <f t="shared" ca="1" si="29"/>
        <v/>
      </c>
      <c r="W205" s="611" t="str">
        <f t="shared" ca="1" si="30"/>
        <v>Page3, Ligne 39 [Page3!J42]  -</v>
      </c>
    </row>
    <row r="206" spans="1:23">
      <c r="A206" s="1117" t="str">
        <f>celladdr(Page3!J44)</f>
        <v>Page3!J44</v>
      </c>
      <c r="B206" s="1456" t="s">
        <v>1086</v>
      </c>
      <c r="D206" s="1450"/>
      <c r="E206" s="1450"/>
      <c r="F206" s="1450"/>
      <c r="G206" s="1444" t="str">
        <f t="shared" si="24"/>
        <v/>
      </c>
      <c r="I206" s="1452"/>
      <c r="J206" s="1452"/>
      <c r="K206" s="1452"/>
      <c r="N206" s="611" t="s">
        <v>1286</v>
      </c>
      <c r="O206" s="611" t="str">
        <f t="shared" si="31"/>
        <v/>
      </c>
      <c r="P206" s="611" t="str">
        <f t="shared" si="25"/>
        <v>Page3!J</v>
      </c>
      <c r="Q206" s="611">
        <f t="shared" si="26"/>
        <v>44</v>
      </c>
      <c r="R206" s="1447">
        <f t="shared" ca="1" si="27"/>
        <v>0</v>
      </c>
      <c r="S206" s="1447">
        <f t="shared" ca="1" si="28"/>
        <v>0</v>
      </c>
      <c r="V206" s="2557" t="str">
        <f t="shared" ca="1" si="29"/>
        <v/>
      </c>
      <c r="W206" s="611" t="str">
        <f t="shared" ca="1" si="30"/>
        <v>Page3, Ligne 41 [Page3!J44]  -</v>
      </c>
    </row>
    <row r="207" spans="1:23">
      <c r="A207" s="1117" t="str">
        <f>celladdr(Page3!J45)</f>
        <v>Page3!J45</v>
      </c>
      <c r="B207" s="1456" t="s">
        <v>1086</v>
      </c>
      <c r="D207" s="1450"/>
      <c r="E207" s="1450"/>
      <c r="F207" s="1450"/>
      <c r="G207" s="1444" t="str">
        <f t="shared" si="24"/>
        <v/>
      </c>
      <c r="I207" s="1452"/>
      <c r="J207" s="1452"/>
      <c r="K207" s="1452"/>
      <c r="N207" s="611" t="s">
        <v>1287</v>
      </c>
      <c r="O207" s="611" t="str">
        <f t="shared" si="31"/>
        <v/>
      </c>
      <c r="P207" s="611" t="str">
        <f t="shared" si="25"/>
        <v>Page3!J</v>
      </c>
      <c r="Q207" s="611">
        <f t="shared" si="26"/>
        <v>45</v>
      </c>
      <c r="R207" s="1447">
        <f t="shared" ca="1" si="27"/>
        <v>0</v>
      </c>
      <c r="S207" s="1447">
        <f t="shared" ca="1" si="28"/>
        <v>0</v>
      </c>
      <c r="V207" s="2557" t="str">
        <f t="shared" ca="1" si="29"/>
        <v/>
      </c>
      <c r="W207" s="611" t="str">
        <f t="shared" ca="1" si="30"/>
        <v>Page3, Ligne 42 [Page3!J45]  -</v>
      </c>
    </row>
    <row r="208" spans="1:23">
      <c r="A208" s="1117" t="str">
        <f>celladdr(Page3!J46)</f>
        <v>Page3!J46</v>
      </c>
      <c r="B208" s="1456" t="s">
        <v>1086</v>
      </c>
      <c r="D208" s="1450"/>
      <c r="E208" s="1450"/>
      <c r="F208" s="1450"/>
      <c r="G208" s="1444" t="str">
        <f t="shared" si="24"/>
        <v/>
      </c>
      <c r="I208" s="1452"/>
      <c r="J208" s="1452"/>
      <c r="K208" s="1452"/>
      <c r="N208" s="611" t="s">
        <v>1288</v>
      </c>
      <c r="O208" s="611" t="str">
        <f t="shared" si="31"/>
        <v/>
      </c>
      <c r="P208" s="611" t="str">
        <f t="shared" si="25"/>
        <v>Page3!J</v>
      </c>
      <c r="Q208" s="611">
        <f t="shared" si="26"/>
        <v>46</v>
      </c>
      <c r="R208" s="1447">
        <f t="shared" ca="1" si="27"/>
        <v>0</v>
      </c>
      <c r="S208" s="1447">
        <f t="shared" ca="1" si="28"/>
        <v>0</v>
      </c>
      <c r="V208" s="2557" t="str">
        <f t="shared" ca="1" si="29"/>
        <v/>
      </c>
      <c r="W208" s="611" t="str">
        <f t="shared" ca="1" si="30"/>
        <v>Page3, Ligne 43 [Page3!J46]  -</v>
      </c>
    </row>
    <row r="209" spans="1:23">
      <c r="A209" s="1117" t="str">
        <f>celladdr(Page3!J47)</f>
        <v>Page3!J47</v>
      </c>
      <c r="B209" s="1456" t="s">
        <v>1086</v>
      </c>
      <c r="D209" s="1450"/>
      <c r="E209" s="1450"/>
      <c r="F209" s="1450"/>
      <c r="G209" s="1444" t="str">
        <f t="shared" si="24"/>
        <v/>
      </c>
      <c r="I209" s="1452"/>
      <c r="J209" s="1452"/>
      <c r="K209" s="1452"/>
      <c r="N209" s="611" t="s">
        <v>1289</v>
      </c>
      <c r="O209" s="611" t="str">
        <f t="shared" si="31"/>
        <v/>
      </c>
      <c r="P209" s="611" t="str">
        <f t="shared" si="25"/>
        <v>Page3!J</v>
      </c>
      <c r="Q209" s="611">
        <f t="shared" si="26"/>
        <v>47</v>
      </c>
      <c r="R209" s="1447">
        <f t="shared" ca="1" si="27"/>
        <v>0</v>
      </c>
      <c r="S209" s="1447">
        <f t="shared" ca="1" si="28"/>
        <v>0</v>
      </c>
      <c r="V209" s="2557" t="str">
        <f t="shared" ca="1" si="29"/>
        <v/>
      </c>
      <c r="W209" s="611" t="str">
        <f t="shared" ca="1" si="30"/>
        <v>Page3, Ligne 44 [Page3!J47]  -</v>
      </c>
    </row>
    <row r="210" spans="1:23">
      <c r="A210" s="1117" t="str">
        <f>celladdr(Page3!J48)</f>
        <v>Page3!J48</v>
      </c>
      <c r="B210" s="1456" t="s">
        <v>1086</v>
      </c>
      <c r="D210" s="1450"/>
      <c r="E210" s="1450"/>
      <c r="F210" s="1450"/>
      <c r="G210" s="1444" t="str">
        <f t="shared" si="24"/>
        <v/>
      </c>
      <c r="I210" s="1452"/>
      <c r="J210" s="1452"/>
      <c r="K210" s="1452"/>
      <c r="N210" s="611" t="s">
        <v>1290</v>
      </c>
      <c r="O210" s="611" t="str">
        <f t="shared" si="31"/>
        <v/>
      </c>
      <c r="P210" s="611" t="str">
        <f t="shared" si="25"/>
        <v>Page3!J</v>
      </c>
      <c r="Q210" s="611">
        <f t="shared" si="26"/>
        <v>48</v>
      </c>
      <c r="R210" s="1447">
        <f t="shared" ca="1" si="27"/>
        <v>0</v>
      </c>
      <c r="S210" s="1447">
        <f t="shared" ca="1" si="28"/>
        <v>0</v>
      </c>
      <c r="V210" s="2557" t="str">
        <f t="shared" ca="1" si="29"/>
        <v/>
      </c>
      <c r="W210" s="611" t="str">
        <f t="shared" ca="1" si="30"/>
        <v>Page3, Ligne 45 [Page3!J48]  -</v>
      </c>
    </row>
    <row r="211" spans="1:23">
      <c r="A211" s="1117" t="str">
        <f>celladdr(Page3!J49)</f>
        <v>Page3!J49</v>
      </c>
      <c r="B211" s="1456" t="s">
        <v>1086</v>
      </c>
      <c r="D211" s="1450"/>
      <c r="E211" s="1450"/>
      <c r="F211" s="1450"/>
      <c r="G211" s="1444" t="str">
        <f t="shared" si="24"/>
        <v/>
      </c>
      <c r="I211" s="1452"/>
      <c r="J211" s="1452"/>
      <c r="K211" s="1452"/>
      <c r="N211" s="611" t="s">
        <v>1291</v>
      </c>
      <c r="O211" s="611" t="str">
        <f t="shared" si="31"/>
        <v/>
      </c>
      <c r="P211" s="611" t="str">
        <f t="shared" si="25"/>
        <v>Page3!J</v>
      </c>
      <c r="Q211" s="611">
        <f t="shared" si="26"/>
        <v>49</v>
      </c>
      <c r="R211" s="1447">
        <f t="shared" ca="1" si="27"/>
        <v>0</v>
      </c>
      <c r="S211" s="1447">
        <f t="shared" ca="1" si="28"/>
        <v>0</v>
      </c>
      <c r="V211" s="2557" t="str">
        <f t="shared" ca="1" si="29"/>
        <v/>
      </c>
      <c r="W211" s="611" t="str">
        <f t="shared" ca="1" si="30"/>
        <v>Page3, Ligne 46 [Page3!J49]  -</v>
      </c>
    </row>
    <row r="212" spans="1:23">
      <c r="A212" s="1117" t="str">
        <f>celladdr(Page3!J50)</f>
        <v>Page3!J50</v>
      </c>
      <c r="B212" s="1456" t="s">
        <v>1086</v>
      </c>
      <c r="D212" s="1450"/>
      <c r="E212" s="1450"/>
      <c r="F212" s="1450"/>
      <c r="G212" s="1444" t="str">
        <f t="shared" si="24"/>
        <v/>
      </c>
      <c r="I212" s="1452"/>
      <c r="J212" s="1452"/>
      <c r="K212" s="1452"/>
      <c r="N212" s="611" t="s">
        <v>1292</v>
      </c>
      <c r="O212" s="611" t="str">
        <f t="shared" si="31"/>
        <v/>
      </c>
      <c r="P212" s="611" t="str">
        <f t="shared" si="25"/>
        <v>Page3!J</v>
      </c>
      <c r="Q212" s="611">
        <f t="shared" si="26"/>
        <v>50</v>
      </c>
      <c r="R212" s="1447">
        <f t="shared" ca="1" si="27"/>
        <v>0</v>
      </c>
      <c r="S212" s="1447">
        <f t="shared" ca="1" si="28"/>
        <v>0</v>
      </c>
      <c r="V212" s="2557" t="str">
        <f t="shared" ca="1" si="29"/>
        <v/>
      </c>
      <c r="W212" s="611" t="str">
        <f t="shared" ca="1" si="30"/>
        <v>Page3, Ligne 47 [Page3!J50]  -</v>
      </c>
    </row>
    <row r="213" spans="1:23">
      <c r="A213" s="1117" t="str">
        <f>celladdr(Page3!J51)</f>
        <v>Page3!J51</v>
      </c>
      <c r="B213" s="1456" t="s">
        <v>1086</v>
      </c>
      <c r="D213" s="1450"/>
      <c r="E213" s="1450"/>
      <c r="F213" s="1450"/>
      <c r="G213" s="1444" t="str">
        <f t="shared" si="24"/>
        <v/>
      </c>
      <c r="I213" s="1452"/>
      <c r="J213" s="1452"/>
      <c r="K213" s="1452"/>
      <c r="N213" s="611" t="s">
        <v>1293</v>
      </c>
      <c r="O213" s="611" t="str">
        <f t="shared" si="31"/>
        <v/>
      </c>
      <c r="P213" s="611" t="str">
        <f t="shared" si="25"/>
        <v>Page3!J</v>
      </c>
      <c r="Q213" s="611">
        <f t="shared" si="26"/>
        <v>51</v>
      </c>
      <c r="R213" s="1447">
        <f t="shared" ca="1" si="27"/>
        <v>0</v>
      </c>
      <c r="S213" s="1447">
        <f t="shared" ca="1" si="28"/>
        <v>0</v>
      </c>
      <c r="V213" s="2557" t="str">
        <f t="shared" ca="1" si="29"/>
        <v/>
      </c>
      <c r="W213" s="611" t="str">
        <f t="shared" ca="1" si="30"/>
        <v>Page3, Ligne 48 [Page3!J51]  -</v>
      </c>
    </row>
    <row r="214" spans="1:23">
      <c r="A214" s="1117" t="str">
        <f>celladdr(Page3!J53)</f>
        <v>Page3!J53</v>
      </c>
      <c r="B214" s="1456" t="s">
        <v>1086</v>
      </c>
      <c r="D214" s="1450"/>
      <c r="E214" s="1450"/>
      <c r="F214" s="1450"/>
      <c r="G214" s="1444" t="str">
        <f t="shared" si="24"/>
        <v/>
      </c>
      <c r="I214" s="1452"/>
      <c r="J214" s="1452"/>
      <c r="K214" s="1452"/>
      <c r="N214" s="611" t="s">
        <v>1294</v>
      </c>
      <c r="O214" s="611" t="str">
        <f t="shared" si="31"/>
        <v/>
      </c>
      <c r="P214" s="611" t="str">
        <f t="shared" si="25"/>
        <v>Page3!J</v>
      </c>
      <c r="Q214" s="611">
        <f t="shared" si="26"/>
        <v>53</v>
      </c>
      <c r="R214" s="1447">
        <f t="shared" ca="1" si="27"/>
        <v>0</v>
      </c>
      <c r="S214" s="1447">
        <f t="shared" ca="1" si="28"/>
        <v>0</v>
      </c>
      <c r="V214" s="2557" t="str">
        <f t="shared" ca="1" si="29"/>
        <v/>
      </c>
      <c r="W214" s="611" t="str">
        <f t="shared" ca="1" si="30"/>
        <v>Page3, Ligne 50 [Page3!J53]  -</v>
      </c>
    </row>
    <row r="215" spans="1:23">
      <c r="A215" s="1117" t="str">
        <f>celladdr(Page3!J54)</f>
        <v>Page3!J54</v>
      </c>
      <c r="B215" s="1456" t="s">
        <v>1086</v>
      </c>
      <c r="D215" s="1450"/>
      <c r="E215" s="1450"/>
      <c r="F215" s="1450"/>
      <c r="G215" s="1444" t="str">
        <f t="shared" si="24"/>
        <v/>
      </c>
      <c r="I215" s="1452"/>
      <c r="J215" s="1452"/>
      <c r="K215" s="1452"/>
      <c r="N215" s="611" t="s">
        <v>1295</v>
      </c>
      <c r="O215" s="611" t="str">
        <f t="shared" si="31"/>
        <v/>
      </c>
      <c r="P215" s="611" t="str">
        <f t="shared" si="25"/>
        <v>Page3!J</v>
      </c>
      <c r="Q215" s="611">
        <f t="shared" si="26"/>
        <v>54</v>
      </c>
      <c r="R215" s="1447">
        <f t="shared" ca="1" si="27"/>
        <v>0</v>
      </c>
      <c r="S215" s="1447">
        <f t="shared" ca="1" si="28"/>
        <v>0</v>
      </c>
      <c r="V215" s="2557" t="str">
        <f t="shared" ca="1" si="29"/>
        <v/>
      </c>
      <c r="W215" s="611" t="str">
        <f t="shared" ca="1" si="30"/>
        <v>Page3, Ligne 51 [Page3!J54]  -</v>
      </c>
    </row>
    <row r="216" spans="1:23">
      <c r="A216" s="1117" t="str">
        <f>celladdr(Page3!J55)</f>
        <v>Page3!J55</v>
      </c>
      <c r="B216" s="1456" t="s">
        <v>1086</v>
      </c>
      <c r="D216" s="1450"/>
      <c r="E216" s="1450"/>
      <c r="F216" s="1450"/>
      <c r="G216" s="1444" t="str">
        <f t="shared" si="24"/>
        <v/>
      </c>
      <c r="I216" s="1452"/>
      <c r="J216" s="1452"/>
      <c r="K216" s="1452"/>
      <c r="N216" s="611" t="s">
        <v>1296</v>
      </c>
      <c r="O216" s="611" t="str">
        <f t="shared" si="31"/>
        <v/>
      </c>
      <c r="P216" s="611" t="str">
        <f t="shared" si="25"/>
        <v>Page3!J</v>
      </c>
      <c r="Q216" s="611">
        <f t="shared" si="26"/>
        <v>55</v>
      </c>
      <c r="R216" s="1447">
        <f t="shared" ca="1" si="27"/>
        <v>0</v>
      </c>
      <c r="S216" s="1447">
        <f t="shared" ca="1" si="28"/>
        <v>0</v>
      </c>
      <c r="V216" s="2557" t="str">
        <f t="shared" ca="1" si="29"/>
        <v/>
      </c>
      <c r="W216" s="611" t="str">
        <f t="shared" ca="1" si="30"/>
        <v>Page3, Ligne 52 [Page3!J55]  -</v>
      </c>
    </row>
    <row r="217" spans="1:23">
      <c r="A217" s="1117" t="str">
        <f>celladdr(Page3!J56)</f>
        <v>Page3!J56</v>
      </c>
      <c r="B217" s="1456" t="s">
        <v>1086</v>
      </c>
      <c r="D217" s="1450"/>
      <c r="E217" s="1450"/>
      <c r="F217" s="1450"/>
      <c r="G217" s="1444" t="str">
        <f t="shared" si="24"/>
        <v/>
      </c>
      <c r="I217" s="1452"/>
      <c r="J217" s="1452"/>
      <c r="K217" s="1452"/>
      <c r="N217" s="611" t="s">
        <v>1297</v>
      </c>
      <c r="O217" s="611" t="str">
        <f t="shared" si="31"/>
        <v/>
      </c>
      <c r="P217" s="611" t="str">
        <f t="shared" si="25"/>
        <v>Page3!J</v>
      </c>
      <c r="Q217" s="611">
        <f t="shared" si="26"/>
        <v>56</v>
      </c>
      <c r="R217" s="1447">
        <f t="shared" ca="1" si="27"/>
        <v>0</v>
      </c>
      <c r="S217" s="1447">
        <f t="shared" ca="1" si="28"/>
        <v>0</v>
      </c>
      <c r="V217" s="2557" t="str">
        <f t="shared" ca="1" si="29"/>
        <v/>
      </c>
      <c r="W217" s="611" t="str">
        <f t="shared" ca="1" si="30"/>
        <v>Page3, Ligne 53 [Page3!J56]  -</v>
      </c>
    </row>
    <row r="218" spans="1:23">
      <c r="A218" s="1117" t="str">
        <f>celladdr(Page3!J57)</f>
        <v>Page3!J57</v>
      </c>
      <c r="B218" s="1456" t="s">
        <v>1086</v>
      </c>
      <c r="D218" s="1450"/>
      <c r="E218" s="1450"/>
      <c r="F218" s="1450"/>
      <c r="G218" s="1444" t="str">
        <f t="shared" si="24"/>
        <v/>
      </c>
      <c r="I218" s="1452"/>
      <c r="J218" s="1452"/>
      <c r="K218" s="1452"/>
      <c r="N218" s="611" t="s">
        <v>1298</v>
      </c>
      <c r="O218" s="611" t="str">
        <f t="shared" si="31"/>
        <v/>
      </c>
      <c r="P218" s="611" t="str">
        <f t="shared" si="25"/>
        <v>Page3!J</v>
      </c>
      <c r="Q218" s="611">
        <f t="shared" si="26"/>
        <v>57</v>
      </c>
      <c r="R218" s="1447">
        <f t="shared" ca="1" si="27"/>
        <v>0</v>
      </c>
      <c r="S218" s="1447">
        <f t="shared" ca="1" si="28"/>
        <v>0</v>
      </c>
      <c r="V218" s="2557" t="str">
        <f t="shared" ca="1" si="29"/>
        <v/>
      </c>
      <c r="W218" s="611" t="str">
        <f t="shared" ca="1" si="30"/>
        <v>Page3, Ligne 54 [Page3!J57]  -</v>
      </c>
    </row>
    <row r="219" spans="1:23">
      <c r="A219" s="1443" t="str">
        <f>celladdr(Page3!J63)</f>
        <v>Page3!J63</v>
      </c>
      <c r="B219" s="1464" t="s">
        <v>1086</v>
      </c>
      <c r="C219" s="1445" t="b">
        <f>OR(Page3!$F$63+Page3!$J$63+Page3!$N$63+Page4!$F$63+Page4!$J$63+Page4!$N$63+Page4!$R$63&gt;100,Page3!$F$63+Page3!$J$63+Page3!$N$63+Page4!$F$63+Page4!$J$63+Page4!$N$63+Page4!$R$63&lt;-100)</f>
        <v>0</v>
      </c>
      <c r="D219" s="1445" t="b">
        <f>ABS(Page3!J$63)&gt;ABS(Page4!$R$63)</f>
        <v>0</v>
      </c>
      <c r="F219" s="1454"/>
      <c r="G219" s="1444" t="str">
        <f t="shared" si="24"/>
        <v/>
      </c>
      <c r="H219" s="1446" t="str">
        <f>IF(C219=TRUE,Comments!$B$15&amp;DOLLAR(Page4!$R$60+Page4!$F$63+Page4!$J$63+Page4!$N$63+Page3!$F$63+Page3!$J$63+Page3!$N$63,0),"")</f>
        <v/>
      </c>
      <c r="I219" s="1447" t="str">
        <f>IF(D219=TRUE,Comments!$B$71,"")</f>
        <v/>
      </c>
      <c r="J219" s="1452"/>
      <c r="K219" s="1452"/>
      <c r="N219" s="611" t="s">
        <v>1299</v>
      </c>
      <c r="O219" s="611" t="str">
        <f t="shared" si="31"/>
        <v/>
      </c>
      <c r="P219" s="611" t="str">
        <f t="shared" si="25"/>
        <v>Page3!J</v>
      </c>
      <c r="Q219" s="611">
        <f t="shared" si="26"/>
        <v>63</v>
      </c>
      <c r="R219" s="1447">
        <f t="shared" ca="1" si="27"/>
        <v>0</v>
      </c>
      <c r="S219" s="1447">
        <f t="shared" ca="1" si="28"/>
        <v>0</v>
      </c>
      <c r="V219" s="2557" t="str">
        <f t="shared" ca="1" si="29"/>
        <v/>
      </c>
      <c r="W219" s="611" t="str">
        <f t="shared" ca="1" si="30"/>
        <v>Page3, Ligne 60 [Page3!J63]  -</v>
      </c>
    </row>
    <row r="220" spans="1:23">
      <c r="A220" s="1117" t="str">
        <f>celladdr(Page3!J64)</f>
        <v>Page3!J64</v>
      </c>
      <c r="B220" s="1444" t="s">
        <v>1086</v>
      </c>
      <c r="C220" s="1445" t="b">
        <f>Page3!$J$64&lt;&gt;Page3!$J$61+Page3!$J$62+Page3!$J$63</f>
        <v>0</v>
      </c>
      <c r="D220" s="1459"/>
      <c r="E220" s="1450"/>
      <c r="F220" s="1450"/>
      <c r="G220" s="1444" t="str">
        <f t="shared" si="24"/>
        <v/>
      </c>
      <c r="H220" s="1446" t="str">
        <f>IF(C220=TRUE,Comments!$B$14&amp;DOLLAR(Page3!$J$64-(Page3!$J$61+Page3!$J$62+Page3!$J$63),0),"")</f>
        <v/>
      </c>
      <c r="I220" s="1452"/>
      <c r="J220" s="1452"/>
      <c r="K220" s="1452"/>
      <c r="N220" s="611" t="s">
        <v>1300</v>
      </c>
      <c r="O220" s="611" t="str">
        <f t="shared" si="31"/>
        <v/>
      </c>
      <c r="P220" s="611" t="str">
        <f t="shared" si="25"/>
        <v>Page3!J</v>
      </c>
      <c r="Q220" s="611">
        <f t="shared" si="26"/>
        <v>64</v>
      </c>
      <c r="R220" s="1447">
        <f t="shared" ca="1" si="27"/>
        <v>0</v>
      </c>
      <c r="S220" s="1447">
        <f t="shared" ca="1" si="28"/>
        <v>0</v>
      </c>
      <c r="V220" s="2557" t="str">
        <f t="shared" ca="1" si="29"/>
        <v/>
      </c>
      <c r="W220" s="611" t="str">
        <f t="shared" ca="1" si="30"/>
        <v>Page3, Ligne 61 [Page3!J64]  -</v>
      </c>
    </row>
    <row r="221" spans="1:23">
      <c r="A221" s="1117" t="str">
        <f>celladdr(Page3!L7)</f>
        <v>Page3!L7</v>
      </c>
      <c r="B221" s="1449" t="s">
        <v>1086</v>
      </c>
      <c r="C221" s="1445" t="b">
        <f>OR(AND(Page3!$L$7=0,Page7!$H$49&gt;0),AND(Page3!$L$7&gt;0,Page7!$H$49=0))</f>
        <v>0</v>
      </c>
      <c r="D221" s="1450"/>
      <c r="E221" s="1450"/>
      <c r="F221" s="1450"/>
      <c r="G221" s="1444" t="str">
        <f t="shared" si="24"/>
        <v/>
      </c>
      <c r="H221" s="1446" t="str">
        <f>IF(C221=TRUE,Comments!$B$13,"")</f>
        <v/>
      </c>
      <c r="I221" s="1446"/>
      <c r="J221" s="1452"/>
      <c r="K221" s="1452"/>
      <c r="N221" s="611" t="s">
        <v>1301</v>
      </c>
      <c r="O221" s="611" t="str">
        <f t="shared" si="31"/>
        <v/>
      </c>
      <c r="P221" s="611" t="str">
        <f t="shared" si="25"/>
        <v>Page3!L</v>
      </c>
      <c r="Q221" s="611">
        <f t="shared" si="26"/>
        <v>7</v>
      </c>
      <c r="R221" s="1447">
        <f t="shared" ca="1" si="27"/>
        <v>0</v>
      </c>
      <c r="S221" s="1447">
        <f t="shared" ca="1" si="28"/>
        <v>0</v>
      </c>
      <c r="V221" s="2557" t="str">
        <f t="shared" ca="1" si="29"/>
        <v/>
      </c>
      <c r="W221" s="611" t="str">
        <f t="shared" ca="1" si="30"/>
        <v>Page3, Ligne 4 [Page3!L7]  -</v>
      </c>
    </row>
    <row r="222" spans="1:23">
      <c r="A222" s="1117" t="str">
        <f>celladdr(Page3!L8)</f>
        <v>Page3!L8</v>
      </c>
      <c r="B222" s="1449" t="s">
        <v>1086</v>
      </c>
      <c r="D222" s="1450"/>
      <c r="E222" s="1450"/>
      <c r="F222" s="1450"/>
      <c r="G222" s="1444" t="str">
        <f t="shared" si="24"/>
        <v/>
      </c>
      <c r="H222" s="1446"/>
      <c r="I222" s="1446"/>
      <c r="J222" s="1452"/>
      <c r="K222" s="1452"/>
      <c r="N222" s="611" t="s">
        <v>1302</v>
      </c>
      <c r="O222" s="611" t="str">
        <f t="shared" si="31"/>
        <v/>
      </c>
      <c r="P222" s="611" t="str">
        <f t="shared" si="25"/>
        <v>Page3!L</v>
      </c>
      <c r="Q222" s="611">
        <f t="shared" si="26"/>
        <v>8</v>
      </c>
      <c r="R222" s="1447">
        <f t="shared" ca="1" si="27"/>
        <v>0</v>
      </c>
      <c r="S222" s="1447">
        <f t="shared" ca="1" si="28"/>
        <v>0</v>
      </c>
      <c r="V222" s="2557" t="str">
        <f t="shared" ca="1" si="29"/>
        <v/>
      </c>
      <c r="W222" s="611" t="str">
        <f t="shared" ca="1" si="30"/>
        <v>Page3, Ligne 5 [Page3!L8]  -</v>
      </c>
    </row>
    <row r="223" spans="1:23">
      <c r="A223" s="1117" t="str">
        <f>celladdr(Page3!L9)</f>
        <v>Page3!L9</v>
      </c>
      <c r="B223" s="1449" t="s">
        <v>1086</v>
      </c>
      <c r="D223" s="1450"/>
      <c r="E223" s="1450"/>
      <c r="F223" s="1450"/>
      <c r="G223" s="1444" t="str">
        <f t="shared" si="24"/>
        <v/>
      </c>
      <c r="H223" s="1446"/>
      <c r="I223" s="1446"/>
      <c r="J223" s="1452"/>
      <c r="K223" s="1452"/>
      <c r="N223" s="611" t="s">
        <v>1303</v>
      </c>
      <c r="O223" s="611" t="str">
        <f t="shared" si="31"/>
        <v/>
      </c>
      <c r="P223" s="611" t="str">
        <f t="shared" si="25"/>
        <v>Page3!L</v>
      </c>
      <c r="Q223" s="611">
        <f t="shared" si="26"/>
        <v>9</v>
      </c>
      <c r="R223" s="1447">
        <f t="shared" ca="1" si="27"/>
        <v>0</v>
      </c>
      <c r="S223" s="1447">
        <f t="shared" ca="1" si="28"/>
        <v>0</v>
      </c>
      <c r="V223" s="2557" t="str">
        <f t="shared" ca="1" si="29"/>
        <v/>
      </c>
      <c r="W223" s="611" t="str">
        <f t="shared" ca="1" si="30"/>
        <v>Page3, Ligne 6 [Page3!L9]  -</v>
      </c>
    </row>
    <row r="224" spans="1:23">
      <c r="A224" s="1117" t="str">
        <f>celladdr(Page3!L11)</f>
        <v>Page3!L11</v>
      </c>
      <c r="B224" s="1449" t="s">
        <v>1086</v>
      </c>
      <c r="C224" s="1445" t="b">
        <f>OR(AND(Page3!$L$11=0,Page7!$H$47&gt;0),AND(Page3!$L$11&gt;0,Page7!$H$47=0))</f>
        <v>0</v>
      </c>
      <c r="D224" s="1450"/>
      <c r="E224" s="1450"/>
      <c r="F224" s="1450"/>
      <c r="G224" s="1444" t="str">
        <f t="shared" si="24"/>
        <v/>
      </c>
      <c r="H224" s="1446" t="str">
        <f>IF(C224=TRUE,Comments!$B$13,"")</f>
        <v/>
      </c>
      <c r="I224" s="1446"/>
      <c r="J224" s="1452"/>
      <c r="K224" s="1452"/>
      <c r="N224" s="611" t="s">
        <v>1304</v>
      </c>
      <c r="O224" s="611" t="str">
        <f t="shared" si="31"/>
        <v/>
      </c>
      <c r="P224" s="611" t="str">
        <f t="shared" si="25"/>
        <v>Page3!L</v>
      </c>
      <c r="Q224" s="611">
        <f t="shared" si="26"/>
        <v>11</v>
      </c>
      <c r="R224" s="1447">
        <f t="shared" ca="1" si="27"/>
        <v>0</v>
      </c>
      <c r="S224" s="1447">
        <f t="shared" ca="1" si="28"/>
        <v>0</v>
      </c>
      <c r="V224" s="2557" t="str">
        <f t="shared" ca="1" si="29"/>
        <v/>
      </c>
      <c r="W224" s="611" t="str">
        <f t="shared" ca="1" si="30"/>
        <v>Page3, Ligne 8 [Page3!L11]  -</v>
      </c>
    </row>
    <row r="225" spans="1:23">
      <c r="A225" s="1117" t="str">
        <f>celladdr(Page3!L12)</f>
        <v>Page3!L12</v>
      </c>
      <c r="B225" s="1449" t="s">
        <v>1086</v>
      </c>
      <c r="C225" s="1445" t="b">
        <f>OR(AND(Page3!$L$12=0,Page7!$H$48&gt;0),AND(Page3!$L$12&gt;0,Page7!$H$48=0))</f>
        <v>0</v>
      </c>
      <c r="D225" s="1450"/>
      <c r="E225" s="1450"/>
      <c r="F225" s="1450"/>
      <c r="G225" s="1444" t="str">
        <f t="shared" si="24"/>
        <v/>
      </c>
      <c r="H225" s="1446" t="str">
        <f>IF(C225=TRUE,Comments!$B$13,"")</f>
        <v/>
      </c>
      <c r="I225" s="1446"/>
      <c r="J225" s="1452"/>
      <c r="K225" s="1452"/>
      <c r="N225" s="611" t="s">
        <v>1305</v>
      </c>
      <c r="O225" s="611" t="str">
        <f t="shared" si="31"/>
        <v/>
      </c>
      <c r="P225" s="611" t="str">
        <f t="shared" si="25"/>
        <v>Page3!L</v>
      </c>
      <c r="Q225" s="611">
        <f t="shared" si="26"/>
        <v>12</v>
      </c>
      <c r="R225" s="1447">
        <f t="shared" ca="1" si="27"/>
        <v>0</v>
      </c>
      <c r="S225" s="1447">
        <f t="shared" ca="1" si="28"/>
        <v>0</v>
      </c>
      <c r="V225" s="2557" t="str">
        <f t="shared" ca="1" si="29"/>
        <v/>
      </c>
      <c r="W225" s="611" t="str">
        <f t="shared" ca="1" si="30"/>
        <v>Page3, Ligne 9 [Page3!L12]  -</v>
      </c>
    </row>
    <row r="226" spans="1:23">
      <c r="A226" s="1117" t="str">
        <f>celladdr(Page3!L13)</f>
        <v>Page3!L13</v>
      </c>
      <c r="B226" s="1449" t="s">
        <v>1086</v>
      </c>
      <c r="C226" s="1445" t="b">
        <f>OR(AND(Page3!$L$13=0,Page7!$H$52&gt;0),AND(Page3!$L$13&gt;0,Page7!$H$52=0))</f>
        <v>0</v>
      </c>
      <c r="D226" s="1450"/>
      <c r="E226" s="1450"/>
      <c r="F226" s="1450"/>
      <c r="G226" s="1444" t="str">
        <f t="shared" si="24"/>
        <v/>
      </c>
      <c r="H226" s="1446" t="str">
        <f>IF(C226=TRUE,Comments!$B$13,"")</f>
        <v/>
      </c>
      <c r="I226" s="1446"/>
      <c r="J226" s="1452"/>
      <c r="K226" s="1452"/>
      <c r="N226" s="611" t="s">
        <v>1306</v>
      </c>
      <c r="O226" s="611" t="str">
        <f t="shared" si="31"/>
        <v/>
      </c>
      <c r="P226" s="611" t="str">
        <f t="shared" si="25"/>
        <v>Page3!L</v>
      </c>
      <c r="Q226" s="611">
        <f t="shared" si="26"/>
        <v>13</v>
      </c>
      <c r="R226" s="1447">
        <f t="shared" ca="1" si="27"/>
        <v>0</v>
      </c>
      <c r="S226" s="1447">
        <f t="shared" ca="1" si="28"/>
        <v>0</v>
      </c>
      <c r="V226" s="2557" t="str">
        <f t="shared" ca="1" si="29"/>
        <v/>
      </c>
      <c r="W226" s="611" t="str">
        <f t="shared" ca="1" si="30"/>
        <v>Page3, Ligne 10 [Page3!L13]  -</v>
      </c>
    </row>
    <row r="227" spans="1:23">
      <c r="A227" s="1117" t="str">
        <f>celladdr(Page3!L14)</f>
        <v>Page3!L14</v>
      </c>
      <c r="B227" s="1449" t="s">
        <v>1086</v>
      </c>
      <c r="C227" s="1445" t="b">
        <f>OR(AND(Page3!$L$14=0,Page7!$H$53&gt;0),AND(Page3!$L$14&gt;0,Page7!$H$53=0))</f>
        <v>0</v>
      </c>
      <c r="D227" s="1450"/>
      <c r="E227" s="1450"/>
      <c r="F227" s="1450"/>
      <c r="G227" s="1444" t="str">
        <f t="shared" si="24"/>
        <v/>
      </c>
      <c r="H227" s="1446" t="str">
        <f>IF(C227=TRUE,Comments!$B$13,"")</f>
        <v/>
      </c>
      <c r="I227" s="1446"/>
      <c r="J227" s="1452"/>
      <c r="K227" s="1452"/>
      <c r="N227" s="611" t="s">
        <v>1307</v>
      </c>
      <c r="O227" s="611" t="str">
        <f t="shared" si="31"/>
        <v/>
      </c>
      <c r="P227" s="611" t="str">
        <f t="shared" si="25"/>
        <v>Page3!L</v>
      </c>
      <c r="Q227" s="611">
        <f t="shared" si="26"/>
        <v>14</v>
      </c>
      <c r="R227" s="1447">
        <f t="shared" ca="1" si="27"/>
        <v>0</v>
      </c>
      <c r="S227" s="1447">
        <f t="shared" ca="1" si="28"/>
        <v>0</v>
      </c>
      <c r="V227" s="2557" t="str">
        <f t="shared" ca="1" si="29"/>
        <v/>
      </c>
      <c r="W227" s="611" t="str">
        <f t="shared" ca="1" si="30"/>
        <v>Page3, Ligne 11 [Page3!L14]  -</v>
      </c>
    </row>
    <row r="228" spans="1:23">
      <c r="A228" s="1443" t="str">
        <f>celladdr(Page3!L63)</f>
        <v>Page3!L63</v>
      </c>
      <c r="B228" s="1460" t="s">
        <v>1086</v>
      </c>
      <c r="C228" s="1445" t="b">
        <f>OR(Page3!$D$63+Page3!$H$63+Page3!$L$63+Page4!$D$63+Page4!$H$63+Page4!$L$63+Page4!$P$63&gt;100,Page3!$D$63+Page3!$H$63+Page3!$L$63+Page4!$D$63+Page4!$H$63+Page4!$L$63+Page4!$P$63&lt;-100)</f>
        <v>0</v>
      </c>
      <c r="D228" s="1445" t="b">
        <f>ABS(Page3!L$63)&gt;ABS(Page4!$P$63)</f>
        <v>0</v>
      </c>
      <c r="G228" s="1444" t="str">
        <f t="shared" si="24"/>
        <v/>
      </c>
      <c r="H228" s="1446" t="str">
        <f>IF(C228=TRUE,Comments!$B$15&amp;DOLLAR(Page4!$P$60+Page4!$D$63+Page4!$H$63+Page4!$L$63+Page3!$D$63+Page3!$H$63+Page3!$L$63,0),"")</f>
        <v/>
      </c>
      <c r="I228" s="1447" t="str">
        <f>IF(D228=TRUE,Comments!$B$71,"")</f>
        <v/>
      </c>
      <c r="J228" s="1452"/>
      <c r="K228" s="1452"/>
      <c r="N228" s="611" t="s">
        <v>1308</v>
      </c>
      <c r="O228" s="611" t="str">
        <f t="shared" si="31"/>
        <v/>
      </c>
      <c r="P228" s="611" t="str">
        <f t="shared" si="25"/>
        <v>Page3!L</v>
      </c>
      <c r="Q228" s="611">
        <f t="shared" si="26"/>
        <v>63</v>
      </c>
      <c r="R228" s="1447">
        <f t="shared" ca="1" si="27"/>
        <v>0</v>
      </c>
      <c r="S228" s="1447">
        <f t="shared" ca="1" si="28"/>
        <v>0</v>
      </c>
      <c r="V228" s="2557" t="str">
        <f t="shared" ca="1" si="29"/>
        <v/>
      </c>
      <c r="W228" s="611" t="str">
        <f t="shared" ca="1" si="30"/>
        <v>Page3, Ligne 60 [Page3!L63]  -</v>
      </c>
    </row>
    <row r="229" spans="1:23">
      <c r="A229" s="1117" t="str">
        <f>celladdr(Page3!L64)</f>
        <v>Page3!L64</v>
      </c>
      <c r="B229" s="1444" t="s">
        <v>1086</v>
      </c>
      <c r="C229" s="1445" t="b">
        <f>Page3!$L$64&lt;&gt;Page3!$L$61+Page3!$L$62+Page3!$L$63</f>
        <v>0</v>
      </c>
      <c r="D229" s="1454"/>
      <c r="E229" s="1454"/>
      <c r="F229" s="1454"/>
      <c r="G229" s="1444" t="str">
        <f t="shared" si="24"/>
        <v/>
      </c>
      <c r="H229" s="1446" t="str">
        <f>IF(C229=TRUE,Comments!$B$14&amp;DOLLAR(Page3!$L$64-(Page3!$L$61+Page3!$L$62+Page3!$L$63),0),"")</f>
        <v/>
      </c>
      <c r="I229" s="1452"/>
      <c r="J229" s="1452"/>
      <c r="K229" s="1452"/>
      <c r="N229" s="611" t="s">
        <v>1309</v>
      </c>
      <c r="O229" s="611" t="str">
        <f t="shared" si="31"/>
        <v/>
      </c>
      <c r="P229" s="611" t="str">
        <f t="shared" si="25"/>
        <v>Page3!L</v>
      </c>
      <c r="Q229" s="611">
        <f t="shared" si="26"/>
        <v>64</v>
      </c>
      <c r="R229" s="1447">
        <f t="shared" ca="1" si="27"/>
        <v>0</v>
      </c>
      <c r="S229" s="1447">
        <f t="shared" ca="1" si="28"/>
        <v>0</v>
      </c>
      <c r="V229" s="2557" t="str">
        <f t="shared" ca="1" si="29"/>
        <v/>
      </c>
      <c r="W229" s="611" t="str">
        <f t="shared" ca="1" si="30"/>
        <v>Page3, Ligne 61 [Page3!L64]  -</v>
      </c>
    </row>
    <row r="230" spans="1:23">
      <c r="A230" s="1117" t="str">
        <f>celladdr(Page3!L71)</f>
        <v>Page3!L71</v>
      </c>
      <c r="B230" s="1455" t="s">
        <v>1086</v>
      </c>
      <c r="C230" s="1445" t="b">
        <f>Page3!$L$71&lt;&gt;(SUM(Page3!$D$66:$D$70)-SUM(Page3!$L$66:$L$68))</f>
        <v>0</v>
      </c>
      <c r="D230" s="1454"/>
      <c r="E230" s="1454"/>
      <c r="F230" s="1454"/>
      <c r="G230" s="1444" t="str">
        <f t="shared" si="24"/>
        <v/>
      </c>
      <c r="H230" s="1446" t="str">
        <f>IF(C230=TRUE,Comments!$B$37&amp;DOLLAR(Page3!$L$71-(SUM(Page3!$D$66:$D$70)-SUM(Page3!$L$66:$L$68)),0),"")</f>
        <v/>
      </c>
      <c r="I230" s="1452"/>
      <c r="J230" s="1452"/>
      <c r="K230" s="1452"/>
      <c r="N230" s="611" t="s">
        <v>1310</v>
      </c>
      <c r="O230" s="611" t="str">
        <f t="shared" si="31"/>
        <v/>
      </c>
      <c r="P230" s="611" t="str">
        <f t="shared" si="25"/>
        <v>Page3!L</v>
      </c>
      <c r="Q230" s="611">
        <f t="shared" si="26"/>
        <v>71</v>
      </c>
      <c r="R230" s="1447">
        <f t="shared" ca="1" si="27"/>
        <v>0</v>
      </c>
      <c r="S230" s="1447">
        <f t="shared" ca="1" si="28"/>
        <v>0</v>
      </c>
      <c r="V230" s="2557" t="str">
        <f t="shared" ca="1" si="29"/>
        <v/>
      </c>
      <c r="W230" s="611" t="str">
        <f t="shared" ca="1" si="30"/>
        <v>Page3, Ligne 68 [Page3!L71]  -</v>
      </c>
    </row>
    <row r="231" spans="1:23">
      <c r="A231" s="1117" t="str">
        <f>celladdr(Page3!N15)</f>
        <v>Page3!N15</v>
      </c>
      <c r="B231" s="1456" t="s">
        <v>1086</v>
      </c>
      <c r="D231" s="1450"/>
      <c r="E231" s="1450"/>
      <c r="F231" s="1454"/>
      <c r="G231" s="1444" t="str">
        <f t="shared" si="24"/>
        <v/>
      </c>
      <c r="I231" s="1452"/>
      <c r="J231" s="1452"/>
      <c r="K231" s="1446"/>
      <c r="N231" s="611" t="s">
        <v>1311</v>
      </c>
      <c r="O231" s="611" t="str">
        <f t="shared" si="31"/>
        <v/>
      </c>
      <c r="P231" s="611" t="str">
        <f t="shared" si="25"/>
        <v>Page3!N</v>
      </c>
      <c r="Q231" s="611">
        <f t="shared" si="26"/>
        <v>15</v>
      </c>
      <c r="R231" s="1447">
        <f t="shared" ca="1" si="27"/>
        <v>0</v>
      </c>
      <c r="S231" s="1447">
        <f t="shared" ca="1" si="28"/>
        <v>0</v>
      </c>
      <c r="V231" s="2557" t="str">
        <f t="shared" ca="1" si="29"/>
        <v/>
      </c>
      <c r="W231" s="611" t="str">
        <f t="shared" ca="1" si="30"/>
        <v>Page3, Ligne 12 [Page3!N15]  -</v>
      </c>
    </row>
    <row r="232" spans="1:23">
      <c r="A232" s="1117" t="str">
        <f>celladdr(Page3!N16)</f>
        <v>Page3!N16</v>
      </c>
      <c r="B232" s="1456" t="s">
        <v>1086</v>
      </c>
      <c r="D232" s="1450"/>
      <c r="E232" s="1450"/>
      <c r="F232" s="1454"/>
      <c r="G232" s="1444" t="str">
        <f t="shared" si="24"/>
        <v/>
      </c>
      <c r="I232" s="1452"/>
      <c r="J232" s="1452"/>
      <c r="K232" s="1446"/>
      <c r="N232" s="611" t="s">
        <v>1312</v>
      </c>
      <c r="O232" s="611" t="str">
        <f t="shared" si="31"/>
        <v/>
      </c>
      <c r="P232" s="611" t="str">
        <f t="shared" si="25"/>
        <v>Page3!N</v>
      </c>
      <c r="Q232" s="611">
        <f t="shared" si="26"/>
        <v>16</v>
      </c>
      <c r="R232" s="1447">
        <f t="shared" ca="1" si="27"/>
        <v>0</v>
      </c>
      <c r="S232" s="1447">
        <f t="shared" ca="1" si="28"/>
        <v>0</v>
      </c>
      <c r="V232" s="2557" t="str">
        <f t="shared" ca="1" si="29"/>
        <v/>
      </c>
      <c r="W232" s="611" t="str">
        <f t="shared" ca="1" si="30"/>
        <v>Page3, Ligne 13 [Page3!N16]  -</v>
      </c>
    </row>
    <row r="233" spans="1:23">
      <c r="A233" s="1117" t="str">
        <f>celladdr(Page3!N17)</f>
        <v>Page3!N17</v>
      </c>
      <c r="B233" s="1456" t="s">
        <v>1086</v>
      </c>
      <c r="D233" s="1450"/>
      <c r="E233" s="1450" t="b">
        <f>OR(AND(SUM(Page3!$N$11:$N$14)+Page3!$N$7&gt;0,Page3!$N$17=0),AND(SUM(Page3!$N$11:$N$14)+Page3!$N$7=0,Page3!$N$17&gt;0))</f>
        <v>0</v>
      </c>
      <c r="F233" s="1454"/>
      <c r="G233" s="1444" t="str">
        <f t="shared" si="24"/>
        <v/>
      </c>
      <c r="I233" s="1452"/>
      <c r="J233" s="1452" t="str">
        <f>IF(E233=TRUE,Comments!$B$12,"")</f>
        <v/>
      </c>
      <c r="K233" s="1446"/>
      <c r="N233" s="611" t="s">
        <v>1313</v>
      </c>
      <c r="O233" s="611" t="str">
        <f t="shared" si="31"/>
        <v/>
      </c>
      <c r="P233" s="611" t="str">
        <f t="shared" si="25"/>
        <v>Page3!N</v>
      </c>
      <c r="Q233" s="611">
        <f t="shared" si="26"/>
        <v>17</v>
      </c>
      <c r="R233" s="1447">
        <f t="shared" ca="1" si="27"/>
        <v>0</v>
      </c>
      <c r="S233" s="1447">
        <f t="shared" ca="1" si="28"/>
        <v>0</v>
      </c>
      <c r="T233" s="611">
        <v>12</v>
      </c>
      <c r="V233" s="2557" t="str">
        <f t="shared" ca="1" si="29"/>
        <v/>
      </c>
      <c r="W233" s="611" t="str">
        <f t="shared" ca="1" si="30"/>
        <v>Page3, Ligne 14 [Page3!N17]  -</v>
      </c>
    </row>
    <row r="234" spans="1:23">
      <c r="A234" s="1117" t="str">
        <f>celladdr(Page3!N18)</f>
        <v>Page3!N18</v>
      </c>
      <c r="B234" s="1456" t="s">
        <v>1086</v>
      </c>
      <c r="D234" s="1450"/>
      <c r="E234" s="1450" t="b">
        <f>OR(AND(SUM(Page3!$N$11:$N$14)+Page3!$N$7&gt;0,Page3!$N$18=0),AND(SUM(Page3!$N$11:$N$14)+Page3!$N$7=0,Page3!$N$18&gt;0))</f>
        <v>0</v>
      </c>
      <c r="F234" s="1450"/>
      <c r="G234" s="1444" t="str">
        <f t="shared" si="24"/>
        <v/>
      </c>
      <c r="I234" s="1452"/>
      <c r="J234" s="1452" t="str">
        <f>IF(E234=TRUE,Comments!$B$12,"")</f>
        <v/>
      </c>
      <c r="K234" s="1452"/>
      <c r="N234" s="611" t="s">
        <v>1314</v>
      </c>
      <c r="O234" s="611" t="str">
        <f t="shared" si="31"/>
        <v/>
      </c>
      <c r="P234" s="611" t="str">
        <f t="shared" si="25"/>
        <v>Page3!N</v>
      </c>
      <c r="Q234" s="611">
        <f t="shared" si="26"/>
        <v>18</v>
      </c>
      <c r="R234" s="1447">
        <f t="shared" ca="1" si="27"/>
        <v>0</v>
      </c>
      <c r="S234" s="1447">
        <f t="shared" ca="1" si="28"/>
        <v>0</v>
      </c>
      <c r="T234" s="611">
        <v>12</v>
      </c>
      <c r="V234" s="2557" t="str">
        <f t="shared" ca="1" si="29"/>
        <v/>
      </c>
      <c r="W234" s="611" t="str">
        <f t="shared" ca="1" si="30"/>
        <v>Page3, Ligne 15 [Page3!N18]  -</v>
      </c>
    </row>
    <row r="235" spans="1:23">
      <c r="A235" s="1117" t="str">
        <f>celladdr(Page3!N19)</f>
        <v>Page3!N19</v>
      </c>
      <c r="B235" s="1456" t="s">
        <v>1086</v>
      </c>
      <c r="D235" s="1450"/>
      <c r="E235" s="1450"/>
      <c r="F235" s="1450"/>
      <c r="G235" s="1444" t="str">
        <f t="shared" si="24"/>
        <v/>
      </c>
      <c r="I235" s="1452"/>
      <c r="J235" s="1452"/>
      <c r="K235" s="1452"/>
      <c r="N235" s="611" t="s">
        <v>1315</v>
      </c>
      <c r="O235" s="611" t="str">
        <f t="shared" si="31"/>
        <v/>
      </c>
      <c r="P235" s="611" t="str">
        <f t="shared" si="25"/>
        <v>Page3!N</v>
      </c>
      <c r="Q235" s="611">
        <f t="shared" si="26"/>
        <v>19</v>
      </c>
      <c r="R235" s="1447">
        <f t="shared" ca="1" si="27"/>
        <v>0</v>
      </c>
      <c r="S235" s="1447">
        <f t="shared" ca="1" si="28"/>
        <v>0</v>
      </c>
      <c r="V235" s="2557" t="str">
        <f t="shared" ca="1" si="29"/>
        <v/>
      </c>
      <c r="W235" s="611" t="str">
        <f t="shared" ca="1" si="30"/>
        <v>Page3, Ligne 16 [Page3!N19]  -</v>
      </c>
    </row>
    <row r="236" spans="1:23">
      <c r="A236" s="1117" t="str">
        <f>celladdr(Page3!N21)</f>
        <v>Page3!N21</v>
      </c>
      <c r="B236" s="1456" t="s">
        <v>1086</v>
      </c>
      <c r="D236" s="1450"/>
      <c r="E236" s="1450"/>
      <c r="F236" s="1450"/>
      <c r="G236" s="1444" t="str">
        <f t="shared" si="24"/>
        <v/>
      </c>
      <c r="I236" s="1452"/>
      <c r="J236" s="1452"/>
      <c r="K236" s="1452"/>
      <c r="N236" s="611" t="s">
        <v>1316</v>
      </c>
      <c r="O236" s="611" t="str">
        <f t="shared" si="31"/>
        <v/>
      </c>
      <c r="P236" s="611" t="str">
        <f t="shared" si="25"/>
        <v>Page3!N</v>
      </c>
      <c r="Q236" s="611">
        <f t="shared" si="26"/>
        <v>21</v>
      </c>
      <c r="R236" s="1447">
        <f t="shared" ca="1" si="27"/>
        <v>0</v>
      </c>
      <c r="S236" s="1447">
        <f t="shared" ca="1" si="28"/>
        <v>0</v>
      </c>
      <c r="V236" s="2557" t="str">
        <f t="shared" ca="1" si="29"/>
        <v/>
      </c>
      <c r="W236" s="611" t="str">
        <f t="shared" ca="1" si="30"/>
        <v>Page3, Ligne 18 [Page3!N21]  -</v>
      </c>
    </row>
    <row r="237" spans="1:23">
      <c r="A237" s="1117" t="str">
        <f>celladdr(Page3!N22)</f>
        <v>Page3!N22</v>
      </c>
      <c r="B237" s="1456" t="s">
        <v>1086</v>
      </c>
      <c r="D237" s="1450"/>
      <c r="E237" s="1450"/>
      <c r="F237" s="1450"/>
      <c r="G237" s="1444" t="str">
        <f t="shared" si="24"/>
        <v/>
      </c>
      <c r="I237" s="1452"/>
      <c r="J237" s="1452"/>
      <c r="K237" s="1452"/>
      <c r="N237" s="611" t="s">
        <v>1317</v>
      </c>
      <c r="O237" s="611" t="str">
        <f t="shared" si="31"/>
        <v/>
      </c>
      <c r="P237" s="611" t="str">
        <f t="shared" si="25"/>
        <v>Page3!N</v>
      </c>
      <c r="Q237" s="611">
        <f t="shared" si="26"/>
        <v>22</v>
      </c>
      <c r="R237" s="1447">
        <f t="shared" ca="1" si="27"/>
        <v>0</v>
      </c>
      <c r="S237" s="1447">
        <f t="shared" ca="1" si="28"/>
        <v>0</v>
      </c>
      <c r="V237" s="2557" t="str">
        <f t="shared" ca="1" si="29"/>
        <v/>
      </c>
      <c r="W237" s="611" t="str">
        <f t="shared" ca="1" si="30"/>
        <v>Page3, Ligne 19 [Page3!N22]  -</v>
      </c>
    </row>
    <row r="238" spans="1:23">
      <c r="A238" s="1117" t="str">
        <f>celladdr(Page3!N23)</f>
        <v>Page3!N23</v>
      </c>
      <c r="B238" s="1456" t="s">
        <v>1086</v>
      </c>
      <c r="D238" s="1450"/>
      <c r="E238" s="1450"/>
      <c r="F238" s="1450"/>
      <c r="G238" s="1444" t="str">
        <f t="shared" si="24"/>
        <v/>
      </c>
      <c r="I238" s="1452"/>
      <c r="J238" s="1452"/>
      <c r="K238" s="1452"/>
      <c r="N238" s="611" t="s">
        <v>1318</v>
      </c>
      <c r="O238" s="611" t="str">
        <f t="shared" si="31"/>
        <v/>
      </c>
      <c r="P238" s="611" t="str">
        <f t="shared" si="25"/>
        <v>Page3!N</v>
      </c>
      <c r="Q238" s="611">
        <f t="shared" si="26"/>
        <v>23</v>
      </c>
      <c r="R238" s="1447">
        <f t="shared" ca="1" si="27"/>
        <v>0</v>
      </c>
      <c r="S238" s="1447">
        <f t="shared" ca="1" si="28"/>
        <v>0</v>
      </c>
      <c r="V238" s="2557" t="str">
        <f t="shared" ca="1" si="29"/>
        <v/>
      </c>
      <c r="W238" s="611" t="str">
        <f t="shared" ca="1" si="30"/>
        <v>Page3, Ligne 20 [Page3!N23]  -</v>
      </c>
    </row>
    <row r="239" spans="1:23">
      <c r="A239" s="1117" t="str">
        <f>celladdr(Page3!N24)</f>
        <v>Page3!N24</v>
      </c>
      <c r="B239" s="1456" t="s">
        <v>1086</v>
      </c>
      <c r="D239" s="1450"/>
      <c r="E239" s="1450"/>
      <c r="F239" s="1450"/>
      <c r="G239" s="1444" t="str">
        <f t="shared" si="24"/>
        <v/>
      </c>
      <c r="I239" s="1452"/>
      <c r="J239" s="1452"/>
      <c r="K239" s="1452"/>
      <c r="N239" s="611" t="s">
        <v>1319</v>
      </c>
      <c r="O239" s="611" t="str">
        <f t="shared" si="31"/>
        <v/>
      </c>
      <c r="P239" s="611" t="str">
        <f t="shared" si="25"/>
        <v>Page3!N</v>
      </c>
      <c r="Q239" s="611">
        <f t="shared" si="26"/>
        <v>24</v>
      </c>
      <c r="R239" s="1447">
        <f t="shared" ca="1" si="27"/>
        <v>0</v>
      </c>
      <c r="S239" s="1447">
        <f t="shared" ca="1" si="28"/>
        <v>0</v>
      </c>
      <c r="V239" s="2557" t="str">
        <f t="shared" ca="1" si="29"/>
        <v/>
      </c>
      <c r="W239" s="611" t="str">
        <f t="shared" ca="1" si="30"/>
        <v>Page3, Ligne 21 [Page3!N24]  -</v>
      </c>
    </row>
    <row r="240" spans="1:23">
      <c r="A240" s="1117" t="str">
        <f>celladdr(Page3!N25)</f>
        <v>Page3!N25</v>
      </c>
      <c r="B240" s="1456" t="s">
        <v>1086</v>
      </c>
      <c r="D240" s="1450"/>
      <c r="E240" s="1450"/>
      <c r="F240" s="1450"/>
      <c r="G240" s="1444" t="str">
        <f t="shared" si="24"/>
        <v/>
      </c>
      <c r="I240" s="1452"/>
      <c r="J240" s="1452"/>
      <c r="K240" s="1452"/>
      <c r="N240" s="611" t="s">
        <v>1320</v>
      </c>
      <c r="O240" s="611" t="str">
        <f t="shared" si="31"/>
        <v/>
      </c>
      <c r="P240" s="611" t="str">
        <f t="shared" si="25"/>
        <v>Page3!N</v>
      </c>
      <c r="Q240" s="611">
        <f t="shared" si="26"/>
        <v>25</v>
      </c>
      <c r="R240" s="1447">
        <f t="shared" ca="1" si="27"/>
        <v>0</v>
      </c>
      <c r="S240" s="1447">
        <f t="shared" ca="1" si="28"/>
        <v>0</v>
      </c>
      <c r="V240" s="2557" t="str">
        <f t="shared" ca="1" si="29"/>
        <v/>
      </c>
      <c r="W240" s="611" t="str">
        <f t="shared" ca="1" si="30"/>
        <v>Page3, Ligne 22 [Page3!N25]  -</v>
      </c>
    </row>
    <row r="241" spans="1:23">
      <c r="A241" s="1117" t="str">
        <f>celladdr(Page3!N26)</f>
        <v>Page3!N26</v>
      </c>
      <c r="B241" s="1456" t="s">
        <v>1086</v>
      </c>
      <c r="D241" s="1450"/>
      <c r="E241" s="1450"/>
      <c r="F241" s="1450"/>
      <c r="G241" s="1444" t="str">
        <f t="shared" si="24"/>
        <v/>
      </c>
      <c r="I241" s="1452"/>
      <c r="J241" s="1452"/>
      <c r="K241" s="1452"/>
      <c r="N241" s="611" t="s">
        <v>1321</v>
      </c>
      <c r="O241" s="611" t="str">
        <f t="shared" si="31"/>
        <v/>
      </c>
      <c r="P241" s="611" t="str">
        <f t="shared" si="25"/>
        <v>Page3!N</v>
      </c>
      <c r="Q241" s="611">
        <f t="shared" si="26"/>
        <v>26</v>
      </c>
      <c r="R241" s="1447">
        <f t="shared" ca="1" si="27"/>
        <v>0</v>
      </c>
      <c r="S241" s="1447">
        <f t="shared" ca="1" si="28"/>
        <v>0</v>
      </c>
      <c r="V241" s="2557" t="str">
        <f t="shared" ca="1" si="29"/>
        <v/>
      </c>
      <c r="W241" s="611" t="str">
        <f t="shared" ca="1" si="30"/>
        <v>Page3, Ligne 23 [Page3!N26]  -</v>
      </c>
    </row>
    <row r="242" spans="1:23">
      <c r="A242" s="1117" t="str">
        <f>celladdr(Page3!N27)</f>
        <v>Page3!N27</v>
      </c>
      <c r="B242" s="1456" t="s">
        <v>1086</v>
      </c>
      <c r="D242" s="1450"/>
      <c r="E242" s="1450"/>
      <c r="F242" s="1450"/>
      <c r="G242" s="1444" t="str">
        <f t="shared" si="24"/>
        <v/>
      </c>
      <c r="I242" s="1452"/>
      <c r="J242" s="1452"/>
      <c r="K242" s="1452"/>
      <c r="N242" s="611" t="s">
        <v>1322</v>
      </c>
      <c r="O242" s="611" t="str">
        <f t="shared" si="31"/>
        <v/>
      </c>
      <c r="P242" s="611" t="str">
        <f t="shared" si="25"/>
        <v>Page3!N</v>
      </c>
      <c r="Q242" s="611">
        <f t="shared" si="26"/>
        <v>27</v>
      </c>
      <c r="R242" s="1447">
        <f t="shared" ca="1" si="27"/>
        <v>0</v>
      </c>
      <c r="S242" s="1447">
        <f t="shared" ca="1" si="28"/>
        <v>0</v>
      </c>
      <c r="V242" s="2557" t="str">
        <f t="shared" ca="1" si="29"/>
        <v/>
      </c>
      <c r="W242" s="611" t="str">
        <f t="shared" ca="1" si="30"/>
        <v>Page3, Ligne 24 [Page3!N27]  -</v>
      </c>
    </row>
    <row r="243" spans="1:23">
      <c r="A243" s="1117" t="str">
        <f>celladdr(Page3!N29)</f>
        <v>Page3!N29</v>
      </c>
      <c r="B243" s="1456" t="s">
        <v>1086</v>
      </c>
      <c r="D243" s="1450"/>
      <c r="E243" s="1450"/>
      <c r="F243" s="1450"/>
      <c r="G243" s="1444" t="str">
        <f t="shared" si="24"/>
        <v/>
      </c>
      <c r="I243" s="1452"/>
      <c r="J243" s="1452"/>
      <c r="K243" s="1452"/>
      <c r="N243" s="611" t="s">
        <v>1323</v>
      </c>
      <c r="O243" s="611" t="str">
        <f t="shared" si="31"/>
        <v/>
      </c>
      <c r="P243" s="611" t="str">
        <f t="shared" si="25"/>
        <v>Page3!N</v>
      </c>
      <c r="Q243" s="611">
        <f t="shared" si="26"/>
        <v>29</v>
      </c>
      <c r="R243" s="1447">
        <f t="shared" ca="1" si="27"/>
        <v>0</v>
      </c>
      <c r="S243" s="1447">
        <f t="shared" ca="1" si="28"/>
        <v>0</v>
      </c>
      <c r="V243" s="2557" t="str">
        <f t="shared" ca="1" si="29"/>
        <v/>
      </c>
      <c r="W243" s="611" t="str">
        <f t="shared" ca="1" si="30"/>
        <v>Page3, Ligne 26 [Page3!N29]  -</v>
      </c>
    </row>
    <row r="244" spans="1:23">
      <c r="A244" s="1117" t="str">
        <f>celladdr(Page3!N30)</f>
        <v>Page3!N30</v>
      </c>
      <c r="B244" s="1456" t="s">
        <v>1086</v>
      </c>
      <c r="D244" s="1450"/>
      <c r="E244" s="1450"/>
      <c r="F244" s="1450"/>
      <c r="G244" s="1444" t="str">
        <f t="shared" si="24"/>
        <v/>
      </c>
      <c r="I244" s="1452"/>
      <c r="J244" s="1452"/>
      <c r="K244" s="1452"/>
      <c r="N244" s="611" t="s">
        <v>1324</v>
      </c>
      <c r="O244" s="611" t="str">
        <f t="shared" si="31"/>
        <v/>
      </c>
      <c r="P244" s="611" t="str">
        <f t="shared" si="25"/>
        <v>Page3!N</v>
      </c>
      <c r="Q244" s="611">
        <f t="shared" si="26"/>
        <v>30</v>
      </c>
      <c r="R244" s="1447">
        <f t="shared" ca="1" si="27"/>
        <v>0</v>
      </c>
      <c r="S244" s="1447">
        <f t="shared" ca="1" si="28"/>
        <v>0</v>
      </c>
      <c r="V244" s="2557" t="str">
        <f t="shared" ca="1" si="29"/>
        <v/>
      </c>
      <c r="W244" s="611" t="str">
        <f t="shared" ca="1" si="30"/>
        <v>Page3, Ligne 27 [Page3!N30]  -</v>
      </c>
    </row>
    <row r="245" spans="1:23">
      <c r="A245" s="1117" t="str">
        <f>celladdr(Page3!N31)</f>
        <v>Page3!N31</v>
      </c>
      <c r="B245" s="1456" t="s">
        <v>1086</v>
      </c>
      <c r="D245" s="1450"/>
      <c r="E245" s="1450"/>
      <c r="F245" s="1450"/>
      <c r="G245" s="1444" t="str">
        <f t="shared" si="24"/>
        <v/>
      </c>
      <c r="I245" s="1452"/>
      <c r="J245" s="1452"/>
      <c r="K245" s="1452"/>
      <c r="N245" s="611" t="s">
        <v>1325</v>
      </c>
      <c r="O245" s="611" t="str">
        <f t="shared" si="31"/>
        <v/>
      </c>
      <c r="P245" s="611" t="str">
        <f t="shared" si="25"/>
        <v>Page3!N</v>
      </c>
      <c r="Q245" s="611">
        <f t="shared" si="26"/>
        <v>31</v>
      </c>
      <c r="R245" s="1447">
        <f t="shared" ca="1" si="27"/>
        <v>0</v>
      </c>
      <c r="S245" s="1447">
        <f t="shared" ca="1" si="28"/>
        <v>0</v>
      </c>
      <c r="V245" s="2557" t="str">
        <f t="shared" ca="1" si="29"/>
        <v/>
      </c>
      <c r="W245" s="611" t="str">
        <f t="shared" ca="1" si="30"/>
        <v>Page3, Ligne 28 [Page3!N31]  -</v>
      </c>
    </row>
    <row r="246" spans="1:23">
      <c r="A246" s="1117" t="str">
        <f>celladdr(Page3!N32)</f>
        <v>Page3!N32</v>
      </c>
      <c r="B246" s="1456" t="s">
        <v>1086</v>
      </c>
      <c r="D246" s="1450"/>
      <c r="E246" s="1450"/>
      <c r="F246" s="1450"/>
      <c r="G246" s="1444" t="str">
        <f t="shared" si="24"/>
        <v/>
      </c>
      <c r="I246" s="1452"/>
      <c r="J246" s="1452"/>
      <c r="K246" s="1452"/>
      <c r="N246" s="611" t="s">
        <v>1326</v>
      </c>
      <c r="O246" s="611" t="str">
        <f t="shared" si="31"/>
        <v/>
      </c>
      <c r="P246" s="611" t="str">
        <f t="shared" si="25"/>
        <v>Page3!N</v>
      </c>
      <c r="Q246" s="611">
        <f t="shared" si="26"/>
        <v>32</v>
      </c>
      <c r="R246" s="1447">
        <f t="shared" ca="1" si="27"/>
        <v>0</v>
      </c>
      <c r="S246" s="1447">
        <f t="shared" ca="1" si="28"/>
        <v>0</v>
      </c>
      <c r="V246" s="2557" t="str">
        <f t="shared" ca="1" si="29"/>
        <v/>
      </c>
      <c r="W246" s="611" t="str">
        <f t="shared" ca="1" si="30"/>
        <v>Page3, Ligne 29 [Page3!N32]  -</v>
      </c>
    </row>
    <row r="247" spans="1:23">
      <c r="A247" s="1117" t="str">
        <f>celladdr(Page3!N33)</f>
        <v>Page3!N33</v>
      </c>
      <c r="B247" s="1456" t="s">
        <v>1086</v>
      </c>
      <c r="D247" s="1450"/>
      <c r="E247" s="1450"/>
      <c r="F247" s="1450"/>
      <c r="G247" s="1444" t="str">
        <f t="shared" si="24"/>
        <v/>
      </c>
      <c r="I247" s="1452"/>
      <c r="J247" s="1452"/>
      <c r="K247" s="1452"/>
      <c r="N247" s="611" t="s">
        <v>1327</v>
      </c>
      <c r="O247" s="611" t="str">
        <f t="shared" si="31"/>
        <v/>
      </c>
      <c r="P247" s="611" t="str">
        <f t="shared" si="25"/>
        <v>Page3!N</v>
      </c>
      <c r="Q247" s="611">
        <f t="shared" si="26"/>
        <v>33</v>
      </c>
      <c r="R247" s="1447">
        <f t="shared" ca="1" si="27"/>
        <v>0</v>
      </c>
      <c r="S247" s="1447">
        <f t="shared" ca="1" si="28"/>
        <v>0</v>
      </c>
      <c r="V247" s="2557" t="str">
        <f t="shared" ca="1" si="29"/>
        <v/>
      </c>
      <c r="W247" s="611" t="str">
        <f t="shared" ca="1" si="30"/>
        <v>Page3, Ligne 30 [Page3!N33]  -</v>
      </c>
    </row>
    <row r="248" spans="1:23">
      <c r="A248" s="1117" t="str">
        <f>celladdr(Page3!N34)</f>
        <v>Page3!N34</v>
      </c>
      <c r="B248" s="1456" t="s">
        <v>1086</v>
      </c>
      <c r="D248" s="1450"/>
      <c r="E248" s="1450"/>
      <c r="F248" s="1450"/>
      <c r="G248" s="1444" t="str">
        <f t="shared" si="24"/>
        <v/>
      </c>
      <c r="I248" s="1452"/>
      <c r="J248" s="1452"/>
      <c r="K248" s="1452"/>
      <c r="N248" s="611" t="s">
        <v>1328</v>
      </c>
      <c r="O248" s="611" t="str">
        <f t="shared" si="31"/>
        <v/>
      </c>
      <c r="P248" s="611" t="str">
        <f t="shared" si="25"/>
        <v>Page3!N</v>
      </c>
      <c r="Q248" s="611">
        <f t="shared" si="26"/>
        <v>34</v>
      </c>
      <c r="R248" s="1447">
        <f t="shared" ca="1" si="27"/>
        <v>0</v>
      </c>
      <c r="S248" s="1447">
        <f t="shared" ca="1" si="28"/>
        <v>0</v>
      </c>
      <c r="V248" s="2557" t="str">
        <f t="shared" ca="1" si="29"/>
        <v/>
      </c>
      <c r="W248" s="611" t="str">
        <f t="shared" ca="1" si="30"/>
        <v>Page3, Ligne 31 [Page3!N34]  -</v>
      </c>
    </row>
    <row r="249" spans="1:23">
      <c r="A249" s="1117" t="str">
        <f>celladdr(Page3!N35)</f>
        <v>Page3!N35</v>
      </c>
      <c r="B249" s="1456" t="s">
        <v>1086</v>
      </c>
      <c r="D249" s="1450"/>
      <c r="E249" s="1450"/>
      <c r="F249" s="1450"/>
      <c r="G249" s="1444" t="str">
        <f t="shared" si="24"/>
        <v/>
      </c>
      <c r="I249" s="1452"/>
      <c r="J249" s="1452"/>
      <c r="K249" s="1452"/>
      <c r="N249" s="611" t="s">
        <v>1329</v>
      </c>
      <c r="O249" s="611" t="str">
        <f t="shared" si="31"/>
        <v/>
      </c>
      <c r="P249" s="611" t="str">
        <f t="shared" si="25"/>
        <v>Page3!N</v>
      </c>
      <c r="Q249" s="611">
        <f t="shared" si="26"/>
        <v>35</v>
      </c>
      <c r="R249" s="1447">
        <f t="shared" ca="1" si="27"/>
        <v>0</v>
      </c>
      <c r="S249" s="1447">
        <f t="shared" ca="1" si="28"/>
        <v>0</v>
      </c>
      <c r="V249" s="2557" t="str">
        <f t="shared" ca="1" si="29"/>
        <v/>
      </c>
      <c r="W249" s="611" t="str">
        <f t="shared" ca="1" si="30"/>
        <v>Page3, Ligne 32 [Page3!N35]  -</v>
      </c>
    </row>
    <row r="250" spans="1:23">
      <c r="A250" s="1117" t="str">
        <f>celladdr(Page3!N36)</f>
        <v>Page3!N36</v>
      </c>
      <c r="B250" s="1456" t="s">
        <v>1086</v>
      </c>
      <c r="D250" s="1450"/>
      <c r="E250" s="1450"/>
      <c r="F250" s="1450"/>
      <c r="G250" s="1444" t="str">
        <f t="shared" si="24"/>
        <v/>
      </c>
      <c r="I250" s="1452"/>
      <c r="J250" s="1452"/>
      <c r="K250" s="1452"/>
      <c r="N250" s="611" t="s">
        <v>1330</v>
      </c>
      <c r="O250" s="611" t="str">
        <f t="shared" si="31"/>
        <v/>
      </c>
      <c r="P250" s="611" t="str">
        <f t="shared" si="25"/>
        <v>Page3!N</v>
      </c>
      <c r="Q250" s="611">
        <f t="shared" si="26"/>
        <v>36</v>
      </c>
      <c r="R250" s="1447">
        <f t="shared" ca="1" si="27"/>
        <v>0</v>
      </c>
      <c r="S250" s="1447">
        <f t="shared" ca="1" si="28"/>
        <v>0</v>
      </c>
      <c r="V250" s="2557" t="str">
        <f t="shared" ca="1" si="29"/>
        <v/>
      </c>
      <c r="W250" s="611" t="str">
        <f t="shared" ca="1" si="30"/>
        <v>Page3, Ligne 33 [Page3!N36]  -</v>
      </c>
    </row>
    <row r="251" spans="1:23">
      <c r="A251" s="1117" t="str">
        <f>celladdr(Page3!N37)</f>
        <v>Page3!N37</v>
      </c>
      <c r="B251" s="1456" t="s">
        <v>1086</v>
      </c>
      <c r="D251" s="1450"/>
      <c r="E251" s="1450"/>
      <c r="F251" s="1450"/>
      <c r="G251" s="1444" t="str">
        <f t="shared" si="24"/>
        <v/>
      </c>
      <c r="I251" s="1452"/>
      <c r="J251" s="1452"/>
      <c r="K251" s="1452"/>
      <c r="N251" s="611" t="s">
        <v>1331</v>
      </c>
      <c r="O251" s="611" t="str">
        <f t="shared" si="31"/>
        <v/>
      </c>
      <c r="P251" s="611" t="str">
        <f t="shared" si="25"/>
        <v>Page3!N</v>
      </c>
      <c r="Q251" s="611">
        <f t="shared" si="26"/>
        <v>37</v>
      </c>
      <c r="R251" s="1447">
        <f t="shared" ca="1" si="27"/>
        <v>0</v>
      </c>
      <c r="S251" s="1447">
        <f t="shared" ca="1" si="28"/>
        <v>0</v>
      </c>
      <c r="V251" s="2557" t="str">
        <f t="shared" ca="1" si="29"/>
        <v/>
      </c>
      <c r="W251" s="611" t="str">
        <f t="shared" ca="1" si="30"/>
        <v>Page3, Ligne 34 [Page3!N37]  -</v>
      </c>
    </row>
    <row r="252" spans="1:23">
      <c r="A252" s="1117" t="str">
        <f>celladdr(Page3!N38)</f>
        <v>Page3!N38</v>
      </c>
      <c r="B252" s="1456" t="s">
        <v>1086</v>
      </c>
      <c r="D252" s="1450"/>
      <c r="E252" s="1450"/>
      <c r="F252" s="1450"/>
      <c r="G252" s="1444" t="str">
        <f t="shared" si="24"/>
        <v/>
      </c>
      <c r="I252" s="1452"/>
      <c r="J252" s="1452"/>
      <c r="K252" s="1452"/>
      <c r="N252" s="611" t="s">
        <v>1332</v>
      </c>
      <c r="O252" s="611" t="str">
        <f t="shared" si="31"/>
        <v/>
      </c>
      <c r="P252" s="611" t="str">
        <f t="shared" si="25"/>
        <v>Page3!N</v>
      </c>
      <c r="Q252" s="611">
        <f t="shared" si="26"/>
        <v>38</v>
      </c>
      <c r="R252" s="1447">
        <f t="shared" ca="1" si="27"/>
        <v>0</v>
      </c>
      <c r="S252" s="1447">
        <f t="shared" ca="1" si="28"/>
        <v>0</v>
      </c>
      <c r="V252" s="2557" t="str">
        <f t="shared" ca="1" si="29"/>
        <v/>
      </c>
      <c r="W252" s="611" t="str">
        <f t="shared" ca="1" si="30"/>
        <v>Page3, Ligne 35 [Page3!N38]  -</v>
      </c>
    </row>
    <row r="253" spans="1:23">
      <c r="A253" s="1117" t="str">
        <f>celladdr(Page3!N39)</f>
        <v>Page3!N39</v>
      </c>
      <c r="B253" s="1456" t="s">
        <v>1086</v>
      </c>
      <c r="D253" s="1450"/>
      <c r="E253" s="1450"/>
      <c r="F253" s="1450"/>
      <c r="G253" s="1444" t="str">
        <f t="shared" si="24"/>
        <v/>
      </c>
      <c r="I253" s="1452"/>
      <c r="J253" s="1452"/>
      <c r="K253" s="1452"/>
      <c r="N253" s="611" t="s">
        <v>1333</v>
      </c>
      <c r="O253" s="611" t="str">
        <f t="shared" si="31"/>
        <v/>
      </c>
      <c r="P253" s="611" t="str">
        <f t="shared" si="25"/>
        <v>Page3!N</v>
      </c>
      <c r="Q253" s="611">
        <f t="shared" si="26"/>
        <v>39</v>
      </c>
      <c r="R253" s="1447">
        <f t="shared" ca="1" si="27"/>
        <v>0</v>
      </c>
      <c r="S253" s="1447">
        <f t="shared" ca="1" si="28"/>
        <v>0</v>
      </c>
      <c r="V253" s="2557" t="str">
        <f t="shared" ca="1" si="29"/>
        <v/>
      </c>
      <c r="W253" s="611" t="str">
        <f t="shared" ca="1" si="30"/>
        <v>Page3, Ligne 36 [Page3!N39]  -</v>
      </c>
    </row>
    <row r="254" spans="1:23">
      <c r="A254" s="1117" t="str">
        <f>celladdr(Page3!N40)</f>
        <v>Page3!N40</v>
      </c>
      <c r="B254" s="1456" t="s">
        <v>1086</v>
      </c>
      <c r="D254" s="1450"/>
      <c r="E254" s="1450"/>
      <c r="F254" s="1450"/>
      <c r="G254" s="1444" t="str">
        <f t="shared" si="24"/>
        <v/>
      </c>
      <c r="I254" s="1452"/>
      <c r="J254" s="1452"/>
      <c r="K254" s="1452"/>
      <c r="N254" s="611" t="s">
        <v>1334</v>
      </c>
      <c r="O254" s="611" t="str">
        <f t="shared" si="31"/>
        <v/>
      </c>
      <c r="P254" s="611" t="str">
        <f t="shared" si="25"/>
        <v>Page3!N</v>
      </c>
      <c r="Q254" s="611">
        <f t="shared" si="26"/>
        <v>40</v>
      </c>
      <c r="R254" s="1447">
        <f t="shared" ca="1" si="27"/>
        <v>0</v>
      </c>
      <c r="S254" s="1447">
        <f t="shared" ca="1" si="28"/>
        <v>0</v>
      </c>
      <c r="V254" s="2557" t="str">
        <f t="shared" ca="1" si="29"/>
        <v/>
      </c>
      <c r="W254" s="611" t="str">
        <f t="shared" ca="1" si="30"/>
        <v>Page3, Ligne 37 [Page3!N40]  -</v>
      </c>
    </row>
    <row r="255" spans="1:23">
      <c r="A255" s="1117" t="str">
        <f>celladdr(Page3!N41)</f>
        <v>Page3!N41</v>
      </c>
      <c r="B255" s="1456" t="s">
        <v>1086</v>
      </c>
      <c r="D255" s="1450"/>
      <c r="E255" s="1450"/>
      <c r="F255" s="1450"/>
      <c r="G255" s="1444" t="str">
        <f t="shared" si="24"/>
        <v/>
      </c>
      <c r="I255" s="1452"/>
      <c r="J255" s="1452"/>
      <c r="K255" s="1452"/>
      <c r="N255" s="611" t="s">
        <v>1335</v>
      </c>
      <c r="O255" s="611" t="str">
        <f t="shared" si="31"/>
        <v/>
      </c>
      <c r="P255" s="611" t="str">
        <f t="shared" si="25"/>
        <v>Page3!N</v>
      </c>
      <c r="Q255" s="611">
        <f t="shared" si="26"/>
        <v>41</v>
      </c>
      <c r="R255" s="1447">
        <f t="shared" ca="1" si="27"/>
        <v>0</v>
      </c>
      <c r="S255" s="1447">
        <f t="shared" ca="1" si="28"/>
        <v>0</v>
      </c>
      <c r="V255" s="2557" t="str">
        <f t="shared" ca="1" si="29"/>
        <v/>
      </c>
      <c r="W255" s="611" t="str">
        <f t="shared" ca="1" si="30"/>
        <v>Page3, Ligne 38 [Page3!N41]  -</v>
      </c>
    </row>
    <row r="256" spans="1:23">
      <c r="A256" s="1117" t="str">
        <f>celladdr(Page3!N42)</f>
        <v>Page3!N42</v>
      </c>
      <c r="B256" s="1456" t="s">
        <v>1086</v>
      </c>
      <c r="D256" s="1450"/>
      <c r="E256" s="1450"/>
      <c r="F256" s="1450"/>
      <c r="G256" s="1444" t="str">
        <f t="shared" si="24"/>
        <v/>
      </c>
      <c r="I256" s="1452"/>
      <c r="J256" s="1452"/>
      <c r="K256" s="1452"/>
      <c r="N256" s="611" t="s">
        <v>1336</v>
      </c>
      <c r="O256" s="611" t="str">
        <f t="shared" si="31"/>
        <v/>
      </c>
      <c r="P256" s="611" t="str">
        <f t="shared" si="25"/>
        <v>Page3!N</v>
      </c>
      <c r="Q256" s="611">
        <f t="shared" si="26"/>
        <v>42</v>
      </c>
      <c r="R256" s="1447">
        <f t="shared" ca="1" si="27"/>
        <v>0</v>
      </c>
      <c r="S256" s="1447">
        <f t="shared" ca="1" si="28"/>
        <v>0</v>
      </c>
      <c r="V256" s="2557" t="str">
        <f t="shared" ca="1" si="29"/>
        <v/>
      </c>
      <c r="W256" s="611" t="str">
        <f t="shared" ca="1" si="30"/>
        <v>Page3, Ligne 39 [Page3!N42]  -</v>
      </c>
    </row>
    <row r="257" spans="1:23">
      <c r="A257" s="1117" t="str">
        <f>celladdr(Page3!N44)</f>
        <v>Page3!N44</v>
      </c>
      <c r="B257" s="1456" t="s">
        <v>1086</v>
      </c>
      <c r="D257" s="1450"/>
      <c r="E257" s="1450"/>
      <c r="F257" s="1450"/>
      <c r="G257" s="1444" t="str">
        <f t="shared" si="24"/>
        <v/>
      </c>
      <c r="I257" s="1452"/>
      <c r="J257" s="1452"/>
      <c r="K257" s="1452"/>
      <c r="N257" s="611" t="s">
        <v>1337</v>
      </c>
      <c r="O257" s="611" t="str">
        <f t="shared" si="31"/>
        <v/>
      </c>
      <c r="P257" s="611" t="str">
        <f t="shared" si="25"/>
        <v>Page3!N</v>
      </c>
      <c r="Q257" s="611">
        <f t="shared" si="26"/>
        <v>44</v>
      </c>
      <c r="R257" s="1447">
        <f t="shared" ca="1" si="27"/>
        <v>0</v>
      </c>
      <c r="S257" s="1447">
        <f t="shared" ca="1" si="28"/>
        <v>0</v>
      </c>
      <c r="V257" s="2557" t="str">
        <f t="shared" ca="1" si="29"/>
        <v/>
      </c>
      <c r="W257" s="611" t="str">
        <f t="shared" ca="1" si="30"/>
        <v>Page3, Ligne 41 [Page3!N44]  -</v>
      </c>
    </row>
    <row r="258" spans="1:23">
      <c r="A258" s="1117" t="str">
        <f>celladdr(Page3!N45)</f>
        <v>Page3!N45</v>
      </c>
      <c r="B258" s="1456" t="s">
        <v>1086</v>
      </c>
      <c r="D258" s="1450"/>
      <c r="E258" s="1450"/>
      <c r="F258" s="1450"/>
      <c r="G258" s="1444" t="str">
        <f t="shared" ref="G258:G321" si="32">IF(H258&amp;I258&amp;J258&amp;K258&lt;&gt;"","No.de ref. du commentaire.: "&amp;W258&amp;" "&amp;N258&amp;" "&amp;H258&amp;I258&amp;IF(OR(C258=TRUE,D258=TRUE),"",J258&amp;K258&amp;V258),"")</f>
        <v/>
      </c>
      <c r="I258" s="1452"/>
      <c r="J258" s="1452"/>
      <c r="K258" s="1452"/>
      <c r="N258" s="611" t="s">
        <v>1338</v>
      </c>
      <c r="O258" s="611" t="str">
        <f t="shared" si="31"/>
        <v/>
      </c>
      <c r="P258" s="611" t="str">
        <f t="shared" ref="P258:P321" si="33">LEFT(A258,FIND("!",A258)+1)</f>
        <v>Page3!N</v>
      </c>
      <c r="Q258" s="611">
        <f t="shared" ref="Q258:Q321" si="34">VALUE(RIGHT(A258,LEN(A258)-FIND("!",A258)-1))</f>
        <v>45</v>
      </c>
      <c r="R258" s="1447">
        <f t="shared" ref="R258:R321" ca="1" si="35">IF(E258=TRUE,INDIRECT("Comments!$D$"&amp;T258),0)</f>
        <v>0</v>
      </c>
      <c r="S258" s="1447">
        <f t="shared" ref="S258:S321" ca="1" si="36">IF(F258=TRUE,INDIRECT("Comments!$D$"&amp;U258),0)</f>
        <v>0</v>
      </c>
      <c r="V258" s="2557" t="str">
        <f t="shared" ref="V258:V321" ca="1" si="37">IF(SUM(R258+S258)=0,"","
*** "&amp;TEXT(SUM(R258+S258),"0,0")&amp;" Points de précision seront déduits suite à cette(ces) erreur(s) !")</f>
        <v/>
      </c>
      <c r="W258" s="611" t="str">
        <f t="shared" ref="W258:W321" ca="1" si="38">LEFT(A258,FIND("!",A258,1)-1)&amp;", Ligne "&amp;INDIRECT(ADDRESS(ROW(INDIRECT(A258)),IF(INDIRECT(ADDRESS(ROW(INDIRECT(A258)),1,,,LEFT(A258,FIND("!",A258,1)-1)))="",2,1),,,LEFT(A258,FIND("!",A258,1)-1)))&amp;" ["&amp;A258&amp;"] "&amp;" -"</f>
        <v>Page3, Ligne 42 [Page3!N45]  -</v>
      </c>
    </row>
    <row r="259" spans="1:23">
      <c r="A259" s="1117" t="str">
        <f>celladdr(Page3!N46)</f>
        <v>Page3!N46</v>
      </c>
      <c r="B259" s="1456" t="s">
        <v>1086</v>
      </c>
      <c r="D259" s="1450"/>
      <c r="E259" s="1450"/>
      <c r="F259" s="1450"/>
      <c r="G259" s="1444" t="str">
        <f t="shared" si="32"/>
        <v/>
      </c>
      <c r="I259" s="1452"/>
      <c r="J259" s="1452"/>
      <c r="K259" s="1452"/>
      <c r="N259" s="611" t="s">
        <v>1339</v>
      </c>
      <c r="O259" s="611" t="str">
        <f t="shared" ref="O259:O322" si="39">IF(A259=A258,"TRUE","")</f>
        <v/>
      </c>
      <c r="P259" s="611" t="str">
        <f t="shared" si="33"/>
        <v>Page3!N</v>
      </c>
      <c r="Q259" s="611">
        <f t="shared" si="34"/>
        <v>46</v>
      </c>
      <c r="R259" s="1447">
        <f t="shared" ca="1" si="35"/>
        <v>0</v>
      </c>
      <c r="S259" s="1447">
        <f t="shared" ca="1" si="36"/>
        <v>0</v>
      </c>
      <c r="V259" s="2557" t="str">
        <f t="shared" ca="1" si="37"/>
        <v/>
      </c>
      <c r="W259" s="611" t="str">
        <f t="shared" ca="1" si="38"/>
        <v>Page3, Ligne 43 [Page3!N46]  -</v>
      </c>
    </row>
    <row r="260" spans="1:23">
      <c r="A260" s="1117" t="str">
        <f>celladdr(Page3!N47)</f>
        <v>Page3!N47</v>
      </c>
      <c r="B260" s="1456" t="s">
        <v>1086</v>
      </c>
      <c r="D260" s="1450"/>
      <c r="E260" s="1450"/>
      <c r="F260" s="1450"/>
      <c r="G260" s="1444" t="str">
        <f t="shared" si="32"/>
        <v/>
      </c>
      <c r="I260" s="1452"/>
      <c r="J260" s="1452"/>
      <c r="K260" s="1452"/>
      <c r="N260" s="611" t="s">
        <v>1340</v>
      </c>
      <c r="O260" s="611" t="str">
        <f t="shared" si="39"/>
        <v/>
      </c>
      <c r="P260" s="611" t="str">
        <f t="shared" si="33"/>
        <v>Page3!N</v>
      </c>
      <c r="Q260" s="611">
        <f t="shared" si="34"/>
        <v>47</v>
      </c>
      <c r="R260" s="1447">
        <f t="shared" ca="1" si="35"/>
        <v>0</v>
      </c>
      <c r="S260" s="1447">
        <f t="shared" ca="1" si="36"/>
        <v>0</v>
      </c>
      <c r="V260" s="2557" t="str">
        <f t="shared" ca="1" si="37"/>
        <v/>
      </c>
      <c r="W260" s="611" t="str">
        <f t="shared" ca="1" si="38"/>
        <v>Page3, Ligne 44 [Page3!N47]  -</v>
      </c>
    </row>
    <row r="261" spans="1:23">
      <c r="A261" s="1117" t="str">
        <f>celladdr(Page3!N48)</f>
        <v>Page3!N48</v>
      </c>
      <c r="B261" s="1456" t="s">
        <v>1086</v>
      </c>
      <c r="D261" s="1450"/>
      <c r="E261" s="1450"/>
      <c r="F261" s="1450"/>
      <c r="G261" s="1444" t="str">
        <f t="shared" si="32"/>
        <v/>
      </c>
      <c r="I261" s="1452"/>
      <c r="J261" s="1452"/>
      <c r="K261" s="1452"/>
      <c r="N261" s="611" t="s">
        <v>1341</v>
      </c>
      <c r="O261" s="611" t="str">
        <f t="shared" si="39"/>
        <v/>
      </c>
      <c r="P261" s="611" t="str">
        <f t="shared" si="33"/>
        <v>Page3!N</v>
      </c>
      <c r="Q261" s="611">
        <f t="shared" si="34"/>
        <v>48</v>
      </c>
      <c r="R261" s="1447">
        <f t="shared" ca="1" si="35"/>
        <v>0</v>
      </c>
      <c r="S261" s="1447">
        <f t="shared" ca="1" si="36"/>
        <v>0</v>
      </c>
      <c r="V261" s="2557" t="str">
        <f t="shared" ca="1" si="37"/>
        <v/>
      </c>
      <c r="W261" s="611" t="str">
        <f t="shared" ca="1" si="38"/>
        <v>Page3, Ligne 45 [Page3!N48]  -</v>
      </c>
    </row>
    <row r="262" spans="1:23">
      <c r="A262" s="1117" t="str">
        <f>celladdr(Page3!N49)</f>
        <v>Page3!N49</v>
      </c>
      <c r="B262" s="1456" t="s">
        <v>1086</v>
      </c>
      <c r="D262" s="1450"/>
      <c r="E262" s="1450"/>
      <c r="F262" s="1450"/>
      <c r="G262" s="1444" t="str">
        <f t="shared" si="32"/>
        <v/>
      </c>
      <c r="I262" s="1452"/>
      <c r="J262" s="1452"/>
      <c r="K262" s="1452"/>
      <c r="N262" s="611" t="s">
        <v>1342</v>
      </c>
      <c r="O262" s="611" t="str">
        <f t="shared" si="39"/>
        <v/>
      </c>
      <c r="P262" s="611" t="str">
        <f t="shared" si="33"/>
        <v>Page3!N</v>
      </c>
      <c r="Q262" s="611">
        <f t="shared" si="34"/>
        <v>49</v>
      </c>
      <c r="R262" s="1447">
        <f t="shared" ca="1" si="35"/>
        <v>0</v>
      </c>
      <c r="S262" s="1447">
        <f t="shared" ca="1" si="36"/>
        <v>0</v>
      </c>
      <c r="V262" s="2557" t="str">
        <f t="shared" ca="1" si="37"/>
        <v/>
      </c>
      <c r="W262" s="611" t="str">
        <f t="shared" ca="1" si="38"/>
        <v>Page3, Ligne 46 [Page3!N49]  -</v>
      </c>
    </row>
    <row r="263" spans="1:23">
      <c r="A263" s="1117" t="str">
        <f>celladdr(Page3!N50)</f>
        <v>Page3!N50</v>
      </c>
      <c r="B263" s="1456" t="s">
        <v>1086</v>
      </c>
      <c r="D263" s="1450"/>
      <c r="E263" s="1450"/>
      <c r="F263" s="1450"/>
      <c r="G263" s="1444" t="str">
        <f t="shared" si="32"/>
        <v/>
      </c>
      <c r="I263" s="1452"/>
      <c r="J263" s="1452"/>
      <c r="K263" s="1452"/>
      <c r="N263" s="611" t="s">
        <v>1343</v>
      </c>
      <c r="O263" s="611" t="str">
        <f t="shared" si="39"/>
        <v/>
      </c>
      <c r="P263" s="611" t="str">
        <f t="shared" si="33"/>
        <v>Page3!N</v>
      </c>
      <c r="Q263" s="611">
        <f t="shared" si="34"/>
        <v>50</v>
      </c>
      <c r="R263" s="1447">
        <f t="shared" ca="1" si="35"/>
        <v>0</v>
      </c>
      <c r="S263" s="1447">
        <f t="shared" ca="1" si="36"/>
        <v>0</v>
      </c>
      <c r="V263" s="2557" t="str">
        <f t="shared" ca="1" si="37"/>
        <v/>
      </c>
      <c r="W263" s="611" t="str">
        <f t="shared" ca="1" si="38"/>
        <v>Page3, Ligne 47 [Page3!N50]  -</v>
      </c>
    </row>
    <row r="264" spans="1:23">
      <c r="A264" s="1117" t="str">
        <f>celladdr(Page3!N51)</f>
        <v>Page3!N51</v>
      </c>
      <c r="B264" s="1456" t="s">
        <v>1086</v>
      </c>
      <c r="D264" s="1450"/>
      <c r="E264" s="1450"/>
      <c r="F264" s="1450"/>
      <c r="G264" s="1444" t="str">
        <f t="shared" si="32"/>
        <v/>
      </c>
      <c r="I264" s="1452"/>
      <c r="J264" s="1452"/>
      <c r="K264" s="1452"/>
      <c r="N264" s="611" t="s">
        <v>1344</v>
      </c>
      <c r="O264" s="611" t="str">
        <f t="shared" si="39"/>
        <v/>
      </c>
      <c r="P264" s="611" t="str">
        <f t="shared" si="33"/>
        <v>Page3!N</v>
      </c>
      <c r="Q264" s="611">
        <f t="shared" si="34"/>
        <v>51</v>
      </c>
      <c r="R264" s="1447">
        <f t="shared" ca="1" si="35"/>
        <v>0</v>
      </c>
      <c r="S264" s="1447">
        <f t="shared" ca="1" si="36"/>
        <v>0</v>
      </c>
      <c r="V264" s="2557" t="str">
        <f t="shared" ca="1" si="37"/>
        <v/>
      </c>
      <c r="W264" s="611" t="str">
        <f t="shared" ca="1" si="38"/>
        <v>Page3, Ligne 48 [Page3!N51]  -</v>
      </c>
    </row>
    <row r="265" spans="1:23">
      <c r="A265" s="1117" t="str">
        <f>celladdr(Page3!N53)</f>
        <v>Page3!N53</v>
      </c>
      <c r="B265" s="1456" t="s">
        <v>1086</v>
      </c>
      <c r="D265" s="1450"/>
      <c r="E265" s="1450"/>
      <c r="F265" s="1450"/>
      <c r="G265" s="1444" t="str">
        <f t="shared" si="32"/>
        <v/>
      </c>
      <c r="I265" s="1452"/>
      <c r="J265" s="1452"/>
      <c r="K265" s="1452"/>
      <c r="N265" s="611" t="s">
        <v>1345</v>
      </c>
      <c r="O265" s="611" t="str">
        <f t="shared" si="39"/>
        <v/>
      </c>
      <c r="P265" s="611" t="str">
        <f t="shared" si="33"/>
        <v>Page3!N</v>
      </c>
      <c r="Q265" s="611">
        <f t="shared" si="34"/>
        <v>53</v>
      </c>
      <c r="R265" s="1447">
        <f t="shared" ca="1" si="35"/>
        <v>0</v>
      </c>
      <c r="S265" s="1447">
        <f t="shared" ca="1" si="36"/>
        <v>0</v>
      </c>
      <c r="V265" s="2557" t="str">
        <f t="shared" ca="1" si="37"/>
        <v/>
      </c>
      <c r="W265" s="611" t="str">
        <f t="shared" ca="1" si="38"/>
        <v>Page3, Ligne 50 [Page3!N53]  -</v>
      </c>
    </row>
    <row r="266" spans="1:23">
      <c r="A266" s="1117" t="str">
        <f>celladdr(Page3!N54)</f>
        <v>Page3!N54</v>
      </c>
      <c r="B266" s="1456" t="s">
        <v>1086</v>
      </c>
      <c r="D266" s="1450"/>
      <c r="E266" s="1450"/>
      <c r="F266" s="1450"/>
      <c r="G266" s="1444" t="str">
        <f t="shared" si="32"/>
        <v/>
      </c>
      <c r="I266" s="1452"/>
      <c r="J266" s="1452"/>
      <c r="K266" s="1452"/>
      <c r="N266" s="611" t="s">
        <v>1346</v>
      </c>
      <c r="O266" s="611" t="str">
        <f t="shared" si="39"/>
        <v/>
      </c>
      <c r="P266" s="611" t="str">
        <f t="shared" si="33"/>
        <v>Page3!N</v>
      </c>
      <c r="Q266" s="611">
        <f t="shared" si="34"/>
        <v>54</v>
      </c>
      <c r="R266" s="1447">
        <f t="shared" ca="1" si="35"/>
        <v>0</v>
      </c>
      <c r="S266" s="1447">
        <f t="shared" ca="1" si="36"/>
        <v>0</v>
      </c>
      <c r="V266" s="2557" t="str">
        <f t="shared" ca="1" si="37"/>
        <v/>
      </c>
      <c r="W266" s="611" t="str">
        <f t="shared" ca="1" si="38"/>
        <v>Page3, Ligne 51 [Page3!N54]  -</v>
      </c>
    </row>
    <row r="267" spans="1:23">
      <c r="A267" s="1117" t="str">
        <f>celladdr(Page3!N55)</f>
        <v>Page3!N55</v>
      </c>
      <c r="B267" s="1456" t="s">
        <v>1086</v>
      </c>
      <c r="D267" s="1450"/>
      <c r="E267" s="1450"/>
      <c r="F267" s="1450"/>
      <c r="G267" s="1444" t="str">
        <f t="shared" si="32"/>
        <v/>
      </c>
      <c r="I267" s="1452"/>
      <c r="J267" s="1452"/>
      <c r="K267" s="1452"/>
      <c r="N267" s="611" t="s">
        <v>1347</v>
      </c>
      <c r="O267" s="611" t="str">
        <f t="shared" si="39"/>
        <v/>
      </c>
      <c r="P267" s="611" t="str">
        <f t="shared" si="33"/>
        <v>Page3!N</v>
      </c>
      <c r="Q267" s="611">
        <f t="shared" si="34"/>
        <v>55</v>
      </c>
      <c r="R267" s="1447">
        <f t="shared" ca="1" si="35"/>
        <v>0</v>
      </c>
      <c r="S267" s="1447">
        <f t="shared" ca="1" si="36"/>
        <v>0</v>
      </c>
      <c r="V267" s="2557" t="str">
        <f t="shared" ca="1" si="37"/>
        <v/>
      </c>
      <c r="W267" s="611" t="str">
        <f t="shared" ca="1" si="38"/>
        <v>Page3, Ligne 52 [Page3!N55]  -</v>
      </c>
    </row>
    <row r="268" spans="1:23">
      <c r="A268" s="1117" t="str">
        <f>celladdr(Page3!N56)</f>
        <v>Page3!N56</v>
      </c>
      <c r="B268" s="1456" t="s">
        <v>1086</v>
      </c>
      <c r="D268" s="1450"/>
      <c r="E268" s="1450"/>
      <c r="F268" s="1450"/>
      <c r="G268" s="1444" t="str">
        <f t="shared" si="32"/>
        <v/>
      </c>
      <c r="I268" s="1452"/>
      <c r="J268" s="1452"/>
      <c r="K268" s="1452"/>
      <c r="N268" s="611" t="s">
        <v>1348</v>
      </c>
      <c r="O268" s="611" t="str">
        <f t="shared" si="39"/>
        <v/>
      </c>
      <c r="P268" s="611" t="str">
        <f t="shared" si="33"/>
        <v>Page3!N</v>
      </c>
      <c r="Q268" s="611">
        <f t="shared" si="34"/>
        <v>56</v>
      </c>
      <c r="R268" s="1447">
        <f t="shared" ca="1" si="35"/>
        <v>0</v>
      </c>
      <c r="S268" s="1447">
        <f t="shared" ca="1" si="36"/>
        <v>0</v>
      </c>
      <c r="V268" s="2557" t="str">
        <f t="shared" ca="1" si="37"/>
        <v/>
      </c>
      <c r="W268" s="611" t="str">
        <f t="shared" ca="1" si="38"/>
        <v>Page3, Ligne 53 [Page3!N56]  -</v>
      </c>
    </row>
    <row r="269" spans="1:23">
      <c r="A269" s="1117" t="str">
        <f>celladdr(Page3!N57)</f>
        <v>Page3!N57</v>
      </c>
      <c r="B269" s="1456" t="s">
        <v>1086</v>
      </c>
      <c r="D269" s="1450"/>
      <c r="E269" s="1450"/>
      <c r="F269" s="1450"/>
      <c r="G269" s="1444" t="str">
        <f t="shared" si="32"/>
        <v/>
      </c>
      <c r="I269" s="1452"/>
      <c r="J269" s="1452"/>
      <c r="K269" s="1452"/>
      <c r="N269" s="611" t="s">
        <v>1349</v>
      </c>
      <c r="O269" s="611" t="str">
        <f t="shared" si="39"/>
        <v/>
      </c>
      <c r="P269" s="611" t="str">
        <f t="shared" si="33"/>
        <v>Page3!N</v>
      </c>
      <c r="Q269" s="611">
        <f t="shared" si="34"/>
        <v>57</v>
      </c>
      <c r="R269" s="1447">
        <f t="shared" ca="1" si="35"/>
        <v>0</v>
      </c>
      <c r="S269" s="1447">
        <f t="shared" ca="1" si="36"/>
        <v>0</v>
      </c>
      <c r="V269" s="2557" t="str">
        <f t="shared" ca="1" si="37"/>
        <v/>
      </c>
      <c r="W269" s="611" t="str">
        <f t="shared" ca="1" si="38"/>
        <v>Page3, Ligne 54 [Page3!N57]  -</v>
      </c>
    </row>
    <row r="270" spans="1:23">
      <c r="A270" s="1443" t="str">
        <f>celladdr(Page3!N63)</f>
        <v>Page3!N63</v>
      </c>
      <c r="B270" s="1464" t="s">
        <v>1086</v>
      </c>
      <c r="C270" s="1445" t="b">
        <f>OR(Page3!$F$63+Page3!$J$63+Page3!$N$63+Page4!$F$63+Page4!$J$63+Page4!$N$63+Page4!$R$63&gt;100,Page3!$F$63+Page3!$J$63+Page3!$N$63+Page4!$F$63+Page4!$J$63+Page4!$N$63+Page4!$R$63&lt;-100)</f>
        <v>0</v>
      </c>
      <c r="D270" s="1445" t="b">
        <f>ABS(Page3!N$63)&gt;ABS(Page4!$R$63)</f>
        <v>0</v>
      </c>
      <c r="F270" s="1454"/>
      <c r="G270" s="1444" t="str">
        <f t="shared" si="32"/>
        <v/>
      </c>
      <c r="H270" s="1446" t="str">
        <f>IF(C270=TRUE,Comments!$B$15&amp;DOLLAR(Page4!$R$60+Page4!$F$63+Page4!$J$63+Page4!$N$63+Page3!$F$63+Page3!$J$63+Page3!$N$63,0),"")</f>
        <v/>
      </c>
      <c r="I270" s="1447" t="str">
        <f>IF(D270=TRUE,Comments!$B$71,"")</f>
        <v/>
      </c>
      <c r="J270" s="1452"/>
      <c r="K270" s="1452"/>
      <c r="N270" s="611" t="s">
        <v>1350</v>
      </c>
      <c r="O270" s="611" t="str">
        <f t="shared" si="39"/>
        <v/>
      </c>
      <c r="P270" s="611" t="str">
        <f t="shared" si="33"/>
        <v>Page3!N</v>
      </c>
      <c r="Q270" s="611">
        <f t="shared" si="34"/>
        <v>63</v>
      </c>
      <c r="R270" s="1447">
        <f t="shared" ca="1" si="35"/>
        <v>0</v>
      </c>
      <c r="S270" s="1447">
        <f t="shared" ca="1" si="36"/>
        <v>0</v>
      </c>
      <c r="V270" s="2557" t="str">
        <f t="shared" ca="1" si="37"/>
        <v/>
      </c>
      <c r="W270" s="611" t="str">
        <f t="shared" ca="1" si="38"/>
        <v>Page3, Ligne 60 [Page3!N63]  -</v>
      </c>
    </row>
    <row r="271" spans="1:23">
      <c r="A271" s="1117" t="str">
        <f>celladdr(Page3!N64)</f>
        <v>Page3!N64</v>
      </c>
      <c r="B271" s="1444" t="s">
        <v>1086</v>
      </c>
      <c r="C271" s="1445" t="b">
        <f>Page3!$N$64&lt;&gt;Page3!$N$61+Page3!$N$62+Page3!$N$63</f>
        <v>0</v>
      </c>
      <c r="D271" s="1454"/>
      <c r="E271" s="1454"/>
      <c r="F271" s="1454"/>
      <c r="G271" s="1444" t="str">
        <f t="shared" si="32"/>
        <v/>
      </c>
      <c r="H271" s="1446" t="str">
        <f>IF(C271=TRUE,Comments!$B$14&amp;DOLLAR(Page3!$N$64-(Page3!$N$61+Page3!$N$62+Page3!$N$63),0),"")</f>
        <v/>
      </c>
      <c r="I271" s="1452"/>
      <c r="J271" s="1452"/>
      <c r="K271" s="1452"/>
      <c r="N271" s="611" t="s">
        <v>1351</v>
      </c>
      <c r="O271" s="611" t="str">
        <f t="shared" si="39"/>
        <v/>
      </c>
      <c r="P271" s="611" t="str">
        <f t="shared" si="33"/>
        <v>Page3!N</v>
      </c>
      <c r="Q271" s="611">
        <f t="shared" si="34"/>
        <v>64</v>
      </c>
      <c r="R271" s="1447">
        <f t="shared" ca="1" si="35"/>
        <v>0</v>
      </c>
      <c r="S271" s="1447">
        <f t="shared" ca="1" si="36"/>
        <v>0</v>
      </c>
      <c r="V271" s="2557" t="str">
        <f t="shared" ca="1" si="37"/>
        <v/>
      </c>
      <c r="W271" s="611" t="str">
        <f t="shared" ca="1" si="38"/>
        <v>Page3, Ligne 61 [Page3!N64]  -</v>
      </c>
    </row>
    <row r="272" spans="1:23">
      <c r="A272" s="1443" t="str">
        <f>celladdr(Page3!N66)</f>
        <v>Page3!N66</v>
      </c>
      <c r="B272" s="1456" t="s">
        <v>1086</v>
      </c>
      <c r="C272" s="1451"/>
      <c r="D272" s="1454"/>
      <c r="E272" s="1454"/>
      <c r="F272" s="1454"/>
      <c r="G272" s="1444" t="str">
        <f t="shared" si="32"/>
        <v/>
      </c>
      <c r="I272" s="1446"/>
      <c r="J272" s="1446"/>
      <c r="K272" s="1446"/>
      <c r="O272" s="611" t="str">
        <f t="shared" si="39"/>
        <v/>
      </c>
      <c r="P272" s="611" t="str">
        <f t="shared" si="33"/>
        <v>Page3!N</v>
      </c>
      <c r="Q272" s="611">
        <f t="shared" si="34"/>
        <v>66</v>
      </c>
      <c r="R272" s="1447">
        <f t="shared" ca="1" si="35"/>
        <v>0</v>
      </c>
      <c r="S272" s="1447">
        <f t="shared" ca="1" si="36"/>
        <v>0</v>
      </c>
      <c r="V272" s="2557" t="str">
        <f t="shared" ca="1" si="37"/>
        <v/>
      </c>
      <c r="W272" s="611" t="str">
        <f t="shared" ca="1" si="38"/>
        <v>Page3, Ligne 63 [Page3!N66]  -</v>
      </c>
    </row>
    <row r="273" spans="1:23">
      <c r="A273" s="1117" t="str">
        <f>celladdr(Page3!N67)</f>
        <v>Page3!N67</v>
      </c>
      <c r="B273" s="1456" t="s">
        <v>1086</v>
      </c>
      <c r="D273" s="1450"/>
      <c r="E273" s="1450"/>
      <c r="F273" s="1450"/>
      <c r="G273" s="1444" t="str">
        <f t="shared" si="32"/>
        <v/>
      </c>
      <c r="I273" s="1452"/>
      <c r="J273" s="1452"/>
      <c r="K273" s="1452"/>
      <c r="N273" s="611" t="s">
        <v>1249</v>
      </c>
      <c r="O273" s="611" t="str">
        <f t="shared" si="39"/>
        <v/>
      </c>
      <c r="P273" s="611" t="str">
        <f t="shared" si="33"/>
        <v>Page3!N</v>
      </c>
      <c r="Q273" s="611">
        <f t="shared" si="34"/>
        <v>67</v>
      </c>
      <c r="R273" s="1447">
        <f t="shared" ca="1" si="35"/>
        <v>0</v>
      </c>
      <c r="S273" s="1447">
        <f t="shared" ca="1" si="36"/>
        <v>0</v>
      </c>
      <c r="V273" s="2557" t="str">
        <f t="shared" ca="1" si="37"/>
        <v/>
      </c>
      <c r="W273" s="611" t="str">
        <f t="shared" ca="1" si="38"/>
        <v>Page3, Ligne 64 [Page3!N67]  -</v>
      </c>
    </row>
    <row r="274" spans="1:23">
      <c r="A274" s="1117" t="str">
        <f>celladdr(Page3!N68)</f>
        <v>Page3!N68</v>
      </c>
      <c r="B274" s="1456" t="s">
        <v>1086</v>
      </c>
      <c r="D274" s="1450"/>
      <c r="E274" s="1450"/>
      <c r="F274" s="1450"/>
      <c r="G274" s="1444" t="str">
        <f t="shared" si="32"/>
        <v/>
      </c>
      <c r="I274" s="1452"/>
      <c r="J274" s="1452"/>
      <c r="K274" s="1452"/>
      <c r="N274" s="611" t="s">
        <v>1250</v>
      </c>
      <c r="O274" s="611" t="str">
        <f t="shared" si="39"/>
        <v/>
      </c>
      <c r="P274" s="611" t="str">
        <f t="shared" si="33"/>
        <v>Page3!N</v>
      </c>
      <c r="Q274" s="611">
        <f t="shared" si="34"/>
        <v>68</v>
      </c>
      <c r="R274" s="1447">
        <f t="shared" ca="1" si="35"/>
        <v>0</v>
      </c>
      <c r="S274" s="1447">
        <f t="shared" ca="1" si="36"/>
        <v>0</v>
      </c>
      <c r="V274" s="2557" t="str">
        <f t="shared" ca="1" si="37"/>
        <v/>
      </c>
      <c r="W274" s="611" t="str">
        <f t="shared" ca="1" si="38"/>
        <v>Page3, Ligne 65 [Page3!N68]  -</v>
      </c>
    </row>
    <row r="275" spans="1:23">
      <c r="A275" s="1117" t="str">
        <f>celladdr(Page3!N71)</f>
        <v>Page3!N71</v>
      </c>
      <c r="B275" s="1455" t="s">
        <v>1086</v>
      </c>
      <c r="C275" s="1445" t="b">
        <f>Page3!$N$71&lt;&gt;(SUM(Page3!$F$66:$F$70)-SUM(Page3!$N$66:$N$68))</f>
        <v>0</v>
      </c>
      <c r="D275" s="1454"/>
      <c r="E275" s="1454"/>
      <c r="F275" s="1454"/>
      <c r="G275" s="1444" t="str">
        <f t="shared" si="32"/>
        <v/>
      </c>
      <c r="H275" s="1446" t="str">
        <f>IF(C275=TRUE,Comments!$B$37&amp;DOLLAR(Page3!$N$71-(SUM(Page3!$F$66:$G$70)-SUM(Page3!$N$66:$O$68)),0),"")</f>
        <v/>
      </c>
      <c r="I275" s="1452"/>
      <c r="J275" s="1452"/>
      <c r="K275" s="1452"/>
      <c r="N275" s="611" t="s">
        <v>1352</v>
      </c>
      <c r="O275" s="611" t="str">
        <f t="shared" si="39"/>
        <v/>
      </c>
      <c r="P275" s="611" t="str">
        <f t="shared" si="33"/>
        <v>Page3!N</v>
      </c>
      <c r="Q275" s="611">
        <f t="shared" si="34"/>
        <v>71</v>
      </c>
      <c r="R275" s="1447">
        <f t="shared" ca="1" si="35"/>
        <v>0</v>
      </c>
      <c r="S275" s="1447">
        <f t="shared" ca="1" si="36"/>
        <v>0</v>
      </c>
      <c r="V275" s="2557" t="str">
        <f t="shared" ca="1" si="37"/>
        <v/>
      </c>
      <c r="W275" s="611" t="str">
        <f t="shared" ca="1" si="38"/>
        <v>Page3, Ligne 68 [Page3!N71]  -</v>
      </c>
    </row>
    <row r="276" spans="1:23">
      <c r="A276" s="1117" t="str">
        <f>celladdr(Page4!D11)</f>
        <v>Page4!D11</v>
      </c>
      <c r="B276" s="1449" t="s">
        <v>1086</v>
      </c>
      <c r="C276" s="1445" t="b">
        <f>OR(AND(Page4!$D$11=0,Page7!$J$47&gt;0),AND(Page4!$D$11&gt;0,Page7!$J$47=0))</f>
        <v>0</v>
      </c>
      <c r="D276" s="1450"/>
      <c r="E276" s="1450"/>
      <c r="F276" s="1450"/>
      <c r="G276" s="1444" t="str">
        <f t="shared" si="32"/>
        <v/>
      </c>
      <c r="H276" s="1446" t="str">
        <f>IF(C276=TRUE,Comments!$B$13,"")</f>
        <v/>
      </c>
      <c r="I276" s="1446"/>
      <c r="J276" s="1452"/>
      <c r="K276" s="1452"/>
      <c r="N276" s="611" t="s">
        <v>1353</v>
      </c>
      <c r="O276" s="611" t="str">
        <f t="shared" si="39"/>
        <v/>
      </c>
      <c r="P276" s="611" t="str">
        <f t="shared" si="33"/>
        <v>Page4!D</v>
      </c>
      <c r="Q276" s="611">
        <f t="shared" si="34"/>
        <v>11</v>
      </c>
      <c r="R276" s="1447">
        <f t="shared" ca="1" si="35"/>
        <v>0</v>
      </c>
      <c r="S276" s="1447">
        <f t="shared" ca="1" si="36"/>
        <v>0</v>
      </c>
      <c r="V276" s="2557" t="str">
        <f t="shared" ca="1" si="37"/>
        <v/>
      </c>
      <c r="W276" s="611" t="str">
        <f t="shared" ca="1" si="38"/>
        <v>Page4, Ligne 8 [Page4!D11]  -</v>
      </c>
    </row>
    <row r="277" spans="1:23">
      <c r="A277" s="1117" t="str">
        <f>celladdr(Page4!D12)</f>
        <v>Page4!D12</v>
      </c>
      <c r="B277" s="1449" t="s">
        <v>1086</v>
      </c>
      <c r="C277" s="1445" t="b">
        <f>OR(AND(Page4!$D$12=0,Page7!$J$48&gt;0),AND(Page4!$D$12&gt;0,Page7!$J$48=0))</f>
        <v>0</v>
      </c>
      <c r="D277" s="1450"/>
      <c r="E277" s="1450"/>
      <c r="F277" s="1450"/>
      <c r="G277" s="1444" t="str">
        <f t="shared" si="32"/>
        <v/>
      </c>
      <c r="H277" s="1446" t="str">
        <f>IF(C277=TRUE,Comments!$B$13,"")</f>
        <v/>
      </c>
      <c r="I277" s="1446"/>
      <c r="J277" s="1452"/>
      <c r="K277" s="1452"/>
      <c r="N277" s="611" t="s">
        <v>1354</v>
      </c>
      <c r="O277" s="611" t="str">
        <f t="shared" si="39"/>
        <v/>
      </c>
      <c r="P277" s="611" t="str">
        <f t="shared" si="33"/>
        <v>Page4!D</v>
      </c>
      <c r="Q277" s="611">
        <f t="shared" si="34"/>
        <v>12</v>
      </c>
      <c r="R277" s="1447">
        <f t="shared" ca="1" si="35"/>
        <v>0</v>
      </c>
      <c r="S277" s="1447">
        <f t="shared" ca="1" si="36"/>
        <v>0</v>
      </c>
      <c r="V277" s="2557" t="str">
        <f t="shared" ca="1" si="37"/>
        <v/>
      </c>
      <c r="W277" s="611" t="str">
        <f t="shared" ca="1" si="38"/>
        <v>Page4, Ligne 9 [Page4!D12]  -</v>
      </c>
    </row>
    <row r="278" spans="1:23">
      <c r="A278" s="1117" t="str">
        <f>celladdr(Page4!D13)</f>
        <v>Page4!D13</v>
      </c>
      <c r="B278" s="1449" t="s">
        <v>1086</v>
      </c>
      <c r="C278" s="1445" t="b">
        <f>OR(AND(Page4!$D$13=0,Page7!$J$52&gt;0),AND(Page4!$D$13&gt;0,Page7!$J$52=0))</f>
        <v>0</v>
      </c>
      <c r="D278" s="1450"/>
      <c r="E278" s="1450"/>
      <c r="F278" s="1450"/>
      <c r="G278" s="1444" t="str">
        <f t="shared" si="32"/>
        <v/>
      </c>
      <c r="H278" s="1446" t="str">
        <f>IF(C278=TRUE,Comments!$B$13,"")</f>
        <v/>
      </c>
      <c r="I278" s="1446"/>
      <c r="J278" s="1452"/>
      <c r="K278" s="1452"/>
      <c r="N278" s="611" t="s">
        <v>1355</v>
      </c>
      <c r="O278" s="611" t="str">
        <f t="shared" si="39"/>
        <v/>
      </c>
      <c r="P278" s="611" t="str">
        <f t="shared" si="33"/>
        <v>Page4!D</v>
      </c>
      <c r="Q278" s="611">
        <f t="shared" si="34"/>
        <v>13</v>
      </c>
      <c r="R278" s="1447">
        <f t="shared" ca="1" si="35"/>
        <v>0</v>
      </c>
      <c r="S278" s="1447">
        <f t="shared" ca="1" si="36"/>
        <v>0</v>
      </c>
      <c r="V278" s="2557" t="str">
        <f t="shared" ca="1" si="37"/>
        <v/>
      </c>
      <c r="W278" s="611" t="str">
        <f t="shared" ca="1" si="38"/>
        <v>Page4, Ligne 10 [Page4!D13]  -</v>
      </c>
    </row>
    <row r="279" spans="1:23">
      <c r="A279" s="1117" t="str">
        <f>celladdr(Page4!D14)</f>
        <v>Page4!D14</v>
      </c>
      <c r="B279" s="1449" t="s">
        <v>1086</v>
      </c>
      <c r="C279" s="1445" t="b">
        <f>OR(AND(Page4!$D$14=0,(Page7!$J$49+Page7!$J$53)&gt;0),AND(Page4!$D$14&gt;0,(Page7!$J$49+Page7!$J$53)=0))</f>
        <v>0</v>
      </c>
      <c r="D279" s="1450"/>
      <c r="E279" s="1450"/>
      <c r="F279" s="1450"/>
      <c r="G279" s="1444" t="str">
        <f t="shared" si="32"/>
        <v/>
      </c>
      <c r="H279" s="1446" t="str">
        <f>IF(C279=TRUE,Comments!$B$13,"")</f>
        <v/>
      </c>
      <c r="I279" s="1446"/>
      <c r="J279" s="1452"/>
      <c r="K279" s="1452"/>
      <c r="N279" s="611" t="s">
        <v>1356</v>
      </c>
      <c r="O279" s="611" t="str">
        <f t="shared" si="39"/>
        <v/>
      </c>
      <c r="P279" s="611" t="str">
        <f t="shared" si="33"/>
        <v>Page4!D</v>
      </c>
      <c r="Q279" s="611">
        <f t="shared" si="34"/>
        <v>14</v>
      </c>
      <c r="R279" s="1447">
        <f t="shared" ca="1" si="35"/>
        <v>0</v>
      </c>
      <c r="S279" s="1447">
        <f t="shared" ca="1" si="36"/>
        <v>0</v>
      </c>
      <c r="V279" s="2557" t="str">
        <f t="shared" ca="1" si="37"/>
        <v/>
      </c>
      <c r="W279" s="611" t="str">
        <f t="shared" ca="1" si="38"/>
        <v>Page4, Ligne 11 [Page4!D14]  -</v>
      </c>
    </row>
    <row r="280" spans="1:23">
      <c r="A280" s="1117" t="str">
        <f>celladdr(Page4!D62)</f>
        <v>Page4!D62</v>
      </c>
      <c r="B280" s="1460" t="s">
        <v>1086</v>
      </c>
      <c r="C280" s="1445" t="b">
        <f>(Page4!$L$62+Page4!$D$62+Page4!$H$62)&lt;&gt;0</f>
        <v>0</v>
      </c>
      <c r="D280" s="1450"/>
      <c r="E280" s="1450" t="b">
        <f>OR(Page4!$D$62-((Page6!$I$55+Page6!$I$56+Page6!$I$57+Page6!$I$58+Page6!$I$59+Page6!$I$61+Page6!$I$62)*0.5)&gt;100,Page4!$D$62-((Page6!$I$55+Page6!$I$56+Page6!$I$57+Page6!$I$58+Page6!$I$59+Page6!$I$61+Page6!$I$62)*0.5)&lt;-100)</f>
        <v>0</v>
      </c>
      <c r="F280" s="1454"/>
      <c r="G280" s="1444" t="str">
        <f t="shared" si="32"/>
        <v/>
      </c>
      <c r="H280" s="1446" t="str">
        <f>IF(C280=TRUE,Comments!$B$63&amp;DOLLAR(Page4!$L$62+(Page4!$D$62+Page4!$H$62),0),"")</f>
        <v/>
      </c>
      <c r="I280" s="1446"/>
      <c r="J280" s="1446" t="str">
        <f>IF(E280=TRUE,Comments!$B$64&amp;DOLLAR(Page4!$D$62-ROUND((Page6!$I$55+Page6!$I$56+Page6!$I$57+Page6!$I$58+Page6!$I$59+Page6!$I$61+Page6!$I$62)*0.5,0),0),"")</f>
        <v/>
      </c>
      <c r="K280" s="1446"/>
      <c r="N280" s="611" t="s">
        <v>1357</v>
      </c>
      <c r="O280" s="611" t="str">
        <f t="shared" si="39"/>
        <v/>
      </c>
      <c r="P280" s="611" t="str">
        <f t="shared" si="33"/>
        <v>Page4!D</v>
      </c>
      <c r="Q280" s="611">
        <f t="shared" si="34"/>
        <v>62</v>
      </c>
      <c r="R280" s="1447">
        <f t="shared" ca="1" si="35"/>
        <v>0</v>
      </c>
      <c r="S280" s="1447">
        <f t="shared" ca="1" si="36"/>
        <v>0</v>
      </c>
      <c r="T280" s="611">
        <v>64</v>
      </c>
      <c r="V280" s="2557" t="str">
        <f t="shared" ca="1" si="37"/>
        <v/>
      </c>
      <c r="W280" s="611" t="str">
        <f t="shared" ca="1" si="38"/>
        <v>Page4, Ligne 59 [Page4!D62]  -</v>
      </c>
    </row>
    <row r="281" spans="1:23">
      <c r="A281" s="1443" t="str">
        <f>celladdr(Page4!D63)</f>
        <v>Page4!D63</v>
      </c>
      <c r="B281" s="1460" t="s">
        <v>1086</v>
      </c>
      <c r="C281" s="1445" t="b">
        <f>OR(Page3!$D$63+Page3!$H$63+Page3!$L$63+Page4!$D$63+Page4!$H$63+Page4!$L$63+Page4!$P$63&gt;100,Page3!$D$63+Page3!$H$63+Page3!$L$63+Page4!$D$63+Page4!$H$63+Page4!$L$63+Page4!$P$63&lt;-100)</f>
        <v>0</v>
      </c>
      <c r="D281" s="1445" t="b">
        <f>ABS(Page4!D$63)&gt;ABS(Page4!$P$63)</f>
        <v>0</v>
      </c>
      <c r="G281" s="1444" t="str">
        <f t="shared" si="32"/>
        <v/>
      </c>
      <c r="H281" s="1446" t="str">
        <f>IF(C281=TRUE,Comments!$B$15&amp;DOLLAR(Page4!$P$60+Page4!$D$63+Page4!$H$63+Page4!$L$63+Page3!$D$63+Page3!$H$63+Page3!$L$63,0),"")</f>
        <v/>
      </c>
      <c r="I281" s="1447" t="str">
        <f>IF(D281=TRUE,Comments!$B$71,"")</f>
        <v/>
      </c>
      <c r="J281" s="1452"/>
      <c r="K281" s="1452"/>
      <c r="N281" s="611" t="s">
        <v>1358</v>
      </c>
      <c r="O281" s="611" t="str">
        <f t="shared" si="39"/>
        <v/>
      </c>
      <c r="P281" s="611" t="str">
        <f t="shared" si="33"/>
        <v>Page4!D</v>
      </c>
      <c r="Q281" s="611">
        <f t="shared" si="34"/>
        <v>63</v>
      </c>
      <c r="R281" s="1447">
        <f t="shared" ca="1" si="35"/>
        <v>0</v>
      </c>
      <c r="S281" s="1447">
        <f t="shared" ca="1" si="36"/>
        <v>0</v>
      </c>
      <c r="V281" s="2557" t="str">
        <f t="shared" ca="1" si="37"/>
        <v/>
      </c>
      <c r="W281" s="611" t="str">
        <f t="shared" ca="1" si="38"/>
        <v>Page4, Ligne 60 [Page4!D63]  -</v>
      </c>
    </row>
    <row r="282" spans="1:23">
      <c r="A282" s="1117" t="str">
        <f>celladdr(Page4!D64)</f>
        <v>Page4!D64</v>
      </c>
      <c r="B282" s="1444" t="s">
        <v>1086</v>
      </c>
      <c r="C282" s="1445" t="b">
        <f>Page4!$D$64&lt;&gt;Page4!$D$61+Page4!$D$62+Page4!$D$63</f>
        <v>0</v>
      </c>
      <c r="D282" s="1450"/>
      <c r="E282" s="1450"/>
      <c r="F282" s="1450"/>
      <c r="G282" s="1444" t="str">
        <f t="shared" si="32"/>
        <v/>
      </c>
      <c r="H282" s="1446" t="str">
        <f>IF(C282=TRUE,Comments!$B$14&amp;DOLLAR(Page4!$D$64-(Page4!$D$61+Page4!$D$62+Page4!$D$63),0),"")</f>
        <v/>
      </c>
      <c r="I282" s="1452"/>
      <c r="J282" s="1452"/>
      <c r="K282" s="1452"/>
      <c r="N282" s="611" t="s">
        <v>1359</v>
      </c>
      <c r="O282" s="611" t="str">
        <f t="shared" si="39"/>
        <v/>
      </c>
      <c r="P282" s="611" t="str">
        <f t="shared" si="33"/>
        <v>Page4!D</v>
      </c>
      <c r="Q282" s="611">
        <f t="shared" si="34"/>
        <v>64</v>
      </c>
      <c r="R282" s="1447">
        <f t="shared" ca="1" si="35"/>
        <v>0</v>
      </c>
      <c r="S282" s="1447">
        <f t="shared" ca="1" si="36"/>
        <v>0</v>
      </c>
      <c r="V282" s="2557" t="str">
        <f t="shared" ca="1" si="37"/>
        <v/>
      </c>
      <c r="W282" s="611" t="str">
        <f t="shared" ca="1" si="38"/>
        <v>Page4, Ligne 61 [Page4!D64]  -</v>
      </c>
    </row>
    <row r="283" spans="1:23">
      <c r="A283" s="1117" t="str">
        <f>celladdr(Page4!D66)</f>
        <v>Page4!D66</v>
      </c>
      <c r="B283" s="1460" t="s">
        <v>1086</v>
      </c>
      <c r="C283" s="1450" t="b">
        <f>OR(AND(Page4!$D$66=0,Page6!$G24&lt;&gt;0),ISNUMBER(Page4!D66)=FALSE)</f>
        <v>0</v>
      </c>
      <c r="D283" s="1450" t="b">
        <f>Page4!$D66&gt;INDEX(Max_Table,L283)</f>
        <v>0</v>
      </c>
      <c r="E283" s="1450" t="b">
        <f>Page4!$D66&gt;INDEX(Max_Table,M283)</f>
        <v>0</v>
      </c>
      <c r="F283" s="1450"/>
      <c r="G283" s="1444" t="str">
        <f t="shared" si="32"/>
        <v/>
      </c>
      <c r="H283" s="1452" t="str">
        <f>IF(ISNUMBER(Page4!D66)=FALSE,Comments!$B$86,IF(C283=TRUE,Comments!$B$82,""))</f>
        <v/>
      </c>
      <c r="I283" s="1452" t="str">
        <f>IF(D283=TRUE,Comments!$B$87&amp;Comments!$B$19&amp;IFERROR(DOLLAR(Page4!$D66,2),"")&amp;Comments!$B$18&amp;DOLLAR(INDEX(Max_Table,$L283),2),"")</f>
        <v/>
      </c>
      <c r="J283" s="1452" t="str">
        <f>IF(E283=TRUE,Comments!$B$73&amp;Comments!$B$19&amp;IFERROR(DOLLAR(Page4!$D66,2),"")&amp;Comments!$B$18&amp;DOLLAR(INDEX(Max_Table,$M283),2),"")</f>
        <v/>
      </c>
      <c r="K283" s="1452"/>
      <c r="L283" s="611">
        <f>ROW(OR_VEH!$A675)</f>
        <v>675</v>
      </c>
      <c r="M283" s="611">
        <f>ROW(OR_VEH!$A674)</f>
        <v>674</v>
      </c>
      <c r="N283" s="1461" t="s">
        <v>1360</v>
      </c>
      <c r="O283" s="611" t="str">
        <f t="shared" si="39"/>
        <v/>
      </c>
      <c r="P283" s="611" t="str">
        <f t="shared" si="33"/>
        <v>Page4!D</v>
      </c>
      <c r="Q283" s="611">
        <f t="shared" si="34"/>
        <v>66</v>
      </c>
      <c r="R283" s="1447">
        <f t="shared" ca="1" si="35"/>
        <v>0</v>
      </c>
      <c r="S283" s="1447">
        <f t="shared" ca="1" si="36"/>
        <v>0</v>
      </c>
      <c r="T283" s="611">
        <v>73</v>
      </c>
      <c r="V283" s="2557" t="str">
        <f t="shared" ca="1" si="37"/>
        <v/>
      </c>
      <c r="W283" s="611" t="str">
        <f t="shared" ca="1" si="38"/>
        <v>Page4, Ligne 63 [Page4!D66]  -</v>
      </c>
    </row>
    <row r="284" spans="1:23">
      <c r="A284" s="1117" t="str">
        <f>celladdr(Page4!D67)</f>
        <v>Page4!D67</v>
      </c>
      <c r="B284" s="1460" t="s">
        <v>1086</v>
      </c>
      <c r="C284" s="1450" t="b">
        <f>OR(AND(Page4!$D$67=0,Page6!$G$26&lt;&gt;0),ISNUMBER(Page4!D67)=FALSE)</f>
        <v>0</v>
      </c>
      <c r="D284" s="1450" t="b">
        <f>Page4!$D67&gt;INDEX(Max_Table,L284)</f>
        <v>0</v>
      </c>
      <c r="E284" s="1450" t="b">
        <f>Page4!$D67&gt;INDEX(Max_Table,M284)</f>
        <v>0</v>
      </c>
      <c r="F284" s="1450"/>
      <c r="G284" s="1444" t="str">
        <f t="shared" si="32"/>
        <v/>
      </c>
      <c r="H284" s="1452" t="str">
        <f>IF(ISNUMBER(Page4!D67)=FALSE,Comments!$B$86,IF(C284=TRUE,Comments!$B$82,""))</f>
        <v/>
      </c>
      <c r="I284" s="1452" t="str">
        <f>IF(D284=TRUE,Comments!$B$87&amp;Comments!$B$19&amp;IFERROR(DOLLAR(Page4!$D67,2),"")&amp;Comments!$B$18&amp;DOLLAR(INDEX(Max_Table,$L284),2),"")</f>
        <v/>
      </c>
      <c r="J284" s="1452" t="str">
        <f>IF(E284=TRUE,Comments!$B$73&amp;Comments!$B$19&amp;IFERROR(DOLLAR(Page4!$D67,2),"")&amp;Comments!$B$18&amp;DOLLAR(INDEX(Max_Table,$M284),2),"")</f>
        <v/>
      </c>
      <c r="K284" s="1452"/>
      <c r="L284" s="611">
        <f>ROW(OR_VEH!$A677)</f>
        <v>677</v>
      </c>
      <c r="M284" s="611">
        <f>ROW(OR_VEH!$A676)</f>
        <v>676</v>
      </c>
      <c r="N284" s="1461" t="s">
        <v>1361</v>
      </c>
      <c r="O284" s="611" t="str">
        <f t="shared" si="39"/>
        <v/>
      </c>
      <c r="P284" s="611" t="str">
        <f t="shared" si="33"/>
        <v>Page4!D</v>
      </c>
      <c r="Q284" s="611">
        <f t="shared" si="34"/>
        <v>67</v>
      </c>
      <c r="R284" s="1447">
        <f t="shared" ca="1" si="35"/>
        <v>0</v>
      </c>
      <c r="S284" s="1447">
        <f t="shared" ca="1" si="36"/>
        <v>0</v>
      </c>
      <c r="T284" s="611">
        <v>73</v>
      </c>
      <c r="V284" s="2557" t="str">
        <f t="shared" ca="1" si="37"/>
        <v/>
      </c>
      <c r="W284" s="611" t="str">
        <f t="shared" ca="1" si="38"/>
        <v>Page4, Ligne 64 [Page4!D67]  -</v>
      </c>
    </row>
    <row r="285" spans="1:23">
      <c r="A285" s="1117" t="str">
        <f>celladdr(Page4!D68)</f>
        <v>Page4!D68</v>
      </c>
      <c r="B285" s="1460" t="s">
        <v>1086</v>
      </c>
      <c r="C285" s="1450" t="b">
        <f>OR(AND(Page4!$D$68=0,Page6!$G$28&lt;&gt;0),ISNUMBER(Page4!D68)=FALSE)</f>
        <v>0</v>
      </c>
      <c r="D285" s="1450" t="b">
        <f>Page4!$D68&gt;INDEX(Max_Table,L285)</f>
        <v>0</v>
      </c>
      <c r="E285" s="1450" t="b">
        <f>Page4!$D68&gt;INDEX(Max_Table,M285)</f>
        <v>0</v>
      </c>
      <c r="F285" s="1450"/>
      <c r="G285" s="1444" t="str">
        <f t="shared" si="32"/>
        <v/>
      </c>
      <c r="H285" s="1452" t="str">
        <f>IF(ISNUMBER(Page4!D68)=FALSE,Comments!$B$86,IF(C285=TRUE,Comments!$B$82,""))</f>
        <v/>
      </c>
      <c r="I285" s="1452" t="str">
        <f>IF(D285=TRUE,Comments!$B$87&amp;Comments!$B$19&amp;IFERROR(DOLLAR(Page4!$D68,2),"")&amp;Comments!$B$18&amp;DOLLAR(INDEX(Max_Table,$L285),2),"")</f>
        <v/>
      </c>
      <c r="J285" s="1452" t="str">
        <f>IF(E285=TRUE,Comments!$B$73&amp;Comments!$B$19&amp;IFERROR(DOLLAR(Page4!$D68,2),"")&amp;Comments!$B$18&amp;DOLLAR(INDEX(Max_Table,$M285),2),"")</f>
        <v/>
      </c>
      <c r="K285" s="1452"/>
      <c r="L285" s="611">
        <f>ROW(OR_VEH!$A679)</f>
        <v>679</v>
      </c>
      <c r="M285" s="611">
        <f>ROW(OR_VEH!$A678)</f>
        <v>678</v>
      </c>
      <c r="N285" s="1461" t="s">
        <v>1362</v>
      </c>
      <c r="O285" s="611" t="str">
        <f t="shared" si="39"/>
        <v/>
      </c>
      <c r="P285" s="611" t="str">
        <f t="shared" si="33"/>
        <v>Page4!D</v>
      </c>
      <c r="Q285" s="611">
        <f t="shared" si="34"/>
        <v>68</v>
      </c>
      <c r="R285" s="1447">
        <f t="shared" ca="1" si="35"/>
        <v>0</v>
      </c>
      <c r="S285" s="1447">
        <f t="shared" ca="1" si="36"/>
        <v>0</v>
      </c>
      <c r="T285" s="611">
        <v>73</v>
      </c>
      <c r="V285" s="2557" t="str">
        <f t="shared" ca="1" si="37"/>
        <v/>
      </c>
      <c r="W285" s="611" t="str">
        <f t="shared" ca="1" si="38"/>
        <v>Page4, Ligne 65 [Page4!D68]  -</v>
      </c>
    </row>
    <row r="286" spans="1:23">
      <c r="A286" s="1117" t="str">
        <f>celladdr(Page4!F15)</f>
        <v>Page4!F15</v>
      </c>
      <c r="B286" s="1456" t="s">
        <v>1086</v>
      </c>
      <c r="D286" s="1450"/>
      <c r="E286" s="1450"/>
      <c r="F286" s="1454"/>
      <c r="G286" s="1444" t="str">
        <f t="shared" si="32"/>
        <v/>
      </c>
      <c r="I286" s="1452"/>
      <c r="J286" s="1452"/>
      <c r="K286" s="1446"/>
      <c r="N286" s="611" t="s">
        <v>1363</v>
      </c>
      <c r="O286" s="611" t="str">
        <f t="shared" si="39"/>
        <v/>
      </c>
      <c r="P286" s="611" t="str">
        <f t="shared" si="33"/>
        <v>Page4!F</v>
      </c>
      <c r="Q286" s="611">
        <f t="shared" si="34"/>
        <v>15</v>
      </c>
      <c r="R286" s="1447">
        <f t="shared" ca="1" si="35"/>
        <v>0</v>
      </c>
      <c r="S286" s="1447">
        <f t="shared" ca="1" si="36"/>
        <v>0</v>
      </c>
      <c r="V286" s="2557" t="str">
        <f t="shared" ca="1" si="37"/>
        <v/>
      </c>
      <c r="W286" s="611" t="str">
        <f t="shared" ca="1" si="38"/>
        <v>Page4, Ligne 12 [Page4!F15]  -</v>
      </c>
    </row>
    <row r="287" spans="1:23">
      <c r="A287" s="1117" t="str">
        <f>celladdr(Page4!F16)</f>
        <v>Page4!F16</v>
      </c>
      <c r="B287" s="1456" t="s">
        <v>1086</v>
      </c>
      <c r="D287" s="1450"/>
      <c r="E287" s="1450"/>
      <c r="F287" s="1454"/>
      <c r="G287" s="1444" t="str">
        <f t="shared" si="32"/>
        <v/>
      </c>
      <c r="I287" s="1452"/>
      <c r="J287" s="1452"/>
      <c r="K287" s="1446"/>
      <c r="N287" s="611" t="s">
        <v>1364</v>
      </c>
      <c r="O287" s="611" t="str">
        <f t="shared" si="39"/>
        <v/>
      </c>
      <c r="P287" s="611" t="str">
        <f t="shared" si="33"/>
        <v>Page4!F</v>
      </c>
      <c r="Q287" s="611">
        <f t="shared" si="34"/>
        <v>16</v>
      </c>
      <c r="R287" s="1447">
        <f t="shared" ca="1" si="35"/>
        <v>0</v>
      </c>
      <c r="S287" s="1447">
        <f t="shared" ca="1" si="36"/>
        <v>0</v>
      </c>
      <c r="V287" s="2557" t="str">
        <f t="shared" ca="1" si="37"/>
        <v/>
      </c>
      <c r="W287" s="611" t="str">
        <f t="shared" ca="1" si="38"/>
        <v>Page4, Ligne 13 [Page4!F16]  -</v>
      </c>
    </row>
    <row r="288" spans="1:23">
      <c r="A288" s="1117" t="str">
        <f>celladdr(Page4!F17)</f>
        <v>Page4!F17</v>
      </c>
      <c r="B288" s="1456" t="s">
        <v>1086</v>
      </c>
      <c r="D288" s="1450"/>
      <c r="E288" s="1450" t="b">
        <f>OR(AND(SUM(Page4!$F$11:$F$14)+Page6!H24&gt;0,Page4!$F$17=0),AND(SUM(Page4!$F$11:$F$14)+Page6!H24=0,Page4!$F$17&gt;0))</f>
        <v>0</v>
      </c>
      <c r="F288" s="1454"/>
      <c r="G288" s="1444" t="str">
        <f t="shared" si="32"/>
        <v/>
      </c>
      <c r="I288" s="1452"/>
      <c r="J288" s="1452" t="str">
        <f>IF(E288=TRUE,Comments!$B$12,"")</f>
        <v/>
      </c>
      <c r="K288" s="1446"/>
      <c r="N288" s="611" t="s">
        <v>1365</v>
      </c>
      <c r="O288" s="611" t="str">
        <f t="shared" si="39"/>
        <v/>
      </c>
      <c r="P288" s="611" t="str">
        <f t="shared" si="33"/>
        <v>Page4!F</v>
      </c>
      <c r="Q288" s="611">
        <f t="shared" si="34"/>
        <v>17</v>
      </c>
      <c r="R288" s="1447">
        <f t="shared" ca="1" si="35"/>
        <v>0</v>
      </c>
      <c r="S288" s="1447">
        <f t="shared" ca="1" si="36"/>
        <v>0</v>
      </c>
      <c r="T288" s="611">
        <v>12</v>
      </c>
      <c r="V288" s="2557" t="str">
        <f t="shared" ca="1" si="37"/>
        <v/>
      </c>
      <c r="W288" s="611" t="str">
        <f t="shared" ca="1" si="38"/>
        <v>Page4, Ligne 14 [Page4!F17]  -</v>
      </c>
    </row>
    <row r="289" spans="1:23">
      <c r="A289" s="1117" t="str">
        <f>celladdr(Page4!F18)</f>
        <v>Page4!F18</v>
      </c>
      <c r="B289" s="1456" t="s">
        <v>1086</v>
      </c>
      <c r="D289" s="1450"/>
      <c r="E289" s="1450" t="b">
        <f>OR(AND(SUM(Page4!$F$11:$F$14)+Page6!H24&gt;0,Page4!$F$18=0),AND(SUM(Page4!$F$11:$F$14)+Page6!H24=0,Page4!$F$18&gt;0))</f>
        <v>0</v>
      </c>
      <c r="F289" s="1450"/>
      <c r="G289" s="1444" t="str">
        <f t="shared" si="32"/>
        <v/>
      </c>
      <c r="I289" s="1452"/>
      <c r="J289" s="1452" t="str">
        <f>IF(E289=TRUE,Comments!$B$12,"")</f>
        <v/>
      </c>
      <c r="K289" s="1452"/>
      <c r="N289" s="611" t="s">
        <v>1366</v>
      </c>
      <c r="O289" s="611" t="str">
        <f t="shared" si="39"/>
        <v/>
      </c>
      <c r="P289" s="611" t="str">
        <f t="shared" si="33"/>
        <v>Page4!F</v>
      </c>
      <c r="Q289" s="611">
        <f t="shared" si="34"/>
        <v>18</v>
      </c>
      <c r="R289" s="1447">
        <f t="shared" ca="1" si="35"/>
        <v>0</v>
      </c>
      <c r="S289" s="1447">
        <f t="shared" ca="1" si="36"/>
        <v>0</v>
      </c>
      <c r="T289" s="611">
        <v>12</v>
      </c>
      <c r="V289" s="2557" t="str">
        <f t="shared" ca="1" si="37"/>
        <v/>
      </c>
      <c r="W289" s="611" t="str">
        <f t="shared" ca="1" si="38"/>
        <v>Page4, Ligne 15 [Page4!F18]  -</v>
      </c>
    </row>
    <row r="290" spans="1:23">
      <c r="A290" s="1117" t="str">
        <f>celladdr(Page4!F19)</f>
        <v>Page4!F19</v>
      </c>
      <c r="B290" s="1456" t="s">
        <v>1086</v>
      </c>
      <c r="D290" s="1450"/>
      <c r="E290" s="1450"/>
      <c r="F290" s="1450"/>
      <c r="G290" s="1444" t="str">
        <f t="shared" si="32"/>
        <v/>
      </c>
      <c r="I290" s="1452"/>
      <c r="J290" s="1452"/>
      <c r="K290" s="1452"/>
      <c r="N290" s="611" t="s">
        <v>1367</v>
      </c>
      <c r="O290" s="611" t="str">
        <f t="shared" si="39"/>
        <v/>
      </c>
      <c r="P290" s="611" t="str">
        <f t="shared" si="33"/>
        <v>Page4!F</v>
      </c>
      <c r="Q290" s="611">
        <f t="shared" si="34"/>
        <v>19</v>
      </c>
      <c r="R290" s="1447">
        <f t="shared" ca="1" si="35"/>
        <v>0</v>
      </c>
      <c r="S290" s="1447">
        <f t="shared" ca="1" si="36"/>
        <v>0</v>
      </c>
      <c r="V290" s="2557" t="str">
        <f t="shared" ca="1" si="37"/>
        <v/>
      </c>
      <c r="W290" s="611" t="str">
        <f t="shared" ca="1" si="38"/>
        <v>Page4, Ligne 16 [Page4!F19]  -</v>
      </c>
    </row>
    <row r="291" spans="1:23">
      <c r="A291" s="1117" t="str">
        <f>celladdr(Page4!F21)</f>
        <v>Page4!F21</v>
      </c>
      <c r="B291" s="1456" t="s">
        <v>1086</v>
      </c>
      <c r="D291" s="1450"/>
      <c r="E291" s="1450"/>
      <c r="F291" s="1450"/>
      <c r="G291" s="1444" t="str">
        <f t="shared" si="32"/>
        <v/>
      </c>
      <c r="I291" s="1452"/>
      <c r="J291" s="1452"/>
      <c r="K291" s="1452"/>
      <c r="N291" s="611" t="s">
        <v>1368</v>
      </c>
      <c r="O291" s="611" t="str">
        <f t="shared" si="39"/>
        <v/>
      </c>
      <c r="P291" s="611" t="str">
        <f t="shared" si="33"/>
        <v>Page4!F</v>
      </c>
      <c r="Q291" s="611">
        <f t="shared" si="34"/>
        <v>21</v>
      </c>
      <c r="R291" s="1447">
        <f t="shared" ca="1" si="35"/>
        <v>0</v>
      </c>
      <c r="S291" s="1447">
        <f t="shared" ca="1" si="36"/>
        <v>0</v>
      </c>
      <c r="V291" s="2557" t="str">
        <f t="shared" ca="1" si="37"/>
        <v/>
      </c>
      <c r="W291" s="611" t="str">
        <f t="shared" ca="1" si="38"/>
        <v>Page4, Ligne 18 [Page4!F21]  -</v>
      </c>
    </row>
    <row r="292" spans="1:23">
      <c r="A292" s="1117" t="str">
        <f>celladdr(Page4!F22)</f>
        <v>Page4!F22</v>
      </c>
      <c r="B292" s="1456" t="s">
        <v>1086</v>
      </c>
      <c r="D292" s="1450"/>
      <c r="E292" s="1450"/>
      <c r="F292" s="1450"/>
      <c r="G292" s="1444" t="str">
        <f t="shared" si="32"/>
        <v/>
      </c>
      <c r="I292" s="1452"/>
      <c r="J292" s="1452"/>
      <c r="K292" s="1452"/>
      <c r="N292" s="611" t="s">
        <v>1369</v>
      </c>
      <c r="O292" s="611" t="str">
        <f t="shared" si="39"/>
        <v/>
      </c>
      <c r="P292" s="611" t="str">
        <f t="shared" si="33"/>
        <v>Page4!F</v>
      </c>
      <c r="Q292" s="611">
        <f t="shared" si="34"/>
        <v>22</v>
      </c>
      <c r="R292" s="1447">
        <f t="shared" ca="1" si="35"/>
        <v>0</v>
      </c>
      <c r="S292" s="1447">
        <f t="shared" ca="1" si="36"/>
        <v>0</v>
      </c>
      <c r="V292" s="2557" t="str">
        <f t="shared" ca="1" si="37"/>
        <v/>
      </c>
      <c r="W292" s="611" t="str">
        <f t="shared" ca="1" si="38"/>
        <v>Page4, Ligne 19 [Page4!F22]  -</v>
      </c>
    </row>
    <row r="293" spans="1:23">
      <c r="A293" s="1117" t="str">
        <f>celladdr(Page4!F23)</f>
        <v>Page4!F23</v>
      </c>
      <c r="B293" s="1456" t="s">
        <v>1086</v>
      </c>
      <c r="D293" s="1450"/>
      <c r="E293" s="1450"/>
      <c r="F293" s="1450"/>
      <c r="G293" s="1444" t="str">
        <f t="shared" si="32"/>
        <v/>
      </c>
      <c r="I293" s="1452"/>
      <c r="J293" s="1452"/>
      <c r="K293" s="1452"/>
      <c r="N293" s="611" t="s">
        <v>1370</v>
      </c>
      <c r="O293" s="611" t="str">
        <f t="shared" si="39"/>
        <v/>
      </c>
      <c r="P293" s="611" t="str">
        <f t="shared" si="33"/>
        <v>Page4!F</v>
      </c>
      <c r="Q293" s="611">
        <f t="shared" si="34"/>
        <v>23</v>
      </c>
      <c r="R293" s="1447">
        <f t="shared" ca="1" si="35"/>
        <v>0</v>
      </c>
      <c r="S293" s="1447">
        <f t="shared" ca="1" si="36"/>
        <v>0</v>
      </c>
      <c r="V293" s="2557" t="str">
        <f t="shared" ca="1" si="37"/>
        <v/>
      </c>
      <c r="W293" s="611" t="str">
        <f t="shared" ca="1" si="38"/>
        <v>Page4, Ligne 20 [Page4!F23]  -</v>
      </c>
    </row>
    <row r="294" spans="1:23">
      <c r="A294" s="1117" t="str">
        <f>celladdr(Page4!F24)</f>
        <v>Page4!F24</v>
      </c>
      <c r="B294" s="1456" t="s">
        <v>1086</v>
      </c>
      <c r="D294" s="1450"/>
      <c r="E294" s="1450"/>
      <c r="F294" s="1450"/>
      <c r="G294" s="1444" t="str">
        <f t="shared" si="32"/>
        <v/>
      </c>
      <c r="I294" s="1452"/>
      <c r="J294" s="1452"/>
      <c r="K294" s="1452"/>
      <c r="N294" s="611" t="s">
        <v>1371</v>
      </c>
      <c r="O294" s="611" t="str">
        <f t="shared" si="39"/>
        <v/>
      </c>
      <c r="P294" s="611" t="str">
        <f t="shared" si="33"/>
        <v>Page4!F</v>
      </c>
      <c r="Q294" s="611">
        <f t="shared" si="34"/>
        <v>24</v>
      </c>
      <c r="R294" s="1447">
        <f t="shared" ca="1" si="35"/>
        <v>0</v>
      </c>
      <c r="S294" s="1447">
        <f t="shared" ca="1" si="36"/>
        <v>0</v>
      </c>
      <c r="V294" s="2557" t="str">
        <f t="shared" ca="1" si="37"/>
        <v/>
      </c>
      <c r="W294" s="611" t="str">
        <f t="shared" ca="1" si="38"/>
        <v>Page4, Ligne 21 [Page4!F24]  -</v>
      </c>
    </row>
    <row r="295" spans="1:23">
      <c r="A295" s="1117" t="str">
        <f>celladdr(Page4!F25)</f>
        <v>Page4!F25</v>
      </c>
      <c r="B295" s="1456" t="s">
        <v>1086</v>
      </c>
      <c r="D295" s="1450"/>
      <c r="E295" s="1450"/>
      <c r="F295" s="1450"/>
      <c r="G295" s="1444" t="str">
        <f t="shared" si="32"/>
        <v/>
      </c>
      <c r="I295" s="1452"/>
      <c r="J295" s="1452"/>
      <c r="K295" s="1452"/>
      <c r="N295" s="611" t="s">
        <v>1372</v>
      </c>
      <c r="O295" s="611" t="str">
        <f t="shared" si="39"/>
        <v/>
      </c>
      <c r="P295" s="611" t="str">
        <f t="shared" si="33"/>
        <v>Page4!F</v>
      </c>
      <c r="Q295" s="611">
        <f t="shared" si="34"/>
        <v>25</v>
      </c>
      <c r="R295" s="1447">
        <f t="shared" ca="1" si="35"/>
        <v>0</v>
      </c>
      <c r="S295" s="1447">
        <f t="shared" ca="1" si="36"/>
        <v>0</v>
      </c>
      <c r="V295" s="2557" t="str">
        <f t="shared" ca="1" si="37"/>
        <v/>
      </c>
      <c r="W295" s="611" t="str">
        <f t="shared" ca="1" si="38"/>
        <v>Page4, Ligne 22 [Page4!F25]  -</v>
      </c>
    </row>
    <row r="296" spans="1:23">
      <c r="A296" s="1117" t="str">
        <f>celladdr(Page4!F26)</f>
        <v>Page4!F26</v>
      </c>
      <c r="B296" s="1456" t="s">
        <v>1086</v>
      </c>
      <c r="D296" s="1450"/>
      <c r="E296" s="1450"/>
      <c r="F296" s="1450"/>
      <c r="G296" s="1444" t="str">
        <f t="shared" si="32"/>
        <v/>
      </c>
      <c r="I296" s="1452"/>
      <c r="J296" s="1452"/>
      <c r="K296" s="1452"/>
      <c r="N296" s="611" t="s">
        <v>1373</v>
      </c>
      <c r="O296" s="611" t="str">
        <f t="shared" si="39"/>
        <v/>
      </c>
      <c r="P296" s="611" t="str">
        <f t="shared" si="33"/>
        <v>Page4!F</v>
      </c>
      <c r="Q296" s="611">
        <f t="shared" si="34"/>
        <v>26</v>
      </c>
      <c r="R296" s="1447">
        <f t="shared" ca="1" si="35"/>
        <v>0</v>
      </c>
      <c r="S296" s="1447">
        <f t="shared" ca="1" si="36"/>
        <v>0</v>
      </c>
      <c r="V296" s="2557" t="str">
        <f t="shared" ca="1" si="37"/>
        <v/>
      </c>
      <c r="W296" s="611" t="str">
        <f t="shared" ca="1" si="38"/>
        <v>Page4, Ligne 23 [Page4!F26]  -</v>
      </c>
    </row>
    <row r="297" spans="1:23">
      <c r="A297" s="1117" t="str">
        <f>celladdr(Page4!F27)</f>
        <v>Page4!F27</v>
      </c>
      <c r="B297" s="1456" t="s">
        <v>1086</v>
      </c>
      <c r="D297" s="1450"/>
      <c r="E297" s="1450"/>
      <c r="F297" s="1450"/>
      <c r="G297" s="1444" t="str">
        <f t="shared" si="32"/>
        <v/>
      </c>
      <c r="I297" s="1452"/>
      <c r="J297" s="1452"/>
      <c r="K297" s="1452"/>
      <c r="N297" s="611" t="s">
        <v>1374</v>
      </c>
      <c r="O297" s="611" t="str">
        <f t="shared" si="39"/>
        <v/>
      </c>
      <c r="P297" s="611" t="str">
        <f t="shared" si="33"/>
        <v>Page4!F</v>
      </c>
      <c r="Q297" s="611">
        <f t="shared" si="34"/>
        <v>27</v>
      </c>
      <c r="R297" s="1447">
        <f t="shared" ca="1" si="35"/>
        <v>0</v>
      </c>
      <c r="S297" s="1447">
        <f t="shared" ca="1" si="36"/>
        <v>0</v>
      </c>
      <c r="V297" s="2557" t="str">
        <f t="shared" ca="1" si="37"/>
        <v/>
      </c>
      <c r="W297" s="611" t="str">
        <f t="shared" ca="1" si="38"/>
        <v>Page4, Ligne 24 [Page4!F27]  -</v>
      </c>
    </row>
    <row r="298" spans="1:23">
      <c r="A298" s="1117" t="str">
        <f>celladdr(Page4!F28)</f>
        <v>Page4!F28</v>
      </c>
      <c r="B298" s="1456" t="s">
        <v>1086</v>
      </c>
      <c r="D298" s="1450"/>
      <c r="E298" s="1450"/>
      <c r="F298" s="1450"/>
      <c r="G298" s="1444" t="str">
        <f t="shared" si="32"/>
        <v/>
      </c>
      <c r="I298" s="1452"/>
      <c r="J298" s="1452"/>
      <c r="K298" s="1452"/>
      <c r="N298" s="1461" t="s">
        <v>1375</v>
      </c>
      <c r="O298" s="611" t="str">
        <f t="shared" si="39"/>
        <v/>
      </c>
      <c r="P298" s="611" t="str">
        <f t="shared" si="33"/>
        <v>Page4!F</v>
      </c>
      <c r="Q298" s="611">
        <f t="shared" si="34"/>
        <v>28</v>
      </c>
      <c r="R298" s="1447">
        <f t="shared" ca="1" si="35"/>
        <v>0</v>
      </c>
      <c r="S298" s="1447">
        <f t="shared" ca="1" si="36"/>
        <v>0</v>
      </c>
      <c r="V298" s="2557" t="str">
        <f t="shared" ca="1" si="37"/>
        <v/>
      </c>
      <c r="W298" s="611" t="str">
        <f t="shared" ca="1" si="38"/>
        <v>Page4, Ligne 25 [Page4!F28]  -</v>
      </c>
    </row>
    <row r="299" spans="1:23">
      <c r="A299" s="1117" t="str">
        <f>celladdr(Page4!F29)</f>
        <v>Page4!F29</v>
      </c>
      <c r="B299" s="1456" t="s">
        <v>1086</v>
      </c>
      <c r="D299" s="1450"/>
      <c r="E299" s="1450"/>
      <c r="F299" s="1450"/>
      <c r="G299" s="1444" t="str">
        <f t="shared" si="32"/>
        <v/>
      </c>
      <c r="I299" s="1452"/>
      <c r="J299" s="1452"/>
      <c r="K299" s="1452"/>
      <c r="N299" s="611" t="s">
        <v>1376</v>
      </c>
      <c r="O299" s="611" t="str">
        <f t="shared" si="39"/>
        <v/>
      </c>
      <c r="P299" s="611" t="str">
        <f t="shared" si="33"/>
        <v>Page4!F</v>
      </c>
      <c r="Q299" s="611">
        <f t="shared" si="34"/>
        <v>29</v>
      </c>
      <c r="R299" s="1447">
        <f t="shared" ca="1" si="35"/>
        <v>0</v>
      </c>
      <c r="S299" s="1447">
        <f t="shared" ca="1" si="36"/>
        <v>0</v>
      </c>
      <c r="V299" s="2557" t="str">
        <f t="shared" ca="1" si="37"/>
        <v/>
      </c>
      <c r="W299" s="611" t="str">
        <f t="shared" ca="1" si="38"/>
        <v>Page4, Ligne 26 [Page4!F29]  -</v>
      </c>
    </row>
    <row r="300" spans="1:23">
      <c r="A300" s="1117" t="str">
        <f>celladdr(Page4!F30)</f>
        <v>Page4!F30</v>
      </c>
      <c r="B300" s="1456" t="s">
        <v>1086</v>
      </c>
      <c r="D300" s="1450"/>
      <c r="E300" s="1450"/>
      <c r="F300" s="1450"/>
      <c r="G300" s="1444" t="str">
        <f t="shared" si="32"/>
        <v/>
      </c>
      <c r="I300" s="1452"/>
      <c r="J300" s="1452"/>
      <c r="K300" s="1452"/>
      <c r="N300" s="611" t="s">
        <v>1377</v>
      </c>
      <c r="O300" s="611" t="str">
        <f t="shared" si="39"/>
        <v/>
      </c>
      <c r="P300" s="611" t="str">
        <f t="shared" si="33"/>
        <v>Page4!F</v>
      </c>
      <c r="Q300" s="611">
        <f t="shared" si="34"/>
        <v>30</v>
      </c>
      <c r="R300" s="1447">
        <f t="shared" ca="1" si="35"/>
        <v>0</v>
      </c>
      <c r="S300" s="1447">
        <f t="shared" ca="1" si="36"/>
        <v>0</v>
      </c>
      <c r="V300" s="2557" t="str">
        <f t="shared" ca="1" si="37"/>
        <v/>
      </c>
      <c r="W300" s="611" t="str">
        <f t="shared" ca="1" si="38"/>
        <v>Page4, Ligne 27 [Page4!F30]  -</v>
      </c>
    </row>
    <row r="301" spans="1:23">
      <c r="A301" s="1117" t="str">
        <f>celladdr(Page4!F31)</f>
        <v>Page4!F31</v>
      </c>
      <c r="B301" s="1456" t="s">
        <v>1086</v>
      </c>
      <c r="D301" s="1450"/>
      <c r="E301" s="1450"/>
      <c r="F301" s="1450"/>
      <c r="G301" s="1444" t="str">
        <f t="shared" si="32"/>
        <v/>
      </c>
      <c r="I301" s="1452"/>
      <c r="J301" s="1452"/>
      <c r="K301" s="1452"/>
      <c r="N301" s="611" t="s">
        <v>1378</v>
      </c>
      <c r="O301" s="611" t="str">
        <f t="shared" si="39"/>
        <v/>
      </c>
      <c r="P301" s="611" t="str">
        <f t="shared" si="33"/>
        <v>Page4!F</v>
      </c>
      <c r="Q301" s="611">
        <f t="shared" si="34"/>
        <v>31</v>
      </c>
      <c r="R301" s="1447">
        <f t="shared" ca="1" si="35"/>
        <v>0</v>
      </c>
      <c r="S301" s="1447">
        <f t="shared" ca="1" si="36"/>
        <v>0</v>
      </c>
      <c r="V301" s="2557" t="str">
        <f t="shared" ca="1" si="37"/>
        <v/>
      </c>
      <c r="W301" s="611" t="str">
        <f t="shared" ca="1" si="38"/>
        <v>Page4, Ligne 28 [Page4!F31]  -</v>
      </c>
    </row>
    <row r="302" spans="1:23">
      <c r="A302" s="1117" t="str">
        <f>celladdr(Page4!F32)</f>
        <v>Page4!F32</v>
      </c>
      <c r="B302" s="1456" t="s">
        <v>1086</v>
      </c>
      <c r="D302" s="1450"/>
      <c r="E302" s="1450"/>
      <c r="F302" s="1450"/>
      <c r="G302" s="1444" t="str">
        <f t="shared" si="32"/>
        <v/>
      </c>
      <c r="I302" s="1452"/>
      <c r="J302" s="1452"/>
      <c r="K302" s="1452"/>
      <c r="N302" s="611" t="s">
        <v>1379</v>
      </c>
      <c r="O302" s="611" t="str">
        <f t="shared" si="39"/>
        <v/>
      </c>
      <c r="P302" s="611" t="str">
        <f t="shared" si="33"/>
        <v>Page4!F</v>
      </c>
      <c r="Q302" s="611">
        <f t="shared" si="34"/>
        <v>32</v>
      </c>
      <c r="R302" s="1447">
        <f t="shared" ca="1" si="35"/>
        <v>0</v>
      </c>
      <c r="S302" s="1447">
        <f t="shared" ca="1" si="36"/>
        <v>0</v>
      </c>
      <c r="V302" s="2557" t="str">
        <f t="shared" ca="1" si="37"/>
        <v/>
      </c>
      <c r="W302" s="611" t="str">
        <f t="shared" ca="1" si="38"/>
        <v>Page4, Ligne 29 [Page4!F32]  -</v>
      </c>
    </row>
    <row r="303" spans="1:23">
      <c r="A303" s="1117" t="str">
        <f>celladdr(Page4!F33)</f>
        <v>Page4!F33</v>
      </c>
      <c r="B303" s="1456" t="s">
        <v>1086</v>
      </c>
      <c r="D303" s="1450"/>
      <c r="E303" s="1450"/>
      <c r="F303" s="1450"/>
      <c r="G303" s="1444" t="str">
        <f t="shared" si="32"/>
        <v/>
      </c>
      <c r="I303" s="1452"/>
      <c r="J303" s="1452"/>
      <c r="K303" s="1452"/>
      <c r="N303" s="611" t="s">
        <v>1380</v>
      </c>
      <c r="O303" s="611" t="str">
        <f t="shared" si="39"/>
        <v/>
      </c>
      <c r="P303" s="611" t="str">
        <f t="shared" si="33"/>
        <v>Page4!F</v>
      </c>
      <c r="Q303" s="611">
        <f t="shared" si="34"/>
        <v>33</v>
      </c>
      <c r="R303" s="1447">
        <f t="shared" ca="1" si="35"/>
        <v>0</v>
      </c>
      <c r="S303" s="1447">
        <f t="shared" ca="1" si="36"/>
        <v>0</v>
      </c>
      <c r="V303" s="2557" t="str">
        <f t="shared" ca="1" si="37"/>
        <v/>
      </c>
      <c r="W303" s="611" t="str">
        <f t="shared" ca="1" si="38"/>
        <v>Page4, Ligne 30 [Page4!F33]  -</v>
      </c>
    </row>
    <row r="304" spans="1:23">
      <c r="A304" s="1117" t="str">
        <f>celladdr(Page4!F34)</f>
        <v>Page4!F34</v>
      </c>
      <c r="B304" s="1456" t="s">
        <v>1086</v>
      </c>
      <c r="D304" s="1450"/>
      <c r="E304" s="1450"/>
      <c r="F304" s="1450"/>
      <c r="G304" s="1444" t="str">
        <f t="shared" si="32"/>
        <v/>
      </c>
      <c r="I304" s="1452"/>
      <c r="J304" s="1452"/>
      <c r="K304" s="1452"/>
      <c r="N304" s="611" t="s">
        <v>1381</v>
      </c>
      <c r="O304" s="611" t="str">
        <f t="shared" si="39"/>
        <v/>
      </c>
      <c r="P304" s="611" t="str">
        <f t="shared" si="33"/>
        <v>Page4!F</v>
      </c>
      <c r="Q304" s="611">
        <f t="shared" si="34"/>
        <v>34</v>
      </c>
      <c r="R304" s="1447">
        <f t="shared" ca="1" si="35"/>
        <v>0</v>
      </c>
      <c r="S304" s="1447">
        <f t="shared" ca="1" si="36"/>
        <v>0</v>
      </c>
      <c r="V304" s="2557" t="str">
        <f t="shared" ca="1" si="37"/>
        <v/>
      </c>
      <c r="W304" s="611" t="str">
        <f t="shared" ca="1" si="38"/>
        <v>Page4, Ligne 31 [Page4!F34]  -</v>
      </c>
    </row>
    <row r="305" spans="1:23">
      <c r="A305" s="1117" t="str">
        <f>celladdr(Page4!F35)</f>
        <v>Page4!F35</v>
      </c>
      <c r="B305" s="1456" t="s">
        <v>1086</v>
      </c>
      <c r="D305" s="1450"/>
      <c r="E305" s="1450"/>
      <c r="F305" s="1450"/>
      <c r="G305" s="1444" t="str">
        <f t="shared" si="32"/>
        <v/>
      </c>
      <c r="I305" s="1452"/>
      <c r="J305" s="1452"/>
      <c r="K305" s="1452"/>
      <c r="N305" s="611" t="s">
        <v>1382</v>
      </c>
      <c r="O305" s="611" t="str">
        <f t="shared" si="39"/>
        <v/>
      </c>
      <c r="P305" s="611" t="str">
        <f t="shared" si="33"/>
        <v>Page4!F</v>
      </c>
      <c r="Q305" s="611">
        <f t="shared" si="34"/>
        <v>35</v>
      </c>
      <c r="R305" s="1447">
        <f t="shared" ca="1" si="35"/>
        <v>0</v>
      </c>
      <c r="S305" s="1447">
        <f t="shared" ca="1" si="36"/>
        <v>0</v>
      </c>
      <c r="V305" s="2557" t="str">
        <f t="shared" ca="1" si="37"/>
        <v/>
      </c>
      <c r="W305" s="611" t="str">
        <f t="shared" ca="1" si="38"/>
        <v>Page4, Ligne 32 [Page4!F35]  -</v>
      </c>
    </row>
    <row r="306" spans="1:23">
      <c r="A306" s="1117" t="str">
        <f>celladdr(Page4!F38)</f>
        <v>Page4!F38</v>
      </c>
      <c r="B306" s="1456" t="s">
        <v>1086</v>
      </c>
      <c r="D306" s="1450"/>
      <c r="E306" s="1450"/>
      <c r="F306" s="1450"/>
      <c r="G306" s="1444" t="str">
        <f t="shared" si="32"/>
        <v/>
      </c>
      <c r="I306" s="1452"/>
      <c r="J306" s="1452"/>
      <c r="K306" s="1452"/>
      <c r="N306" s="611" t="s">
        <v>1383</v>
      </c>
      <c r="O306" s="611" t="str">
        <f t="shared" si="39"/>
        <v/>
      </c>
      <c r="P306" s="611" t="str">
        <f t="shared" si="33"/>
        <v>Page4!F</v>
      </c>
      <c r="Q306" s="611">
        <f t="shared" si="34"/>
        <v>38</v>
      </c>
      <c r="R306" s="1447">
        <f t="shared" ca="1" si="35"/>
        <v>0</v>
      </c>
      <c r="S306" s="1447">
        <f t="shared" ca="1" si="36"/>
        <v>0</v>
      </c>
      <c r="V306" s="2557" t="str">
        <f t="shared" ca="1" si="37"/>
        <v/>
      </c>
      <c r="W306" s="611" t="str">
        <f t="shared" ca="1" si="38"/>
        <v>Page4, Ligne 35 [Page4!F38]  -</v>
      </c>
    </row>
    <row r="307" spans="1:23">
      <c r="A307" s="1117" t="str">
        <f>celladdr(Page4!F40)</f>
        <v>Page4!F40</v>
      </c>
      <c r="B307" s="1456" t="s">
        <v>1086</v>
      </c>
      <c r="D307" s="1450"/>
      <c r="E307" s="1450"/>
      <c r="F307" s="1450"/>
      <c r="G307" s="1444" t="str">
        <f t="shared" si="32"/>
        <v/>
      </c>
      <c r="I307" s="1452"/>
      <c r="J307" s="1452"/>
      <c r="K307" s="1452"/>
      <c r="N307" s="611" t="s">
        <v>1384</v>
      </c>
      <c r="O307" s="611" t="str">
        <f t="shared" si="39"/>
        <v/>
      </c>
      <c r="P307" s="611" t="str">
        <f t="shared" si="33"/>
        <v>Page4!F</v>
      </c>
      <c r="Q307" s="611">
        <f t="shared" si="34"/>
        <v>40</v>
      </c>
      <c r="R307" s="1447">
        <f t="shared" ca="1" si="35"/>
        <v>0</v>
      </c>
      <c r="S307" s="1447">
        <f t="shared" ca="1" si="36"/>
        <v>0</v>
      </c>
      <c r="V307" s="2557" t="str">
        <f t="shared" ca="1" si="37"/>
        <v/>
      </c>
      <c r="W307" s="611" t="str">
        <f t="shared" ca="1" si="38"/>
        <v>Page4, Ligne 37 [Page4!F40]  -</v>
      </c>
    </row>
    <row r="308" spans="1:23">
      <c r="A308" s="1117" t="str">
        <f>celladdr(Page4!F41)</f>
        <v>Page4!F41</v>
      </c>
      <c r="B308" s="1456" t="s">
        <v>1086</v>
      </c>
      <c r="D308" s="1450"/>
      <c r="E308" s="1450"/>
      <c r="F308" s="1450"/>
      <c r="G308" s="1444" t="str">
        <f t="shared" si="32"/>
        <v/>
      </c>
      <c r="I308" s="1452"/>
      <c r="J308" s="1452"/>
      <c r="K308" s="1452"/>
      <c r="N308" s="611" t="s">
        <v>1385</v>
      </c>
      <c r="O308" s="611" t="str">
        <f t="shared" si="39"/>
        <v/>
      </c>
      <c r="P308" s="611" t="str">
        <f t="shared" si="33"/>
        <v>Page4!F</v>
      </c>
      <c r="Q308" s="611">
        <f t="shared" si="34"/>
        <v>41</v>
      </c>
      <c r="R308" s="1447">
        <f t="shared" ca="1" si="35"/>
        <v>0</v>
      </c>
      <c r="S308" s="1447">
        <f t="shared" ca="1" si="36"/>
        <v>0</v>
      </c>
      <c r="V308" s="2557" t="str">
        <f t="shared" ca="1" si="37"/>
        <v/>
      </c>
      <c r="W308" s="611" t="str">
        <f t="shared" ca="1" si="38"/>
        <v>Page4, Ligne 38 [Page4!F41]  -</v>
      </c>
    </row>
    <row r="309" spans="1:23">
      <c r="A309" s="1117" t="str">
        <f>celladdr(Page4!F42)</f>
        <v>Page4!F42</v>
      </c>
      <c r="B309" s="1456" t="s">
        <v>1086</v>
      </c>
      <c r="D309" s="1450"/>
      <c r="E309" s="1450"/>
      <c r="F309" s="1450"/>
      <c r="G309" s="1444" t="str">
        <f t="shared" si="32"/>
        <v/>
      </c>
      <c r="I309" s="1452"/>
      <c r="J309" s="1452"/>
      <c r="K309" s="1452"/>
      <c r="N309" s="611" t="s">
        <v>1386</v>
      </c>
      <c r="O309" s="611" t="str">
        <f t="shared" si="39"/>
        <v/>
      </c>
      <c r="P309" s="611" t="str">
        <f t="shared" si="33"/>
        <v>Page4!F</v>
      </c>
      <c r="Q309" s="611">
        <f t="shared" si="34"/>
        <v>42</v>
      </c>
      <c r="R309" s="1447">
        <f t="shared" ca="1" si="35"/>
        <v>0</v>
      </c>
      <c r="S309" s="1447">
        <f t="shared" ca="1" si="36"/>
        <v>0</v>
      </c>
      <c r="V309" s="2557" t="str">
        <f t="shared" ca="1" si="37"/>
        <v/>
      </c>
      <c r="W309" s="611" t="str">
        <f t="shared" ca="1" si="38"/>
        <v>Page4, Ligne 39 [Page4!F42]  -</v>
      </c>
    </row>
    <row r="310" spans="1:23">
      <c r="A310" s="1117" t="str">
        <f>celladdr(Page4!F44)</f>
        <v>Page4!F44</v>
      </c>
      <c r="B310" s="1456" t="s">
        <v>1086</v>
      </c>
      <c r="D310" s="1450"/>
      <c r="E310" s="1450"/>
      <c r="F310" s="1450"/>
      <c r="G310" s="1444" t="str">
        <f t="shared" si="32"/>
        <v/>
      </c>
      <c r="I310" s="1452"/>
      <c r="J310" s="1452"/>
      <c r="K310" s="1452"/>
      <c r="N310" s="611" t="s">
        <v>1387</v>
      </c>
      <c r="O310" s="611" t="str">
        <f t="shared" si="39"/>
        <v/>
      </c>
      <c r="P310" s="611" t="str">
        <f t="shared" si="33"/>
        <v>Page4!F</v>
      </c>
      <c r="Q310" s="611">
        <f t="shared" si="34"/>
        <v>44</v>
      </c>
      <c r="R310" s="1447">
        <f t="shared" ca="1" si="35"/>
        <v>0</v>
      </c>
      <c r="S310" s="1447">
        <f t="shared" ca="1" si="36"/>
        <v>0</v>
      </c>
      <c r="V310" s="2557" t="str">
        <f t="shared" ca="1" si="37"/>
        <v/>
      </c>
      <c r="W310" s="611" t="str">
        <f t="shared" ca="1" si="38"/>
        <v>Page4, Ligne 41 [Page4!F44]  -</v>
      </c>
    </row>
    <row r="311" spans="1:23">
      <c r="A311" s="1117" t="str">
        <f>celladdr(Page4!F45)</f>
        <v>Page4!F45</v>
      </c>
      <c r="B311" s="1456" t="s">
        <v>1086</v>
      </c>
      <c r="D311" s="1450"/>
      <c r="E311" s="1450"/>
      <c r="F311" s="1450"/>
      <c r="G311" s="1444" t="str">
        <f t="shared" si="32"/>
        <v/>
      </c>
      <c r="I311" s="1452"/>
      <c r="J311" s="1452"/>
      <c r="K311" s="1452"/>
      <c r="N311" s="611" t="s">
        <v>1388</v>
      </c>
      <c r="O311" s="611" t="str">
        <f t="shared" si="39"/>
        <v/>
      </c>
      <c r="P311" s="611" t="str">
        <f t="shared" si="33"/>
        <v>Page4!F</v>
      </c>
      <c r="Q311" s="611">
        <f t="shared" si="34"/>
        <v>45</v>
      </c>
      <c r="R311" s="1447">
        <f t="shared" ca="1" si="35"/>
        <v>0</v>
      </c>
      <c r="S311" s="1447">
        <f t="shared" ca="1" si="36"/>
        <v>0</v>
      </c>
      <c r="V311" s="2557" t="str">
        <f t="shared" ca="1" si="37"/>
        <v/>
      </c>
      <c r="W311" s="611" t="str">
        <f t="shared" ca="1" si="38"/>
        <v>Page4, Ligne 42 [Page4!F45]  -</v>
      </c>
    </row>
    <row r="312" spans="1:23">
      <c r="A312" s="1117" t="str">
        <f>celladdr(Page4!F46)</f>
        <v>Page4!F46</v>
      </c>
      <c r="B312" s="1456" t="s">
        <v>1086</v>
      </c>
      <c r="D312" s="1450"/>
      <c r="E312" s="1450"/>
      <c r="F312" s="1450"/>
      <c r="G312" s="1444" t="str">
        <f t="shared" si="32"/>
        <v/>
      </c>
      <c r="I312" s="1452"/>
      <c r="J312" s="1452"/>
      <c r="K312" s="1452"/>
      <c r="N312" s="611" t="s">
        <v>1389</v>
      </c>
      <c r="O312" s="611" t="str">
        <f t="shared" si="39"/>
        <v/>
      </c>
      <c r="P312" s="611" t="str">
        <f t="shared" si="33"/>
        <v>Page4!F</v>
      </c>
      <c r="Q312" s="611">
        <f t="shared" si="34"/>
        <v>46</v>
      </c>
      <c r="R312" s="1447">
        <f t="shared" ca="1" si="35"/>
        <v>0</v>
      </c>
      <c r="S312" s="1447">
        <f t="shared" ca="1" si="36"/>
        <v>0</v>
      </c>
      <c r="V312" s="2557" t="str">
        <f t="shared" ca="1" si="37"/>
        <v/>
      </c>
      <c r="W312" s="611" t="str">
        <f t="shared" ca="1" si="38"/>
        <v>Page4, Ligne 43 [Page4!F46]  -</v>
      </c>
    </row>
    <row r="313" spans="1:23">
      <c r="A313" s="1117" t="str">
        <f>celladdr(Page4!F47)</f>
        <v>Page4!F47</v>
      </c>
      <c r="B313" s="1456" t="s">
        <v>1086</v>
      </c>
      <c r="D313" s="1450"/>
      <c r="E313" s="1450"/>
      <c r="F313" s="1450"/>
      <c r="G313" s="1444" t="str">
        <f t="shared" si="32"/>
        <v/>
      </c>
      <c r="I313" s="1452"/>
      <c r="J313" s="1452"/>
      <c r="K313" s="1452"/>
      <c r="N313" s="611" t="s">
        <v>1390</v>
      </c>
      <c r="O313" s="611" t="str">
        <f t="shared" si="39"/>
        <v/>
      </c>
      <c r="P313" s="611" t="str">
        <f t="shared" si="33"/>
        <v>Page4!F</v>
      </c>
      <c r="Q313" s="611">
        <f t="shared" si="34"/>
        <v>47</v>
      </c>
      <c r="R313" s="1447">
        <f t="shared" ca="1" si="35"/>
        <v>0</v>
      </c>
      <c r="S313" s="1447">
        <f t="shared" ca="1" si="36"/>
        <v>0</v>
      </c>
      <c r="V313" s="2557" t="str">
        <f t="shared" ca="1" si="37"/>
        <v/>
      </c>
      <c r="W313" s="611" t="str">
        <f t="shared" ca="1" si="38"/>
        <v>Page4, Ligne 44 [Page4!F47]  -</v>
      </c>
    </row>
    <row r="314" spans="1:23">
      <c r="A314" s="1117" t="str">
        <f>celladdr(Page4!F48)</f>
        <v>Page4!F48</v>
      </c>
      <c r="B314" s="1456" t="s">
        <v>1086</v>
      </c>
      <c r="D314" s="1450"/>
      <c r="E314" s="1450"/>
      <c r="F314" s="1450"/>
      <c r="G314" s="1444" t="str">
        <f t="shared" si="32"/>
        <v/>
      </c>
      <c r="I314" s="1452"/>
      <c r="J314" s="1452"/>
      <c r="K314" s="1452"/>
      <c r="N314" s="611" t="s">
        <v>1391</v>
      </c>
      <c r="O314" s="611" t="str">
        <f t="shared" si="39"/>
        <v/>
      </c>
      <c r="P314" s="611" t="str">
        <f t="shared" si="33"/>
        <v>Page4!F</v>
      </c>
      <c r="Q314" s="611">
        <f t="shared" si="34"/>
        <v>48</v>
      </c>
      <c r="R314" s="1447">
        <f t="shared" ca="1" si="35"/>
        <v>0</v>
      </c>
      <c r="S314" s="1447">
        <f t="shared" ca="1" si="36"/>
        <v>0</v>
      </c>
      <c r="V314" s="2557" t="str">
        <f t="shared" ca="1" si="37"/>
        <v/>
      </c>
      <c r="W314" s="611" t="str">
        <f t="shared" ca="1" si="38"/>
        <v>Page4, Ligne 45 [Page4!F48]  -</v>
      </c>
    </row>
    <row r="315" spans="1:23">
      <c r="A315" s="1117" t="str">
        <f>celladdr(Page4!F49)</f>
        <v>Page4!F49</v>
      </c>
      <c r="B315" s="1456" t="s">
        <v>1086</v>
      </c>
      <c r="D315" s="1450"/>
      <c r="E315" s="1450"/>
      <c r="F315" s="1450"/>
      <c r="G315" s="1444" t="str">
        <f t="shared" si="32"/>
        <v/>
      </c>
      <c r="I315" s="1452"/>
      <c r="J315" s="1452"/>
      <c r="K315" s="1452"/>
      <c r="N315" s="611" t="s">
        <v>1392</v>
      </c>
      <c r="O315" s="611" t="str">
        <f t="shared" si="39"/>
        <v/>
      </c>
      <c r="P315" s="611" t="str">
        <f t="shared" si="33"/>
        <v>Page4!F</v>
      </c>
      <c r="Q315" s="611">
        <f t="shared" si="34"/>
        <v>49</v>
      </c>
      <c r="R315" s="1447">
        <f t="shared" ca="1" si="35"/>
        <v>0</v>
      </c>
      <c r="S315" s="1447">
        <f t="shared" ca="1" si="36"/>
        <v>0</v>
      </c>
      <c r="V315" s="2557" t="str">
        <f t="shared" ca="1" si="37"/>
        <v/>
      </c>
      <c r="W315" s="611" t="str">
        <f t="shared" ca="1" si="38"/>
        <v>Page4, Ligne 46 [Page4!F49]  -</v>
      </c>
    </row>
    <row r="316" spans="1:23">
      <c r="A316" s="1117" t="str">
        <f>celladdr(Page4!F50)</f>
        <v>Page4!F50</v>
      </c>
      <c r="B316" s="1456" t="s">
        <v>1086</v>
      </c>
      <c r="D316" s="1450"/>
      <c r="E316" s="1450"/>
      <c r="F316" s="1450"/>
      <c r="G316" s="1444" t="str">
        <f t="shared" si="32"/>
        <v/>
      </c>
      <c r="I316" s="1452"/>
      <c r="J316" s="1452"/>
      <c r="K316" s="1452"/>
      <c r="N316" s="611" t="s">
        <v>1393</v>
      </c>
      <c r="O316" s="611" t="str">
        <f t="shared" si="39"/>
        <v/>
      </c>
      <c r="P316" s="611" t="str">
        <f t="shared" si="33"/>
        <v>Page4!F</v>
      </c>
      <c r="Q316" s="611">
        <f t="shared" si="34"/>
        <v>50</v>
      </c>
      <c r="R316" s="1447">
        <f t="shared" ca="1" si="35"/>
        <v>0</v>
      </c>
      <c r="S316" s="1447">
        <f t="shared" ca="1" si="36"/>
        <v>0</v>
      </c>
      <c r="V316" s="2557" t="str">
        <f t="shared" ca="1" si="37"/>
        <v/>
      </c>
      <c r="W316" s="611" t="str">
        <f t="shared" ca="1" si="38"/>
        <v>Page4, Ligne 47 [Page4!F50]  -</v>
      </c>
    </row>
    <row r="317" spans="1:23">
      <c r="A317" s="1117" t="str">
        <f>celladdr(Page4!F51)</f>
        <v>Page4!F51</v>
      </c>
      <c r="B317" s="1456" t="s">
        <v>1086</v>
      </c>
      <c r="D317" s="1450"/>
      <c r="E317" s="1450"/>
      <c r="F317" s="1450"/>
      <c r="G317" s="1444" t="str">
        <f t="shared" si="32"/>
        <v/>
      </c>
      <c r="I317" s="1452"/>
      <c r="J317" s="1452"/>
      <c r="K317" s="1452"/>
      <c r="N317" s="611" t="s">
        <v>1394</v>
      </c>
      <c r="O317" s="611" t="str">
        <f t="shared" si="39"/>
        <v/>
      </c>
      <c r="P317" s="611" t="str">
        <f t="shared" si="33"/>
        <v>Page4!F</v>
      </c>
      <c r="Q317" s="611">
        <f t="shared" si="34"/>
        <v>51</v>
      </c>
      <c r="R317" s="1447">
        <f t="shared" ca="1" si="35"/>
        <v>0</v>
      </c>
      <c r="S317" s="1447">
        <f t="shared" ca="1" si="36"/>
        <v>0</v>
      </c>
      <c r="V317" s="2557" t="str">
        <f t="shared" ca="1" si="37"/>
        <v/>
      </c>
      <c r="W317" s="611" t="str">
        <f t="shared" ca="1" si="38"/>
        <v>Page4, Ligne 48 [Page4!F51]  -</v>
      </c>
    </row>
    <row r="318" spans="1:23">
      <c r="A318" s="1117" t="str">
        <f>celladdr(Page4!F53)</f>
        <v>Page4!F53</v>
      </c>
      <c r="B318" s="1456" t="s">
        <v>1086</v>
      </c>
      <c r="D318" s="1450"/>
      <c r="E318" s="1450"/>
      <c r="F318" s="1450"/>
      <c r="G318" s="1444" t="str">
        <f t="shared" si="32"/>
        <v/>
      </c>
      <c r="I318" s="1452"/>
      <c r="J318" s="1452"/>
      <c r="K318" s="1452"/>
      <c r="N318" s="611" t="s">
        <v>1395</v>
      </c>
      <c r="O318" s="611" t="str">
        <f t="shared" si="39"/>
        <v/>
      </c>
      <c r="P318" s="611" t="str">
        <f t="shared" si="33"/>
        <v>Page4!F</v>
      </c>
      <c r="Q318" s="611">
        <f t="shared" si="34"/>
        <v>53</v>
      </c>
      <c r="R318" s="1447">
        <f t="shared" ca="1" si="35"/>
        <v>0</v>
      </c>
      <c r="S318" s="1447">
        <f t="shared" ca="1" si="36"/>
        <v>0</v>
      </c>
      <c r="V318" s="2557" t="str">
        <f t="shared" ca="1" si="37"/>
        <v/>
      </c>
      <c r="W318" s="611" t="str">
        <f t="shared" ca="1" si="38"/>
        <v>Page4, Ligne 50 [Page4!F53]  -</v>
      </c>
    </row>
    <row r="319" spans="1:23">
      <c r="A319" s="1117" t="str">
        <f>celladdr(Page4!F54)</f>
        <v>Page4!F54</v>
      </c>
      <c r="B319" s="1456" t="s">
        <v>1086</v>
      </c>
      <c r="D319" s="1450"/>
      <c r="E319" s="1450"/>
      <c r="F319" s="1450"/>
      <c r="G319" s="1444" t="str">
        <f t="shared" si="32"/>
        <v/>
      </c>
      <c r="I319" s="1452"/>
      <c r="J319" s="1452"/>
      <c r="K319" s="1452"/>
      <c r="N319" s="611" t="s">
        <v>1396</v>
      </c>
      <c r="O319" s="611" t="str">
        <f t="shared" si="39"/>
        <v/>
      </c>
      <c r="P319" s="611" t="str">
        <f t="shared" si="33"/>
        <v>Page4!F</v>
      </c>
      <c r="Q319" s="611">
        <f t="shared" si="34"/>
        <v>54</v>
      </c>
      <c r="R319" s="1447">
        <f t="shared" ca="1" si="35"/>
        <v>0</v>
      </c>
      <c r="S319" s="1447">
        <f t="shared" ca="1" si="36"/>
        <v>0</v>
      </c>
      <c r="V319" s="2557" t="str">
        <f t="shared" ca="1" si="37"/>
        <v/>
      </c>
      <c r="W319" s="611" t="str">
        <f t="shared" ca="1" si="38"/>
        <v>Page4, Ligne 51 [Page4!F54]  -</v>
      </c>
    </row>
    <row r="320" spans="1:23">
      <c r="A320" s="1117" t="str">
        <f>celladdr(Page4!F55)</f>
        <v>Page4!F55</v>
      </c>
      <c r="B320" s="1456" t="s">
        <v>1086</v>
      </c>
      <c r="D320" s="1450"/>
      <c r="E320" s="1450"/>
      <c r="F320" s="1450"/>
      <c r="G320" s="1444" t="str">
        <f t="shared" si="32"/>
        <v/>
      </c>
      <c r="I320" s="1452"/>
      <c r="J320" s="1452"/>
      <c r="K320" s="1452"/>
      <c r="N320" s="611" t="s">
        <v>1397</v>
      </c>
      <c r="O320" s="611" t="str">
        <f t="shared" si="39"/>
        <v/>
      </c>
      <c r="P320" s="611" t="str">
        <f t="shared" si="33"/>
        <v>Page4!F</v>
      </c>
      <c r="Q320" s="611">
        <f t="shared" si="34"/>
        <v>55</v>
      </c>
      <c r="R320" s="1447">
        <f t="shared" ca="1" si="35"/>
        <v>0</v>
      </c>
      <c r="S320" s="1447">
        <f t="shared" ca="1" si="36"/>
        <v>0</v>
      </c>
      <c r="V320" s="2557" t="str">
        <f t="shared" ca="1" si="37"/>
        <v/>
      </c>
      <c r="W320" s="611" t="str">
        <f t="shared" ca="1" si="38"/>
        <v>Page4, Ligne 52 [Page4!F55]  -</v>
      </c>
    </row>
    <row r="321" spans="1:23">
      <c r="A321" s="1117" t="str">
        <f>celladdr(Page4!F56)</f>
        <v>Page4!F56</v>
      </c>
      <c r="B321" s="1456" t="s">
        <v>1086</v>
      </c>
      <c r="D321" s="1450"/>
      <c r="E321" s="1450"/>
      <c r="F321" s="1450"/>
      <c r="G321" s="1444" t="str">
        <f t="shared" si="32"/>
        <v/>
      </c>
      <c r="I321" s="1452"/>
      <c r="J321" s="1452"/>
      <c r="K321" s="1452"/>
      <c r="N321" s="611" t="s">
        <v>1398</v>
      </c>
      <c r="O321" s="611" t="str">
        <f t="shared" si="39"/>
        <v/>
      </c>
      <c r="P321" s="611" t="str">
        <f t="shared" si="33"/>
        <v>Page4!F</v>
      </c>
      <c r="Q321" s="611">
        <f t="shared" si="34"/>
        <v>56</v>
      </c>
      <c r="R321" s="1447">
        <f t="shared" ca="1" si="35"/>
        <v>0</v>
      </c>
      <c r="S321" s="1447">
        <f t="shared" ca="1" si="36"/>
        <v>0</v>
      </c>
      <c r="V321" s="2557" t="str">
        <f t="shared" ca="1" si="37"/>
        <v/>
      </c>
      <c r="W321" s="611" t="str">
        <f t="shared" ca="1" si="38"/>
        <v>Page4, Ligne 53 [Page4!F56]  -</v>
      </c>
    </row>
    <row r="322" spans="1:23">
      <c r="A322" s="1117" t="str">
        <f>celladdr(Page4!F57)</f>
        <v>Page4!F57</v>
      </c>
      <c r="B322" s="1456" t="s">
        <v>1086</v>
      </c>
      <c r="D322" s="1450"/>
      <c r="E322" s="1450"/>
      <c r="F322" s="1450"/>
      <c r="G322" s="1444" t="str">
        <f t="shared" ref="G322:G385" si="40">IF(H322&amp;I322&amp;J322&amp;K322&lt;&gt;"","No.de ref. du commentaire.: "&amp;W322&amp;" "&amp;N322&amp;" "&amp;H322&amp;I322&amp;IF(OR(C322=TRUE,D322=TRUE),"",J322&amp;K322&amp;V322),"")</f>
        <v/>
      </c>
      <c r="I322" s="1452"/>
      <c r="J322" s="1452"/>
      <c r="K322" s="1452"/>
      <c r="N322" s="611" t="s">
        <v>1399</v>
      </c>
      <c r="O322" s="611" t="str">
        <f t="shared" si="39"/>
        <v/>
      </c>
      <c r="P322" s="611" t="str">
        <f t="shared" ref="P322:P385" si="41">LEFT(A322,FIND("!",A322)+1)</f>
        <v>Page4!F</v>
      </c>
      <c r="Q322" s="611">
        <f t="shared" ref="Q322:Q385" si="42">VALUE(RIGHT(A322,LEN(A322)-FIND("!",A322)-1))</f>
        <v>57</v>
      </c>
      <c r="R322" s="1447">
        <f t="shared" ref="R322:R385" ca="1" si="43">IF(E322=TRUE,INDIRECT("Comments!$D$"&amp;T322),0)</f>
        <v>0</v>
      </c>
      <c r="S322" s="1447">
        <f t="shared" ref="S322:S385" ca="1" si="44">IF(F322=TRUE,INDIRECT("Comments!$D$"&amp;U322),0)</f>
        <v>0</v>
      </c>
      <c r="V322" s="2557" t="str">
        <f t="shared" ref="V322:V385" ca="1" si="45">IF(SUM(R322+S322)=0,"","
*** "&amp;TEXT(SUM(R322+S322),"0,0")&amp;" Points de précision seront déduits suite à cette(ces) erreur(s) !")</f>
        <v/>
      </c>
      <c r="W322" s="611" t="str">
        <f t="shared" ref="W322:W385" ca="1" si="46">LEFT(A322,FIND("!",A322,1)-1)&amp;", Ligne "&amp;INDIRECT(ADDRESS(ROW(INDIRECT(A322)),IF(INDIRECT(ADDRESS(ROW(INDIRECT(A322)),1,,,LEFT(A322,FIND("!",A322,1)-1)))="",2,1),,,LEFT(A322,FIND("!",A322,1)-1)))&amp;" ["&amp;A322&amp;"] "&amp;" -"</f>
        <v>Page4, Ligne 54 [Page4!F57]  -</v>
      </c>
    </row>
    <row r="323" spans="1:23">
      <c r="A323" s="1117" t="str">
        <f>celladdr(Page4!F62)</f>
        <v>Page4!F62</v>
      </c>
      <c r="B323" s="1464" t="s">
        <v>1086</v>
      </c>
      <c r="C323" s="1445" t="b">
        <f>(Page4!$F$62+Page4!$J$62+Page4!$N$62)&lt;&gt;0</f>
        <v>0</v>
      </c>
      <c r="D323" s="1450"/>
      <c r="E323" s="1450" t="b">
        <f>OR(Page4!$F$62-((Page6!$N$55+Page6!$N$56+Page6!$N$57+Page6!$N$58+Page6!$N$59+Page6!$N$61+Page6!$N$62)*0.5)&gt;100,Page4!$F$62-((Page6!$N$55+Page6!$N$56+Page6!$N$57+Page6!$N$58+Page6!$N$59+Page6!$N$61+Page6!$N$62)*0.5)&lt;-100)</f>
        <v>0</v>
      </c>
      <c r="F323" s="1454"/>
      <c r="G323" s="1444" t="str">
        <f t="shared" si="40"/>
        <v/>
      </c>
      <c r="H323" s="1446" t="str">
        <f>IF(C323=TRUE,Comments!$B$63&amp;DOLLAR(Page4!$N$62+(Page4!$F$62+Page4!$J$62),0),"")</f>
        <v/>
      </c>
      <c r="I323" s="1446"/>
      <c r="J323" s="1446" t="str">
        <f>IF(E323=TRUE,Comments!$B$64&amp;DOLLAR(Page4!$F$62-ROUND((Page6!$N$55+Page6!$N$56+Page6!$N$57+Page6!$N$58+Page6!$N$59+Page6!$N$61+Page6!$N$62)*0.5,0),0),"")</f>
        <v/>
      </c>
      <c r="K323" s="1446"/>
      <c r="N323" s="611" t="s">
        <v>1357</v>
      </c>
      <c r="O323" s="611" t="str">
        <f t="shared" ref="O323:O386" si="47">IF(A323=A322,"TRUE","")</f>
        <v/>
      </c>
      <c r="P323" s="611" t="str">
        <f t="shared" si="41"/>
        <v>Page4!F</v>
      </c>
      <c r="Q323" s="611">
        <f t="shared" si="42"/>
        <v>62</v>
      </c>
      <c r="R323" s="1447">
        <f t="shared" ca="1" si="43"/>
        <v>0</v>
      </c>
      <c r="S323" s="1447">
        <f t="shared" ca="1" si="44"/>
        <v>0</v>
      </c>
      <c r="T323" s="611">
        <v>64</v>
      </c>
      <c r="V323" s="2557" t="str">
        <f t="shared" ca="1" si="45"/>
        <v/>
      </c>
      <c r="W323" s="611" t="str">
        <f t="shared" ca="1" si="46"/>
        <v>Page4, Ligne 59 [Page4!F62]  -</v>
      </c>
    </row>
    <row r="324" spans="1:23">
      <c r="A324" s="1443" t="str">
        <f>celladdr(Page4!F63)</f>
        <v>Page4!F63</v>
      </c>
      <c r="B324" s="1464" t="s">
        <v>1086</v>
      </c>
      <c r="C324" s="1445" t="b">
        <f>OR(Page3!$F$63+Page3!$J$63+Page3!$N$63+Page4!$F$63+Page4!$J$63+Page4!$N$63+Page4!$R$63&gt;100,Page3!$F$63+Page3!$J$63+Page3!$N$63+Page4!$F$63+Page4!$J$63+Page4!$N$63+Page4!$R$63&lt;-100)</f>
        <v>0</v>
      </c>
      <c r="D324" s="1445" t="b">
        <f>ABS(Page4!F$63)&gt;ABS(Page4!$R$63)</f>
        <v>0</v>
      </c>
      <c r="F324" s="1454"/>
      <c r="G324" s="1444" t="str">
        <f t="shared" si="40"/>
        <v/>
      </c>
      <c r="H324" s="1446" t="str">
        <f>IF(C324=TRUE,Comments!$B$15&amp;DOLLAR(Page4!$R$60+Page4!$F$63+Page4!$J$63+Page4!$N$63+Page3!$F$63+Page3!$J$63+Page3!$N$63,0),"")</f>
        <v/>
      </c>
      <c r="I324" s="1447" t="str">
        <f>IF(D324=TRUE,Comments!$B$71,"")</f>
        <v/>
      </c>
      <c r="J324" s="1452"/>
      <c r="K324" s="1452"/>
      <c r="N324" s="611" t="s">
        <v>1400</v>
      </c>
      <c r="O324" s="611" t="str">
        <f t="shared" si="47"/>
        <v/>
      </c>
      <c r="P324" s="611" t="str">
        <f t="shared" si="41"/>
        <v>Page4!F</v>
      </c>
      <c r="Q324" s="611">
        <f t="shared" si="42"/>
        <v>63</v>
      </c>
      <c r="R324" s="1447">
        <f t="shared" ca="1" si="43"/>
        <v>0</v>
      </c>
      <c r="S324" s="1447">
        <f t="shared" ca="1" si="44"/>
        <v>0</v>
      </c>
      <c r="V324" s="2557" t="str">
        <f t="shared" ca="1" si="45"/>
        <v/>
      </c>
      <c r="W324" s="611" t="str">
        <f t="shared" ca="1" si="46"/>
        <v>Page4, Ligne 60 [Page4!F63]  -</v>
      </c>
    </row>
    <row r="325" spans="1:23">
      <c r="A325" s="1117" t="str">
        <f>celladdr(Page4!F64)</f>
        <v>Page4!F64</v>
      </c>
      <c r="B325" s="1444" t="s">
        <v>1086</v>
      </c>
      <c r="C325" s="1445" t="b">
        <f>Page4!$F$64&lt;&gt;Page4!$F$61+Page4!$F$62+Page4!$F$63</f>
        <v>0</v>
      </c>
      <c r="D325" s="1459"/>
      <c r="E325" s="1450"/>
      <c r="F325" s="1450"/>
      <c r="G325" s="1444" t="str">
        <f t="shared" si="40"/>
        <v/>
      </c>
      <c r="H325" s="1446" t="str">
        <f>IF(C325=TRUE,Comments!$B$14&amp;DOLLAR(Page4!$F$64-(Page4!$F$61+Page4!$F$62+Page4!$F$63),0),"")</f>
        <v/>
      </c>
      <c r="I325" s="1452"/>
      <c r="J325" s="1452"/>
      <c r="K325" s="1452"/>
      <c r="N325" s="611" t="s">
        <v>1401</v>
      </c>
      <c r="O325" s="611" t="str">
        <f t="shared" si="47"/>
        <v/>
      </c>
      <c r="P325" s="611" t="str">
        <f t="shared" si="41"/>
        <v>Page4!F</v>
      </c>
      <c r="Q325" s="611">
        <f t="shared" si="42"/>
        <v>64</v>
      </c>
      <c r="R325" s="1447">
        <f t="shared" ca="1" si="43"/>
        <v>0</v>
      </c>
      <c r="S325" s="1447">
        <f t="shared" ca="1" si="44"/>
        <v>0</v>
      </c>
      <c r="V325" s="2557" t="str">
        <f t="shared" ca="1" si="45"/>
        <v/>
      </c>
      <c r="W325" s="611" t="str">
        <f t="shared" ca="1" si="46"/>
        <v>Page4, Ligne 61 [Page4!F64]  -</v>
      </c>
    </row>
    <row r="326" spans="1:23">
      <c r="A326" s="1117" t="str">
        <f>celladdr(Page4!F66)</f>
        <v>Page4!F66</v>
      </c>
      <c r="B326" s="1460" t="s">
        <v>1086</v>
      </c>
      <c r="C326" s="1450" t="b">
        <f>OR(AND(Page4!$F$66=0,Page6!$G$31&lt;&gt;0),ISNUMBER(Page4!F66)=FALSE)</f>
        <v>0</v>
      </c>
      <c r="D326" s="1450" t="b">
        <f>Page4!F66&gt;INDEX(Max_Table,L326)</f>
        <v>0</v>
      </c>
      <c r="E326" s="1450" t="b">
        <f>Page4!F66&gt;INDEX(Max_Table,M326)</f>
        <v>0</v>
      </c>
      <c r="F326" s="1450"/>
      <c r="G326" s="1444" t="str">
        <f t="shared" si="40"/>
        <v/>
      </c>
      <c r="H326" s="1452" t="str">
        <f>IF(ISNUMBER(Page4!F66)=FALSE,Comments!$B$86,IF(C326=TRUE,Comments!$B$82,""))</f>
        <v/>
      </c>
      <c r="I326" s="1452" t="str">
        <f>IF(D326=TRUE,Comments!$B$87&amp;Comments!$B$19&amp;IFERROR(DOLLAR(Page4!$F66,2),"")&amp;Comments!$B$18&amp;DOLLAR(INDEX(Max_Table,$L326),2),"")</f>
        <v/>
      </c>
      <c r="J326" s="1452" t="str">
        <f>IF(E326=TRUE,Comments!$B$73&amp;Comments!$B$19&amp;IFERROR(DOLLAR(Page4!$F66,2),"")&amp;Comments!$B$18&amp;DOLLAR(INDEX(Max_Table,$M326),2),"")</f>
        <v/>
      </c>
      <c r="K326" s="1452"/>
      <c r="L326" s="611">
        <f>ROW(OR_VEH!$A681)</f>
        <v>681</v>
      </c>
      <c r="M326" s="611">
        <f>ROW(OR_VEH!$A680)</f>
        <v>680</v>
      </c>
      <c r="N326" s="1461" t="s">
        <v>1402</v>
      </c>
      <c r="O326" s="611" t="str">
        <f t="shared" si="47"/>
        <v/>
      </c>
      <c r="P326" s="611" t="str">
        <f t="shared" si="41"/>
        <v>Page4!F</v>
      </c>
      <c r="Q326" s="611">
        <f t="shared" si="42"/>
        <v>66</v>
      </c>
      <c r="R326" s="1447">
        <f t="shared" ca="1" si="43"/>
        <v>0</v>
      </c>
      <c r="S326" s="1447">
        <f t="shared" ca="1" si="44"/>
        <v>0</v>
      </c>
      <c r="T326" s="611">
        <v>73</v>
      </c>
      <c r="V326" s="2557" t="str">
        <f t="shared" ca="1" si="45"/>
        <v/>
      </c>
      <c r="W326" s="611" t="str">
        <f t="shared" ca="1" si="46"/>
        <v>Page4, Ligne 63 [Page4!F66]  -</v>
      </c>
    </row>
    <row r="327" spans="1:23">
      <c r="A327" s="1117" t="str">
        <f>celladdr(Page4!F67)</f>
        <v>Page4!F67</v>
      </c>
      <c r="B327" s="1460" t="s">
        <v>1086</v>
      </c>
      <c r="C327" s="1450" t="b">
        <f>OR(AND(Page4!$F$67=0,Page6!$G$33&lt;&gt;0),ISNUMBER(Page4!F67)=FALSE)</f>
        <v>0</v>
      </c>
      <c r="D327" s="1450" t="b">
        <f>Page4!F67&gt;INDEX(Max_Table,L327)</f>
        <v>0</v>
      </c>
      <c r="E327" s="1450" t="b">
        <f>Page4!F67&gt;INDEX(Max_Table,M327)</f>
        <v>0</v>
      </c>
      <c r="F327" s="1450"/>
      <c r="G327" s="1444" t="str">
        <f t="shared" si="40"/>
        <v/>
      </c>
      <c r="H327" s="1452" t="str">
        <f>IF(ISNUMBER(Page4!F67)=FALSE,Comments!$B$86,IF(C327=TRUE,Comments!$B$82,""))</f>
        <v/>
      </c>
      <c r="I327" s="1452" t="str">
        <f>IF(D327=TRUE,Comments!$B$87&amp;Comments!$B$19&amp;IFERROR(DOLLAR(Page4!$F67,2),"")&amp;Comments!$B$18&amp;DOLLAR(INDEX(Max_Table,$L327),2),"")</f>
        <v/>
      </c>
      <c r="J327" s="1452" t="str">
        <f>IF(E327=TRUE,Comments!$B$73&amp;Comments!$B$19&amp;IFERROR(DOLLAR(Page4!$F67,2),"")&amp;Comments!$B$18&amp;DOLLAR(INDEX(Max_Table,$M327),2),"")</f>
        <v/>
      </c>
      <c r="K327" s="1452"/>
      <c r="L327" s="611">
        <f>ROW(OR_VEH!$A683)</f>
        <v>683</v>
      </c>
      <c r="M327" s="611">
        <f>ROW(OR_VEH!$A682)</f>
        <v>682</v>
      </c>
      <c r="N327" s="1461" t="s">
        <v>1403</v>
      </c>
      <c r="O327" s="611" t="str">
        <f t="shared" si="47"/>
        <v/>
      </c>
      <c r="P327" s="611" t="str">
        <f t="shared" si="41"/>
        <v>Page4!F</v>
      </c>
      <c r="Q327" s="611">
        <f t="shared" si="42"/>
        <v>67</v>
      </c>
      <c r="R327" s="1447">
        <f t="shared" ca="1" si="43"/>
        <v>0</v>
      </c>
      <c r="S327" s="1447">
        <f t="shared" ca="1" si="44"/>
        <v>0</v>
      </c>
      <c r="T327" s="611">
        <v>73</v>
      </c>
      <c r="V327" s="2557" t="str">
        <f t="shared" ca="1" si="45"/>
        <v/>
      </c>
      <c r="W327" s="611" t="str">
        <f t="shared" ca="1" si="46"/>
        <v>Page4, Ligne 64 [Page4!F67]  -</v>
      </c>
    </row>
    <row r="328" spans="1:23">
      <c r="A328" s="1117" t="str">
        <f>celladdr(Page4!F68)</f>
        <v>Page4!F68</v>
      </c>
      <c r="B328" s="1460" t="s">
        <v>1086</v>
      </c>
      <c r="C328" s="1450" t="b">
        <f>OR(AND(Page4!$F$68=0,Page6!$G$35&lt;&gt;0),ISNUMBER(Page4!F68)=FALSE)</f>
        <v>0</v>
      </c>
      <c r="D328" s="1450" t="b">
        <f>Page4!F68&gt;INDEX(Max_Table,L328)</f>
        <v>0</v>
      </c>
      <c r="E328" s="1450" t="b">
        <f>Page4!F68&gt;INDEX(Max_Table,M328)</f>
        <v>0</v>
      </c>
      <c r="F328" s="1450"/>
      <c r="G328" s="1444" t="str">
        <f t="shared" si="40"/>
        <v/>
      </c>
      <c r="H328" s="1452" t="str">
        <f>IF(ISNUMBER(Page4!F68)=FALSE,Comments!$B$86,IF(C328=TRUE,Comments!$B$82,""))</f>
        <v/>
      </c>
      <c r="I328" s="1452" t="str">
        <f>IF(D328=TRUE,Comments!$B$87&amp;Comments!$B$19&amp;IFERROR(DOLLAR(Page4!$F68,2),"")&amp;Comments!$B$18&amp;DOLLAR(INDEX(Max_Table,$L328),2),"")</f>
        <v/>
      </c>
      <c r="J328" s="1452" t="str">
        <f>IF(E328=TRUE,Comments!$B$73&amp;Comments!$B$19&amp;IFERROR(DOLLAR(Page4!$F68,2),"")&amp;Comments!$B$18&amp;DOLLAR(INDEX(Max_Table,$M328),2),"")</f>
        <v/>
      </c>
      <c r="K328" s="1452"/>
      <c r="L328" s="611">
        <f>ROW(OR_VEH!$A685)</f>
        <v>685</v>
      </c>
      <c r="M328" s="611">
        <f>ROW(OR_VEH!$A684)</f>
        <v>684</v>
      </c>
      <c r="N328" s="1461" t="s">
        <v>1404</v>
      </c>
      <c r="O328" s="611" t="str">
        <f t="shared" si="47"/>
        <v/>
      </c>
      <c r="P328" s="611" t="str">
        <f t="shared" si="41"/>
        <v>Page4!F</v>
      </c>
      <c r="Q328" s="611">
        <f t="shared" si="42"/>
        <v>68</v>
      </c>
      <c r="R328" s="1447">
        <f t="shared" ca="1" si="43"/>
        <v>0</v>
      </c>
      <c r="S328" s="1447">
        <f t="shared" ca="1" si="44"/>
        <v>0</v>
      </c>
      <c r="T328" s="611">
        <v>73</v>
      </c>
      <c r="V328" s="2557" t="str">
        <f t="shared" ca="1" si="45"/>
        <v/>
      </c>
      <c r="W328" s="611" t="str">
        <f t="shared" ca="1" si="46"/>
        <v>Page4, Ligne 65 [Page4!F68]  -</v>
      </c>
    </row>
    <row r="329" spans="1:23">
      <c r="A329" s="1117" t="str">
        <f>celladdr(Page4!H11)</f>
        <v>Page4!H11</v>
      </c>
      <c r="B329" s="1449" t="s">
        <v>1086</v>
      </c>
      <c r="C329" s="1445" t="b">
        <f>OR(AND(Page4!$H$11=0,Page7!$K$47&gt;0),AND(Page4!$H$11&gt;0,Page7!$K$47=0))</f>
        <v>0</v>
      </c>
      <c r="D329" s="1450"/>
      <c r="E329" s="1450"/>
      <c r="F329" s="1450"/>
      <c r="G329" s="1444" t="str">
        <f t="shared" si="40"/>
        <v/>
      </c>
      <c r="H329" s="1446" t="str">
        <f>IF(C329=TRUE,Comments!$B$13,"")</f>
        <v/>
      </c>
      <c r="I329" s="1446"/>
      <c r="J329" s="1452"/>
      <c r="K329" s="1452"/>
      <c r="N329" s="611" t="s">
        <v>1405</v>
      </c>
      <c r="O329" s="611" t="str">
        <f t="shared" si="47"/>
        <v/>
      </c>
      <c r="P329" s="611" t="str">
        <f t="shared" si="41"/>
        <v>Page4!H</v>
      </c>
      <c r="Q329" s="611">
        <f t="shared" si="42"/>
        <v>11</v>
      </c>
      <c r="R329" s="1447">
        <f t="shared" ca="1" si="43"/>
        <v>0</v>
      </c>
      <c r="S329" s="1447">
        <f t="shared" ca="1" si="44"/>
        <v>0</v>
      </c>
      <c r="V329" s="2557" t="str">
        <f t="shared" ca="1" si="45"/>
        <v/>
      </c>
      <c r="W329" s="611" t="str">
        <f t="shared" ca="1" si="46"/>
        <v>Page4, Ligne 8 [Page4!H11]  -</v>
      </c>
    </row>
    <row r="330" spans="1:23">
      <c r="A330" s="1117" t="str">
        <f>celladdr(Page4!H12)</f>
        <v>Page4!H12</v>
      </c>
      <c r="B330" s="1449" t="s">
        <v>1086</v>
      </c>
      <c r="C330" s="1445" t="b">
        <f>OR(AND(Page4!$H$12=0,Page7!$K$48&gt;0),AND(Page4!$H$12&gt;0,Page7!$K$48=0))</f>
        <v>0</v>
      </c>
      <c r="D330" s="1450"/>
      <c r="E330" s="1450"/>
      <c r="F330" s="1450"/>
      <c r="G330" s="1444" t="str">
        <f t="shared" si="40"/>
        <v/>
      </c>
      <c r="H330" s="1446" t="str">
        <f>IF(C330=TRUE,Comments!$B$13,"")</f>
        <v/>
      </c>
      <c r="I330" s="1446"/>
      <c r="J330" s="1452"/>
      <c r="K330" s="1452"/>
      <c r="N330" s="611" t="s">
        <v>1406</v>
      </c>
      <c r="O330" s="611" t="str">
        <f t="shared" si="47"/>
        <v/>
      </c>
      <c r="P330" s="611" t="str">
        <f t="shared" si="41"/>
        <v>Page4!H</v>
      </c>
      <c r="Q330" s="611">
        <f t="shared" si="42"/>
        <v>12</v>
      </c>
      <c r="R330" s="1447">
        <f t="shared" ca="1" si="43"/>
        <v>0</v>
      </c>
      <c r="S330" s="1447">
        <f t="shared" ca="1" si="44"/>
        <v>0</v>
      </c>
      <c r="V330" s="2557" t="str">
        <f t="shared" ca="1" si="45"/>
        <v/>
      </c>
      <c r="W330" s="611" t="str">
        <f t="shared" ca="1" si="46"/>
        <v>Page4, Ligne 9 [Page4!H12]  -</v>
      </c>
    </row>
    <row r="331" spans="1:23">
      <c r="A331" s="1117" t="str">
        <f>celladdr(Page4!H13)</f>
        <v>Page4!H13</v>
      </c>
      <c r="B331" s="1449" t="s">
        <v>1086</v>
      </c>
      <c r="C331" s="1445" t="b">
        <f>OR(AND(Page4!$H$13=0,Page7!$K$52&gt;0),AND(Page4!$H$13&gt;0,Page7!$K$52=0))</f>
        <v>0</v>
      </c>
      <c r="D331" s="1450"/>
      <c r="E331" s="1450"/>
      <c r="F331" s="1450"/>
      <c r="G331" s="1444" t="str">
        <f t="shared" si="40"/>
        <v/>
      </c>
      <c r="H331" s="1446" t="str">
        <f>IF(C331=TRUE,Comments!$B$13,"")</f>
        <v/>
      </c>
      <c r="I331" s="1446"/>
      <c r="J331" s="1452"/>
      <c r="K331" s="1452"/>
      <c r="N331" s="611" t="s">
        <v>1407</v>
      </c>
      <c r="O331" s="611" t="str">
        <f t="shared" si="47"/>
        <v/>
      </c>
      <c r="P331" s="611" t="str">
        <f t="shared" si="41"/>
        <v>Page4!H</v>
      </c>
      <c r="Q331" s="611">
        <f t="shared" si="42"/>
        <v>13</v>
      </c>
      <c r="R331" s="1447">
        <f t="shared" ca="1" si="43"/>
        <v>0</v>
      </c>
      <c r="S331" s="1447">
        <f t="shared" ca="1" si="44"/>
        <v>0</v>
      </c>
      <c r="V331" s="2557" t="str">
        <f t="shared" ca="1" si="45"/>
        <v/>
      </c>
      <c r="W331" s="611" t="str">
        <f t="shared" ca="1" si="46"/>
        <v>Page4, Ligne 10 [Page4!H13]  -</v>
      </c>
    </row>
    <row r="332" spans="1:23">
      <c r="A332" s="1117" t="str">
        <f>celladdr(Page4!H14)</f>
        <v>Page4!H14</v>
      </c>
      <c r="B332" s="1449" t="s">
        <v>1086</v>
      </c>
      <c r="C332" s="1445" t="b">
        <f>OR(AND(Page4!$H$14=0,(Page7!$K$49+Page7!$K$53)&gt;0),AND(Page4!$H$14&gt;0,(Page7!$K$49+Page7!$K$53)=0))</f>
        <v>0</v>
      </c>
      <c r="D332" s="1450"/>
      <c r="E332" s="1450"/>
      <c r="F332" s="1450"/>
      <c r="G332" s="1444" t="str">
        <f t="shared" si="40"/>
        <v/>
      </c>
      <c r="H332" s="1446" t="str">
        <f>IF(C332=TRUE,Comments!$B$13,"")</f>
        <v/>
      </c>
      <c r="I332" s="1446"/>
      <c r="J332" s="1452"/>
      <c r="K332" s="1452"/>
      <c r="N332" s="611" t="s">
        <v>1408</v>
      </c>
      <c r="O332" s="611" t="str">
        <f t="shared" si="47"/>
        <v/>
      </c>
      <c r="P332" s="611" t="str">
        <f t="shared" si="41"/>
        <v>Page4!H</v>
      </c>
      <c r="Q332" s="611">
        <f t="shared" si="42"/>
        <v>14</v>
      </c>
      <c r="R332" s="1447">
        <f t="shared" ca="1" si="43"/>
        <v>0</v>
      </c>
      <c r="S332" s="1447">
        <f t="shared" ca="1" si="44"/>
        <v>0</v>
      </c>
      <c r="V332" s="2557" t="str">
        <f t="shared" ca="1" si="45"/>
        <v/>
      </c>
      <c r="W332" s="611" t="str">
        <f t="shared" ca="1" si="46"/>
        <v>Page4, Ligne 11 [Page4!H14]  -</v>
      </c>
    </row>
    <row r="333" spans="1:23">
      <c r="A333" s="1117" t="str">
        <f>celladdr(Page4!H62)</f>
        <v>Page4!H62</v>
      </c>
      <c r="B333" s="1460" t="s">
        <v>1086</v>
      </c>
      <c r="C333" s="1445" t="b">
        <f>(Page4!$L$62+Page4!$D$62+Page4!$H$62)&lt;&gt;0</f>
        <v>0</v>
      </c>
      <c r="D333" s="1450"/>
      <c r="E333" s="1450" t="b">
        <f>OR(Page4!$H$62-(Page6!$I$60*0.5)&gt;100,Page4!$H$62-(Page6!$I$60*0.5)&lt;-100)</f>
        <v>0</v>
      </c>
      <c r="F333" s="1454"/>
      <c r="G333" s="1444" t="str">
        <f t="shared" si="40"/>
        <v/>
      </c>
      <c r="H333" s="1446" t="str">
        <f>IF(C333=TRUE,Comments!$B$63&amp;DOLLAR(Page4!$L$62+(Page4!$D$62+Page4!$H$62),0),"")</f>
        <v/>
      </c>
      <c r="I333" s="1446"/>
      <c r="J333" s="1446" t="str">
        <f>IF(E333=TRUE,Comments!$B$65&amp;DOLLAR(Page4!$H$62-ROUND((Page6!$I$60)*0.5,0),0),"")</f>
        <v/>
      </c>
      <c r="K333" s="1446"/>
      <c r="N333" s="611" t="s">
        <v>1409</v>
      </c>
      <c r="O333" s="611" t="str">
        <f t="shared" si="47"/>
        <v/>
      </c>
      <c r="P333" s="611" t="str">
        <f t="shared" si="41"/>
        <v>Page4!H</v>
      </c>
      <c r="Q333" s="611">
        <f t="shared" si="42"/>
        <v>62</v>
      </c>
      <c r="R333" s="1447">
        <f t="shared" ca="1" si="43"/>
        <v>0</v>
      </c>
      <c r="S333" s="1447">
        <f t="shared" ca="1" si="44"/>
        <v>0</v>
      </c>
      <c r="T333" s="611">
        <v>65</v>
      </c>
      <c r="V333" s="2557" t="str">
        <f t="shared" ca="1" si="45"/>
        <v/>
      </c>
      <c r="W333" s="611" t="str">
        <f t="shared" ca="1" si="46"/>
        <v>Page4, Ligne 59 [Page4!H62]  -</v>
      </c>
    </row>
    <row r="334" spans="1:23">
      <c r="A334" s="1443" t="str">
        <f>celladdr(Page4!H63)</f>
        <v>Page4!H63</v>
      </c>
      <c r="B334" s="1460" t="s">
        <v>1086</v>
      </c>
      <c r="C334" s="1445" t="b">
        <f>OR(Page3!$D$63+Page3!$H$63+Page3!$L$63+Page4!$D$63+Page4!$H$63+Page4!$L$63+Page4!$P$63&gt;100,Page3!$D$63+Page3!$H$63+Page3!$L$63+Page4!$D$63+Page4!$H$63+Page4!$L$63+Page4!$P$63&lt;-100)</f>
        <v>0</v>
      </c>
      <c r="D334" s="1445" t="b">
        <f>ABS(Page4!H$63)&gt;ABS(Page4!$P$63)</f>
        <v>0</v>
      </c>
      <c r="G334" s="1444" t="str">
        <f t="shared" si="40"/>
        <v/>
      </c>
      <c r="H334" s="1446" t="str">
        <f>IF(C334=TRUE,Comments!$B$15&amp;DOLLAR(Page4!$P$60+Page4!$D$63+Page4!$H$63+Page4!$L$63+Page3!$D$63+Page3!$H$63+Page3!$L$63,0),"")</f>
        <v/>
      </c>
      <c r="I334" s="1447" t="str">
        <f>IF(D334=TRUE,Comments!$B$71,"")</f>
        <v/>
      </c>
      <c r="K334" s="1452"/>
      <c r="N334" s="611" t="s">
        <v>1410</v>
      </c>
      <c r="O334" s="611" t="str">
        <f t="shared" si="47"/>
        <v/>
      </c>
      <c r="P334" s="611" t="str">
        <f t="shared" si="41"/>
        <v>Page4!H</v>
      </c>
      <c r="Q334" s="611">
        <f t="shared" si="42"/>
        <v>63</v>
      </c>
      <c r="R334" s="1447">
        <f t="shared" ca="1" si="43"/>
        <v>0</v>
      </c>
      <c r="S334" s="1447">
        <f t="shared" ca="1" si="44"/>
        <v>0</v>
      </c>
      <c r="V334" s="2557" t="str">
        <f t="shared" ca="1" si="45"/>
        <v/>
      </c>
      <c r="W334" s="611" t="str">
        <f t="shared" ca="1" si="46"/>
        <v>Page4, Ligne 60 [Page4!H63]  -</v>
      </c>
    </row>
    <row r="335" spans="1:23">
      <c r="A335" s="1117" t="str">
        <f>celladdr(Page4!H64)</f>
        <v>Page4!H64</v>
      </c>
      <c r="B335" s="1444" t="s">
        <v>1086</v>
      </c>
      <c r="C335" s="1445" t="b">
        <f>Page4!$H$64&lt;&gt;Page4!$H$61+Page4!$H$62+Page4!$H$63</f>
        <v>0</v>
      </c>
      <c r="D335" s="1450"/>
      <c r="E335" s="1450"/>
      <c r="F335" s="1450"/>
      <c r="G335" s="1444" t="str">
        <f t="shared" si="40"/>
        <v/>
      </c>
      <c r="H335" s="1446" t="str">
        <f>IF(C335=TRUE,Comments!$B$14&amp;DOLLAR(Page4!$H$64-(Page4!$H$61+Page4!$H$62+Page4!$H$63),0),"")</f>
        <v/>
      </c>
      <c r="I335" s="1452"/>
      <c r="J335" s="1452"/>
      <c r="K335" s="1452"/>
      <c r="N335" s="611" t="s">
        <v>1411</v>
      </c>
      <c r="O335" s="611" t="str">
        <f t="shared" si="47"/>
        <v/>
      </c>
      <c r="P335" s="611" t="str">
        <f t="shared" si="41"/>
        <v>Page4!H</v>
      </c>
      <c r="Q335" s="611">
        <f t="shared" si="42"/>
        <v>64</v>
      </c>
      <c r="R335" s="1447">
        <f t="shared" ca="1" si="43"/>
        <v>0</v>
      </c>
      <c r="S335" s="1447">
        <f t="shared" ca="1" si="44"/>
        <v>0</v>
      </c>
      <c r="V335" s="2557" t="str">
        <f t="shared" ca="1" si="45"/>
        <v/>
      </c>
      <c r="W335" s="611" t="str">
        <f t="shared" ca="1" si="46"/>
        <v>Page4, Ligne 61 [Page4!H64]  -</v>
      </c>
    </row>
    <row r="336" spans="1:23">
      <c r="A336" s="1117" t="str">
        <f>celladdr(Page4!J15)</f>
        <v>Page4!J15</v>
      </c>
      <c r="B336" s="1456" t="s">
        <v>1086</v>
      </c>
      <c r="D336" s="1450"/>
      <c r="E336" s="1450"/>
      <c r="F336" s="1454"/>
      <c r="G336" s="1444" t="str">
        <f t="shared" si="40"/>
        <v/>
      </c>
      <c r="I336" s="1452"/>
      <c r="J336" s="1452"/>
      <c r="K336" s="1446"/>
      <c r="N336" s="611" t="s">
        <v>1412</v>
      </c>
      <c r="O336" s="611" t="str">
        <f t="shared" si="47"/>
        <v/>
      </c>
      <c r="P336" s="611" t="str">
        <f t="shared" si="41"/>
        <v>Page4!J</v>
      </c>
      <c r="Q336" s="611">
        <f t="shared" si="42"/>
        <v>15</v>
      </c>
      <c r="R336" s="1447">
        <f t="shared" ca="1" si="43"/>
        <v>0</v>
      </c>
      <c r="S336" s="1447">
        <f t="shared" ca="1" si="44"/>
        <v>0</v>
      </c>
      <c r="V336" s="2557" t="str">
        <f t="shared" ca="1" si="45"/>
        <v/>
      </c>
      <c r="W336" s="611" t="str">
        <f t="shared" ca="1" si="46"/>
        <v>Page4, Ligne 12 [Page4!J15]  -</v>
      </c>
    </row>
    <row r="337" spans="1:23">
      <c r="A337" s="1117" t="str">
        <f>celladdr(Page4!J16)</f>
        <v>Page4!J16</v>
      </c>
      <c r="B337" s="1456" t="s">
        <v>1086</v>
      </c>
      <c r="D337" s="1450"/>
      <c r="E337" s="1450"/>
      <c r="F337" s="1454"/>
      <c r="G337" s="1444" t="str">
        <f t="shared" si="40"/>
        <v/>
      </c>
      <c r="I337" s="1452"/>
      <c r="J337" s="1452"/>
      <c r="K337" s="1446"/>
      <c r="N337" s="611" t="s">
        <v>1413</v>
      </c>
      <c r="O337" s="611" t="str">
        <f t="shared" si="47"/>
        <v/>
      </c>
      <c r="P337" s="611" t="str">
        <f t="shared" si="41"/>
        <v>Page4!J</v>
      </c>
      <c r="Q337" s="611">
        <f t="shared" si="42"/>
        <v>16</v>
      </c>
      <c r="R337" s="1447">
        <f t="shared" ca="1" si="43"/>
        <v>0</v>
      </c>
      <c r="S337" s="1447">
        <f t="shared" ca="1" si="44"/>
        <v>0</v>
      </c>
      <c r="V337" s="2557" t="str">
        <f t="shared" ca="1" si="45"/>
        <v/>
      </c>
      <c r="W337" s="611" t="str">
        <f t="shared" ca="1" si="46"/>
        <v>Page4, Ligne 13 [Page4!J16]  -</v>
      </c>
    </row>
    <row r="338" spans="1:23">
      <c r="A338" s="1117" t="str">
        <f>celladdr(Page4!J17)</f>
        <v>Page4!J17</v>
      </c>
      <c r="B338" s="1456" t="s">
        <v>1086</v>
      </c>
      <c r="D338" s="1450"/>
      <c r="E338" s="1450" t="b">
        <f>OR(AND(SUM(Page4!$J$11:$J$14)+Page6!$H$44&gt;0,Page4!$J$17=0),AND(SUM(Page4!$J$11:$J$14)+Page6!$H$44=0,Page4!$J$17&gt;0))</f>
        <v>0</v>
      </c>
      <c r="F338" s="1454"/>
      <c r="G338" s="1444" t="str">
        <f t="shared" si="40"/>
        <v/>
      </c>
      <c r="I338" s="1452"/>
      <c r="J338" s="1452" t="str">
        <f>IF(E338=TRUE,Comments!$B$12,"")</f>
        <v/>
      </c>
      <c r="K338" s="1446"/>
      <c r="N338" s="611" t="s">
        <v>1414</v>
      </c>
      <c r="O338" s="611" t="str">
        <f t="shared" si="47"/>
        <v/>
      </c>
      <c r="P338" s="611" t="str">
        <f t="shared" si="41"/>
        <v>Page4!J</v>
      </c>
      <c r="Q338" s="611">
        <f t="shared" si="42"/>
        <v>17</v>
      </c>
      <c r="R338" s="1447">
        <f t="shared" ca="1" si="43"/>
        <v>0</v>
      </c>
      <c r="S338" s="1447">
        <f t="shared" ca="1" si="44"/>
        <v>0</v>
      </c>
      <c r="T338" s="611">
        <v>12</v>
      </c>
      <c r="V338" s="2557" t="str">
        <f t="shared" ca="1" si="45"/>
        <v/>
      </c>
      <c r="W338" s="611" t="str">
        <f t="shared" ca="1" si="46"/>
        <v>Page4, Ligne 14 [Page4!J17]  -</v>
      </c>
    </row>
    <row r="339" spans="1:23">
      <c r="A339" s="1117" t="str">
        <f>celladdr(Page4!J18)</f>
        <v>Page4!J18</v>
      </c>
      <c r="B339" s="1456" t="s">
        <v>1086</v>
      </c>
      <c r="D339" s="1450"/>
      <c r="E339" s="1450" t="b">
        <f>OR(AND(SUM(Page4!$J$11:$J$14)+Page6!$H$44&gt;0,Page4!$J$18=0),AND(SUM(Page4!$J$11:$J$14)+Page6!$H$44=0,Page4!$J$18&gt;0))</f>
        <v>0</v>
      </c>
      <c r="F339" s="1450"/>
      <c r="G339" s="1444" t="str">
        <f t="shared" si="40"/>
        <v/>
      </c>
      <c r="I339" s="1452"/>
      <c r="J339" s="1452" t="str">
        <f>IF(E339=TRUE,Comments!$B$12,"")</f>
        <v/>
      </c>
      <c r="K339" s="1452"/>
      <c r="N339" s="611" t="s">
        <v>1415</v>
      </c>
      <c r="O339" s="611" t="str">
        <f t="shared" si="47"/>
        <v/>
      </c>
      <c r="P339" s="611" t="str">
        <f t="shared" si="41"/>
        <v>Page4!J</v>
      </c>
      <c r="Q339" s="611">
        <f t="shared" si="42"/>
        <v>18</v>
      </c>
      <c r="R339" s="1447">
        <f t="shared" ca="1" si="43"/>
        <v>0</v>
      </c>
      <c r="S339" s="1447">
        <f t="shared" ca="1" si="44"/>
        <v>0</v>
      </c>
      <c r="T339" s="611">
        <v>12</v>
      </c>
      <c r="V339" s="2557" t="str">
        <f t="shared" ca="1" si="45"/>
        <v/>
      </c>
      <c r="W339" s="611" t="str">
        <f t="shared" ca="1" si="46"/>
        <v>Page4, Ligne 15 [Page4!J18]  -</v>
      </c>
    </row>
    <row r="340" spans="1:23">
      <c r="A340" s="1117" t="str">
        <f>celladdr(Page4!J19)</f>
        <v>Page4!J19</v>
      </c>
      <c r="B340" s="1456" t="s">
        <v>1086</v>
      </c>
      <c r="D340" s="1450"/>
      <c r="E340" s="1450"/>
      <c r="F340" s="1450"/>
      <c r="G340" s="1444" t="str">
        <f t="shared" si="40"/>
        <v/>
      </c>
      <c r="I340" s="1452"/>
      <c r="J340" s="1452"/>
      <c r="K340" s="1452"/>
      <c r="N340" s="611" t="s">
        <v>1416</v>
      </c>
      <c r="O340" s="611" t="str">
        <f t="shared" si="47"/>
        <v/>
      </c>
      <c r="P340" s="611" t="str">
        <f t="shared" si="41"/>
        <v>Page4!J</v>
      </c>
      <c r="Q340" s="611">
        <f t="shared" si="42"/>
        <v>19</v>
      </c>
      <c r="R340" s="1447">
        <f t="shared" ca="1" si="43"/>
        <v>0</v>
      </c>
      <c r="S340" s="1447">
        <f t="shared" ca="1" si="44"/>
        <v>0</v>
      </c>
      <c r="V340" s="2557" t="str">
        <f t="shared" ca="1" si="45"/>
        <v/>
      </c>
      <c r="W340" s="611" t="str">
        <f t="shared" ca="1" si="46"/>
        <v>Page4, Ligne 16 [Page4!J19]  -</v>
      </c>
    </row>
    <row r="341" spans="1:23">
      <c r="A341" s="1117" t="str">
        <f>celladdr(Page4!J21)</f>
        <v>Page4!J21</v>
      </c>
      <c r="B341" s="1456" t="s">
        <v>1086</v>
      </c>
      <c r="D341" s="1450"/>
      <c r="E341" s="1450"/>
      <c r="F341" s="1450"/>
      <c r="G341" s="1444" t="str">
        <f t="shared" si="40"/>
        <v/>
      </c>
      <c r="I341" s="1452"/>
      <c r="J341" s="1452"/>
      <c r="K341" s="1452"/>
      <c r="N341" s="611" t="s">
        <v>1417</v>
      </c>
      <c r="O341" s="611" t="str">
        <f t="shared" si="47"/>
        <v/>
      </c>
      <c r="P341" s="611" t="str">
        <f t="shared" si="41"/>
        <v>Page4!J</v>
      </c>
      <c r="Q341" s="611">
        <f t="shared" si="42"/>
        <v>21</v>
      </c>
      <c r="R341" s="1447">
        <f t="shared" ca="1" si="43"/>
        <v>0</v>
      </c>
      <c r="S341" s="1447">
        <f t="shared" ca="1" si="44"/>
        <v>0</v>
      </c>
      <c r="V341" s="2557" t="str">
        <f t="shared" ca="1" si="45"/>
        <v/>
      </c>
      <c r="W341" s="611" t="str">
        <f t="shared" ca="1" si="46"/>
        <v>Page4, Ligne 18 [Page4!J21]  -</v>
      </c>
    </row>
    <row r="342" spans="1:23">
      <c r="A342" s="1117" t="str">
        <f>celladdr(Page4!J22)</f>
        <v>Page4!J22</v>
      </c>
      <c r="B342" s="1456" t="s">
        <v>1086</v>
      </c>
      <c r="D342" s="1450"/>
      <c r="E342" s="1450"/>
      <c r="F342" s="1450"/>
      <c r="G342" s="1444" t="str">
        <f t="shared" si="40"/>
        <v/>
      </c>
      <c r="I342" s="1452"/>
      <c r="J342" s="1452"/>
      <c r="K342" s="1452"/>
      <c r="N342" s="611" t="s">
        <v>1418</v>
      </c>
      <c r="O342" s="611" t="str">
        <f t="shared" si="47"/>
        <v/>
      </c>
      <c r="P342" s="611" t="str">
        <f t="shared" si="41"/>
        <v>Page4!J</v>
      </c>
      <c r="Q342" s="611">
        <f t="shared" si="42"/>
        <v>22</v>
      </c>
      <c r="R342" s="1447">
        <f t="shared" ca="1" si="43"/>
        <v>0</v>
      </c>
      <c r="S342" s="1447">
        <f t="shared" ca="1" si="44"/>
        <v>0</v>
      </c>
      <c r="V342" s="2557" t="str">
        <f t="shared" ca="1" si="45"/>
        <v/>
      </c>
      <c r="W342" s="611" t="str">
        <f t="shared" ca="1" si="46"/>
        <v>Page4, Ligne 19 [Page4!J22]  -</v>
      </c>
    </row>
    <row r="343" spans="1:23">
      <c r="A343" s="1117" t="str">
        <f>celladdr(Page4!J23)</f>
        <v>Page4!J23</v>
      </c>
      <c r="B343" s="1456" t="s">
        <v>1086</v>
      </c>
      <c r="D343" s="1450"/>
      <c r="E343" s="1450"/>
      <c r="F343" s="1450"/>
      <c r="G343" s="1444" t="str">
        <f t="shared" si="40"/>
        <v/>
      </c>
      <c r="I343" s="1452"/>
      <c r="J343" s="1452"/>
      <c r="K343" s="1452"/>
      <c r="N343" s="611" t="s">
        <v>1419</v>
      </c>
      <c r="O343" s="611" t="str">
        <f t="shared" si="47"/>
        <v/>
      </c>
      <c r="P343" s="611" t="str">
        <f t="shared" si="41"/>
        <v>Page4!J</v>
      </c>
      <c r="Q343" s="611">
        <f t="shared" si="42"/>
        <v>23</v>
      </c>
      <c r="R343" s="1447">
        <f t="shared" ca="1" si="43"/>
        <v>0</v>
      </c>
      <c r="S343" s="1447">
        <f t="shared" ca="1" si="44"/>
        <v>0</v>
      </c>
      <c r="V343" s="2557" t="str">
        <f t="shared" ca="1" si="45"/>
        <v/>
      </c>
      <c r="W343" s="611" t="str">
        <f t="shared" ca="1" si="46"/>
        <v>Page4, Ligne 20 [Page4!J23]  -</v>
      </c>
    </row>
    <row r="344" spans="1:23">
      <c r="A344" s="1117" t="str">
        <f>celladdr(Page4!J24)</f>
        <v>Page4!J24</v>
      </c>
      <c r="B344" s="1456" t="s">
        <v>1086</v>
      </c>
      <c r="D344" s="1450"/>
      <c r="E344" s="1450"/>
      <c r="F344" s="1450"/>
      <c r="G344" s="1444" t="str">
        <f t="shared" si="40"/>
        <v/>
      </c>
      <c r="I344" s="1452"/>
      <c r="J344" s="1452"/>
      <c r="K344" s="1452"/>
      <c r="N344" s="611" t="s">
        <v>1420</v>
      </c>
      <c r="O344" s="611" t="str">
        <f t="shared" si="47"/>
        <v/>
      </c>
      <c r="P344" s="611" t="str">
        <f t="shared" si="41"/>
        <v>Page4!J</v>
      </c>
      <c r="Q344" s="611">
        <f t="shared" si="42"/>
        <v>24</v>
      </c>
      <c r="R344" s="1447">
        <f t="shared" ca="1" si="43"/>
        <v>0</v>
      </c>
      <c r="S344" s="1447">
        <f t="shared" ca="1" si="44"/>
        <v>0</v>
      </c>
      <c r="V344" s="2557" t="str">
        <f t="shared" ca="1" si="45"/>
        <v/>
      </c>
      <c r="W344" s="611" t="str">
        <f t="shared" ca="1" si="46"/>
        <v>Page4, Ligne 21 [Page4!J24]  -</v>
      </c>
    </row>
    <row r="345" spans="1:23">
      <c r="A345" s="1117" t="str">
        <f>celladdr(Page4!J25)</f>
        <v>Page4!J25</v>
      </c>
      <c r="B345" s="1456" t="s">
        <v>1086</v>
      </c>
      <c r="D345" s="1450"/>
      <c r="E345" s="1450"/>
      <c r="F345" s="1450"/>
      <c r="G345" s="1444" t="str">
        <f t="shared" si="40"/>
        <v/>
      </c>
      <c r="I345" s="1452"/>
      <c r="J345" s="1452"/>
      <c r="K345" s="1452"/>
      <c r="N345" s="611" t="s">
        <v>1421</v>
      </c>
      <c r="O345" s="611" t="str">
        <f t="shared" si="47"/>
        <v/>
      </c>
      <c r="P345" s="611" t="str">
        <f t="shared" si="41"/>
        <v>Page4!J</v>
      </c>
      <c r="Q345" s="611">
        <f t="shared" si="42"/>
        <v>25</v>
      </c>
      <c r="R345" s="1447">
        <f t="shared" ca="1" si="43"/>
        <v>0</v>
      </c>
      <c r="S345" s="1447">
        <f t="shared" ca="1" si="44"/>
        <v>0</v>
      </c>
      <c r="V345" s="2557" t="str">
        <f t="shared" ca="1" si="45"/>
        <v/>
      </c>
      <c r="W345" s="611" t="str">
        <f t="shared" ca="1" si="46"/>
        <v>Page4, Ligne 22 [Page4!J25]  -</v>
      </c>
    </row>
    <row r="346" spans="1:23">
      <c r="A346" s="1117" t="str">
        <f>celladdr(Page4!J26)</f>
        <v>Page4!J26</v>
      </c>
      <c r="B346" s="1456" t="s">
        <v>1086</v>
      </c>
      <c r="D346" s="1450"/>
      <c r="E346" s="1450"/>
      <c r="F346" s="1450"/>
      <c r="G346" s="1444" t="str">
        <f t="shared" si="40"/>
        <v/>
      </c>
      <c r="I346" s="1452"/>
      <c r="J346" s="1452"/>
      <c r="K346" s="1452"/>
      <c r="N346" s="611" t="s">
        <v>1422</v>
      </c>
      <c r="O346" s="611" t="str">
        <f t="shared" si="47"/>
        <v/>
      </c>
      <c r="P346" s="611" t="str">
        <f t="shared" si="41"/>
        <v>Page4!J</v>
      </c>
      <c r="Q346" s="611">
        <f t="shared" si="42"/>
        <v>26</v>
      </c>
      <c r="R346" s="1447">
        <f t="shared" ca="1" si="43"/>
        <v>0</v>
      </c>
      <c r="S346" s="1447">
        <f t="shared" ca="1" si="44"/>
        <v>0</v>
      </c>
      <c r="V346" s="2557" t="str">
        <f t="shared" ca="1" si="45"/>
        <v/>
      </c>
      <c r="W346" s="611" t="str">
        <f t="shared" ca="1" si="46"/>
        <v>Page4, Ligne 23 [Page4!J26]  -</v>
      </c>
    </row>
    <row r="347" spans="1:23">
      <c r="A347" s="1117" t="str">
        <f>celladdr(Page4!J27)</f>
        <v>Page4!J27</v>
      </c>
      <c r="B347" s="1456" t="s">
        <v>1086</v>
      </c>
      <c r="D347" s="1450"/>
      <c r="E347" s="1450"/>
      <c r="F347" s="1450"/>
      <c r="G347" s="1444" t="str">
        <f t="shared" si="40"/>
        <v/>
      </c>
      <c r="I347" s="1452"/>
      <c r="J347" s="1452"/>
      <c r="K347" s="1452"/>
      <c r="N347" s="611" t="s">
        <v>1423</v>
      </c>
      <c r="O347" s="611" t="str">
        <f t="shared" si="47"/>
        <v/>
      </c>
      <c r="P347" s="611" t="str">
        <f t="shared" si="41"/>
        <v>Page4!J</v>
      </c>
      <c r="Q347" s="611">
        <f t="shared" si="42"/>
        <v>27</v>
      </c>
      <c r="R347" s="1447">
        <f t="shared" ca="1" si="43"/>
        <v>0</v>
      </c>
      <c r="S347" s="1447">
        <f t="shared" ca="1" si="44"/>
        <v>0</v>
      </c>
      <c r="V347" s="2557" t="str">
        <f t="shared" ca="1" si="45"/>
        <v/>
      </c>
      <c r="W347" s="611" t="str">
        <f t="shared" ca="1" si="46"/>
        <v>Page4, Ligne 24 [Page4!J27]  -</v>
      </c>
    </row>
    <row r="348" spans="1:23">
      <c r="A348" s="1117" t="str">
        <f>celladdr(Page4!J28)</f>
        <v>Page4!J28</v>
      </c>
      <c r="B348" s="1456" t="s">
        <v>1086</v>
      </c>
      <c r="D348" s="1450"/>
      <c r="E348" s="1450"/>
      <c r="F348" s="1450"/>
      <c r="G348" s="1444" t="str">
        <f t="shared" si="40"/>
        <v/>
      </c>
      <c r="I348" s="1452"/>
      <c r="J348" s="1452"/>
      <c r="K348" s="1452"/>
      <c r="N348" s="1461" t="s">
        <v>1424</v>
      </c>
      <c r="O348" s="611" t="str">
        <f t="shared" si="47"/>
        <v/>
      </c>
      <c r="P348" s="611" t="str">
        <f t="shared" si="41"/>
        <v>Page4!J</v>
      </c>
      <c r="Q348" s="611">
        <f t="shared" si="42"/>
        <v>28</v>
      </c>
      <c r="R348" s="1447">
        <f t="shared" ca="1" si="43"/>
        <v>0</v>
      </c>
      <c r="S348" s="1447">
        <f t="shared" ca="1" si="44"/>
        <v>0</v>
      </c>
      <c r="V348" s="2557" t="str">
        <f t="shared" ca="1" si="45"/>
        <v/>
      </c>
      <c r="W348" s="611" t="str">
        <f t="shared" ca="1" si="46"/>
        <v>Page4, Ligne 25 [Page4!J28]  -</v>
      </c>
    </row>
    <row r="349" spans="1:23">
      <c r="A349" s="1117" t="str">
        <f>celladdr(Page4!J29)</f>
        <v>Page4!J29</v>
      </c>
      <c r="B349" s="1456" t="s">
        <v>1086</v>
      </c>
      <c r="D349" s="1450"/>
      <c r="E349" s="1450"/>
      <c r="F349" s="1450"/>
      <c r="G349" s="1444" t="str">
        <f t="shared" si="40"/>
        <v/>
      </c>
      <c r="I349" s="1452"/>
      <c r="J349" s="1452"/>
      <c r="K349" s="1452"/>
      <c r="N349" s="611" t="s">
        <v>1425</v>
      </c>
      <c r="O349" s="611" t="str">
        <f t="shared" si="47"/>
        <v/>
      </c>
      <c r="P349" s="611" t="str">
        <f t="shared" si="41"/>
        <v>Page4!J</v>
      </c>
      <c r="Q349" s="611">
        <f t="shared" si="42"/>
        <v>29</v>
      </c>
      <c r="R349" s="1447">
        <f t="shared" ca="1" si="43"/>
        <v>0</v>
      </c>
      <c r="S349" s="1447">
        <f t="shared" ca="1" si="44"/>
        <v>0</v>
      </c>
      <c r="V349" s="2557" t="str">
        <f t="shared" ca="1" si="45"/>
        <v/>
      </c>
      <c r="W349" s="611" t="str">
        <f t="shared" ca="1" si="46"/>
        <v>Page4, Ligne 26 [Page4!J29]  -</v>
      </c>
    </row>
    <row r="350" spans="1:23">
      <c r="A350" s="1117" t="str">
        <f>celladdr(Page4!J30)</f>
        <v>Page4!J30</v>
      </c>
      <c r="B350" s="1456" t="s">
        <v>1086</v>
      </c>
      <c r="D350" s="1450"/>
      <c r="E350" s="1450"/>
      <c r="F350" s="1450"/>
      <c r="G350" s="1444" t="str">
        <f t="shared" si="40"/>
        <v/>
      </c>
      <c r="I350" s="1452"/>
      <c r="J350" s="1452"/>
      <c r="K350" s="1452"/>
      <c r="N350" s="611" t="s">
        <v>1426</v>
      </c>
      <c r="O350" s="611" t="str">
        <f t="shared" si="47"/>
        <v/>
      </c>
      <c r="P350" s="611" t="str">
        <f t="shared" si="41"/>
        <v>Page4!J</v>
      </c>
      <c r="Q350" s="611">
        <f t="shared" si="42"/>
        <v>30</v>
      </c>
      <c r="R350" s="1447">
        <f t="shared" ca="1" si="43"/>
        <v>0</v>
      </c>
      <c r="S350" s="1447">
        <f t="shared" ca="1" si="44"/>
        <v>0</v>
      </c>
      <c r="V350" s="2557" t="str">
        <f t="shared" ca="1" si="45"/>
        <v/>
      </c>
      <c r="W350" s="611" t="str">
        <f t="shared" ca="1" si="46"/>
        <v>Page4, Ligne 27 [Page4!J30]  -</v>
      </c>
    </row>
    <row r="351" spans="1:23">
      <c r="A351" s="1117" t="str">
        <f>celladdr(Page4!J31)</f>
        <v>Page4!J31</v>
      </c>
      <c r="B351" s="1456" t="s">
        <v>1086</v>
      </c>
      <c r="D351" s="1450"/>
      <c r="E351" s="1450"/>
      <c r="F351" s="1450"/>
      <c r="G351" s="1444" t="str">
        <f t="shared" si="40"/>
        <v/>
      </c>
      <c r="I351" s="1452"/>
      <c r="J351" s="1452"/>
      <c r="K351" s="1452"/>
      <c r="N351" s="611" t="s">
        <v>1427</v>
      </c>
      <c r="O351" s="611" t="str">
        <f t="shared" si="47"/>
        <v/>
      </c>
      <c r="P351" s="611" t="str">
        <f t="shared" si="41"/>
        <v>Page4!J</v>
      </c>
      <c r="Q351" s="611">
        <f t="shared" si="42"/>
        <v>31</v>
      </c>
      <c r="R351" s="1447">
        <f t="shared" ca="1" si="43"/>
        <v>0</v>
      </c>
      <c r="S351" s="1447">
        <f t="shared" ca="1" si="44"/>
        <v>0</v>
      </c>
      <c r="V351" s="2557" t="str">
        <f t="shared" ca="1" si="45"/>
        <v/>
      </c>
      <c r="W351" s="611" t="str">
        <f t="shared" ca="1" si="46"/>
        <v>Page4, Ligne 28 [Page4!J31]  -</v>
      </c>
    </row>
    <row r="352" spans="1:23">
      <c r="A352" s="1117" t="str">
        <f>celladdr(Page4!J32)</f>
        <v>Page4!J32</v>
      </c>
      <c r="B352" s="1456" t="s">
        <v>1086</v>
      </c>
      <c r="D352" s="1450"/>
      <c r="E352" s="1450"/>
      <c r="F352" s="1450"/>
      <c r="G352" s="1444" t="str">
        <f t="shared" si="40"/>
        <v/>
      </c>
      <c r="I352" s="1452"/>
      <c r="J352" s="1452"/>
      <c r="K352" s="1452"/>
      <c r="N352" s="611" t="s">
        <v>1428</v>
      </c>
      <c r="O352" s="611" t="str">
        <f t="shared" si="47"/>
        <v/>
      </c>
      <c r="P352" s="611" t="str">
        <f t="shared" si="41"/>
        <v>Page4!J</v>
      </c>
      <c r="Q352" s="611">
        <f t="shared" si="42"/>
        <v>32</v>
      </c>
      <c r="R352" s="1447">
        <f t="shared" ca="1" si="43"/>
        <v>0</v>
      </c>
      <c r="S352" s="1447">
        <f t="shared" ca="1" si="44"/>
        <v>0</v>
      </c>
      <c r="V352" s="2557" t="str">
        <f t="shared" ca="1" si="45"/>
        <v/>
      </c>
      <c r="W352" s="611" t="str">
        <f t="shared" ca="1" si="46"/>
        <v>Page4, Ligne 29 [Page4!J32]  -</v>
      </c>
    </row>
    <row r="353" spans="1:23">
      <c r="A353" s="1117" t="str">
        <f>celladdr(Page4!J33)</f>
        <v>Page4!J33</v>
      </c>
      <c r="B353" s="1456" t="s">
        <v>1086</v>
      </c>
      <c r="D353" s="1450"/>
      <c r="E353" s="1450"/>
      <c r="F353" s="1450"/>
      <c r="G353" s="1444" t="str">
        <f t="shared" si="40"/>
        <v/>
      </c>
      <c r="I353" s="1452"/>
      <c r="J353" s="1452"/>
      <c r="K353" s="1452"/>
      <c r="N353" s="611" t="s">
        <v>1429</v>
      </c>
      <c r="O353" s="611" t="str">
        <f t="shared" si="47"/>
        <v/>
      </c>
      <c r="P353" s="611" t="str">
        <f t="shared" si="41"/>
        <v>Page4!J</v>
      </c>
      <c r="Q353" s="611">
        <f t="shared" si="42"/>
        <v>33</v>
      </c>
      <c r="R353" s="1447">
        <f t="shared" ca="1" si="43"/>
        <v>0</v>
      </c>
      <c r="S353" s="1447">
        <f t="shared" ca="1" si="44"/>
        <v>0</v>
      </c>
      <c r="V353" s="2557" t="str">
        <f t="shared" ca="1" si="45"/>
        <v/>
      </c>
      <c r="W353" s="611" t="str">
        <f t="shared" ca="1" si="46"/>
        <v>Page4, Ligne 30 [Page4!J33]  -</v>
      </c>
    </row>
    <row r="354" spans="1:23">
      <c r="A354" s="1117" t="str">
        <f>celladdr(Page4!J34)</f>
        <v>Page4!J34</v>
      </c>
      <c r="B354" s="1456" t="s">
        <v>1086</v>
      </c>
      <c r="D354" s="1450"/>
      <c r="E354" s="1450"/>
      <c r="F354" s="1450"/>
      <c r="G354" s="1444" t="str">
        <f t="shared" si="40"/>
        <v/>
      </c>
      <c r="I354" s="1452"/>
      <c r="J354" s="1452"/>
      <c r="K354" s="1452"/>
      <c r="N354" s="611" t="s">
        <v>1430</v>
      </c>
      <c r="O354" s="611" t="str">
        <f t="shared" si="47"/>
        <v/>
      </c>
      <c r="P354" s="611" t="str">
        <f t="shared" si="41"/>
        <v>Page4!J</v>
      </c>
      <c r="Q354" s="611">
        <f t="shared" si="42"/>
        <v>34</v>
      </c>
      <c r="R354" s="1447">
        <f t="shared" ca="1" si="43"/>
        <v>0</v>
      </c>
      <c r="S354" s="1447">
        <f t="shared" ca="1" si="44"/>
        <v>0</v>
      </c>
      <c r="V354" s="2557" t="str">
        <f t="shared" ca="1" si="45"/>
        <v/>
      </c>
      <c r="W354" s="611" t="str">
        <f t="shared" ca="1" si="46"/>
        <v>Page4, Ligne 31 [Page4!J34]  -</v>
      </c>
    </row>
    <row r="355" spans="1:23">
      <c r="A355" s="1117" t="str">
        <f>celladdr(Page4!J35)</f>
        <v>Page4!J35</v>
      </c>
      <c r="B355" s="1456" t="s">
        <v>1086</v>
      </c>
      <c r="D355" s="1450"/>
      <c r="E355" s="1450"/>
      <c r="F355" s="1450"/>
      <c r="G355" s="1444" t="str">
        <f t="shared" si="40"/>
        <v/>
      </c>
      <c r="I355" s="1452"/>
      <c r="J355" s="1452"/>
      <c r="K355" s="1452"/>
      <c r="N355" s="611" t="s">
        <v>1431</v>
      </c>
      <c r="O355" s="611" t="str">
        <f t="shared" si="47"/>
        <v/>
      </c>
      <c r="P355" s="611" t="str">
        <f t="shared" si="41"/>
        <v>Page4!J</v>
      </c>
      <c r="Q355" s="611">
        <f t="shared" si="42"/>
        <v>35</v>
      </c>
      <c r="R355" s="1447">
        <f t="shared" ca="1" si="43"/>
        <v>0</v>
      </c>
      <c r="S355" s="1447">
        <f t="shared" ca="1" si="44"/>
        <v>0</v>
      </c>
      <c r="V355" s="2557" t="str">
        <f t="shared" ca="1" si="45"/>
        <v/>
      </c>
      <c r="W355" s="611" t="str">
        <f t="shared" ca="1" si="46"/>
        <v>Page4, Ligne 32 [Page4!J35]  -</v>
      </c>
    </row>
    <row r="356" spans="1:23">
      <c r="A356" s="1117" t="str">
        <f>celladdr(Page4!J38)</f>
        <v>Page4!J38</v>
      </c>
      <c r="B356" s="1456" t="s">
        <v>1086</v>
      </c>
      <c r="D356" s="1450"/>
      <c r="E356" s="1450"/>
      <c r="F356" s="1450"/>
      <c r="G356" s="1444" t="str">
        <f t="shared" si="40"/>
        <v/>
      </c>
      <c r="I356" s="1452"/>
      <c r="J356" s="1452"/>
      <c r="K356" s="1452"/>
      <c r="N356" s="611" t="s">
        <v>1432</v>
      </c>
      <c r="O356" s="611" t="str">
        <f t="shared" si="47"/>
        <v/>
      </c>
      <c r="P356" s="611" t="str">
        <f t="shared" si="41"/>
        <v>Page4!J</v>
      </c>
      <c r="Q356" s="611">
        <f t="shared" si="42"/>
        <v>38</v>
      </c>
      <c r="R356" s="1447">
        <f t="shared" ca="1" si="43"/>
        <v>0</v>
      </c>
      <c r="S356" s="1447">
        <f t="shared" ca="1" si="44"/>
        <v>0</v>
      </c>
      <c r="V356" s="2557" t="str">
        <f t="shared" ca="1" si="45"/>
        <v/>
      </c>
      <c r="W356" s="611" t="str">
        <f t="shared" ca="1" si="46"/>
        <v>Page4, Ligne 35 [Page4!J38]  -</v>
      </c>
    </row>
    <row r="357" spans="1:23">
      <c r="A357" s="1117" t="str">
        <f>celladdr(Page4!J40)</f>
        <v>Page4!J40</v>
      </c>
      <c r="B357" s="1456" t="s">
        <v>1086</v>
      </c>
      <c r="D357" s="1450"/>
      <c r="E357" s="1450"/>
      <c r="F357" s="1450"/>
      <c r="G357" s="1444" t="str">
        <f t="shared" si="40"/>
        <v/>
      </c>
      <c r="I357" s="1452"/>
      <c r="J357" s="1452"/>
      <c r="K357" s="1452"/>
      <c r="N357" s="611" t="s">
        <v>1433</v>
      </c>
      <c r="O357" s="611" t="str">
        <f t="shared" si="47"/>
        <v/>
      </c>
      <c r="P357" s="611" t="str">
        <f t="shared" si="41"/>
        <v>Page4!J</v>
      </c>
      <c r="Q357" s="611">
        <f t="shared" si="42"/>
        <v>40</v>
      </c>
      <c r="R357" s="1447">
        <f t="shared" ca="1" si="43"/>
        <v>0</v>
      </c>
      <c r="S357" s="1447">
        <f t="shared" ca="1" si="44"/>
        <v>0</v>
      </c>
      <c r="V357" s="2557" t="str">
        <f t="shared" ca="1" si="45"/>
        <v/>
      </c>
      <c r="W357" s="611" t="str">
        <f t="shared" ca="1" si="46"/>
        <v>Page4, Ligne 37 [Page4!J40]  -</v>
      </c>
    </row>
    <row r="358" spans="1:23">
      <c r="A358" s="1117" t="str">
        <f>celladdr(Page4!J41)</f>
        <v>Page4!J41</v>
      </c>
      <c r="B358" s="1456" t="s">
        <v>1086</v>
      </c>
      <c r="D358" s="1450"/>
      <c r="E358" s="1450"/>
      <c r="F358" s="1450"/>
      <c r="G358" s="1444" t="str">
        <f t="shared" si="40"/>
        <v/>
      </c>
      <c r="I358" s="1452"/>
      <c r="J358" s="1452"/>
      <c r="K358" s="1452"/>
      <c r="N358" s="611" t="s">
        <v>1434</v>
      </c>
      <c r="O358" s="611" t="str">
        <f t="shared" si="47"/>
        <v/>
      </c>
      <c r="P358" s="611" t="str">
        <f t="shared" si="41"/>
        <v>Page4!J</v>
      </c>
      <c r="Q358" s="611">
        <f t="shared" si="42"/>
        <v>41</v>
      </c>
      <c r="R358" s="1447">
        <f t="shared" ca="1" si="43"/>
        <v>0</v>
      </c>
      <c r="S358" s="1447">
        <f t="shared" ca="1" si="44"/>
        <v>0</v>
      </c>
      <c r="V358" s="2557" t="str">
        <f t="shared" ca="1" si="45"/>
        <v/>
      </c>
      <c r="W358" s="611" t="str">
        <f t="shared" ca="1" si="46"/>
        <v>Page4, Ligne 38 [Page4!J41]  -</v>
      </c>
    </row>
    <row r="359" spans="1:23">
      <c r="A359" s="1117" t="str">
        <f>celladdr(Page4!J42)</f>
        <v>Page4!J42</v>
      </c>
      <c r="B359" s="1456" t="s">
        <v>1086</v>
      </c>
      <c r="D359" s="1450"/>
      <c r="E359" s="1450"/>
      <c r="F359" s="1450"/>
      <c r="G359" s="1444" t="str">
        <f t="shared" si="40"/>
        <v/>
      </c>
      <c r="I359" s="1452"/>
      <c r="J359" s="1452"/>
      <c r="K359" s="1452"/>
      <c r="N359" s="611" t="s">
        <v>1435</v>
      </c>
      <c r="O359" s="611" t="str">
        <f t="shared" si="47"/>
        <v/>
      </c>
      <c r="P359" s="611" t="str">
        <f t="shared" si="41"/>
        <v>Page4!J</v>
      </c>
      <c r="Q359" s="611">
        <f t="shared" si="42"/>
        <v>42</v>
      </c>
      <c r="R359" s="1447">
        <f t="shared" ca="1" si="43"/>
        <v>0</v>
      </c>
      <c r="S359" s="1447">
        <f t="shared" ca="1" si="44"/>
        <v>0</v>
      </c>
      <c r="V359" s="2557" t="str">
        <f t="shared" ca="1" si="45"/>
        <v/>
      </c>
      <c r="W359" s="611" t="str">
        <f t="shared" ca="1" si="46"/>
        <v>Page4, Ligne 39 [Page4!J42]  -</v>
      </c>
    </row>
    <row r="360" spans="1:23">
      <c r="A360" s="1117" t="str">
        <f>celladdr(Page4!J44)</f>
        <v>Page4!J44</v>
      </c>
      <c r="B360" s="1456" t="s">
        <v>1086</v>
      </c>
      <c r="D360" s="1450"/>
      <c r="E360" s="1450"/>
      <c r="F360" s="1450"/>
      <c r="G360" s="1444" t="str">
        <f t="shared" si="40"/>
        <v/>
      </c>
      <c r="I360" s="1452"/>
      <c r="J360" s="1452"/>
      <c r="K360" s="1452"/>
      <c r="N360" s="611" t="s">
        <v>1436</v>
      </c>
      <c r="O360" s="611" t="str">
        <f t="shared" si="47"/>
        <v/>
      </c>
      <c r="P360" s="611" t="str">
        <f t="shared" si="41"/>
        <v>Page4!J</v>
      </c>
      <c r="Q360" s="611">
        <f t="shared" si="42"/>
        <v>44</v>
      </c>
      <c r="R360" s="1447">
        <f t="shared" ca="1" si="43"/>
        <v>0</v>
      </c>
      <c r="S360" s="1447">
        <f t="shared" ca="1" si="44"/>
        <v>0</v>
      </c>
      <c r="V360" s="2557" t="str">
        <f t="shared" ca="1" si="45"/>
        <v/>
      </c>
      <c r="W360" s="611" t="str">
        <f t="shared" ca="1" si="46"/>
        <v>Page4, Ligne 41 [Page4!J44]  -</v>
      </c>
    </row>
    <row r="361" spans="1:23">
      <c r="A361" s="1117" t="str">
        <f>celladdr(Page4!J45)</f>
        <v>Page4!J45</v>
      </c>
      <c r="B361" s="1456" t="s">
        <v>1086</v>
      </c>
      <c r="D361" s="1450"/>
      <c r="E361" s="1450"/>
      <c r="F361" s="1450"/>
      <c r="G361" s="1444" t="str">
        <f t="shared" si="40"/>
        <v/>
      </c>
      <c r="I361" s="1452"/>
      <c r="J361" s="1452"/>
      <c r="K361" s="1452"/>
      <c r="N361" s="611" t="s">
        <v>1437</v>
      </c>
      <c r="O361" s="611" t="str">
        <f t="shared" si="47"/>
        <v/>
      </c>
      <c r="P361" s="611" t="str">
        <f t="shared" si="41"/>
        <v>Page4!J</v>
      </c>
      <c r="Q361" s="611">
        <f t="shared" si="42"/>
        <v>45</v>
      </c>
      <c r="R361" s="1447">
        <f t="shared" ca="1" si="43"/>
        <v>0</v>
      </c>
      <c r="S361" s="1447">
        <f t="shared" ca="1" si="44"/>
        <v>0</v>
      </c>
      <c r="V361" s="2557" t="str">
        <f t="shared" ca="1" si="45"/>
        <v/>
      </c>
      <c r="W361" s="611" t="str">
        <f t="shared" ca="1" si="46"/>
        <v>Page4, Ligne 42 [Page4!J45]  -</v>
      </c>
    </row>
    <row r="362" spans="1:23">
      <c r="A362" s="1117" t="str">
        <f>celladdr(Page4!J46)</f>
        <v>Page4!J46</v>
      </c>
      <c r="B362" s="1456" t="s">
        <v>1086</v>
      </c>
      <c r="D362" s="1450"/>
      <c r="E362" s="1450"/>
      <c r="F362" s="1450"/>
      <c r="G362" s="1444" t="str">
        <f t="shared" si="40"/>
        <v/>
      </c>
      <c r="I362" s="1452"/>
      <c r="J362" s="1452"/>
      <c r="K362" s="1452"/>
      <c r="N362" s="611" t="s">
        <v>1438</v>
      </c>
      <c r="O362" s="611" t="str">
        <f t="shared" si="47"/>
        <v/>
      </c>
      <c r="P362" s="611" t="str">
        <f t="shared" si="41"/>
        <v>Page4!J</v>
      </c>
      <c r="Q362" s="611">
        <f t="shared" si="42"/>
        <v>46</v>
      </c>
      <c r="R362" s="1447">
        <f t="shared" ca="1" si="43"/>
        <v>0</v>
      </c>
      <c r="S362" s="1447">
        <f t="shared" ca="1" si="44"/>
        <v>0</v>
      </c>
      <c r="V362" s="2557" t="str">
        <f t="shared" ca="1" si="45"/>
        <v/>
      </c>
      <c r="W362" s="611" t="str">
        <f t="shared" ca="1" si="46"/>
        <v>Page4, Ligne 43 [Page4!J46]  -</v>
      </c>
    </row>
    <row r="363" spans="1:23">
      <c r="A363" s="1117" t="str">
        <f>celladdr(Page4!J47)</f>
        <v>Page4!J47</v>
      </c>
      <c r="B363" s="1456" t="s">
        <v>1086</v>
      </c>
      <c r="D363" s="1450"/>
      <c r="E363" s="1450"/>
      <c r="F363" s="1450"/>
      <c r="G363" s="1444" t="str">
        <f t="shared" si="40"/>
        <v/>
      </c>
      <c r="I363" s="1452"/>
      <c r="J363" s="1452"/>
      <c r="K363" s="1452"/>
      <c r="N363" s="611" t="s">
        <v>1439</v>
      </c>
      <c r="O363" s="611" t="str">
        <f t="shared" si="47"/>
        <v/>
      </c>
      <c r="P363" s="611" t="str">
        <f t="shared" si="41"/>
        <v>Page4!J</v>
      </c>
      <c r="Q363" s="611">
        <f t="shared" si="42"/>
        <v>47</v>
      </c>
      <c r="R363" s="1447">
        <f t="shared" ca="1" si="43"/>
        <v>0</v>
      </c>
      <c r="S363" s="1447">
        <f t="shared" ca="1" si="44"/>
        <v>0</v>
      </c>
      <c r="V363" s="2557" t="str">
        <f t="shared" ca="1" si="45"/>
        <v/>
      </c>
      <c r="W363" s="611" t="str">
        <f t="shared" ca="1" si="46"/>
        <v>Page4, Ligne 44 [Page4!J47]  -</v>
      </c>
    </row>
    <row r="364" spans="1:23">
      <c r="A364" s="1117" t="str">
        <f>celladdr(Page4!J48)</f>
        <v>Page4!J48</v>
      </c>
      <c r="B364" s="1456" t="s">
        <v>1086</v>
      </c>
      <c r="D364" s="1450"/>
      <c r="E364" s="1450"/>
      <c r="F364" s="1450"/>
      <c r="G364" s="1444" t="str">
        <f t="shared" si="40"/>
        <v/>
      </c>
      <c r="I364" s="1452"/>
      <c r="J364" s="1452"/>
      <c r="K364" s="1452"/>
      <c r="N364" s="611" t="s">
        <v>1440</v>
      </c>
      <c r="O364" s="611" t="str">
        <f t="shared" si="47"/>
        <v/>
      </c>
      <c r="P364" s="611" t="str">
        <f t="shared" si="41"/>
        <v>Page4!J</v>
      </c>
      <c r="Q364" s="611">
        <f t="shared" si="42"/>
        <v>48</v>
      </c>
      <c r="R364" s="1447">
        <f t="shared" ca="1" si="43"/>
        <v>0</v>
      </c>
      <c r="S364" s="1447">
        <f t="shared" ca="1" si="44"/>
        <v>0</v>
      </c>
      <c r="V364" s="2557" t="str">
        <f t="shared" ca="1" si="45"/>
        <v/>
      </c>
      <c r="W364" s="611" t="str">
        <f t="shared" ca="1" si="46"/>
        <v>Page4, Ligne 45 [Page4!J48]  -</v>
      </c>
    </row>
    <row r="365" spans="1:23">
      <c r="A365" s="1117" t="str">
        <f>celladdr(Page4!J49)</f>
        <v>Page4!J49</v>
      </c>
      <c r="B365" s="1456" t="s">
        <v>1086</v>
      </c>
      <c r="D365" s="1450"/>
      <c r="E365" s="1450"/>
      <c r="F365" s="1450"/>
      <c r="G365" s="1444" t="str">
        <f t="shared" si="40"/>
        <v/>
      </c>
      <c r="I365" s="1452"/>
      <c r="J365" s="1452"/>
      <c r="K365" s="1452"/>
      <c r="N365" s="611" t="s">
        <v>1441</v>
      </c>
      <c r="O365" s="611" t="str">
        <f t="shared" si="47"/>
        <v/>
      </c>
      <c r="P365" s="611" t="str">
        <f t="shared" si="41"/>
        <v>Page4!J</v>
      </c>
      <c r="Q365" s="611">
        <f t="shared" si="42"/>
        <v>49</v>
      </c>
      <c r="R365" s="1447">
        <f t="shared" ca="1" si="43"/>
        <v>0</v>
      </c>
      <c r="S365" s="1447">
        <f t="shared" ca="1" si="44"/>
        <v>0</v>
      </c>
      <c r="V365" s="2557" t="str">
        <f t="shared" ca="1" si="45"/>
        <v/>
      </c>
      <c r="W365" s="611" t="str">
        <f t="shared" ca="1" si="46"/>
        <v>Page4, Ligne 46 [Page4!J49]  -</v>
      </c>
    </row>
    <row r="366" spans="1:23">
      <c r="A366" s="1117" t="str">
        <f>celladdr(Page4!J50)</f>
        <v>Page4!J50</v>
      </c>
      <c r="B366" s="1456" t="s">
        <v>1086</v>
      </c>
      <c r="D366" s="1450"/>
      <c r="E366" s="1450"/>
      <c r="F366" s="1450"/>
      <c r="G366" s="1444" t="str">
        <f t="shared" si="40"/>
        <v/>
      </c>
      <c r="I366" s="1452"/>
      <c r="J366" s="1452"/>
      <c r="K366" s="1452"/>
      <c r="N366" s="611" t="s">
        <v>1442</v>
      </c>
      <c r="O366" s="611" t="str">
        <f t="shared" si="47"/>
        <v/>
      </c>
      <c r="P366" s="611" t="str">
        <f t="shared" si="41"/>
        <v>Page4!J</v>
      </c>
      <c r="Q366" s="611">
        <f t="shared" si="42"/>
        <v>50</v>
      </c>
      <c r="R366" s="1447">
        <f t="shared" ca="1" si="43"/>
        <v>0</v>
      </c>
      <c r="S366" s="1447">
        <f t="shared" ca="1" si="44"/>
        <v>0</v>
      </c>
      <c r="V366" s="2557" t="str">
        <f t="shared" ca="1" si="45"/>
        <v/>
      </c>
      <c r="W366" s="611" t="str">
        <f t="shared" ca="1" si="46"/>
        <v>Page4, Ligne 47 [Page4!J50]  -</v>
      </c>
    </row>
    <row r="367" spans="1:23">
      <c r="A367" s="1117" t="str">
        <f>celladdr(Page4!J51)</f>
        <v>Page4!J51</v>
      </c>
      <c r="B367" s="1456" t="s">
        <v>1086</v>
      </c>
      <c r="D367" s="1450"/>
      <c r="E367" s="1450"/>
      <c r="F367" s="1450"/>
      <c r="G367" s="1444" t="str">
        <f t="shared" si="40"/>
        <v/>
      </c>
      <c r="I367" s="1452"/>
      <c r="J367" s="1452"/>
      <c r="K367" s="1452"/>
      <c r="N367" s="611" t="s">
        <v>1443</v>
      </c>
      <c r="O367" s="611" t="str">
        <f t="shared" si="47"/>
        <v/>
      </c>
      <c r="P367" s="611" t="str">
        <f t="shared" si="41"/>
        <v>Page4!J</v>
      </c>
      <c r="Q367" s="611">
        <f t="shared" si="42"/>
        <v>51</v>
      </c>
      <c r="R367" s="1447">
        <f t="shared" ca="1" si="43"/>
        <v>0</v>
      </c>
      <c r="S367" s="1447">
        <f t="shared" ca="1" si="44"/>
        <v>0</v>
      </c>
      <c r="V367" s="2557" t="str">
        <f t="shared" ca="1" si="45"/>
        <v/>
      </c>
      <c r="W367" s="611" t="str">
        <f t="shared" ca="1" si="46"/>
        <v>Page4, Ligne 48 [Page4!J51]  -</v>
      </c>
    </row>
    <row r="368" spans="1:23">
      <c r="A368" s="1117" t="str">
        <f>celladdr(Page4!J52)</f>
        <v>Page4!J52</v>
      </c>
      <c r="B368" s="1444" t="s">
        <v>1086</v>
      </c>
      <c r="D368" s="1450"/>
      <c r="E368" s="1450"/>
      <c r="F368" s="1450"/>
      <c r="G368" s="1444" t="str">
        <f t="shared" si="40"/>
        <v/>
      </c>
      <c r="I368" s="1452"/>
      <c r="J368" s="1452"/>
      <c r="K368" s="1452"/>
      <c r="N368" s="611" t="s">
        <v>1444</v>
      </c>
      <c r="O368" s="611" t="str">
        <f t="shared" si="47"/>
        <v/>
      </c>
      <c r="P368" s="611" t="str">
        <f t="shared" si="41"/>
        <v>Page4!J</v>
      </c>
      <c r="Q368" s="611">
        <f t="shared" si="42"/>
        <v>52</v>
      </c>
      <c r="R368" s="1447">
        <f t="shared" ca="1" si="43"/>
        <v>0</v>
      </c>
      <c r="S368" s="1447">
        <f t="shared" ca="1" si="44"/>
        <v>0</v>
      </c>
      <c r="V368" s="2557" t="str">
        <f t="shared" ca="1" si="45"/>
        <v/>
      </c>
      <c r="W368" s="611" t="str">
        <f t="shared" ca="1" si="46"/>
        <v>Page4, Ligne 49 [Page4!J52]  -</v>
      </c>
    </row>
    <row r="369" spans="1:23">
      <c r="A369" s="1117" t="str">
        <f>celladdr(Page4!J53)</f>
        <v>Page4!J53</v>
      </c>
      <c r="B369" s="1456" t="s">
        <v>1086</v>
      </c>
      <c r="D369" s="1450"/>
      <c r="E369" s="1450"/>
      <c r="F369" s="1450"/>
      <c r="G369" s="1444" t="str">
        <f t="shared" si="40"/>
        <v/>
      </c>
      <c r="I369" s="1452"/>
      <c r="J369" s="1452"/>
      <c r="K369" s="1452"/>
      <c r="N369" s="611" t="s">
        <v>1445</v>
      </c>
      <c r="O369" s="611" t="str">
        <f t="shared" si="47"/>
        <v/>
      </c>
      <c r="P369" s="611" t="str">
        <f t="shared" si="41"/>
        <v>Page4!J</v>
      </c>
      <c r="Q369" s="611">
        <f t="shared" si="42"/>
        <v>53</v>
      </c>
      <c r="R369" s="1447">
        <f t="shared" ca="1" si="43"/>
        <v>0</v>
      </c>
      <c r="S369" s="1447">
        <f t="shared" ca="1" si="44"/>
        <v>0</v>
      </c>
      <c r="V369" s="2557" t="str">
        <f t="shared" ca="1" si="45"/>
        <v/>
      </c>
      <c r="W369" s="611" t="str">
        <f t="shared" ca="1" si="46"/>
        <v>Page4, Ligne 50 [Page4!J53]  -</v>
      </c>
    </row>
    <row r="370" spans="1:23">
      <c r="A370" s="1117" t="str">
        <f>celladdr(Page4!J54)</f>
        <v>Page4!J54</v>
      </c>
      <c r="B370" s="1456" t="s">
        <v>1086</v>
      </c>
      <c r="D370" s="1450"/>
      <c r="E370" s="1450"/>
      <c r="F370" s="1450"/>
      <c r="G370" s="1444" t="str">
        <f t="shared" si="40"/>
        <v/>
      </c>
      <c r="I370" s="1452"/>
      <c r="J370" s="1452"/>
      <c r="K370" s="1452"/>
      <c r="N370" s="611" t="s">
        <v>1446</v>
      </c>
      <c r="O370" s="611" t="str">
        <f t="shared" si="47"/>
        <v/>
      </c>
      <c r="P370" s="611" t="str">
        <f t="shared" si="41"/>
        <v>Page4!J</v>
      </c>
      <c r="Q370" s="611">
        <f t="shared" si="42"/>
        <v>54</v>
      </c>
      <c r="R370" s="1447">
        <f t="shared" ca="1" si="43"/>
        <v>0</v>
      </c>
      <c r="S370" s="1447">
        <f t="shared" ca="1" si="44"/>
        <v>0</v>
      </c>
      <c r="V370" s="2557" t="str">
        <f t="shared" ca="1" si="45"/>
        <v/>
      </c>
      <c r="W370" s="611" t="str">
        <f t="shared" ca="1" si="46"/>
        <v>Page4, Ligne 51 [Page4!J54]  -</v>
      </c>
    </row>
    <row r="371" spans="1:23">
      <c r="A371" s="1117" t="str">
        <f>celladdr(Page4!J55)</f>
        <v>Page4!J55</v>
      </c>
      <c r="B371" s="1456" t="s">
        <v>1086</v>
      </c>
      <c r="D371" s="1450"/>
      <c r="E371" s="1450"/>
      <c r="F371" s="1450"/>
      <c r="G371" s="1444" t="str">
        <f t="shared" si="40"/>
        <v/>
      </c>
      <c r="I371" s="1452"/>
      <c r="J371" s="1452"/>
      <c r="K371" s="1452"/>
      <c r="N371" s="611" t="s">
        <v>1447</v>
      </c>
      <c r="O371" s="611" t="str">
        <f t="shared" si="47"/>
        <v/>
      </c>
      <c r="P371" s="611" t="str">
        <f t="shared" si="41"/>
        <v>Page4!J</v>
      </c>
      <c r="Q371" s="611">
        <f t="shared" si="42"/>
        <v>55</v>
      </c>
      <c r="R371" s="1447">
        <f t="shared" ca="1" si="43"/>
        <v>0</v>
      </c>
      <c r="S371" s="1447">
        <f t="shared" ca="1" si="44"/>
        <v>0</v>
      </c>
      <c r="V371" s="2557" t="str">
        <f t="shared" ca="1" si="45"/>
        <v/>
      </c>
      <c r="W371" s="611" t="str">
        <f t="shared" ca="1" si="46"/>
        <v>Page4, Ligne 52 [Page4!J55]  -</v>
      </c>
    </row>
    <row r="372" spans="1:23">
      <c r="A372" s="1117" t="str">
        <f>celladdr(Page4!J56)</f>
        <v>Page4!J56</v>
      </c>
      <c r="B372" s="1456" t="s">
        <v>1086</v>
      </c>
      <c r="D372" s="1450"/>
      <c r="E372" s="1450"/>
      <c r="F372" s="1450"/>
      <c r="G372" s="1444" t="str">
        <f t="shared" si="40"/>
        <v/>
      </c>
      <c r="I372" s="1452"/>
      <c r="J372" s="1452"/>
      <c r="K372" s="1452"/>
      <c r="N372" s="611" t="s">
        <v>1448</v>
      </c>
      <c r="O372" s="611" t="str">
        <f t="shared" si="47"/>
        <v/>
      </c>
      <c r="P372" s="611" t="str">
        <f t="shared" si="41"/>
        <v>Page4!J</v>
      </c>
      <c r="Q372" s="611">
        <f t="shared" si="42"/>
        <v>56</v>
      </c>
      <c r="R372" s="1447">
        <f t="shared" ca="1" si="43"/>
        <v>0</v>
      </c>
      <c r="S372" s="1447">
        <f t="shared" ca="1" si="44"/>
        <v>0</v>
      </c>
      <c r="V372" s="2557" t="str">
        <f t="shared" ca="1" si="45"/>
        <v/>
      </c>
      <c r="W372" s="611" t="str">
        <f t="shared" ca="1" si="46"/>
        <v>Page4, Ligne 53 [Page4!J56]  -</v>
      </c>
    </row>
    <row r="373" spans="1:23">
      <c r="A373" s="1117" t="str">
        <f>celladdr(Page4!J57)</f>
        <v>Page4!J57</v>
      </c>
      <c r="B373" s="1456" t="s">
        <v>1086</v>
      </c>
      <c r="D373" s="1450"/>
      <c r="E373" s="1450"/>
      <c r="F373" s="1450"/>
      <c r="G373" s="1444" t="str">
        <f t="shared" si="40"/>
        <v/>
      </c>
      <c r="I373" s="1452"/>
      <c r="J373" s="1452"/>
      <c r="K373" s="1452"/>
      <c r="N373" s="611" t="s">
        <v>1449</v>
      </c>
      <c r="O373" s="611" t="str">
        <f t="shared" si="47"/>
        <v/>
      </c>
      <c r="P373" s="611" t="str">
        <f t="shared" si="41"/>
        <v>Page4!J</v>
      </c>
      <c r="Q373" s="611">
        <f t="shared" si="42"/>
        <v>57</v>
      </c>
      <c r="R373" s="1447">
        <f t="shared" ca="1" si="43"/>
        <v>0</v>
      </c>
      <c r="S373" s="1447">
        <f t="shared" ca="1" si="44"/>
        <v>0</v>
      </c>
      <c r="V373" s="2557" t="str">
        <f t="shared" ca="1" si="45"/>
        <v/>
      </c>
      <c r="W373" s="611" t="str">
        <f t="shared" ca="1" si="46"/>
        <v>Page4, Ligne 54 [Page4!J57]  -</v>
      </c>
    </row>
    <row r="374" spans="1:23">
      <c r="A374" s="1117" t="str">
        <f>celladdr(Page4!J62)</f>
        <v>Page4!J62</v>
      </c>
      <c r="B374" s="1464" t="s">
        <v>1086</v>
      </c>
      <c r="C374" s="1445" t="b">
        <f>(Page4!$N$62+Page4!$F$62+Page4!$J$62)&lt;&gt;0</f>
        <v>0</v>
      </c>
      <c r="D374" s="1450"/>
      <c r="E374" s="1450" t="b">
        <f>OR(Page4!$J$62-((Page6!$N$60)*0.5)&gt;100,Page4!$J$62-((Page6!$N$60)*0.5)&lt;-100)</f>
        <v>0</v>
      </c>
      <c r="F374" s="1454"/>
      <c r="G374" s="1444" t="str">
        <f t="shared" si="40"/>
        <v/>
      </c>
      <c r="H374" s="1446" t="str">
        <f>IF(C374=TRUE,Comments!$B$63&amp;DOLLAR(Page4!$N$62+(Page4!$F$62+Page4!$J$62),0),"")</f>
        <v/>
      </c>
      <c r="I374" s="1446"/>
      <c r="J374" s="1446" t="str">
        <f>IF(E374=TRUE,Comments!$B$65&amp;DOLLAR(Page4!$J$62-ROUND((Page6!$N$60)*0.5,0),0),"")</f>
        <v/>
      </c>
      <c r="K374" s="1446"/>
      <c r="N374" s="611" t="s">
        <v>1409</v>
      </c>
      <c r="O374" s="611" t="str">
        <f t="shared" si="47"/>
        <v/>
      </c>
      <c r="P374" s="611" t="str">
        <f t="shared" si="41"/>
        <v>Page4!J</v>
      </c>
      <c r="Q374" s="611">
        <f t="shared" si="42"/>
        <v>62</v>
      </c>
      <c r="R374" s="1447">
        <f t="shared" ca="1" si="43"/>
        <v>0</v>
      </c>
      <c r="S374" s="1447">
        <f t="shared" ca="1" si="44"/>
        <v>0</v>
      </c>
      <c r="T374" s="611">
        <v>65</v>
      </c>
      <c r="V374" s="2557" t="str">
        <f t="shared" ca="1" si="45"/>
        <v/>
      </c>
      <c r="W374" s="611" t="str">
        <f t="shared" ca="1" si="46"/>
        <v>Page4, Ligne 59 [Page4!J62]  -</v>
      </c>
    </row>
    <row r="375" spans="1:23">
      <c r="A375" s="1443" t="str">
        <f>celladdr(Page4!J63)</f>
        <v>Page4!J63</v>
      </c>
      <c r="B375" s="1464" t="s">
        <v>1086</v>
      </c>
      <c r="C375" s="1445" t="b">
        <f>OR(Page3!$F$63+Page3!$J$63+Page3!$N$63+Page4!$F$63+Page4!$J$63+Page4!$N$63+Page4!$R$63&gt;100,Page3!$F$63+Page3!$J$63+Page3!$N$63+Page4!$F$63+Page4!$J$63+Page4!$N$63+Page4!$R$63&lt;-100)</f>
        <v>0</v>
      </c>
      <c r="D375" s="1445" t="b">
        <f>ABS(Page4!J$63)&gt;ABS(Page4!$R$63)</f>
        <v>0</v>
      </c>
      <c r="F375" s="1454"/>
      <c r="G375" s="1444" t="str">
        <f t="shared" si="40"/>
        <v/>
      </c>
      <c r="H375" s="1446" t="str">
        <f>IF(C375=TRUE,Comments!$B$15&amp;DOLLAR(Page4!$R$60+Page4!$F$63+Page4!$J$63+Page4!$N$63+Page3!$F$63+Page3!$J$63+Page3!$N$63,0),"")</f>
        <v/>
      </c>
      <c r="I375" s="1447" t="str">
        <f>IF(D375=TRUE,Comments!$B$71,"")</f>
        <v/>
      </c>
      <c r="J375" s="1452"/>
      <c r="K375" s="1452"/>
      <c r="N375" s="611" t="s">
        <v>1450</v>
      </c>
      <c r="O375" s="611" t="str">
        <f t="shared" si="47"/>
        <v/>
      </c>
      <c r="P375" s="611" t="str">
        <f t="shared" si="41"/>
        <v>Page4!J</v>
      </c>
      <c r="Q375" s="611">
        <f t="shared" si="42"/>
        <v>63</v>
      </c>
      <c r="R375" s="1447">
        <f t="shared" ca="1" si="43"/>
        <v>0</v>
      </c>
      <c r="S375" s="1447">
        <f t="shared" ca="1" si="44"/>
        <v>0</v>
      </c>
      <c r="V375" s="2557" t="str">
        <f t="shared" ca="1" si="45"/>
        <v/>
      </c>
      <c r="W375" s="611" t="str">
        <f t="shared" ca="1" si="46"/>
        <v>Page4, Ligne 60 [Page4!J63]  -</v>
      </c>
    </row>
    <row r="376" spans="1:23">
      <c r="A376" s="1117" t="str">
        <f>celladdr(Page4!J64)</f>
        <v>Page4!J64</v>
      </c>
      <c r="B376" s="1444" t="s">
        <v>1086</v>
      </c>
      <c r="C376" s="1445" t="b">
        <f>Page4!$J$64&lt;&gt;Page4!$J$61+Page4!$J$62+Page4!$J$63</f>
        <v>0</v>
      </c>
      <c r="D376" s="1450"/>
      <c r="E376" s="1450"/>
      <c r="F376" s="1450"/>
      <c r="G376" s="1444" t="str">
        <f t="shared" si="40"/>
        <v/>
      </c>
      <c r="H376" s="1446" t="str">
        <f>IF(C376=TRUE,Comments!$B$14&amp;DOLLAR(Page4!$J$64-(Page4!$J$61+Page4!$J$62+Page4!$J$63),0),"")</f>
        <v/>
      </c>
      <c r="I376" s="1452"/>
      <c r="J376" s="1452"/>
      <c r="K376" s="1452"/>
      <c r="N376" s="611" t="s">
        <v>1451</v>
      </c>
      <c r="O376" s="611" t="str">
        <f t="shared" si="47"/>
        <v/>
      </c>
      <c r="P376" s="611" t="str">
        <f t="shared" si="41"/>
        <v>Page4!J</v>
      </c>
      <c r="Q376" s="611">
        <f t="shared" si="42"/>
        <v>64</v>
      </c>
      <c r="R376" s="1447">
        <f t="shared" ca="1" si="43"/>
        <v>0</v>
      </c>
      <c r="S376" s="1447">
        <f t="shared" ca="1" si="44"/>
        <v>0</v>
      </c>
      <c r="V376" s="2557" t="str">
        <f t="shared" ca="1" si="45"/>
        <v/>
      </c>
      <c r="W376" s="611" t="str">
        <f t="shared" ca="1" si="46"/>
        <v>Page4, Ligne 61 [Page4!J64]  -</v>
      </c>
    </row>
    <row r="377" spans="1:23">
      <c r="A377" s="1117" t="str">
        <f>celladdr(Page4!L11)</f>
        <v>Page4!L11</v>
      </c>
      <c r="B377" s="1449" t="s">
        <v>1086</v>
      </c>
      <c r="C377" s="1445" t="b">
        <f>OR(AND(Page4!$L$11=0,Page7!$M$47&gt;0),AND(Page4!$L$11&gt;0,Page7!$M$47=0))</f>
        <v>0</v>
      </c>
      <c r="D377" s="1450"/>
      <c r="E377" s="1450"/>
      <c r="F377" s="1450"/>
      <c r="G377" s="1444" t="str">
        <f t="shared" si="40"/>
        <v/>
      </c>
      <c r="H377" s="1446" t="str">
        <f>IF(C377=TRUE,Comments!$B$13,"")</f>
        <v/>
      </c>
      <c r="I377" s="1446"/>
      <c r="J377" s="1452"/>
      <c r="K377" s="1452"/>
      <c r="N377" s="611" t="s">
        <v>1452</v>
      </c>
      <c r="O377" s="611" t="str">
        <f t="shared" si="47"/>
        <v/>
      </c>
      <c r="P377" s="611" t="str">
        <f t="shared" si="41"/>
        <v>Page4!L</v>
      </c>
      <c r="Q377" s="611">
        <f t="shared" si="42"/>
        <v>11</v>
      </c>
      <c r="R377" s="1447">
        <f t="shared" ca="1" si="43"/>
        <v>0</v>
      </c>
      <c r="S377" s="1447">
        <f t="shared" ca="1" si="44"/>
        <v>0</v>
      </c>
      <c r="V377" s="2557" t="str">
        <f t="shared" ca="1" si="45"/>
        <v/>
      </c>
      <c r="W377" s="611" t="str">
        <f t="shared" ca="1" si="46"/>
        <v>Page4, Ligne 8 [Page4!L11]  -</v>
      </c>
    </row>
    <row r="378" spans="1:23">
      <c r="A378" s="1117" t="str">
        <f>celladdr(Page4!L12)</f>
        <v>Page4!L12</v>
      </c>
      <c r="B378" s="1449" t="s">
        <v>1086</v>
      </c>
      <c r="C378" s="1445" t="b">
        <f>OR(AND(Page4!$L$12=0,Page7!$M$48&gt;0),AND(Page4!$L$12&gt;0,Page7!$M$48=0))</f>
        <v>0</v>
      </c>
      <c r="D378" s="1450"/>
      <c r="E378" s="1450"/>
      <c r="F378" s="1450"/>
      <c r="G378" s="1444" t="str">
        <f t="shared" si="40"/>
        <v/>
      </c>
      <c r="H378" s="1446" t="str">
        <f>IF(C378=TRUE,Comments!$B$13,"")</f>
        <v/>
      </c>
      <c r="I378" s="1446"/>
      <c r="J378" s="1452"/>
      <c r="K378" s="1452"/>
      <c r="N378" s="611" t="s">
        <v>1453</v>
      </c>
      <c r="O378" s="611" t="str">
        <f t="shared" si="47"/>
        <v/>
      </c>
      <c r="P378" s="611" t="str">
        <f t="shared" si="41"/>
        <v>Page4!L</v>
      </c>
      <c r="Q378" s="611">
        <f t="shared" si="42"/>
        <v>12</v>
      </c>
      <c r="R378" s="1447">
        <f t="shared" ca="1" si="43"/>
        <v>0</v>
      </c>
      <c r="S378" s="1447">
        <f t="shared" ca="1" si="44"/>
        <v>0</v>
      </c>
      <c r="V378" s="2557" t="str">
        <f t="shared" ca="1" si="45"/>
        <v/>
      </c>
      <c r="W378" s="611" t="str">
        <f t="shared" ca="1" si="46"/>
        <v>Page4, Ligne 9 [Page4!L12]  -</v>
      </c>
    </row>
    <row r="379" spans="1:23">
      <c r="A379" s="1117" t="str">
        <f>celladdr(Page4!L13)</f>
        <v>Page4!L13</v>
      </c>
      <c r="B379" s="1449" t="s">
        <v>1086</v>
      </c>
      <c r="C379" s="1445" t="b">
        <f>OR(AND(Page4!$L$13=0,Page7!$M$52&gt;0),AND(Page4!$L$13&gt;0,Page7!$M$52=0))</f>
        <v>0</v>
      </c>
      <c r="D379" s="1450"/>
      <c r="E379" s="1450"/>
      <c r="F379" s="1450"/>
      <c r="G379" s="1444" t="str">
        <f t="shared" si="40"/>
        <v/>
      </c>
      <c r="H379" s="1446" t="str">
        <f>IF(C379=TRUE,Comments!$B$13,"")</f>
        <v/>
      </c>
      <c r="I379" s="1446"/>
      <c r="J379" s="1452"/>
      <c r="K379" s="1452"/>
      <c r="N379" s="611" t="s">
        <v>1454</v>
      </c>
      <c r="O379" s="611" t="str">
        <f t="shared" si="47"/>
        <v/>
      </c>
      <c r="P379" s="611" t="str">
        <f t="shared" si="41"/>
        <v>Page4!L</v>
      </c>
      <c r="Q379" s="611">
        <f t="shared" si="42"/>
        <v>13</v>
      </c>
      <c r="R379" s="1447">
        <f t="shared" ca="1" si="43"/>
        <v>0</v>
      </c>
      <c r="S379" s="1447">
        <f t="shared" ca="1" si="44"/>
        <v>0</v>
      </c>
      <c r="V379" s="2557" t="str">
        <f t="shared" ca="1" si="45"/>
        <v/>
      </c>
      <c r="W379" s="611" t="str">
        <f t="shared" ca="1" si="46"/>
        <v>Page4, Ligne 10 [Page4!L13]  -</v>
      </c>
    </row>
    <row r="380" spans="1:23">
      <c r="A380" s="1117" t="str">
        <f>celladdr(Page4!L14)</f>
        <v>Page4!L14</v>
      </c>
      <c r="B380" s="1449" t="s">
        <v>1086</v>
      </c>
      <c r="C380" s="1445" t="b">
        <f>OR(AND(Page4!$L$14=0,(Page7!$M$49+Page7!$M$53)&gt;0),AND(Page4!$L$14&gt;0,(Page7!$M$49+Page7!$M$53)=0))</f>
        <v>0</v>
      </c>
      <c r="D380" s="1450"/>
      <c r="E380" s="1450"/>
      <c r="F380" s="1450"/>
      <c r="G380" s="1444" t="str">
        <f t="shared" si="40"/>
        <v/>
      </c>
      <c r="H380" s="1446" t="str">
        <f>IF(C380=TRUE,Comments!$B$13,"")</f>
        <v/>
      </c>
      <c r="I380" s="1446"/>
      <c r="J380" s="1452"/>
      <c r="K380" s="1452"/>
      <c r="N380" s="611" t="s">
        <v>1455</v>
      </c>
      <c r="O380" s="611" t="str">
        <f t="shared" si="47"/>
        <v/>
      </c>
      <c r="P380" s="611" t="str">
        <f t="shared" si="41"/>
        <v>Page4!L</v>
      </c>
      <c r="Q380" s="611">
        <f t="shared" si="42"/>
        <v>14</v>
      </c>
      <c r="R380" s="1447">
        <f t="shared" ca="1" si="43"/>
        <v>0</v>
      </c>
      <c r="S380" s="1447">
        <f t="shared" ca="1" si="44"/>
        <v>0</v>
      </c>
      <c r="V380" s="2557" t="str">
        <f t="shared" ca="1" si="45"/>
        <v/>
      </c>
      <c r="W380" s="611" t="str">
        <f t="shared" ca="1" si="46"/>
        <v>Page4, Ligne 11 [Page4!L14]  -</v>
      </c>
    </row>
    <row r="381" spans="1:23">
      <c r="A381" s="1117" t="str">
        <f>celladdr(Page4!L62)</f>
        <v>Page4!L62</v>
      </c>
      <c r="B381" s="1449" t="s">
        <v>1086</v>
      </c>
      <c r="C381" s="1445" t="b">
        <f>(Page4!$L$62+Page4!$D$62+Page4!$H$62)&lt;&gt;0</f>
        <v>0</v>
      </c>
      <c r="D381" s="1450"/>
      <c r="E381" s="1450"/>
      <c r="F381" s="1454"/>
      <c r="G381" s="1444" t="str">
        <f t="shared" si="40"/>
        <v/>
      </c>
      <c r="H381" s="1446" t="str">
        <f>IF(C381=TRUE,Comments!$B$63&amp;DOLLAR(Page4!$L$62+(Page4!$D$62+Page4!$H$62),0),"")</f>
        <v/>
      </c>
      <c r="I381" s="1446"/>
      <c r="J381" s="1446"/>
      <c r="K381" s="1446"/>
      <c r="N381" s="611" t="s">
        <v>1456</v>
      </c>
      <c r="O381" s="611" t="str">
        <f t="shared" si="47"/>
        <v/>
      </c>
      <c r="P381" s="611" t="str">
        <f t="shared" si="41"/>
        <v>Page4!L</v>
      </c>
      <c r="Q381" s="611">
        <f t="shared" si="42"/>
        <v>62</v>
      </c>
      <c r="R381" s="1447">
        <f t="shared" ca="1" si="43"/>
        <v>0</v>
      </c>
      <c r="S381" s="1447">
        <f t="shared" ca="1" si="44"/>
        <v>0</v>
      </c>
      <c r="V381" s="2557" t="str">
        <f t="shared" ca="1" si="45"/>
        <v/>
      </c>
      <c r="W381" s="611" t="str">
        <f t="shared" ca="1" si="46"/>
        <v>Page4, Ligne 59 [Page4!L62]  -</v>
      </c>
    </row>
    <row r="382" spans="1:23">
      <c r="A382" s="1443" t="str">
        <f>celladdr(Page4!L63)</f>
        <v>Page4!L63</v>
      </c>
      <c r="B382" s="1460" t="s">
        <v>1086</v>
      </c>
      <c r="C382" s="1445" t="b">
        <f>OR(Page3!$D$63+Page3!$H$63+Page3!$L$63+Page4!$D$63+Page4!$H$63+Page4!$L$63+Page4!$P$63&gt;100,Page3!$D$63+Page3!$H$63+Page3!$L$63+Page4!$D$63+Page4!$H$63+Page4!$L$63+Page4!$P$63&lt;-100)</f>
        <v>0</v>
      </c>
      <c r="D382" s="1445" t="b">
        <f>ABS(Page4!L$63)&gt;ABS(Page4!$P$63)</f>
        <v>0</v>
      </c>
      <c r="G382" s="1444" t="str">
        <f t="shared" si="40"/>
        <v/>
      </c>
      <c r="H382" s="1446" t="str">
        <f>IF(C382=TRUE,Comments!$B$15&amp;DOLLAR(Page4!$P$60+Page4!$D$63+Page4!$H$63+Page4!$L$63+Page3!$D$63+Page3!$H$63+Page3!$L$63,0),"")</f>
        <v/>
      </c>
      <c r="I382" s="1447" t="str">
        <f>IF(D382=TRUE,Comments!$B$71,"")</f>
        <v/>
      </c>
      <c r="K382" s="1452"/>
      <c r="N382" s="611" t="s">
        <v>1457</v>
      </c>
      <c r="O382" s="611" t="str">
        <f t="shared" si="47"/>
        <v/>
      </c>
      <c r="P382" s="611" t="str">
        <f t="shared" si="41"/>
        <v>Page4!L</v>
      </c>
      <c r="Q382" s="611">
        <f t="shared" si="42"/>
        <v>63</v>
      </c>
      <c r="R382" s="1447">
        <f t="shared" ca="1" si="43"/>
        <v>0</v>
      </c>
      <c r="S382" s="1447">
        <f t="shared" ca="1" si="44"/>
        <v>0</v>
      </c>
      <c r="V382" s="2557" t="str">
        <f t="shared" ca="1" si="45"/>
        <v/>
      </c>
      <c r="W382" s="611" t="str">
        <f t="shared" ca="1" si="46"/>
        <v>Page4, Ligne 60 [Page4!L63]  -</v>
      </c>
    </row>
    <row r="383" spans="1:23">
      <c r="A383" s="1117" t="str">
        <f>celladdr(Page4!L64)</f>
        <v>Page4!L64</v>
      </c>
      <c r="B383" s="1444" t="s">
        <v>1086</v>
      </c>
      <c r="C383" s="1445" t="b">
        <f>Page4!$L$64&lt;&gt;Page4!$L$61+Page4!$L$62+Page4!$L$63</f>
        <v>0</v>
      </c>
      <c r="D383" s="1454"/>
      <c r="E383" s="1454"/>
      <c r="F383" s="1454"/>
      <c r="G383" s="1444" t="str">
        <f t="shared" si="40"/>
        <v/>
      </c>
      <c r="H383" s="1446" t="str">
        <f>IF(C383=TRUE,Comments!$B$14&amp;DOLLAR(Page4!$L$64-(Page4!$L$61+Page4!$L$62+Page4!$L$63),0),"")</f>
        <v/>
      </c>
      <c r="I383" s="1452"/>
      <c r="J383" s="1452"/>
      <c r="K383" s="1452"/>
      <c r="N383" s="611" t="s">
        <v>1458</v>
      </c>
      <c r="O383" s="611" t="str">
        <f t="shared" si="47"/>
        <v/>
      </c>
      <c r="P383" s="611" t="str">
        <f t="shared" si="41"/>
        <v>Page4!L</v>
      </c>
      <c r="Q383" s="611">
        <f t="shared" si="42"/>
        <v>64</v>
      </c>
      <c r="R383" s="1447">
        <f t="shared" ca="1" si="43"/>
        <v>0</v>
      </c>
      <c r="S383" s="1447">
        <f t="shared" ca="1" si="44"/>
        <v>0</v>
      </c>
      <c r="V383" s="2557" t="str">
        <f t="shared" ca="1" si="45"/>
        <v/>
      </c>
      <c r="W383" s="611" t="str">
        <f t="shared" ca="1" si="46"/>
        <v>Page4, Ligne 61 [Page4!L64]  -</v>
      </c>
    </row>
    <row r="384" spans="1:23">
      <c r="A384" s="1117" t="str">
        <f>celladdr(Page4!L66)</f>
        <v>Page4!L66</v>
      </c>
      <c r="B384" s="1460" t="s">
        <v>1086</v>
      </c>
      <c r="C384" s="1450" t="b">
        <f>OR(AND(Page4!$L$66=0,(Page6!$G$36+Page6!$G$38)&lt;&gt;0),ISNUMBER(Page4!L66)=FALSE)</f>
        <v>0</v>
      </c>
      <c r="D384" s="1450" t="b">
        <f>Page4!L66&gt;INDEX(Max_Table,L384)</f>
        <v>0</v>
      </c>
      <c r="E384" s="1450" t="b">
        <f>Page4!L66&gt;INDEX(Max_Table,M384)</f>
        <v>0</v>
      </c>
      <c r="F384" s="1450"/>
      <c r="G384" s="1444" t="str">
        <f t="shared" si="40"/>
        <v/>
      </c>
      <c r="H384" s="1452" t="str">
        <f>IF(ISNUMBER(Page4!L66)=FALSE,Comments!$B$86,IF(C384=TRUE,Comments!$B$82,""))</f>
        <v/>
      </c>
      <c r="I384" s="1452" t="str">
        <f>IF(D384=TRUE,Comments!$B$87&amp;Comments!$B$19&amp;IFERROR(DOLLAR(Page4!$L66,2),"")&amp;Comments!$B$18&amp;DOLLAR(INDEX(Max_Table,$L384),2),"")</f>
        <v/>
      </c>
      <c r="J384" s="1452" t="str">
        <f>IF(E384=TRUE,Comments!$B$73&amp;Comments!$B$19&amp;IFERROR(DOLLAR(Page4!$L66,2),"")&amp;Comments!$B$18&amp;DOLLAR(INDEX(Max_Table,$M384),2),"")</f>
        <v/>
      </c>
      <c r="K384" s="1452"/>
      <c r="L384" s="611">
        <f>ROW(OR_VEH!$A687)</f>
        <v>687</v>
      </c>
      <c r="M384" s="611">
        <f>ROW(OR_VEH!$A686)</f>
        <v>686</v>
      </c>
      <c r="N384" s="611" t="s">
        <v>1459</v>
      </c>
      <c r="O384" s="611" t="str">
        <f t="shared" si="47"/>
        <v/>
      </c>
      <c r="P384" s="611" t="str">
        <f t="shared" si="41"/>
        <v>Page4!L</v>
      </c>
      <c r="Q384" s="611">
        <f t="shared" si="42"/>
        <v>66</v>
      </c>
      <c r="R384" s="1447">
        <f t="shared" ca="1" si="43"/>
        <v>0</v>
      </c>
      <c r="S384" s="1447">
        <f t="shared" ca="1" si="44"/>
        <v>0</v>
      </c>
      <c r="T384" s="611">
        <v>73</v>
      </c>
      <c r="V384" s="2557" t="str">
        <f t="shared" ca="1" si="45"/>
        <v/>
      </c>
      <c r="W384" s="611" t="str">
        <f t="shared" ca="1" si="46"/>
        <v>Page4, Ligne 63 [Page4!L66]  -</v>
      </c>
    </row>
    <row r="385" spans="1:23">
      <c r="A385" s="1117" t="str">
        <f>celladdr(Page4!L67)</f>
        <v>Page4!L67</v>
      </c>
      <c r="B385" s="1460" t="s">
        <v>1086</v>
      </c>
      <c r="C385" s="1450" t="b">
        <f>OR(AND(Page4!$L$67=0,Page6!$G$37&lt;&gt;0),ISNUMBER(Page4!L67)=FALSE)</f>
        <v>0</v>
      </c>
      <c r="D385" s="1450" t="b">
        <f>Page4!L67&gt;INDEX(Max_Table,L385)</f>
        <v>0</v>
      </c>
      <c r="E385" s="1450" t="b">
        <f>Page4!L67&gt;INDEX(Max_Table,M385)</f>
        <v>0</v>
      </c>
      <c r="F385" s="1450"/>
      <c r="G385" s="1444" t="str">
        <f t="shared" si="40"/>
        <v/>
      </c>
      <c r="H385" s="1452" t="str">
        <f>IF(ISNUMBER(Page4!L67)=FALSE,Comments!$B$86,IF(C385=TRUE,Comments!$B$82,""))</f>
        <v/>
      </c>
      <c r="I385" s="1452" t="str">
        <f>IF(D385=TRUE,Comments!$B$87&amp;Comments!$B$19&amp;IFERROR(DOLLAR(Page4!$L67,2),"")&amp;Comments!$B$18&amp;DOLLAR(INDEX(Max_Table,$L385),2),"")</f>
        <v/>
      </c>
      <c r="J385" s="1452" t="str">
        <f>IF(E385=TRUE,Comments!$B$73&amp;Comments!$B$19&amp;IFERROR(DOLLAR(Page4!$L67,2),"")&amp;Comments!$B$18&amp;DOLLAR(INDEX(Max_Table,$M385),2),"")</f>
        <v/>
      </c>
      <c r="K385" s="1452"/>
      <c r="L385" s="611">
        <f>ROW(OR_VEH!$A689)</f>
        <v>689</v>
      </c>
      <c r="M385" s="611">
        <f>ROW(OR_VEH!$A688)</f>
        <v>688</v>
      </c>
      <c r="N385" s="611" t="s">
        <v>1460</v>
      </c>
      <c r="O385" s="611" t="str">
        <f t="shared" si="47"/>
        <v/>
      </c>
      <c r="P385" s="611" t="str">
        <f t="shared" si="41"/>
        <v>Page4!L</v>
      </c>
      <c r="Q385" s="611">
        <f t="shared" si="42"/>
        <v>67</v>
      </c>
      <c r="R385" s="1447">
        <f t="shared" ca="1" si="43"/>
        <v>0</v>
      </c>
      <c r="S385" s="1447">
        <f t="shared" ca="1" si="44"/>
        <v>0</v>
      </c>
      <c r="T385" s="611">
        <v>73</v>
      </c>
      <c r="V385" s="2557" t="str">
        <f t="shared" ca="1" si="45"/>
        <v/>
      </c>
      <c r="W385" s="611" t="str">
        <f t="shared" ca="1" si="46"/>
        <v>Page4, Ligne 64 [Page4!L67]  -</v>
      </c>
    </row>
    <row r="386" spans="1:23">
      <c r="A386" s="1117" t="str">
        <f>celladdr(Page4!N15)</f>
        <v>Page4!N15</v>
      </c>
      <c r="B386" s="1456" t="s">
        <v>1086</v>
      </c>
      <c r="D386" s="1450"/>
      <c r="E386" s="1450"/>
      <c r="F386" s="1454"/>
      <c r="G386" s="1444" t="str">
        <f t="shared" ref="G386:G449" si="48">IF(H386&amp;I386&amp;J386&amp;K386&lt;&gt;"","No.de ref. du commentaire.: "&amp;W386&amp;" "&amp;N386&amp;" "&amp;H386&amp;I386&amp;IF(OR(C386=TRUE,D386=TRUE),"",J386&amp;K386&amp;V386),"")</f>
        <v/>
      </c>
      <c r="I386" s="1452"/>
      <c r="J386" s="1452"/>
      <c r="K386" s="1446"/>
      <c r="N386" s="611" t="s">
        <v>1461</v>
      </c>
      <c r="O386" s="611" t="str">
        <f t="shared" si="47"/>
        <v/>
      </c>
      <c r="P386" s="611" t="str">
        <f t="shared" ref="P386:P449" si="49">LEFT(A386,FIND("!",A386)+1)</f>
        <v>Page4!N</v>
      </c>
      <c r="Q386" s="611">
        <f t="shared" ref="Q386:Q449" si="50">VALUE(RIGHT(A386,LEN(A386)-FIND("!",A386)-1))</f>
        <v>15</v>
      </c>
      <c r="R386" s="1447">
        <f t="shared" ref="R386:R449" ca="1" si="51">IF(E386=TRUE,INDIRECT("Comments!$D$"&amp;T386),0)</f>
        <v>0</v>
      </c>
      <c r="S386" s="1447">
        <f t="shared" ref="S386:S449" ca="1" si="52">IF(F386=TRUE,INDIRECT("Comments!$D$"&amp;U386),0)</f>
        <v>0</v>
      </c>
      <c r="V386" s="2557" t="str">
        <f t="shared" ref="V386:V449" ca="1" si="53">IF(SUM(R386+S386)=0,"","
*** "&amp;TEXT(SUM(R386+S386),"0,0")&amp;" Points de précision seront déduits suite à cette(ces) erreur(s) !")</f>
        <v/>
      </c>
      <c r="W386" s="611" t="str">
        <f t="shared" ref="W386:W449" ca="1" si="54">LEFT(A386,FIND("!",A386,1)-1)&amp;", Ligne "&amp;INDIRECT(ADDRESS(ROW(INDIRECT(A386)),IF(INDIRECT(ADDRESS(ROW(INDIRECT(A386)),1,,,LEFT(A386,FIND("!",A386,1)-1)))="",2,1),,,LEFT(A386,FIND("!",A386,1)-1)))&amp;" ["&amp;A386&amp;"] "&amp;" -"</f>
        <v>Page4, Ligne 12 [Page4!N15]  -</v>
      </c>
    </row>
    <row r="387" spans="1:23">
      <c r="A387" s="1117" t="str">
        <f>celladdr(Page4!N16)</f>
        <v>Page4!N16</v>
      </c>
      <c r="B387" s="1456" t="s">
        <v>1086</v>
      </c>
      <c r="D387" s="1450"/>
      <c r="E387" s="1450"/>
      <c r="F387" s="1454"/>
      <c r="G387" s="1444" t="str">
        <f t="shared" si="48"/>
        <v/>
      </c>
      <c r="I387" s="1452"/>
      <c r="J387" s="1452"/>
      <c r="K387" s="1446"/>
      <c r="N387" s="611" t="s">
        <v>1462</v>
      </c>
      <c r="O387" s="611" t="str">
        <f t="shared" ref="O387:O450" si="55">IF(A387=A386,"TRUE","")</f>
        <v/>
      </c>
      <c r="P387" s="611" t="str">
        <f t="shared" si="49"/>
        <v>Page4!N</v>
      </c>
      <c r="Q387" s="611">
        <f t="shared" si="50"/>
        <v>16</v>
      </c>
      <c r="R387" s="1447">
        <f t="shared" ca="1" si="51"/>
        <v>0</v>
      </c>
      <c r="S387" s="1447">
        <f t="shared" ca="1" si="52"/>
        <v>0</v>
      </c>
      <c r="V387" s="2557" t="str">
        <f t="shared" ca="1" si="53"/>
        <v/>
      </c>
      <c r="W387" s="611" t="str">
        <f t="shared" ca="1" si="54"/>
        <v>Page4, Ligne 13 [Page4!N16]  -</v>
      </c>
    </row>
    <row r="388" spans="1:23">
      <c r="A388" s="1117" t="str">
        <f>celladdr(Page4!N17)</f>
        <v>Page4!N17</v>
      </c>
      <c r="B388" s="1456" t="s">
        <v>1086</v>
      </c>
      <c r="D388" s="1450"/>
      <c r="E388" s="1450" t="b">
        <f>OR(AND(SUM(Page4!$N$11:$N$14)&gt;0,Page4!$N$17=0),AND(SUM(Page4!$N$11:$N$14)=0,Page4!$N$17&gt;0))</f>
        <v>0</v>
      </c>
      <c r="F388" s="1454"/>
      <c r="G388" s="1444" t="str">
        <f t="shared" si="48"/>
        <v/>
      </c>
      <c r="I388" s="1452"/>
      <c r="J388" s="1452" t="str">
        <f>IF(E388=TRUE,Comments!$B$12,"")</f>
        <v/>
      </c>
      <c r="K388" s="1446"/>
      <c r="N388" s="611" t="s">
        <v>1463</v>
      </c>
      <c r="O388" s="611" t="str">
        <f t="shared" si="55"/>
        <v/>
      </c>
      <c r="P388" s="611" t="str">
        <f t="shared" si="49"/>
        <v>Page4!N</v>
      </c>
      <c r="Q388" s="611">
        <f t="shared" si="50"/>
        <v>17</v>
      </c>
      <c r="R388" s="1447">
        <f t="shared" ca="1" si="51"/>
        <v>0</v>
      </c>
      <c r="S388" s="1447">
        <f t="shared" ca="1" si="52"/>
        <v>0</v>
      </c>
      <c r="T388" s="611">
        <v>12</v>
      </c>
      <c r="V388" s="2557" t="str">
        <f t="shared" ca="1" si="53"/>
        <v/>
      </c>
      <c r="W388" s="611" t="str">
        <f t="shared" ca="1" si="54"/>
        <v>Page4, Ligne 14 [Page4!N17]  -</v>
      </c>
    </row>
    <row r="389" spans="1:23">
      <c r="A389" s="1117" t="str">
        <f>celladdr(Page4!N18)</f>
        <v>Page4!N18</v>
      </c>
      <c r="B389" s="1456" t="s">
        <v>1086</v>
      </c>
      <c r="D389" s="1450"/>
      <c r="E389" s="1450" t="b">
        <f>OR(AND(SUM(Page4!$N$11:$N$14)&gt;0,Page4!$N$18=0),AND(SUM(Page4!$N$11:$N$14)=0,Page4!$N$18&gt;0))</f>
        <v>0</v>
      </c>
      <c r="F389" s="1450"/>
      <c r="G389" s="1444" t="str">
        <f t="shared" si="48"/>
        <v/>
      </c>
      <c r="I389" s="1452"/>
      <c r="J389" s="1452" t="str">
        <f>IF(E389=TRUE,Comments!$B$12,"")</f>
        <v/>
      </c>
      <c r="K389" s="1452"/>
      <c r="N389" s="611" t="s">
        <v>1464</v>
      </c>
      <c r="O389" s="611" t="str">
        <f t="shared" si="55"/>
        <v/>
      </c>
      <c r="P389" s="611" t="str">
        <f t="shared" si="49"/>
        <v>Page4!N</v>
      </c>
      <c r="Q389" s="611">
        <f t="shared" si="50"/>
        <v>18</v>
      </c>
      <c r="R389" s="1447">
        <f t="shared" ca="1" si="51"/>
        <v>0</v>
      </c>
      <c r="S389" s="1447">
        <f t="shared" ca="1" si="52"/>
        <v>0</v>
      </c>
      <c r="T389" s="611">
        <v>12</v>
      </c>
      <c r="V389" s="2557" t="str">
        <f t="shared" ca="1" si="53"/>
        <v/>
      </c>
      <c r="W389" s="611" t="str">
        <f t="shared" ca="1" si="54"/>
        <v>Page4, Ligne 15 [Page4!N18]  -</v>
      </c>
    </row>
    <row r="390" spans="1:23">
      <c r="A390" s="1117" t="str">
        <f>celladdr(Page4!N19)</f>
        <v>Page4!N19</v>
      </c>
      <c r="B390" s="1456" t="s">
        <v>1086</v>
      </c>
      <c r="D390" s="1450"/>
      <c r="E390" s="1450"/>
      <c r="F390" s="1450"/>
      <c r="G390" s="1444" t="str">
        <f t="shared" si="48"/>
        <v/>
      </c>
      <c r="I390" s="1452"/>
      <c r="J390" s="1452"/>
      <c r="K390" s="1452"/>
      <c r="N390" s="611" t="s">
        <v>1465</v>
      </c>
      <c r="O390" s="611" t="str">
        <f t="shared" si="55"/>
        <v/>
      </c>
      <c r="P390" s="611" t="str">
        <f t="shared" si="49"/>
        <v>Page4!N</v>
      </c>
      <c r="Q390" s="611">
        <f t="shared" si="50"/>
        <v>19</v>
      </c>
      <c r="R390" s="1447">
        <f t="shared" ca="1" si="51"/>
        <v>0</v>
      </c>
      <c r="S390" s="1447">
        <f t="shared" ca="1" si="52"/>
        <v>0</v>
      </c>
      <c r="V390" s="2557" t="str">
        <f t="shared" ca="1" si="53"/>
        <v/>
      </c>
      <c r="W390" s="611" t="str">
        <f t="shared" ca="1" si="54"/>
        <v>Page4, Ligne 16 [Page4!N19]  -</v>
      </c>
    </row>
    <row r="391" spans="1:23">
      <c r="A391" s="1117" t="str">
        <f>celladdr(Page4!N21)</f>
        <v>Page4!N21</v>
      </c>
      <c r="B391" s="1456" t="s">
        <v>1086</v>
      </c>
      <c r="D391" s="1450"/>
      <c r="E391" s="1450"/>
      <c r="F391" s="1450"/>
      <c r="G391" s="1444" t="str">
        <f t="shared" si="48"/>
        <v/>
      </c>
      <c r="I391" s="1452"/>
      <c r="J391" s="1452"/>
      <c r="K391" s="1452"/>
      <c r="N391" s="611" t="s">
        <v>1466</v>
      </c>
      <c r="O391" s="611" t="str">
        <f t="shared" si="55"/>
        <v/>
      </c>
      <c r="P391" s="611" t="str">
        <f t="shared" si="49"/>
        <v>Page4!N</v>
      </c>
      <c r="Q391" s="611">
        <f t="shared" si="50"/>
        <v>21</v>
      </c>
      <c r="R391" s="1447">
        <f t="shared" ca="1" si="51"/>
        <v>0</v>
      </c>
      <c r="S391" s="1447">
        <f t="shared" ca="1" si="52"/>
        <v>0</v>
      </c>
      <c r="V391" s="2557" t="str">
        <f t="shared" ca="1" si="53"/>
        <v/>
      </c>
      <c r="W391" s="611" t="str">
        <f t="shared" ca="1" si="54"/>
        <v>Page4, Ligne 18 [Page4!N21]  -</v>
      </c>
    </row>
    <row r="392" spans="1:23">
      <c r="A392" s="1117" t="str">
        <f>celladdr(Page4!N22)</f>
        <v>Page4!N22</v>
      </c>
      <c r="B392" s="1456" t="s">
        <v>1086</v>
      </c>
      <c r="D392" s="1450"/>
      <c r="E392" s="1450"/>
      <c r="F392" s="1450"/>
      <c r="G392" s="1444" t="str">
        <f t="shared" si="48"/>
        <v/>
      </c>
      <c r="I392" s="1452"/>
      <c r="J392" s="1452"/>
      <c r="K392" s="1452"/>
      <c r="N392" s="611" t="s">
        <v>1467</v>
      </c>
      <c r="O392" s="611" t="str">
        <f t="shared" si="55"/>
        <v/>
      </c>
      <c r="P392" s="611" t="str">
        <f t="shared" si="49"/>
        <v>Page4!N</v>
      </c>
      <c r="Q392" s="611">
        <f t="shared" si="50"/>
        <v>22</v>
      </c>
      <c r="R392" s="1447">
        <f t="shared" ca="1" si="51"/>
        <v>0</v>
      </c>
      <c r="S392" s="1447">
        <f t="shared" ca="1" si="52"/>
        <v>0</v>
      </c>
      <c r="V392" s="2557" t="str">
        <f t="shared" ca="1" si="53"/>
        <v/>
      </c>
      <c r="W392" s="611" t="str">
        <f t="shared" ca="1" si="54"/>
        <v>Page4, Ligne 19 [Page4!N22]  -</v>
      </c>
    </row>
    <row r="393" spans="1:23">
      <c r="A393" s="1117" t="str">
        <f>celladdr(Page4!N23)</f>
        <v>Page4!N23</v>
      </c>
      <c r="B393" s="1456" t="s">
        <v>1086</v>
      </c>
      <c r="D393" s="1450"/>
      <c r="E393" s="1450"/>
      <c r="F393" s="1450"/>
      <c r="G393" s="1444" t="str">
        <f t="shared" si="48"/>
        <v/>
      </c>
      <c r="I393" s="1452"/>
      <c r="J393" s="1452"/>
      <c r="K393" s="1452"/>
      <c r="N393" s="611" t="s">
        <v>1468</v>
      </c>
      <c r="O393" s="611" t="str">
        <f t="shared" si="55"/>
        <v/>
      </c>
      <c r="P393" s="611" t="str">
        <f t="shared" si="49"/>
        <v>Page4!N</v>
      </c>
      <c r="Q393" s="611">
        <f t="shared" si="50"/>
        <v>23</v>
      </c>
      <c r="R393" s="1447">
        <f t="shared" ca="1" si="51"/>
        <v>0</v>
      </c>
      <c r="S393" s="1447">
        <f t="shared" ca="1" si="52"/>
        <v>0</v>
      </c>
      <c r="V393" s="2557" t="str">
        <f t="shared" ca="1" si="53"/>
        <v/>
      </c>
      <c r="W393" s="611" t="str">
        <f t="shared" ca="1" si="54"/>
        <v>Page4, Ligne 20 [Page4!N23]  -</v>
      </c>
    </row>
    <row r="394" spans="1:23">
      <c r="A394" s="1117" t="str">
        <f>celladdr(Page4!N24)</f>
        <v>Page4!N24</v>
      </c>
      <c r="B394" s="1456" t="s">
        <v>1086</v>
      </c>
      <c r="D394" s="1450"/>
      <c r="E394" s="1450"/>
      <c r="F394" s="1450"/>
      <c r="G394" s="1444" t="str">
        <f t="shared" si="48"/>
        <v/>
      </c>
      <c r="I394" s="1452"/>
      <c r="J394" s="1452"/>
      <c r="K394" s="1452"/>
      <c r="N394" s="611" t="s">
        <v>1469</v>
      </c>
      <c r="O394" s="611" t="str">
        <f t="shared" si="55"/>
        <v/>
      </c>
      <c r="P394" s="611" t="str">
        <f t="shared" si="49"/>
        <v>Page4!N</v>
      </c>
      <c r="Q394" s="611">
        <f t="shared" si="50"/>
        <v>24</v>
      </c>
      <c r="R394" s="1447">
        <f t="shared" ca="1" si="51"/>
        <v>0</v>
      </c>
      <c r="S394" s="1447">
        <f t="shared" ca="1" si="52"/>
        <v>0</v>
      </c>
      <c r="V394" s="2557" t="str">
        <f t="shared" ca="1" si="53"/>
        <v/>
      </c>
      <c r="W394" s="611" t="str">
        <f t="shared" ca="1" si="54"/>
        <v>Page4, Ligne 21 [Page4!N24]  -</v>
      </c>
    </row>
    <row r="395" spans="1:23">
      <c r="A395" s="1117" t="str">
        <f>celladdr(Page4!N25)</f>
        <v>Page4!N25</v>
      </c>
      <c r="B395" s="1456" t="s">
        <v>1086</v>
      </c>
      <c r="D395" s="1450"/>
      <c r="E395" s="1450"/>
      <c r="F395" s="1450"/>
      <c r="G395" s="1444" t="str">
        <f t="shared" si="48"/>
        <v/>
      </c>
      <c r="I395" s="1452"/>
      <c r="J395" s="1452"/>
      <c r="K395" s="1452"/>
      <c r="N395" s="611" t="s">
        <v>1470</v>
      </c>
      <c r="O395" s="611" t="str">
        <f t="shared" si="55"/>
        <v/>
      </c>
      <c r="P395" s="611" t="str">
        <f t="shared" si="49"/>
        <v>Page4!N</v>
      </c>
      <c r="Q395" s="611">
        <f t="shared" si="50"/>
        <v>25</v>
      </c>
      <c r="R395" s="1447">
        <f t="shared" ca="1" si="51"/>
        <v>0</v>
      </c>
      <c r="S395" s="1447">
        <f t="shared" ca="1" si="52"/>
        <v>0</v>
      </c>
      <c r="V395" s="2557" t="str">
        <f t="shared" ca="1" si="53"/>
        <v/>
      </c>
      <c r="W395" s="611" t="str">
        <f t="shared" ca="1" si="54"/>
        <v>Page4, Ligne 22 [Page4!N25]  -</v>
      </c>
    </row>
    <row r="396" spans="1:23">
      <c r="A396" s="1117" t="str">
        <f>celladdr(Page4!N26)</f>
        <v>Page4!N26</v>
      </c>
      <c r="B396" s="1456" t="s">
        <v>1086</v>
      </c>
      <c r="D396" s="1450"/>
      <c r="E396" s="1450"/>
      <c r="F396" s="1450"/>
      <c r="G396" s="1444" t="str">
        <f t="shared" si="48"/>
        <v/>
      </c>
      <c r="I396" s="1452"/>
      <c r="J396" s="1452"/>
      <c r="K396" s="1452"/>
      <c r="N396" s="611" t="s">
        <v>1471</v>
      </c>
      <c r="O396" s="611" t="str">
        <f t="shared" si="55"/>
        <v/>
      </c>
      <c r="P396" s="611" t="str">
        <f t="shared" si="49"/>
        <v>Page4!N</v>
      </c>
      <c r="Q396" s="611">
        <f t="shared" si="50"/>
        <v>26</v>
      </c>
      <c r="R396" s="1447">
        <f t="shared" ca="1" si="51"/>
        <v>0</v>
      </c>
      <c r="S396" s="1447">
        <f t="shared" ca="1" si="52"/>
        <v>0</v>
      </c>
      <c r="V396" s="2557" t="str">
        <f t="shared" ca="1" si="53"/>
        <v/>
      </c>
      <c r="W396" s="611" t="str">
        <f t="shared" ca="1" si="54"/>
        <v>Page4, Ligne 23 [Page4!N26]  -</v>
      </c>
    </row>
    <row r="397" spans="1:23">
      <c r="A397" s="1117" t="str">
        <f>celladdr(Page4!N27)</f>
        <v>Page4!N27</v>
      </c>
      <c r="B397" s="1456" t="s">
        <v>1086</v>
      </c>
      <c r="D397" s="1450"/>
      <c r="E397" s="1450"/>
      <c r="F397" s="1450"/>
      <c r="G397" s="1444" t="str">
        <f t="shared" si="48"/>
        <v/>
      </c>
      <c r="I397" s="1452"/>
      <c r="J397" s="1452"/>
      <c r="K397" s="1452"/>
      <c r="N397" s="611" t="s">
        <v>1472</v>
      </c>
      <c r="O397" s="611" t="str">
        <f t="shared" si="55"/>
        <v/>
      </c>
      <c r="P397" s="611" t="str">
        <f t="shared" si="49"/>
        <v>Page4!N</v>
      </c>
      <c r="Q397" s="611">
        <f t="shared" si="50"/>
        <v>27</v>
      </c>
      <c r="R397" s="1447">
        <f t="shared" ca="1" si="51"/>
        <v>0</v>
      </c>
      <c r="S397" s="1447">
        <f t="shared" ca="1" si="52"/>
        <v>0</v>
      </c>
      <c r="V397" s="2557" t="str">
        <f t="shared" ca="1" si="53"/>
        <v/>
      </c>
      <c r="W397" s="611" t="str">
        <f t="shared" ca="1" si="54"/>
        <v>Page4, Ligne 24 [Page4!N27]  -</v>
      </c>
    </row>
    <row r="398" spans="1:23">
      <c r="A398" s="1117" t="str">
        <f>celladdr(Page4!N28)</f>
        <v>Page4!N28</v>
      </c>
      <c r="B398" s="1456" t="s">
        <v>1086</v>
      </c>
      <c r="D398" s="1450"/>
      <c r="E398" s="1450"/>
      <c r="F398" s="1450"/>
      <c r="G398" s="1444" t="str">
        <f t="shared" si="48"/>
        <v/>
      </c>
      <c r="I398" s="1452"/>
      <c r="J398" s="1452"/>
      <c r="K398" s="1452"/>
      <c r="N398" s="1461" t="s">
        <v>1473</v>
      </c>
      <c r="O398" s="611" t="str">
        <f t="shared" si="55"/>
        <v/>
      </c>
      <c r="P398" s="611" t="str">
        <f t="shared" si="49"/>
        <v>Page4!N</v>
      </c>
      <c r="Q398" s="611">
        <f t="shared" si="50"/>
        <v>28</v>
      </c>
      <c r="R398" s="1447">
        <f t="shared" ca="1" si="51"/>
        <v>0</v>
      </c>
      <c r="S398" s="1447">
        <f t="shared" ca="1" si="52"/>
        <v>0</v>
      </c>
      <c r="V398" s="2557" t="str">
        <f t="shared" ca="1" si="53"/>
        <v/>
      </c>
      <c r="W398" s="611" t="str">
        <f t="shared" ca="1" si="54"/>
        <v>Page4, Ligne 25 [Page4!N28]  -</v>
      </c>
    </row>
    <row r="399" spans="1:23">
      <c r="A399" s="1117" t="str">
        <f>celladdr(Page4!N29)</f>
        <v>Page4!N29</v>
      </c>
      <c r="B399" s="1456" t="s">
        <v>1086</v>
      </c>
      <c r="D399" s="1450"/>
      <c r="E399" s="1450"/>
      <c r="F399" s="1450"/>
      <c r="G399" s="1444" t="str">
        <f t="shared" si="48"/>
        <v/>
      </c>
      <c r="I399" s="1452"/>
      <c r="J399" s="1452"/>
      <c r="K399" s="1452"/>
      <c r="N399" s="611" t="s">
        <v>1474</v>
      </c>
      <c r="O399" s="611" t="str">
        <f t="shared" si="55"/>
        <v/>
      </c>
      <c r="P399" s="611" t="str">
        <f t="shared" si="49"/>
        <v>Page4!N</v>
      </c>
      <c r="Q399" s="611">
        <f t="shared" si="50"/>
        <v>29</v>
      </c>
      <c r="R399" s="1447">
        <f t="shared" ca="1" si="51"/>
        <v>0</v>
      </c>
      <c r="S399" s="1447">
        <f t="shared" ca="1" si="52"/>
        <v>0</v>
      </c>
      <c r="V399" s="2557" t="str">
        <f t="shared" ca="1" si="53"/>
        <v/>
      </c>
      <c r="W399" s="611" t="str">
        <f t="shared" ca="1" si="54"/>
        <v>Page4, Ligne 26 [Page4!N29]  -</v>
      </c>
    </row>
    <row r="400" spans="1:23">
      <c r="A400" s="1117" t="str">
        <f>celladdr(Page4!N30)</f>
        <v>Page4!N30</v>
      </c>
      <c r="B400" s="1456" t="s">
        <v>1086</v>
      </c>
      <c r="D400" s="1450"/>
      <c r="E400" s="1450"/>
      <c r="F400" s="1450"/>
      <c r="G400" s="1444" t="str">
        <f t="shared" si="48"/>
        <v/>
      </c>
      <c r="I400" s="1452"/>
      <c r="J400" s="1452"/>
      <c r="K400" s="1452"/>
      <c r="N400" s="611" t="s">
        <v>1475</v>
      </c>
      <c r="O400" s="611" t="str">
        <f t="shared" si="55"/>
        <v/>
      </c>
      <c r="P400" s="611" t="str">
        <f t="shared" si="49"/>
        <v>Page4!N</v>
      </c>
      <c r="Q400" s="611">
        <f t="shared" si="50"/>
        <v>30</v>
      </c>
      <c r="R400" s="1447">
        <f t="shared" ca="1" si="51"/>
        <v>0</v>
      </c>
      <c r="S400" s="1447">
        <f t="shared" ca="1" si="52"/>
        <v>0</v>
      </c>
      <c r="V400" s="2557" t="str">
        <f t="shared" ca="1" si="53"/>
        <v/>
      </c>
      <c r="W400" s="611" t="str">
        <f t="shared" ca="1" si="54"/>
        <v>Page4, Ligne 27 [Page4!N30]  -</v>
      </c>
    </row>
    <row r="401" spans="1:23">
      <c r="A401" s="1117" t="str">
        <f>celladdr(Page4!N31)</f>
        <v>Page4!N31</v>
      </c>
      <c r="B401" s="1456" t="s">
        <v>1086</v>
      </c>
      <c r="D401" s="1450"/>
      <c r="E401" s="1450"/>
      <c r="F401" s="1450"/>
      <c r="G401" s="1444" t="str">
        <f t="shared" si="48"/>
        <v/>
      </c>
      <c r="I401" s="1452"/>
      <c r="J401" s="1452"/>
      <c r="K401" s="1452"/>
      <c r="N401" s="611" t="s">
        <v>1476</v>
      </c>
      <c r="O401" s="611" t="str">
        <f t="shared" si="55"/>
        <v/>
      </c>
      <c r="P401" s="611" t="str">
        <f t="shared" si="49"/>
        <v>Page4!N</v>
      </c>
      <c r="Q401" s="611">
        <f t="shared" si="50"/>
        <v>31</v>
      </c>
      <c r="R401" s="1447">
        <f t="shared" ca="1" si="51"/>
        <v>0</v>
      </c>
      <c r="S401" s="1447">
        <f t="shared" ca="1" si="52"/>
        <v>0</v>
      </c>
      <c r="V401" s="2557" t="str">
        <f t="shared" ca="1" si="53"/>
        <v/>
      </c>
      <c r="W401" s="611" t="str">
        <f t="shared" ca="1" si="54"/>
        <v>Page4, Ligne 28 [Page4!N31]  -</v>
      </c>
    </row>
    <row r="402" spans="1:23">
      <c r="A402" s="1117" t="str">
        <f>celladdr(Page4!N32)</f>
        <v>Page4!N32</v>
      </c>
      <c r="B402" s="1456" t="s">
        <v>1086</v>
      </c>
      <c r="D402" s="1450"/>
      <c r="E402" s="1450"/>
      <c r="F402" s="1450"/>
      <c r="G402" s="1444" t="str">
        <f t="shared" si="48"/>
        <v/>
      </c>
      <c r="I402" s="1452"/>
      <c r="J402" s="1452"/>
      <c r="K402" s="1452"/>
      <c r="N402" s="611" t="s">
        <v>1477</v>
      </c>
      <c r="O402" s="611" t="str">
        <f t="shared" si="55"/>
        <v/>
      </c>
      <c r="P402" s="611" t="str">
        <f t="shared" si="49"/>
        <v>Page4!N</v>
      </c>
      <c r="Q402" s="611">
        <f t="shared" si="50"/>
        <v>32</v>
      </c>
      <c r="R402" s="1447">
        <f t="shared" ca="1" si="51"/>
        <v>0</v>
      </c>
      <c r="S402" s="1447">
        <f t="shared" ca="1" si="52"/>
        <v>0</v>
      </c>
      <c r="V402" s="2557" t="str">
        <f t="shared" ca="1" si="53"/>
        <v/>
      </c>
      <c r="W402" s="611" t="str">
        <f t="shared" ca="1" si="54"/>
        <v>Page4, Ligne 29 [Page4!N32]  -</v>
      </c>
    </row>
    <row r="403" spans="1:23">
      <c r="A403" s="1117" t="str">
        <f>celladdr(Page4!N33)</f>
        <v>Page4!N33</v>
      </c>
      <c r="B403" s="1456" t="s">
        <v>1086</v>
      </c>
      <c r="D403" s="1450"/>
      <c r="E403" s="1450"/>
      <c r="F403" s="1450"/>
      <c r="G403" s="1444" t="str">
        <f t="shared" si="48"/>
        <v/>
      </c>
      <c r="I403" s="1452"/>
      <c r="J403" s="1452"/>
      <c r="K403" s="1452"/>
      <c r="N403" s="611" t="s">
        <v>1478</v>
      </c>
      <c r="O403" s="611" t="str">
        <f t="shared" si="55"/>
        <v/>
      </c>
      <c r="P403" s="611" t="str">
        <f t="shared" si="49"/>
        <v>Page4!N</v>
      </c>
      <c r="Q403" s="611">
        <f t="shared" si="50"/>
        <v>33</v>
      </c>
      <c r="R403" s="1447">
        <f t="shared" ca="1" si="51"/>
        <v>0</v>
      </c>
      <c r="S403" s="1447">
        <f t="shared" ca="1" si="52"/>
        <v>0</v>
      </c>
      <c r="V403" s="2557" t="str">
        <f t="shared" ca="1" si="53"/>
        <v/>
      </c>
      <c r="W403" s="611" t="str">
        <f t="shared" ca="1" si="54"/>
        <v>Page4, Ligne 30 [Page4!N33]  -</v>
      </c>
    </row>
    <row r="404" spans="1:23">
      <c r="A404" s="1117" t="str">
        <f>celladdr(Page4!N34)</f>
        <v>Page4!N34</v>
      </c>
      <c r="B404" s="1456" t="s">
        <v>1086</v>
      </c>
      <c r="D404" s="1450"/>
      <c r="E404" s="1450"/>
      <c r="F404" s="1450"/>
      <c r="G404" s="1444" t="str">
        <f t="shared" si="48"/>
        <v/>
      </c>
      <c r="I404" s="1452"/>
      <c r="J404" s="1452"/>
      <c r="K404" s="1452"/>
      <c r="N404" s="611" t="s">
        <v>1479</v>
      </c>
      <c r="O404" s="611" t="str">
        <f t="shared" si="55"/>
        <v/>
      </c>
      <c r="P404" s="611" t="str">
        <f t="shared" si="49"/>
        <v>Page4!N</v>
      </c>
      <c r="Q404" s="611">
        <f t="shared" si="50"/>
        <v>34</v>
      </c>
      <c r="R404" s="1447">
        <f t="shared" ca="1" si="51"/>
        <v>0</v>
      </c>
      <c r="S404" s="1447">
        <f t="shared" ca="1" si="52"/>
        <v>0</v>
      </c>
      <c r="V404" s="2557" t="str">
        <f t="shared" ca="1" si="53"/>
        <v/>
      </c>
      <c r="W404" s="611" t="str">
        <f t="shared" ca="1" si="54"/>
        <v>Page4, Ligne 31 [Page4!N34]  -</v>
      </c>
    </row>
    <row r="405" spans="1:23">
      <c r="A405" s="1117" t="str">
        <f>celladdr(Page4!N35)</f>
        <v>Page4!N35</v>
      </c>
      <c r="B405" s="1456" t="s">
        <v>1086</v>
      </c>
      <c r="D405" s="1450"/>
      <c r="E405" s="1450"/>
      <c r="F405" s="1450"/>
      <c r="G405" s="1444" t="str">
        <f t="shared" si="48"/>
        <v/>
      </c>
      <c r="I405" s="1452"/>
      <c r="J405" s="1452"/>
      <c r="K405" s="1452"/>
      <c r="N405" s="611" t="s">
        <v>1480</v>
      </c>
      <c r="O405" s="611" t="str">
        <f t="shared" si="55"/>
        <v/>
      </c>
      <c r="P405" s="611" t="str">
        <f t="shared" si="49"/>
        <v>Page4!N</v>
      </c>
      <c r="Q405" s="611">
        <f t="shared" si="50"/>
        <v>35</v>
      </c>
      <c r="R405" s="1447">
        <f t="shared" ca="1" si="51"/>
        <v>0</v>
      </c>
      <c r="S405" s="1447">
        <f t="shared" ca="1" si="52"/>
        <v>0</v>
      </c>
      <c r="V405" s="2557" t="str">
        <f t="shared" ca="1" si="53"/>
        <v/>
      </c>
      <c r="W405" s="611" t="str">
        <f t="shared" ca="1" si="54"/>
        <v>Page4, Ligne 32 [Page4!N35]  -</v>
      </c>
    </row>
    <row r="406" spans="1:23">
      <c r="A406" s="1117" t="str">
        <f>celladdr(Page4!N38)</f>
        <v>Page4!N38</v>
      </c>
      <c r="B406" s="1456" t="s">
        <v>1086</v>
      </c>
      <c r="D406" s="1450"/>
      <c r="E406" s="1450"/>
      <c r="F406" s="1450"/>
      <c r="G406" s="1444" t="str">
        <f t="shared" si="48"/>
        <v/>
      </c>
      <c r="I406" s="1452"/>
      <c r="J406" s="1452"/>
      <c r="K406" s="1452"/>
      <c r="N406" s="611" t="s">
        <v>1481</v>
      </c>
      <c r="O406" s="611" t="str">
        <f t="shared" si="55"/>
        <v/>
      </c>
      <c r="P406" s="611" t="str">
        <f t="shared" si="49"/>
        <v>Page4!N</v>
      </c>
      <c r="Q406" s="611">
        <f t="shared" si="50"/>
        <v>38</v>
      </c>
      <c r="R406" s="1447">
        <f t="shared" ca="1" si="51"/>
        <v>0</v>
      </c>
      <c r="S406" s="1447">
        <f t="shared" ca="1" si="52"/>
        <v>0</v>
      </c>
      <c r="V406" s="2557" t="str">
        <f t="shared" ca="1" si="53"/>
        <v/>
      </c>
      <c r="W406" s="611" t="str">
        <f t="shared" ca="1" si="54"/>
        <v>Page4, Ligne 35 [Page4!N38]  -</v>
      </c>
    </row>
    <row r="407" spans="1:23">
      <c r="A407" s="1117" t="str">
        <f>celladdr(Page4!N40)</f>
        <v>Page4!N40</v>
      </c>
      <c r="B407" s="1456" t="s">
        <v>1086</v>
      </c>
      <c r="D407" s="1450"/>
      <c r="E407" s="1450"/>
      <c r="F407" s="1450"/>
      <c r="G407" s="1444" t="str">
        <f t="shared" si="48"/>
        <v/>
      </c>
      <c r="I407" s="1452"/>
      <c r="J407" s="1452"/>
      <c r="K407" s="1452"/>
      <c r="N407" s="611" t="s">
        <v>1482</v>
      </c>
      <c r="O407" s="611" t="str">
        <f t="shared" si="55"/>
        <v/>
      </c>
      <c r="P407" s="611" t="str">
        <f t="shared" si="49"/>
        <v>Page4!N</v>
      </c>
      <c r="Q407" s="611">
        <f t="shared" si="50"/>
        <v>40</v>
      </c>
      <c r="R407" s="1447">
        <f t="shared" ca="1" si="51"/>
        <v>0</v>
      </c>
      <c r="S407" s="1447">
        <f t="shared" ca="1" si="52"/>
        <v>0</v>
      </c>
      <c r="V407" s="2557" t="str">
        <f t="shared" ca="1" si="53"/>
        <v/>
      </c>
      <c r="W407" s="611" t="str">
        <f t="shared" ca="1" si="54"/>
        <v>Page4, Ligne 37 [Page4!N40]  -</v>
      </c>
    </row>
    <row r="408" spans="1:23">
      <c r="A408" s="1117" t="str">
        <f>celladdr(Page4!N41)</f>
        <v>Page4!N41</v>
      </c>
      <c r="B408" s="1456" t="s">
        <v>1086</v>
      </c>
      <c r="D408" s="1450"/>
      <c r="E408" s="1450"/>
      <c r="F408" s="1450"/>
      <c r="G408" s="1444" t="str">
        <f t="shared" si="48"/>
        <v/>
      </c>
      <c r="I408" s="1452"/>
      <c r="J408" s="1452"/>
      <c r="K408" s="1452"/>
      <c r="N408" s="611" t="s">
        <v>1483</v>
      </c>
      <c r="O408" s="611" t="str">
        <f t="shared" si="55"/>
        <v/>
      </c>
      <c r="P408" s="611" t="str">
        <f t="shared" si="49"/>
        <v>Page4!N</v>
      </c>
      <c r="Q408" s="611">
        <f t="shared" si="50"/>
        <v>41</v>
      </c>
      <c r="R408" s="1447">
        <f t="shared" ca="1" si="51"/>
        <v>0</v>
      </c>
      <c r="S408" s="1447">
        <f t="shared" ca="1" si="52"/>
        <v>0</v>
      </c>
      <c r="V408" s="2557" t="str">
        <f t="shared" ca="1" si="53"/>
        <v/>
      </c>
      <c r="W408" s="611" t="str">
        <f t="shared" ca="1" si="54"/>
        <v>Page4, Ligne 38 [Page4!N41]  -</v>
      </c>
    </row>
    <row r="409" spans="1:23">
      <c r="A409" s="1117" t="str">
        <f>celladdr(Page4!N42)</f>
        <v>Page4!N42</v>
      </c>
      <c r="B409" s="1456" t="s">
        <v>1086</v>
      </c>
      <c r="D409" s="1450"/>
      <c r="E409" s="1450"/>
      <c r="F409" s="1450"/>
      <c r="G409" s="1444" t="str">
        <f t="shared" si="48"/>
        <v/>
      </c>
      <c r="I409" s="1452"/>
      <c r="J409" s="1452"/>
      <c r="K409" s="1452"/>
      <c r="N409" s="611" t="s">
        <v>1484</v>
      </c>
      <c r="O409" s="611" t="str">
        <f t="shared" si="55"/>
        <v/>
      </c>
      <c r="P409" s="611" t="str">
        <f t="shared" si="49"/>
        <v>Page4!N</v>
      </c>
      <c r="Q409" s="611">
        <f t="shared" si="50"/>
        <v>42</v>
      </c>
      <c r="R409" s="1447">
        <f t="shared" ca="1" si="51"/>
        <v>0</v>
      </c>
      <c r="S409" s="1447">
        <f t="shared" ca="1" si="52"/>
        <v>0</v>
      </c>
      <c r="V409" s="2557" t="str">
        <f t="shared" ca="1" si="53"/>
        <v/>
      </c>
      <c r="W409" s="611" t="str">
        <f t="shared" ca="1" si="54"/>
        <v>Page4, Ligne 39 [Page4!N42]  -</v>
      </c>
    </row>
    <row r="410" spans="1:23">
      <c r="A410" s="1117" t="str">
        <f>celladdr(Page4!N44)</f>
        <v>Page4!N44</v>
      </c>
      <c r="B410" s="1456" t="s">
        <v>1086</v>
      </c>
      <c r="D410" s="1450"/>
      <c r="E410" s="1450"/>
      <c r="F410" s="1450"/>
      <c r="G410" s="1444" t="str">
        <f t="shared" si="48"/>
        <v/>
      </c>
      <c r="I410" s="1452"/>
      <c r="J410" s="1452"/>
      <c r="K410" s="1452"/>
      <c r="N410" s="611" t="s">
        <v>1485</v>
      </c>
      <c r="O410" s="611" t="str">
        <f t="shared" si="55"/>
        <v/>
      </c>
      <c r="P410" s="611" t="str">
        <f t="shared" si="49"/>
        <v>Page4!N</v>
      </c>
      <c r="Q410" s="611">
        <f t="shared" si="50"/>
        <v>44</v>
      </c>
      <c r="R410" s="1447">
        <f t="shared" ca="1" si="51"/>
        <v>0</v>
      </c>
      <c r="S410" s="1447">
        <f t="shared" ca="1" si="52"/>
        <v>0</v>
      </c>
      <c r="V410" s="2557" t="str">
        <f t="shared" ca="1" si="53"/>
        <v/>
      </c>
      <c r="W410" s="611" t="str">
        <f t="shared" ca="1" si="54"/>
        <v>Page4, Ligne 41 [Page4!N44]  -</v>
      </c>
    </row>
    <row r="411" spans="1:23">
      <c r="A411" s="1117" t="str">
        <f>celladdr(Page4!N45)</f>
        <v>Page4!N45</v>
      </c>
      <c r="B411" s="1456" t="s">
        <v>1086</v>
      </c>
      <c r="D411" s="1450"/>
      <c r="E411" s="1450"/>
      <c r="F411" s="1450"/>
      <c r="G411" s="1444" t="str">
        <f t="shared" si="48"/>
        <v/>
      </c>
      <c r="I411" s="1452"/>
      <c r="J411" s="1452"/>
      <c r="K411" s="1452"/>
      <c r="N411" s="611" t="s">
        <v>1486</v>
      </c>
      <c r="O411" s="611" t="str">
        <f t="shared" si="55"/>
        <v/>
      </c>
      <c r="P411" s="611" t="str">
        <f t="shared" si="49"/>
        <v>Page4!N</v>
      </c>
      <c r="Q411" s="611">
        <f t="shared" si="50"/>
        <v>45</v>
      </c>
      <c r="R411" s="1447">
        <f t="shared" ca="1" si="51"/>
        <v>0</v>
      </c>
      <c r="S411" s="1447">
        <f t="shared" ca="1" si="52"/>
        <v>0</v>
      </c>
      <c r="V411" s="2557" t="str">
        <f t="shared" ca="1" si="53"/>
        <v/>
      </c>
      <c r="W411" s="611" t="str">
        <f t="shared" ca="1" si="54"/>
        <v>Page4, Ligne 42 [Page4!N45]  -</v>
      </c>
    </row>
    <row r="412" spans="1:23">
      <c r="A412" s="1117" t="str">
        <f>celladdr(Page4!N46)</f>
        <v>Page4!N46</v>
      </c>
      <c r="B412" s="1456" t="s">
        <v>1086</v>
      </c>
      <c r="D412" s="1450"/>
      <c r="E412" s="1450"/>
      <c r="F412" s="1450"/>
      <c r="G412" s="1444" t="str">
        <f t="shared" si="48"/>
        <v/>
      </c>
      <c r="I412" s="1452"/>
      <c r="J412" s="1452"/>
      <c r="K412" s="1452"/>
      <c r="N412" s="611" t="s">
        <v>1487</v>
      </c>
      <c r="O412" s="611" t="str">
        <f t="shared" si="55"/>
        <v/>
      </c>
      <c r="P412" s="611" t="str">
        <f t="shared" si="49"/>
        <v>Page4!N</v>
      </c>
      <c r="Q412" s="611">
        <f t="shared" si="50"/>
        <v>46</v>
      </c>
      <c r="R412" s="1447">
        <f t="shared" ca="1" si="51"/>
        <v>0</v>
      </c>
      <c r="S412" s="1447">
        <f t="shared" ca="1" si="52"/>
        <v>0</v>
      </c>
      <c r="V412" s="2557" t="str">
        <f t="shared" ca="1" si="53"/>
        <v/>
      </c>
      <c r="W412" s="611" t="str">
        <f t="shared" ca="1" si="54"/>
        <v>Page4, Ligne 43 [Page4!N46]  -</v>
      </c>
    </row>
    <row r="413" spans="1:23">
      <c r="A413" s="1117" t="str">
        <f>celladdr(Page4!N47)</f>
        <v>Page4!N47</v>
      </c>
      <c r="B413" s="1456" t="s">
        <v>1086</v>
      </c>
      <c r="D413" s="1450"/>
      <c r="E413" s="1450"/>
      <c r="F413" s="1450"/>
      <c r="G413" s="1444" t="str">
        <f t="shared" si="48"/>
        <v/>
      </c>
      <c r="I413" s="1452"/>
      <c r="J413" s="1452"/>
      <c r="K413" s="1452"/>
      <c r="N413" s="611" t="s">
        <v>1488</v>
      </c>
      <c r="O413" s="611" t="str">
        <f t="shared" si="55"/>
        <v/>
      </c>
      <c r="P413" s="611" t="str">
        <f t="shared" si="49"/>
        <v>Page4!N</v>
      </c>
      <c r="Q413" s="611">
        <f t="shared" si="50"/>
        <v>47</v>
      </c>
      <c r="R413" s="1447">
        <f t="shared" ca="1" si="51"/>
        <v>0</v>
      </c>
      <c r="S413" s="1447">
        <f t="shared" ca="1" si="52"/>
        <v>0</v>
      </c>
      <c r="V413" s="2557" t="str">
        <f t="shared" ca="1" si="53"/>
        <v/>
      </c>
      <c r="W413" s="611" t="str">
        <f t="shared" ca="1" si="54"/>
        <v>Page4, Ligne 44 [Page4!N47]  -</v>
      </c>
    </row>
    <row r="414" spans="1:23">
      <c r="A414" s="1117" t="str">
        <f>celladdr(Page4!N48)</f>
        <v>Page4!N48</v>
      </c>
      <c r="B414" s="1456" t="s">
        <v>1086</v>
      </c>
      <c r="D414" s="1450"/>
      <c r="E414" s="1450"/>
      <c r="F414" s="1450"/>
      <c r="G414" s="1444" t="str">
        <f t="shared" si="48"/>
        <v/>
      </c>
      <c r="I414" s="1452"/>
      <c r="J414" s="1452"/>
      <c r="K414" s="1452"/>
      <c r="N414" s="611" t="s">
        <v>1489</v>
      </c>
      <c r="O414" s="611" t="str">
        <f t="shared" si="55"/>
        <v/>
      </c>
      <c r="P414" s="611" t="str">
        <f t="shared" si="49"/>
        <v>Page4!N</v>
      </c>
      <c r="Q414" s="611">
        <f t="shared" si="50"/>
        <v>48</v>
      </c>
      <c r="R414" s="1447">
        <f t="shared" ca="1" si="51"/>
        <v>0</v>
      </c>
      <c r="S414" s="1447">
        <f t="shared" ca="1" si="52"/>
        <v>0</v>
      </c>
      <c r="V414" s="2557" t="str">
        <f t="shared" ca="1" si="53"/>
        <v/>
      </c>
      <c r="W414" s="611" t="str">
        <f t="shared" ca="1" si="54"/>
        <v>Page4, Ligne 45 [Page4!N48]  -</v>
      </c>
    </row>
    <row r="415" spans="1:23">
      <c r="A415" s="1117" t="str">
        <f>celladdr(Page4!N49)</f>
        <v>Page4!N49</v>
      </c>
      <c r="B415" s="1456" t="s">
        <v>1086</v>
      </c>
      <c r="D415" s="1450"/>
      <c r="E415" s="1450"/>
      <c r="F415" s="1450"/>
      <c r="G415" s="1444" t="str">
        <f t="shared" si="48"/>
        <v/>
      </c>
      <c r="I415" s="1452"/>
      <c r="J415" s="1452"/>
      <c r="K415" s="1452"/>
      <c r="N415" s="611" t="s">
        <v>1490</v>
      </c>
      <c r="O415" s="611" t="str">
        <f t="shared" si="55"/>
        <v/>
      </c>
      <c r="P415" s="611" t="str">
        <f t="shared" si="49"/>
        <v>Page4!N</v>
      </c>
      <c r="Q415" s="611">
        <f t="shared" si="50"/>
        <v>49</v>
      </c>
      <c r="R415" s="1447">
        <f t="shared" ca="1" si="51"/>
        <v>0</v>
      </c>
      <c r="S415" s="1447">
        <f t="shared" ca="1" si="52"/>
        <v>0</v>
      </c>
      <c r="V415" s="2557" t="str">
        <f t="shared" ca="1" si="53"/>
        <v/>
      </c>
      <c r="W415" s="611" t="str">
        <f t="shared" ca="1" si="54"/>
        <v>Page4, Ligne 46 [Page4!N49]  -</v>
      </c>
    </row>
    <row r="416" spans="1:23">
      <c r="A416" s="1117" t="str">
        <f>celladdr(Page4!N50)</f>
        <v>Page4!N50</v>
      </c>
      <c r="B416" s="1456" t="s">
        <v>1086</v>
      </c>
      <c r="D416" s="1450"/>
      <c r="E416" s="1450"/>
      <c r="F416" s="1450"/>
      <c r="G416" s="1444" t="str">
        <f t="shared" si="48"/>
        <v/>
      </c>
      <c r="I416" s="1452"/>
      <c r="J416" s="1452"/>
      <c r="K416" s="1452"/>
      <c r="N416" s="611" t="s">
        <v>1491</v>
      </c>
      <c r="O416" s="611" t="str">
        <f t="shared" si="55"/>
        <v/>
      </c>
      <c r="P416" s="611" t="str">
        <f t="shared" si="49"/>
        <v>Page4!N</v>
      </c>
      <c r="Q416" s="611">
        <f t="shared" si="50"/>
        <v>50</v>
      </c>
      <c r="R416" s="1447">
        <f t="shared" ca="1" si="51"/>
        <v>0</v>
      </c>
      <c r="S416" s="1447">
        <f t="shared" ca="1" si="52"/>
        <v>0</v>
      </c>
      <c r="V416" s="2557" t="str">
        <f t="shared" ca="1" si="53"/>
        <v/>
      </c>
      <c r="W416" s="611" t="str">
        <f t="shared" ca="1" si="54"/>
        <v>Page4, Ligne 47 [Page4!N50]  -</v>
      </c>
    </row>
    <row r="417" spans="1:23">
      <c r="A417" s="1117" t="str">
        <f>celladdr(Page4!N51)</f>
        <v>Page4!N51</v>
      </c>
      <c r="B417" s="1456" t="s">
        <v>1086</v>
      </c>
      <c r="D417" s="1450"/>
      <c r="E417" s="1450"/>
      <c r="F417" s="1450"/>
      <c r="G417" s="1444" t="str">
        <f t="shared" si="48"/>
        <v/>
      </c>
      <c r="I417" s="1452"/>
      <c r="J417" s="1452"/>
      <c r="K417" s="1452"/>
      <c r="N417" s="611" t="s">
        <v>1492</v>
      </c>
      <c r="O417" s="611" t="str">
        <f t="shared" si="55"/>
        <v/>
      </c>
      <c r="P417" s="611" t="str">
        <f t="shared" si="49"/>
        <v>Page4!N</v>
      </c>
      <c r="Q417" s="611">
        <f t="shared" si="50"/>
        <v>51</v>
      </c>
      <c r="R417" s="1447">
        <f t="shared" ca="1" si="51"/>
        <v>0</v>
      </c>
      <c r="S417" s="1447">
        <f t="shared" ca="1" si="52"/>
        <v>0</v>
      </c>
      <c r="V417" s="2557" t="str">
        <f t="shared" ca="1" si="53"/>
        <v/>
      </c>
      <c r="W417" s="611" t="str">
        <f t="shared" ca="1" si="54"/>
        <v>Page4, Ligne 48 [Page4!N51]  -</v>
      </c>
    </row>
    <row r="418" spans="1:23">
      <c r="A418" s="1117" t="str">
        <f>celladdr(Page4!N53)</f>
        <v>Page4!N53</v>
      </c>
      <c r="B418" s="1456" t="s">
        <v>1086</v>
      </c>
      <c r="D418" s="1450"/>
      <c r="E418" s="1450"/>
      <c r="F418" s="1450"/>
      <c r="G418" s="1444" t="str">
        <f t="shared" si="48"/>
        <v/>
      </c>
      <c r="I418" s="1452"/>
      <c r="J418" s="1452"/>
      <c r="K418" s="1452"/>
      <c r="N418" s="611" t="s">
        <v>1493</v>
      </c>
      <c r="O418" s="611" t="str">
        <f t="shared" si="55"/>
        <v/>
      </c>
      <c r="P418" s="611" t="str">
        <f t="shared" si="49"/>
        <v>Page4!N</v>
      </c>
      <c r="Q418" s="611">
        <f t="shared" si="50"/>
        <v>53</v>
      </c>
      <c r="R418" s="1447">
        <f t="shared" ca="1" si="51"/>
        <v>0</v>
      </c>
      <c r="S418" s="1447">
        <f t="shared" ca="1" si="52"/>
        <v>0</v>
      </c>
      <c r="V418" s="2557" t="str">
        <f t="shared" ca="1" si="53"/>
        <v/>
      </c>
      <c r="W418" s="611" t="str">
        <f t="shared" ca="1" si="54"/>
        <v>Page4, Ligne 50 [Page4!N53]  -</v>
      </c>
    </row>
    <row r="419" spans="1:23">
      <c r="A419" s="1117" t="str">
        <f>celladdr(Page4!N54)</f>
        <v>Page4!N54</v>
      </c>
      <c r="B419" s="1456" t="s">
        <v>1086</v>
      </c>
      <c r="D419" s="1450"/>
      <c r="E419" s="1450"/>
      <c r="F419" s="1450"/>
      <c r="G419" s="1444" t="str">
        <f t="shared" si="48"/>
        <v/>
      </c>
      <c r="I419" s="1452"/>
      <c r="J419" s="1452"/>
      <c r="K419" s="1452"/>
      <c r="N419" s="611" t="s">
        <v>1494</v>
      </c>
      <c r="O419" s="611" t="str">
        <f t="shared" si="55"/>
        <v/>
      </c>
      <c r="P419" s="611" t="str">
        <f t="shared" si="49"/>
        <v>Page4!N</v>
      </c>
      <c r="Q419" s="611">
        <f t="shared" si="50"/>
        <v>54</v>
      </c>
      <c r="R419" s="1447">
        <f t="shared" ca="1" si="51"/>
        <v>0</v>
      </c>
      <c r="S419" s="1447">
        <f t="shared" ca="1" si="52"/>
        <v>0</v>
      </c>
      <c r="V419" s="2557" t="str">
        <f t="shared" ca="1" si="53"/>
        <v/>
      </c>
      <c r="W419" s="611" t="str">
        <f t="shared" ca="1" si="54"/>
        <v>Page4, Ligne 51 [Page4!N54]  -</v>
      </c>
    </row>
    <row r="420" spans="1:23">
      <c r="A420" s="1117" t="str">
        <f>celladdr(Page4!N55)</f>
        <v>Page4!N55</v>
      </c>
      <c r="B420" s="1456" t="s">
        <v>1086</v>
      </c>
      <c r="D420" s="1450"/>
      <c r="E420" s="1450"/>
      <c r="F420" s="1450"/>
      <c r="G420" s="1444" t="str">
        <f t="shared" si="48"/>
        <v/>
      </c>
      <c r="I420" s="1452"/>
      <c r="J420" s="1452"/>
      <c r="K420" s="1452"/>
      <c r="N420" s="611" t="s">
        <v>1495</v>
      </c>
      <c r="O420" s="611" t="str">
        <f t="shared" si="55"/>
        <v/>
      </c>
      <c r="P420" s="611" t="str">
        <f t="shared" si="49"/>
        <v>Page4!N</v>
      </c>
      <c r="Q420" s="611">
        <f t="shared" si="50"/>
        <v>55</v>
      </c>
      <c r="R420" s="1447">
        <f t="shared" ca="1" si="51"/>
        <v>0</v>
      </c>
      <c r="S420" s="1447">
        <f t="shared" ca="1" si="52"/>
        <v>0</v>
      </c>
      <c r="V420" s="2557" t="str">
        <f t="shared" ca="1" si="53"/>
        <v/>
      </c>
      <c r="W420" s="611" t="str">
        <f t="shared" ca="1" si="54"/>
        <v>Page4, Ligne 52 [Page4!N55]  -</v>
      </c>
    </row>
    <row r="421" spans="1:23">
      <c r="A421" s="1117" t="str">
        <f>celladdr(Page4!N56)</f>
        <v>Page4!N56</v>
      </c>
      <c r="B421" s="1456" t="s">
        <v>1086</v>
      </c>
      <c r="D421" s="1450"/>
      <c r="E421" s="1450"/>
      <c r="F421" s="1450"/>
      <c r="G421" s="1444" t="str">
        <f t="shared" si="48"/>
        <v/>
      </c>
      <c r="I421" s="1452"/>
      <c r="J421" s="1452"/>
      <c r="K421" s="1452"/>
      <c r="N421" s="611" t="s">
        <v>1496</v>
      </c>
      <c r="O421" s="611" t="str">
        <f t="shared" si="55"/>
        <v/>
      </c>
      <c r="P421" s="611" t="str">
        <f t="shared" si="49"/>
        <v>Page4!N</v>
      </c>
      <c r="Q421" s="611">
        <f t="shared" si="50"/>
        <v>56</v>
      </c>
      <c r="R421" s="1447">
        <f t="shared" ca="1" si="51"/>
        <v>0</v>
      </c>
      <c r="S421" s="1447">
        <f t="shared" ca="1" si="52"/>
        <v>0</v>
      </c>
      <c r="V421" s="2557" t="str">
        <f t="shared" ca="1" si="53"/>
        <v/>
      </c>
      <c r="W421" s="611" t="str">
        <f t="shared" ca="1" si="54"/>
        <v>Page4, Ligne 53 [Page4!N56]  -</v>
      </c>
    </row>
    <row r="422" spans="1:23">
      <c r="A422" s="1117" t="str">
        <f>celladdr(Page4!N57)</f>
        <v>Page4!N57</v>
      </c>
      <c r="B422" s="1456" t="s">
        <v>1086</v>
      </c>
      <c r="D422" s="1450"/>
      <c r="E422" s="1450"/>
      <c r="F422" s="1450"/>
      <c r="G422" s="1444" t="str">
        <f t="shared" si="48"/>
        <v/>
      </c>
      <c r="I422" s="1452"/>
      <c r="J422" s="1452"/>
      <c r="K422" s="1452"/>
      <c r="N422" s="611" t="s">
        <v>1497</v>
      </c>
      <c r="O422" s="611" t="str">
        <f t="shared" si="55"/>
        <v/>
      </c>
      <c r="P422" s="611" t="str">
        <f t="shared" si="49"/>
        <v>Page4!N</v>
      </c>
      <c r="Q422" s="611">
        <f t="shared" si="50"/>
        <v>57</v>
      </c>
      <c r="R422" s="1447">
        <f t="shared" ca="1" si="51"/>
        <v>0</v>
      </c>
      <c r="S422" s="1447">
        <f t="shared" ca="1" si="52"/>
        <v>0</v>
      </c>
      <c r="V422" s="2557" t="str">
        <f t="shared" ca="1" si="53"/>
        <v/>
      </c>
      <c r="W422" s="611" t="str">
        <f t="shared" ca="1" si="54"/>
        <v>Page4, Ligne 54 [Page4!N57]  -</v>
      </c>
    </row>
    <row r="423" spans="1:23">
      <c r="A423" s="1117" t="str">
        <f>celladdr(Page4!N62)</f>
        <v>Page4!N62</v>
      </c>
      <c r="B423" s="1456" t="s">
        <v>1086</v>
      </c>
      <c r="C423" s="1445" t="b">
        <f>(Page4!$N$62+Page4!$F$62+Page4!$J$62)&lt;&gt;0</f>
        <v>0</v>
      </c>
      <c r="D423" s="1450"/>
      <c r="E423" s="1450"/>
      <c r="F423" s="1454"/>
      <c r="G423" s="1444" t="str">
        <f t="shared" si="48"/>
        <v/>
      </c>
      <c r="H423" s="1446" t="str">
        <f>IF(C423=TRUE,Comments!$B$63&amp;DOLLAR(Page4!$N$62+(Page4!$F$62+Page4!$J$62),0),"")</f>
        <v/>
      </c>
      <c r="I423" s="1446"/>
      <c r="J423" s="1446"/>
      <c r="K423" s="1446"/>
      <c r="N423" s="611" t="s">
        <v>1456</v>
      </c>
      <c r="O423" s="611" t="str">
        <f t="shared" si="55"/>
        <v/>
      </c>
      <c r="P423" s="611" t="str">
        <f t="shared" si="49"/>
        <v>Page4!N</v>
      </c>
      <c r="Q423" s="611">
        <f t="shared" si="50"/>
        <v>62</v>
      </c>
      <c r="R423" s="1447">
        <f t="shared" ca="1" si="51"/>
        <v>0</v>
      </c>
      <c r="S423" s="1447">
        <f t="shared" ca="1" si="52"/>
        <v>0</v>
      </c>
      <c r="V423" s="2557" t="str">
        <f t="shared" ca="1" si="53"/>
        <v/>
      </c>
      <c r="W423" s="611" t="str">
        <f t="shared" ca="1" si="54"/>
        <v>Page4, Ligne 59 [Page4!N62]  -</v>
      </c>
    </row>
    <row r="424" spans="1:23">
      <c r="A424" s="1443" t="str">
        <f>celladdr(Page4!N63)</f>
        <v>Page4!N63</v>
      </c>
      <c r="B424" s="1464" t="s">
        <v>1086</v>
      </c>
      <c r="C424" s="1445" t="b">
        <f>OR(Page3!$F$63+Page3!$J$63+Page3!$N$63+Page4!$F$63+Page4!$J$63+Page4!$N$63+Page4!$R$63&gt;100,Page3!$F$63+Page3!$J$63+Page3!$N$63+Page4!$F$63+Page4!$J$63+Page4!$N$63+Page4!$R$63&lt;-100)</f>
        <v>0</v>
      </c>
      <c r="D424" s="1445" t="b">
        <f>ABS(Page4!N$63)&gt;ABS(Page4!$R$63)</f>
        <v>0</v>
      </c>
      <c r="F424" s="1454"/>
      <c r="G424" s="1444" t="str">
        <f t="shared" si="48"/>
        <v/>
      </c>
      <c r="H424" s="1446" t="str">
        <f>IF(C424=TRUE,Comments!$B$15&amp;DOLLAR(Page4!$R$60+Page4!$F$63+Page4!$J$63+Page4!$N$63+Page3!$F$63+Page3!$J$63+Page3!$N$63,0),"")</f>
        <v/>
      </c>
      <c r="I424" s="1447" t="str">
        <f>IF(D424=TRUE,Comments!$B$71,"")</f>
        <v/>
      </c>
      <c r="J424" s="1452"/>
      <c r="K424" s="1452"/>
      <c r="N424" s="611" t="s">
        <v>1498</v>
      </c>
      <c r="O424" s="611" t="str">
        <f t="shared" si="55"/>
        <v/>
      </c>
      <c r="P424" s="611" t="str">
        <f t="shared" si="49"/>
        <v>Page4!N</v>
      </c>
      <c r="Q424" s="611">
        <f t="shared" si="50"/>
        <v>63</v>
      </c>
      <c r="R424" s="1447">
        <f t="shared" ca="1" si="51"/>
        <v>0</v>
      </c>
      <c r="S424" s="1447">
        <f t="shared" ca="1" si="52"/>
        <v>0</v>
      </c>
      <c r="V424" s="2557" t="str">
        <f t="shared" ca="1" si="53"/>
        <v/>
      </c>
      <c r="W424" s="611" t="str">
        <f t="shared" ca="1" si="54"/>
        <v>Page4, Ligne 60 [Page4!N63]  -</v>
      </c>
    </row>
    <row r="425" spans="1:23">
      <c r="A425" s="1117" t="str">
        <f>celladdr(Page4!N64)</f>
        <v>Page4!N64</v>
      </c>
      <c r="B425" s="1444" t="s">
        <v>1086</v>
      </c>
      <c r="C425" s="1445" t="b">
        <f>Page4!$N$64&lt;&gt;Page4!$N$61+Page4!$N$62+Page4!$N$63</f>
        <v>0</v>
      </c>
      <c r="D425" s="1454"/>
      <c r="E425" s="1454"/>
      <c r="F425" s="1454"/>
      <c r="G425" s="1444" t="str">
        <f t="shared" si="48"/>
        <v/>
      </c>
      <c r="H425" s="1446" t="str">
        <f>IF(C425=TRUE,Comments!$B$14&amp;DOLLAR(Page4!$N$64-(Page4!$N$61+Page4!$N$62+Page4!$N$63),0),"")</f>
        <v/>
      </c>
      <c r="I425" s="1452"/>
      <c r="J425" s="1452"/>
      <c r="K425" s="1452"/>
      <c r="N425" s="611" t="s">
        <v>1499</v>
      </c>
      <c r="O425" s="611" t="str">
        <f t="shared" si="55"/>
        <v/>
      </c>
      <c r="P425" s="611" t="str">
        <f t="shared" si="49"/>
        <v>Page4!N</v>
      </c>
      <c r="Q425" s="611">
        <f t="shared" si="50"/>
        <v>64</v>
      </c>
      <c r="R425" s="1447">
        <f t="shared" ca="1" si="51"/>
        <v>0</v>
      </c>
      <c r="S425" s="1447">
        <f t="shared" ca="1" si="52"/>
        <v>0</v>
      </c>
      <c r="V425" s="2557" t="str">
        <f t="shared" ca="1" si="53"/>
        <v/>
      </c>
      <c r="W425" s="611" t="str">
        <f t="shared" ca="1" si="54"/>
        <v>Page4, Ligne 61 [Page4!N64]  -</v>
      </c>
    </row>
    <row r="426" spans="1:23">
      <c r="A426" s="1117" t="str">
        <f>celladdr(Page4!N66)</f>
        <v>Page4!N66</v>
      </c>
      <c r="B426" s="1460" t="s">
        <v>1086</v>
      </c>
      <c r="C426" s="1450" t="b">
        <f>OR(AND(Page4!$N$66=0,Page6!$G$46&lt;&gt;0),ISNUMBER(Page4!N66)=FALSE)</f>
        <v>0</v>
      </c>
      <c r="D426" s="1450" t="b">
        <f>Page4!N66&gt;INDEX(Max_Table,L426)</f>
        <v>0</v>
      </c>
      <c r="E426" s="1450" t="b">
        <f>Page4!N66&gt;INDEX(Max_Table,M426)</f>
        <v>0</v>
      </c>
      <c r="F426" s="1450"/>
      <c r="G426" s="1444" t="str">
        <f t="shared" si="48"/>
        <v/>
      </c>
      <c r="H426" s="1452" t="str">
        <f>IF(ISNUMBER(Page4!N66)=FALSE,Comments!$B$86,IF(C426=TRUE,Comments!$B$82,""))</f>
        <v/>
      </c>
      <c r="I426" s="1452" t="str">
        <f>IF(D426=TRUE,Comments!$B$87&amp;Comments!$B$19&amp;IFERROR(DOLLAR(Page4!$N66,2),"")&amp;Comments!$B$18&amp;DOLLAR(INDEX(Max_Table,$L426),2),"")</f>
        <v/>
      </c>
      <c r="J426" s="1452" t="str">
        <f>IF(E426=TRUE,Comments!$B$73&amp;Comments!$B$19&amp;IFERROR(DOLLAR(Page4!$N66,2),"")&amp;Comments!$B$18&amp;DOLLAR(INDEX(Max_Table,$M426),2),"")</f>
        <v/>
      </c>
      <c r="K426" s="1452"/>
      <c r="L426" s="611">
        <f>ROW(OR_VEH!$A695)</f>
        <v>695</v>
      </c>
      <c r="M426" s="611">
        <f>ROW(OR_VEH!$A694)</f>
        <v>694</v>
      </c>
      <c r="N426" s="611" t="s">
        <v>1500</v>
      </c>
      <c r="O426" s="611" t="str">
        <f t="shared" si="55"/>
        <v/>
      </c>
      <c r="P426" s="611" t="str">
        <f t="shared" si="49"/>
        <v>Page4!N</v>
      </c>
      <c r="Q426" s="611">
        <f t="shared" si="50"/>
        <v>66</v>
      </c>
      <c r="R426" s="1447">
        <f t="shared" ca="1" si="51"/>
        <v>0</v>
      </c>
      <c r="S426" s="1447">
        <f t="shared" ca="1" si="52"/>
        <v>0</v>
      </c>
      <c r="T426" s="611">
        <v>73</v>
      </c>
      <c r="V426" s="2557" t="str">
        <f t="shared" ca="1" si="53"/>
        <v/>
      </c>
      <c r="W426" s="611" t="str">
        <f t="shared" ca="1" si="54"/>
        <v>Page4, Ligne 63 [Page4!N66]  -</v>
      </c>
    </row>
    <row r="427" spans="1:23">
      <c r="A427" s="1117" t="str">
        <f>celladdr(Page4!N67)</f>
        <v>Page4!N67</v>
      </c>
      <c r="B427" s="1460" t="s">
        <v>1086</v>
      </c>
      <c r="C427" s="1450" t="b">
        <f>OR(AND(Page4!$N$67=0,Page6!$G$47&lt;&gt;0),ISNUMBER(Page4!N67)=FALSE)</f>
        <v>0</v>
      </c>
      <c r="D427" s="1450" t="b">
        <f>Page4!N67&gt;INDEX(Max_Table,L427)</f>
        <v>0</v>
      </c>
      <c r="E427" s="1450" t="b">
        <f>Page4!N67&gt;INDEX(Max_Table,M427)</f>
        <v>0</v>
      </c>
      <c r="F427" s="1450"/>
      <c r="G427" s="1444" t="str">
        <f t="shared" si="48"/>
        <v/>
      </c>
      <c r="H427" s="1452" t="str">
        <f>IF(ISNUMBER(Page4!N67)=FALSE,Comments!$B$86,IF(C427=TRUE,Comments!$B$82,""))</f>
        <v/>
      </c>
      <c r="I427" s="1452" t="str">
        <f>IF(D427=TRUE,Comments!$B$87&amp;Comments!$B$19&amp;IFERROR(DOLLAR(Page4!$N67,2),"")&amp;Comments!$B$18&amp;DOLLAR(INDEX(Max_Table,$L427),2),"")</f>
        <v/>
      </c>
      <c r="J427" s="1452" t="str">
        <f>IF(E427=TRUE,Comments!$B$73&amp;Comments!$B$19&amp;IFERROR(DOLLAR(Page4!$N67,2),"")&amp;Comments!$B$18&amp;DOLLAR(INDEX(Max_Table,$M427),2),"")</f>
        <v/>
      </c>
      <c r="K427" s="1452"/>
      <c r="L427" s="611">
        <f>ROW(OR_VEH!$A697)</f>
        <v>697</v>
      </c>
      <c r="M427" s="611">
        <f>ROW(OR_VEH!$A696)</f>
        <v>696</v>
      </c>
      <c r="N427" s="611" t="s">
        <v>1501</v>
      </c>
      <c r="O427" s="611" t="str">
        <f t="shared" si="55"/>
        <v/>
      </c>
      <c r="P427" s="611" t="str">
        <f t="shared" si="49"/>
        <v>Page4!N</v>
      </c>
      <c r="Q427" s="611">
        <f t="shared" si="50"/>
        <v>67</v>
      </c>
      <c r="R427" s="1447">
        <f t="shared" ca="1" si="51"/>
        <v>0</v>
      </c>
      <c r="S427" s="1447">
        <f t="shared" ca="1" si="52"/>
        <v>0</v>
      </c>
      <c r="T427" s="611">
        <v>73</v>
      </c>
      <c r="V427" s="2557" t="str">
        <f t="shared" ca="1" si="53"/>
        <v/>
      </c>
      <c r="W427" s="611" t="str">
        <f t="shared" ca="1" si="54"/>
        <v>Page4, Ligne 64 [Page4!N67]  -</v>
      </c>
    </row>
    <row r="428" spans="1:23">
      <c r="A428" s="1117" t="str">
        <f>celladdr(Page4!N68)</f>
        <v>Page4!N68</v>
      </c>
      <c r="B428" s="1460" t="s">
        <v>1086</v>
      </c>
      <c r="C428" s="1450" t="b">
        <f>OR(AND(Page4!$N$68=0,Page6!$G$44&lt;&gt;0),ISNUMBER(Page4!N68)=FALSE)</f>
        <v>0</v>
      </c>
      <c r="D428" s="1450" t="b">
        <f>Page4!N68&gt;INDEX(Max_Table,L428)</f>
        <v>0</v>
      </c>
      <c r="E428" s="1450" t="b">
        <f>Page4!N68&gt;INDEX(Max_Table,M428)</f>
        <v>0</v>
      </c>
      <c r="F428" s="1450"/>
      <c r="G428" s="1444" t="str">
        <f t="shared" si="48"/>
        <v/>
      </c>
      <c r="H428" s="1452" t="str">
        <f>IF(ISNUMBER(Page4!N68)=FALSE,Comments!$B$86,IF(C428=TRUE,Comments!$B$82,""))</f>
        <v/>
      </c>
      <c r="I428" s="1452" t="str">
        <f>IF(D428=TRUE,Comments!$B$87&amp;Comments!$B$19&amp;IFERROR(DOLLAR(Page4!$N68,2),"")&amp;Comments!$B$18&amp;DOLLAR(INDEX(Max_Table,$L428),2),"")</f>
        <v/>
      </c>
      <c r="J428" s="1452" t="str">
        <f>IF(E428=TRUE,Comments!$B$73&amp;Comments!$B$19&amp;IFERROR(DOLLAR(Page4!$N68,2),"")&amp;Comments!$B$18&amp;DOLLAR(INDEX(Max_Table,$M428),2),"")</f>
        <v/>
      </c>
      <c r="K428" s="1452"/>
      <c r="L428" s="611">
        <f>ROW(OR_VEH!$A691)</f>
        <v>691</v>
      </c>
      <c r="M428" s="611">
        <f>ROW(OR_VEH!$A690)</f>
        <v>690</v>
      </c>
      <c r="N428" s="611" t="s">
        <v>1502</v>
      </c>
      <c r="O428" s="611" t="str">
        <f t="shared" si="55"/>
        <v/>
      </c>
      <c r="P428" s="611" t="str">
        <f t="shared" si="49"/>
        <v>Page4!N</v>
      </c>
      <c r="Q428" s="611">
        <f t="shared" si="50"/>
        <v>68</v>
      </c>
      <c r="R428" s="1447">
        <f t="shared" ca="1" si="51"/>
        <v>0</v>
      </c>
      <c r="S428" s="1447">
        <f t="shared" ca="1" si="52"/>
        <v>0</v>
      </c>
      <c r="T428" s="611">
        <v>73</v>
      </c>
      <c r="V428" s="2557" t="str">
        <f t="shared" ca="1" si="53"/>
        <v/>
      </c>
      <c r="W428" s="611" t="str">
        <f t="shared" ca="1" si="54"/>
        <v>Page4, Ligne 65 [Page4!N68]  -</v>
      </c>
    </row>
    <row r="429" spans="1:23">
      <c r="A429" s="1117" t="str">
        <f>celladdr(Page4!N69)</f>
        <v>Page4!N69</v>
      </c>
      <c r="B429" s="1460" t="s">
        <v>1086</v>
      </c>
      <c r="C429" s="1450" t="b">
        <f>OR(AND(Page4!$N$69=0,Page6!$G$45&lt;&gt;0),ISNUMBER(Page4!N69)=FALSE)</f>
        <v>0</v>
      </c>
      <c r="D429" s="1450" t="b">
        <f>Page4!N69&gt;INDEX(Max_Table,L429)</f>
        <v>0</v>
      </c>
      <c r="E429" s="1450" t="b">
        <f>Page4!N69&gt;INDEX(Max_Table,M429)</f>
        <v>0</v>
      </c>
      <c r="F429" s="1450"/>
      <c r="G429" s="1444" t="str">
        <f t="shared" si="48"/>
        <v/>
      </c>
      <c r="H429" s="1452" t="str">
        <f>IF(ISNUMBER(Page4!N69)=FALSE,Comments!$B$86,IF(C429=TRUE,Comments!$B$82,""))</f>
        <v/>
      </c>
      <c r="I429" s="1452" t="str">
        <f>IF(D429=TRUE,Comments!$B$87&amp;Comments!$B$19&amp;IFERROR(DOLLAR(Page4!$N69,2),"")&amp;Comments!$B$18&amp;DOLLAR(INDEX(Max_Table,$L429),2),"")</f>
        <v/>
      </c>
      <c r="J429" s="1452" t="str">
        <f>IF(E429=TRUE,Comments!$B$73&amp;Comments!$B$19&amp;IFERROR(DOLLAR(Page4!$N69,2),"")&amp;Comments!$B$18&amp;DOLLAR(INDEX(Max_Table,$M429),2),"")</f>
        <v/>
      </c>
      <c r="K429" s="1452"/>
      <c r="L429" s="611">
        <f>ROW(OR_VEH!$A693)</f>
        <v>693</v>
      </c>
      <c r="M429" s="611">
        <f>ROW(OR_VEH!$A692)</f>
        <v>692</v>
      </c>
      <c r="N429" s="611" t="s">
        <v>1503</v>
      </c>
      <c r="O429" s="611" t="str">
        <f t="shared" si="55"/>
        <v/>
      </c>
      <c r="P429" s="611" t="str">
        <f t="shared" si="49"/>
        <v>Page4!N</v>
      </c>
      <c r="Q429" s="611">
        <f t="shared" si="50"/>
        <v>69</v>
      </c>
      <c r="R429" s="1447">
        <f t="shared" ca="1" si="51"/>
        <v>0</v>
      </c>
      <c r="S429" s="1447">
        <f t="shared" ca="1" si="52"/>
        <v>0</v>
      </c>
      <c r="T429" s="611">
        <v>73</v>
      </c>
      <c r="V429" s="2557" t="str">
        <f t="shared" ca="1" si="53"/>
        <v/>
      </c>
      <c r="W429" s="611" t="str">
        <f t="shared" ca="1" si="54"/>
        <v>Page4, Ligne 66 [Page4!N69]  -</v>
      </c>
    </row>
    <row r="430" spans="1:23">
      <c r="A430" s="1117" t="str">
        <f>celladdr(Page4!P11)</f>
        <v>Page4!P11</v>
      </c>
      <c r="B430" s="1449" t="s">
        <v>1086</v>
      </c>
      <c r="C430" s="1445" t="b">
        <f>OR(AND(Page4!$P$11=0,Page7!$N$47&gt;0),AND(Page4!$P$11&gt;0,Page7!$N$47=0))</f>
        <v>0</v>
      </c>
      <c r="D430" s="1450"/>
      <c r="E430" s="1450"/>
      <c r="F430" s="1450"/>
      <c r="G430" s="1444" t="str">
        <f t="shared" si="48"/>
        <v/>
      </c>
      <c r="H430" s="1446" t="str">
        <f>IF(C430=TRUE,Comments!$B$13,"")</f>
        <v/>
      </c>
      <c r="I430" s="1446"/>
      <c r="J430" s="1452"/>
      <c r="K430" s="1452"/>
      <c r="N430" s="611" t="s">
        <v>1504</v>
      </c>
      <c r="O430" s="611" t="str">
        <f t="shared" si="55"/>
        <v/>
      </c>
      <c r="P430" s="611" t="str">
        <f t="shared" si="49"/>
        <v>Page4!P</v>
      </c>
      <c r="Q430" s="611">
        <f t="shared" si="50"/>
        <v>11</v>
      </c>
      <c r="R430" s="1447">
        <f t="shared" ca="1" si="51"/>
        <v>0</v>
      </c>
      <c r="S430" s="1447">
        <f t="shared" ca="1" si="52"/>
        <v>0</v>
      </c>
      <c r="V430" s="2557" t="str">
        <f t="shared" ca="1" si="53"/>
        <v/>
      </c>
      <c r="W430" s="611" t="str">
        <f t="shared" ca="1" si="54"/>
        <v>Page4, Ligne 8 [Page4!P11]  -</v>
      </c>
    </row>
    <row r="431" spans="1:23">
      <c r="A431" s="1117" t="str">
        <f>celladdr(Page4!P12)</f>
        <v>Page4!P12</v>
      </c>
      <c r="B431" s="1449" t="s">
        <v>1086</v>
      </c>
      <c r="C431" s="1445" t="b">
        <f>OR(AND(Page4!$P$12=0,Page7!$N$48&gt;0),AND(Page4!$P$12&gt;0,Page7!$N$48=0))</f>
        <v>0</v>
      </c>
      <c r="D431" s="1450"/>
      <c r="E431" s="1450"/>
      <c r="F431" s="1450"/>
      <c r="G431" s="1444" t="str">
        <f t="shared" si="48"/>
        <v/>
      </c>
      <c r="H431" s="1446" t="str">
        <f>IF(C431=TRUE,Comments!$B$13,"")</f>
        <v/>
      </c>
      <c r="I431" s="1446"/>
      <c r="J431" s="1452"/>
      <c r="K431" s="1452"/>
      <c r="N431" s="611" t="s">
        <v>1505</v>
      </c>
      <c r="O431" s="611" t="str">
        <f t="shared" si="55"/>
        <v/>
      </c>
      <c r="P431" s="611" t="str">
        <f t="shared" si="49"/>
        <v>Page4!P</v>
      </c>
      <c r="Q431" s="611">
        <f t="shared" si="50"/>
        <v>12</v>
      </c>
      <c r="R431" s="1447">
        <f t="shared" ca="1" si="51"/>
        <v>0</v>
      </c>
      <c r="S431" s="1447">
        <f t="shared" ca="1" si="52"/>
        <v>0</v>
      </c>
      <c r="V431" s="2557" t="str">
        <f t="shared" ca="1" si="53"/>
        <v/>
      </c>
      <c r="W431" s="611" t="str">
        <f t="shared" ca="1" si="54"/>
        <v>Page4, Ligne 9 [Page4!P12]  -</v>
      </c>
    </row>
    <row r="432" spans="1:23">
      <c r="A432" s="1117" t="str">
        <f>celladdr(Page4!P13)</f>
        <v>Page4!P13</v>
      </c>
      <c r="B432" s="1449" t="s">
        <v>1086</v>
      </c>
      <c r="C432" s="1445" t="b">
        <f>OR(AND(Page4!$P$13=0,Page7!$N$52&gt;0),AND(Page4!$P$13&gt;0,Page7!$N$52=0))</f>
        <v>0</v>
      </c>
      <c r="D432" s="1450"/>
      <c r="E432" s="1450"/>
      <c r="F432" s="1450"/>
      <c r="G432" s="1444" t="str">
        <f t="shared" si="48"/>
        <v/>
      </c>
      <c r="H432" s="1446" t="str">
        <f>IF(C432=TRUE,Comments!$B$13,"")</f>
        <v/>
      </c>
      <c r="I432" s="1446"/>
      <c r="J432" s="1452"/>
      <c r="K432" s="1452"/>
      <c r="N432" s="611" t="s">
        <v>1506</v>
      </c>
      <c r="O432" s="611" t="str">
        <f t="shared" si="55"/>
        <v/>
      </c>
      <c r="P432" s="611" t="str">
        <f t="shared" si="49"/>
        <v>Page4!P</v>
      </c>
      <c r="Q432" s="611">
        <f t="shared" si="50"/>
        <v>13</v>
      </c>
      <c r="R432" s="1447">
        <f t="shared" ca="1" si="51"/>
        <v>0</v>
      </c>
      <c r="S432" s="1447">
        <f t="shared" ca="1" si="52"/>
        <v>0</v>
      </c>
      <c r="V432" s="2557" t="str">
        <f t="shared" ca="1" si="53"/>
        <v/>
      </c>
      <c r="W432" s="611" t="str">
        <f t="shared" ca="1" si="54"/>
        <v>Page4, Ligne 10 [Page4!P13]  -</v>
      </c>
    </row>
    <row r="433" spans="1:23">
      <c r="A433" s="1117" t="str">
        <f>celladdr(Page4!P14)</f>
        <v>Page4!P14</v>
      </c>
      <c r="B433" s="1449" t="s">
        <v>1086</v>
      </c>
      <c r="C433" s="1445" t="b">
        <f>OR(AND(Page4!$P$14=0,(Page7!$N$49+Page7!$N$53)&gt;0),AND(Page4!$P$14&gt;0,(Page7!$N$49+Page7!$N$53)=0))</f>
        <v>0</v>
      </c>
      <c r="D433" s="1450"/>
      <c r="E433" s="1450"/>
      <c r="F433" s="1450"/>
      <c r="G433" s="1444" t="str">
        <f t="shared" si="48"/>
        <v/>
      </c>
      <c r="H433" s="1446" t="str">
        <f>IF(C433=TRUE,Comments!$B$13,"")</f>
        <v/>
      </c>
      <c r="I433" s="1446"/>
      <c r="J433" s="1452"/>
      <c r="K433" s="1452"/>
      <c r="N433" s="611" t="s">
        <v>1507</v>
      </c>
      <c r="O433" s="611" t="str">
        <f t="shared" si="55"/>
        <v/>
      </c>
      <c r="P433" s="611" t="str">
        <f t="shared" si="49"/>
        <v>Page4!P</v>
      </c>
      <c r="Q433" s="611">
        <f t="shared" si="50"/>
        <v>14</v>
      </c>
      <c r="R433" s="1447">
        <f t="shared" ca="1" si="51"/>
        <v>0</v>
      </c>
      <c r="S433" s="1447">
        <f t="shared" ca="1" si="52"/>
        <v>0</v>
      </c>
      <c r="V433" s="2557" t="str">
        <f t="shared" ca="1" si="53"/>
        <v/>
      </c>
      <c r="W433" s="611" t="str">
        <f t="shared" ca="1" si="54"/>
        <v>Page4, Ligne 11 [Page4!P14]  -</v>
      </c>
    </row>
    <row r="434" spans="1:23">
      <c r="A434" s="1117" t="str">
        <f>celladdr(Page4!P60)</f>
        <v>Page4!P60</v>
      </c>
      <c r="B434" s="1455" t="s">
        <v>1086</v>
      </c>
      <c r="C434" s="1445" t="b">
        <f>Page4!$P$60&lt;&gt;Page4!$P$58+Page4!$P$43+Page4!$P$20</f>
        <v>0</v>
      </c>
      <c r="D434" s="1454"/>
      <c r="E434" s="1454"/>
      <c r="F434" s="1454"/>
      <c r="G434" s="1444" t="str">
        <f t="shared" si="48"/>
        <v/>
      </c>
      <c r="H434" s="1446" t="str">
        <f>IF(C434=TRUE,Comments!$B$16&amp;DOLLAR(Page4!$P$60-(Page4!$P$58+Page4!$P$43+Page4!$P$20),0),"")</f>
        <v/>
      </c>
      <c r="I434" s="1452"/>
      <c r="J434" s="1452"/>
      <c r="K434" s="1452"/>
      <c r="N434" s="611" t="s">
        <v>1508</v>
      </c>
      <c r="O434" s="611" t="str">
        <f t="shared" si="55"/>
        <v/>
      </c>
      <c r="P434" s="611" t="str">
        <f t="shared" si="49"/>
        <v>Page4!P</v>
      </c>
      <c r="Q434" s="611">
        <f t="shared" si="50"/>
        <v>60</v>
      </c>
      <c r="R434" s="1447">
        <f t="shared" ca="1" si="51"/>
        <v>0</v>
      </c>
      <c r="S434" s="1447">
        <f t="shared" ca="1" si="52"/>
        <v>0</v>
      </c>
      <c r="V434" s="2557" t="str">
        <f t="shared" ca="1" si="53"/>
        <v/>
      </c>
      <c r="W434" s="611" t="str">
        <f t="shared" ca="1" si="54"/>
        <v>Page4, Ligne 57 [Page4!P60]  -</v>
      </c>
    </row>
    <row r="435" spans="1:23">
      <c r="A435" s="1443" t="str">
        <f>celladdr(Page4!P63)</f>
        <v>Page4!P63</v>
      </c>
      <c r="B435" s="1462" t="s">
        <v>1086</v>
      </c>
      <c r="C435" s="1445" t="b">
        <f>OR(Page3!$D$63+Page3!$H$63+Page3!$L$63+Page4!$D$63+Page4!$H$63+Page4!$L$63+Page4!$P$63&gt;100,Page3!$D$63+Page3!$H$63+Page3!$L$63+Page4!$D$63+Page4!$H$63+Page4!$L$63+Page4!$P$63&lt;-100)</f>
        <v>0</v>
      </c>
      <c r="G435" s="1444" t="str">
        <f t="shared" si="48"/>
        <v/>
      </c>
      <c r="H435" s="1446" t="str">
        <f>IF(C435=TRUE,Comments!$B$15&amp;DOLLAR(Page4!$P$60+Page4!$D$63+Page4!$H$63+Page4!$L$63+Page3!$D$63+Page3!$H$63+Page3!$L$63,0),"")</f>
        <v/>
      </c>
      <c r="K435" s="1452"/>
      <c r="N435" s="611" t="s">
        <v>1509</v>
      </c>
      <c r="O435" s="611" t="str">
        <f t="shared" si="55"/>
        <v/>
      </c>
      <c r="P435" s="611" t="str">
        <f t="shared" si="49"/>
        <v>Page4!P</v>
      </c>
      <c r="Q435" s="611">
        <f t="shared" si="50"/>
        <v>63</v>
      </c>
      <c r="R435" s="1447">
        <f t="shared" ca="1" si="51"/>
        <v>0</v>
      </c>
      <c r="S435" s="1447">
        <f t="shared" ca="1" si="52"/>
        <v>0</v>
      </c>
      <c r="V435" s="2557" t="str">
        <f t="shared" ca="1" si="53"/>
        <v/>
      </c>
      <c r="W435" s="611" t="str">
        <f t="shared" ca="1" si="54"/>
        <v>Page4, Ligne 60 [Page4!P63]  -</v>
      </c>
    </row>
    <row r="436" spans="1:23">
      <c r="A436" s="1117" t="str">
        <f>celladdr(Page4!R15)</f>
        <v>Page4!R15</v>
      </c>
      <c r="B436" s="1456" t="s">
        <v>1086</v>
      </c>
      <c r="D436" s="1450"/>
      <c r="E436" s="1450"/>
      <c r="F436" s="1450"/>
      <c r="G436" s="1444" t="str">
        <f t="shared" si="48"/>
        <v/>
      </c>
      <c r="H436" s="1446"/>
      <c r="I436" s="1446"/>
      <c r="J436" s="1452"/>
      <c r="K436" s="1452"/>
      <c r="N436" s="611" t="s">
        <v>1510</v>
      </c>
      <c r="O436" s="611" t="str">
        <f t="shared" si="55"/>
        <v/>
      </c>
      <c r="P436" s="611" t="str">
        <f t="shared" si="49"/>
        <v>Page4!R</v>
      </c>
      <c r="Q436" s="611">
        <f t="shared" si="50"/>
        <v>15</v>
      </c>
      <c r="R436" s="1447">
        <f t="shared" ca="1" si="51"/>
        <v>0</v>
      </c>
      <c r="S436" s="1447">
        <f t="shared" ca="1" si="52"/>
        <v>0</v>
      </c>
      <c r="V436" s="2557" t="str">
        <f t="shared" ca="1" si="53"/>
        <v/>
      </c>
      <c r="W436" s="611" t="str">
        <f t="shared" ca="1" si="54"/>
        <v>Page4, Ligne 12 [Page4!R15]  -</v>
      </c>
    </row>
    <row r="437" spans="1:23">
      <c r="A437" s="1117" t="str">
        <f>celladdr(Page4!R16)</f>
        <v>Page4!R16</v>
      </c>
      <c r="B437" s="1456" t="s">
        <v>1086</v>
      </c>
      <c r="D437" s="1450"/>
      <c r="E437" s="1450"/>
      <c r="F437" s="1450"/>
      <c r="G437" s="1444" t="str">
        <f t="shared" si="48"/>
        <v/>
      </c>
      <c r="H437" s="1446"/>
      <c r="I437" s="1446"/>
      <c r="J437" s="1452"/>
      <c r="K437" s="1452"/>
      <c r="N437" s="611" t="s">
        <v>1511</v>
      </c>
      <c r="O437" s="611" t="str">
        <f t="shared" si="55"/>
        <v/>
      </c>
      <c r="P437" s="611" t="str">
        <f t="shared" si="49"/>
        <v>Page4!R</v>
      </c>
      <c r="Q437" s="611">
        <f t="shared" si="50"/>
        <v>16</v>
      </c>
      <c r="R437" s="1447">
        <f t="shared" ca="1" si="51"/>
        <v>0</v>
      </c>
      <c r="S437" s="1447">
        <f t="shared" ca="1" si="52"/>
        <v>0</v>
      </c>
      <c r="V437" s="2557" t="str">
        <f t="shared" ca="1" si="53"/>
        <v/>
      </c>
      <c r="W437" s="611" t="str">
        <f t="shared" ca="1" si="54"/>
        <v>Page4, Ligne 13 [Page4!R16]  -</v>
      </c>
    </row>
    <row r="438" spans="1:23">
      <c r="A438" s="1117" t="str">
        <f>celladdr(Page4!R17)</f>
        <v>Page4!R17</v>
      </c>
      <c r="B438" s="1456" t="s">
        <v>1086</v>
      </c>
      <c r="D438" s="1450"/>
      <c r="E438" s="1450"/>
      <c r="F438" s="1450"/>
      <c r="G438" s="1444" t="str">
        <f t="shared" si="48"/>
        <v/>
      </c>
      <c r="H438" s="1446"/>
      <c r="I438" s="1446"/>
      <c r="J438" s="1452"/>
      <c r="K438" s="1452"/>
      <c r="N438" s="611" t="s">
        <v>1512</v>
      </c>
      <c r="O438" s="611" t="str">
        <f t="shared" si="55"/>
        <v/>
      </c>
      <c r="P438" s="611" t="str">
        <f t="shared" si="49"/>
        <v>Page4!R</v>
      </c>
      <c r="Q438" s="611">
        <f t="shared" si="50"/>
        <v>17</v>
      </c>
      <c r="R438" s="1447">
        <f t="shared" ca="1" si="51"/>
        <v>0</v>
      </c>
      <c r="S438" s="1447">
        <f t="shared" ca="1" si="52"/>
        <v>0</v>
      </c>
      <c r="V438" s="2557" t="str">
        <f t="shared" ca="1" si="53"/>
        <v/>
      </c>
      <c r="W438" s="611" t="str">
        <f t="shared" ca="1" si="54"/>
        <v>Page4, Ligne 14 [Page4!R17]  -</v>
      </c>
    </row>
    <row r="439" spans="1:23">
      <c r="A439" s="1117" t="str">
        <f>celladdr(Page4!R18)</f>
        <v>Page4!R18</v>
      </c>
      <c r="B439" s="1456" t="s">
        <v>1086</v>
      </c>
      <c r="D439" s="1450"/>
      <c r="E439" s="1450"/>
      <c r="F439" s="1450"/>
      <c r="G439" s="1444" t="str">
        <f t="shared" si="48"/>
        <v/>
      </c>
      <c r="H439" s="1446"/>
      <c r="I439" s="1446"/>
      <c r="J439" s="1452"/>
      <c r="K439" s="1452"/>
      <c r="N439" s="611" t="s">
        <v>1513</v>
      </c>
      <c r="O439" s="611" t="str">
        <f t="shared" si="55"/>
        <v/>
      </c>
      <c r="P439" s="611" t="str">
        <f t="shared" si="49"/>
        <v>Page4!R</v>
      </c>
      <c r="Q439" s="611">
        <f t="shared" si="50"/>
        <v>18</v>
      </c>
      <c r="R439" s="1447">
        <f t="shared" ca="1" si="51"/>
        <v>0</v>
      </c>
      <c r="S439" s="1447">
        <f t="shared" ca="1" si="52"/>
        <v>0</v>
      </c>
      <c r="V439" s="2557" t="str">
        <f t="shared" ca="1" si="53"/>
        <v/>
      </c>
      <c r="W439" s="611" t="str">
        <f t="shared" ca="1" si="54"/>
        <v>Page4, Ligne 15 [Page4!R18]  -</v>
      </c>
    </row>
    <row r="440" spans="1:23">
      <c r="A440" s="1117" t="str">
        <f>celladdr(Page4!R19)</f>
        <v>Page4!R19</v>
      </c>
      <c r="B440" s="1456" t="s">
        <v>1086</v>
      </c>
      <c r="D440" s="1450"/>
      <c r="E440" s="1450"/>
      <c r="F440" s="1450"/>
      <c r="G440" s="1444" t="str">
        <f t="shared" si="48"/>
        <v/>
      </c>
      <c r="H440" s="1446"/>
      <c r="I440" s="1446"/>
      <c r="J440" s="1452"/>
      <c r="K440" s="1452"/>
      <c r="N440" s="611" t="s">
        <v>1514</v>
      </c>
      <c r="O440" s="611" t="str">
        <f t="shared" si="55"/>
        <v/>
      </c>
      <c r="P440" s="611" t="str">
        <f t="shared" si="49"/>
        <v>Page4!R</v>
      </c>
      <c r="Q440" s="611">
        <f t="shared" si="50"/>
        <v>19</v>
      </c>
      <c r="R440" s="1447">
        <f t="shared" ca="1" si="51"/>
        <v>0</v>
      </c>
      <c r="S440" s="1447">
        <f t="shared" ca="1" si="52"/>
        <v>0</v>
      </c>
      <c r="V440" s="2557" t="str">
        <f t="shared" ca="1" si="53"/>
        <v/>
      </c>
      <c r="W440" s="611" t="str">
        <f t="shared" ca="1" si="54"/>
        <v>Page4, Ligne 16 [Page4!R19]  -</v>
      </c>
    </row>
    <row r="441" spans="1:23">
      <c r="A441" s="1117" t="str">
        <f>celladdr(Page4!R21)</f>
        <v>Page4!R21</v>
      </c>
      <c r="B441" s="1456" t="s">
        <v>1086</v>
      </c>
      <c r="D441" s="1450"/>
      <c r="E441" s="1450"/>
      <c r="F441" s="1450"/>
      <c r="G441" s="1444" t="str">
        <f t="shared" si="48"/>
        <v/>
      </c>
      <c r="H441" s="1446"/>
      <c r="I441" s="1446"/>
      <c r="J441" s="1452"/>
      <c r="K441" s="1452"/>
      <c r="N441" s="611" t="s">
        <v>1515</v>
      </c>
      <c r="O441" s="611" t="str">
        <f t="shared" si="55"/>
        <v/>
      </c>
      <c r="P441" s="611" t="str">
        <f t="shared" si="49"/>
        <v>Page4!R</v>
      </c>
      <c r="Q441" s="611">
        <f t="shared" si="50"/>
        <v>21</v>
      </c>
      <c r="R441" s="1447">
        <f t="shared" ca="1" si="51"/>
        <v>0</v>
      </c>
      <c r="S441" s="1447">
        <f t="shared" ca="1" si="52"/>
        <v>0</v>
      </c>
      <c r="V441" s="2557" t="str">
        <f t="shared" ca="1" si="53"/>
        <v/>
      </c>
      <c r="W441" s="611" t="str">
        <f t="shared" ca="1" si="54"/>
        <v>Page4, Ligne 18 [Page4!R21]  -</v>
      </c>
    </row>
    <row r="442" spans="1:23">
      <c r="A442" s="1117" t="str">
        <f>celladdr(Page4!R22)</f>
        <v>Page4!R22</v>
      </c>
      <c r="B442" s="1456" t="s">
        <v>1086</v>
      </c>
      <c r="D442" s="1450"/>
      <c r="E442" s="1450"/>
      <c r="F442" s="1450"/>
      <c r="G442" s="1444" t="str">
        <f t="shared" si="48"/>
        <v/>
      </c>
      <c r="H442" s="1446"/>
      <c r="I442" s="1446"/>
      <c r="J442" s="1452"/>
      <c r="K442" s="1452"/>
      <c r="N442" s="611" t="s">
        <v>1516</v>
      </c>
      <c r="O442" s="611" t="str">
        <f t="shared" si="55"/>
        <v/>
      </c>
      <c r="P442" s="611" t="str">
        <f t="shared" si="49"/>
        <v>Page4!R</v>
      </c>
      <c r="Q442" s="611">
        <f t="shared" si="50"/>
        <v>22</v>
      </c>
      <c r="R442" s="1447">
        <f t="shared" ca="1" si="51"/>
        <v>0</v>
      </c>
      <c r="S442" s="1447">
        <f t="shared" ca="1" si="52"/>
        <v>0</v>
      </c>
      <c r="V442" s="2557" t="str">
        <f t="shared" ca="1" si="53"/>
        <v/>
      </c>
      <c r="W442" s="611" t="str">
        <f t="shared" ca="1" si="54"/>
        <v>Page4, Ligne 19 [Page4!R22]  -</v>
      </c>
    </row>
    <row r="443" spans="1:23">
      <c r="A443" s="1117" t="str">
        <f>celladdr(Page4!R23)</f>
        <v>Page4!R23</v>
      </c>
      <c r="B443" s="1456" t="s">
        <v>1086</v>
      </c>
      <c r="D443" s="1450"/>
      <c r="E443" s="1450"/>
      <c r="F443" s="1450"/>
      <c r="G443" s="1444" t="str">
        <f t="shared" si="48"/>
        <v/>
      </c>
      <c r="H443" s="1446"/>
      <c r="I443" s="1446"/>
      <c r="J443" s="1452"/>
      <c r="K443" s="1452"/>
      <c r="N443" s="611" t="s">
        <v>1517</v>
      </c>
      <c r="O443" s="611" t="str">
        <f t="shared" si="55"/>
        <v/>
      </c>
      <c r="P443" s="611" t="str">
        <f t="shared" si="49"/>
        <v>Page4!R</v>
      </c>
      <c r="Q443" s="611">
        <f t="shared" si="50"/>
        <v>23</v>
      </c>
      <c r="R443" s="1447">
        <f t="shared" ca="1" si="51"/>
        <v>0</v>
      </c>
      <c r="S443" s="1447">
        <f t="shared" ca="1" si="52"/>
        <v>0</v>
      </c>
      <c r="V443" s="2557" t="str">
        <f t="shared" ca="1" si="53"/>
        <v/>
      </c>
      <c r="W443" s="611" t="str">
        <f t="shared" ca="1" si="54"/>
        <v>Page4, Ligne 20 [Page4!R23]  -</v>
      </c>
    </row>
    <row r="444" spans="1:23">
      <c r="A444" s="1117" t="str">
        <f>celladdr(Page4!R24)</f>
        <v>Page4!R24</v>
      </c>
      <c r="B444" s="1456" t="s">
        <v>1086</v>
      </c>
      <c r="D444" s="1450"/>
      <c r="E444" s="1450"/>
      <c r="F444" s="1450"/>
      <c r="G444" s="1444" t="str">
        <f t="shared" si="48"/>
        <v/>
      </c>
      <c r="H444" s="1446"/>
      <c r="I444" s="1446"/>
      <c r="J444" s="1452"/>
      <c r="K444" s="1452"/>
      <c r="N444" s="611" t="s">
        <v>1518</v>
      </c>
      <c r="O444" s="611" t="str">
        <f t="shared" si="55"/>
        <v/>
      </c>
      <c r="P444" s="611" t="str">
        <f t="shared" si="49"/>
        <v>Page4!R</v>
      </c>
      <c r="Q444" s="611">
        <f t="shared" si="50"/>
        <v>24</v>
      </c>
      <c r="R444" s="1447">
        <f t="shared" ca="1" si="51"/>
        <v>0</v>
      </c>
      <c r="S444" s="1447">
        <f t="shared" ca="1" si="52"/>
        <v>0</v>
      </c>
      <c r="V444" s="2557" t="str">
        <f t="shared" ca="1" si="53"/>
        <v/>
      </c>
      <c r="W444" s="611" t="str">
        <f t="shared" ca="1" si="54"/>
        <v>Page4, Ligne 21 [Page4!R24]  -</v>
      </c>
    </row>
    <row r="445" spans="1:23">
      <c r="A445" s="1117" t="str">
        <f>celladdr(Page4!R25)</f>
        <v>Page4!R25</v>
      </c>
      <c r="B445" s="1456" t="s">
        <v>1086</v>
      </c>
      <c r="D445" s="1450"/>
      <c r="E445" s="1450"/>
      <c r="F445" s="1450"/>
      <c r="G445" s="1444" t="str">
        <f t="shared" si="48"/>
        <v/>
      </c>
      <c r="H445" s="1446"/>
      <c r="I445" s="1446"/>
      <c r="J445" s="1452"/>
      <c r="K445" s="1452"/>
      <c r="N445" s="611" t="s">
        <v>1519</v>
      </c>
      <c r="O445" s="611" t="str">
        <f t="shared" si="55"/>
        <v/>
      </c>
      <c r="P445" s="611" t="str">
        <f t="shared" si="49"/>
        <v>Page4!R</v>
      </c>
      <c r="Q445" s="611">
        <f t="shared" si="50"/>
        <v>25</v>
      </c>
      <c r="R445" s="1447">
        <f t="shared" ca="1" si="51"/>
        <v>0</v>
      </c>
      <c r="S445" s="1447">
        <f t="shared" ca="1" si="52"/>
        <v>0</v>
      </c>
      <c r="V445" s="2557" t="str">
        <f t="shared" ca="1" si="53"/>
        <v/>
      </c>
      <c r="W445" s="611" t="str">
        <f t="shared" ca="1" si="54"/>
        <v>Page4, Ligne 22 [Page4!R25]  -</v>
      </c>
    </row>
    <row r="446" spans="1:23">
      <c r="A446" s="1117" t="str">
        <f>celladdr(Page4!R26)</f>
        <v>Page4!R26</v>
      </c>
      <c r="B446" s="1456" t="s">
        <v>1086</v>
      </c>
      <c r="D446" s="1450"/>
      <c r="E446" s="1450"/>
      <c r="F446" s="1450"/>
      <c r="G446" s="1444" t="str">
        <f t="shared" si="48"/>
        <v/>
      </c>
      <c r="H446" s="1446"/>
      <c r="I446" s="1446"/>
      <c r="J446" s="1452"/>
      <c r="K446" s="1452"/>
      <c r="N446" s="611" t="s">
        <v>1520</v>
      </c>
      <c r="O446" s="611" t="str">
        <f t="shared" si="55"/>
        <v/>
      </c>
      <c r="P446" s="611" t="str">
        <f t="shared" si="49"/>
        <v>Page4!R</v>
      </c>
      <c r="Q446" s="611">
        <f t="shared" si="50"/>
        <v>26</v>
      </c>
      <c r="R446" s="1447">
        <f t="shared" ca="1" si="51"/>
        <v>0</v>
      </c>
      <c r="S446" s="1447">
        <f t="shared" ca="1" si="52"/>
        <v>0</v>
      </c>
      <c r="V446" s="2557" t="str">
        <f t="shared" ca="1" si="53"/>
        <v/>
      </c>
      <c r="W446" s="611" t="str">
        <f t="shared" ca="1" si="54"/>
        <v>Page4, Ligne 23 [Page4!R26]  -</v>
      </c>
    </row>
    <row r="447" spans="1:23">
      <c r="A447" s="1117" t="str">
        <f>celladdr(Page4!R27)</f>
        <v>Page4!R27</v>
      </c>
      <c r="B447" s="1456" t="s">
        <v>1086</v>
      </c>
      <c r="D447" s="1450"/>
      <c r="E447" s="1450"/>
      <c r="F447" s="1450"/>
      <c r="G447" s="1444" t="str">
        <f t="shared" si="48"/>
        <v/>
      </c>
      <c r="H447" s="1446"/>
      <c r="I447" s="1446"/>
      <c r="J447" s="1452"/>
      <c r="K447" s="1452"/>
      <c r="N447" s="611" t="s">
        <v>1521</v>
      </c>
      <c r="O447" s="611" t="str">
        <f t="shared" si="55"/>
        <v/>
      </c>
      <c r="P447" s="611" t="str">
        <f t="shared" si="49"/>
        <v>Page4!R</v>
      </c>
      <c r="Q447" s="611">
        <f t="shared" si="50"/>
        <v>27</v>
      </c>
      <c r="R447" s="1447">
        <f t="shared" ca="1" si="51"/>
        <v>0</v>
      </c>
      <c r="S447" s="1447">
        <f t="shared" ca="1" si="52"/>
        <v>0</v>
      </c>
      <c r="V447" s="2557" t="str">
        <f t="shared" ca="1" si="53"/>
        <v/>
      </c>
      <c r="W447" s="611" t="str">
        <f t="shared" ca="1" si="54"/>
        <v>Page4, Ligne 24 [Page4!R27]  -</v>
      </c>
    </row>
    <row r="448" spans="1:23">
      <c r="A448" s="1117" t="str">
        <f>celladdr(Page4!R29)</f>
        <v>Page4!R29</v>
      </c>
      <c r="B448" s="1456" t="s">
        <v>1086</v>
      </c>
      <c r="D448" s="1450"/>
      <c r="E448" s="1450"/>
      <c r="F448" s="1450"/>
      <c r="G448" s="1444" t="str">
        <f t="shared" si="48"/>
        <v/>
      </c>
      <c r="H448" s="1446"/>
      <c r="I448" s="1446"/>
      <c r="J448" s="1452"/>
      <c r="K448" s="1452"/>
      <c r="N448" s="611" t="s">
        <v>1522</v>
      </c>
      <c r="O448" s="611" t="str">
        <f t="shared" si="55"/>
        <v/>
      </c>
      <c r="P448" s="611" t="str">
        <f t="shared" si="49"/>
        <v>Page4!R</v>
      </c>
      <c r="Q448" s="611">
        <f t="shared" si="50"/>
        <v>29</v>
      </c>
      <c r="R448" s="1447">
        <f t="shared" ca="1" si="51"/>
        <v>0</v>
      </c>
      <c r="S448" s="1447">
        <f t="shared" ca="1" si="52"/>
        <v>0</v>
      </c>
      <c r="V448" s="2557" t="str">
        <f t="shared" ca="1" si="53"/>
        <v/>
      </c>
      <c r="W448" s="611" t="str">
        <f t="shared" ca="1" si="54"/>
        <v>Page4, Ligne 26 [Page4!R29]  -</v>
      </c>
    </row>
    <row r="449" spans="1:23">
      <c r="A449" s="1117" t="str">
        <f>celladdr(Page4!R30)</f>
        <v>Page4!R30</v>
      </c>
      <c r="B449" s="1456" t="s">
        <v>1086</v>
      </c>
      <c r="D449" s="1450"/>
      <c r="E449" s="1450"/>
      <c r="F449" s="1450"/>
      <c r="G449" s="1444" t="str">
        <f t="shared" si="48"/>
        <v/>
      </c>
      <c r="H449" s="1446"/>
      <c r="I449" s="1446"/>
      <c r="J449" s="1452"/>
      <c r="K449" s="1452"/>
      <c r="N449" s="611" t="s">
        <v>1523</v>
      </c>
      <c r="O449" s="611" t="str">
        <f t="shared" si="55"/>
        <v/>
      </c>
      <c r="P449" s="611" t="str">
        <f t="shared" si="49"/>
        <v>Page4!R</v>
      </c>
      <c r="Q449" s="611">
        <f t="shared" si="50"/>
        <v>30</v>
      </c>
      <c r="R449" s="1447">
        <f t="shared" ca="1" si="51"/>
        <v>0</v>
      </c>
      <c r="S449" s="1447">
        <f t="shared" ca="1" si="52"/>
        <v>0</v>
      </c>
      <c r="V449" s="2557" t="str">
        <f t="shared" ca="1" si="53"/>
        <v/>
      </c>
      <c r="W449" s="611" t="str">
        <f t="shared" ca="1" si="54"/>
        <v>Page4, Ligne 27 [Page4!R30]  -</v>
      </c>
    </row>
    <row r="450" spans="1:23">
      <c r="A450" s="1117" t="str">
        <f>celladdr(Page4!R31)</f>
        <v>Page4!R31</v>
      </c>
      <c r="B450" s="1456" t="s">
        <v>1086</v>
      </c>
      <c r="D450" s="1450"/>
      <c r="E450" s="1450"/>
      <c r="F450" s="1450"/>
      <c r="G450" s="1444" t="str">
        <f t="shared" ref="G450:G513" si="56">IF(H450&amp;I450&amp;J450&amp;K450&lt;&gt;"","No.de ref. du commentaire.: "&amp;W450&amp;" "&amp;N450&amp;" "&amp;H450&amp;I450&amp;IF(OR(C450=TRUE,D450=TRUE),"",J450&amp;K450&amp;V450),"")</f>
        <v/>
      </c>
      <c r="H450" s="1446"/>
      <c r="I450" s="1446"/>
      <c r="J450" s="1452"/>
      <c r="K450" s="1452"/>
      <c r="N450" s="611" t="s">
        <v>1524</v>
      </c>
      <c r="O450" s="611" t="str">
        <f t="shared" si="55"/>
        <v/>
      </c>
      <c r="P450" s="611" t="str">
        <f t="shared" ref="P450:P513" si="57">LEFT(A450,FIND("!",A450)+1)</f>
        <v>Page4!R</v>
      </c>
      <c r="Q450" s="611">
        <f t="shared" ref="Q450:Q513" si="58">VALUE(RIGHT(A450,LEN(A450)-FIND("!",A450)-1))</f>
        <v>31</v>
      </c>
      <c r="R450" s="1447">
        <f t="shared" ref="R450:R513" ca="1" si="59">IF(E450=TRUE,INDIRECT("Comments!$D$"&amp;T450),0)</f>
        <v>0</v>
      </c>
      <c r="S450" s="1447">
        <f t="shared" ref="S450:S513" ca="1" si="60">IF(F450=TRUE,INDIRECT("Comments!$D$"&amp;U450),0)</f>
        <v>0</v>
      </c>
      <c r="V450" s="2557" t="str">
        <f t="shared" ref="V450:V513" ca="1" si="61">IF(SUM(R450+S450)=0,"","
*** "&amp;TEXT(SUM(R450+S450),"0,0")&amp;" Points de précision seront déduits suite à cette(ces) erreur(s) !")</f>
        <v/>
      </c>
      <c r="W450" s="611" t="str">
        <f t="shared" ref="W450:W513" ca="1" si="62">LEFT(A450,FIND("!",A450,1)-1)&amp;", Ligne "&amp;INDIRECT(ADDRESS(ROW(INDIRECT(A450)),IF(INDIRECT(ADDRESS(ROW(INDIRECT(A450)),1,,,LEFT(A450,FIND("!",A450,1)-1)))="",2,1),,,LEFT(A450,FIND("!",A450,1)-1)))&amp;" ["&amp;A450&amp;"] "&amp;" -"</f>
        <v>Page4, Ligne 28 [Page4!R31]  -</v>
      </c>
    </row>
    <row r="451" spans="1:23">
      <c r="A451" s="1117" t="str">
        <f>celladdr(Page4!R32)</f>
        <v>Page4!R32</v>
      </c>
      <c r="B451" s="1456" t="s">
        <v>1086</v>
      </c>
      <c r="D451" s="1450"/>
      <c r="E451" s="1450"/>
      <c r="F451" s="1450"/>
      <c r="G451" s="1444" t="str">
        <f t="shared" si="56"/>
        <v/>
      </c>
      <c r="H451" s="1446"/>
      <c r="I451" s="1446"/>
      <c r="J451" s="1452"/>
      <c r="K451" s="1452"/>
      <c r="N451" s="611" t="s">
        <v>1525</v>
      </c>
      <c r="O451" s="611" t="str">
        <f t="shared" ref="O451:O514" si="63">IF(A451=A450,"TRUE","")</f>
        <v/>
      </c>
      <c r="P451" s="611" t="str">
        <f t="shared" si="57"/>
        <v>Page4!R</v>
      </c>
      <c r="Q451" s="611">
        <f t="shared" si="58"/>
        <v>32</v>
      </c>
      <c r="R451" s="1447">
        <f t="shared" ca="1" si="59"/>
        <v>0</v>
      </c>
      <c r="S451" s="1447">
        <f t="shared" ca="1" si="60"/>
        <v>0</v>
      </c>
      <c r="V451" s="2557" t="str">
        <f t="shared" ca="1" si="61"/>
        <v/>
      </c>
      <c r="W451" s="611" t="str">
        <f t="shared" ca="1" si="62"/>
        <v>Page4, Ligne 29 [Page4!R32]  -</v>
      </c>
    </row>
    <row r="452" spans="1:23">
      <c r="A452" s="1117" t="str">
        <f>celladdr(Page4!R33)</f>
        <v>Page4!R33</v>
      </c>
      <c r="B452" s="1456" t="s">
        <v>1086</v>
      </c>
      <c r="D452" s="1450"/>
      <c r="E452" s="1450"/>
      <c r="F452" s="1450"/>
      <c r="G452" s="1444" t="str">
        <f t="shared" si="56"/>
        <v/>
      </c>
      <c r="H452" s="1446"/>
      <c r="I452" s="1446"/>
      <c r="J452" s="1452"/>
      <c r="K452" s="1452"/>
      <c r="N452" s="611" t="s">
        <v>1526</v>
      </c>
      <c r="O452" s="611" t="str">
        <f t="shared" si="63"/>
        <v/>
      </c>
      <c r="P452" s="611" t="str">
        <f t="shared" si="57"/>
        <v>Page4!R</v>
      </c>
      <c r="Q452" s="611">
        <f t="shared" si="58"/>
        <v>33</v>
      </c>
      <c r="R452" s="1447">
        <f t="shared" ca="1" si="59"/>
        <v>0</v>
      </c>
      <c r="S452" s="1447">
        <f t="shared" ca="1" si="60"/>
        <v>0</v>
      </c>
      <c r="V452" s="2557" t="str">
        <f t="shared" ca="1" si="61"/>
        <v/>
      </c>
      <c r="W452" s="611" t="str">
        <f t="shared" ca="1" si="62"/>
        <v>Page4, Ligne 30 [Page4!R33]  -</v>
      </c>
    </row>
    <row r="453" spans="1:23">
      <c r="A453" s="1117" t="str">
        <f>celladdr(Page4!R34)</f>
        <v>Page4!R34</v>
      </c>
      <c r="B453" s="1456" t="s">
        <v>1086</v>
      </c>
      <c r="D453" s="1450"/>
      <c r="E453" s="1450"/>
      <c r="F453" s="1450"/>
      <c r="G453" s="1444" t="str">
        <f t="shared" si="56"/>
        <v/>
      </c>
      <c r="H453" s="1446"/>
      <c r="I453" s="1446"/>
      <c r="J453" s="1452"/>
      <c r="K453" s="1452"/>
      <c r="N453" s="611" t="s">
        <v>1527</v>
      </c>
      <c r="O453" s="611" t="str">
        <f t="shared" si="63"/>
        <v/>
      </c>
      <c r="P453" s="611" t="str">
        <f t="shared" si="57"/>
        <v>Page4!R</v>
      </c>
      <c r="Q453" s="611">
        <f t="shared" si="58"/>
        <v>34</v>
      </c>
      <c r="R453" s="1447">
        <f t="shared" ca="1" si="59"/>
        <v>0</v>
      </c>
      <c r="S453" s="1447">
        <f t="shared" ca="1" si="60"/>
        <v>0</v>
      </c>
      <c r="V453" s="2557" t="str">
        <f t="shared" ca="1" si="61"/>
        <v/>
      </c>
      <c r="W453" s="611" t="str">
        <f t="shared" ca="1" si="62"/>
        <v>Page4, Ligne 31 [Page4!R34]  -</v>
      </c>
    </row>
    <row r="454" spans="1:23">
      <c r="A454" s="1117" t="str">
        <f>celladdr(Page4!R35)</f>
        <v>Page4!R35</v>
      </c>
      <c r="B454" s="1456" t="s">
        <v>1086</v>
      </c>
      <c r="D454" s="1450"/>
      <c r="E454" s="1450"/>
      <c r="F454" s="1450"/>
      <c r="G454" s="1444" t="str">
        <f t="shared" si="56"/>
        <v/>
      </c>
      <c r="H454" s="1446"/>
      <c r="I454" s="1446"/>
      <c r="J454" s="1452"/>
      <c r="K454" s="1452"/>
      <c r="N454" s="611" t="s">
        <v>1528</v>
      </c>
      <c r="O454" s="611" t="str">
        <f t="shared" si="63"/>
        <v/>
      </c>
      <c r="P454" s="611" t="str">
        <f t="shared" si="57"/>
        <v>Page4!R</v>
      </c>
      <c r="Q454" s="611">
        <f t="shared" si="58"/>
        <v>35</v>
      </c>
      <c r="R454" s="1447">
        <f t="shared" ca="1" si="59"/>
        <v>0</v>
      </c>
      <c r="S454" s="1447">
        <f t="shared" ca="1" si="60"/>
        <v>0</v>
      </c>
      <c r="V454" s="2557" t="str">
        <f t="shared" ca="1" si="61"/>
        <v/>
      </c>
      <c r="W454" s="611" t="str">
        <f t="shared" ca="1" si="62"/>
        <v>Page4, Ligne 32 [Page4!R35]  -</v>
      </c>
    </row>
    <row r="455" spans="1:23">
      <c r="A455" s="1117" t="str">
        <f>celladdr(Page4!R38)</f>
        <v>Page4!R38</v>
      </c>
      <c r="B455" s="1456" t="s">
        <v>1086</v>
      </c>
      <c r="D455" s="1450"/>
      <c r="E455" s="1450"/>
      <c r="F455" s="1450"/>
      <c r="G455" s="1444" t="str">
        <f t="shared" si="56"/>
        <v/>
      </c>
      <c r="H455" s="1446"/>
      <c r="I455" s="1446"/>
      <c r="J455" s="1452"/>
      <c r="K455" s="1452"/>
      <c r="N455" s="611" t="s">
        <v>1529</v>
      </c>
      <c r="O455" s="611" t="str">
        <f t="shared" si="63"/>
        <v/>
      </c>
      <c r="P455" s="611" t="str">
        <f t="shared" si="57"/>
        <v>Page4!R</v>
      </c>
      <c r="Q455" s="611">
        <f t="shared" si="58"/>
        <v>38</v>
      </c>
      <c r="R455" s="1447">
        <f t="shared" ca="1" si="59"/>
        <v>0</v>
      </c>
      <c r="S455" s="1447">
        <f t="shared" ca="1" si="60"/>
        <v>0</v>
      </c>
      <c r="V455" s="2557" t="str">
        <f t="shared" ca="1" si="61"/>
        <v/>
      </c>
      <c r="W455" s="611" t="str">
        <f t="shared" ca="1" si="62"/>
        <v>Page4, Ligne 35 [Page4!R38]  -</v>
      </c>
    </row>
    <row r="456" spans="1:23">
      <c r="A456" s="1117" t="str">
        <f>celladdr(Page4!R40)</f>
        <v>Page4!R40</v>
      </c>
      <c r="B456" s="1456" t="s">
        <v>1086</v>
      </c>
      <c r="D456" s="1450"/>
      <c r="E456" s="1450"/>
      <c r="F456" s="1450"/>
      <c r="G456" s="1444" t="str">
        <f t="shared" si="56"/>
        <v/>
      </c>
      <c r="H456" s="1446"/>
      <c r="I456" s="1446"/>
      <c r="J456" s="1452"/>
      <c r="K456" s="1452"/>
      <c r="N456" s="611" t="s">
        <v>1530</v>
      </c>
      <c r="O456" s="611" t="str">
        <f t="shared" si="63"/>
        <v/>
      </c>
      <c r="P456" s="611" t="str">
        <f t="shared" si="57"/>
        <v>Page4!R</v>
      </c>
      <c r="Q456" s="611">
        <f t="shared" si="58"/>
        <v>40</v>
      </c>
      <c r="R456" s="1447">
        <f t="shared" ca="1" si="59"/>
        <v>0</v>
      </c>
      <c r="S456" s="1447">
        <f t="shared" ca="1" si="60"/>
        <v>0</v>
      </c>
      <c r="V456" s="2557" t="str">
        <f t="shared" ca="1" si="61"/>
        <v/>
      </c>
      <c r="W456" s="611" t="str">
        <f t="shared" ca="1" si="62"/>
        <v>Page4, Ligne 37 [Page4!R40]  -</v>
      </c>
    </row>
    <row r="457" spans="1:23">
      <c r="A457" s="1117" t="str">
        <f>celladdr(Page4!R41)</f>
        <v>Page4!R41</v>
      </c>
      <c r="B457" s="1456" t="s">
        <v>1086</v>
      </c>
      <c r="D457" s="1450"/>
      <c r="E457" s="1450"/>
      <c r="F457" s="1450"/>
      <c r="G457" s="1444" t="str">
        <f t="shared" si="56"/>
        <v/>
      </c>
      <c r="H457" s="1446"/>
      <c r="I457" s="1446"/>
      <c r="J457" s="1452"/>
      <c r="K457" s="1452"/>
      <c r="N457" s="611" t="s">
        <v>1531</v>
      </c>
      <c r="O457" s="611" t="str">
        <f t="shared" si="63"/>
        <v/>
      </c>
      <c r="P457" s="611" t="str">
        <f t="shared" si="57"/>
        <v>Page4!R</v>
      </c>
      <c r="Q457" s="611">
        <f t="shared" si="58"/>
        <v>41</v>
      </c>
      <c r="R457" s="1447">
        <f t="shared" ca="1" si="59"/>
        <v>0</v>
      </c>
      <c r="S457" s="1447">
        <f t="shared" ca="1" si="60"/>
        <v>0</v>
      </c>
      <c r="V457" s="2557" t="str">
        <f t="shared" ca="1" si="61"/>
        <v/>
      </c>
      <c r="W457" s="611" t="str">
        <f t="shared" ca="1" si="62"/>
        <v>Page4, Ligne 38 [Page4!R41]  -</v>
      </c>
    </row>
    <row r="458" spans="1:23">
      <c r="A458" s="1117" t="str">
        <f>celladdr(Page4!R42)</f>
        <v>Page4!R42</v>
      </c>
      <c r="B458" s="1456" t="s">
        <v>1086</v>
      </c>
      <c r="D458" s="1450"/>
      <c r="E458" s="1450"/>
      <c r="F458" s="1450"/>
      <c r="G458" s="1444" t="str">
        <f t="shared" si="56"/>
        <v/>
      </c>
      <c r="H458" s="1446"/>
      <c r="I458" s="1446"/>
      <c r="J458" s="1452"/>
      <c r="K458" s="1452"/>
      <c r="N458" s="611" t="s">
        <v>1532</v>
      </c>
      <c r="O458" s="611" t="str">
        <f t="shared" si="63"/>
        <v/>
      </c>
      <c r="P458" s="611" t="str">
        <f t="shared" si="57"/>
        <v>Page4!R</v>
      </c>
      <c r="Q458" s="611">
        <f t="shared" si="58"/>
        <v>42</v>
      </c>
      <c r="R458" s="1447">
        <f t="shared" ca="1" si="59"/>
        <v>0</v>
      </c>
      <c r="S458" s="1447">
        <f t="shared" ca="1" si="60"/>
        <v>0</v>
      </c>
      <c r="V458" s="2557" t="str">
        <f t="shared" ca="1" si="61"/>
        <v/>
      </c>
      <c r="W458" s="611" t="str">
        <f t="shared" ca="1" si="62"/>
        <v>Page4, Ligne 39 [Page4!R42]  -</v>
      </c>
    </row>
    <row r="459" spans="1:23">
      <c r="A459" s="1117" t="str">
        <f>celladdr(Page4!R44)</f>
        <v>Page4!R44</v>
      </c>
      <c r="B459" s="1456" t="s">
        <v>1086</v>
      </c>
      <c r="D459" s="1450"/>
      <c r="E459" s="1450"/>
      <c r="F459" s="1450"/>
      <c r="G459" s="1444" t="str">
        <f t="shared" si="56"/>
        <v/>
      </c>
      <c r="H459" s="1446"/>
      <c r="I459" s="1446"/>
      <c r="J459" s="1452"/>
      <c r="K459" s="1452"/>
      <c r="N459" s="611" t="s">
        <v>1533</v>
      </c>
      <c r="O459" s="611" t="str">
        <f t="shared" si="63"/>
        <v/>
      </c>
      <c r="P459" s="611" t="str">
        <f t="shared" si="57"/>
        <v>Page4!R</v>
      </c>
      <c r="Q459" s="611">
        <f t="shared" si="58"/>
        <v>44</v>
      </c>
      <c r="R459" s="1447">
        <f t="shared" ca="1" si="59"/>
        <v>0</v>
      </c>
      <c r="S459" s="1447">
        <f t="shared" ca="1" si="60"/>
        <v>0</v>
      </c>
      <c r="V459" s="2557" t="str">
        <f t="shared" ca="1" si="61"/>
        <v/>
      </c>
      <c r="W459" s="611" t="str">
        <f t="shared" ca="1" si="62"/>
        <v>Page4, Ligne 41 [Page4!R44]  -</v>
      </c>
    </row>
    <row r="460" spans="1:23">
      <c r="A460" s="1117" t="str">
        <f>celladdr(Page4!R45)</f>
        <v>Page4!R45</v>
      </c>
      <c r="B460" s="1456" t="s">
        <v>1086</v>
      </c>
      <c r="D460" s="1450"/>
      <c r="E460" s="1450"/>
      <c r="F460" s="1450"/>
      <c r="G460" s="1444" t="str">
        <f t="shared" si="56"/>
        <v/>
      </c>
      <c r="H460" s="1446"/>
      <c r="I460" s="1446"/>
      <c r="J460" s="1452"/>
      <c r="K460" s="1452"/>
      <c r="N460" s="611" t="s">
        <v>1534</v>
      </c>
      <c r="O460" s="611" t="str">
        <f t="shared" si="63"/>
        <v/>
      </c>
      <c r="P460" s="611" t="str">
        <f t="shared" si="57"/>
        <v>Page4!R</v>
      </c>
      <c r="Q460" s="611">
        <f t="shared" si="58"/>
        <v>45</v>
      </c>
      <c r="R460" s="1447">
        <f t="shared" ca="1" si="59"/>
        <v>0</v>
      </c>
      <c r="S460" s="1447">
        <f t="shared" ca="1" si="60"/>
        <v>0</v>
      </c>
      <c r="V460" s="2557" t="str">
        <f t="shared" ca="1" si="61"/>
        <v/>
      </c>
      <c r="W460" s="611" t="str">
        <f t="shared" ca="1" si="62"/>
        <v>Page4, Ligne 42 [Page4!R45]  -</v>
      </c>
    </row>
    <row r="461" spans="1:23">
      <c r="A461" s="1117" t="str">
        <f>celladdr(Page4!R46)</f>
        <v>Page4!R46</v>
      </c>
      <c r="B461" s="1456" t="s">
        <v>1086</v>
      </c>
      <c r="D461" s="1450"/>
      <c r="E461" s="1450"/>
      <c r="F461" s="1450"/>
      <c r="G461" s="1444" t="str">
        <f t="shared" si="56"/>
        <v/>
      </c>
      <c r="H461" s="1446"/>
      <c r="I461" s="1446"/>
      <c r="J461" s="1452"/>
      <c r="K461" s="1452"/>
      <c r="N461" s="611" t="s">
        <v>1535</v>
      </c>
      <c r="O461" s="611" t="str">
        <f t="shared" si="63"/>
        <v/>
      </c>
      <c r="P461" s="611" t="str">
        <f t="shared" si="57"/>
        <v>Page4!R</v>
      </c>
      <c r="Q461" s="611">
        <f t="shared" si="58"/>
        <v>46</v>
      </c>
      <c r="R461" s="1447">
        <f t="shared" ca="1" si="59"/>
        <v>0</v>
      </c>
      <c r="S461" s="1447">
        <f t="shared" ca="1" si="60"/>
        <v>0</v>
      </c>
      <c r="V461" s="2557" t="str">
        <f t="shared" ca="1" si="61"/>
        <v/>
      </c>
      <c r="W461" s="611" t="str">
        <f t="shared" ca="1" si="62"/>
        <v>Page4, Ligne 43 [Page4!R46]  -</v>
      </c>
    </row>
    <row r="462" spans="1:23">
      <c r="A462" s="1117" t="str">
        <f>celladdr(Page4!R47)</f>
        <v>Page4!R47</v>
      </c>
      <c r="B462" s="1456" t="s">
        <v>1086</v>
      </c>
      <c r="D462" s="1450"/>
      <c r="E462" s="1450"/>
      <c r="F462" s="1450"/>
      <c r="G462" s="1444" t="str">
        <f t="shared" si="56"/>
        <v/>
      </c>
      <c r="H462" s="1446"/>
      <c r="I462" s="1446"/>
      <c r="J462" s="1452"/>
      <c r="K462" s="1452"/>
      <c r="N462" s="611" t="s">
        <v>1536</v>
      </c>
      <c r="O462" s="611" t="str">
        <f t="shared" si="63"/>
        <v/>
      </c>
      <c r="P462" s="611" t="str">
        <f t="shared" si="57"/>
        <v>Page4!R</v>
      </c>
      <c r="Q462" s="611">
        <f t="shared" si="58"/>
        <v>47</v>
      </c>
      <c r="R462" s="1447">
        <f t="shared" ca="1" si="59"/>
        <v>0</v>
      </c>
      <c r="S462" s="1447">
        <f t="shared" ca="1" si="60"/>
        <v>0</v>
      </c>
      <c r="V462" s="2557" t="str">
        <f t="shared" ca="1" si="61"/>
        <v/>
      </c>
      <c r="W462" s="611" t="str">
        <f t="shared" ca="1" si="62"/>
        <v>Page4, Ligne 44 [Page4!R47]  -</v>
      </c>
    </row>
    <row r="463" spans="1:23">
      <c r="A463" s="1117" t="str">
        <f>celladdr(Page4!R48)</f>
        <v>Page4!R48</v>
      </c>
      <c r="B463" s="1456" t="s">
        <v>1086</v>
      </c>
      <c r="D463" s="1450"/>
      <c r="E463" s="1450"/>
      <c r="F463" s="1450"/>
      <c r="G463" s="1444" t="str">
        <f t="shared" si="56"/>
        <v/>
      </c>
      <c r="H463" s="1446"/>
      <c r="I463" s="1446"/>
      <c r="J463" s="1452"/>
      <c r="K463" s="1452"/>
      <c r="N463" s="611" t="s">
        <v>1537</v>
      </c>
      <c r="O463" s="611" t="str">
        <f t="shared" si="63"/>
        <v/>
      </c>
      <c r="P463" s="611" t="str">
        <f t="shared" si="57"/>
        <v>Page4!R</v>
      </c>
      <c r="Q463" s="611">
        <f t="shared" si="58"/>
        <v>48</v>
      </c>
      <c r="R463" s="1447">
        <f t="shared" ca="1" si="59"/>
        <v>0</v>
      </c>
      <c r="S463" s="1447">
        <f t="shared" ca="1" si="60"/>
        <v>0</v>
      </c>
      <c r="V463" s="2557" t="str">
        <f t="shared" ca="1" si="61"/>
        <v/>
      </c>
      <c r="W463" s="611" t="str">
        <f t="shared" ca="1" si="62"/>
        <v>Page4, Ligne 45 [Page4!R48]  -</v>
      </c>
    </row>
    <row r="464" spans="1:23">
      <c r="A464" s="1117" t="str">
        <f>celladdr(Page4!R49)</f>
        <v>Page4!R49</v>
      </c>
      <c r="B464" s="1456" t="s">
        <v>1086</v>
      </c>
      <c r="D464" s="1450"/>
      <c r="E464" s="1450"/>
      <c r="F464" s="1450"/>
      <c r="G464" s="1444" t="str">
        <f t="shared" si="56"/>
        <v/>
      </c>
      <c r="H464" s="1446"/>
      <c r="I464" s="1446"/>
      <c r="J464" s="1452"/>
      <c r="K464" s="1452"/>
      <c r="N464" s="611" t="s">
        <v>1538</v>
      </c>
      <c r="O464" s="611" t="str">
        <f t="shared" si="63"/>
        <v/>
      </c>
      <c r="P464" s="611" t="str">
        <f t="shared" si="57"/>
        <v>Page4!R</v>
      </c>
      <c r="Q464" s="611">
        <f t="shared" si="58"/>
        <v>49</v>
      </c>
      <c r="R464" s="1447">
        <f t="shared" ca="1" si="59"/>
        <v>0</v>
      </c>
      <c r="S464" s="1447">
        <f t="shared" ca="1" si="60"/>
        <v>0</v>
      </c>
      <c r="V464" s="2557" t="str">
        <f t="shared" ca="1" si="61"/>
        <v/>
      </c>
      <c r="W464" s="611" t="str">
        <f t="shared" ca="1" si="62"/>
        <v>Page4, Ligne 46 [Page4!R49]  -</v>
      </c>
    </row>
    <row r="465" spans="1:23">
      <c r="A465" s="1117" t="str">
        <f>celladdr(Page4!R50)</f>
        <v>Page4!R50</v>
      </c>
      <c r="B465" s="1456" t="s">
        <v>1086</v>
      </c>
      <c r="D465" s="1450"/>
      <c r="E465" s="1450"/>
      <c r="F465" s="1450"/>
      <c r="G465" s="1444" t="str">
        <f t="shared" si="56"/>
        <v/>
      </c>
      <c r="H465" s="1446"/>
      <c r="I465" s="1446"/>
      <c r="J465" s="1452"/>
      <c r="K465" s="1452"/>
      <c r="N465" s="611" t="s">
        <v>1539</v>
      </c>
      <c r="O465" s="611" t="str">
        <f t="shared" si="63"/>
        <v/>
      </c>
      <c r="P465" s="611" t="str">
        <f t="shared" si="57"/>
        <v>Page4!R</v>
      </c>
      <c r="Q465" s="611">
        <f t="shared" si="58"/>
        <v>50</v>
      </c>
      <c r="R465" s="1447">
        <f t="shared" ca="1" si="59"/>
        <v>0</v>
      </c>
      <c r="S465" s="1447">
        <f t="shared" ca="1" si="60"/>
        <v>0</v>
      </c>
      <c r="V465" s="2557" t="str">
        <f t="shared" ca="1" si="61"/>
        <v/>
      </c>
      <c r="W465" s="611" t="str">
        <f t="shared" ca="1" si="62"/>
        <v>Page4, Ligne 47 [Page4!R50]  -</v>
      </c>
    </row>
    <row r="466" spans="1:23">
      <c r="A466" s="1117" t="str">
        <f>celladdr(Page4!R51)</f>
        <v>Page4!R51</v>
      </c>
      <c r="B466" s="1456" t="s">
        <v>1086</v>
      </c>
      <c r="D466" s="1450"/>
      <c r="E466" s="1450"/>
      <c r="F466" s="1450"/>
      <c r="G466" s="1444" t="str">
        <f t="shared" si="56"/>
        <v/>
      </c>
      <c r="H466" s="1446"/>
      <c r="I466" s="1446"/>
      <c r="J466" s="1452"/>
      <c r="K466" s="1452"/>
      <c r="N466" s="611" t="s">
        <v>1540</v>
      </c>
      <c r="O466" s="611" t="str">
        <f t="shared" si="63"/>
        <v/>
      </c>
      <c r="P466" s="611" t="str">
        <f t="shared" si="57"/>
        <v>Page4!R</v>
      </c>
      <c r="Q466" s="611">
        <f t="shared" si="58"/>
        <v>51</v>
      </c>
      <c r="R466" s="1447">
        <f t="shared" ca="1" si="59"/>
        <v>0</v>
      </c>
      <c r="S466" s="1447">
        <f t="shared" ca="1" si="60"/>
        <v>0</v>
      </c>
      <c r="V466" s="2557" t="str">
        <f t="shared" ca="1" si="61"/>
        <v/>
      </c>
      <c r="W466" s="611" t="str">
        <f t="shared" ca="1" si="62"/>
        <v>Page4, Ligne 48 [Page4!R51]  -</v>
      </c>
    </row>
    <row r="467" spans="1:23">
      <c r="A467" s="1117" t="str">
        <f>celladdr(Page4!R53)</f>
        <v>Page4!R53</v>
      </c>
      <c r="B467" s="1456" t="s">
        <v>1086</v>
      </c>
      <c r="D467" s="1450"/>
      <c r="E467" s="1450"/>
      <c r="F467" s="1450"/>
      <c r="G467" s="1444" t="str">
        <f t="shared" si="56"/>
        <v/>
      </c>
      <c r="H467" s="1446"/>
      <c r="I467" s="1446"/>
      <c r="J467" s="1452"/>
      <c r="K467" s="1452"/>
      <c r="N467" s="611" t="s">
        <v>1541</v>
      </c>
      <c r="O467" s="611" t="str">
        <f t="shared" si="63"/>
        <v/>
      </c>
      <c r="P467" s="611" t="str">
        <f t="shared" si="57"/>
        <v>Page4!R</v>
      </c>
      <c r="Q467" s="611">
        <f t="shared" si="58"/>
        <v>53</v>
      </c>
      <c r="R467" s="1447">
        <f t="shared" ca="1" si="59"/>
        <v>0</v>
      </c>
      <c r="S467" s="1447">
        <f t="shared" ca="1" si="60"/>
        <v>0</v>
      </c>
      <c r="V467" s="2557" t="str">
        <f t="shared" ca="1" si="61"/>
        <v/>
      </c>
      <c r="W467" s="611" t="str">
        <f t="shared" ca="1" si="62"/>
        <v>Page4, Ligne 50 [Page4!R53]  -</v>
      </c>
    </row>
    <row r="468" spans="1:23">
      <c r="A468" s="1117" t="str">
        <f>celladdr(Page4!R54)</f>
        <v>Page4!R54</v>
      </c>
      <c r="B468" s="1456" t="s">
        <v>1086</v>
      </c>
      <c r="D468" s="1450"/>
      <c r="E468" s="1450"/>
      <c r="F468" s="1450"/>
      <c r="G468" s="1444" t="str">
        <f t="shared" si="56"/>
        <v/>
      </c>
      <c r="H468" s="1446"/>
      <c r="I468" s="1446"/>
      <c r="J468" s="1452"/>
      <c r="K468" s="1452"/>
      <c r="N468" s="611" t="s">
        <v>1542</v>
      </c>
      <c r="O468" s="611" t="str">
        <f t="shared" si="63"/>
        <v/>
      </c>
      <c r="P468" s="611" t="str">
        <f t="shared" si="57"/>
        <v>Page4!R</v>
      </c>
      <c r="Q468" s="611">
        <f t="shared" si="58"/>
        <v>54</v>
      </c>
      <c r="R468" s="1447">
        <f t="shared" ca="1" si="59"/>
        <v>0</v>
      </c>
      <c r="S468" s="1447">
        <f t="shared" ca="1" si="60"/>
        <v>0</v>
      </c>
      <c r="V468" s="2557" t="str">
        <f t="shared" ca="1" si="61"/>
        <v/>
      </c>
      <c r="W468" s="611" t="str">
        <f t="shared" ca="1" si="62"/>
        <v>Page4, Ligne 51 [Page4!R54]  -</v>
      </c>
    </row>
    <row r="469" spans="1:23">
      <c r="A469" s="1117" t="str">
        <f>celladdr(Page4!R55)</f>
        <v>Page4!R55</v>
      </c>
      <c r="B469" s="1456" t="s">
        <v>1086</v>
      </c>
      <c r="D469" s="1450"/>
      <c r="E469" s="1450"/>
      <c r="F469" s="1450"/>
      <c r="G469" s="1444" t="str">
        <f t="shared" si="56"/>
        <v/>
      </c>
      <c r="H469" s="1446"/>
      <c r="I469" s="1446"/>
      <c r="J469" s="1452"/>
      <c r="K469" s="1452"/>
      <c r="N469" s="611" t="s">
        <v>1543</v>
      </c>
      <c r="O469" s="611" t="str">
        <f t="shared" si="63"/>
        <v/>
      </c>
      <c r="P469" s="611" t="str">
        <f t="shared" si="57"/>
        <v>Page4!R</v>
      </c>
      <c r="Q469" s="611">
        <f t="shared" si="58"/>
        <v>55</v>
      </c>
      <c r="R469" s="1447">
        <f t="shared" ca="1" si="59"/>
        <v>0</v>
      </c>
      <c r="S469" s="1447">
        <f t="shared" ca="1" si="60"/>
        <v>0</v>
      </c>
      <c r="V469" s="2557" t="str">
        <f t="shared" ca="1" si="61"/>
        <v/>
      </c>
      <c r="W469" s="611" t="str">
        <f t="shared" ca="1" si="62"/>
        <v>Page4, Ligne 52 [Page4!R55]  -</v>
      </c>
    </row>
    <row r="470" spans="1:23">
      <c r="A470" s="1117" t="str">
        <f>celladdr(Page4!R56)</f>
        <v>Page4!R56</v>
      </c>
      <c r="B470" s="1456" t="s">
        <v>1086</v>
      </c>
      <c r="D470" s="1450"/>
      <c r="E470" s="1450"/>
      <c r="F470" s="1450"/>
      <c r="G470" s="1444" t="str">
        <f t="shared" si="56"/>
        <v/>
      </c>
      <c r="H470" s="1446"/>
      <c r="I470" s="1446"/>
      <c r="J470" s="1452"/>
      <c r="K470" s="1452"/>
      <c r="N470" s="611" t="s">
        <v>1544</v>
      </c>
      <c r="O470" s="611" t="str">
        <f t="shared" si="63"/>
        <v/>
      </c>
      <c r="P470" s="611" t="str">
        <f t="shared" si="57"/>
        <v>Page4!R</v>
      </c>
      <c r="Q470" s="611">
        <f t="shared" si="58"/>
        <v>56</v>
      </c>
      <c r="R470" s="1447">
        <f t="shared" ca="1" si="59"/>
        <v>0</v>
      </c>
      <c r="S470" s="1447">
        <f t="shared" ca="1" si="60"/>
        <v>0</v>
      </c>
      <c r="V470" s="2557" t="str">
        <f t="shared" ca="1" si="61"/>
        <v/>
      </c>
      <c r="W470" s="611" t="str">
        <f t="shared" ca="1" si="62"/>
        <v>Page4, Ligne 53 [Page4!R56]  -</v>
      </c>
    </row>
    <row r="471" spans="1:23">
      <c r="A471" s="1117" t="str">
        <f>celladdr(Page4!R57)</f>
        <v>Page4!R57</v>
      </c>
      <c r="B471" s="1456" t="s">
        <v>1086</v>
      </c>
      <c r="D471" s="1450"/>
      <c r="E471" s="1450"/>
      <c r="F471" s="1450"/>
      <c r="G471" s="1444" t="str">
        <f t="shared" si="56"/>
        <v/>
      </c>
      <c r="H471" s="1446"/>
      <c r="I471" s="1446"/>
      <c r="J471" s="1452"/>
      <c r="K471" s="1452"/>
      <c r="N471" s="611" t="s">
        <v>1545</v>
      </c>
      <c r="O471" s="611" t="str">
        <f t="shared" si="63"/>
        <v/>
      </c>
      <c r="P471" s="611" t="str">
        <f t="shared" si="57"/>
        <v>Page4!R</v>
      </c>
      <c r="Q471" s="611">
        <f t="shared" si="58"/>
        <v>57</v>
      </c>
      <c r="R471" s="1447">
        <f t="shared" ca="1" si="59"/>
        <v>0</v>
      </c>
      <c r="S471" s="1447">
        <f t="shared" ca="1" si="60"/>
        <v>0</v>
      </c>
      <c r="V471" s="2557" t="str">
        <f t="shared" ca="1" si="61"/>
        <v/>
      </c>
      <c r="W471" s="611" t="str">
        <f t="shared" ca="1" si="62"/>
        <v>Page4, Ligne 54 [Page4!R57]  -</v>
      </c>
    </row>
    <row r="472" spans="1:23">
      <c r="A472" s="1117" t="str">
        <f>celladdr(Page4!R60)</f>
        <v>Page4!R60</v>
      </c>
      <c r="B472" s="1455" t="s">
        <v>1086</v>
      </c>
      <c r="C472" s="1445" t="b">
        <f>Page4!$R$60&lt;&gt;Page4!$R$58+Page4!$R$43+Page4!$R$20</f>
        <v>0</v>
      </c>
      <c r="D472" s="1454"/>
      <c r="E472" s="1454"/>
      <c r="F472" s="1454"/>
      <c r="G472" s="1444" t="str">
        <f t="shared" si="56"/>
        <v/>
      </c>
      <c r="H472" s="1446" t="str">
        <f>IF(C472=TRUE,Comments!$B$16&amp;DOLLAR(Page4!$R$60-(Page4!$R$58+Page4!$R$43+Page4!$R$20),0),"")</f>
        <v/>
      </c>
      <c r="I472" s="1452"/>
      <c r="J472" s="1452"/>
      <c r="K472" s="1452"/>
      <c r="N472" s="611" t="s">
        <v>1546</v>
      </c>
      <c r="O472" s="611" t="str">
        <f t="shared" si="63"/>
        <v/>
      </c>
      <c r="P472" s="611" t="str">
        <f t="shared" si="57"/>
        <v>Page4!R</v>
      </c>
      <c r="Q472" s="611">
        <f t="shared" si="58"/>
        <v>60</v>
      </c>
      <c r="R472" s="1447">
        <f t="shared" ca="1" si="59"/>
        <v>0</v>
      </c>
      <c r="S472" s="1447">
        <f t="shared" ca="1" si="60"/>
        <v>0</v>
      </c>
      <c r="V472" s="2557" t="str">
        <f t="shared" ca="1" si="61"/>
        <v/>
      </c>
      <c r="W472" s="611" t="str">
        <f t="shared" ca="1" si="62"/>
        <v>Page4, Ligne 57 [Page4!R60]  -</v>
      </c>
    </row>
    <row r="473" spans="1:23">
      <c r="A473" s="1443" t="str">
        <f>celladdr(Page4!R63)</f>
        <v>Page4!R63</v>
      </c>
      <c r="B473" s="1463" t="s">
        <v>1086</v>
      </c>
      <c r="C473" s="1445" t="b">
        <f>OR(Page3!$F$63+Page3!$J$63+Page3!$N$63+Page4!$F$63+Page4!$J$63+Page4!$N$63+Page4!$R$63&gt;100,Page3!$F$63+Page3!$J$63+Page3!$N$63+Page4!$F$63+Page4!$J$63+Page4!$N$63+Page4!$R$63&lt;-100)</f>
        <v>0</v>
      </c>
      <c r="F473" s="1454"/>
      <c r="G473" s="1444" t="str">
        <f t="shared" si="56"/>
        <v/>
      </c>
      <c r="H473" s="1446" t="str">
        <f>IF(C473=TRUE,Comments!$B$15&amp;DOLLAR(Page4!$R$60+Page4!$F$63+Page4!$J$63+Page4!$N$63+Page3!$F$63+Page3!$J$63+Page3!$N$63,0),"")</f>
        <v/>
      </c>
      <c r="J473" s="1452"/>
      <c r="K473" s="1452"/>
      <c r="N473" s="611" t="s">
        <v>1547</v>
      </c>
      <c r="O473" s="611" t="str">
        <f t="shared" si="63"/>
        <v/>
      </c>
      <c r="P473" s="611" t="str">
        <f t="shared" si="57"/>
        <v>Page4!R</v>
      </c>
      <c r="Q473" s="611">
        <f t="shared" si="58"/>
        <v>63</v>
      </c>
      <c r="R473" s="1447">
        <f t="shared" ca="1" si="59"/>
        <v>0</v>
      </c>
      <c r="S473" s="1447">
        <f t="shared" ca="1" si="60"/>
        <v>0</v>
      </c>
      <c r="V473" s="2557" t="str">
        <f t="shared" ca="1" si="61"/>
        <v/>
      </c>
      <c r="W473" s="611" t="str">
        <f t="shared" ca="1" si="62"/>
        <v>Page4, Ligne 60 [Page4!R63]  -</v>
      </c>
    </row>
    <row r="474" spans="1:23">
      <c r="A474" s="1443" t="str">
        <f>celladdr(Page5_CHV_MCI!F51)</f>
        <v>Page5_CHV_MCI!F51</v>
      </c>
      <c r="B474" s="1453" t="s">
        <v>1086</v>
      </c>
      <c r="C474" s="1445" t="b">
        <f>Page5_CHV_MCI!$F$51&lt;&gt;Page5_CHV_MCI!$F$48+Page5_CHV_MCI!$F$27</f>
        <v>0</v>
      </c>
      <c r="D474" s="1454"/>
      <c r="F474" s="1454"/>
      <c r="G474" s="1444" t="str">
        <f t="shared" si="56"/>
        <v/>
      </c>
      <c r="H474" s="1446" t="str">
        <f>IF(C474=TRUE,Comments!$B$38&amp;Page5_CHV_MCI!$F$51-(Page5_CHV_MCI!$F$48+Page5_CHV_MCI!$F$27),"")</f>
        <v/>
      </c>
      <c r="I474" s="1452"/>
      <c r="J474" s="1452"/>
      <c r="K474" s="1452"/>
      <c r="N474" s="611" t="str">
        <f>Page5_CHV_MCI!$B$1&amp;" TOTAL VÉHICULES NEUFS - - UNITÉS - MOIS"</f>
        <v>CHEVROLET TOTAL VÉHICULES NEUFS - - UNITÉS - MOIS</v>
      </c>
      <c r="O474" s="611" t="str">
        <f t="shared" si="63"/>
        <v/>
      </c>
      <c r="P474" s="611" t="str">
        <f t="shared" si="57"/>
        <v>Page5_CHV_MCI!F</v>
      </c>
      <c r="Q474" s="611">
        <f t="shared" si="58"/>
        <v>51</v>
      </c>
      <c r="R474" s="1447">
        <f t="shared" ca="1" si="59"/>
        <v>0</v>
      </c>
      <c r="S474" s="1447">
        <f t="shared" ca="1" si="60"/>
        <v>0</v>
      </c>
      <c r="V474" s="2557" t="str">
        <f t="shared" ca="1" si="61"/>
        <v/>
      </c>
      <c r="W474" s="611" t="str">
        <f t="shared" ca="1" si="62"/>
        <v>Page5_CHV_MCI, Ligne 48 [Page5_CHV_MCI!F51]  -</v>
      </c>
    </row>
    <row r="475" spans="1:23">
      <c r="A475" s="1443" t="str">
        <f>celladdr(Page5_CHV_MCI!I51)</f>
        <v>Page5_CHV_MCI!I51</v>
      </c>
      <c r="B475" s="1455" t="s">
        <v>1086</v>
      </c>
      <c r="C475" s="1445" t="b">
        <f>Page5_CHV_MCI!$I$51&lt;&gt;Page5_CHV_MCI!$I$48+Page5_CHV_MCI!$I$49+Page5_CHV_MCI!$I$27+Page5_CHV_MCI!$I$50</f>
        <v>0</v>
      </c>
      <c r="D475" s="1454"/>
      <c r="F475" s="1454"/>
      <c r="G475" s="1444" t="str">
        <f t="shared" si="56"/>
        <v/>
      </c>
      <c r="H475" s="1446" t="str">
        <f>IF(C475=TRUE,Comments!$B$39&amp;DOLLAR(Page5_CHV_MCI!$I$51-(Page5_CHV_MCI!$I$48+Page5_CHV_MCI!$I$49+Page5_CHV_MCI!$I$27+Page5_CHV_MCI!$I$50),0),"")</f>
        <v/>
      </c>
      <c r="I475" s="1452"/>
      <c r="J475" s="1452"/>
      <c r="K475" s="1452"/>
      <c r="N475" s="611" t="str">
        <f>Page5_CHV_MCI!$B$1&amp;" TOTAL VÉHICULES NEUFS - PROFIT BRUT - MOIS"</f>
        <v>CHEVROLET TOTAL VÉHICULES NEUFS - PROFIT BRUT - MOIS</v>
      </c>
      <c r="O475" s="611" t="str">
        <f t="shared" si="63"/>
        <v/>
      </c>
      <c r="P475" s="611" t="str">
        <f t="shared" si="57"/>
        <v>Page5_CHV_MCI!I</v>
      </c>
      <c r="Q475" s="611">
        <f t="shared" si="58"/>
        <v>51</v>
      </c>
      <c r="R475" s="1447">
        <f t="shared" ca="1" si="59"/>
        <v>0</v>
      </c>
      <c r="S475" s="1447">
        <f t="shared" ca="1" si="60"/>
        <v>0</v>
      </c>
      <c r="V475" s="2557" t="str">
        <f t="shared" ca="1" si="61"/>
        <v/>
      </c>
      <c r="W475" s="611" t="str">
        <f t="shared" ca="1" si="62"/>
        <v>Page5_CHV_MCI, Ligne 48 [Page5_CHV_MCI!I51]  -</v>
      </c>
    </row>
    <row r="476" spans="1:23">
      <c r="A476" s="1443" t="str">
        <f>celladdr(Page5_CHV_MCI!K4)</f>
        <v>Page5_CHV_MCI!K4</v>
      </c>
      <c r="B476" s="1464" t="s">
        <v>1086</v>
      </c>
      <c r="C476" s="1451" t="b">
        <f>Page5_CHV_MCI!$K$4&lt;0</f>
        <v>0</v>
      </c>
      <c r="D476" s="1454" t="b">
        <f>OR(AND(Page5_CHV_MCI!$K4&gt;0,Page5_CHV_MCI!$M4=0),AND(Page5_CHV_MCI!$M4&lt;&gt;0,Page5_CHV_MCI!$K4=0))</f>
        <v>0</v>
      </c>
      <c r="E476" s="1454"/>
      <c r="F476" s="1454"/>
      <c r="G476" s="1444" t="str">
        <f t="shared" si="56"/>
        <v/>
      </c>
      <c r="H476" s="1447" t="str">
        <f>IF(C476=TRUE,Comments!$B$26,"")</f>
        <v/>
      </c>
      <c r="I476" s="1446" t="str">
        <f>IF(D476=TRUE,Comments!$B$21,"")</f>
        <v/>
      </c>
      <c r="J476" s="1446"/>
      <c r="K476" s="1452"/>
      <c r="N476" s="611" t="str">
        <f>"CPTE # "&amp;Page5_CHV_MCI!$E$4&amp;"  "&amp;Page5_CHV_MCI!$C$4&amp;" - UNITÉS - AAD"</f>
        <v>CPTE # 400A  VOLT - UNITÉS - AAD</v>
      </c>
      <c r="O476" s="611" t="str">
        <f t="shared" si="63"/>
        <v/>
      </c>
      <c r="P476" s="611" t="str">
        <f t="shared" si="57"/>
        <v>Page5_CHV_MCI!K</v>
      </c>
      <c r="Q476" s="611">
        <f t="shared" si="58"/>
        <v>4</v>
      </c>
      <c r="R476" s="1447">
        <f t="shared" ca="1" si="59"/>
        <v>0</v>
      </c>
      <c r="S476" s="1447">
        <f t="shared" ca="1" si="60"/>
        <v>0</v>
      </c>
      <c r="V476" s="2557" t="str">
        <f t="shared" ca="1" si="61"/>
        <v/>
      </c>
      <c r="W476" s="611" t="str">
        <f t="shared" ca="1" si="62"/>
        <v>Page5_CHV_MCI, Ligne 1 [Page5_CHV_MCI!K4]  -</v>
      </c>
    </row>
    <row r="477" spans="1:23">
      <c r="A477" s="1443" t="str">
        <f>celladdr(Page5_CHV_MCI!K5)</f>
        <v>Page5_CHV_MCI!K5</v>
      </c>
      <c r="B477" s="1464" t="s">
        <v>1086</v>
      </c>
      <c r="C477" s="1451" t="b">
        <f>Page5_CHV_MCI!$K$5&lt;0</f>
        <v>0</v>
      </c>
      <c r="D477" s="1454" t="b">
        <f>OR(AND(Page5_CHV_MCI!$K5&gt;0,Page5_CHV_MCI!$M5=0),AND(Page5_CHV_MCI!$M5&lt;&gt;0,Page5_CHV_MCI!$K5=0))</f>
        <v>0</v>
      </c>
      <c r="E477" s="1454"/>
      <c r="F477" s="1454"/>
      <c r="G477" s="1444" t="str">
        <f t="shared" si="56"/>
        <v/>
      </c>
      <c r="H477" s="1447" t="str">
        <f>IF(C477=TRUE,Comments!$B$26,"")</f>
        <v/>
      </c>
      <c r="I477" s="1446" t="str">
        <f>IF(D477=TRUE,Comments!$B$21,"")</f>
        <v/>
      </c>
      <c r="J477" s="1446"/>
      <c r="K477" s="1452"/>
      <c r="N477" s="611" t="str">
        <f>"CPTE # "&amp;Page5_CHV_MCI!$E$5&amp;"  "&amp;Page5_CHV_MCI!$C$5&amp;" - UNITÉS - AAD"</f>
        <v>CPTE # 401A  MALIBU - UNITÉS - AAD</v>
      </c>
      <c r="O477" s="611" t="str">
        <f t="shared" si="63"/>
        <v/>
      </c>
      <c r="P477" s="611" t="str">
        <f t="shared" si="57"/>
        <v>Page5_CHV_MCI!K</v>
      </c>
      <c r="Q477" s="611">
        <f t="shared" si="58"/>
        <v>5</v>
      </c>
      <c r="R477" s="1447">
        <f t="shared" ca="1" si="59"/>
        <v>0</v>
      </c>
      <c r="S477" s="1447">
        <f t="shared" ca="1" si="60"/>
        <v>0</v>
      </c>
      <c r="V477" s="2557" t="str">
        <f t="shared" ca="1" si="61"/>
        <v/>
      </c>
      <c r="W477" s="611" t="str">
        <f t="shared" ca="1" si="62"/>
        <v>Page5_CHV_MCI, Ligne 2 [Page5_CHV_MCI!K5]  -</v>
      </c>
    </row>
    <row r="478" spans="1:23">
      <c r="A478" s="1443" t="str">
        <f>celladdr(Page5_CHV_MCI!K6)</f>
        <v>Page5_CHV_MCI!K6</v>
      </c>
      <c r="B478" s="1464" t="s">
        <v>1086</v>
      </c>
      <c r="C478" s="1451" t="b">
        <f>Page5_CHV_MCI!$K$6&lt;0</f>
        <v>0</v>
      </c>
      <c r="D478" s="1454" t="b">
        <f>OR(AND(Page5_CHV_MCI!$K6&gt;0,Page5_CHV_MCI!$M6=0),AND(Page5_CHV_MCI!$M6&lt;&gt;0,Page5_CHV_MCI!$K6=0))</f>
        <v>0</v>
      </c>
      <c r="E478" s="1454"/>
      <c r="F478" s="1454"/>
      <c r="G478" s="1444" t="str">
        <f t="shared" si="56"/>
        <v/>
      </c>
      <c r="H478" s="1447" t="str">
        <f>IF(C478=TRUE,Comments!$B$26,"")</f>
        <v/>
      </c>
      <c r="I478" s="1446" t="str">
        <f>IF(D478=TRUE,Comments!$B$21,"")</f>
        <v/>
      </c>
      <c r="J478" s="1446"/>
      <c r="K478" s="1452"/>
      <c r="N478" s="611" t="str">
        <f>"CPTE # "&amp;Page5_CHV_MCI!$E$6&amp;"  "&amp;Page5_CHV_MCI!$C$6&amp;" - UNITÉS - AAD"</f>
        <v>CPTE # 402A  SONIC - UNITÉS - AAD</v>
      </c>
      <c r="O478" s="611" t="str">
        <f t="shared" si="63"/>
        <v/>
      </c>
      <c r="P478" s="611" t="str">
        <f t="shared" si="57"/>
        <v>Page5_CHV_MCI!K</v>
      </c>
      <c r="Q478" s="611">
        <f t="shared" si="58"/>
        <v>6</v>
      </c>
      <c r="R478" s="1447">
        <f t="shared" ca="1" si="59"/>
        <v>0</v>
      </c>
      <c r="S478" s="1447">
        <f t="shared" ca="1" si="60"/>
        <v>0</v>
      </c>
      <c r="V478" s="2557" t="str">
        <f t="shared" ca="1" si="61"/>
        <v/>
      </c>
      <c r="W478" s="611" t="str">
        <f t="shared" ca="1" si="62"/>
        <v>Page5_CHV_MCI, Ligne 3 [Page5_CHV_MCI!K6]  -</v>
      </c>
    </row>
    <row r="479" spans="1:23">
      <c r="A479" s="1443" t="str">
        <f>celladdr(Page5_CHV_MCI!K7)</f>
        <v>Page5_CHV_MCI!K7</v>
      </c>
      <c r="B479" s="1464" t="s">
        <v>1086</v>
      </c>
      <c r="C479" s="1451" t="b">
        <f>Page5_CHV_MCI!$K$7&lt;0</f>
        <v>0</v>
      </c>
      <c r="D479" s="1454" t="b">
        <f>OR(AND(Page5_CHV_MCI!$K7&gt;0,Page5_CHV_MCI!$M7=0),AND(Page5_CHV_MCI!$M7&lt;&gt;0,Page5_CHV_MCI!$K7=0))</f>
        <v>0</v>
      </c>
      <c r="E479" s="1454"/>
      <c r="F479" s="1454"/>
      <c r="G479" s="1444" t="str">
        <f t="shared" si="56"/>
        <v/>
      </c>
      <c r="H479" s="1447" t="str">
        <f>IF(C479=TRUE,Comments!$B$26,"")</f>
        <v/>
      </c>
      <c r="I479" s="1446" t="str">
        <f>IF(D479=TRUE,Comments!$B$21,"")</f>
        <v/>
      </c>
      <c r="J479" s="1446"/>
      <c r="K479" s="1452"/>
      <c r="N479" s="611" t="str">
        <f>"CPTE # "&amp;Page5_CHV_MCI!$E$7&amp;"  "&amp;Page5_CHV_MCI!$C$7&amp;" - UNITÉS - AAD"</f>
        <v>CPTE # 403A  IMPALA - UNITÉS - AAD</v>
      </c>
      <c r="O479" s="611" t="str">
        <f t="shared" si="63"/>
        <v/>
      </c>
      <c r="P479" s="611" t="str">
        <f t="shared" si="57"/>
        <v>Page5_CHV_MCI!K</v>
      </c>
      <c r="Q479" s="611">
        <f t="shared" si="58"/>
        <v>7</v>
      </c>
      <c r="R479" s="1447">
        <f t="shared" ca="1" si="59"/>
        <v>0</v>
      </c>
      <c r="S479" s="1447">
        <f t="shared" ca="1" si="60"/>
        <v>0</v>
      </c>
      <c r="V479" s="2557" t="str">
        <f t="shared" ca="1" si="61"/>
        <v/>
      </c>
      <c r="W479" s="611" t="str">
        <f t="shared" ca="1" si="62"/>
        <v>Page5_CHV_MCI, Ligne 4 [Page5_CHV_MCI!K7]  -</v>
      </c>
    </row>
    <row r="480" spans="1:23">
      <c r="A480" s="1443" t="str">
        <f>celladdr(Page5_CHV_MCI!K8)</f>
        <v>Page5_CHV_MCI!K8</v>
      </c>
      <c r="B480" s="1464" t="s">
        <v>1086</v>
      </c>
      <c r="C480" s="1451" t="b">
        <f>Page5_CHV_MCI!$K$8&lt;0</f>
        <v>0</v>
      </c>
      <c r="D480" s="1454" t="b">
        <f>OR(AND(Page5_CHV_MCI!$K8&gt;0,Page5_CHV_MCI!$M8=0),AND(Page5_CHV_MCI!$M8&lt;&gt;0,Page5_CHV_MCI!$K8=0))</f>
        <v>0</v>
      </c>
      <c r="E480" s="1454"/>
      <c r="F480" s="1454"/>
      <c r="G480" s="1444" t="str">
        <f t="shared" si="56"/>
        <v/>
      </c>
      <c r="H480" s="1447" t="str">
        <f>IF(C480=TRUE,Comments!$B$26,"")</f>
        <v/>
      </c>
      <c r="I480" s="1446" t="str">
        <f>IF(D480=TRUE,Comments!$B$21,"")</f>
        <v/>
      </c>
      <c r="J480" s="1446"/>
      <c r="K480" s="1452"/>
      <c r="N480" s="611" t="str">
        <f>"CPTE # "&amp;Page5_CHV_MCI!$E$8&amp;"  "&amp;Page5_CHV_MCI!$C$8&amp;" - UNITÉS - AAD"</f>
        <v>CPTE # 404A  SPARK - UNITÉS - AAD</v>
      </c>
      <c r="O480" s="611" t="str">
        <f t="shared" si="63"/>
        <v/>
      </c>
      <c r="P480" s="611" t="str">
        <f t="shared" si="57"/>
        <v>Page5_CHV_MCI!K</v>
      </c>
      <c r="Q480" s="611">
        <f t="shared" si="58"/>
        <v>8</v>
      </c>
      <c r="R480" s="1447">
        <f t="shared" ca="1" si="59"/>
        <v>0</v>
      </c>
      <c r="S480" s="1447">
        <f t="shared" ca="1" si="60"/>
        <v>0</v>
      </c>
      <c r="V480" s="2557" t="str">
        <f t="shared" ca="1" si="61"/>
        <v/>
      </c>
      <c r="W480" s="611" t="str">
        <f t="shared" ca="1" si="62"/>
        <v>Page5_CHV_MCI, Ligne 5 [Page5_CHV_MCI!K8]  -</v>
      </c>
    </row>
    <row r="481" spans="1:23">
      <c r="A481" s="1443" t="str">
        <f>celladdr(Page5_CHV_MCI!K9)</f>
        <v>Page5_CHV_MCI!K9</v>
      </c>
      <c r="B481" s="1464" t="s">
        <v>1086</v>
      </c>
      <c r="C481" s="1451" t="b">
        <f>Page5_CHV_MCI!$K$9&lt;0</f>
        <v>0</v>
      </c>
      <c r="D481" s="1454" t="b">
        <f>OR(AND(Page5_CHV_MCI!$K9&gt;0,Page5_CHV_MCI!$M9=0),AND(Page5_CHV_MCI!$M9&lt;&gt;0,Page5_CHV_MCI!$K9=0))</f>
        <v>0</v>
      </c>
      <c r="E481" s="1454"/>
      <c r="F481" s="1454"/>
      <c r="G481" s="1444" t="str">
        <f t="shared" si="56"/>
        <v/>
      </c>
      <c r="H481" s="1447" t="str">
        <f>IF(C481=TRUE,Comments!$B$26,"")</f>
        <v/>
      </c>
      <c r="I481" s="1446" t="str">
        <f>IF(D481=TRUE,Comments!$B$21,"")</f>
        <v/>
      </c>
      <c r="J481" s="1446"/>
      <c r="K481" s="1452"/>
      <c r="N481" s="611" t="str">
        <f>"CPTE # "&amp;Page5_CHV_MCI!$E$9&amp;"  "&amp;Page5_CHV_MCI!$C$9&amp;" - UNITÉS - AAD"</f>
        <v>CPTE # 405A  CORVETTE - UNITÉS - AAD</v>
      </c>
      <c r="O481" s="611" t="str">
        <f t="shared" si="63"/>
        <v/>
      </c>
      <c r="P481" s="611" t="str">
        <f t="shared" si="57"/>
        <v>Page5_CHV_MCI!K</v>
      </c>
      <c r="Q481" s="611">
        <f t="shared" si="58"/>
        <v>9</v>
      </c>
      <c r="R481" s="1447">
        <f t="shared" ca="1" si="59"/>
        <v>0</v>
      </c>
      <c r="S481" s="1447">
        <f t="shared" ca="1" si="60"/>
        <v>0</v>
      </c>
      <c r="V481" s="2557" t="str">
        <f t="shared" ca="1" si="61"/>
        <v/>
      </c>
      <c r="W481" s="611" t="str">
        <f t="shared" ca="1" si="62"/>
        <v>Page5_CHV_MCI, Ligne 6 [Page5_CHV_MCI!K9]  -</v>
      </c>
    </row>
    <row r="482" spans="1:23">
      <c r="A482" s="1443" t="str">
        <f>celladdr(Page5_CHV_MCI!K10)</f>
        <v>Page5_CHV_MCI!K10</v>
      </c>
      <c r="B482" s="1464" t="s">
        <v>1086</v>
      </c>
      <c r="C482" s="1451" t="b">
        <f>Page5_CHV_MCI!$K$10&lt;0</f>
        <v>0</v>
      </c>
      <c r="D482" s="1454" t="b">
        <f>OR(AND(Page5_CHV_MCI!$K10&gt;0,Page5_CHV_MCI!$M10=0),AND(Page5_CHV_MCI!$M10&lt;&gt;0,Page5_CHV_MCI!$K10=0))</f>
        <v>0</v>
      </c>
      <c r="E482" s="1454"/>
      <c r="F482" s="1454"/>
      <c r="G482" s="1444" t="str">
        <f t="shared" si="56"/>
        <v/>
      </c>
      <c r="H482" s="1447" t="str">
        <f>IF(C482=TRUE,Comments!$B$26,"")</f>
        <v/>
      </c>
      <c r="I482" s="1446" t="str">
        <f>IF(D482=TRUE,Comments!$B$21,"")</f>
        <v/>
      </c>
      <c r="J482" s="1446"/>
      <c r="K482" s="1452"/>
      <c r="N482" s="611" t="str">
        <f>"CPTE # "&amp;Page5_CHV_MCI!$E$10&amp;"  "&amp;Page5_CHV_MCI!$C$10&amp;" - UNITÉS - AAD"</f>
        <v>CPTE # 406A  CORVETTE E-RAY - UNITÉS - AAD</v>
      </c>
      <c r="O482" s="611" t="str">
        <f t="shared" si="63"/>
        <v/>
      </c>
      <c r="P482" s="611" t="str">
        <f t="shared" si="57"/>
        <v>Page5_CHV_MCI!K</v>
      </c>
      <c r="Q482" s="611">
        <f t="shared" si="58"/>
        <v>10</v>
      </c>
      <c r="R482" s="1447">
        <f t="shared" ca="1" si="59"/>
        <v>0</v>
      </c>
      <c r="S482" s="1447">
        <f t="shared" ca="1" si="60"/>
        <v>0</v>
      </c>
      <c r="V482" s="2557" t="str">
        <f t="shared" ca="1" si="61"/>
        <v/>
      </c>
      <c r="W482" s="611" t="str">
        <f t="shared" ca="1" si="62"/>
        <v>Page5_CHV_MCI, Ligne 7 [Page5_CHV_MCI!K10]  -</v>
      </c>
    </row>
    <row r="483" spans="1:23">
      <c r="A483" s="1443" t="str">
        <f>celladdr(Page5_CHV_MCI!K11)</f>
        <v>Page5_CHV_MCI!K11</v>
      </c>
      <c r="B483" s="1464" t="s">
        <v>1086</v>
      </c>
      <c r="C483" s="1451" t="b">
        <f>Page5_CHV_MCI!$K$11&lt;0</f>
        <v>0</v>
      </c>
      <c r="D483" s="1454" t="b">
        <f>OR(AND(Page5_CHV_MCI!$K11&gt;0,Page5_CHV_MCI!$M11=0),AND(Page5_CHV_MCI!$M11&lt;&gt;0,Page5_CHV_MCI!$K11=0))</f>
        <v>0</v>
      </c>
      <c r="E483" s="1454"/>
      <c r="F483" s="1454"/>
      <c r="G483" s="1444" t="str">
        <f t="shared" si="56"/>
        <v/>
      </c>
      <c r="H483" s="1447" t="str">
        <f>IF(C483=TRUE,Comments!$B$26,"")</f>
        <v/>
      </c>
      <c r="I483" s="1446" t="str">
        <f>IF(D483=TRUE,Comments!$B$21,"")</f>
        <v/>
      </c>
      <c r="J483" s="1446"/>
      <c r="K483" s="1452"/>
      <c r="N483" s="611" t="str">
        <f>"CPTE # "&amp;Page5_CHV_MCI!$E$11&amp;"  "&amp;Page5_CHV_MCI!$C$11&amp;" - UNITÉS - AAD"</f>
        <v>CPTE # 407A  NE PAS UTILISER - UNITÉS - AAD</v>
      </c>
      <c r="O483" s="611" t="str">
        <f t="shared" si="63"/>
        <v/>
      </c>
      <c r="P483" s="611" t="str">
        <f t="shared" si="57"/>
        <v>Page5_CHV_MCI!K</v>
      </c>
      <c r="Q483" s="611">
        <f t="shared" si="58"/>
        <v>11</v>
      </c>
      <c r="R483" s="1447">
        <f t="shared" ca="1" si="59"/>
        <v>0</v>
      </c>
      <c r="S483" s="1447">
        <f t="shared" ca="1" si="60"/>
        <v>0</v>
      </c>
      <c r="V483" s="2557" t="str">
        <f t="shared" ca="1" si="61"/>
        <v/>
      </c>
      <c r="W483" s="611" t="str">
        <f t="shared" ca="1" si="62"/>
        <v>Page5_CHV_MCI, Ligne 8 [Page5_CHV_MCI!K11]  -</v>
      </c>
    </row>
    <row r="484" spans="1:23">
      <c r="A484" s="1443" t="str">
        <f>celladdr(Page5_CHV_MCI!K12)</f>
        <v>Page5_CHV_MCI!K12</v>
      </c>
      <c r="B484" s="1464" t="s">
        <v>1086</v>
      </c>
      <c r="C484" s="1451" t="b">
        <f>Page5_CHV_MCI!$K$12&lt;0</f>
        <v>0</v>
      </c>
      <c r="D484" s="1454" t="b">
        <f>OR(AND(Page5_CHV_MCI!$K12&gt;0,Page5_CHV_MCI!$M12=0),AND(Page5_CHV_MCI!$M12&lt;&gt;0,Page5_CHV_MCI!$K12=0))</f>
        <v>0</v>
      </c>
      <c r="E484" s="1454"/>
      <c r="F484" s="1454"/>
      <c r="G484" s="1444" t="str">
        <f t="shared" si="56"/>
        <v/>
      </c>
      <c r="H484" s="1447" t="str">
        <f>IF(C484=TRUE,Comments!$B$26,"")</f>
        <v/>
      </c>
      <c r="I484" s="1446" t="str">
        <f>IF(D484=TRUE,Comments!$B$21,"")</f>
        <v/>
      </c>
      <c r="J484" s="1446"/>
      <c r="K484" s="1452"/>
      <c r="N484" s="611" t="str">
        <f>"CPTE # "&amp;Page5_CHV_MCI!$E$12&amp;"  "&amp;Page5_CHV_MCI!$C$12&amp;" - UNITÉS - AAD"</f>
        <v>CPTE # 408A  NE PAS UTILISER - UNITÉS - AAD</v>
      </c>
      <c r="O484" s="611" t="str">
        <f t="shared" si="63"/>
        <v/>
      </c>
      <c r="P484" s="611" t="str">
        <f t="shared" si="57"/>
        <v>Page5_CHV_MCI!K</v>
      </c>
      <c r="Q484" s="611">
        <f t="shared" si="58"/>
        <v>12</v>
      </c>
      <c r="R484" s="1447">
        <f t="shared" ca="1" si="59"/>
        <v>0</v>
      </c>
      <c r="S484" s="1447">
        <f t="shared" ca="1" si="60"/>
        <v>0</v>
      </c>
      <c r="V484" s="2557" t="str">
        <f t="shared" ca="1" si="61"/>
        <v/>
      </c>
      <c r="W484" s="611" t="str">
        <f t="shared" ca="1" si="62"/>
        <v>Page5_CHV_MCI, Ligne 9 [Page5_CHV_MCI!K12]  -</v>
      </c>
    </row>
    <row r="485" spans="1:23">
      <c r="A485" s="1443" t="str">
        <f>celladdr(Page5_CHV_MCI!K13)</f>
        <v>Page5_CHV_MCI!K13</v>
      </c>
      <c r="B485" s="1464" t="s">
        <v>1086</v>
      </c>
      <c r="C485" s="1451" t="b">
        <f>Page5_CHV_MCI!$K$13&lt;0</f>
        <v>0</v>
      </c>
      <c r="D485" s="1454" t="b">
        <f>OR(AND(Page5_CHV_MCI!$K13&gt;0,Page5_CHV_MCI!$M13=0),AND(Page5_CHV_MCI!$M13&lt;&gt;0,Page5_CHV_MCI!$K13=0))</f>
        <v>0</v>
      </c>
      <c r="E485" s="1454"/>
      <c r="F485" s="1454"/>
      <c r="G485" s="1444" t="str">
        <f t="shared" si="56"/>
        <v/>
      </c>
      <c r="H485" s="1447" t="str">
        <f>IF(C485=TRUE,Comments!$B$26,"")</f>
        <v/>
      </c>
      <c r="I485" s="1446" t="str">
        <f>IF(D485=TRUE,Comments!$B$21,"")</f>
        <v/>
      </c>
      <c r="J485" s="1446"/>
      <c r="K485" s="1452"/>
      <c r="N485" s="611" t="str">
        <f>"CPTE # "&amp;Page5_CHV_MCI!$E$13&amp;"  "&amp;Page5_CHV_MCI!$C$13&amp;" - UNITÉS - AAD"</f>
        <v>CPTE # 409A  NE PAS UTILISER - UNITÉS - AAD</v>
      </c>
      <c r="O485" s="611" t="str">
        <f t="shared" si="63"/>
        <v/>
      </c>
      <c r="P485" s="611" t="str">
        <f t="shared" si="57"/>
        <v>Page5_CHV_MCI!K</v>
      </c>
      <c r="Q485" s="611">
        <f t="shared" si="58"/>
        <v>13</v>
      </c>
      <c r="R485" s="1447">
        <f t="shared" ca="1" si="59"/>
        <v>0</v>
      </c>
      <c r="S485" s="1447">
        <f t="shared" ca="1" si="60"/>
        <v>0</v>
      </c>
      <c r="V485" s="2557" t="str">
        <f t="shared" ca="1" si="61"/>
        <v/>
      </c>
      <c r="W485" s="611" t="str">
        <f t="shared" ca="1" si="62"/>
        <v>Page5_CHV_MCI, Ligne 10 [Page5_CHV_MCI!K13]  -</v>
      </c>
    </row>
    <row r="486" spans="1:23">
      <c r="A486" s="1443" t="str">
        <f>celladdr(Page5_CHV_MCI!K14)</f>
        <v>Page5_CHV_MCI!K14</v>
      </c>
      <c r="B486" s="1464" t="s">
        <v>1086</v>
      </c>
      <c r="C486" s="1451" t="b">
        <f>Page5_CHV_MCI!$K$14&lt;0</f>
        <v>0</v>
      </c>
      <c r="D486" s="1454" t="b">
        <f>OR(AND(Page5_CHV_MCI!$K14&gt;0,Page5_CHV_MCI!$M14=0),AND(Page5_CHV_MCI!$M14&lt;&gt;0,Page5_CHV_MCI!$K14=0))</f>
        <v>0</v>
      </c>
      <c r="E486" s="1454"/>
      <c r="F486" s="1454"/>
      <c r="G486" s="1444" t="str">
        <f t="shared" si="56"/>
        <v/>
      </c>
      <c r="H486" s="1447" t="str">
        <f>IF(C486=TRUE,Comments!$B$26,"")</f>
        <v/>
      </c>
      <c r="I486" s="1446" t="str">
        <f>IF(D486=TRUE,Comments!$B$21,"")</f>
        <v/>
      </c>
      <c r="J486" s="1446"/>
      <c r="K486" s="1452"/>
      <c r="N486" s="611" t="str">
        <f>"CPTE # "&amp;Page5_CHV_MCI!$E$14&amp;"  "&amp;Page5_CHV_MCI!$C$14&amp;" - UNITÉS - AAD"</f>
        <v>CPTE # 410A  CAMARO - UNITÉS - AAD</v>
      </c>
      <c r="O486" s="611" t="str">
        <f t="shared" si="63"/>
        <v/>
      </c>
      <c r="P486" s="611" t="str">
        <f t="shared" si="57"/>
        <v>Page5_CHV_MCI!K</v>
      </c>
      <c r="Q486" s="611">
        <f t="shared" si="58"/>
        <v>14</v>
      </c>
      <c r="R486" s="1447">
        <f t="shared" ca="1" si="59"/>
        <v>0</v>
      </c>
      <c r="S486" s="1447">
        <f t="shared" ca="1" si="60"/>
        <v>0</v>
      </c>
      <c r="V486" s="2557" t="str">
        <f t="shared" ca="1" si="61"/>
        <v/>
      </c>
      <c r="W486" s="611" t="str">
        <f t="shared" ca="1" si="62"/>
        <v>Page5_CHV_MCI, Ligne 11 [Page5_CHV_MCI!K14]  -</v>
      </c>
    </row>
    <row r="487" spans="1:23">
      <c r="A487" s="1443" t="str">
        <f>celladdr(Page5_CHV_MCI!K15)</f>
        <v>Page5_CHV_MCI!K15</v>
      </c>
      <c r="B487" s="1464" t="s">
        <v>1086</v>
      </c>
      <c r="C487" s="1451" t="b">
        <f>Page5_CHV_MCI!$K$15&lt;0</f>
        <v>0</v>
      </c>
      <c r="D487" s="1454" t="b">
        <f>OR(AND(Page5_CHV_MCI!$K15&gt;0,Page5_CHV_MCI!$M15=0),AND(Page5_CHV_MCI!$M15&lt;&gt;0,Page5_CHV_MCI!$K15=0))</f>
        <v>0</v>
      </c>
      <c r="E487" s="1454"/>
      <c r="F487" s="1454"/>
      <c r="G487" s="1444" t="str">
        <f t="shared" si="56"/>
        <v/>
      </c>
      <c r="H487" s="1447" t="str">
        <f>IF(C487=TRUE,Comments!$B$26,"")</f>
        <v/>
      </c>
      <c r="I487" s="1446" t="str">
        <f>IF(D487=TRUE,Comments!$B$21,"")</f>
        <v/>
      </c>
      <c r="J487" s="1446"/>
      <c r="K487" s="1452"/>
      <c r="N487" s="611" t="str">
        <f>"CPTE # "&amp;Page5_CHV_MCI!$E$15&amp;"  "&amp;Page5_CHV_MCI!$C$15&amp;" - UNITÉS - AAD"</f>
        <v>CPTE # 411A  CRUZE - UNITÉS - AAD</v>
      </c>
      <c r="O487" s="611" t="str">
        <f t="shared" si="63"/>
        <v/>
      </c>
      <c r="P487" s="611" t="str">
        <f t="shared" si="57"/>
        <v>Page5_CHV_MCI!K</v>
      </c>
      <c r="Q487" s="611">
        <f t="shared" si="58"/>
        <v>15</v>
      </c>
      <c r="R487" s="1447">
        <f t="shared" ca="1" si="59"/>
        <v>0</v>
      </c>
      <c r="S487" s="1447">
        <f t="shared" ca="1" si="60"/>
        <v>0</v>
      </c>
      <c r="V487" s="2557" t="str">
        <f t="shared" ca="1" si="61"/>
        <v/>
      </c>
      <c r="W487" s="611" t="str">
        <f t="shared" ca="1" si="62"/>
        <v>Page5_CHV_MCI, Ligne 12 [Page5_CHV_MCI!K15]  -</v>
      </c>
    </row>
    <row r="488" spans="1:23">
      <c r="A488" s="1443" t="str">
        <f>celladdr(Page5_CHV_MCI!K16)</f>
        <v>Page5_CHV_MCI!K16</v>
      </c>
      <c r="B488" s="1464" t="s">
        <v>1086</v>
      </c>
      <c r="C488" s="1451" t="b">
        <f>Page5_CHV_MCI!$K$16&lt;0</f>
        <v>0</v>
      </c>
      <c r="D488" s="1454" t="b">
        <f>OR(AND(Page5_CHV_MCI!$K16&gt;0,Page5_CHV_MCI!$M16=0),AND(Page5_CHV_MCI!$M16&lt;&gt;0,Page5_CHV_MCI!$K16=0))</f>
        <v>0</v>
      </c>
      <c r="E488" s="1454"/>
      <c r="F488" s="1454"/>
      <c r="G488" s="1444" t="str">
        <f t="shared" si="56"/>
        <v/>
      </c>
      <c r="H488" s="1447" t="str">
        <f>IF(C488=TRUE,Comments!$B$26,"")</f>
        <v/>
      </c>
      <c r="I488" s="1446" t="str">
        <f>IF(D488=TRUE,Comments!$B$21,"")</f>
        <v/>
      </c>
      <c r="J488" s="1446"/>
      <c r="K488" s="1452"/>
      <c r="N488" s="611" t="str">
        <f>"CPTE # "&amp;Page5_CHV_MCI!$E$16&amp;"  "&amp;Page5_CHV_MCI!$C$16&amp;" - UNITÉS - AAD"</f>
        <v>CPTE # 412A  NE PAS UTILISER - UNITÉS - AAD</v>
      </c>
      <c r="O488" s="611" t="str">
        <f t="shared" si="63"/>
        <v/>
      </c>
      <c r="P488" s="611" t="str">
        <f t="shared" si="57"/>
        <v>Page5_CHV_MCI!K</v>
      </c>
      <c r="Q488" s="611">
        <f t="shared" si="58"/>
        <v>16</v>
      </c>
      <c r="R488" s="1447">
        <f t="shared" ca="1" si="59"/>
        <v>0</v>
      </c>
      <c r="S488" s="1447">
        <f t="shared" ca="1" si="60"/>
        <v>0</v>
      </c>
      <c r="V488" s="2557" t="str">
        <f t="shared" ca="1" si="61"/>
        <v/>
      </c>
      <c r="W488" s="611" t="str">
        <f t="shared" ca="1" si="62"/>
        <v>Page5_CHV_MCI, Ligne 13 [Page5_CHV_MCI!K16]  -</v>
      </c>
    </row>
    <row r="489" spans="1:23">
      <c r="A489" s="1443" t="str">
        <f>celladdr(Page5_CHV_MCI!K17)</f>
        <v>Page5_CHV_MCI!K17</v>
      </c>
      <c r="B489" s="1464" t="s">
        <v>1086</v>
      </c>
      <c r="C489" s="1451" t="b">
        <f>Page5_CHV_MCI!$K$17&lt;0</f>
        <v>0</v>
      </c>
      <c r="D489" s="1454" t="b">
        <f>OR(AND(Page5_CHV_MCI!$K17&gt;0,Page5_CHV_MCI!$M17=0),AND(Page5_CHV_MCI!$M17&lt;&gt;0,Page5_CHV_MCI!$K17=0))</f>
        <v>0</v>
      </c>
      <c r="E489" s="1454"/>
      <c r="F489" s="1454"/>
      <c r="G489" s="1444" t="str">
        <f t="shared" si="56"/>
        <v/>
      </c>
      <c r="H489" s="1447" t="str">
        <f>IF(C489=TRUE,Comments!$B$26,"")</f>
        <v/>
      </c>
      <c r="I489" s="1446" t="str">
        <f>IF(D489=TRUE,Comments!$B$21,"")</f>
        <v/>
      </c>
      <c r="J489" s="1446"/>
      <c r="K489" s="1452"/>
      <c r="N489" s="611" t="str">
        <f>"CPTE # "&amp;Page5_CHV_MCI!$E$17&amp;"  "&amp;Page5_CHV_MCI!$C$17&amp;" - UNITÉS - AAD"</f>
        <v>CPTE # 413A  NE PAS UTILISER - UNITÉS - AAD</v>
      </c>
      <c r="O489" s="611" t="str">
        <f t="shared" si="63"/>
        <v/>
      </c>
      <c r="P489" s="611" t="str">
        <f t="shared" si="57"/>
        <v>Page5_CHV_MCI!K</v>
      </c>
      <c r="Q489" s="611">
        <f t="shared" si="58"/>
        <v>17</v>
      </c>
      <c r="R489" s="1447">
        <f t="shared" ca="1" si="59"/>
        <v>0</v>
      </c>
      <c r="S489" s="1447">
        <f t="shared" ca="1" si="60"/>
        <v>0</v>
      </c>
      <c r="V489" s="2557" t="str">
        <f t="shared" ca="1" si="61"/>
        <v/>
      </c>
      <c r="W489" s="611" t="str">
        <f t="shared" ca="1" si="62"/>
        <v>Page5_CHV_MCI, Ligne 14 [Page5_CHV_MCI!K17]  -</v>
      </c>
    </row>
    <row r="490" spans="1:23">
      <c r="A490" s="1443" t="str">
        <f>celladdr(Page5_CHV_MCI!K18)</f>
        <v>Page5_CHV_MCI!K18</v>
      </c>
      <c r="B490" s="1464" t="s">
        <v>1086</v>
      </c>
      <c r="C490" s="1451" t="b">
        <f>Page5_CHV_MCI!$K$18&lt;0</f>
        <v>0</v>
      </c>
      <c r="D490" s="1454" t="b">
        <f>OR(AND(Page5_CHV_MCI!$K18&gt;0,Page5_CHV_MCI!$M18=0),AND(Page5_CHV_MCI!$M18&lt;&gt;0,Page5_CHV_MCI!$K18=0))</f>
        <v>0</v>
      </c>
      <c r="E490" s="1454"/>
      <c r="F490" s="1454"/>
      <c r="G490" s="1444" t="str">
        <f t="shared" si="56"/>
        <v/>
      </c>
      <c r="H490" s="1447" t="str">
        <f>IF(C490=TRUE,Comments!$B$26,"")</f>
        <v/>
      </c>
      <c r="I490" s="1446" t="str">
        <f>IF(D490=TRUE,Comments!$B$21,"")</f>
        <v/>
      </c>
      <c r="J490" s="1446"/>
      <c r="K490" s="1452"/>
      <c r="N490" s="611" t="str">
        <f>"CPTE # "&amp;Page5_CHV_MCI!$E$18&amp;"  "&amp;Page5_CHV_MCI!$C$18&amp;" - UNITÉS - AAD"</f>
        <v>CPTE # 414A  NE PAS UTILISER - UNITÉS - AAD</v>
      </c>
      <c r="O490" s="611" t="str">
        <f t="shared" si="63"/>
        <v/>
      </c>
      <c r="P490" s="611" t="str">
        <f t="shared" si="57"/>
        <v>Page5_CHV_MCI!K</v>
      </c>
      <c r="Q490" s="611">
        <f t="shared" si="58"/>
        <v>18</v>
      </c>
      <c r="R490" s="1447">
        <f t="shared" ca="1" si="59"/>
        <v>0</v>
      </c>
      <c r="S490" s="1447">
        <f t="shared" ca="1" si="60"/>
        <v>0</v>
      </c>
      <c r="V490" s="2557" t="str">
        <f t="shared" ca="1" si="61"/>
        <v/>
      </c>
      <c r="W490" s="611" t="str">
        <f t="shared" ca="1" si="62"/>
        <v>Page5_CHV_MCI, Ligne 15 [Page5_CHV_MCI!K18]  -</v>
      </c>
    </row>
    <row r="491" spans="1:23">
      <c r="A491" s="1443" t="str">
        <f>celladdr(Page5_CHV_MCI!K19)</f>
        <v>Page5_CHV_MCI!K19</v>
      </c>
      <c r="B491" s="1464" t="s">
        <v>1086</v>
      </c>
      <c r="C491" s="1451" t="b">
        <f>Page5_CHV_MCI!$K$19&lt;0</f>
        <v>0</v>
      </c>
      <c r="D491" s="1454" t="b">
        <f>OR(AND(Page5_CHV_MCI!$K19&gt;0,Page5_CHV_MCI!$M19=0),AND(Page5_CHV_MCI!$M19&lt;&gt;0,Page5_CHV_MCI!$K19=0))</f>
        <v>0</v>
      </c>
      <c r="E491" s="1454"/>
      <c r="F491" s="1454"/>
      <c r="G491" s="1444" t="str">
        <f t="shared" si="56"/>
        <v/>
      </c>
      <c r="H491" s="1447" t="str">
        <f>IF(C491=TRUE,Comments!$B$26,"")</f>
        <v/>
      </c>
      <c r="I491" s="1446" t="str">
        <f>IF(D491=TRUE,Comments!$B$21,"")</f>
        <v/>
      </c>
      <c r="J491" s="1446"/>
      <c r="K491" s="1452"/>
      <c r="N491" s="611" t="str">
        <f>"CPTE # "&amp;Page5_CHV_MCI!$E$19&amp;"  "&amp;Page5_CHV_MCI!$C$19&amp;" - UNITÉS - AAD"</f>
        <v>CPTE # 415A  NE PAS UTILISER - UNITÉS - AAD</v>
      </c>
      <c r="O491" s="611" t="str">
        <f t="shared" si="63"/>
        <v/>
      </c>
      <c r="P491" s="611" t="str">
        <f t="shared" si="57"/>
        <v>Page5_CHV_MCI!K</v>
      </c>
      <c r="Q491" s="611">
        <f t="shared" si="58"/>
        <v>19</v>
      </c>
      <c r="R491" s="1447">
        <f t="shared" ca="1" si="59"/>
        <v>0</v>
      </c>
      <c r="S491" s="1447">
        <f t="shared" ca="1" si="60"/>
        <v>0</v>
      </c>
      <c r="V491" s="2557" t="str">
        <f t="shared" ca="1" si="61"/>
        <v/>
      </c>
      <c r="W491" s="611" t="str">
        <f t="shared" ca="1" si="62"/>
        <v>Page5_CHV_MCI, Ligne 16 [Page5_CHV_MCI!K19]  -</v>
      </c>
    </row>
    <row r="492" spans="1:23">
      <c r="A492" s="1443" t="str">
        <f>celladdr(Page5_CHV_MCI!K20)</f>
        <v>Page5_CHV_MCI!K20</v>
      </c>
      <c r="B492" s="1464" t="s">
        <v>1086</v>
      </c>
      <c r="C492" s="1451" t="b">
        <f>Page5_CHV_MCI!$K$20&lt;0</f>
        <v>0</v>
      </c>
      <c r="D492" s="1454"/>
      <c r="E492" s="1454"/>
      <c r="F492" s="1454"/>
      <c r="G492" s="1444" t="str">
        <f t="shared" si="56"/>
        <v/>
      </c>
      <c r="H492" s="1447" t="str">
        <f>IF(C492=TRUE,Comments!$B$26,"")</f>
        <v/>
      </c>
      <c r="I492" s="1446"/>
      <c r="J492" s="1446"/>
      <c r="K492" s="1452"/>
      <c r="N492" s="611" t="str">
        <f>"CPTE # "&amp;Page5_CHV_MCI!$E$20&amp;"  "&amp;Page5_CHV_MCI!$C$20&amp;" - UNITÉS - AAD"</f>
        <v>CPTE # 416A  POUR USAGE FUTUR - UNITÉS - AAD</v>
      </c>
      <c r="O492" s="611" t="str">
        <f t="shared" si="63"/>
        <v/>
      </c>
      <c r="P492" s="611" t="str">
        <f t="shared" si="57"/>
        <v>Page5_CHV_MCI!K</v>
      </c>
      <c r="Q492" s="611">
        <f t="shared" si="58"/>
        <v>20</v>
      </c>
      <c r="R492" s="1447">
        <f t="shared" ca="1" si="59"/>
        <v>0</v>
      </c>
      <c r="S492" s="1447">
        <f t="shared" ca="1" si="60"/>
        <v>0</v>
      </c>
      <c r="V492" s="2557" t="str">
        <f t="shared" ca="1" si="61"/>
        <v/>
      </c>
      <c r="W492" s="611" t="str">
        <f t="shared" ca="1" si="62"/>
        <v>Page5_CHV_MCI, Ligne 17 [Page5_CHV_MCI!K20]  -</v>
      </c>
    </row>
    <row r="493" spans="1:23">
      <c r="A493" s="1443" t="str">
        <f>celladdr(Page5_CHV_MCI!K21)</f>
        <v>Page5_CHV_MCI!K21</v>
      </c>
      <c r="B493" s="1464" t="s">
        <v>1086</v>
      </c>
      <c r="C493" s="1451" t="b">
        <f>Page5_CHV_MCI!$K$21&lt;0</f>
        <v>0</v>
      </c>
      <c r="D493" s="1454" t="b">
        <f>OR(AND(Page5_CHV_MCI!$K21&gt;0,Page5_CHV_MCI!$M21=0),AND(Page5_CHV_MCI!$M21&lt;&gt;0,Page5_CHV_MCI!$K21=0))</f>
        <v>0</v>
      </c>
      <c r="E493" s="1454"/>
      <c r="F493" s="1454"/>
      <c r="G493" s="1444" t="str">
        <f t="shared" si="56"/>
        <v/>
      </c>
      <c r="H493" s="1447" t="str">
        <f>IF(C493=TRUE,Comments!$B$26,"")</f>
        <v/>
      </c>
      <c r="I493" s="1446" t="str">
        <f>IF(D493=TRUE,Comments!$B$21,"")</f>
        <v/>
      </c>
      <c r="J493" s="1446"/>
      <c r="K493" s="1452"/>
      <c r="N493" s="611" t="str">
        <f>"CPTE # "&amp;Page5_CHV_MCI!$E$21&amp;"  "&amp;Page5_CHV_MCI!$C$21&amp;" - UNITÉS - AAD"</f>
        <v>CPTE # 417A  NE PAS UTILISER - UNITÉS - AAD</v>
      </c>
      <c r="O493" s="611" t="str">
        <f t="shared" si="63"/>
        <v/>
      </c>
      <c r="P493" s="611" t="str">
        <f t="shared" si="57"/>
        <v>Page5_CHV_MCI!K</v>
      </c>
      <c r="Q493" s="611">
        <f t="shared" si="58"/>
        <v>21</v>
      </c>
      <c r="R493" s="1447">
        <f t="shared" ca="1" si="59"/>
        <v>0</v>
      </c>
      <c r="S493" s="1447">
        <f t="shared" ca="1" si="60"/>
        <v>0</v>
      </c>
      <c r="V493" s="2557" t="str">
        <f t="shared" ca="1" si="61"/>
        <v/>
      </c>
      <c r="W493" s="611" t="str">
        <f t="shared" ca="1" si="62"/>
        <v>Page5_CHV_MCI, Ligne 18 [Page5_CHV_MCI!K21]  -</v>
      </c>
    </row>
    <row r="494" spans="1:23">
      <c r="A494" s="1443" t="str">
        <f>celladdr(Page5_CHV_MCI!K22)</f>
        <v>Page5_CHV_MCI!K22</v>
      </c>
      <c r="B494" s="1464" t="s">
        <v>1086</v>
      </c>
      <c r="C494" s="1451" t="b">
        <f>Page5_CHV_MCI!$K$22&lt;0</f>
        <v>0</v>
      </c>
      <c r="D494" s="1454" t="b">
        <f>OR(AND(Page5_CHV_MCI!$K22&gt;0,Page5_CHV_MCI!$M22=0),AND(Page5_CHV_MCI!$M22&lt;&gt;0,Page5_CHV_MCI!$K22=0))</f>
        <v>0</v>
      </c>
      <c r="E494" s="1454"/>
      <c r="F494" s="1454"/>
      <c r="G494" s="1444" t="str">
        <f t="shared" si="56"/>
        <v/>
      </c>
      <c r="H494" s="1447" t="str">
        <f>IF(C494=TRUE,Comments!$B$26,"")</f>
        <v/>
      </c>
      <c r="I494" s="1446" t="str">
        <f>IF(D494=TRUE,Comments!$B$21,"")</f>
        <v/>
      </c>
      <c r="J494" s="1446"/>
      <c r="K494" s="1452"/>
      <c r="N494" s="611" t="str">
        <f>"CPTE # "&amp;Page5_CHV_MCI!$E$22&amp;"  "&amp;Page5_CHV_MCI!$C$22&amp;" - UNITÉS - AAD"</f>
        <v>CPTE # 418A  AUTRES CHEVROLET - UNITÉS - AAD</v>
      </c>
      <c r="O494" s="611" t="str">
        <f t="shared" si="63"/>
        <v/>
      </c>
      <c r="P494" s="611" t="str">
        <f t="shared" si="57"/>
        <v>Page5_CHV_MCI!K</v>
      </c>
      <c r="Q494" s="611">
        <f t="shared" si="58"/>
        <v>22</v>
      </c>
      <c r="R494" s="1447">
        <f t="shared" ca="1" si="59"/>
        <v>0</v>
      </c>
      <c r="S494" s="1447">
        <f t="shared" ca="1" si="60"/>
        <v>0</v>
      </c>
      <c r="V494" s="2557" t="str">
        <f t="shared" ca="1" si="61"/>
        <v/>
      </c>
      <c r="W494" s="611" t="str">
        <f t="shared" ca="1" si="62"/>
        <v>Page5_CHV_MCI, Ligne 19 [Page5_CHV_MCI!K22]  -</v>
      </c>
    </row>
    <row r="495" spans="1:23">
      <c r="A495" s="1443" t="str">
        <f>celladdr(Page5_CHV_MCI!K23)</f>
        <v>Page5_CHV_MCI!K23</v>
      </c>
      <c r="B495" s="1444" t="s">
        <v>1086</v>
      </c>
      <c r="C495" s="1451"/>
      <c r="D495" s="1454"/>
      <c r="E495" s="1454"/>
      <c r="F495" s="1454"/>
      <c r="G495" s="1444" t="str">
        <f t="shared" si="56"/>
        <v/>
      </c>
      <c r="H495" s="1447" t="str">
        <f>IF(C495=TRUE,Comments!$B$26,"")</f>
        <v/>
      </c>
      <c r="I495" s="1446" t="str">
        <f>IF(D495=TRUE,Comments!$B$21,"")</f>
        <v/>
      </c>
      <c r="J495" s="1446"/>
      <c r="K495" s="1452"/>
      <c r="O495" s="611" t="str">
        <f t="shared" si="63"/>
        <v/>
      </c>
      <c r="P495" s="611" t="str">
        <f t="shared" si="57"/>
        <v>Page5_CHV_MCI!K</v>
      </c>
      <c r="Q495" s="611">
        <f t="shared" si="58"/>
        <v>23</v>
      </c>
      <c r="R495" s="1447">
        <f t="shared" ca="1" si="59"/>
        <v>0</v>
      </c>
      <c r="S495" s="1447">
        <f t="shared" ca="1" si="60"/>
        <v>0</v>
      </c>
      <c r="V495" s="2557" t="str">
        <f t="shared" ca="1" si="61"/>
        <v/>
      </c>
      <c r="W495" s="611" t="str">
        <f t="shared" ca="1" si="62"/>
        <v>Page5_CHV_MCI, Ligne 20 [Page5_CHV_MCI!K23]  -</v>
      </c>
    </row>
    <row r="496" spans="1:23">
      <c r="A496" s="1443" t="str">
        <f>celladdr(Page5_CHV_MCI!K24)</f>
        <v>Page5_CHV_MCI!K24</v>
      </c>
      <c r="B496" s="1464" t="s">
        <v>1086</v>
      </c>
      <c r="C496" s="1451" t="b">
        <f>Page5_CHV_MCI!$K$24&lt;0</f>
        <v>0</v>
      </c>
      <c r="D496" s="1454" t="b">
        <f>OR(AND(Page5_CHV_MCI!$K24&gt;0,Page5_CHV_MCI!$M24=0),AND(Page5_CHV_MCI!$M24&lt;&gt;0,Page5_CHV_MCI!$K24=0))</f>
        <v>0</v>
      </c>
      <c r="E496" s="1454"/>
      <c r="F496" s="1454"/>
      <c r="G496" s="1444" t="str">
        <f t="shared" si="56"/>
        <v/>
      </c>
      <c r="H496" s="1447" t="str">
        <f>IF(C496=TRUE,Comments!$B$26,"")</f>
        <v/>
      </c>
      <c r="I496" s="1446" t="str">
        <f>IF(D496=TRUE,Comments!$B$21,"")</f>
        <v/>
      </c>
      <c r="J496" s="1446"/>
      <c r="K496" s="1452"/>
      <c r="N496" s="611" t="str">
        <f>"CPTE # "&amp;Page5_CHV_MCI!$E$24&amp;"  "&amp;Page5_CHV_MCI!$C$24&amp;" - UNITÉS - AAD"</f>
        <v>CPTE # 419A  MÉMO* VENTES INTERNET VOITURES - UNITÉS - AAD</v>
      </c>
      <c r="O496" s="611" t="str">
        <f t="shared" si="63"/>
        <v/>
      </c>
      <c r="P496" s="611" t="str">
        <f t="shared" si="57"/>
        <v>Page5_CHV_MCI!K</v>
      </c>
      <c r="Q496" s="611">
        <f t="shared" si="58"/>
        <v>24</v>
      </c>
      <c r="R496" s="1447">
        <f t="shared" ca="1" si="59"/>
        <v>0</v>
      </c>
      <c r="S496" s="1447">
        <f t="shared" ca="1" si="60"/>
        <v>0</v>
      </c>
      <c r="V496" s="2557" t="str">
        <f t="shared" ca="1" si="61"/>
        <v/>
      </c>
      <c r="W496" s="611" t="str">
        <f t="shared" ca="1" si="62"/>
        <v>Page5_CHV_MCI, Ligne 21 [Page5_CHV_MCI!K24]  -</v>
      </c>
    </row>
    <row r="497" spans="1:23">
      <c r="A497" s="1443" t="str">
        <f>celladdr(Page5_CHV_MCI!K25)</f>
        <v>Page5_CHV_MCI!K25</v>
      </c>
      <c r="B497" s="1464" t="s">
        <v>1086</v>
      </c>
      <c r="C497" s="1451" t="b">
        <f>Page5_CHV_MCI!$K$25&lt;0</f>
        <v>0</v>
      </c>
      <c r="D497" s="1454" t="b">
        <f>OR(AND(Page5_CHV_MCI!$K25&gt;0,Page5_CHV_MCI!$M25=0),AND(Page5_CHV_MCI!$M25&lt;&gt;0,Page5_CHV_MCI!$K25=0))</f>
        <v>0</v>
      </c>
      <c r="E497" s="1454" t="b">
        <f>ROUND(Page5_CHV_MCI!K25,2)&lt;&gt; ROUND(Page5_PARCS_GOUV!F4+Page5_PARCS_GOUV!F40,2)</f>
        <v>0</v>
      </c>
      <c r="F497" s="1454"/>
      <c r="G497" s="1444" t="str">
        <f t="shared" si="56"/>
        <v/>
      </c>
      <c r="H497" s="1447" t="str">
        <f>IF(C497=TRUE,Comments!$B$26,"")</f>
        <v/>
      </c>
      <c r="I497" s="1446" t="str">
        <f>IF(D497=TRUE,Comments!$B$21,"")</f>
        <v/>
      </c>
      <c r="J497" s="1446" t="str">
        <f>IF(E497=TRUE, Comments!$B$97,"")</f>
        <v/>
      </c>
      <c r="K497" s="1452"/>
      <c r="N497" s="611" t="str">
        <f>"CPTE # "&amp;Page5_CHV_MCI!$E$25&amp;"  "&amp;Page5_CHV_MCI!$C$25&amp;" - UNITÉS - AAD"</f>
        <v>CPTE # DE PG PARCS  TOTAL PARCS - VOITURES - UNITÉS - AAD</v>
      </c>
      <c r="O497" s="611" t="str">
        <f t="shared" si="63"/>
        <v/>
      </c>
      <c r="P497" s="611" t="str">
        <f t="shared" si="57"/>
        <v>Page5_CHV_MCI!K</v>
      </c>
      <c r="Q497" s="611">
        <f t="shared" si="58"/>
        <v>25</v>
      </c>
      <c r="R497" s="1447">
        <f t="shared" ca="1" si="59"/>
        <v>0</v>
      </c>
      <c r="S497" s="1447">
        <f t="shared" ca="1" si="60"/>
        <v>0</v>
      </c>
      <c r="T497" s="611">
        <v>97</v>
      </c>
      <c r="V497" s="2557" t="str">
        <f t="shared" ca="1" si="61"/>
        <v/>
      </c>
      <c r="W497" s="611" t="str">
        <f t="shared" ca="1" si="62"/>
        <v>Page5_CHV_MCI, Ligne 22 [Page5_CHV_MCI!K25]  -</v>
      </c>
    </row>
    <row r="498" spans="1:23">
      <c r="A498" s="1443" t="str">
        <f>celladdr(Page5_CHV_MCI!K26)</f>
        <v>Page5_CHV_MCI!K26</v>
      </c>
      <c r="B498" s="1464" t="s">
        <v>1086</v>
      </c>
      <c r="C498" s="1451" t="b">
        <f>Page5_CHV_MCI!$K$26&lt;0</f>
        <v>0</v>
      </c>
      <c r="D498" s="1454" t="b">
        <f>OR(AND(Page5_CHV_MCI!$K26&gt;0,Page5_CHV_MCI!$M26=0),AND(Page5_CHV_MCI!$M26&lt;&gt;0,Page5_CHV_MCI!$K26=0))</f>
        <v>0</v>
      </c>
      <c r="E498" s="1454"/>
      <c r="F498" s="1454"/>
      <c r="G498" s="1444" t="str">
        <f t="shared" si="56"/>
        <v/>
      </c>
      <c r="H498" s="1447" t="str">
        <f>IF(C498=TRUE,Comments!$B$26,"")</f>
        <v/>
      </c>
      <c r="I498" s="1446" t="str">
        <f>IF(D498=TRUE,Comments!$B$21,"")</f>
        <v/>
      </c>
      <c r="J498" s="1446"/>
      <c r="K498" s="1452"/>
      <c r="N498" s="611" t="str">
        <f>"CPTE # "&amp;Page5_CHV_MCI!$E$26&amp;"  "&amp;Page5_CHV_MCI!$C$26&amp;" - UNITÉS - AAD"</f>
        <v>CPTE # 421A  TOTAL INTERNE - VOITURES - UNITÉS - AAD</v>
      </c>
      <c r="O498" s="611" t="str">
        <f t="shared" si="63"/>
        <v/>
      </c>
      <c r="P498" s="611" t="str">
        <f t="shared" si="57"/>
        <v>Page5_CHV_MCI!K</v>
      </c>
      <c r="Q498" s="611">
        <f t="shared" si="58"/>
        <v>26</v>
      </c>
      <c r="R498" s="1447">
        <f t="shared" ca="1" si="59"/>
        <v>0</v>
      </c>
      <c r="S498" s="1447">
        <f t="shared" ca="1" si="60"/>
        <v>0</v>
      </c>
      <c r="V498" s="2557" t="str">
        <f t="shared" ca="1" si="61"/>
        <v/>
      </c>
      <c r="W498" s="611" t="str">
        <f t="shared" ca="1" si="62"/>
        <v>Page5_CHV_MCI, Ligne 23 [Page5_CHV_MCI!K26]  -</v>
      </c>
    </row>
    <row r="499" spans="1:23">
      <c r="A499" s="1443" t="str">
        <f>celladdr(Page5_CHV_MCI!K27)</f>
        <v>Page5_CHV_MCI!K27</v>
      </c>
      <c r="B499" s="1444" t="s">
        <v>1086</v>
      </c>
      <c r="C499" s="1451"/>
      <c r="D499" s="1454"/>
      <c r="E499" s="1454"/>
      <c r="F499" s="1454"/>
      <c r="G499" s="1444" t="str">
        <f t="shared" si="56"/>
        <v/>
      </c>
      <c r="H499" s="1447" t="str">
        <f>IF(C499=TRUE,Comments!$B$26,"")</f>
        <v/>
      </c>
      <c r="I499" s="1446" t="str">
        <f>IF(D499=TRUE,Comments!$B$21,"")</f>
        <v/>
      </c>
      <c r="J499" s="1446"/>
      <c r="K499" s="1452"/>
      <c r="O499" s="611" t="str">
        <f t="shared" si="63"/>
        <v/>
      </c>
      <c r="P499" s="611" t="str">
        <f t="shared" si="57"/>
        <v>Page5_CHV_MCI!K</v>
      </c>
      <c r="Q499" s="611">
        <f t="shared" si="58"/>
        <v>27</v>
      </c>
      <c r="R499" s="1447">
        <f t="shared" ca="1" si="59"/>
        <v>0</v>
      </c>
      <c r="S499" s="1447">
        <f t="shared" ca="1" si="60"/>
        <v>0</v>
      </c>
      <c r="V499" s="2557" t="str">
        <f t="shared" ca="1" si="61"/>
        <v/>
      </c>
      <c r="W499" s="611" t="str">
        <f t="shared" ca="1" si="62"/>
        <v>Page5_CHV_MCI, Ligne 24 [Page5_CHV_MCI!K27]  -</v>
      </c>
    </row>
    <row r="500" spans="1:23">
      <c r="A500" s="1443" t="str">
        <f>celladdr(Page5_CHV_MCI!K28)</f>
        <v>Page5_CHV_MCI!K28</v>
      </c>
      <c r="B500" s="1464" t="s">
        <v>1086</v>
      </c>
      <c r="C500" s="1451" t="b">
        <f>Page5_CHV_MCI!$K$28&lt;0</f>
        <v>0</v>
      </c>
      <c r="D500" s="1454" t="b">
        <f>OR(AND(Page5_CHV_MCI!$K28&gt;0,Page5_CHV_MCI!$M28=0),AND(Page5_CHV_MCI!$M28&lt;&gt;0,Page5_CHV_MCI!$K28=0))</f>
        <v>0</v>
      </c>
      <c r="E500" s="1454"/>
      <c r="F500" s="1454"/>
      <c r="G500" s="1444" t="str">
        <f t="shared" si="56"/>
        <v/>
      </c>
      <c r="H500" s="1447" t="str">
        <f>IF(C500=TRUE,Comments!$B$26,"")</f>
        <v/>
      </c>
      <c r="I500" s="1446" t="str">
        <f>IF(D500=TRUE,Comments!$B$21,"")</f>
        <v/>
      </c>
      <c r="J500" s="1446"/>
      <c r="K500" s="1452"/>
      <c r="N500" s="611" t="str">
        <f>"CPTE # "&amp;Page5_CHV_MCI!$E$28&amp;"  "&amp;Page5_CHV_MCI!$C$28&amp;" - UNITÉS - AAD"</f>
        <v>CPTE # 423A  NE PAS UTILISER - UNITÉS - AAD</v>
      </c>
      <c r="O500" s="611" t="str">
        <f t="shared" si="63"/>
        <v/>
      </c>
      <c r="P500" s="611" t="str">
        <f t="shared" si="57"/>
        <v>Page5_CHV_MCI!K</v>
      </c>
      <c r="Q500" s="611">
        <f t="shared" si="58"/>
        <v>28</v>
      </c>
      <c r="R500" s="1447">
        <f t="shared" ca="1" si="59"/>
        <v>0</v>
      </c>
      <c r="S500" s="1447">
        <f t="shared" ca="1" si="60"/>
        <v>0</v>
      </c>
      <c r="V500" s="2557" t="str">
        <f t="shared" ca="1" si="61"/>
        <v/>
      </c>
      <c r="W500" s="611" t="str">
        <f t="shared" ca="1" si="62"/>
        <v>Page5_CHV_MCI, Ligne 25 [Page5_CHV_MCI!K28]  -</v>
      </c>
    </row>
    <row r="501" spans="1:23">
      <c r="A501" s="1443" t="str">
        <f>celladdr(Page5_CHV_MCI!K29)</f>
        <v>Page5_CHV_MCI!K29</v>
      </c>
      <c r="B501" s="1464" t="s">
        <v>1086</v>
      </c>
      <c r="C501" s="1451" t="b">
        <f>Page5_CHV_MCI!$K$29&lt;0</f>
        <v>0</v>
      </c>
      <c r="D501" s="1454" t="b">
        <f>OR(AND(Page5_CHV_MCI!$K29&gt;0,Page5_CHV_MCI!$M29=0),AND(Page5_CHV_MCI!$M29&lt;&gt;0,Page5_CHV_MCI!$K29=0))</f>
        <v>0</v>
      </c>
      <c r="E501" s="1454"/>
      <c r="F501" s="1454"/>
      <c r="G501" s="1444" t="str">
        <f t="shared" si="56"/>
        <v/>
      </c>
      <c r="H501" s="1447" t="str">
        <f>IF(C501=TRUE,Comments!$B$26,"")</f>
        <v/>
      </c>
      <c r="I501" s="1446" t="str">
        <f>IF(D501=TRUE,Comments!$B$21,"")</f>
        <v/>
      </c>
      <c r="J501" s="1446"/>
      <c r="K501" s="1452"/>
      <c r="N501" s="611" t="str">
        <f>"CPTE # "&amp;Page5_CHV_MCI!$E$29&amp;"  "&amp;Page5_CHV_MCI!$C$29&amp;" - UNITÉS - AAD"</f>
        <v>CPTE # 424A  NE PAS UTILISER - UNITÉS - AAD</v>
      </c>
      <c r="O501" s="611" t="str">
        <f t="shared" si="63"/>
        <v/>
      </c>
      <c r="P501" s="611" t="str">
        <f t="shared" si="57"/>
        <v>Page5_CHV_MCI!K</v>
      </c>
      <c r="Q501" s="611">
        <f t="shared" si="58"/>
        <v>29</v>
      </c>
      <c r="R501" s="1447">
        <f t="shared" ca="1" si="59"/>
        <v>0</v>
      </c>
      <c r="S501" s="1447">
        <f t="shared" ca="1" si="60"/>
        <v>0</v>
      </c>
      <c r="V501" s="2557" t="str">
        <f t="shared" ca="1" si="61"/>
        <v/>
      </c>
      <c r="W501" s="611" t="str">
        <f t="shared" ca="1" si="62"/>
        <v>Page5_CHV_MCI, Ligne 26 [Page5_CHV_MCI!K29]  -</v>
      </c>
    </row>
    <row r="502" spans="1:23">
      <c r="A502" s="1443" t="str">
        <f>celladdr(Page5_CHV_MCI!K30)</f>
        <v>Page5_CHV_MCI!K30</v>
      </c>
      <c r="B502" s="1464" t="s">
        <v>1086</v>
      </c>
      <c r="C502" s="1451" t="b">
        <f>Page5_CHV_MCI!$K$30&lt;0</f>
        <v>0</v>
      </c>
      <c r="D502" s="1454" t="b">
        <f>OR(AND(Page5_CHV_MCI!$K30&gt;0,Page5_CHV_MCI!$M30=0),AND(Page5_CHV_MCI!$M30&lt;&gt;0,Page5_CHV_MCI!$K30=0))</f>
        <v>0</v>
      </c>
      <c r="E502" s="1454"/>
      <c r="F502" s="1454"/>
      <c r="G502" s="1444" t="str">
        <f t="shared" si="56"/>
        <v/>
      </c>
      <c r="H502" s="1447" t="str">
        <f>IF(C502=TRUE,Comments!$B$26,"")</f>
        <v/>
      </c>
      <c r="I502" s="1446" t="str">
        <f>IF(D502=TRUE,Comments!$B$21,"")</f>
        <v/>
      </c>
      <c r="J502" s="1446"/>
      <c r="K502" s="1452"/>
      <c r="N502" s="611" t="str">
        <f>"CPTE # "&amp;Page5_CHV_MCI!$E$30&amp;"  "&amp;Page5_CHV_MCI!$C$30&amp;" - UNITÉS - AAD"</f>
        <v>CPTE # 425A  EXPRESS - UNITÉS - AAD</v>
      </c>
      <c r="O502" s="611" t="str">
        <f t="shared" si="63"/>
        <v/>
      </c>
      <c r="P502" s="611" t="str">
        <f t="shared" si="57"/>
        <v>Page5_CHV_MCI!K</v>
      </c>
      <c r="Q502" s="611">
        <f t="shared" si="58"/>
        <v>30</v>
      </c>
      <c r="R502" s="1447">
        <f t="shared" ca="1" si="59"/>
        <v>0</v>
      </c>
      <c r="S502" s="1447">
        <f t="shared" ca="1" si="60"/>
        <v>0</v>
      </c>
      <c r="V502" s="2557" t="str">
        <f t="shared" ca="1" si="61"/>
        <v/>
      </c>
      <c r="W502" s="611" t="str">
        <f t="shared" ca="1" si="62"/>
        <v>Page5_CHV_MCI, Ligne 27 [Page5_CHV_MCI!K30]  -</v>
      </c>
    </row>
    <row r="503" spans="1:23">
      <c r="A503" s="1443" t="str">
        <f>celladdr(Page5_CHV_MCI!K31)</f>
        <v>Page5_CHV_MCI!K31</v>
      </c>
      <c r="B503" s="1464" t="s">
        <v>1086</v>
      </c>
      <c r="C503" s="1451" t="b">
        <f>Page5_CHV_MCI!$K$31&lt;0</f>
        <v>0</v>
      </c>
      <c r="D503" s="1454" t="b">
        <f>OR(AND(Page5_CHV_MCI!$K31&gt;0,Page5_CHV_MCI!$M31=0),AND(Page5_CHV_MCI!$M31&lt;&gt;0,Page5_CHV_MCI!$K31=0))</f>
        <v>0</v>
      </c>
      <c r="E503" s="1454"/>
      <c r="F503" s="1454"/>
      <c r="G503" s="1444" t="str">
        <f t="shared" si="56"/>
        <v/>
      </c>
      <c r="H503" s="1447" t="str">
        <f>IF(C503=TRUE,Comments!$B$26,"")</f>
        <v/>
      </c>
      <c r="I503" s="1446" t="str">
        <f>IF(D503=TRUE,Comments!$B$21,"")</f>
        <v/>
      </c>
      <c r="J503" s="1446"/>
      <c r="K503" s="1452"/>
      <c r="N503" s="611" t="str">
        <f>"CPTE # "&amp;Page5_CHV_MCI!$E$31&amp;"  "&amp;Page5_CHV_MCI!$C$31&amp;" - UNITÉS - AAD"</f>
        <v>CPTE # 426A  COLORADO - UNITÉS - AAD</v>
      </c>
      <c r="O503" s="611" t="str">
        <f t="shared" si="63"/>
        <v/>
      </c>
      <c r="P503" s="611" t="str">
        <f t="shared" si="57"/>
        <v>Page5_CHV_MCI!K</v>
      </c>
      <c r="Q503" s="611">
        <f t="shared" si="58"/>
        <v>31</v>
      </c>
      <c r="R503" s="1447">
        <f t="shared" ca="1" si="59"/>
        <v>0</v>
      </c>
      <c r="S503" s="1447">
        <f t="shared" ca="1" si="60"/>
        <v>0</v>
      </c>
      <c r="V503" s="2557" t="str">
        <f t="shared" ca="1" si="61"/>
        <v/>
      </c>
      <c r="W503" s="611" t="str">
        <f t="shared" ca="1" si="62"/>
        <v>Page5_CHV_MCI, Ligne 28 [Page5_CHV_MCI!K31]  -</v>
      </c>
    </row>
    <row r="504" spans="1:23">
      <c r="A504" s="1443" t="str">
        <f>celladdr(Page5_CHV_MCI!K32)</f>
        <v>Page5_CHV_MCI!K32</v>
      </c>
      <c r="B504" s="1464" t="s">
        <v>1086</v>
      </c>
      <c r="C504" s="1451" t="b">
        <f>Page5_CHV_MCI!$K$32&lt;0</f>
        <v>0</v>
      </c>
      <c r="D504" s="1454" t="b">
        <f>OR(AND(Page5_CHV_MCI!$K32&gt;0,Page5_CHV_MCI!$M32=0),AND(Page5_CHV_MCI!$M32&lt;&gt;0,Page5_CHV_MCI!$K32=0))</f>
        <v>0</v>
      </c>
      <c r="E504" s="1454"/>
      <c r="F504" s="1454"/>
      <c r="G504" s="1444" t="str">
        <f t="shared" si="56"/>
        <v/>
      </c>
      <c r="H504" s="1447" t="str">
        <f>IF(C504=TRUE,Comments!$B$26,"")</f>
        <v/>
      </c>
      <c r="I504" s="1446" t="str">
        <f>IF(D504=TRUE,Comments!$B$21,"")</f>
        <v/>
      </c>
      <c r="J504" s="1446"/>
      <c r="K504" s="1452"/>
      <c r="N504" s="611" t="str">
        <f>"CPTE # "&amp;Page5_CHV_MCI!$E$32&amp;"  "&amp;Page5_CHV_MCI!$C$32&amp;" - UNITÉS - AAD"</f>
        <v>CPTE # 427A  TRAVERSE - UNITÉS - AAD</v>
      </c>
      <c r="O504" s="611" t="str">
        <f t="shared" si="63"/>
        <v/>
      </c>
      <c r="P504" s="611" t="str">
        <f t="shared" si="57"/>
        <v>Page5_CHV_MCI!K</v>
      </c>
      <c r="Q504" s="611">
        <f t="shared" si="58"/>
        <v>32</v>
      </c>
      <c r="R504" s="1447">
        <f t="shared" ca="1" si="59"/>
        <v>0</v>
      </c>
      <c r="S504" s="1447">
        <f t="shared" ca="1" si="60"/>
        <v>0</v>
      </c>
      <c r="V504" s="2557" t="str">
        <f t="shared" ca="1" si="61"/>
        <v/>
      </c>
      <c r="W504" s="611" t="str">
        <f t="shared" ca="1" si="62"/>
        <v>Page5_CHV_MCI, Ligne 29 [Page5_CHV_MCI!K32]  -</v>
      </c>
    </row>
    <row r="505" spans="1:23">
      <c r="A505" s="1443" t="str">
        <f>celladdr(Page5_CHV_MCI!K33)</f>
        <v>Page5_CHV_MCI!K33</v>
      </c>
      <c r="B505" s="1464" t="s">
        <v>1086</v>
      </c>
      <c r="C505" s="1451" t="b">
        <f>Page5_CHV_MCI!$K$33&lt;0</f>
        <v>0</v>
      </c>
      <c r="D505" s="1454" t="b">
        <f>OR(AND(Page5_CHV_MCI!$K33&gt;0,Page5_CHV_MCI!$M33=0),AND(Page5_CHV_MCI!$M33&lt;&gt;0,Page5_CHV_MCI!$K33=0))</f>
        <v>0</v>
      </c>
      <c r="E505" s="1454"/>
      <c r="F505" s="1454"/>
      <c r="G505" s="1444" t="str">
        <f t="shared" si="56"/>
        <v/>
      </c>
      <c r="H505" s="1447" t="str">
        <f>IF(C505=TRUE,Comments!$B$26,"")</f>
        <v/>
      </c>
      <c r="I505" s="1446" t="str">
        <f>IF(D505=TRUE,Comments!$B$21,"")</f>
        <v/>
      </c>
      <c r="J505" s="1446"/>
      <c r="K505" s="1452"/>
      <c r="N505" s="611" t="str">
        <f>"CPTE # "&amp;Page5_CHV_MCI!$E$33&amp;"  "&amp;Page5_CHV_MCI!$C$33&amp;" - UNITÉS - AAD"</f>
        <v>CPTE # 428A  TRAX - UNITÉS - AAD</v>
      </c>
      <c r="O505" s="611" t="str">
        <f t="shared" si="63"/>
        <v/>
      </c>
      <c r="P505" s="611" t="str">
        <f t="shared" si="57"/>
        <v>Page5_CHV_MCI!K</v>
      </c>
      <c r="Q505" s="611">
        <f t="shared" si="58"/>
        <v>33</v>
      </c>
      <c r="R505" s="1447">
        <f t="shared" ca="1" si="59"/>
        <v>0</v>
      </c>
      <c r="S505" s="1447">
        <f t="shared" ca="1" si="60"/>
        <v>0</v>
      </c>
      <c r="V505" s="2557" t="str">
        <f t="shared" ca="1" si="61"/>
        <v/>
      </c>
      <c r="W505" s="611" t="str">
        <f t="shared" ca="1" si="62"/>
        <v>Page5_CHV_MCI, Ligne 30 [Page5_CHV_MCI!K33]  -</v>
      </c>
    </row>
    <row r="506" spans="1:23">
      <c r="A506" s="1443" t="str">
        <f>celladdr(Page5_CHV_MCI!K34)</f>
        <v>Page5_CHV_MCI!K34</v>
      </c>
      <c r="B506" s="1464" t="s">
        <v>1086</v>
      </c>
      <c r="C506" s="1451" t="b">
        <f>Page5_CHV_MCI!$K$34&lt;0</f>
        <v>0</v>
      </c>
      <c r="D506" s="1454" t="b">
        <f>OR(AND(Page5_CHV_MCI!$K34&gt;0,Page5_CHV_MCI!$M34=0),AND(Page5_CHV_MCI!$M34&lt;&gt;0,Page5_CHV_MCI!$K34=0))</f>
        <v>0</v>
      </c>
      <c r="E506" s="1454"/>
      <c r="F506" s="1454"/>
      <c r="G506" s="1444" t="str">
        <f t="shared" si="56"/>
        <v/>
      </c>
      <c r="H506" s="1447" t="str">
        <f>IF(C506=TRUE,Comments!$B$26,"")</f>
        <v/>
      </c>
      <c r="I506" s="1446" t="str">
        <f>IF(D506=TRUE,Comments!$B$21,"")</f>
        <v/>
      </c>
      <c r="J506" s="1446"/>
      <c r="K506" s="1452"/>
      <c r="N506" s="611" t="str">
        <f>"CPTE # "&amp;Page5_CHV_MCI!$E$34&amp;"  "&amp;Page5_CHV_MCI!$C$34&amp;" - UNITÉS - AAD"</f>
        <v>CPTE # 429A  TAHOE/SUBURBAN - UNITÉS - AAD</v>
      </c>
      <c r="O506" s="611" t="str">
        <f t="shared" si="63"/>
        <v/>
      </c>
      <c r="P506" s="611" t="str">
        <f t="shared" si="57"/>
        <v>Page5_CHV_MCI!K</v>
      </c>
      <c r="Q506" s="611">
        <f t="shared" si="58"/>
        <v>34</v>
      </c>
      <c r="R506" s="1447">
        <f t="shared" ca="1" si="59"/>
        <v>0</v>
      </c>
      <c r="S506" s="1447">
        <f t="shared" ca="1" si="60"/>
        <v>0</v>
      </c>
      <c r="V506" s="2557" t="str">
        <f t="shared" ca="1" si="61"/>
        <v/>
      </c>
      <c r="W506" s="611" t="str">
        <f t="shared" ca="1" si="62"/>
        <v>Page5_CHV_MCI, Ligne 31 [Page5_CHV_MCI!K34]  -</v>
      </c>
    </row>
    <row r="507" spans="1:23">
      <c r="A507" s="1443" t="str">
        <f>celladdr(Page5_CHV_MCI!K35)</f>
        <v>Page5_CHV_MCI!K35</v>
      </c>
      <c r="B507" s="1464" t="s">
        <v>1086</v>
      </c>
      <c r="C507" s="1451" t="b">
        <f>Page5_CHV_MCI!$K$35&lt;0</f>
        <v>0</v>
      </c>
      <c r="D507" s="1454" t="b">
        <f>OR(AND(Page5_CHV_MCI!$K35&gt;0,Page5_CHV_MCI!$M35=0),AND(Page5_CHV_MCI!$M35&lt;&gt;0,Page5_CHV_MCI!$K35=0))</f>
        <v>0</v>
      </c>
      <c r="E507" s="1454"/>
      <c r="F507" s="1454"/>
      <c r="G507" s="1444" t="str">
        <f t="shared" si="56"/>
        <v/>
      </c>
      <c r="H507" s="1447" t="str">
        <f>IF(C507=TRUE,Comments!$B$26,"")</f>
        <v/>
      </c>
      <c r="I507" s="1446" t="str">
        <f>IF(D507=TRUE,Comments!$B$21,"")</f>
        <v/>
      </c>
      <c r="J507" s="1446"/>
      <c r="K507" s="1452"/>
      <c r="N507" s="611" t="str">
        <f>"CPTE # "&amp;Page5_CHV_MCI!$E$35&amp;"  "&amp;Page5_CHV_MCI!$C$35&amp;" - UNITÉS - AAD"</f>
        <v>CPTE # 430A  CL 1500 SILVERADO - UNITÉS - AAD</v>
      </c>
      <c r="O507" s="611" t="str">
        <f t="shared" si="63"/>
        <v/>
      </c>
      <c r="P507" s="611" t="str">
        <f t="shared" si="57"/>
        <v>Page5_CHV_MCI!K</v>
      </c>
      <c r="Q507" s="611">
        <f t="shared" si="58"/>
        <v>35</v>
      </c>
      <c r="R507" s="1447">
        <f t="shared" ca="1" si="59"/>
        <v>0</v>
      </c>
      <c r="S507" s="1447">
        <f t="shared" ca="1" si="60"/>
        <v>0</v>
      </c>
      <c r="V507" s="2557" t="str">
        <f t="shared" ca="1" si="61"/>
        <v/>
      </c>
      <c r="W507" s="611" t="str">
        <f t="shared" ca="1" si="62"/>
        <v>Page5_CHV_MCI, Ligne 32 [Page5_CHV_MCI!K35]  -</v>
      </c>
    </row>
    <row r="508" spans="1:23">
      <c r="A508" s="1443" t="str">
        <f>celladdr(Page5_CHV_MCI!K36)</f>
        <v>Page5_CHV_MCI!K36</v>
      </c>
      <c r="B508" s="1464" t="s">
        <v>1086</v>
      </c>
      <c r="C508" s="1451" t="b">
        <f>Page5_CHV_MCI!$K$36&lt;0</f>
        <v>0</v>
      </c>
      <c r="D508" s="1454" t="b">
        <f>OR(AND(Page5_CHV_MCI!$K36&gt;0,Page5_CHV_MCI!$M36=0),AND(Page5_CHV_MCI!$M36&lt;&gt;0,Page5_CHV_MCI!$K36=0))</f>
        <v>0</v>
      </c>
      <c r="E508" s="1454"/>
      <c r="F508" s="1454"/>
      <c r="G508" s="1444" t="str">
        <f t="shared" si="56"/>
        <v/>
      </c>
      <c r="H508" s="1447" t="str">
        <f>IF(C508=TRUE,Comments!$B$26,"")</f>
        <v/>
      </c>
      <c r="I508" s="1446" t="str">
        <f>IF(D508=TRUE,Comments!$B$21,"")</f>
        <v/>
      </c>
      <c r="J508" s="1446"/>
      <c r="K508" s="1452"/>
      <c r="N508" s="611" t="str">
        <f>"CPTE # "&amp;Page5_CHV_MCI!$E$36&amp;"  "&amp;Page5_CHV_MCI!$C$36&amp;" - UNITÉS - AAD"</f>
        <v>CPTE # 431A  CL 2500 SILVERADO - UNITÉS - AAD</v>
      </c>
      <c r="O508" s="611" t="str">
        <f t="shared" si="63"/>
        <v/>
      </c>
      <c r="P508" s="611" t="str">
        <f t="shared" si="57"/>
        <v>Page5_CHV_MCI!K</v>
      </c>
      <c r="Q508" s="611">
        <f t="shared" si="58"/>
        <v>36</v>
      </c>
      <c r="R508" s="1447">
        <f t="shared" ca="1" si="59"/>
        <v>0</v>
      </c>
      <c r="S508" s="1447">
        <f t="shared" ca="1" si="60"/>
        <v>0</v>
      </c>
      <c r="V508" s="2557" t="str">
        <f t="shared" ca="1" si="61"/>
        <v/>
      </c>
      <c r="W508" s="611" t="str">
        <f t="shared" ca="1" si="62"/>
        <v>Page5_CHV_MCI, Ligne 33 [Page5_CHV_MCI!K36]  -</v>
      </c>
    </row>
    <row r="509" spans="1:23">
      <c r="A509" s="1443" t="str">
        <f>celladdr(Page5_CHV_MCI!K37)</f>
        <v>Page5_CHV_MCI!K37</v>
      </c>
      <c r="B509" s="1464" t="s">
        <v>1086</v>
      </c>
      <c r="C509" s="1451" t="b">
        <f>Page5_CHV_MCI!$K$37&lt;0</f>
        <v>0</v>
      </c>
      <c r="D509" s="1454" t="b">
        <f>OR(AND(Page5_CHV_MCI!$K37&gt;0,Page5_CHV_MCI!$M37=0),AND(Page5_CHV_MCI!$M37&lt;&gt;0,Page5_CHV_MCI!$K37=0))</f>
        <v>0</v>
      </c>
      <c r="E509" s="1454"/>
      <c r="F509" s="1454"/>
      <c r="G509" s="1444" t="str">
        <f t="shared" si="56"/>
        <v/>
      </c>
      <c r="H509" s="1447" t="str">
        <f>IF(C509=TRUE,Comments!$B$26,"")</f>
        <v/>
      </c>
      <c r="I509" s="1446" t="str">
        <f>IF(D509=TRUE,Comments!$B$21,"")</f>
        <v/>
      </c>
      <c r="J509" s="1446"/>
      <c r="K509" s="1452"/>
      <c r="N509" s="611" t="str">
        <f>"CPTE # "&amp;Page5_CHV_MCI!$E$37&amp;"  "&amp;Page5_CHV_MCI!$C$37&amp;" - UNITÉS - AAD"</f>
        <v>CPTE # 432A  CL 3500 SILVERADO - UNITÉS - AAD</v>
      </c>
      <c r="O509" s="611" t="str">
        <f t="shared" si="63"/>
        <v/>
      </c>
      <c r="P509" s="611" t="str">
        <f t="shared" si="57"/>
        <v>Page5_CHV_MCI!K</v>
      </c>
      <c r="Q509" s="611">
        <f t="shared" si="58"/>
        <v>37</v>
      </c>
      <c r="R509" s="1447">
        <f t="shared" ca="1" si="59"/>
        <v>0</v>
      </c>
      <c r="S509" s="1447">
        <f t="shared" ca="1" si="60"/>
        <v>0</v>
      </c>
      <c r="V509" s="2557" t="str">
        <f t="shared" ca="1" si="61"/>
        <v/>
      </c>
      <c r="W509" s="611" t="str">
        <f t="shared" ca="1" si="62"/>
        <v>Page5_CHV_MCI, Ligne 34 [Page5_CHV_MCI!K37]  -</v>
      </c>
    </row>
    <row r="510" spans="1:23">
      <c r="A510" s="1443" t="str">
        <f>celladdr(Page5_CHV_MCI!K38)</f>
        <v>Page5_CHV_MCI!K38</v>
      </c>
      <c r="B510" s="1464" t="s">
        <v>1086</v>
      </c>
      <c r="C510" s="1451" t="b">
        <f>Page5_CHV_MCI!$K$38&lt;0</f>
        <v>0</v>
      </c>
      <c r="D510" s="1454" t="b">
        <f>OR(AND(Page5_CHV_MCI!$K38&gt;0,Page5_CHV_MCI!$M38=0),AND(Page5_CHV_MCI!$M38&lt;&gt;0,Page5_CHV_MCI!$K38=0))</f>
        <v>0</v>
      </c>
      <c r="E510" s="1454"/>
      <c r="F510" s="1454"/>
      <c r="G510" s="1444" t="str">
        <f t="shared" si="56"/>
        <v/>
      </c>
      <c r="H510" s="1447" t="str">
        <f>IF(C510=TRUE,Comments!$B$26,"")</f>
        <v/>
      </c>
      <c r="I510" s="1446" t="str">
        <f>IF(D510=TRUE,Comments!$B$21,"")</f>
        <v/>
      </c>
      <c r="J510" s="1446"/>
      <c r="K510" s="1452"/>
      <c r="N510" s="611" t="str">
        <f>"CPTE # "&amp;Page5_CHV_MCI!$E$38&amp;"  "&amp;Page5_CHV_MCI!$C$38&amp;" - UNITÉS - AAD"</f>
        <v>CPTE # 433A  BLAZER - UNITÉS - AAD</v>
      </c>
      <c r="O510" s="611" t="str">
        <f t="shared" si="63"/>
        <v/>
      </c>
      <c r="P510" s="611" t="str">
        <f t="shared" si="57"/>
        <v>Page5_CHV_MCI!K</v>
      </c>
      <c r="Q510" s="611">
        <f t="shared" si="58"/>
        <v>38</v>
      </c>
      <c r="R510" s="1447">
        <f t="shared" ca="1" si="59"/>
        <v>0</v>
      </c>
      <c r="S510" s="1447">
        <f t="shared" ca="1" si="60"/>
        <v>0</v>
      </c>
      <c r="V510" s="2557" t="str">
        <f t="shared" ca="1" si="61"/>
        <v/>
      </c>
      <c r="W510" s="611" t="str">
        <f t="shared" ca="1" si="62"/>
        <v>Page5_CHV_MCI, Ligne 35 [Page5_CHV_MCI!K38]  -</v>
      </c>
    </row>
    <row r="511" spans="1:23">
      <c r="A511" s="1443" t="str">
        <f>celladdr(Page5_CHV_MCI!K39)</f>
        <v>Page5_CHV_MCI!K39</v>
      </c>
      <c r="B511" s="1464" t="s">
        <v>1086</v>
      </c>
      <c r="C511" s="1451" t="b">
        <f>Page5_CHV_MCI!$K$39&lt;0</f>
        <v>0</v>
      </c>
      <c r="D511" s="1454" t="b">
        <f>OR(AND(Page5_CHV_MCI!$K39&gt;0,Page5_CHV_MCI!$M39=0),AND(Page5_CHV_MCI!$M39&lt;&gt;0,Page5_CHV_MCI!$K39=0))</f>
        <v>0</v>
      </c>
      <c r="E511" s="1454"/>
      <c r="F511" s="1454"/>
      <c r="G511" s="1444" t="str">
        <f t="shared" si="56"/>
        <v/>
      </c>
      <c r="H511" s="1447" t="str">
        <f>IF(C511=TRUE,Comments!$B$26,"")</f>
        <v/>
      </c>
      <c r="I511" s="1446" t="str">
        <f>IF(D511=TRUE,Comments!$B$21,"")</f>
        <v/>
      </c>
      <c r="J511" s="1446"/>
      <c r="K511" s="1452"/>
      <c r="N511" s="611" t="str">
        <f>"CPTE # "&amp;Page5_CHV_MCI!$E$39&amp;"  "&amp;Page5_CHV_MCI!$C$39&amp;" - UNITÉS - AAD"</f>
        <v>CPTE # 434A  EQUINOX - UNITÉS - AAD</v>
      </c>
      <c r="O511" s="611" t="str">
        <f t="shared" si="63"/>
        <v/>
      </c>
      <c r="P511" s="611" t="str">
        <f t="shared" si="57"/>
        <v>Page5_CHV_MCI!K</v>
      </c>
      <c r="Q511" s="611">
        <f t="shared" si="58"/>
        <v>39</v>
      </c>
      <c r="R511" s="1447">
        <f t="shared" ca="1" si="59"/>
        <v>0</v>
      </c>
      <c r="S511" s="1447">
        <f t="shared" ca="1" si="60"/>
        <v>0</v>
      </c>
      <c r="V511" s="2557" t="str">
        <f t="shared" ca="1" si="61"/>
        <v/>
      </c>
      <c r="W511" s="611" t="str">
        <f t="shared" ca="1" si="62"/>
        <v>Page5_CHV_MCI, Ligne 36 [Page5_CHV_MCI!K39]  -</v>
      </c>
    </row>
    <row r="512" spans="1:23">
      <c r="A512" s="1443" t="str">
        <f>celladdr(Page5_CHV_MCI!K40)</f>
        <v>Page5_CHV_MCI!K40</v>
      </c>
      <c r="B512" s="1464" t="s">
        <v>1086</v>
      </c>
      <c r="C512" s="1451" t="b">
        <f>Page5_CHV_MCI!$K$40&lt;0</f>
        <v>0</v>
      </c>
      <c r="D512" s="1454" t="b">
        <f>OR(AND(Page5_CHV_MCI!$K40&gt;0,Page5_CHV_MCI!$M40=0),AND(Page5_CHV_MCI!$M40&lt;&gt;0,Page5_CHV_MCI!$K40=0))</f>
        <v>0</v>
      </c>
      <c r="E512" s="1454"/>
      <c r="F512" s="1454"/>
      <c r="G512" s="1444" t="str">
        <f t="shared" si="56"/>
        <v/>
      </c>
      <c r="H512" s="1447" t="str">
        <f>IF(C512=TRUE,Comments!$B$26,"")</f>
        <v/>
      </c>
      <c r="I512" s="1446" t="str">
        <f>IF(D512=TRUE,Comments!$B$21,"")</f>
        <v/>
      </c>
      <c r="J512" s="1446"/>
      <c r="K512" s="1452"/>
      <c r="N512" s="611" t="str">
        <f>"CPTE # "&amp;Page5_CHV_MCI!$E$40&amp;"  "&amp;Page5_CHV_MCI!$C$40&amp;" - UNITÉS - AAD"</f>
        <v>CPTE # 435A  CITY EXPRESS - UNITÉS - AAD</v>
      </c>
      <c r="O512" s="611" t="str">
        <f t="shared" si="63"/>
        <v/>
      </c>
      <c r="P512" s="611" t="str">
        <f t="shared" si="57"/>
        <v>Page5_CHV_MCI!K</v>
      </c>
      <c r="Q512" s="611">
        <f t="shared" si="58"/>
        <v>40</v>
      </c>
      <c r="R512" s="1447">
        <f t="shared" ca="1" si="59"/>
        <v>0</v>
      </c>
      <c r="S512" s="1447">
        <f t="shared" ca="1" si="60"/>
        <v>0</v>
      </c>
      <c r="V512" s="2557" t="str">
        <f t="shared" ca="1" si="61"/>
        <v/>
      </c>
      <c r="W512" s="611" t="str">
        <f t="shared" ca="1" si="62"/>
        <v>Page5_CHV_MCI, Ligne 37 [Page5_CHV_MCI!K40]  -</v>
      </c>
    </row>
    <row r="513" spans="1:23">
      <c r="A513" s="1443" t="str">
        <f>celladdr(Page5_CHV_MCI!K41)</f>
        <v>Page5_CHV_MCI!K41</v>
      </c>
      <c r="B513" s="1464" t="s">
        <v>1086</v>
      </c>
      <c r="C513" s="1451" t="b">
        <f>Page5_CHV_MCI!$K$41&lt;0</f>
        <v>0</v>
      </c>
      <c r="D513" s="1454" t="b">
        <f>OR(AND(Page5_CHV_MCI!$K41&gt;0,Page5_CHV_MCI!$M41=0),AND(Page5_CHV_MCI!$M41&lt;&gt;0,Page5_CHV_MCI!$K41=0))</f>
        <v>0</v>
      </c>
      <c r="E513" s="1454"/>
      <c r="F513" s="1454"/>
      <c r="G513" s="1444" t="str">
        <f t="shared" si="56"/>
        <v/>
      </c>
      <c r="H513" s="1447" t="str">
        <f>IF(C513=TRUE,Comments!$B$26,"")</f>
        <v/>
      </c>
      <c r="I513" s="1446" t="str">
        <f>IF(D513=TRUE,Comments!$B$21,"")</f>
        <v/>
      </c>
      <c r="J513" s="1446"/>
      <c r="K513" s="1452"/>
      <c r="N513" s="611" t="str">
        <f>"CPTE # "&amp;Page5_CHV_MCI!$E$41&amp;"  "&amp;Page5_CHV_MCI!$C$41&amp;" - UNITÉS - AAD"</f>
        <v>CPTE # 436A  TRAILBLAZER - UNITÉS - AAD</v>
      </c>
      <c r="O513" s="611" t="str">
        <f t="shared" si="63"/>
        <v/>
      </c>
      <c r="P513" s="611" t="str">
        <f t="shared" si="57"/>
        <v>Page5_CHV_MCI!K</v>
      </c>
      <c r="Q513" s="611">
        <f t="shared" si="58"/>
        <v>41</v>
      </c>
      <c r="R513" s="1447">
        <f t="shared" ca="1" si="59"/>
        <v>0</v>
      </c>
      <c r="S513" s="1447">
        <f t="shared" ca="1" si="60"/>
        <v>0</v>
      </c>
      <c r="V513" s="2557" t="str">
        <f t="shared" ca="1" si="61"/>
        <v/>
      </c>
      <c r="W513" s="611" t="str">
        <f t="shared" ca="1" si="62"/>
        <v>Page5_CHV_MCI, Ligne 38 [Page5_CHV_MCI!K41]  -</v>
      </c>
    </row>
    <row r="514" spans="1:23">
      <c r="A514" s="1443" t="str">
        <f>celladdr(Page5_CHV_MCI!K42)</f>
        <v>Page5_CHV_MCI!K42</v>
      </c>
      <c r="B514" s="1464" t="s">
        <v>1086</v>
      </c>
      <c r="C514" s="1451" t="b">
        <f>Page5_CHV_MCI!$K$42&lt;0</f>
        <v>0</v>
      </c>
      <c r="D514" s="1454"/>
      <c r="E514" s="1454"/>
      <c r="F514" s="1454"/>
      <c r="G514" s="1444" t="str">
        <f t="shared" ref="G514:G577" si="64">IF(H514&amp;I514&amp;J514&amp;K514&lt;&gt;"","No.de ref. du commentaire.: "&amp;W514&amp;" "&amp;N514&amp;" "&amp;H514&amp;I514&amp;IF(OR(C514=TRUE,D514=TRUE),"",J514&amp;K514&amp;V514),"")</f>
        <v/>
      </c>
      <c r="H514" s="1447" t="str">
        <f>IF(C514=TRUE,Comments!$B$26,"")</f>
        <v/>
      </c>
      <c r="I514" s="1446"/>
      <c r="J514" s="1446"/>
      <c r="K514" s="1452"/>
      <c r="N514" s="611" t="str">
        <f>"CPTE # "&amp;Page5_CHV_MCI!$E$42&amp;"  "&amp;Page5_CHV_MCI!$C$42&amp;" - UNITÉS - AAD"</f>
        <v>CPTE # 437A  POUR USAGE FUTUR - UNITÉS - AAD</v>
      </c>
      <c r="O514" s="611" t="str">
        <f t="shared" si="63"/>
        <v/>
      </c>
      <c r="P514" s="611" t="str">
        <f t="shared" ref="P514:P577" si="65">LEFT(A514,FIND("!",A514)+1)</f>
        <v>Page5_CHV_MCI!K</v>
      </c>
      <c r="Q514" s="611">
        <f t="shared" ref="Q514:Q577" si="66">VALUE(RIGHT(A514,LEN(A514)-FIND("!",A514)-1))</f>
        <v>42</v>
      </c>
      <c r="R514" s="1447">
        <f t="shared" ref="R514:R577" ca="1" si="67">IF(E514=TRUE,INDIRECT("Comments!$D$"&amp;T514),0)</f>
        <v>0</v>
      </c>
      <c r="S514" s="1447">
        <f t="shared" ref="S514:S577" ca="1" si="68">IF(F514=TRUE,INDIRECT("Comments!$D$"&amp;U514),0)</f>
        <v>0</v>
      </c>
      <c r="V514" s="2557" t="str">
        <f t="shared" ref="V514:V577" ca="1" si="69">IF(SUM(R514+S514)=0,"","
*** "&amp;TEXT(SUM(R514+S514),"0,0")&amp;" Points de précision seront déduits suite à cette(ces) erreur(s) !")</f>
        <v/>
      </c>
      <c r="W514" s="611" t="str">
        <f t="shared" ref="W514:W577" ca="1" si="70">LEFT(A514,FIND("!",A514,1)-1)&amp;", Ligne "&amp;INDIRECT(ADDRESS(ROW(INDIRECT(A514)),IF(INDIRECT(ADDRESS(ROW(INDIRECT(A514)),1,,,LEFT(A514,FIND("!",A514,1)-1)))="",2,1),,,LEFT(A514,FIND("!",A514,1)-1)))&amp;" ["&amp;A514&amp;"] "&amp;" -"</f>
        <v>Page5_CHV_MCI, Ligne 39 [Page5_CHV_MCI!K42]  -</v>
      </c>
    </row>
    <row r="515" spans="1:23">
      <c r="A515" s="1443" t="str">
        <f>celladdr(Page5_CHV_MCI!K43)</f>
        <v>Page5_CHV_MCI!K43</v>
      </c>
      <c r="B515" s="1464" t="s">
        <v>1086</v>
      </c>
      <c r="C515" s="1451" t="b">
        <f>Page5_CHV_MCI!$K$43&lt;0</f>
        <v>0</v>
      </c>
      <c r="D515" s="1454" t="b">
        <f>OR(AND(Page5_CHV_MCI!$K43&gt;0,Page5_CHV_MCI!$M43=0),AND(Page5_CHV_MCI!$M43&lt;&gt;0,Page5_CHV_MCI!$K43=0))</f>
        <v>0</v>
      </c>
      <c r="E515" s="1454"/>
      <c r="F515" s="1454"/>
      <c r="G515" s="1444" t="str">
        <f t="shared" si="64"/>
        <v/>
      </c>
      <c r="H515" s="1447" t="str">
        <f>IF(C515=TRUE,Comments!$B$26,"")</f>
        <v/>
      </c>
      <c r="I515" s="1446" t="str">
        <f>IF(D515=TRUE,Comments!$B$21,"")</f>
        <v/>
      </c>
      <c r="J515" s="1446"/>
      <c r="K515" s="1452"/>
      <c r="N515" s="611" t="str">
        <f>"CPTE # "&amp;Page5_CHV_MCI!$E$43&amp;"  "&amp;Page5_CHV_MCI!$C$43&amp;" - UNITÉS - AAD"</f>
        <v>CPTE # 438A  AUTRES CHEVROLET - UNITÉS - AAD</v>
      </c>
      <c r="O515" s="611" t="str">
        <f t="shared" ref="O515:O545" si="71">IF(A515=A514,"TRUE","")</f>
        <v/>
      </c>
      <c r="P515" s="611" t="str">
        <f t="shared" si="65"/>
        <v>Page5_CHV_MCI!K</v>
      </c>
      <c r="Q515" s="611">
        <f t="shared" si="66"/>
        <v>43</v>
      </c>
      <c r="R515" s="1447">
        <f t="shared" ca="1" si="67"/>
        <v>0</v>
      </c>
      <c r="S515" s="1447">
        <f t="shared" ca="1" si="68"/>
        <v>0</v>
      </c>
      <c r="V515" s="2557" t="str">
        <f t="shared" ca="1" si="69"/>
        <v/>
      </c>
      <c r="W515" s="611" t="str">
        <f t="shared" ca="1" si="70"/>
        <v>Page5_CHV_MCI, Ligne 40 [Page5_CHV_MCI!K43]  -</v>
      </c>
    </row>
    <row r="516" spans="1:23">
      <c r="A516" s="1443" t="str">
        <f>celladdr(Page5_CHV_MCI!K44)</f>
        <v>Page5_CHV_MCI!K44</v>
      </c>
      <c r="B516" s="1444" t="s">
        <v>1086</v>
      </c>
      <c r="C516" s="1451"/>
      <c r="D516" s="1454"/>
      <c r="E516" s="1454"/>
      <c r="F516" s="1454"/>
      <c r="G516" s="1444" t="str">
        <f t="shared" si="64"/>
        <v/>
      </c>
      <c r="H516" s="1447" t="str">
        <f>IF(C516=TRUE,Comments!$B$26,"")</f>
        <v/>
      </c>
      <c r="I516" s="1446" t="str">
        <f>IF(D516=TRUE,Comments!$B$21,"")</f>
        <v/>
      </c>
      <c r="J516" s="1446"/>
      <c r="K516" s="1452"/>
      <c r="O516" s="611" t="str">
        <f t="shared" si="71"/>
        <v/>
      </c>
      <c r="P516" s="611" t="str">
        <f t="shared" si="65"/>
        <v>Page5_CHV_MCI!K</v>
      </c>
      <c r="Q516" s="611">
        <f t="shared" si="66"/>
        <v>44</v>
      </c>
      <c r="R516" s="1447">
        <f t="shared" ca="1" si="67"/>
        <v>0</v>
      </c>
      <c r="S516" s="1447">
        <f t="shared" ca="1" si="68"/>
        <v>0</v>
      </c>
      <c r="V516" s="2557" t="str">
        <f t="shared" ca="1" si="69"/>
        <v/>
      </c>
      <c r="W516" s="611" t="str">
        <f t="shared" ca="1" si="70"/>
        <v>Page5_CHV_MCI, Ligne 41 [Page5_CHV_MCI!K44]  -</v>
      </c>
    </row>
    <row r="517" spans="1:23">
      <c r="A517" s="1443" t="str">
        <f>celladdr(Page5_CHV_MCI!K45)</f>
        <v>Page5_CHV_MCI!K45</v>
      </c>
      <c r="B517" s="1464" t="s">
        <v>1086</v>
      </c>
      <c r="C517" s="1451" t="b">
        <f>Page5_CHV_MCI!$K$45&lt;0</f>
        <v>0</v>
      </c>
      <c r="D517" s="1454" t="b">
        <f>OR(AND(Page5_CHV_MCI!$K45&gt;0,Page5_CHV_MCI!$M45=0),AND(Page5_CHV_MCI!$M45&lt;&gt;0,Page5_CHV_MCI!$K45=0))</f>
        <v>0</v>
      </c>
      <c r="E517" s="1454"/>
      <c r="F517" s="1454"/>
      <c r="G517" s="1444" t="str">
        <f t="shared" si="64"/>
        <v/>
      </c>
      <c r="H517" s="1447" t="str">
        <f>IF(C517=TRUE,Comments!$B$26,"")</f>
        <v/>
      </c>
      <c r="I517" s="1446" t="str">
        <f>IF(D517=TRUE,Comments!$B$21,"")</f>
        <v/>
      </c>
      <c r="J517" s="1446"/>
      <c r="K517" s="1452"/>
      <c r="N517" s="611" t="str">
        <f>"CPTE # "&amp;Page5_CHV_MCI!$E$45&amp;"  "&amp;Page5_CHV_MCI!$C$45&amp;" - UNITÉS - AAD"</f>
        <v>CPTE # 439A  MÉMO* VENTES INTERNET CAMIONS - UNITÉS - AAD</v>
      </c>
      <c r="O517" s="611" t="str">
        <f t="shared" si="71"/>
        <v/>
      </c>
      <c r="P517" s="611" t="str">
        <f t="shared" si="65"/>
        <v>Page5_CHV_MCI!K</v>
      </c>
      <c r="Q517" s="611">
        <f t="shared" si="66"/>
        <v>45</v>
      </c>
      <c r="R517" s="1447">
        <f t="shared" ca="1" si="67"/>
        <v>0</v>
      </c>
      <c r="S517" s="1447">
        <f t="shared" ca="1" si="68"/>
        <v>0</v>
      </c>
      <c r="V517" s="2557" t="str">
        <f t="shared" ca="1" si="69"/>
        <v/>
      </c>
      <c r="W517" s="611" t="str">
        <f t="shared" ca="1" si="70"/>
        <v>Page5_CHV_MCI, Ligne 42 [Page5_CHV_MCI!K45]  -</v>
      </c>
    </row>
    <row r="518" spans="1:23">
      <c r="A518" s="1443" t="str">
        <f>celladdr(Page5_CHV_MCI!K46)</f>
        <v>Page5_CHV_MCI!K46</v>
      </c>
      <c r="B518" s="1464" t="s">
        <v>1086</v>
      </c>
      <c r="C518" s="1451" t="b">
        <f>Page5_CHV_MCI!$K$46&lt;0</f>
        <v>0</v>
      </c>
      <c r="D518" s="1454" t="b">
        <f>OR(AND(Page5_CHV_MCI!$K46&gt;0,Page5_CHV_MCI!$M46=0),AND(Page5_CHV_MCI!$M46&lt;&gt;0,Page5_CHV_MCI!$K46=0))</f>
        <v>0</v>
      </c>
      <c r="E518" s="2452" t="b">
        <f>ROUND(Page5_CHV_MCI!K46 + Page5_GMC_MCI!K46,2) &lt;&gt;ROUND(Page5_PARCS_GOUV!K20+Page5_PARCS_GOUV!K22+Page5_PARCS_GOUV!K24+Page5_PARCS_GOUV!K25+Page5_PARCS_GOUV!K27+Page5_PARCS_GOUV!K29+Page5_PARCS_GOUV!K31+Page5_PARCS_GOUV!K32+Page5_PARCS_GOUV!K33+Page5_PARCS_GOUV!K56+Page5_PARCS_GOUV!K56+Page5_PARCS_GOUV!K58+Page5_PARCS_GOUV!K60+Page5_PARCS_GOUV!K61+Page5_PARCS_GOUV!K63+Page5_PARCS_GOUV!K65+Page5_PARCS_GOUV!K67+Page5_PARCS_GOUV!K68+Page5_PARCS_GOUV!K69,2)</f>
        <v>0</v>
      </c>
      <c r="F518" s="1454"/>
      <c r="G518" s="1444" t="str">
        <f t="shared" si="64"/>
        <v/>
      </c>
      <c r="H518" s="1447" t="str">
        <f>IF(C518=TRUE,Comments!$B$26,"")</f>
        <v/>
      </c>
      <c r="I518" s="1446" t="str">
        <f>IF(D518=TRUE,Comments!$B$21,"")</f>
        <v/>
      </c>
      <c r="J518" s="1446" t="str">
        <f>IF(E518=TRUE, Comments!$B$97,"")</f>
        <v/>
      </c>
      <c r="K518" s="1452"/>
      <c r="N518" s="611" t="str">
        <f>"CPTE # "&amp;Page5_CHV_MCI!$E$46&amp;"  "&amp;Page5_CHV_MCI!$C$46&amp;" - UNITÉS - AAD"</f>
        <v>CPTE # DE PG PARCS  TOTAL PARCS - CAMIONS - UNITÉS - AAD</v>
      </c>
      <c r="O518" s="611" t="str">
        <f t="shared" si="71"/>
        <v/>
      </c>
      <c r="P518" s="611" t="str">
        <f t="shared" si="65"/>
        <v>Page5_CHV_MCI!K</v>
      </c>
      <c r="Q518" s="611">
        <f t="shared" si="66"/>
        <v>46</v>
      </c>
      <c r="R518" s="1447">
        <f t="shared" ca="1" si="67"/>
        <v>0</v>
      </c>
      <c r="S518" s="1447">
        <f t="shared" ca="1" si="68"/>
        <v>0</v>
      </c>
      <c r="T518" s="611">
        <v>97</v>
      </c>
      <c r="V518" s="2557" t="str">
        <f t="shared" ca="1" si="69"/>
        <v/>
      </c>
      <c r="W518" s="611" t="str">
        <f t="shared" ca="1" si="70"/>
        <v>Page5_CHV_MCI, Ligne 43 [Page5_CHV_MCI!K46]  -</v>
      </c>
    </row>
    <row r="519" spans="1:23">
      <c r="A519" s="1443" t="str">
        <f>celladdr(Page5_CHV_MCI!K47)</f>
        <v>Page5_CHV_MCI!K47</v>
      </c>
      <c r="B519" s="1464" t="s">
        <v>1086</v>
      </c>
      <c r="C519" s="1451" t="b">
        <f>Page5_CHV_MCI!$K$47&lt;0</f>
        <v>0</v>
      </c>
      <c r="D519" s="1454" t="b">
        <f>OR(AND(Page5_CHV_MCI!$K47&gt;0,Page5_CHV_MCI!$M47=0),AND(Page5_CHV_MCI!$M47&lt;&gt;0,Page5_CHV_MCI!$K47=0))</f>
        <v>0</v>
      </c>
      <c r="E519" s="1454"/>
      <c r="F519" s="1454"/>
      <c r="G519" s="1444" t="str">
        <f t="shared" si="64"/>
        <v/>
      </c>
      <c r="H519" s="1447" t="str">
        <f>IF(C519=TRUE,Comments!$B$26,"")</f>
        <v/>
      </c>
      <c r="I519" s="1446" t="str">
        <f>IF(D519=TRUE,Comments!$B$21,"")</f>
        <v/>
      </c>
      <c r="J519" s="1446"/>
      <c r="K519" s="1452"/>
      <c r="N519" s="611" t="str">
        <f>"CPTE # "&amp;Page5_CHV_MCI!$E$47&amp;"  "&amp;Page5_CHV_MCI!$C$47&amp;" - UNITÉS - AAD"</f>
        <v>CPTE # 441A  TOTAL IINTERNE - CAMIONS  - UNITÉS - AAD</v>
      </c>
      <c r="O519" s="611" t="str">
        <f t="shared" si="71"/>
        <v/>
      </c>
      <c r="P519" s="611" t="str">
        <f t="shared" si="65"/>
        <v>Page5_CHV_MCI!K</v>
      </c>
      <c r="Q519" s="611">
        <f t="shared" si="66"/>
        <v>47</v>
      </c>
      <c r="R519" s="1447">
        <f t="shared" ca="1" si="67"/>
        <v>0</v>
      </c>
      <c r="S519" s="1447">
        <f t="shared" ca="1" si="68"/>
        <v>0</v>
      </c>
      <c r="V519" s="2557" t="str">
        <f t="shared" ca="1" si="69"/>
        <v/>
      </c>
      <c r="W519" s="611" t="str">
        <f t="shared" ca="1" si="70"/>
        <v>Page5_CHV_MCI, Ligne 44 [Page5_CHV_MCI!K47]  -</v>
      </c>
    </row>
    <row r="520" spans="1:23">
      <c r="A520" s="1443" t="str">
        <f>celladdr(Page5_CHV_MCI!K48)</f>
        <v>Page5_CHV_MCI!K48</v>
      </c>
      <c r="B520" s="1444" t="s">
        <v>1086</v>
      </c>
      <c r="C520" s="1451"/>
      <c r="D520" s="1454"/>
      <c r="E520" s="1454"/>
      <c r="F520" s="1454"/>
      <c r="G520" s="1444" t="str">
        <f t="shared" si="64"/>
        <v/>
      </c>
      <c r="H520" s="1447" t="str">
        <f>IF(C520=TRUE,Comments!$B$26,"")</f>
        <v/>
      </c>
      <c r="I520" s="1446" t="str">
        <f>IF(D520=TRUE,Comments!$B$21,"")</f>
        <v/>
      </c>
      <c r="J520" s="1446"/>
      <c r="K520" s="1452"/>
      <c r="O520" s="611" t="str">
        <f t="shared" si="71"/>
        <v/>
      </c>
      <c r="P520" s="611" t="str">
        <f t="shared" si="65"/>
        <v>Page5_CHV_MCI!K</v>
      </c>
      <c r="Q520" s="611">
        <f t="shared" si="66"/>
        <v>48</v>
      </c>
      <c r="R520" s="1447">
        <f t="shared" ca="1" si="67"/>
        <v>0</v>
      </c>
      <c r="S520" s="1447">
        <f t="shared" ca="1" si="68"/>
        <v>0</v>
      </c>
      <c r="V520" s="2557" t="str">
        <f t="shared" ca="1" si="69"/>
        <v/>
      </c>
      <c r="W520" s="611" t="str">
        <f t="shared" ca="1" si="70"/>
        <v>Page5_CHV_MCI, Ligne 45 [Page5_CHV_MCI!K48]  -</v>
      </c>
    </row>
    <row r="521" spans="1:23">
      <c r="A521" s="1443" t="str">
        <f>celladdr(Page5_CHV_MCI!K49)</f>
        <v>Page5_CHV_MCI!K49</v>
      </c>
      <c r="B521" s="1464" t="s">
        <v>1086</v>
      </c>
      <c r="C521" s="1451"/>
      <c r="D521" s="1454" t="b">
        <f>OR(AND(Page5_CHV_MCI!$K49&gt;0,Page5_CHV_MCI!$M49=0),AND(Page5_CHV_MCI!$M49&lt;&gt;0,Page5_CHV_MCI!$K49=0))</f>
        <v>0</v>
      </c>
      <c r="E521" s="1454"/>
      <c r="F521" s="1454"/>
      <c r="G521" s="1444" t="str">
        <f t="shared" si="64"/>
        <v/>
      </c>
      <c r="I521" s="1446" t="str">
        <f>IF(D521=TRUE,Comments!$B$24,"")</f>
        <v/>
      </c>
      <c r="J521" s="1446"/>
      <c r="K521" s="1452"/>
      <c r="N521" s="611" t="str">
        <f>"CPTE # "&amp;Page5_CHV_MCI!$E$49&amp;"  "&amp;Page5_CHV_MCI!$C$49&amp;" - UNITÉS - AAD"</f>
        <v>CPTE #      - UNITÉS - AAD</v>
      </c>
      <c r="O521" s="611" t="str">
        <f t="shared" si="71"/>
        <v/>
      </c>
      <c r="P521" s="611" t="str">
        <f t="shared" si="65"/>
        <v>Page5_CHV_MCI!K</v>
      </c>
      <c r="Q521" s="611">
        <f t="shared" si="66"/>
        <v>49</v>
      </c>
      <c r="R521" s="1447">
        <f t="shared" ca="1" si="67"/>
        <v>0</v>
      </c>
      <c r="S521" s="1447">
        <f t="shared" ca="1" si="68"/>
        <v>0</v>
      </c>
      <c r="V521" s="2557" t="str">
        <f t="shared" ca="1" si="69"/>
        <v/>
      </c>
      <c r="W521" s="611" t="str">
        <f t="shared" ca="1" si="70"/>
        <v>Page5_CHV_MCI, Ligne 46 [Page5_CHV_MCI!K49]  -</v>
      </c>
    </row>
    <row r="522" spans="1:23">
      <c r="A522" s="1443" t="str">
        <f>celladdr(Page5_CHV_MCI!K50)</f>
        <v>Page5_CHV_MCI!K50</v>
      </c>
      <c r="B522" s="1464" t="s">
        <v>1086</v>
      </c>
      <c r="C522" s="1451"/>
      <c r="D522" s="1454" t="b">
        <f>OR(AND(Page5_CHV_MCI!$K50&gt;0,Page5_CHV_MCI!$M50=0),AND(Page5_CHV_MCI!$M50&lt;&gt;0,Page5_CHV_MCI!$K50=0))</f>
        <v>0</v>
      </c>
      <c r="E522" s="1454"/>
      <c r="F522" s="1454"/>
      <c r="G522" s="1444" t="str">
        <f t="shared" si="64"/>
        <v/>
      </c>
      <c r="H522" s="1447" t="str">
        <f>IF(C522=TRUE,Comments!$B$26,"")</f>
        <v/>
      </c>
      <c r="I522" s="1446" t="str">
        <f>IF(D522=TRUE,Comments!$B$21,"")</f>
        <v/>
      </c>
      <c r="J522" s="1446"/>
      <c r="K522" s="1452"/>
      <c r="N522" s="611" t="str">
        <f>"CPTE # "&amp;Page5_CHV_MCI!$E$50&amp;"  "&amp;Page5_CHV_MCI!$C$50&amp;" - UNITÉS - AAD"</f>
        <v>CPTE # 457A  ACCESSOIRES - UNITÉS - AAD</v>
      </c>
      <c r="O522" s="611" t="str">
        <f t="shared" si="71"/>
        <v/>
      </c>
      <c r="P522" s="611" t="str">
        <f t="shared" si="65"/>
        <v>Page5_CHV_MCI!K</v>
      </c>
      <c r="Q522" s="611">
        <f t="shared" si="66"/>
        <v>50</v>
      </c>
      <c r="R522" s="1447">
        <f t="shared" ca="1" si="67"/>
        <v>0</v>
      </c>
      <c r="S522" s="1447">
        <f t="shared" ca="1" si="68"/>
        <v>0</v>
      </c>
      <c r="V522" s="2557" t="str">
        <f t="shared" ca="1" si="69"/>
        <v/>
      </c>
      <c r="W522" s="611" t="str">
        <f t="shared" ca="1" si="70"/>
        <v>Page5_CHV_MCI, Ligne 47 [Page5_CHV_MCI!K50]  -</v>
      </c>
    </row>
    <row r="523" spans="1:23">
      <c r="A523" s="1443" t="str">
        <f>celladdr(Page5_CHV_MCI!K51)</f>
        <v>Page5_CHV_MCI!K51</v>
      </c>
      <c r="B523" s="1453" t="s">
        <v>1086</v>
      </c>
      <c r="C523" s="1445" t="b">
        <f>Page5_CHV_MCI!$K$51&lt;&gt;Page5_CHV_MCI!$K$48+Page5_CHV_MCI!$K$27</f>
        <v>0</v>
      </c>
      <c r="D523" s="1454"/>
      <c r="F523" s="1454"/>
      <c r="G523" s="1444" t="str">
        <f t="shared" si="64"/>
        <v/>
      </c>
      <c r="H523" s="1446" t="str">
        <f>IF(C523=TRUE,Comments!$B$38&amp;Page5_CHV_MCI!$K$51-(Page5_CHV_MCI!$K$48+Page5_CHV_MCI!$K$27),"")</f>
        <v/>
      </c>
      <c r="I523" s="1452"/>
      <c r="J523" s="1452"/>
      <c r="K523" s="1452"/>
      <c r="N523" s="611" t="str">
        <f>Page5_CHV_MCI!$B$1&amp;" TOTAL VÉHICULES NEUFS - UNITÉS - AAD"</f>
        <v>CHEVROLET TOTAL VÉHICULES NEUFS - UNITÉS - AAD</v>
      </c>
      <c r="O523" s="611" t="str">
        <f t="shared" si="71"/>
        <v/>
      </c>
      <c r="P523" s="611" t="str">
        <f t="shared" si="65"/>
        <v>Page5_CHV_MCI!K</v>
      </c>
      <c r="Q523" s="611">
        <f t="shared" si="66"/>
        <v>51</v>
      </c>
      <c r="R523" s="1447">
        <f t="shared" ca="1" si="67"/>
        <v>0</v>
      </c>
      <c r="S523" s="1447">
        <f t="shared" ca="1" si="68"/>
        <v>0</v>
      </c>
      <c r="V523" s="2557" t="str">
        <f t="shared" ca="1" si="69"/>
        <v/>
      </c>
      <c r="W523" s="611" t="str">
        <f t="shared" ca="1" si="70"/>
        <v>Page5_CHV_MCI, Ligne 48 [Page5_CHV_MCI!K51]  -</v>
      </c>
    </row>
    <row r="524" spans="1:23">
      <c r="A524" s="1443" t="str">
        <f>celladdr(Page5_CHV_MCI!L4)</f>
        <v>Page5_CHV_MCI!L4</v>
      </c>
      <c r="B524" s="1456" t="s">
        <v>1086</v>
      </c>
      <c r="C524" s="1451" t="b">
        <f>Page5_CHV_MCI!$L$4&lt;0</f>
        <v>0</v>
      </c>
      <c r="D524" s="1454" t="b">
        <f>OR(AND(Page5_CHV_MCI!$L4&lt;&gt;0,Page5_CHV_MCI!$M4=0),AND(Page5_CHV_MCI!$M4&lt;&gt;0,Page5_CHV_MCI!$L4=0))</f>
        <v>0</v>
      </c>
      <c r="E524" s="1454"/>
      <c r="F524" s="1454"/>
      <c r="G524" s="1444" t="str">
        <f t="shared" si="64"/>
        <v/>
      </c>
      <c r="H524" s="1447" t="str">
        <f>IF(C524=TRUE,Comments!$B$23,"")</f>
        <v/>
      </c>
      <c r="I524" s="1446" t="str">
        <f>IF(D524=TRUE,Comments!$B$24,"")</f>
        <v/>
      </c>
      <c r="J524" s="1446"/>
      <c r="K524" s="1452"/>
      <c r="N524" s="611" t="str">
        <f>"CPTE # "&amp;Page5_CHV_MCI!$E$4&amp;"  "&amp;Page5_CHV_MCI!$C$4&amp;" - CHIFFRE D'AFFAIRES RÉALISÉ - AAD"</f>
        <v>CPTE # 400A  VOLT - CHIFFRE D'AFFAIRES RÉALISÉ - AAD</v>
      </c>
      <c r="O524" s="611" t="str">
        <f t="shared" si="71"/>
        <v/>
      </c>
      <c r="P524" s="611" t="str">
        <f t="shared" si="65"/>
        <v>Page5_CHV_MCI!L</v>
      </c>
      <c r="Q524" s="611">
        <f t="shared" si="66"/>
        <v>4</v>
      </c>
      <c r="R524" s="1447">
        <f t="shared" ca="1" si="67"/>
        <v>0</v>
      </c>
      <c r="S524" s="1447">
        <f t="shared" ca="1" si="68"/>
        <v>0</v>
      </c>
      <c r="V524" s="2557" t="str">
        <f t="shared" ca="1" si="69"/>
        <v/>
      </c>
      <c r="W524" s="611" t="str">
        <f t="shared" ca="1" si="70"/>
        <v>Page5_CHV_MCI, Ligne 1 [Page5_CHV_MCI!L4]  -</v>
      </c>
    </row>
    <row r="525" spans="1:23">
      <c r="A525" s="1443" t="str">
        <f>celladdr(Page5_CHV_MCI!L5)</f>
        <v>Page5_CHV_MCI!L5</v>
      </c>
      <c r="B525" s="1456" t="s">
        <v>1086</v>
      </c>
      <c r="C525" s="1451" t="b">
        <f>Page5_CHV_MCI!$L$5&lt;0</f>
        <v>0</v>
      </c>
      <c r="D525" s="1454" t="b">
        <f>OR(AND(Page5_CHV_MCI!$L5&lt;&gt;0,Page5_CHV_MCI!$M5=0),AND(Page5_CHV_MCI!$M5&lt;&gt;0,Page5_CHV_MCI!$L5=0))</f>
        <v>0</v>
      </c>
      <c r="E525" s="1454"/>
      <c r="F525" s="1454"/>
      <c r="G525" s="1444" t="str">
        <f t="shared" si="64"/>
        <v/>
      </c>
      <c r="H525" s="1447" t="str">
        <f>IF(C525=TRUE,Comments!$B$23,"")</f>
        <v/>
      </c>
      <c r="I525" s="1446" t="str">
        <f>IF(D525=TRUE,Comments!$B$24,"")</f>
        <v/>
      </c>
      <c r="J525" s="1446"/>
      <c r="K525" s="1452"/>
      <c r="N525" s="611" t="str">
        <f>"CPTE # "&amp;Page5_CHV_MCI!$E$5&amp;"  "&amp;Page5_CHV_MCI!$C$5&amp;" - CHIFFRE D'AFFAIRES RÉALISÉ - AAD"</f>
        <v>CPTE # 401A  MALIBU - CHIFFRE D'AFFAIRES RÉALISÉ - AAD</v>
      </c>
      <c r="O525" s="611" t="str">
        <f t="shared" si="71"/>
        <v/>
      </c>
      <c r="P525" s="611" t="str">
        <f t="shared" si="65"/>
        <v>Page5_CHV_MCI!L</v>
      </c>
      <c r="Q525" s="611">
        <f t="shared" si="66"/>
        <v>5</v>
      </c>
      <c r="R525" s="1447">
        <f t="shared" ca="1" si="67"/>
        <v>0</v>
      </c>
      <c r="S525" s="1447">
        <f t="shared" ca="1" si="68"/>
        <v>0</v>
      </c>
      <c r="V525" s="2557" t="str">
        <f t="shared" ca="1" si="69"/>
        <v/>
      </c>
      <c r="W525" s="611" t="str">
        <f t="shared" ca="1" si="70"/>
        <v>Page5_CHV_MCI, Ligne 2 [Page5_CHV_MCI!L5]  -</v>
      </c>
    </row>
    <row r="526" spans="1:23">
      <c r="A526" s="1443" t="str">
        <f>celladdr(Page5_CHV_MCI!L6)</f>
        <v>Page5_CHV_MCI!L6</v>
      </c>
      <c r="B526" s="1456" t="s">
        <v>1086</v>
      </c>
      <c r="C526" s="1451" t="b">
        <f>Page5_CHV_MCI!$L$6&lt;0</f>
        <v>0</v>
      </c>
      <c r="D526" s="1454" t="b">
        <f>OR(AND(Page5_CHV_MCI!$L6&lt;&gt;0,Page5_CHV_MCI!$M6=0),AND(Page5_CHV_MCI!$M6&lt;&gt;0,Page5_CHV_MCI!$L6=0))</f>
        <v>0</v>
      </c>
      <c r="E526" s="1454"/>
      <c r="F526" s="1454"/>
      <c r="G526" s="1444" t="str">
        <f t="shared" si="64"/>
        <v/>
      </c>
      <c r="H526" s="1447" t="str">
        <f>IF(C526=TRUE,Comments!$B$23,"")</f>
        <v/>
      </c>
      <c r="I526" s="1446" t="str">
        <f>IF(D526=TRUE,Comments!$B$24,"")</f>
        <v/>
      </c>
      <c r="J526" s="1446"/>
      <c r="K526" s="1452"/>
      <c r="N526" s="611" t="str">
        <f>"CPTE # "&amp;Page5_CHV_MCI!$E$6&amp;"  "&amp;Page5_CHV_MCI!$C$6&amp;" - CHIFFRE D'AFFAIRES RÉALISÉ - AAD"</f>
        <v>CPTE # 402A  SONIC - CHIFFRE D'AFFAIRES RÉALISÉ - AAD</v>
      </c>
      <c r="O526" s="611" t="str">
        <f t="shared" si="71"/>
        <v/>
      </c>
      <c r="P526" s="611" t="str">
        <f t="shared" si="65"/>
        <v>Page5_CHV_MCI!L</v>
      </c>
      <c r="Q526" s="611">
        <f t="shared" si="66"/>
        <v>6</v>
      </c>
      <c r="R526" s="1447">
        <f t="shared" ca="1" si="67"/>
        <v>0</v>
      </c>
      <c r="S526" s="1447">
        <f t="shared" ca="1" si="68"/>
        <v>0</v>
      </c>
      <c r="V526" s="2557" t="str">
        <f t="shared" ca="1" si="69"/>
        <v/>
      </c>
      <c r="W526" s="611" t="str">
        <f t="shared" ca="1" si="70"/>
        <v>Page5_CHV_MCI, Ligne 3 [Page5_CHV_MCI!L6]  -</v>
      </c>
    </row>
    <row r="527" spans="1:23">
      <c r="A527" s="1443" t="str">
        <f>celladdr(Page5_CHV_MCI!L7)</f>
        <v>Page5_CHV_MCI!L7</v>
      </c>
      <c r="B527" s="1456" t="s">
        <v>1086</v>
      </c>
      <c r="C527" s="1451" t="b">
        <f>Page5_CHV_MCI!$L$7&lt;0</f>
        <v>0</v>
      </c>
      <c r="D527" s="1454" t="b">
        <f>OR(AND(Page5_CHV_MCI!$L7&lt;&gt;0,Page5_CHV_MCI!$M7=0),AND(Page5_CHV_MCI!$M7&lt;&gt;0,Page5_CHV_MCI!$L7=0))</f>
        <v>0</v>
      </c>
      <c r="E527" s="1454"/>
      <c r="F527" s="1454"/>
      <c r="G527" s="1444" t="str">
        <f t="shared" si="64"/>
        <v/>
      </c>
      <c r="H527" s="1447" t="str">
        <f>IF(C527=TRUE,Comments!$B$23,"")</f>
        <v/>
      </c>
      <c r="I527" s="1446" t="str">
        <f>IF(D527=TRUE,Comments!$B$24,"")</f>
        <v/>
      </c>
      <c r="J527" s="1446"/>
      <c r="K527" s="1452"/>
      <c r="N527" s="611" t="str">
        <f>"CPTE # "&amp;Page5_CHV_MCI!$E$7&amp;"  "&amp;Page5_CHV_MCI!$C$7&amp;" - CHIFFRE D'AFFAIRES RÉALISÉ - AAD"</f>
        <v>CPTE # 403A  IMPALA - CHIFFRE D'AFFAIRES RÉALISÉ - AAD</v>
      </c>
      <c r="O527" s="611" t="str">
        <f t="shared" si="71"/>
        <v/>
      </c>
      <c r="P527" s="611" t="str">
        <f t="shared" si="65"/>
        <v>Page5_CHV_MCI!L</v>
      </c>
      <c r="Q527" s="611">
        <f t="shared" si="66"/>
        <v>7</v>
      </c>
      <c r="R527" s="1447">
        <f t="shared" ca="1" si="67"/>
        <v>0</v>
      </c>
      <c r="S527" s="1447">
        <f t="shared" ca="1" si="68"/>
        <v>0</v>
      </c>
      <c r="V527" s="2557" t="str">
        <f t="shared" ca="1" si="69"/>
        <v/>
      </c>
      <c r="W527" s="611" t="str">
        <f t="shared" ca="1" si="70"/>
        <v>Page5_CHV_MCI, Ligne 4 [Page5_CHV_MCI!L7]  -</v>
      </c>
    </row>
    <row r="528" spans="1:23">
      <c r="A528" s="1443" t="str">
        <f>celladdr(Page5_CHV_MCI!L8)</f>
        <v>Page5_CHV_MCI!L8</v>
      </c>
      <c r="B528" s="1456" t="s">
        <v>1086</v>
      </c>
      <c r="C528" s="1451" t="b">
        <f>Page5_CHV_MCI!$L$8&lt;0</f>
        <v>0</v>
      </c>
      <c r="D528" s="1454" t="b">
        <f>OR(AND(Page5_CHV_MCI!$L8&lt;&gt;0,Page5_CHV_MCI!$M8=0),AND(Page5_CHV_MCI!$M8&lt;&gt;0,Page5_CHV_MCI!$L8=0))</f>
        <v>0</v>
      </c>
      <c r="E528" s="1454"/>
      <c r="F528" s="1454"/>
      <c r="G528" s="1444" t="str">
        <f t="shared" si="64"/>
        <v/>
      </c>
      <c r="H528" s="1447" t="str">
        <f>IF(C528=TRUE,Comments!$B$23,"")</f>
        <v/>
      </c>
      <c r="I528" s="1446" t="str">
        <f>IF(D528=TRUE,Comments!$B$24,"")</f>
        <v/>
      </c>
      <c r="J528" s="1446"/>
      <c r="K528" s="1452"/>
      <c r="N528" s="611" t="str">
        <f>"CPTE # "&amp;Page5_CHV_MCI!$E$8&amp;"  "&amp;Page5_CHV_MCI!$C$8&amp;" - CHIFFRE D'AFFAIRES RÉALISÉ - AAD"</f>
        <v>CPTE # 404A  SPARK - CHIFFRE D'AFFAIRES RÉALISÉ - AAD</v>
      </c>
      <c r="O528" s="611" t="str">
        <f t="shared" si="71"/>
        <v/>
      </c>
      <c r="P528" s="611" t="str">
        <f t="shared" si="65"/>
        <v>Page5_CHV_MCI!L</v>
      </c>
      <c r="Q528" s="611">
        <f t="shared" si="66"/>
        <v>8</v>
      </c>
      <c r="R528" s="1447">
        <f t="shared" ca="1" si="67"/>
        <v>0</v>
      </c>
      <c r="S528" s="1447">
        <f t="shared" ca="1" si="68"/>
        <v>0</v>
      </c>
      <c r="V528" s="2557" t="str">
        <f t="shared" ca="1" si="69"/>
        <v/>
      </c>
      <c r="W528" s="611" t="str">
        <f t="shared" ca="1" si="70"/>
        <v>Page5_CHV_MCI, Ligne 5 [Page5_CHV_MCI!L8]  -</v>
      </c>
    </row>
    <row r="529" spans="1:23">
      <c r="A529" s="1443" t="str">
        <f>celladdr(Page5_CHV_MCI!L9)</f>
        <v>Page5_CHV_MCI!L9</v>
      </c>
      <c r="B529" s="1456" t="s">
        <v>1086</v>
      </c>
      <c r="C529" s="1451" t="b">
        <f>Page5_CHV_MCI!$L$9&lt;0</f>
        <v>0</v>
      </c>
      <c r="D529" s="1454" t="b">
        <f>OR(AND(Page5_CHV_MCI!$L9&lt;&gt;0,Page5_CHV_MCI!$M9=0),AND(Page5_CHV_MCI!$M9&lt;&gt;0,Page5_CHV_MCI!$L9=0))</f>
        <v>0</v>
      </c>
      <c r="E529" s="1454"/>
      <c r="F529" s="1454"/>
      <c r="G529" s="1444" t="str">
        <f t="shared" si="64"/>
        <v/>
      </c>
      <c r="H529" s="1447" t="str">
        <f>IF(C529=TRUE,Comments!$B$23,"")</f>
        <v/>
      </c>
      <c r="I529" s="1446" t="str">
        <f>IF(D529=TRUE,Comments!$B$24,"")</f>
        <v/>
      </c>
      <c r="J529" s="1446"/>
      <c r="K529" s="1452"/>
      <c r="N529" s="611" t="str">
        <f>"CPTE # "&amp;Page5_CHV_MCI!$E$9&amp;"  "&amp;Page5_CHV_MCI!$C$9&amp;" - CHIFFRE D'AFFAIRES RÉALISÉ - AAD"</f>
        <v>CPTE # 405A  CORVETTE - CHIFFRE D'AFFAIRES RÉALISÉ - AAD</v>
      </c>
      <c r="O529" s="611" t="str">
        <f t="shared" si="71"/>
        <v/>
      </c>
      <c r="P529" s="611" t="str">
        <f t="shared" si="65"/>
        <v>Page5_CHV_MCI!L</v>
      </c>
      <c r="Q529" s="611">
        <f t="shared" si="66"/>
        <v>9</v>
      </c>
      <c r="R529" s="1447">
        <f t="shared" ca="1" si="67"/>
        <v>0</v>
      </c>
      <c r="S529" s="1447">
        <f t="shared" ca="1" si="68"/>
        <v>0</v>
      </c>
      <c r="V529" s="2557" t="str">
        <f t="shared" ca="1" si="69"/>
        <v/>
      </c>
      <c r="W529" s="611" t="str">
        <f t="shared" ca="1" si="70"/>
        <v>Page5_CHV_MCI, Ligne 6 [Page5_CHV_MCI!L9]  -</v>
      </c>
    </row>
    <row r="530" spans="1:23">
      <c r="A530" s="1443" t="str">
        <f>celladdr(Page5_CHV_MCI!L10)</f>
        <v>Page5_CHV_MCI!L10</v>
      </c>
      <c r="B530" s="1456" t="s">
        <v>1086</v>
      </c>
      <c r="C530" s="1451" t="b">
        <f>Page5_CHV_MCI!$L$10&lt;0</f>
        <v>0</v>
      </c>
      <c r="D530" s="1454" t="b">
        <f>OR(AND(Page5_CHV_MCI!$L10&lt;&gt;0,Page5_CHV_MCI!$M10=0),AND(Page5_CHV_MCI!$M10&lt;&gt;0,Page5_CHV_MCI!$L10=0))</f>
        <v>0</v>
      </c>
      <c r="E530" s="1454"/>
      <c r="F530" s="1454"/>
      <c r="G530" s="1444" t="str">
        <f t="shared" si="64"/>
        <v/>
      </c>
      <c r="H530" s="1447" t="str">
        <f>IF(C530=TRUE,Comments!$B$23,"")</f>
        <v/>
      </c>
      <c r="I530" s="1446" t="str">
        <f>IF(D530=TRUE,Comments!$B$24,"")</f>
        <v/>
      </c>
      <c r="J530" s="1446"/>
      <c r="K530" s="1452"/>
      <c r="N530" s="611" t="str">
        <f>"CPTE # "&amp;Page5_CHV_MCI!$E$10&amp;"  "&amp;Page5_CHV_MCI!$C$10&amp;" - CHIFFRE D'AFFAIRES RÉALISÉ - AAD"</f>
        <v>CPTE # 406A  CORVETTE E-RAY - CHIFFRE D'AFFAIRES RÉALISÉ - AAD</v>
      </c>
      <c r="O530" s="611" t="str">
        <f t="shared" si="71"/>
        <v/>
      </c>
      <c r="P530" s="611" t="str">
        <f t="shared" si="65"/>
        <v>Page5_CHV_MCI!L</v>
      </c>
      <c r="Q530" s="611">
        <f t="shared" si="66"/>
        <v>10</v>
      </c>
      <c r="R530" s="1447">
        <f t="shared" ca="1" si="67"/>
        <v>0</v>
      </c>
      <c r="S530" s="1447">
        <f t="shared" ca="1" si="68"/>
        <v>0</v>
      </c>
      <c r="V530" s="2557" t="str">
        <f t="shared" ca="1" si="69"/>
        <v/>
      </c>
      <c r="W530" s="611" t="str">
        <f t="shared" ca="1" si="70"/>
        <v>Page5_CHV_MCI, Ligne 7 [Page5_CHV_MCI!L10]  -</v>
      </c>
    </row>
    <row r="531" spans="1:23">
      <c r="A531" s="1443" t="str">
        <f>celladdr(Page5_CHV_MCI!L11)</f>
        <v>Page5_CHV_MCI!L11</v>
      </c>
      <c r="B531" s="1456" t="s">
        <v>1086</v>
      </c>
      <c r="C531" s="1451" t="b">
        <f>Page5_CHV_MCI!$L$11&lt;0</f>
        <v>0</v>
      </c>
      <c r="D531" s="1454" t="b">
        <f>OR(AND(Page5_CHV_MCI!$L11&lt;&gt;0,Page5_CHV_MCI!$M11=0),AND(Page5_CHV_MCI!$M11&lt;&gt;0,Page5_CHV_MCI!$L11=0))</f>
        <v>0</v>
      </c>
      <c r="E531" s="1454"/>
      <c r="F531" s="1454"/>
      <c r="G531" s="1444" t="str">
        <f t="shared" si="64"/>
        <v/>
      </c>
      <c r="H531" s="1447" t="str">
        <f>IF(C531=TRUE,Comments!$B$23,"")</f>
        <v/>
      </c>
      <c r="I531" s="1446" t="str">
        <f>IF(D531=TRUE,Comments!$B$24,"")</f>
        <v/>
      </c>
      <c r="J531" s="1446"/>
      <c r="K531" s="1452"/>
      <c r="N531" s="611" t="str">
        <f>"CPTE # "&amp;Page5_CHV_MCI!$E$11&amp;"  "&amp;Page5_CHV_MCI!$C$11&amp;" - CHIFFRE D'AFFAIRES RÉALISÉ - AAD"</f>
        <v>CPTE # 407A  NE PAS UTILISER - CHIFFRE D'AFFAIRES RÉALISÉ - AAD</v>
      </c>
      <c r="O531" s="611" t="str">
        <f t="shared" si="71"/>
        <v/>
      </c>
      <c r="P531" s="611" t="str">
        <f t="shared" si="65"/>
        <v>Page5_CHV_MCI!L</v>
      </c>
      <c r="Q531" s="611">
        <f t="shared" si="66"/>
        <v>11</v>
      </c>
      <c r="R531" s="1447">
        <f t="shared" ca="1" si="67"/>
        <v>0</v>
      </c>
      <c r="S531" s="1447">
        <f t="shared" ca="1" si="68"/>
        <v>0</v>
      </c>
      <c r="V531" s="2557" t="str">
        <f t="shared" ca="1" si="69"/>
        <v/>
      </c>
      <c r="W531" s="611" t="str">
        <f t="shared" ca="1" si="70"/>
        <v>Page5_CHV_MCI, Ligne 8 [Page5_CHV_MCI!L11]  -</v>
      </c>
    </row>
    <row r="532" spans="1:23">
      <c r="A532" s="1443" t="str">
        <f>celladdr(Page5_CHV_MCI!L12)</f>
        <v>Page5_CHV_MCI!L12</v>
      </c>
      <c r="B532" s="1456" t="s">
        <v>1086</v>
      </c>
      <c r="C532" s="1451" t="b">
        <f>Page5_CHV_MCI!$L$12&lt;0</f>
        <v>0</v>
      </c>
      <c r="D532" s="1454" t="b">
        <f>OR(AND(Page5_CHV_MCI!$L12&lt;&gt;0,Page5_CHV_MCI!$M12=0),AND(Page5_CHV_MCI!$M12&lt;&gt;0,Page5_CHV_MCI!$L12=0))</f>
        <v>0</v>
      </c>
      <c r="E532" s="1454"/>
      <c r="F532" s="1454"/>
      <c r="G532" s="1444" t="str">
        <f t="shared" si="64"/>
        <v/>
      </c>
      <c r="H532" s="1447" t="str">
        <f>IF(C532=TRUE,Comments!$B$23,"")</f>
        <v/>
      </c>
      <c r="I532" s="1446" t="str">
        <f>IF(D532=TRUE,Comments!$B$24,"")</f>
        <v/>
      </c>
      <c r="J532" s="1446"/>
      <c r="K532" s="1452"/>
      <c r="N532" s="611" t="str">
        <f>"CPTE # "&amp;Page5_CHV_MCI!$E$12&amp;"  "&amp;Page5_CHV_MCI!$C$12&amp;" - CHIFFRE D'AFFAIRES RÉALISÉ - AAD"</f>
        <v>CPTE # 408A  NE PAS UTILISER - CHIFFRE D'AFFAIRES RÉALISÉ - AAD</v>
      </c>
      <c r="O532" s="611" t="str">
        <f t="shared" si="71"/>
        <v/>
      </c>
      <c r="P532" s="611" t="str">
        <f t="shared" si="65"/>
        <v>Page5_CHV_MCI!L</v>
      </c>
      <c r="Q532" s="611">
        <f t="shared" si="66"/>
        <v>12</v>
      </c>
      <c r="R532" s="1447">
        <f t="shared" ca="1" si="67"/>
        <v>0</v>
      </c>
      <c r="S532" s="1447">
        <f t="shared" ca="1" si="68"/>
        <v>0</v>
      </c>
      <c r="V532" s="2557" t="str">
        <f t="shared" ca="1" si="69"/>
        <v/>
      </c>
      <c r="W532" s="611" t="str">
        <f t="shared" ca="1" si="70"/>
        <v>Page5_CHV_MCI, Ligne 9 [Page5_CHV_MCI!L12]  -</v>
      </c>
    </row>
    <row r="533" spans="1:23">
      <c r="A533" s="1443" t="str">
        <f>celladdr(Page5_CHV_MCI!L13)</f>
        <v>Page5_CHV_MCI!L13</v>
      </c>
      <c r="B533" s="1456" t="s">
        <v>1086</v>
      </c>
      <c r="C533" s="1451" t="b">
        <f>Page5_CHV_MCI!$L$13&lt;0</f>
        <v>0</v>
      </c>
      <c r="D533" s="1454" t="b">
        <f>OR(AND(Page5_CHV_MCI!$L13&lt;&gt;0,Page5_CHV_MCI!$M13=0),AND(Page5_CHV_MCI!$M13&lt;&gt;0,Page5_CHV_MCI!$L13=0))</f>
        <v>0</v>
      </c>
      <c r="E533" s="1454"/>
      <c r="F533" s="1454"/>
      <c r="G533" s="1444" t="str">
        <f t="shared" si="64"/>
        <v/>
      </c>
      <c r="H533" s="1447" t="str">
        <f>IF(C533=TRUE,Comments!$B$23,"")</f>
        <v/>
      </c>
      <c r="I533" s="1446" t="str">
        <f>IF(D533=TRUE,Comments!$B$24,"")</f>
        <v/>
      </c>
      <c r="J533" s="1446"/>
      <c r="K533" s="1452"/>
      <c r="N533" s="611" t="str">
        <f>"CPTE # "&amp;Page5_CHV_MCI!$E$13&amp;"  "&amp;Page5_CHV_MCI!$C$13&amp;" - CHIFFRE D'AFFAIRES RÉALISÉ - AAD"</f>
        <v>CPTE # 409A  NE PAS UTILISER - CHIFFRE D'AFFAIRES RÉALISÉ - AAD</v>
      </c>
      <c r="O533" s="611" t="str">
        <f t="shared" si="71"/>
        <v/>
      </c>
      <c r="P533" s="611" t="str">
        <f t="shared" si="65"/>
        <v>Page5_CHV_MCI!L</v>
      </c>
      <c r="Q533" s="611">
        <f t="shared" si="66"/>
        <v>13</v>
      </c>
      <c r="R533" s="1447">
        <f t="shared" ca="1" si="67"/>
        <v>0</v>
      </c>
      <c r="S533" s="1447">
        <f t="shared" ca="1" si="68"/>
        <v>0</v>
      </c>
      <c r="V533" s="2557" t="str">
        <f t="shared" ca="1" si="69"/>
        <v/>
      </c>
      <c r="W533" s="611" t="str">
        <f t="shared" ca="1" si="70"/>
        <v>Page5_CHV_MCI, Ligne 10 [Page5_CHV_MCI!L13]  -</v>
      </c>
    </row>
    <row r="534" spans="1:23">
      <c r="A534" s="1443" t="str">
        <f>celladdr(Page5_CHV_MCI!L14)</f>
        <v>Page5_CHV_MCI!L14</v>
      </c>
      <c r="B534" s="1456" t="s">
        <v>1086</v>
      </c>
      <c r="C534" s="1451" t="b">
        <f>Page5_CHV_MCI!$L$14&lt;0</f>
        <v>0</v>
      </c>
      <c r="D534" s="1454" t="b">
        <f>OR(AND(Page5_CHV_MCI!$L14&lt;&gt;0,Page5_CHV_MCI!$M14=0),AND(Page5_CHV_MCI!$M14&lt;&gt;0,Page5_CHV_MCI!$L14=0))</f>
        <v>0</v>
      </c>
      <c r="E534" s="1454"/>
      <c r="F534" s="1454"/>
      <c r="G534" s="1444" t="str">
        <f t="shared" si="64"/>
        <v/>
      </c>
      <c r="H534" s="1447" t="str">
        <f>IF(C534=TRUE,Comments!$B$23,"")</f>
        <v/>
      </c>
      <c r="I534" s="1446" t="str">
        <f>IF(D534=TRUE,Comments!$B$24,"")</f>
        <v/>
      </c>
      <c r="J534" s="1446"/>
      <c r="K534" s="1452"/>
      <c r="N534" s="611" t="str">
        <f>"CPTE # "&amp;Page5_CHV_MCI!$E$14&amp;"  "&amp;Page5_CHV_MCI!$C$14&amp;" - CHIFFRE D'AFFAIRES RÉALISÉ - AAD"</f>
        <v>CPTE # 410A  CAMARO - CHIFFRE D'AFFAIRES RÉALISÉ - AAD</v>
      </c>
      <c r="O534" s="611" t="str">
        <f t="shared" si="71"/>
        <v/>
      </c>
      <c r="P534" s="611" t="str">
        <f t="shared" si="65"/>
        <v>Page5_CHV_MCI!L</v>
      </c>
      <c r="Q534" s="611">
        <f t="shared" si="66"/>
        <v>14</v>
      </c>
      <c r="R534" s="1447">
        <f t="shared" ca="1" si="67"/>
        <v>0</v>
      </c>
      <c r="S534" s="1447">
        <f t="shared" ca="1" si="68"/>
        <v>0</v>
      </c>
      <c r="V534" s="2557" t="str">
        <f t="shared" ca="1" si="69"/>
        <v/>
      </c>
      <c r="W534" s="611" t="str">
        <f t="shared" ca="1" si="70"/>
        <v>Page5_CHV_MCI, Ligne 11 [Page5_CHV_MCI!L14]  -</v>
      </c>
    </row>
    <row r="535" spans="1:23">
      <c r="A535" s="1443" t="str">
        <f>celladdr(Page5_CHV_MCI!L15)</f>
        <v>Page5_CHV_MCI!L15</v>
      </c>
      <c r="B535" s="1456" t="s">
        <v>1086</v>
      </c>
      <c r="C535" s="1451" t="b">
        <f>Page5_CHV_MCI!$L$15&lt;0</f>
        <v>0</v>
      </c>
      <c r="D535" s="1454" t="b">
        <f>OR(AND(Page5_CHV_MCI!$L15&lt;&gt;0,Page5_CHV_MCI!$M15=0),AND(Page5_CHV_MCI!$M15&lt;&gt;0,Page5_CHV_MCI!$L15=0))</f>
        <v>0</v>
      </c>
      <c r="E535" s="1454"/>
      <c r="F535" s="1454"/>
      <c r="G535" s="1444" t="str">
        <f t="shared" si="64"/>
        <v/>
      </c>
      <c r="H535" s="1447" t="str">
        <f>IF(C535=TRUE,Comments!$B$23,"")</f>
        <v/>
      </c>
      <c r="I535" s="1446" t="str">
        <f>IF(D535=TRUE,Comments!$B$24,"")</f>
        <v/>
      </c>
      <c r="J535" s="1446"/>
      <c r="K535" s="1452"/>
      <c r="N535" s="611" t="str">
        <f>"CPTE # "&amp;Page5_CHV_MCI!$E$15&amp;"  "&amp;Page5_CHV_MCI!$C$15&amp;" - CHIFFRE D'AFFAIRES RÉALISÉ - AAD"</f>
        <v>CPTE # 411A  CRUZE - CHIFFRE D'AFFAIRES RÉALISÉ - AAD</v>
      </c>
      <c r="O535" s="611" t="str">
        <f t="shared" si="71"/>
        <v/>
      </c>
      <c r="P535" s="611" t="str">
        <f t="shared" si="65"/>
        <v>Page5_CHV_MCI!L</v>
      </c>
      <c r="Q535" s="611">
        <f t="shared" si="66"/>
        <v>15</v>
      </c>
      <c r="R535" s="1447">
        <f t="shared" ca="1" si="67"/>
        <v>0</v>
      </c>
      <c r="S535" s="1447">
        <f t="shared" ca="1" si="68"/>
        <v>0</v>
      </c>
      <c r="V535" s="2557" t="str">
        <f t="shared" ca="1" si="69"/>
        <v/>
      </c>
      <c r="W535" s="611" t="str">
        <f t="shared" ca="1" si="70"/>
        <v>Page5_CHV_MCI, Ligne 12 [Page5_CHV_MCI!L15]  -</v>
      </c>
    </row>
    <row r="536" spans="1:23">
      <c r="A536" s="1443" t="str">
        <f>celladdr(Page5_CHV_MCI!L16)</f>
        <v>Page5_CHV_MCI!L16</v>
      </c>
      <c r="B536" s="1456" t="s">
        <v>1086</v>
      </c>
      <c r="C536" s="1451" t="b">
        <f>Page5_CHV_MCI!$L$16&lt;0</f>
        <v>0</v>
      </c>
      <c r="D536" s="1454" t="b">
        <f>OR(AND(Page5_CHV_MCI!$L16&lt;&gt;0,Page5_CHV_MCI!$M16=0),AND(Page5_CHV_MCI!$M16&lt;&gt;0,Page5_CHV_MCI!$L16=0))</f>
        <v>0</v>
      </c>
      <c r="E536" s="1454"/>
      <c r="F536" s="1454"/>
      <c r="G536" s="1444" t="str">
        <f t="shared" si="64"/>
        <v/>
      </c>
      <c r="H536" s="1447" t="str">
        <f>IF(C536=TRUE,Comments!$B$23,"")</f>
        <v/>
      </c>
      <c r="I536" s="1446" t="str">
        <f>IF(D536=TRUE,Comments!$B$24,"")</f>
        <v/>
      </c>
      <c r="J536" s="1446"/>
      <c r="K536" s="1452"/>
      <c r="N536" s="611" t="str">
        <f>"CPTE # "&amp;Page5_CHV_MCI!$E$16&amp;"  "&amp;Page5_CHV_MCI!$C$16&amp;" - CHIFFRE D'AFFAIRES RÉALISÉ - AAD"</f>
        <v>CPTE # 412A  NE PAS UTILISER - CHIFFRE D'AFFAIRES RÉALISÉ - AAD</v>
      </c>
      <c r="O536" s="611" t="str">
        <f t="shared" si="71"/>
        <v/>
      </c>
      <c r="P536" s="611" t="str">
        <f t="shared" si="65"/>
        <v>Page5_CHV_MCI!L</v>
      </c>
      <c r="Q536" s="611">
        <f t="shared" si="66"/>
        <v>16</v>
      </c>
      <c r="R536" s="1447">
        <f t="shared" ca="1" si="67"/>
        <v>0</v>
      </c>
      <c r="S536" s="1447">
        <f t="shared" ca="1" si="68"/>
        <v>0</v>
      </c>
      <c r="V536" s="2557" t="str">
        <f t="shared" ca="1" si="69"/>
        <v/>
      </c>
      <c r="W536" s="611" t="str">
        <f t="shared" ca="1" si="70"/>
        <v>Page5_CHV_MCI, Ligne 13 [Page5_CHV_MCI!L16]  -</v>
      </c>
    </row>
    <row r="537" spans="1:23">
      <c r="A537" s="1443" t="str">
        <f>celladdr(Page5_CHV_MCI!L17)</f>
        <v>Page5_CHV_MCI!L17</v>
      </c>
      <c r="B537" s="1456" t="s">
        <v>1086</v>
      </c>
      <c r="C537" s="1451" t="b">
        <f>Page5_CHV_MCI!$L$17&lt;0</f>
        <v>0</v>
      </c>
      <c r="D537" s="1454" t="b">
        <f>OR(AND(Page5_CHV_MCI!$L17&lt;&gt;0,Page5_CHV_MCI!$M17=0),AND(Page5_CHV_MCI!$M17&lt;&gt;0,Page5_CHV_MCI!$L17=0))</f>
        <v>0</v>
      </c>
      <c r="E537" s="1454"/>
      <c r="F537" s="1454"/>
      <c r="G537" s="1444" t="str">
        <f t="shared" si="64"/>
        <v/>
      </c>
      <c r="H537" s="1447" t="str">
        <f>IF(C537=TRUE,Comments!$B$23,"")</f>
        <v/>
      </c>
      <c r="I537" s="1446" t="str">
        <f>IF(D537=TRUE,Comments!$B$24,"")</f>
        <v/>
      </c>
      <c r="J537" s="1446"/>
      <c r="K537" s="1452"/>
      <c r="N537" s="611" t="str">
        <f>"CPTE # "&amp;Page5_CHV_MCI!$E$17&amp;"  "&amp;Page5_CHV_MCI!$C$17&amp;" - CHIFFRE D'AFFAIRES RÉALISÉ - AAD"</f>
        <v>CPTE # 413A  NE PAS UTILISER - CHIFFRE D'AFFAIRES RÉALISÉ - AAD</v>
      </c>
      <c r="O537" s="611" t="str">
        <f t="shared" si="71"/>
        <v/>
      </c>
      <c r="P537" s="611" t="str">
        <f t="shared" si="65"/>
        <v>Page5_CHV_MCI!L</v>
      </c>
      <c r="Q537" s="611">
        <f t="shared" si="66"/>
        <v>17</v>
      </c>
      <c r="R537" s="1447">
        <f t="shared" ca="1" si="67"/>
        <v>0</v>
      </c>
      <c r="S537" s="1447">
        <f t="shared" ca="1" si="68"/>
        <v>0</v>
      </c>
      <c r="V537" s="2557" t="str">
        <f t="shared" ca="1" si="69"/>
        <v/>
      </c>
      <c r="W537" s="611" t="str">
        <f t="shared" ca="1" si="70"/>
        <v>Page5_CHV_MCI, Ligne 14 [Page5_CHV_MCI!L17]  -</v>
      </c>
    </row>
    <row r="538" spans="1:23">
      <c r="A538" s="1443" t="str">
        <f>celladdr(Page5_CHV_MCI!L18)</f>
        <v>Page5_CHV_MCI!L18</v>
      </c>
      <c r="B538" s="1456" t="s">
        <v>1086</v>
      </c>
      <c r="C538" s="1451" t="b">
        <f>Page5_CHV_MCI!$L$18&lt;0</f>
        <v>0</v>
      </c>
      <c r="D538" s="1454" t="b">
        <f>OR(AND(Page5_CHV_MCI!$L18&lt;&gt;0,Page5_CHV_MCI!$M18=0),AND(Page5_CHV_MCI!$M18&lt;&gt;0,Page5_CHV_MCI!$L18=0))</f>
        <v>0</v>
      </c>
      <c r="E538" s="1454"/>
      <c r="F538" s="1454"/>
      <c r="G538" s="1444" t="str">
        <f t="shared" si="64"/>
        <v/>
      </c>
      <c r="H538" s="1447" t="str">
        <f>IF(C538=TRUE,Comments!$B$23,"")</f>
        <v/>
      </c>
      <c r="I538" s="1446" t="str">
        <f>IF(D538=TRUE,Comments!$B$24,"")</f>
        <v/>
      </c>
      <c r="J538" s="1446"/>
      <c r="K538" s="1452"/>
      <c r="N538" s="611" t="str">
        <f>"CPTE # "&amp;Page5_CHV_MCI!$E$18&amp;"  "&amp;Page5_CHV_MCI!$C$18&amp;" - CHIFFRE D'AFFAIRES RÉALISÉ - AAD"</f>
        <v>CPTE # 414A  NE PAS UTILISER - CHIFFRE D'AFFAIRES RÉALISÉ - AAD</v>
      </c>
      <c r="O538" s="611" t="str">
        <f t="shared" si="71"/>
        <v/>
      </c>
      <c r="P538" s="611" t="str">
        <f t="shared" si="65"/>
        <v>Page5_CHV_MCI!L</v>
      </c>
      <c r="Q538" s="611">
        <f t="shared" si="66"/>
        <v>18</v>
      </c>
      <c r="R538" s="1447">
        <f t="shared" ca="1" si="67"/>
        <v>0</v>
      </c>
      <c r="S538" s="1447">
        <f t="shared" ca="1" si="68"/>
        <v>0</v>
      </c>
      <c r="V538" s="2557" t="str">
        <f t="shared" ca="1" si="69"/>
        <v/>
      </c>
      <c r="W538" s="611" t="str">
        <f t="shared" ca="1" si="70"/>
        <v>Page5_CHV_MCI, Ligne 15 [Page5_CHV_MCI!L18]  -</v>
      </c>
    </row>
    <row r="539" spans="1:23">
      <c r="A539" s="1443" t="str">
        <f>celladdr(Page5_CHV_MCI!L19)</f>
        <v>Page5_CHV_MCI!L19</v>
      </c>
      <c r="B539" s="1456" t="s">
        <v>1086</v>
      </c>
      <c r="C539" s="1451" t="b">
        <f>Page5_CHV_MCI!$L$19&lt;0</f>
        <v>0</v>
      </c>
      <c r="D539" s="1454" t="b">
        <f>OR(AND(Page5_CHV_MCI!$L19&lt;&gt;0,Page5_CHV_MCI!$M19=0),AND(Page5_CHV_MCI!$M19&lt;&gt;0,Page5_CHV_MCI!$L19=0))</f>
        <v>0</v>
      </c>
      <c r="E539" s="1454"/>
      <c r="F539" s="1454"/>
      <c r="G539" s="1444" t="str">
        <f t="shared" si="64"/>
        <v/>
      </c>
      <c r="H539" s="1447" t="str">
        <f>IF(C539=TRUE,Comments!$B$23,"")</f>
        <v/>
      </c>
      <c r="I539" s="1446" t="str">
        <f>IF(D539=TRUE,Comments!$B$24,"")</f>
        <v/>
      </c>
      <c r="J539" s="1446"/>
      <c r="K539" s="1452"/>
      <c r="N539" s="611" t="str">
        <f>"CPTE # "&amp;Page5_CHV_MCI!$E$19&amp;"  "&amp;Page5_CHV_MCI!$C$19&amp;" - CHIFFRE D'AFFAIRES RÉALISÉ - AAD"</f>
        <v>CPTE # 415A  NE PAS UTILISER - CHIFFRE D'AFFAIRES RÉALISÉ - AAD</v>
      </c>
      <c r="O539" s="611" t="str">
        <f t="shared" si="71"/>
        <v/>
      </c>
      <c r="P539" s="611" t="str">
        <f t="shared" si="65"/>
        <v>Page5_CHV_MCI!L</v>
      </c>
      <c r="Q539" s="611">
        <f t="shared" si="66"/>
        <v>19</v>
      </c>
      <c r="R539" s="1447">
        <f t="shared" ca="1" si="67"/>
        <v>0</v>
      </c>
      <c r="S539" s="1447">
        <f t="shared" ca="1" si="68"/>
        <v>0</v>
      </c>
      <c r="V539" s="2557" t="str">
        <f t="shared" ca="1" si="69"/>
        <v/>
      </c>
      <c r="W539" s="611" t="str">
        <f t="shared" ca="1" si="70"/>
        <v>Page5_CHV_MCI, Ligne 16 [Page5_CHV_MCI!L19]  -</v>
      </c>
    </row>
    <row r="540" spans="1:23">
      <c r="A540" s="1443" t="str">
        <f>celladdr(Page5_CHV_MCI!L20)</f>
        <v>Page5_CHV_MCI!L20</v>
      </c>
      <c r="B540" s="1456" t="s">
        <v>1086</v>
      </c>
      <c r="C540" s="1451" t="b">
        <f>Page5_CHV_MCI!$L$20&lt;0</f>
        <v>0</v>
      </c>
      <c r="D540" s="1454"/>
      <c r="E540" s="1454"/>
      <c r="F540" s="1454"/>
      <c r="G540" s="1444" t="str">
        <f t="shared" si="64"/>
        <v/>
      </c>
      <c r="H540" s="1447" t="str">
        <f>IF(C540=TRUE,Comments!$B$23,"")</f>
        <v/>
      </c>
      <c r="I540" s="1446"/>
      <c r="J540" s="1446"/>
      <c r="K540" s="1452"/>
      <c r="N540" s="611" t="str">
        <f>"CPTE # "&amp;Page5_CHV_MCI!$E$20&amp;"  "&amp;Page5_CHV_MCI!$C$20&amp;" - CHIFFRE D'AFFAIRES RÉALISÉ - AAD"</f>
        <v>CPTE # 416A  POUR USAGE FUTUR - CHIFFRE D'AFFAIRES RÉALISÉ - AAD</v>
      </c>
      <c r="O540" s="611" t="str">
        <f t="shared" si="71"/>
        <v/>
      </c>
      <c r="P540" s="611" t="str">
        <f t="shared" si="65"/>
        <v>Page5_CHV_MCI!L</v>
      </c>
      <c r="Q540" s="611">
        <f t="shared" si="66"/>
        <v>20</v>
      </c>
      <c r="R540" s="1447">
        <f t="shared" ca="1" si="67"/>
        <v>0</v>
      </c>
      <c r="S540" s="1447">
        <f t="shared" ca="1" si="68"/>
        <v>0</v>
      </c>
      <c r="V540" s="2557" t="str">
        <f t="shared" ca="1" si="69"/>
        <v/>
      </c>
      <c r="W540" s="611" t="str">
        <f t="shared" ca="1" si="70"/>
        <v>Page5_CHV_MCI, Ligne 17 [Page5_CHV_MCI!L20]  -</v>
      </c>
    </row>
    <row r="541" spans="1:23">
      <c r="A541" s="1443" t="str">
        <f>celladdr(Page5_CHV_MCI!L21)</f>
        <v>Page5_CHV_MCI!L21</v>
      </c>
      <c r="B541" s="1456" t="s">
        <v>1086</v>
      </c>
      <c r="C541" s="1451" t="b">
        <f>Page5_CHV_MCI!$L$21&lt;0</f>
        <v>0</v>
      </c>
      <c r="D541" s="1454" t="b">
        <f>OR(AND(Page5_CHV_MCI!$L21&lt;&gt;0,Page5_CHV_MCI!$M21=0),AND(Page5_CHV_MCI!$M21&lt;&gt;0,Page5_CHV_MCI!$L21=0))</f>
        <v>0</v>
      </c>
      <c r="E541" s="1454"/>
      <c r="F541" s="1454"/>
      <c r="G541" s="1444" t="str">
        <f t="shared" si="64"/>
        <v/>
      </c>
      <c r="H541" s="1447" t="str">
        <f>IF(C541=TRUE,Comments!$B$23,"")</f>
        <v/>
      </c>
      <c r="I541" s="1446" t="str">
        <f>IF(D541=TRUE,Comments!$B$24,"")</f>
        <v/>
      </c>
      <c r="J541" s="1446"/>
      <c r="K541" s="1452"/>
      <c r="N541" s="611" t="str">
        <f>"CPTE # "&amp;Page5_CHV_MCI!$E$21&amp;"  "&amp;Page5_CHV_MCI!$C$21&amp;" - CHIFFRE D'AFFAIRES RÉALISÉ - AAD"</f>
        <v>CPTE # 417A  NE PAS UTILISER - CHIFFRE D'AFFAIRES RÉALISÉ - AAD</v>
      </c>
      <c r="O541" s="611" t="str">
        <f t="shared" si="71"/>
        <v/>
      </c>
      <c r="P541" s="611" t="str">
        <f t="shared" si="65"/>
        <v>Page5_CHV_MCI!L</v>
      </c>
      <c r="Q541" s="611">
        <f t="shared" si="66"/>
        <v>21</v>
      </c>
      <c r="R541" s="1447">
        <f t="shared" ca="1" si="67"/>
        <v>0</v>
      </c>
      <c r="S541" s="1447">
        <f t="shared" ca="1" si="68"/>
        <v>0</v>
      </c>
      <c r="V541" s="2557" t="str">
        <f t="shared" ca="1" si="69"/>
        <v/>
      </c>
      <c r="W541" s="611" t="str">
        <f t="shared" ca="1" si="70"/>
        <v>Page5_CHV_MCI, Ligne 18 [Page5_CHV_MCI!L21]  -</v>
      </c>
    </row>
    <row r="542" spans="1:23">
      <c r="A542" s="1443" t="str">
        <f>celladdr(Page5_CHV_MCI!L22)</f>
        <v>Page5_CHV_MCI!L22</v>
      </c>
      <c r="B542" s="1456" t="s">
        <v>1086</v>
      </c>
      <c r="C542" s="1451" t="b">
        <f>Page5_CHV_MCI!$L$22&lt;0</f>
        <v>0</v>
      </c>
      <c r="D542" s="1454" t="b">
        <f>OR(AND(Page5_CHV_MCI!$L22&lt;&gt;0,Page5_CHV_MCI!$M22=0),AND(Page5_CHV_MCI!$M22&lt;&gt;0,Page5_CHV_MCI!$L22=0))</f>
        <v>0</v>
      </c>
      <c r="E542" s="1454"/>
      <c r="F542" s="1454"/>
      <c r="G542" s="1444" t="str">
        <f t="shared" si="64"/>
        <v/>
      </c>
      <c r="H542" s="1447" t="str">
        <f>IF(C542=TRUE,Comments!$B$23,"")</f>
        <v/>
      </c>
      <c r="I542" s="1446" t="str">
        <f>IF(D542=TRUE,Comments!$B$24,"")</f>
        <v/>
      </c>
      <c r="J542" s="1446"/>
      <c r="K542" s="1452"/>
      <c r="N542" s="611" t="str">
        <f>"CPTE # "&amp;Page5_CHV_MCI!$E$22&amp;"  "&amp;Page5_CHV_MCI!$C$22&amp;" - CHIFFRE D'AFFAIRES RÉALISÉ - AAD"</f>
        <v>CPTE # 418A  AUTRES CHEVROLET - CHIFFRE D'AFFAIRES RÉALISÉ - AAD</v>
      </c>
      <c r="O542" s="611" t="str">
        <f t="shared" si="71"/>
        <v/>
      </c>
      <c r="P542" s="611" t="str">
        <f t="shared" si="65"/>
        <v>Page5_CHV_MCI!L</v>
      </c>
      <c r="Q542" s="611">
        <f t="shared" si="66"/>
        <v>22</v>
      </c>
      <c r="R542" s="1447">
        <f t="shared" ca="1" si="67"/>
        <v>0</v>
      </c>
      <c r="S542" s="1447">
        <f t="shared" ca="1" si="68"/>
        <v>0</v>
      </c>
      <c r="V542" s="2557" t="str">
        <f t="shared" ca="1" si="69"/>
        <v/>
      </c>
      <c r="W542" s="611" t="str">
        <f t="shared" ca="1" si="70"/>
        <v>Page5_CHV_MCI, Ligne 19 [Page5_CHV_MCI!L22]  -</v>
      </c>
    </row>
    <row r="543" spans="1:23">
      <c r="A543" s="1443" t="str">
        <f>celladdr(Page5_CHV_MCI!L23)</f>
        <v>Page5_CHV_MCI!L23</v>
      </c>
      <c r="B543" s="1444" t="s">
        <v>1086</v>
      </c>
      <c r="C543" s="1451"/>
      <c r="D543" s="1454"/>
      <c r="E543" s="1454"/>
      <c r="F543" s="1454"/>
      <c r="G543" s="1444" t="str">
        <f t="shared" si="64"/>
        <v/>
      </c>
      <c r="H543" s="1447" t="str">
        <f>IF(C543=TRUE,Comments!$B$26,"")</f>
        <v/>
      </c>
      <c r="I543" s="1446" t="str">
        <f>IF(D543=TRUE,Comments!$B$24,"")</f>
        <v/>
      </c>
      <c r="J543" s="1446"/>
      <c r="K543" s="1452"/>
      <c r="O543" s="611" t="str">
        <f t="shared" si="71"/>
        <v/>
      </c>
      <c r="P543" s="611" t="str">
        <f t="shared" si="65"/>
        <v>Page5_CHV_MCI!L</v>
      </c>
      <c r="Q543" s="611">
        <f t="shared" si="66"/>
        <v>23</v>
      </c>
      <c r="R543" s="1447">
        <f t="shared" ca="1" si="67"/>
        <v>0</v>
      </c>
      <c r="S543" s="1447">
        <f t="shared" ca="1" si="68"/>
        <v>0</v>
      </c>
      <c r="V543" s="2557" t="str">
        <f t="shared" ca="1" si="69"/>
        <v/>
      </c>
      <c r="W543" s="611" t="str">
        <f t="shared" ca="1" si="70"/>
        <v>Page5_CHV_MCI, Ligne 20 [Page5_CHV_MCI!L23]  -</v>
      </c>
    </row>
    <row r="544" spans="1:23">
      <c r="A544" s="1443" t="str">
        <f>celladdr(Page5_CHV_MCI!L24)</f>
        <v>Page5_CHV_MCI!L24</v>
      </c>
      <c r="B544" s="1456" t="s">
        <v>1086</v>
      </c>
      <c r="C544" s="1451" t="b">
        <f>Page5_CHV_MCI!$L$24&lt;0</f>
        <v>0</v>
      </c>
      <c r="D544" s="1454" t="b">
        <f>OR(AND(Page5_CHV_MCI!$L24&lt;&gt;0,Page5_CHV_MCI!$M24=0),AND(Page5_CHV_MCI!$M24&lt;&gt;0,Page5_CHV_MCI!$L24=0))</f>
        <v>0</v>
      </c>
      <c r="E544" s="1454"/>
      <c r="F544" s="1454"/>
      <c r="G544" s="1444" t="str">
        <f t="shared" si="64"/>
        <v/>
      </c>
      <c r="H544" s="1447" t="str">
        <f>IF(C544=TRUE,Comments!$B$23,"")</f>
        <v/>
      </c>
      <c r="I544" s="1446" t="str">
        <f>IF(D544=TRUE,Comments!$B$24,"")</f>
        <v/>
      </c>
      <c r="J544" s="1446"/>
      <c r="K544" s="1452"/>
      <c r="N544" s="611" t="str">
        <f>"CPTE # "&amp;Page5_CHV_MCI!$E$24&amp;"  "&amp;Page5_CHV_MCI!$C$24&amp;" - CHIFFRE D'AFFAIRES RÉALISÉ - AAD"</f>
        <v>CPTE # 419A  MÉMO* VENTES INTERNET VOITURES - CHIFFRE D'AFFAIRES RÉALISÉ - AAD</v>
      </c>
      <c r="O544" s="611" t="str">
        <f t="shared" si="71"/>
        <v/>
      </c>
      <c r="P544" s="611" t="str">
        <f t="shared" si="65"/>
        <v>Page5_CHV_MCI!L</v>
      </c>
      <c r="Q544" s="611">
        <f t="shared" si="66"/>
        <v>24</v>
      </c>
      <c r="R544" s="1447">
        <f t="shared" ca="1" si="67"/>
        <v>0</v>
      </c>
      <c r="S544" s="1447">
        <f t="shared" ca="1" si="68"/>
        <v>0</v>
      </c>
      <c r="V544" s="2557" t="str">
        <f t="shared" ca="1" si="69"/>
        <v/>
      </c>
      <c r="W544" s="611" t="str">
        <f t="shared" ca="1" si="70"/>
        <v>Page5_CHV_MCI, Ligne 21 [Page5_CHV_MCI!L24]  -</v>
      </c>
    </row>
    <row r="545" spans="1:23">
      <c r="A545" s="1443" t="str">
        <f>celladdr(Page5_CHV_MCI!L25)</f>
        <v>Page5_CHV_MCI!L25</v>
      </c>
      <c r="B545" s="1456" t="s">
        <v>1086</v>
      </c>
      <c r="C545" s="1451" t="b">
        <f>Page5_CHV_MCI!$L$25&lt;0</f>
        <v>0</v>
      </c>
      <c r="D545" s="1454" t="b">
        <f>OR(AND(Page5_CHV_MCI!$L25&lt;&gt;0,Page5_CHV_MCI!$M25=0),AND(Page5_CHV_MCI!$M25&lt;&gt;0,Page5_CHV_MCI!$L25=0))</f>
        <v>0</v>
      </c>
      <c r="E545" s="1454" t="b">
        <f>ROUND(Page5_CHV_MCI!L25,2)&lt;&gt;ROUND(Page5_PARCS_GOUV!L4+Page5_PARCS_GOUV!L40,2)</f>
        <v>0</v>
      </c>
      <c r="F545" s="1454"/>
      <c r="G545" s="1444" t="str">
        <f t="shared" si="64"/>
        <v/>
      </c>
      <c r="H545" s="1447" t="str">
        <f>IF(C545=TRUE,Comments!$B$23,"")</f>
        <v/>
      </c>
      <c r="I545" s="1446" t="str">
        <f>IF(D545=TRUE,Comments!$B$24,"")</f>
        <v/>
      </c>
      <c r="J545" s="1446" t="str">
        <f>IF(E545=TRUE, Comments!$B$98,"")</f>
        <v/>
      </c>
      <c r="K545" s="1452"/>
      <c r="N545" s="611" t="str">
        <f>"CPTE # "&amp;Page5_CHV_MCI!$E$25&amp;"  "&amp;Page5_CHV_MCI!$C$25&amp;" - CHIFFRE D'AFFAIRES RÉALISÉ - AAD"</f>
        <v>CPTE # DE PG PARCS  TOTAL PARCS - VOITURES - CHIFFRE D'AFFAIRES RÉALISÉ - AAD</v>
      </c>
      <c r="O545" s="611" t="str">
        <f t="shared" si="71"/>
        <v/>
      </c>
      <c r="P545" s="611" t="str">
        <f t="shared" si="65"/>
        <v>Page5_CHV_MCI!L</v>
      </c>
      <c r="Q545" s="611">
        <f t="shared" si="66"/>
        <v>25</v>
      </c>
      <c r="R545" s="1447">
        <f t="shared" ca="1" si="67"/>
        <v>0</v>
      </c>
      <c r="S545" s="1447">
        <f t="shared" ca="1" si="68"/>
        <v>0</v>
      </c>
      <c r="T545" s="611">
        <v>98</v>
      </c>
      <c r="V545" s="2557" t="str">
        <f t="shared" ca="1" si="69"/>
        <v/>
      </c>
      <c r="W545" s="611" t="str">
        <f t="shared" ca="1" si="70"/>
        <v>Page5_CHV_MCI, Ligne 22 [Page5_CHV_MCI!L25]  -</v>
      </c>
    </row>
    <row r="546" spans="1:23">
      <c r="A546" s="1443" t="str">
        <f>celladdr(Page5_CHV_MCI!N25)</f>
        <v>Page5_CHV_MCI!N25</v>
      </c>
      <c r="B546" s="1456" t="s">
        <v>1086</v>
      </c>
      <c r="C546" s="1451"/>
      <c r="D546" s="1454"/>
      <c r="E546" s="1454" t="b">
        <f>ROUND(Page5_CHV_MCI!N25,2)&lt;&gt; ROUND(Page5_PARCS_GOUV!N4+Page5_PARCS_GOUV!N40,2)</f>
        <v>0</v>
      </c>
      <c r="F546" s="1454"/>
      <c r="G546" s="1444" t="str">
        <f t="shared" si="64"/>
        <v/>
      </c>
      <c r="I546" s="1446"/>
      <c r="J546" s="1446" t="str">
        <f>IF(E546=TRUE, Comments!$B$99,"")</f>
        <v/>
      </c>
      <c r="K546" s="1452"/>
      <c r="N546" s="611" t="str">
        <f>"CPTE # "&amp;Page5_CHV_MCI!$E$25&amp;"  "&amp;Page5_CHV_MCI!$C$25&amp;" - PROFIT BRUT - AAD"</f>
        <v>CPTE # DE PG PARCS  TOTAL PARCS - VOITURES - PROFIT BRUT - AAD</v>
      </c>
      <c r="P546" s="611" t="str">
        <f t="shared" si="65"/>
        <v>Page5_CHV_MCI!N</v>
      </c>
      <c r="Q546" s="611">
        <f t="shared" si="66"/>
        <v>25</v>
      </c>
      <c r="R546" s="1447">
        <f t="shared" ca="1" si="67"/>
        <v>0</v>
      </c>
      <c r="S546" s="1447">
        <f t="shared" ca="1" si="68"/>
        <v>0</v>
      </c>
      <c r="T546" s="611">
        <v>99</v>
      </c>
      <c r="V546" s="2557" t="str">
        <f t="shared" ca="1" si="69"/>
        <v/>
      </c>
      <c r="W546" s="611" t="str">
        <f t="shared" ca="1" si="70"/>
        <v>Page5_CHV_MCI, Ligne 22 [Page5_CHV_MCI!N25]  -</v>
      </c>
    </row>
    <row r="547" spans="1:23">
      <c r="A547" s="1443" t="str">
        <f>celladdr(Page5_CHV_MCI!L26)</f>
        <v>Page5_CHV_MCI!L26</v>
      </c>
      <c r="B547" s="1456" t="s">
        <v>1086</v>
      </c>
      <c r="C547" s="1451" t="b">
        <f>Page5_CHV_MCI!$L$26&lt;0</f>
        <v>0</v>
      </c>
      <c r="D547" s="1454" t="b">
        <f>OR(AND(Page5_CHV_MCI!$L26&lt;&gt;0,Page5_CHV_MCI!$M26=0),AND(Page5_CHV_MCI!$M26&lt;&gt;0,Page5_CHV_MCI!$L26=0))</f>
        <v>0</v>
      </c>
      <c r="E547" s="1454"/>
      <c r="F547" s="1454"/>
      <c r="G547" s="1444" t="str">
        <f t="shared" si="64"/>
        <v/>
      </c>
      <c r="H547" s="1447" t="str">
        <f>IF(C547=TRUE,Comments!$B$23,"")</f>
        <v/>
      </c>
      <c r="I547" s="1446" t="str">
        <f>IF(D547=TRUE,Comments!$B$24,"")</f>
        <v/>
      </c>
      <c r="J547" s="1446"/>
      <c r="K547" s="1452"/>
      <c r="N547" s="611" t="str">
        <f>"CPTE # "&amp;Page5_CHV_MCI!$E$26&amp;"  "&amp;Page5_CHV_MCI!$C$26&amp;" - CHIFFRE D'AFFAIRES RÉALISÉ - AAD"</f>
        <v>CPTE # 421A  TOTAL INTERNE - VOITURES - CHIFFRE D'AFFAIRES RÉALISÉ - AAD</v>
      </c>
      <c r="O547" s="611" t="str">
        <f>IF(A547=A545,"TRUE","")</f>
        <v/>
      </c>
      <c r="P547" s="611" t="str">
        <f t="shared" si="65"/>
        <v>Page5_CHV_MCI!L</v>
      </c>
      <c r="Q547" s="611">
        <f t="shared" si="66"/>
        <v>26</v>
      </c>
      <c r="R547" s="1447">
        <f t="shared" ca="1" si="67"/>
        <v>0</v>
      </c>
      <c r="S547" s="1447">
        <f t="shared" ca="1" si="68"/>
        <v>0</v>
      </c>
      <c r="V547" s="2557" t="str">
        <f t="shared" ca="1" si="69"/>
        <v/>
      </c>
      <c r="W547" s="611" t="str">
        <f t="shared" ca="1" si="70"/>
        <v>Page5_CHV_MCI, Ligne 23 [Page5_CHV_MCI!L26]  -</v>
      </c>
    </row>
    <row r="548" spans="1:23">
      <c r="A548" s="1443" t="str">
        <f>celladdr(Page5_CHV_MCI!L27)</f>
        <v>Page5_CHV_MCI!L27</v>
      </c>
      <c r="B548" s="1444" t="s">
        <v>1086</v>
      </c>
      <c r="C548" s="1451"/>
      <c r="D548" s="1454"/>
      <c r="E548" s="1454"/>
      <c r="F548" s="1454"/>
      <c r="G548" s="1444" t="str">
        <f t="shared" si="64"/>
        <v/>
      </c>
      <c r="H548" s="1447" t="str">
        <f>IF(C548=TRUE,Comments!$B$26,"")</f>
        <v/>
      </c>
      <c r="I548" s="1446" t="str">
        <f>IF(D548=TRUE,Comments!$B$24,"")</f>
        <v/>
      </c>
      <c r="J548" s="1446"/>
      <c r="K548" s="1452"/>
      <c r="O548" s="611" t="str">
        <f t="shared" ref="O548:O568" si="72">IF(A548=A547,"TRUE","")</f>
        <v/>
      </c>
      <c r="P548" s="611" t="str">
        <f t="shared" si="65"/>
        <v>Page5_CHV_MCI!L</v>
      </c>
      <c r="Q548" s="611">
        <f t="shared" si="66"/>
        <v>27</v>
      </c>
      <c r="R548" s="1447">
        <f t="shared" ca="1" si="67"/>
        <v>0</v>
      </c>
      <c r="S548" s="1447">
        <f t="shared" ca="1" si="68"/>
        <v>0</v>
      </c>
      <c r="V548" s="2557" t="str">
        <f t="shared" ca="1" si="69"/>
        <v/>
      </c>
      <c r="W548" s="611" t="str">
        <f t="shared" ca="1" si="70"/>
        <v>Page5_CHV_MCI, Ligne 24 [Page5_CHV_MCI!L27]  -</v>
      </c>
    </row>
    <row r="549" spans="1:23">
      <c r="A549" s="1443" t="str">
        <f>celladdr(Page5_CHV_MCI!L28)</f>
        <v>Page5_CHV_MCI!L28</v>
      </c>
      <c r="B549" s="1456" t="s">
        <v>1086</v>
      </c>
      <c r="C549" s="1451" t="b">
        <f>Page5_CHV_MCI!$L$28&lt;0</f>
        <v>0</v>
      </c>
      <c r="D549" s="1454" t="b">
        <f>OR(AND(Page5_CHV_MCI!$L28&lt;&gt;0,Page5_CHV_MCI!$M28=0),AND(Page5_CHV_MCI!$M28&lt;&gt;0,Page5_CHV_MCI!$L28=0))</f>
        <v>0</v>
      </c>
      <c r="E549" s="1454"/>
      <c r="F549" s="1454"/>
      <c r="G549" s="1444" t="str">
        <f t="shared" si="64"/>
        <v/>
      </c>
      <c r="H549" s="1447" t="str">
        <f>IF(C549=TRUE,Comments!$B$23,"")</f>
        <v/>
      </c>
      <c r="I549" s="1446" t="str">
        <f>IF(D549=TRUE,Comments!$B$24,"")</f>
        <v/>
      </c>
      <c r="J549" s="1446"/>
      <c r="K549" s="1452"/>
      <c r="N549" s="611" t="str">
        <f>"CPTE # "&amp;Page5_CHV_MCI!$E$28&amp;"  "&amp;Page5_CHV_MCI!$C$28&amp;" - CHIFFRE D'AFFAIRES RÉALISÉ - AAD"</f>
        <v>CPTE # 423A  NE PAS UTILISER - CHIFFRE D'AFFAIRES RÉALISÉ - AAD</v>
      </c>
      <c r="O549" s="611" t="str">
        <f t="shared" si="72"/>
        <v/>
      </c>
      <c r="P549" s="611" t="str">
        <f t="shared" si="65"/>
        <v>Page5_CHV_MCI!L</v>
      </c>
      <c r="Q549" s="611">
        <f t="shared" si="66"/>
        <v>28</v>
      </c>
      <c r="R549" s="1447">
        <f t="shared" ca="1" si="67"/>
        <v>0</v>
      </c>
      <c r="S549" s="1447">
        <f t="shared" ca="1" si="68"/>
        <v>0</v>
      </c>
      <c r="V549" s="2557" t="str">
        <f t="shared" ca="1" si="69"/>
        <v/>
      </c>
      <c r="W549" s="611" t="str">
        <f t="shared" ca="1" si="70"/>
        <v>Page5_CHV_MCI, Ligne 25 [Page5_CHV_MCI!L28]  -</v>
      </c>
    </row>
    <row r="550" spans="1:23">
      <c r="A550" s="1443" t="str">
        <f>celladdr(Page5_CHV_MCI!L29)</f>
        <v>Page5_CHV_MCI!L29</v>
      </c>
      <c r="B550" s="1456" t="s">
        <v>1086</v>
      </c>
      <c r="C550" s="1451" t="b">
        <f>Page5_CHV_MCI!$L$29&lt;0</f>
        <v>0</v>
      </c>
      <c r="D550" s="1454" t="b">
        <f>OR(AND(Page5_CHV_MCI!$L29&lt;&gt;0,Page5_CHV_MCI!$M29=0),AND(Page5_CHV_MCI!$M29&lt;&gt;0,Page5_CHV_MCI!$L29=0))</f>
        <v>0</v>
      </c>
      <c r="E550" s="1454"/>
      <c r="F550" s="1454"/>
      <c r="G550" s="1444" t="str">
        <f t="shared" si="64"/>
        <v/>
      </c>
      <c r="H550" s="1447" t="str">
        <f>IF(C550=TRUE,Comments!$B$23,"")</f>
        <v/>
      </c>
      <c r="I550" s="1446" t="str">
        <f>IF(D550=TRUE,Comments!$B$24,"")</f>
        <v/>
      </c>
      <c r="J550" s="1446"/>
      <c r="K550" s="1452"/>
      <c r="N550" s="611" t="str">
        <f>"CPTE # "&amp;Page5_CHV_MCI!$E$29&amp;"  "&amp;Page5_CHV_MCI!$C$29&amp;" - CHIFFRE D'AFFAIRES RÉALISÉ - AAD"</f>
        <v>CPTE # 424A  NE PAS UTILISER - CHIFFRE D'AFFAIRES RÉALISÉ - AAD</v>
      </c>
      <c r="O550" s="611" t="str">
        <f t="shared" si="72"/>
        <v/>
      </c>
      <c r="P550" s="611" t="str">
        <f t="shared" si="65"/>
        <v>Page5_CHV_MCI!L</v>
      </c>
      <c r="Q550" s="611">
        <f t="shared" si="66"/>
        <v>29</v>
      </c>
      <c r="R550" s="1447">
        <f t="shared" ca="1" si="67"/>
        <v>0</v>
      </c>
      <c r="S550" s="1447">
        <f t="shared" ca="1" si="68"/>
        <v>0</v>
      </c>
      <c r="V550" s="2557" t="str">
        <f t="shared" ca="1" si="69"/>
        <v/>
      </c>
      <c r="W550" s="611" t="str">
        <f t="shared" ca="1" si="70"/>
        <v>Page5_CHV_MCI, Ligne 26 [Page5_CHV_MCI!L29]  -</v>
      </c>
    </row>
    <row r="551" spans="1:23">
      <c r="A551" s="1443" t="str">
        <f>celladdr(Page5_CHV_MCI!L30)</f>
        <v>Page5_CHV_MCI!L30</v>
      </c>
      <c r="B551" s="1456" t="s">
        <v>1086</v>
      </c>
      <c r="C551" s="1451" t="b">
        <f>Page5_CHV_MCI!$L$30&lt;0</f>
        <v>0</v>
      </c>
      <c r="D551" s="1454" t="b">
        <f>OR(AND(Page5_CHV_MCI!$L30&lt;&gt;0,Page5_CHV_MCI!$M30=0),AND(Page5_CHV_MCI!$M30&lt;&gt;0,Page5_CHV_MCI!$L30=0))</f>
        <v>0</v>
      </c>
      <c r="E551" s="1454"/>
      <c r="F551" s="1454"/>
      <c r="G551" s="1444" t="str">
        <f t="shared" si="64"/>
        <v/>
      </c>
      <c r="H551" s="1447" t="str">
        <f>IF(C551=TRUE,Comments!$B$23,"")</f>
        <v/>
      </c>
      <c r="I551" s="1446" t="str">
        <f>IF(D551=TRUE,Comments!$B$24,"")</f>
        <v/>
      </c>
      <c r="J551" s="1446"/>
      <c r="K551" s="1452"/>
      <c r="N551" s="611" t="str">
        <f>"CPTE # "&amp;Page5_CHV_MCI!$E$30&amp;"  "&amp;Page5_CHV_MCI!$C$30&amp;" - CHIFFRE D'AFFAIRES RÉALISÉ - AAD"</f>
        <v>CPTE # 425A  EXPRESS - CHIFFRE D'AFFAIRES RÉALISÉ - AAD</v>
      </c>
      <c r="O551" s="611" t="str">
        <f t="shared" si="72"/>
        <v/>
      </c>
      <c r="P551" s="611" t="str">
        <f t="shared" si="65"/>
        <v>Page5_CHV_MCI!L</v>
      </c>
      <c r="Q551" s="611">
        <f t="shared" si="66"/>
        <v>30</v>
      </c>
      <c r="R551" s="1447">
        <f t="shared" ca="1" si="67"/>
        <v>0</v>
      </c>
      <c r="S551" s="1447">
        <f t="shared" ca="1" si="68"/>
        <v>0</v>
      </c>
      <c r="V551" s="2557" t="str">
        <f t="shared" ca="1" si="69"/>
        <v/>
      </c>
      <c r="W551" s="611" t="str">
        <f t="shared" ca="1" si="70"/>
        <v>Page5_CHV_MCI, Ligne 27 [Page5_CHV_MCI!L30]  -</v>
      </c>
    </row>
    <row r="552" spans="1:23">
      <c r="A552" s="1443" t="str">
        <f>celladdr(Page5_CHV_MCI!L31)</f>
        <v>Page5_CHV_MCI!L31</v>
      </c>
      <c r="B552" s="1456" t="s">
        <v>1086</v>
      </c>
      <c r="C552" s="1451" t="b">
        <f>Page5_CHV_MCI!$L$31&lt;0</f>
        <v>0</v>
      </c>
      <c r="D552" s="1454" t="b">
        <f>OR(AND(Page5_CHV_MCI!$L31&lt;&gt;0,Page5_CHV_MCI!$M31=0),AND(Page5_CHV_MCI!$M31&lt;&gt;0,Page5_CHV_MCI!$L31=0))</f>
        <v>0</v>
      </c>
      <c r="E552" s="1454"/>
      <c r="F552" s="1454"/>
      <c r="G552" s="1444" t="str">
        <f t="shared" si="64"/>
        <v/>
      </c>
      <c r="H552" s="1447" t="str">
        <f>IF(C552=TRUE,Comments!$B$23,"")</f>
        <v/>
      </c>
      <c r="I552" s="1446" t="str">
        <f>IF(D552=TRUE,Comments!$B$24,"")</f>
        <v/>
      </c>
      <c r="J552" s="1446"/>
      <c r="K552" s="1452"/>
      <c r="N552" s="611" t="str">
        <f>"CPTE # "&amp;Page5_CHV_MCI!$E$31&amp;"  "&amp;Page5_CHV_MCI!$C$31&amp;" - CHIFFRE D'AFFAIRES RÉALISÉ - AAD"</f>
        <v>CPTE # 426A  COLORADO - CHIFFRE D'AFFAIRES RÉALISÉ - AAD</v>
      </c>
      <c r="O552" s="611" t="str">
        <f t="shared" si="72"/>
        <v/>
      </c>
      <c r="P552" s="611" t="str">
        <f t="shared" si="65"/>
        <v>Page5_CHV_MCI!L</v>
      </c>
      <c r="Q552" s="611">
        <f t="shared" si="66"/>
        <v>31</v>
      </c>
      <c r="R552" s="1447">
        <f t="shared" ca="1" si="67"/>
        <v>0</v>
      </c>
      <c r="S552" s="1447">
        <f t="shared" ca="1" si="68"/>
        <v>0</v>
      </c>
      <c r="V552" s="2557" t="str">
        <f t="shared" ca="1" si="69"/>
        <v/>
      </c>
      <c r="W552" s="611" t="str">
        <f t="shared" ca="1" si="70"/>
        <v>Page5_CHV_MCI, Ligne 28 [Page5_CHV_MCI!L31]  -</v>
      </c>
    </row>
    <row r="553" spans="1:23">
      <c r="A553" s="1443" t="str">
        <f>celladdr(Page5_CHV_MCI!L32)</f>
        <v>Page5_CHV_MCI!L32</v>
      </c>
      <c r="B553" s="1456" t="s">
        <v>1086</v>
      </c>
      <c r="C553" s="1451" t="b">
        <f>Page5_CHV_MCI!$L$32&lt;0</f>
        <v>0</v>
      </c>
      <c r="D553" s="1454" t="b">
        <f>OR(AND(Page5_CHV_MCI!$L32&lt;&gt;0,Page5_CHV_MCI!$M32=0),AND(Page5_CHV_MCI!$M32&lt;&gt;0,Page5_CHV_MCI!$L32=0))</f>
        <v>0</v>
      </c>
      <c r="E553" s="1454"/>
      <c r="F553" s="1454"/>
      <c r="G553" s="1444" t="str">
        <f t="shared" si="64"/>
        <v/>
      </c>
      <c r="H553" s="1447" t="str">
        <f>IF(C553=TRUE,Comments!$B$23,"")</f>
        <v/>
      </c>
      <c r="I553" s="1446" t="str">
        <f>IF(D553=TRUE,Comments!$B$24,"")</f>
        <v/>
      </c>
      <c r="J553" s="1446"/>
      <c r="K553" s="1452"/>
      <c r="N553" s="611" t="str">
        <f>"CPTE # "&amp;Page5_CHV_MCI!$E$32&amp;"  "&amp;Page5_CHV_MCI!$C$32&amp;" - CHIFFRE D'AFFAIRES RÉALISÉ - AAD"</f>
        <v>CPTE # 427A  TRAVERSE - CHIFFRE D'AFFAIRES RÉALISÉ - AAD</v>
      </c>
      <c r="O553" s="611" t="str">
        <f t="shared" si="72"/>
        <v/>
      </c>
      <c r="P553" s="611" t="str">
        <f t="shared" si="65"/>
        <v>Page5_CHV_MCI!L</v>
      </c>
      <c r="Q553" s="611">
        <f t="shared" si="66"/>
        <v>32</v>
      </c>
      <c r="R553" s="1447">
        <f t="shared" ca="1" si="67"/>
        <v>0</v>
      </c>
      <c r="S553" s="1447">
        <f t="shared" ca="1" si="68"/>
        <v>0</v>
      </c>
      <c r="V553" s="2557" t="str">
        <f t="shared" ca="1" si="69"/>
        <v/>
      </c>
      <c r="W553" s="611" t="str">
        <f t="shared" ca="1" si="70"/>
        <v>Page5_CHV_MCI, Ligne 29 [Page5_CHV_MCI!L32]  -</v>
      </c>
    </row>
    <row r="554" spans="1:23">
      <c r="A554" s="1443" t="str">
        <f>celladdr(Page5_CHV_MCI!L33)</f>
        <v>Page5_CHV_MCI!L33</v>
      </c>
      <c r="B554" s="1456" t="s">
        <v>1086</v>
      </c>
      <c r="C554" s="1451" t="b">
        <f>Page5_CHV_MCI!$L$33&lt;0</f>
        <v>0</v>
      </c>
      <c r="D554" s="1454" t="b">
        <f>OR(AND(Page5_CHV_MCI!$L33&lt;&gt;0,Page5_CHV_MCI!$M33=0),AND(Page5_CHV_MCI!$M33&lt;&gt;0,Page5_CHV_MCI!$L33=0))</f>
        <v>0</v>
      </c>
      <c r="E554" s="1454"/>
      <c r="F554" s="1454"/>
      <c r="G554" s="1444" t="str">
        <f t="shared" si="64"/>
        <v/>
      </c>
      <c r="H554" s="1447" t="str">
        <f>IF(C554=TRUE,Comments!$B$23,"")</f>
        <v/>
      </c>
      <c r="I554" s="1446" t="str">
        <f>IF(D554=TRUE,Comments!$B$24,"")</f>
        <v/>
      </c>
      <c r="J554" s="1446"/>
      <c r="K554" s="1452"/>
      <c r="N554" s="611" t="str">
        <f>"CPTE # "&amp;Page5_CHV_MCI!$E$33&amp;"  "&amp;Page5_CHV_MCI!$C$33&amp;" - CHIFFRE D'AFFAIRES RÉALISÉ - AAD"</f>
        <v>CPTE # 428A  TRAX - CHIFFRE D'AFFAIRES RÉALISÉ - AAD</v>
      </c>
      <c r="O554" s="611" t="str">
        <f t="shared" si="72"/>
        <v/>
      </c>
      <c r="P554" s="611" t="str">
        <f t="shared" si="65"/>
        <v>Page5_CHV_MCI!L</v>
      </c>
      <c r="Q554" s="611">
        <f t="shared" si="66"/>
        <v>33</v>
      </c>
      <c r="R554" s="1447">
        <f t="shared" ca="1" si="67"/>
        <v>0</v>
      </c>
      <c r="S554" s="1447">
        <f t="shared" ca="1" si="68"/>
        <v>0</v>
      </c>
      <c r="V554" s="2557" t="str">
        <f t="shared" ca="1" si="69"/>
        <v/>
      </c>
      <c r="W554" s="611" t="str">
        <f t="shared" ca="1" si="70"/>
        <v>Page5_CHV_MCI, Ligne 30 [Page5_CHV_MCI!L33]  -</v>
      </c>
    </row>
    <row r="555" spans="1:23">
      <c r="A555" s="1443" t="str">
        <f>celladdr(Page5_CHV_MCI!L34)</f>
        <v>Page5_CHV_MCI!L34</v>
      </c>
      <c r="B555" s="1456" t="s">
        <v>1086</v>
      </c>
      <c r="C555" s="1451" t="b">
        <f>Page5_CHV_MCI!$L$34&lt;0</f>
        <v>0</v>
      </c>
      <c r="D555" s="1454" t="b">
        <f>OR(AND(Page5_CHV_MCI!$L34&lt;&gt;0,Page5_CHV_MCI!$M34=0),AND(Page5_CHV_MCI!$M34&lt;&gt;0,Page5_CHV_MCI!$L34=0))</f>
        <v>0</v>
      </c>
      <c r="E555" s="1454"/>
      <c r="F555" s="1454"/>
      <c r="G555" s="1444" t="str">
        <f t="shared" si="64"/>
        <v/>
      </c>
      <c r="H555" s="1447" t="str">
        <f>IF(C555=TRUE,Comments!$B$23,"")</f>
        <v/>
      </c>
      <c r="I555" s="1446" t="str">
        <f>IF(D555=TRUE,Comments!$B$24,"")</f>
        <v/>
      </c>
      <c r="J555" s="1446"/>
      <c r="K555" s="1452"/>
      <c r="N555" s="611" t="str">
        <f>"CPTE # "&amp;Page5_CHV_MCI!$E$34&amp;"  "&amp;Page5_CHV_MCI!$C$34&amp;" - CHIFFRE D'AFFAIRES RÉALISÉ - AAD"</f>
        <v>CPTE # 429A  TAHOE/SUBURBAN - CHIFFRE D'AFFAIRES RÉALISÉ - AAD</v>
      </c>
      <c r="O555" s="611" t="str">
        <f t="shared" si="72"/>
        <v/>
      </c>
      <c r="P555" s="611" t="str">
        <f t="shared" si="65"/>
        <v>Page5_CHV_MCI!L</v>
      </c>
      <c r="Q555" s="611">
        <f t="shared" si="66"/>
        <v>34</v>
      </c>
      <c r="R555" s="1447">
        <f t="shared" ca="1" si="67"/>
        <v>0</v>
      </c>
      <c r="S555" s="1447">
        <f t="shared" ca="1" si="68"/>
        <v>0</v>
      </c>
      <c r="V555" s="2557" t="str">
        <f t="shared" ca="1" si="69"/>
        <v/>
      </c>
      <c r="W555" s="611" t="str">
        <f t="shared" ca="1" si="70"/>
        <v>Page5_CHV_MCI, Ligne 31 [Page5_CHV_MCI!L34]  -</v>
      </c>
    </row>
    <row r="556" spans="1:23">
      <c r="A556" s="1443" t="str">
        <f>celladdr(Page5_CHV_MCI!L35)</f>
        <v>Page5_CHV_MCI!L35</v>
      </c>
      <c r="B556" s="1456" t="s">
        <v>1086</v>
      </c>
      <c r="C556" s="1451" t="b">
        <f>Page5_CHV_MCI!$L$35&lt;0</f>
        <v>0</v>
      </c>
      <c r="D556" s="1454" t="b">
        <f>OR(AND(Page5_CHV_MCI!$L35&lt;&gt;0,Page5_CHV_MCI!$M35=0),AND(Page5_CHV_MCI!$M35&lt;&gt;0,Page5_CHV_MCI!$L35=0))</f>
        <v>0</v>
      </c>
      <c r="E556" s="1454"/>
      <c r="F556" s="1454"/>
      <c r="G556" s="1444" t="str">
        <f t="shared" si="64"/>
        <v/>
      </c>
      <c r="H556" s="1447" t="str">
        <f>IF(C556=TRUE,Comments!$B$23,"")</f>
        <v/>
      </c>
      <c r="I556" s="1446" t="str">
        <f>IF(D556=TRUE,Comments!$B$24,"")</f>
        <v/>
      </c>
      <c r="J556" s="1446"/>
      <c r="K556" s="1452"/>
      <c r="N556" s="611" t="str">
        <f>"CPTE # "&amp;Page5_CHV_MCI!$E$35&amp;"  "&amp;Page5_CHV_MCI!$C$35&amp;" - CHIFFRE D'AFFAIRES RÉALISÉ - AAD"</f>
        <v>CPTE # 430A  CL 1500 SILVERADO - CHIFFRE D'AFFAIRES RÉALISÉ - AAD</v>
      </c>
      <c r="O556" s="611" t="str">
        <f t="shared" si="72"/>
        <v/>
      </c>
      <c r="P556" s="611" t="str">
        <f t="shared" si="65"/>
        <v>Page5_CHV_MCI!L</v>
      </c>
      <c r="Q556" s="611">
        <f t="shared" si="66"/>
        <v>35</v>
      </c>
      <c r="R556" s="1447">
        <f t="shared" ca="1" si="67"/>
        <v>0</v>
      </c>
      <c r="S556" s="1447">
        <f t="shared" ca="1" si="68"/>
        <v>0</v>
      </c>
      <c r="V556" s="2557" t="str">
        <f t="shared" ca="1" si="69"/>
        <v/>
      </c>
      <c r="W556" s="611" t="str">
        <f t="shared" ca="1" si="70"/>
        <v>Page5_CHV_MCI, Ligne 32 [Page5_CHV_MCI!L35]  -</v>
      </c>
    </row>
    <row r="557" spans="1:23">
      <c r="A557" s="1443" t="str">
        <f>celladdr(Page5_CHV_MCI!L36)</f>
        <v>Page5_CHV_MCI!L36</v>
      </c>
      <c r="B557" s="1456" t="s">
        <v>1086</v>
      </c>
      <c r="C557" s="1451" t="b">
        <f>Page5_CHV_MCI!$L$36&lt;0</f>
        <v>0</v>
      </c>
      <c r="D557" s="1454" t="b">
        <f>OR(AND(Page5_CHV_MCI!$L36&lt;&gt;0,Page5_CHV_MCI!$M36=0),AND(Page5_CHV_MCI!$M36&lt;&gt;0,Page5_CHV_MCI!$L36=0))</f>
        <v>0</v>
      </c>
      <c r="E557" s="1454"/>
      <c r="F557" s="1454"/>
      <c r="G557" s="1444" t="str">
        <f t="shared" si="64"/>
        <v/>
      </c>
      <c r="H557" s="1447" t="str">
        <f>IF(C557=TRUE,Comments!$B$23,"")</f>
        <v/>
      </c>
      <c r="I557" s="1446" t="str">
        <f>IF(D557=TRUE,Comments!$B$24,"")</f>
        <v/>
      </c>
      <c r="J557" s="1446"/>
      <c r="K557" s="1452"/>
      <c r="N557" s="611" t="str">
        <f>"CPTE # "&amp;Page5_CHV_MCI!$E$36&amp;"  "&amp;Page5_CHV_MCI!$C$36&amp;" - CHIFFRE D'AFFAIRES RÉALISÉ - AAD"</f>
        <v>CPTE # 431A  CL 2500 SILVERADO - CHIFFRE D'AFFAIRES RÉALISÉ - AAD</v>
      </c>
      <c r="O557" s="611" t="str">
        <f t="shared" si="72"/>
        <v/>
      </c>
      <c r="P557" s="611" t="str">
        <f t="shared" si="65"/>
        <v>Page5_CHV_MCI!L</v>
      </c>
      <c r="Q557" s="611">
        <f t="shared" si="66"/>
        <v>36</v>
      </c>
      <c r="R557" s="1447">
        <f t="shared" ca="1" si="67"/>
        <v>0</v>
      </c>
      <c r="S557" s="1447">
        <f t="shared" ca="1" si="68"/>
        <v>0</v>
      </c>
      <c r="V557" s="2557" t="str">
        <f t="shared" ca="1" si="69"/>
        <v/>
      </c>
      <c r="W557" s="611" t="str">
        <f t="shared" ca="1" si="70"/>
        <v>Page5_CHV_MCI, Ligne 33 [Page5_CHV_MCI!L36]  -</v>
      </c>
    </row>
    <row r="558" spans="1:23">
      <c r="A558" s="1443" t="str">
        <f>celladdr(Page5_CHV_MCI!L37)</f>
        <v>Page5_CHV_MCI!L37</v>
      </c>
      <c r="B558" s="1456" t="s">
        <v>1086</v>
      </c>
      <c r="C558" s="1451" t="b">
        <f>Page5_CHV_MCI!$L$37&lt;0</f>
        <v>0</v>
      </c>
      <c r="D558" s="1454" t="b">
        <f>OR(AND(Page5_CHV_MCI!$L37&lt;&gt;0,Page5_CHV_MCI!$M37=0),AND(Page5_CHV_MCI!$M37&lt;&gt;0,Page5_CHV_MCI!$L37=0))</f>
        <v>0</v>
      </c>
      <c r="E558" s="1454"/>
      <c r="F558" s="1454"/>
      <c r="G558" s="1444" t="str">
        <f t="shared" si="64"/>
        <v/>
      </c>
      <c r="H558" s="1447" t="str">
        <f>IF(C558=TRUE,Comments!$B$23,"")</f>
        <v/>
      </c>
      <c r="I558" s="1446" t="str">
        <f>IF(D558=TRUE,Comments!$B$24,"")</f>
        <v/>
      </c>
      <c r="J558" s="1446"/>
      <c r="K558" s="1452"/>
      <c r="N558" s="611" t="str">
        <f>"CPTE # "&amp;Page5_CHV_MCI!$E$37&amp;"  "&amp;Page5_CHV_MCI!$C$37&amp;" - CHIFFRE D'AFFAIRES RÉALISÉ - AAD"</f>
        <v>CPTE # 432A  CL 3500 SILVERADO - CHIFFRE D'AFFAIRES RÉALISÉ - AAD</v>
      </c>
      <c r="O558" s="611" t="str">
        <f t="shared" si="72"/>
        <v/>
      </c>
      <c r="P558" s="611" t="str">
        <f t="shared" si="65"/>
        <v>Page5_CHV_MCI!L</v>
      </c>
      <c r="Q558" s="611">
        <f t="shared" si="66"/>
        <v>37</v>
      </c>
      <c r="R558" s="1447">
        <f t="shared" ca="1" si="67"/>
        <v>0</v>
      </c>
      <c r="S558" s="1447">
        <f t="shared" ca="1" si="68"/>
        <v>0</v>
      </c>
      <c r="V558" s="2557" t="str">
        <f t="shared" ca="1" si="69"/>
        <v/>
      </c>
      <c r="W558" s="611" t="str">
        <f t="shared" ca="1" si="70"/>
        <v>Page5_CHV_MCI, Ligne 34 [Page5_CHV_MCI!L37]  -</v>
      </c>
    </row>
    <row r="559" spans="1:23">
      <c r="A559" s="1443" t="str">
        <f>celladdr(Page5_CHV_MCI!L38)</f>
        <v>Page5_CHV_MCI!L38</v>
      </c>
      <c r="B559" s="1456" t="s">
        <v>1086</v>
      </c>
      <c r="C559" s="1451" t="b">
        <f>Page5_CHV_MCI!$L$38&lt;0</f>
        <v>0</v>
      </c>
      <c r="D559" s="1454" t="b">
        <f>OR(AND(Page5_CHV_MCI!$L38&lt;&gt;0,Page5_CHV_MCI!$M38=0),AND(Page5_CHV_MCI!$M38&lt;&gt;0,Page5_CHV_MCI!$L38=0))</f>
        <v>0</v>
      </c>
      <c r="E559" s="1454"/>
      <c r="F559" s="1454"/>
      <c r="G559" s="1444" t="str">
        <f t="shared" si="64"/>
        <v/>
      </c>
      <c r="H559" s="1447" t="str">
        <f>IF(C559=TRUE,Comments!$B$23,"")</f>
        <v/>
      </c>
      <c r="I559" s="1446" t="str">
        <f>IF(D559=TRUE,Comments!$B$24,"")</f>
        <v/>
      </c>
      <c r="J559" s="1446"/>
      <c r="K559" s="1452"/>
      <c r="N559" s="611" t="str">
        <f>"CPTE # "&amp;Page5_CHV_MCI!$E$38&amp;"  "&amp;Page5_CHV_MCI!$C$38&amp;" - CHIFFRE D'AFFAIRES RÉALISÉ - AAD"</f>
        <v>CPTE # 433A  BLAZER - CHIFFRE D'AFFAIRES RÉALISÉ - AAD</v>
      </c>
      <c r="O559" s="611" t="str">
        <f t="shared" si="72"/>
        <v/>
      </c>
      <c r="P559" s="611" t="str">
        <f t="shared" si="65"/>
        <v>Page5_CHV_MCI!L</v>
      </c>
      <c r="Q559" s="611">
        <f t="shared" si="66"/>
        <v>38</v>
      </c>
      <c r="R559" s="1447">
        <f t="shared" ca="1" si="67"/>
        <v>0</v>
      </c>
      <c r="S559" s="1447">
        <f t="shared" ca="1" si="68"/>
        <v>0</v>
      </c>
      <c r="V559" s="2557" t="str">
        <f t="shared" ca="1" si="69"/>
        <v/>
      </c>
      <c r="W559" s="611" t="str">
        <f t="shared" ca="1" si="70"/>
        <v>Page5_CHV_MCI, Ligne 35 [Page5_CHV_MCI!L38]  -</v>
      </c>
    </row>
    <row r="560" spans="1:23">
      <c r="A560" s="1443" t="str">
        <f>celladdr(Page5_CHV_MCI!L39)</f>
        <v>Page5_CHV_MCI!L39</v>
      </c>
      <c r="B560" s="1456" t="s">
        <v>1086</v>
      </c>
      <c r="C560" s="1451" t="b">
        <f>Page5_CHV_MCI!$L$39&lt;0</f>
        <v>0</v>
      </c>
      <c r="D560" s="1454" t="b">
        <f>OR(AND(Page5_CHV_MCI!$L39&lt;&gt;0,Page5_CHV_MCI!$M39=0),AND(Page5_CHV_MCI!$M39&lt;&gt;0,Page5_CHV_MCI!$L39=0))</f>
        <v>0</v>
      </c>
      <c r="E560" s="1454"/>
      <c r="F560" s="1454"/>
      <c r="G560" s="1444" t="str">
        <f t="shared" si="64"/>
        <v/>
      </c>
      <c r="H560" s="1447" t="str">
        <f>IF(C560=TRUE,Comments!$B$23,"")</f>
        <v/>
      </c>
      <c r="I560" s="1446" t="str">
        <f>IF(D560=TRUE,Comments!$B$24,"")</f>
        <v/>
      </c>
      <c r="J560" s="1446"/>
      <c r="K560" s="1452"/>
      <c r="N560" s="611" t="str">
        <f>"CPTE # "&amp;Page5_CHV_MCI!$E$39&amp;"  "&amp;Page5_CHV_MCI!$C$39&amp;" - CHIFFRE D'AFFAIRES RÉALISÉ - AAD"</f>
        <v>CPTE # 434A  EQUINOX - CHIFFRE D'AFFAIRES RÉALISÉ - AAD</v>
      </c>
      <c r="O560" s="611" t="str">
        <f t="shared" si="72"/>
        <v/>
      </c>
      <c r="P560" s="611" t="str">
        <f t="shared" si="65"/>
        <v>Page5_CHV_MCI!L</v>
      </c>
      <c r="Q560" s="611">
        <f t="shared" si="66"/>
        <v>39</v>
      </c>
      <c r="R560" s="1447">
        <f t="shared" ca="1" si="67"/>
        <v>0</v>
      </c>
      <c r="S560" s="1447">
        <f t="shared" ca="1" si="68"/>
        <v>0</v>
      </c>
      <c r="V560" s="2557" t="str">
        <f t="shared" ca="1" si="69"/>
        <v/>
      </c>
      <c r="W560" s="611" t="str">
        <f t="shared" ca="1" si="70"/>
        <v>Page5_CHV_MCI, Ligne 36 [Page5_CHV_MCI!L39]  -</v>
      </c>
    </row>
    <row r="561" spans="1:23">
      <c r="A561" s="1443" t="str">
        <f>celladdr(Page5_CHV_MCI!L40)</f>
        <v>Page5_CHV_MCI!L40</v>
      </c>
      <c r="B561" s="1456" t="s">
        <v>1086</v>
      </c>
      <c r="C561" s="1451" t="b">
        <f>Page5_CHV_MCI!$L$40&lt;0</f>
        <v>0</v>
      </c>
      <c r="D561" s="1454" t="b">
        <f>OR(AND(Page5_CHV_MCI!$L40&lt;&gt;0,Page5_CHV_MCI!$M40=0),AND(Page5_CHV_MCI!$M40&lt;&gt;0,Page5_CHV_MCI!$L40=0))</f>
        <v>0</v>
      </c>
      <c r="E561" s="1454"/>
      <c r="F561" s="1454"/>
      <c r="G561" s="1444" t="str">
        <f t="shared" si="64"/>
        <v/>
      </c>
      <c r="H561" s="1447" t="str">
        <f>IF(C561=TRUE,Comments!$B$23,"")</f>
        <v/>
      </c>
      <c r="I561" s="1446" t="str">
        <f>IF(D561=TRUE,Comments!$B$24,"")</f>
        <v/>
      </c>
      <c r="J561" s="1446"/>
      <c r="K561" s="1452"/>
      <c r="N561" s="611" t="str">
        <f>"CPTE # "&amp;Page5_CHV_MCI!$E$40&amp;"  "&amp;Page5_CHV_MCI!$C$40&amp;" - CHIFFRE D'AFFAIRES RÉALISÉ - AAD"</f>
        <v>CPTE # 435A  CITY EXPRESS - CHIFFRE D'AFFAIRES RÉALISÉ - AAD</v>
      </c>
      <c r="O561" s="611" t="str">
        <f t="shared" si="72"/>
        <v/>
      </c>
      <c r="P561" s="611" t="str">
        <f t="shared" si="65"/>
        <v>Page5_CHV_MCI!L</v>
      </c>
      <c r="Q561" s="611">
        <f t="shared" si="66"/>
        <v>40</v>
      </c>
      <c r="R561" s="1447">
        <f t="shared" ca="1" si="67"/>
        <v>0</v>
      </c>
      <c r="S561" s="1447">
        <f t="shared" ca="1" si="68"/>
        <v>0</v>
      </c>
      <c r="V561" s="2557" t="str">
        <f t="shared" ca="1" si="69"/>
        <v/>
      </c>
      <c r="W561" s="611" t="str">
        <f t="shared" ca="1" si="70"/>
        <v>Page5_CHV_MCI, Ligne 37 [Page5_CHV_MCI!L40]  -</v>
      </c>
    </row>
    <row r="562" spans="1:23">
      <c r="A562" s="1443" t="str">
        <f>celladdr(Page5_CHV_MCI!L41)</f>
        <v>Page5_CHV_MCI!L41</v>
      </c>
      <c r="B562" s="1456" t="s">
        <v>1086</v>
      </c>
      <c r="C562" s="1451" t="b">
        <f>Page5_CHV_MCI!$L$41&lt;0</f>
        <v>0</v>
      </c>
      <c r="D562" s="1454" t="b">
        <f>OR(AND(Page5_CHV_MCI!$L41&lt;&gt;0,Page5_CHV_MCI!$M41=0),AND(Page5_CHV_MCI!$M41&lt;&gt;0,Page5_CHV_MCI!$L41=0))</f>
        <v>0</v>
      </c>
      <c r="E562" s="1454"/>
      <c r="F562" s="1454"/>
      <c r="G562" s="1444" t="str">
        <f t="shared" si="64"/>
        <v/>
      </c>
      <c r="H562" s="1447" t="str">
        <f>IF(C562=TRUE,Comments!$B$23,"")</f>
        <v/>
      </c>
      <c r="I562" s="1446" t="str">
        <f>IF(D562=TRUE,Comments!$B$24,"")</f>
        <v/>
      </c>
      <c r="J562" s="1446"/>
      <c r="K562" s="1452"/>
      <c r="N562" s="611" t="str">
        <f>"CPTE # "&amp;Page5_CHV_MCI!$E$41&amp;"  "&amp;Page5_CHV_MCI!$C$41&amp;" - CHIFFRE D'AFFAIRES RÉALISÉ - AAD"</f>
        <v>CPTE # 436A  TRAILBLAZER - CHIFFRE D'AFFAIRES RÉALISÉ - AAD</v>
      </c>
      <c r="O562" s="611" t="str">
        <f t="shared" si="72"/>
        <v/>
      </c>
      <c r="P562" s="611" t="str">
        <f t="shared" si="65"/>
        <v>Page5_CHV_MCI!L</v>
      </c>
      <c r="Q562" s="611">
        <f t="shared" si="66"/>
        <v>41</v>
      </c>
      <c r="R562" s="1447">
        <f t="shared" ca="1" si="67"/>
        <v>0</v>
      </c>
      <c r="S562" s="1447">
        <f t="shared" ca="1" si="68"/>
        <v>0</v>
      </c>
      <c r="V562" s="2557" t="str">
        <f t="shared" ca="1" si="69"/>
        <v/>
      </c>
      <c r="W562" s="611" t="str">
        <f t="shared" ca="1" si="70"/>
        <v>Page5_CHV_MCI, Ligne 38 [Page5_CHV_MCI!L41]  -</v>
      </c>
    </row>
    <row r="563" spans="1:23">
      <c r="A563" s="1443" t="str">
        <f>celladdr(Page5_CHV_MCI!L42)</f>
        <v>Page5_CHV_MCI!L42</v>
      </c>
      <c r="B563" s="1456" t="s">
        <v>1086</v>
      </c>
      <c r="C563" s="1451" t="b">
        <f>Page5_CHV_MCI!$L$42&lt;0</f>
        <v>0</v>
      </c>
      <c r="D563" s="1454"/>
      <c r="E563" s="1454"/>
      <c r="F563" s="1454"/>
      <c r="G563" s="1444" t="str">
        <f t="shared" si="64"/>
        <v/>
      </c>
      <c r="H563" s="1447" t="str">
        <f>IF(C563=TRUE,Comments!$B$23,"")</f>
        <v/>
      </c>
      <c r="I563" s="1446"/>
      <c r="J563" s="1446"/>
      <c r="K563" s="1452"/>
      <c r="N563" s="611" t="str">
        <f>"CPTE # "&amp;Page5_CHV_MCI!$E$42&amp;"  "&amp;Page5_CHV_MCI!$C$42&amp;" - CHIFFRE D'AFFAIRES RÉALISÉ - AAD"</f>
        <v>CPTE # 437A  POUR USAGE FUTUR - CHIFFRE D'AFFAIRES RÉALISÉ - AAD</v>
      </c>
      <c r="O563" s="611" t="str">
        <f t="shared" si="72"/>
        <v/>
      </c>
      <c r="P563" s="611" t="str">
        <f t="shared" si="65"/>
        <v>Page5_CHV_MCI!L</v>
      </c>
      <c r="Q563" s="611">
        <f t="shared" si="66"/>
        <v>42</v>
      </c>
      <c r="R563" s="1447">
        <f t="shared" ca="1" si="67"/>
        <v>0</v>
      </c>
      <c r="S563" s="1447">
        <f t="shared" ca="1" si="68"/>
        <v>0</v>
      </c>
      <c r="V563" s="2557" t="str">
        <f t="shared" ca="1" si="69"/>
        <v/>
      </c>
      <c r="W563" s="611" t="str">
        <f t="shared" ca="1" si="70"/>
        <v>Page5_CHV_MCI, Ligne 39 [Page5_CHV_MCI!L42]  -</v>
      </c>
    </row>
    <row r="564" spans="1:23">
      <c r="A564" s="1443" t="str">
        <f>celladdr(Page5_CHV_MCI!L43)</f>
        <v>Page5_CHV_MCI!L43</v>
      </c>
      <c r="B564" s="1456" t="s">
        <v>1086</v>
      </c>
      <c r="C564" s="1451" t="b">
        <f>Page5_CHV_MCI!$L$43&lt;0</f>
        <v>0</v>
      </c>
      <c r="D564" s="1454" t="b">
        <f>OR(AND(Page5_CHV_MCI!$L43&lt;&gt;0,Page5_CHV_MCI!$M43=0),AND(Page5_CHV_MCI!$M43&lt;&gt;0,Page5_CHV_MCI!$L43=0))</f>
        <v>0</v>
      </c>
      <c r="E564" s="1454"/>
      <c r="F564" s="1454"/>
      <c r="G564" s="1444" t="str">
        <f t="shared" si="64"/>
        <v/>
      </c>
      <c r="H564" s="1447" t="str">
        <f>IF(C564=TRUE,Comments!$B$23,"")</f>
        <v/>
      </c>
      <c r="I564" s="1446" t="str">
        <f>IF(D564=TRUE,Comments!$B$24,"")</f>
        <v/>
      </c>
      <c r="J564" s="1446"/>
      <c r="K564" s="1452"/>
      <c r="N564" s="611" t="str">
        <f>"CPTE # "&amp;Page5_CHV_MCI!$E$43&amp;"  "&amp;Page5_CHV_MCI!$C$43&amp;" - CHIFFRE D'AFFAIRES RÉALISÉ - AAD"</f>
        <v>CPTE # 438A  AUTRES CHEVROLET - CHIFFRE D'AFFAIRES RÉALISÉ - AAD</v>
      </c>
      <c r="O564" s="611" t="str">
        <f t="shared" si="72"/>
        <v/>
      </c>
      <c r="P564" s="611" t="str">
        <f t="shared" si="65"/>
        <v>Page5_CHV_MCI!L</v>
      </c>
      <c r="Q564" s="611">
        <f t="shared" si="66"/>
        <v>43</v>
      </c>
      <c r="R564" s="1447">
        <f t="shared" ca="1" si="67"/>
        <v>0</v>
      </c>
      <c r="S564" s="1447">
        <f t="shared" ca="1" si="68"/>
        <v>0</v>
      </c>
      <c r="V564" s="2557" t="str">
        <f t="shared" ca="1" si="69"/>
        <v/>
      </c>
      <c r="W564" s="611" t="str">
        <f t="shared" ca="1" si="70"/>
        <v>Page5_CHV_MCI, Ligne 40 [Page5_CHV_MCI!L43]  -</v>
      </c>
    </row>
    <row r="565" spans="1:23">
      <c r="A565" s="1443" t="str">
        <f>celladdr(Page5_CHV_MCI!L44)</f>
        <v>Page5_CHV_MCI!L44</v>
      </c>
      <c r="B565" s="1444" t="s">
        <v>1086</v>
      </c>
      <c r="C565" s="1451"/>
      <c r="D565" s="1454"/>
      <c r="E565" s="1454"/>
      <c r="F565" s="1454"/>
      <c r="G565" s="1444" t="str">
        <f t="shared" si="64"/>
        <v/>
      </c>
      <c r="H565" s="1447" t="str">
        <f>IF(C565=TRUE,Comments!$B$26,"")</f>
        <v/>
      </c>
      <c r="I565" s="1446" t="str">
        <f>IF(D565=TRUE,Comments!$B$24,"")</f>
        <v/>
      </c>
      <c r="J565" s="1446"/>
      <c r="K565" s="1452"/>
      <c r="O565" s="611" t="str">
        <f t="shared" si="72"/>
        <v/>
      </c>
      <c r="P565" s="611" t="str">
        <f t="shared" si="65"/>
        <v>Page5_CHV_MCI!L</v>
      </c>
      <c r="Q565" s="611">
        <f t="shared" si="66"/>
        <v>44</v>
      </c>
      <c r="R565" s="1447">
        <f t="shared" ca="1" si="67"/>
        <v>0</v>
      </c>
      <c r="S565" s="1447">
        <f t="shared" ca="1" si="68"/>
        <v>0</v>
      </c>
      <c r="V565" s="2557" t="str">
        <f t="shared" ca="1" si="69"/>
        <v/>
      </c>
      <c r="W565" s="611" t="str">
        <f t="shared" ca="1" si="70"/>
        <v>Page5_CHV_MCI, Ligne 41 [Page5_CHV_MCI!L44]  -</v>
      </c>
    </row>
    <row r="566" spans="1:23">
      <c r="A566" s="1443" t="str">
        <f>celladdr(Page5_CHV_MCI!L45)</f>
        <v>Page5_CHV_MCI!L45</v>
      </c>
      <c r="B566" s="1456" t="s">
        <v>1086</v>
      </c>
      <c r="C566" s="1451" t="b">
        <f>Page5_CHV_MCI!$L$45&lt;0</f>
        <v>0</v>
      </c>
      <c r="D566" s="1454" t="b">
        <f>OR(AND(Page5_CHV_MCI!$L45&lt;&gt;0,Page5_CHV_MCI!$M45=0),AND(Page5_CHV_MCI!$M45&lt;&gt;0,Page5_CHV_MCI!$L45=0))</f>
        <v>0</v>
      </c>
      <c r="E566" s="1454"/>
      <c r="F566" s="1454"/>
      <c r="G566" s="1444" t="str">
        <f t="shared" si="64"/>
        <v/>
      </c>
      <c r="H566" s="1447" t="str">
        <f>IF(C566=TRUE,Comments!$B$23,"")</f>
        <v/>
      </c>
      <c r="I566" s="1446" t="str">
        <f>IF(D566=TRUE,Comments!$B$24,"")</f>
        <v/>
      </c>
      <c r="J566" s="1446"/>
      <c r="K566" s="1452"/>
      <c r="N566" s="611" t="str">
        <f>"CPTE # "&amp;Page5_CHV_MCI!$E$45&amp;"  "&amp;Page5_CHV_MCI!$C$45&amp;" - CHIFFRE D'AFFAIRES RÉALISÉ - AAD"</f>
        <v>CPTE # 439A  MÉMO* VENTES INTERNET CAMIONS - CHIFFRE D'AFFAIRES RÉALISÉ - AAD</v>
      </c>
      <c r="O566" s="611" t="str">
        <f t="shared" si="72"/>
        <v/>
      </c>
      <c r="P566" s="611" t="str">
        <f t="shared" si="65"/>
        <v>Page5_CHV_MCI!L</v>
      </c>
      <c r="Q566" s="611">
        <f t="shared" si="66"/>
        <v>45</v>
      </c>
      <c r="R566" s="1447">
        <f t="shared" ca="1" si="67"/>
        <v>0</v>
      </c>
      <c r="S566" s="1447">
        <f t="shared" ca="1" si="68"/>
        <v>0</v>
      </c>
      <c r="V566" s="2557" t="str">
        <f t="shared" ca="1" si="69"/>
        <v/>
      </c>
      <c r="W566" s="611" t="str">
        <f t="shared" ca="1" si="70"/>
        <v>Page5_CHV_MCI, Ligne 42 [Page5_CHV_MCI!L45]  -</v>
      </c>
    </row>
    <row r="567" spans="1:23">
      <c r="A567" s="1443" t="str">
        <f>celladdr(Page5_CHV_MCI!L46)</f>
        <v>Page5_CHV_MCI!L46</v>
      </c>
      <c r="B567" s="1456" t="s">
        <v>1086</v>
      </c>
      <c r="C567" s="1451" t="b">
        <f>Page5_CHV_MCI!$L$46&lt;0</f>
        <v>0</v>
      </c>
      <c r="D567" s="1454" t="b">
        <f>OR(AND(Page5_CHV_MCI!$L46&lt;&gt;0,Page5_CHV_MCI!$M46=0),AND(Page5_CHV_MCI!$M46&lt;&gt;0,Page5_CHV_MCI!$L46=0))</f>
        <v>0</v>
      </c>
      <c r="E567" s="1454" t="b">
        <f>ROUND(Page5_CHV_MCI!L46 + Page5_GMC_MCI!L46,2) &lt;&gt; ROUND(Page5_PARCS_GOUV!L20+Page5_PARCS_GOUV!L22+Page5_PARCS_GOUV!L24+Page5_PARCS_GOUV!L25+Page5_PARCS_GOUV!L27+Page5_PARCS_GOUV!L29+Page5_PARCS_GOUV!L31+Page5_PARCS_GOUV!L32+Page5_PARCS_GOUV!L33+Page5_PARCS_GOUV!L56+Page5_PARCS_GOUV!L56+Page5_PARCS_GOUV!L58+Page5_PARCS_GOUV!L60+Page5_PARCS_GOUV!L61+Page5_PARCS_GOUV!L63+Page5_PARCS_GOUV!L65+Page5_PARCS_GOUV!L67+Page5_PARCS_GOUV!L68+Page5_PARCS_GOUV!L69,2)</f>
        <v>0</v>
      </c>
      <c r="F567" s="1454"/>
      <c r="G567" s="1444" t="str">
        <f t="shared" si="64"/>
        <v/>
      </c>
      <c r="H567" s="1447" t="str">
        <f>IF(C567=TRUE,Comments!$B$23,"")</f>
        <v/>
      </c>
      <c r="I567" s="1446" t="str">
        <f>IF(D567=TRUE,Comments!$B$24,"")</f>
        <v/>
      </c>
      <c r="J567" s="1446" t="str">
        <f>IF(E567=TRUE, Comments!$B$98,"")</f>
        <v/>
      </c>
      <c r="K567" s="1452"/>
      <c r="N567" s="611" t="str">
        <f>"CPTE # "&amp;Page5_CHV_MCI!$E$46&amp;"  "&amp;Page5_CHV_MCI!$C$46&amp;" - CHIFFRE D'AFFAIRES RÉALISÉ - AAD"</f>
        <v>CPTE # DE PG PARCS  TOTAL PARCS - CAMIONS - CHIFFRE D'AFFAIRES RÉALISÉ - AAD</v>
      </c>
      <c r="O567" s="611" t="str">
        <f t="shared" si="72"/>
        <v/>
      </c>
      <c r="P567" s="611" t="str">
        <f t="shared" si="65"/>
        <v>Page5_CHV_MCI!L</v>
      </c>
      <c r="Q567" s="611">
        <f t="shared" si="66"/>
        <v>46</v>
      </c>
      <c r="R567" s="1447">
        <f t="shared" ca="1" si="67"/>
        <v>0</v>
      </c>
      <c r="S567" s="1447">
        <f t="shared" ca="1" si="68"/>
        <v>0</v>
      </c>
      <c r="T567" s="611">
        <v>98</v>
      </c>
      <c r="V567" s="2557" t="str">
        <f t="shared" ca="1" si="69"/>
        <v/>
      </c>
      <c r="W567" s="611" t="str">
        <f t="shared" ca="1" si="70"/>
        <v>Page5_CHV_MCI, Ligne 43 [Page5_CHV_MCI!L46]  -</v>
      </c>
    </row>
    <row r="568" spans="1:23">
      <c r="A568" s="1443" t="str">
        <f>celladdr(Page5_CHV_MCI!N46)</f>
        <v>Page5_CHV_MCI!N46</v>
      </c>
      <c r="B568" s="1456" t="s">
        <v>1086</v>
      </c>
      <c r="C568" s="1451"/>
      <c r="D568" s="1454"/>
      <c r="E568" s="1454" t="b">
        <f>ROUND(Page5_CHV_MCI!N46 + Page5_GMC_MCI!N46,2) &lt;&gt; ROUND(Page5_PARCS_GOUV!N20+Page5_PARCS_GOUV!N22+Page5_PARCS_GOUV!N24+Page5_PARCS_GOUV!N25+Page5_PARCS_GOUV!N27+Page5_PARCS_GOUV!N29+Page5_PARCS_GOUV!N31+Page5_PARCS_GOUV!N32+Page5_PARCS_GOUV!N33+Page5_PARCS_GOUV!N56+Page5_PARCS_GOUV!N56+Page5_PARCS_GOUV!N58+Page5_PARCS_GOUV!N60+Page5_PARCS_GOUV!N61+Page5_PARCS_GOUV!N63+Page5_PARCS_GOUV!N65+Page5_PARCS_GOUV!N67+Page5_PARCS_GOUV!N68+Page5_PARCS_GOUV!N69,2)</f>
        <v>0</v>
      </c>
      <c r="F568" s="1454"/>
      <c r="G568" s="1444" t="str">
        <f t="shared" si="64"/>
        <v/>
      </c>
      <c r="I568" s="1446"/>
      <c r="J568" s="1446" t="str">
        <f>IF(E568=TRUE, Comments!$B$99,"")</f>
        <v/>
      </c>
      <c r="K568" s="1452"/>
      <c r="N568" s="611" t="str">
        <f>"CPTE # "&amp;Page5_CHV_MCI!$E$46&amp;"  "&amp;Page5_CHV_MCI!$C$46&amp;" - PROFIT BRUT - AAD"</f>
        <v>CPTE # DE PG PARCS  TOTAL PARCS - CAMIONS - PROFIT BRUT - AAD</v>
      </c>
      <c r="O568" s="611" t="str">
        <f t="shared" si="72"/>
        <v/>
      </c>
      <c r="P568" s="611" t="str">
        <f t="shared" si="65"/>
        <v>Page5_CHV_MCI!N</v>
      </c>
      <c r="Q568" s="611">
        <f t="shared" si="66"/>
        <v>46</v>
      </c>
      <c r="R568" s="1447">
        <f t="shared" ca="1" si="67"/>
        <v>0</v>
      </c>
      <c r="S568" s="1447">
        <f t="shared" ca="1" si="68"/>
        <v>0</v>
      </c>
      <c r="T568" s="611">
        <v>99</v>
      </c>
      <c r="V568" s="2557" t="str">
        <f t="shared" ca="1" si="69"/>
        <v/>
      </c>
      <c r="W568" s="611" t="str">
        <f t="shared" ca="1" si="70"/>
        <v>Page5_CHV_MCI, Ligne 43 [Page5_CHV_MCI!N46]  -</v>
      </c>
    </row>
    <row r="569" spans="1:23">
      <c r="A569" s="1443" t="str">
        <f>celladdr(Page5_CHV_MCI!L47)</f>
        <v>Page5_CHV_MCI!L47</v>
      </c>
      <c r="B569" s="1456" t="s">
        <v>1086</v>
      </c>
      <c r="C569" s="1451" t="b">
        <f>Page5_CHV_MCI!$L$47&lt;0</f>
        <v>0</v>
      </c>
      <c r="D569" s="1454" t="b">
        <f>OR(AND(Page5_CHV_MCI!$L47&lt;&gt;0,Page5_CHV_MCI!$M47=0),AND(Page5_CHV_MCI!$M47&lt;&gt;0,Page5_CHV_MCI!$L47=0))</f>
        <v>0</v>
      </c>
      <c r="E569" s="1454"/>
      <c r="F569" s="1454"/>
      <c r="G569" s="1444" t="str">
        <f t="shared" si="64"/>
        <v/>
      </c>
      <c r="H569" s="1447" t="str">
        <f>IF(C569=TRUE,Comments!$B$23,"")</f>
        <v/>
      </c>
      <c r="I569" s="1446" t="str">
        <f>IF(D569=TRUE,Comments!$B$24,"")</f>
        <v/>
      </c>
      <c r="J569" s="1446"/>
      <c r="K569" s="1452"/>
      <c r="N569" s="611" t="str">
        <f>"CPTE # "&amp;Page5_CHV_MCI!$E$47&amp;"  "&amp;Page5_CHV_MCI!$C$47&amp;" - CHIFFRE D'AFFAIRES RÉALISÉ - AAD"</f>
        <v>CPTE # 441A  TOTAL IINTERNE - CAMIONS  - CHIFFRE D'AFFAIRES RÉALISÉ - AAD</v>
      </c>
      <c r="O569" s="611" t="str">
        <f>IF(A569=A567,"TRUE","")</f>
        <v/>
      </c>
      <c r="P569" s="611" t="str">
        <f t="shared" si="65"/>
        <v>Page5_CHV_MCI!L</v>
      </c>
      <c r="Q569" s="611">
        <f t="shared" si="66"/>
        <v>47</v>
      </c>
      <c r="R569" s="1447">
        <f t="shared" ca="1" si="67"/>
        <v>0</v>
      </c>
      <c r="S569" s="1447">
        <f t="shared" ca="1" si="68"/>
        <v>0</v>
      </c>
      <c r="V569" s="2557" t="str">
        <f t="shared" ca="1" si="69"/>
        <v/>
      </c>
      <c r="W569" s="611" t="str">
        <f t="shared" ca="1" si="70"/>
        <v>Page5_CHV_MCI, Ligne 44 [Page5_CHV_MCI!L47]  -</v>
      </c>
    </row>
    <row r="570" spans="1:23">
      <c r="A570" s="1443" t="str">
        <f>celladdr(Page5_CHV_MCI!L48)</f>
        <v>Page5_CHV_MCI!L48</v>
      </c>
      <c r="B570" s="1444" t="s">
        <v>1086</v>
      </c>
      <c r="C570" s="1451"/>
      <c r="D570" s="1454"/>
      <c r="E570" s="1454"/>
      <c r="F570" s="1454"/>
      <c r="G570" s="1444" t="str">
        <f t="shared" si="64"/>
        <v/>
      </c>
      <c r="H570" s="1447" t="str">
        <f>IF(C570=TRUE,Comments!$B$26,"")</f>
        <v/>
      </c>
      <c r="I570" s="1446" t="str">
        <f>IF(D570=TRUE,Comments!$B$24,"")</f>
        <v/>
      </c>
      <c r="J570" s="1446"/>
      <c r="K570" s="1452"/>
      <c r="O570" s="611" t="str">
        <f t="shared" ref="O570:O601" si="73">IF(A570=A569,"TRUE","")</f>
        <v/>
      </c>
      <c r="P570" s="611" t="str">
        <f t="shared" si="65"/>
        <v>Page5_CHV_MCI!L</v>
      </c>
      <c r="Q570" s="611">
        <f t="shared" si="66"/>
        <v>48</v>
      </c>
      <c r="R570" s="1447">
        <f t="shared" ca="1" si="67"/>
        <v>0</v>
      </c>
      <c r="S570" s="1447">
        <f t="shared" ca="1" si="68"/>
        <v>0</v>
      </c>
      <c r="V570" s="2557" t="str">
        <f t="shared" ca="1" si="69"/>
        <v/>
      </c>
      <c r="W570" s="611" t="str">
        <f t="shared" ca="1" si="70"/>
        <v>Page5_CHV_MCI, Ligne 45 [Page5_CHV_MCI!L48]  -</v>
      </c>
    </row>
    <row r="571" spans="1:23">
      <c r="A571" s="1443" t="str">
        <f>celladdr(Page5_CHV_MCI!L49)</f>
        <v>Page5_CHV_MCI!L49</v>
      </c>
      <c r="B571" s="1456" t="s">
        <v>1086</v>
      </c>
      <c r="C571" s="1451" t="b">
        <f>Page5_CHV_MCI!$L$49&lt;0</f>
        <v>0</v>
      </c>
      <c r="D571" s="1454" t="b">
        <f>OR(AND(Page5_CHV_MCI!$L49&lt;&gt;0,Page5_CHV_MCI!$M49=0),AND(Page5_CHV_MCI!$M49&lt;&gt;0,Page5_CHV_MCI!$L49=0))</f>
        <v>0</v>
      </c>
      <c r="E571" s="1454"/>
      <c r="F571" s="1454"/>
      <c r="G571" s="1444" t="str">
        <f t="shared" si="64"/>
        <v/>
      </c>
      <c r="H571" s="1447" t="str">
        <f>IF(C571=TRUE,Comments!$B$23,"")</f>
        <v/>
      </c>
      <c r="I571" s="1446" t="str">
        <f>IF(D571=TRUE,Comments!$B$24,"")</f>
        <v/>
      </c>
      <c r="J571" s="1446"/>
      <c r="K571" s="1452"/>
      <c r="N571" s="611" t="str">
        <f>"CPTE # "&amp;Page5_CHV_MCI!$E$49&amp;"  "&amp;Page5_CHV_MCI!$C$49&amp;" - CHIFFRE D'AFFAIRES RÉALISÉ - AAD"</f>
        <v>CPTE #      - CHIFFRE D'AFFAIRES RÉALISÉ - AAD</v>
      </c>
      <c r="O571" s="611" t="str">
        <f t="shared" si="73"/>
        <v/>
      </c>
      <c r="P571" s="611" t="str">
        <f t="shared" si="65"/>
        <v>Page5_CHV_MCI!L</v>
      </c>
      <c r="Q571" s="611">
        <f t="shared" si="66"/>
        <v>49</v>
      </c>
      <c r="R571" s="1447">
        <f t="shared" ca="1" si="67"/>
        <v>0</v>
      </c>
      <c r="S571" s="1447">
        <f t="shared" ca="1" si="68"/>
        <v>0</v>
      </c>
      <c r="V571" s="2557" t="str">
        <f t="shared" ca="1" si="69"/>
        <v/>
      </c>
      <c r="W571" s="611" t="str">
        <f t="shared" ca="1" si="70"/>
        <v>Page5_CHV_MCI, Ligne 46 [Page5_CHV_MCI!L49]  -</v>
      </c>
    </row>
    <row r="572" spans="1:23">
      <c r="A572" s="1443" t="str">
        <f>celladdr(Page5_CHV_MCI!L50)</f>
        <v>Page5_CHV_MCI!L50</v>
      </c>
      <c r="B572" s="1456" t="s">
        <v>1086</v>
      </c>
      <c r="C572" s="1451" t="b">
        <f>Page5_CHV_MCI!$L$50&lt;0</f>
        <v>0</v>
      </c>
      <c r="D572" s="1454" t="b">
        <f>OR(AND(Page5_CHV_MCI!$L50&lt;&gt;0,Page5_CHV_MCI!$M50=0),AND(Page5_CHV_MCI!$M50&lt;&gt;0,Page5_CHV_MCI!$L50=0))</f>
        <v>0</v>
      </c>
      <c r="E572" s="1454"/>
      <c r="F572" s="1454"/>
      <c r="G572" s="1444" t="str">
        <f t="shared" si="64"/>
        <v/>
      </c>
      <c r="H572" s="1447" t="str">
        <f>IF(C572=TRUE,Comments!$B$23,"")</f>
        <v/>
      </c>
      <c r="I572" s="1446" t="str">
        <f>IF(D572=TRUE,Comments!$B$24,"")</f>
        <v/>
      </c>
      <c r="J572" s="1446"/>
      <c r="K572" s="1452"/>
      <c r="N572" s="611" t="str">
        <f>"CPTE # "&amp;Page5_CHV_MCI!$E$50&amp;"  "&amp;Page5_CHV_MCI!$C$50&amp;" - CHIFFRE D'AFFAIRES RÉALISÉ - AAD"</f>
        <v>CPTE # 457A  ACCESSOIRES - CHIFFRE D'AFFAIRES RÉALISÉ - AAD</v>
      </c>
      <c r="O572" s="611" t="str">
        <f t="shared" si="73"/>
        <v/>
      </c>
      <c r="P572" s="611" t="str">
        <f t="shared" si="65"/>
        <v>Page5_CHV_MCI!L</v>
      </c>
      <c r="Q572" s="611">
        <f t="shared" si="66"/>
        <v>50</v>
      </c>
      <c r="R572" s="1447">
        <f t="shared" ca="1" si="67"/>
        <v>0</v>
      </c>
      <c r="S572" s="1447">
        <f t="shared" ca="1" si="68"/>
        <v>0</v>
      </c>
      <c r="V572" s="2557" t="str">
        <f t="shared" ca="1" si="69"/>
        <v/>
      </c>
      <c r="W572" s="611" t="str">
        <f t="shared" ca="1" si="70"/>
        <v>Page5_CHV_MCI, Ligne 47 [Page5_CHV_MCI!L50]  -</v>
      </c>
    </row>
    <row r="573" spans="1:23">
      <c r="A573" s="1443" t="str">
        <f>celladdr(Page5_CHV_MCI!M4)</f>
        <v>Page5_CHV_MCI!M4</v>
      </c>
      <c r="B573" s="1456" t="s">
        <v>1086</v>
      </c>
      <c r="C573" s="1451" t="b">
        <f>IF(Page5_CHV_MCI!$K$4=0,FALSE,OR(Page5_CHV_MCI!$M$4/Page5_CHV_MCI!$K$4&lt;INDEX(Min_Table,L573),Page5_CHV_MCI!$M$4/Page5_CHV_MCI!$K$4&gt;INDEX(Max_Table,L573)))</f>
        <v>0</v>
      </c>
      <c r="D573" s="1454" t="b">
        <f>OR(AND(Page5_CHV_MCI!$L4&lt;&gt;0,Page5_CHV_MCI!$M4=0),AND(Page5_CHV_MCI!$M4&lt;&gt;0,Page5_CHV_MCI!$L4=0))</f>
        <v>0</v>
      </c>
      <c r="E573" s="1454" t="b">
        <f>IF(Page5_CHV_MCI!$K$4=0,FALSE,OR(Page5_CHV_MCI!$M$4/Page5_CHV_MCI!$K$4&lt;INDEX(Min_Table,M573),Page5_CHV_MCI!$M$4/Page5_CHV_MCI!$K$4&gt;INDEX(Max_Table,M573)))</f>
        <v>0</v>
      </c>
      <c r="F573" s="1454"/>
      <c r="G573" s="1444" t="str">
        <f t="shared" si="64"/>
        <v/>
      </c>
      <c r="H573" s="1447" t="str">
        <f>IF(C573=TRUE,Comments!$B$20&amp;DOLLAR(INDEX(Min_Table,L573),0)&amp;Comments!$B$18&amp;DOLLAR(INDEX(Max_Table,L573),0)&amp;Comments!$B$19&amp;DOLLAR(Page5_CHV_MCI!$M$4/Page5_CHV_MCI!$K$4,0),"")</f>
        <v/>
      </c>
      <c r="I573" s="1446" t="str">
        <f>IF(D573=TRUE,Comments!$B$24,"")</f>
        <v/>
      </c>
      <c r="J573" s="1446" t="str">
        <f>IF(E573=TRUE,Comments!$B$22&amp;DOLLAR(INDEX(Min_Table,M573),0)&amp;Comments!$B$18&amp;DOLLAR(INDEX(Max_Table,M573),0)&amp;IFERROR(Comments!$B$19&amp;DOLLAR(Page5_CHV_MCI!$M$4/Page5_CHV_MCI!$K$4,0),0),"")</f>
        <v/>
      </c>
      <c r="K573" s="1452"/>
      <c r="L573" s="611">
        <f>ROW(OR_VEH!$A$667)</f>
        <v>667</v>
      </c>
      <c r="M573" s="611">
        <f>ROW(OR_VEH!$A$3)</f>
        <v>3</v>
      </c>
      <c r="N573" s="611" t="str">
        <f>"CPTE # "&amp;Page5_CHV_MCI!$E$4&amp;"  "&amp;Page5_CHV_MCI!$C$4&amp;" - COÛT DES VENTES - AAD"</f>
        <v>CPTE # 400A  VOLT - COÛT DES VENTES - AAD</v>
      </c>
      <c r="O573" s="611" t="str">
        <f t="shared" si="73"/>
        <v/>
      </c>
      <c r="P573" s="611" t="str">
        <f t="shared" si="65"/>
        <v>Page5_CHV_MCI!M</v>
      </c>
      <c r="Q573" s="611">
        <f t="shared" si="66"/>
        <v>4</v>
      </c>
      <c r="R573" s="1447">
        <f t="shared" ca="1" si="67"/>
        <v>0</v>
      </c>
      <c r="S573" s="1447">
        <f t="shared" ca="1" si="68"/>
        <v>0</v>
      </c>
      <c r="T573" s="611">
        <v>22</v>
      </c>
      <c r="V573" s="2557" t="str">
        <f t="shared" ca="1" si="69"/>
        <v/>
      </c>
      <c r="W573" s="611" t="str">
        <f t="shared" ca="1" si="70"/>
        <v>Page5_CHV_MCI, Ligne 1 [Page5_CHV_MCI!M4]  -</v>
      </c>
    </row>
    <row r="574" spans="1:23">
      <c r="A574" s="1443" t="str">
        <f>celladdr(Page5_CHV_MCI!M5)</f>
        <v>Page5_CHV_MCI!M5</v>
      </c>
      <c r="B574" s="1456" t="s">
        <v>1086</v>
      </c>
      <c r="C574" s="1451" t="b">
        <f>IF(Page5_CHV_MCI!$K$5=0,FALSE,OR(Page5_CHV_MCI!$M$5/Page5_CHV_MCI!$K$5&lt;INDEX(Min_Table,L574),Page5_CHV_MCI!$M$5/Page5_CHV_MCI!$K$5&gt;INDEX(Max_Table,L574)))</f>
        <v>0</v>
      </c>
      <c r="D574" s="1454" t="b">
        <f>OR(AND(Page5_CHV_MCI!$L5&lt;&gt;0,Page5_CHV_MCI!$M5=0),AND(Page5_CHV_MCI!$M5&lt;&gt;0,Page5_CHV_MCI!$L5=0))</f>
        <v>0</v>
      </c>
      <c r="E574" s="1454" t="b">
        <f>IF(Page5_CHV_MCI!$K$5=0,FALSE,OR(Page5_CHV_MCI!$M$5/Page5_CHV_MCI!$K$5&lt;INDEX(Min_Table,M574),Page5_CHV_MCI!$M$5/Page5_CHV_MCI!$K$5&gt;INDEX(Max_Table,M574)))</f>
        <v>0</v>
      </c>
      <c r="F574" s="1454"/>
      <c r="G574" s="1444" t="str">
        <f t="shared" si="64"/>
        <v/>
      </c>
      <c r="H574" s="1447" t="str">
        <f>IF(C574=TRUE,Comments!$B$20&amp;DOLLAR(INDEX(Min_Table,L574),0)&amp;Comments!$B$18&amp;DOLLAR(INDEX(Max_Table,L574),0)&amp;Comments!$B$19&amp;DOLLAR(Page5_CHV_MCI!$M$5/Page5_CHV_MCI!$K$5,0),"")</f>
        <v/>
      </c>
      <c r="I574" s="1446" t="str">
        <f>IF(D574=TRUE,Comments!$B$24,"")</f>
        <v/>
      </c>
      <c r="J574" s="1446" t="str">
        <f>IF(E574=TRUE,Comments!$B$22&amp;DOLLAR(INDEX(Min_Table,M574),0)&amp;Comments!$B$18&amp;DOLLAR(INDEX(Max_Table,M574),0)&amp;IFERROR(Comments!$B$19&amp;DOLLAR(Page5_CHV_MCI!$M$5/Page5_CHV_MCI!$K$5,0),0),"")</f>
        <v/>
      </c>
      <c r="K574" s="1452"/>
      <c r="L574" s="611">
        <f>ROW(OR_VEH!$A$667)</f>
        <v>667</v>
      </c>
      <c r="M574" s="611">
        <f>ROW(OR_VEH!$A$4)</f>
        <v>4</v>
      </c>
      <c r="N574" s="611" t="str">
        <f>"CPTE # "&amp;Page5_CHV_MCI!$E$5&amp;"  "&amp;Page5_CHV_MCI!$C$5&amp;" - COÛT DES VENTES - AAD"</f>
        <v>CPTE # 401A  MALIBU - COÛT DES VENTES - AAD</v>
      </c>
      <c r="O574" s="611" t="str">
        <f t="shared" si="73"/>
        <v/>
      </c>
      <c r="P574" s="611" t="str">
        <f t="shared" si="65"/>
        <v>Page5_CHV_MCI!M</v>
      </c>
      <c r="Q574" s="611">
        <f t="shared" si="66"/>
        <v>5</v>
      </c>
      <c r="R574" s="1447">
        <f t="shared" ca="1" si="67"/>
        <v>0</v>
      </c>
      <c r="S574" s="1447">
        <f t="shared" ca="1" si="68"/>
        <v>0</v>
      </c>
      <c r="T574" s="611">
        <v>22</v>
      </c>
      <c r="V574" s="2557" t="str">
        <f t="shared" ca="1" si="69"/>
        <v/>
      </c>
      <c r="W574" s="611" t="str">
        <f t="shared" ca="1" si="70"/>
        <v>Page5_CHV_MCI, Ligne 2 [Page5_CHV_MCI!M5]  -</v>
      </c>
    </row>
    <row r="575" spans="1:23">
      <c r="A575" s="1443" t="str">
        <f>celladdr(Page5_CHV_MCI!M6)</f>
        <v>Page5_CHV_MCI!M6</v>
      </c>
      <c r="B575" s="1456" t="s">
        <v>1086</v>
      </c>
      <c r="C575" s="1451" t="b">
        <f>IF(Page5_CHV_MCI!$K$6=0,FALSE,OR(Page5_CHV_MCI!$M$6/Page5_CHV_MCI!$K$6&lt;INDEX(Min_Table,L575),Page5_CHV_MCI!$M$6/Page5_CHV_MCI!$K$6&gt;INDEX(Max_Table,L575)))</f>
        <v>0</v>
      </c>
      <c r="D575" s="1454" t="b">
        <f>OR(AND(Page5_CHV_MCI!$L6&lt;&gt;0,Page5_CHV_MCI!$M6=0),AND(Page5_CHV_MCI!$M6&lt;&gt;0,Page5_CHV_MCI!$L6=0))</f>
        <v>0</v>
      </c>
      <c r="E575" s="1454" t="b">
        <f>IF(Page5_CHV_MCI!$K$6=0,FALSE,OR(Page5_CHV_MCI!$M$6/Page5_CHV_MCI!$K$6&lt;INDEX(Min_Table,M575),Page5_CHV_MCI!$M$6/Page5_CHV_MCI!$K$6&gt;INDEX(Max_Table,M575)))</f>
        <v>0</v>
      </c>
      <c r="F575" s="1454"/>
      <c r="G575" s="1444" t="str">
        <f t="shared" si="64"/>
        <v/>
      </c>
      <c r="H575" s="1447" t="str">
        <f>IF(C575=TRUE,Comments!$B$20&amp;DOLLAR(INDEX(Min_Table,L575),0)&amp;Comments!$B$18&amp;DOLLAR(INDEX(Max_Table,L575),0)&amp;Comments!$B$19&amp;DOLLAR(Page5_CHV_MCI!$M$6/Page5_CHV_MCI!$K$6,0),"")</f>
        <v/>
      </c>
      <c r="I575" s="1446" t="str">
        <f>IF(D575=TRUE,Comments!$B$24,"")</f>
        <v/>
      </c>
      <c r="J575" s="1446" t="str">
        <f>IF(E575=TRUE,Comments!$B$22&amp;DOLLAR(INDEX(Min_Table,M575),0)&amp;Comments!$B$18&amp;DOLLAR(INDEX(Max_Table,M575),0)&amp;IFERROR(Comments!$B$19&amp;DOLLAR(Page5_CHV_MCI!$M$6/Page5_CHV_MCI!$K$6,0),0),"")</f>
        <v/>
      </c>
      <c r="K575" s="1452"/>
      <c r="L575" s="611">
        <f>ROW(OR_VEH!$A$667)</f>
        <v>667</v>
      </c>
      <c r="M575" s="611">
        <f>ROW(OR_VEH!$A$5)</f>
        <v>5</v>
      </c>
      <c r="N575" s="611" t="str">
        <f>"CPTE # "&amp;Page5_CHV_MCI!$E$6&amp;"  "&amp;Page5_CHV_MCI!$C$6&amp;" - COÛT DES VENTES - AAD"</f>
        <v>CPTE # 402A  SONIC - COÛT DES VENTES - AAD</v>
      </c>
      <c r="O575" s="611" t="str">
        <f t="shared" si="73"/>
        <v/>
      </c>
      <c r="P575" s="611" t="str">
        <f t="shared" si="65"/>
        <v>Page5_CHV_MCI!M</v>
      </c>
      <c r="Q575" s="611">
        <f t="shared" si="66"/>
        <v>6</v>
      </c>
      <c r="R575" s="1447">
        <f t="shared" ca="1" si="67"/>
        <v>0</v>
      </c>
      <c r="S575" s="1447">
        <f t="shared" ca="1" si="68"/>
        <v>0</v>
      </c>
      <c r="T575" s="611">
        <v>22</v>
      </c>
      <c r="V575" s="2557" t="str">
        <f t="shared" ca="1" si="69"/>
        <v/>
      </c>
      <c r="W575" s="611" t="str">
        <f t="shared" ca="1" si="70"/>
        <v>Page5_CHV_MCI, Ligne 3 [Page5_CHV_MCI!M6]  -</v>
      </c>
    </row>
    <row r="576" spans="1:23">
      <c r="A576" s="1443" t="str">
        <f>celladdr(Page5_CHV_MCI!M7)</f>
        <v>Page5_CHV_MCI!M7</v>
      </c>
      <c r="B576" s="1456" t="s">
        <v>1086</v>
      </c>
      <c r="C576" s="1451" t="b">
        <f>IF(Page5_CHV_MCI!$K$7=0,FALSE,OR(Page5_CHV_MCI!$M$7/Page5_CHV_MCI!$K$7&lt;INDEX(Min_Table,L576),Page5_CHV_MCI!$M$7/Page5_CHV_MCI!$K$7&gt;INDEX(Max_Table,L576)))</f>
        <v>0</v>
      </c>
      <c r="D576" s="1454" t="b">
        <f>OR(AND(Page5_CHV_MCI!$L7&lt;&gt;0,Page5_CHV_MCI!$M7=0),AND(Page5_CHV_MCI!$M7&lt;&gt;0,Page5_CHV_MCI!$L7=0))</f>
        <v>0</v>
      </c>
      <c r="E576" s="1454" t="b">
        <f>IF(Page5_CHV_MCI!$K$7=0,FALSE,OR(Page5_CHV_MCI!$M$7/Page5_CHV_MCI!$K$7&lt;INDEX(Min_Table,M576),Page5_CHV_MCI!$M$7/Page5_CHV_MCI!$K$7&gt;INDEX(Max_Table,M576)))</f>
        <v>0</v>
      </c>
      <c r="F576" s="1454"/>
      <c r="G576" s="1444" t="str">
        <f t="shared" si="64"/>
        <v/>
      </c>
      <c r="H576" s="1447" t="str">
        <f>IF(C576=TRUE,Comments!$B$20&amp;DOLLAR(INDEX(Min_Table,L576),0)&amp;Comments!$B$18&amp;DOLLAR(INDEX(Max_Table,L576),0)&amp;Comments!$B$19&amp;DOLLAR(Page5_CHV_MCI!$M$7/Page5_CHV_MCI!$K$7,0),"")</f>
        <v/>
      </c>
      <c r="I576" s="1446" t="str">
        <f>IF(D576=TRUE,Comments!$B$24,"")</f>
        <v/>
      </c>
      <c r="J576" s="1446" t="str">
        <f>IF(E576=TRUE,Comments!$B$22&amp;DOLLAR(INDEX(Min_Table,M576),0)&amp;Comments!$B$18&amp;DOLLAR(INDEX(Max_Table,M576),0)&amp;IFERROR(Comments!$B$19&amp;DOLLAR(Page5_CHV_MCI!$M$7/Page5_CHV_MCI!$K$7,0),0),"")</f>
        <v/>
      </c>
      <c r="K576" s="1452"/>
      <c r="L576" s="611">
        <f>ROW(OR_VEH!$A$667)</f>
        <v>667</v>
      </c>
      <c r="M576" s="611">
        <f>ROW(OR_VEH!$A$6)</f>
        <v>6</v>
      </c>
      <c r="N576" s="611" t="str">
        <f>"CPTE # "&amp;Page5_CHV_MCI!$E$7&amp;"  "&amp;Page5_CHV_MCI!$C$7&amp;" - COÛT DES VENTES - AAD"</f>
        <v>CPTE # 403A  IMPALA - COÛT DES VENTES - AAD</v>
      </c>
      <c r="O576" s="611" t="str">
        <f t="shared" si="73"/>
        <v/>
      </c>
      <c r="P576" s="611" t="str">
        <f t="shared" si="65"/>
        <v>Page5_CHV_MCI!M</v>
      </c>
      <c r="Q576" s="611">
        <f t="shared" si="66"/>
        <v>7</v>
      </c>
      <c r="R576" s="1447">
        <f t="shared" ca="1" si="67"/>
        <v>0</v>
      </c>
      <c r="S576" s="1447">
        <f t="shared" ca="1" si="68"/>
        <v>0</v>
      </c>
      <c r="T576" s="611">
        <v>22</v>
      </c>
      <c r="V576" s="2557" t="str">
        <f t="shared" ca="1" si="69"/>
        <v/>
      </c>
      <c r="W576" s="611" t="str">
        <f t="shared" ca="1" si="70"/>
        <v>Page5_CHV_MCI, Ligne 4 [Page5_CHV_MCI!M7]  -</v>
      </c>
    </row>
    <row r="577" spans="1:23">
      <c r="A577" s="1443" t="str">
        <f>celladdr(Page5_CHV_MCI!M8)</f>
        <v>Page5_CHV_MCI!M8</v>
      </c>
      <c r="B577" s="1456" t="s">
        <v>1086</v>
      </c>
      <c r="C577" s="1451" t="b">
        <f>IF(Page5_CHV_MCI!$K$8=0,FALSE,OR(Page5_CHV_MCI!$M$8/Page5_CHV_MCI!$K$8&lt;INDEX(Min_Table,L577),Page5_CHV_MCI!$M$8/Page5_CHV_MCI!$K$8&gt;INDEX(Max_Table,L577)))</f>
        <v>0</v>
      </c>
      <c r="D577" s="1454" t="b">
        <f>OR(AND(Page5_CHV_MCI!$L8&lt;&gt;0,Page5_CHV_MCI!$M8=0),AND(Page5_CHV_MCI!$M8&lt;&gt;0,Page5_CHV_MCI!$L8=0))</f>
        <v>0</v>
      </c>
      <c r="E577" s="1454" t="b">
        <f>IF(Page5_CHV_MCI!$K$8=0,FALSE,OR(Page5_CHV_MCI!$M$8/Page5_CHV_MCI!$K$8&lt;INDEX(Min_Table,M577),Page5_CHV_MCI!$M$8/Page5_CHV_MCI!$K$8&gt;INDEX(Max_Table,M577)))</f>
        <v>0</v>
      </c>
      <c r="F577" s="1454"/>
      <c r="G577" s="1444" t="str">
        <f t="shared" si="64"/>
        <v/>
      </c>
      <c r="H577" s="1447" t="str">
        <f>IF(C577=TRUE,Comments!$B$20&amp;DOLLAR(INDEX(Min_Table,L577),0)&amp;Comments!$B$18&amp;DOLLAR(INDEX(Max_Table,L577),0)&amp;Comments!$B$19&amp;DOLLAR(Page5_CHV_MCI!$M$8/Page5_CHV_MCI!$K$8,0),"")</f>
        <v/>
      </c>
      <c r="I577" s="1446" t="str">
        <f>IF(D577=TRUE,Comments!$B$24,"")</f>
        <v/>
      </c>
      <c r="J577" s="1446" t="str">
        <f>IF(E577=TRUE,Comments!$B$22&amp;DOLLAR(INDEX(Min_Table,M577),0)&amp;Comments!$B$18&amp;DOLLAR(INDEX(Max_Table,M577),0)&amp;IFERROR(Comments!$B$19&amp;DOLLAR(Page5_CHV_MCI!$M$8/Page5_CHV_MCI!$K$8,0),0),"")</f>
        <v/>
      </c>
      <c r="K577" s="1452"/>
      <c r="L577" s="611">
        <f>ROW(OR_VEH!$A$667)</f>
        <v>667</v>
      </c>
      <c r="M577" s="611">
        <f>ROW(OR_VEH!$A$7)</f>
        <v>7</v>
      </c>
      <c r="N577" s="611" t="str">
        <f>"CPTE # "&amp;Page5_CHV_MCI!$E$8&amp;"  "&amp;Page5_CHV_MCI!$C$8&amp;" - COÛT DES VENTES - AAD"</f>
        <v>CPTE # 404A  SPARK - COÛT DES VENTES - AAD</v>
      </c>
      <c r="O577" s="611" t="str">
        <f t="shared" si="73"/>
        <v/>
      </c>
      <c r="P577" s="611" t="str">
        <f t="shared" si="65"/>
        <v>Page5_CHV_MCI!M</v>
      </c>
      <c r="Q577" s="611">
        <f t="shared" si="66"/>
        <v>8</v>
      </c>
      <c r="R577" s="1447">
        <f t="shared" ca="1" si="67"/>
        <v>0</v>
      </c>
      <c r="S577" s="1447">
        <f t="shared" ca="1" si="68"/>
        <v>0</v>
      </c>
      <c r="T577" s="611">
        <v>22</v>
      </c>
      <c r="V577" s="2557" t="str">
        <f t="shared" ca="1" si="69"/>
        <v/>
      </c>
      <c r="W577" s="611" t="str">
        <f t="shared" ca="1" si="70"/>
        <v>Page5_CHV_MCI, Ligne 5 [Page5_CHV_MCI!M8]  -</v>
      </c>
    </row>
    <row r="578" spans="1:23">
      <c r="A578" s="1443" t="str">
        <f>celladdr(Page5_CHV_MCI!M9)</f>
        <v>Page5_CHV_MCI!M9</v>
      </c>
      <c r="B578" s="1456" t="s">
        <v>1086</v>
      </c>
      <c r="C578" s="1451" t="b">
        <f>IF(Page5_CHV_MCI!$K$9=0,FALSE,OR(Page5_CHV_MCI!$M$9/Page5_CHV_MCI!$K$9&lt;INDEX(Min_Table,L578),Page5_CHV_MCI!$M$9/Page5_CHV_MCI!$K$9&gt;INDEX(Max_Table,L578)))</f>
        <v>0</v>
      </c>
      <c r="D578" s="1454" t="b">
        <f>OR(AND(Page5_CHV_MCI!$L9&lt;&gt;0,Page5_CHV_MCI!$M9=0),AND(Page5_CHV_MCI!$M9&lt;&gt;0,Page5_CHV_MCI!$L9=0))</f>
        <v>0</v>
      </c>
      <c r="E578" s="1454" t="b">
        <f>IF(Page5_CHV_MCI!$K$9=0,FALSE,OR(Page5_CHV_MCI!$M$9/Page5_CHV_MCI!$K$9&lt;INDEX(Min_Table,M578),Page5_CHV_MCI!$M$9/Page5_CHV_MCI!$K$9&gt;INDEX(Max_Table,M578)))</f>
        <v>0</v>
      </c>
      <c r="F578" s="1454"/>
      <c r="G578" s="1444" t="str">
        <f t="shared" ref="G578:G641" si="74">IF(H578&amp;I578&amp;J578&amp;K578&lt;&gt;"","No.de ref. du commentaire.: "&amp;W578&amp;" "&amp;N578&amp;" "&amp;H578&amp;I578&amp;IF(OR(C578=TRUE,D578=TRUE),"",J578&amp;K578&amp;V578),"")</f>
        <v/>
      </c>
      <c r="H578" s="1447" t="str">
        <f>IF(C578=TRUE,Comments!$B$20&amp;DOLLAR(INDEX(Min_Table,L578),0)&amp;Comments!$B$18&amp;DOLLAR(INDEX(Max_Table,L578),0)&amp;Comments!$B$19&amp;DOLLAR(Page5_CHV_MCI!$M$9/Page5_CHV_MCI!$K$9,0),"")</f>
        <v/>
      </c>
      <c r="I578" s="1446" t="str">
        <f>IF(D578=TRUE,Comments!$B$24,"")</f>
        <v/>
      </c>
      <c r="J578" s="1446" t="str">
        <f>IF(E578=TRUE,Comments!$B$22&amp;DOLLAR(INDEX(Min_Table,M578),0)&amp;Comments!$B$18&amp;DOLLAR(INDEX(Max_Table,M578),0)&amp;IFERROR(Comments!$B$19&amp;DOLLAR(Page5_CHV_MCI!$M$9/Page5_CHV_MCI!$K$9,0),0),"")</f>
        <v/>
      </c>
      <c r="K578" s="1452"/>
      <c r="L578" s="611">
        <f>ROW(OR_VEH!$A$667)</f>
        <v>667</v>
      </c>
      <c r="M578" s="611">
        <f>ROW(OR_VEH!$A$8)</f>
        <v>8</v>
      </c>
      <c r="N578" s="611" t="str">
        <f>"CPTE # "&amp;Page5_CHV_MCI!$E$9&amp;"  "&amp;Page5_CHV_MCI!$C$9&amp;" - COÛT DES VENTES - AAD"</f>
        <v>CPTE # 405A  CORVETTE - COÛT DES VENTES - AAD</v>
      </c>
      <c r="O578" s="611" t="str">
        <f t="shared" si="73"/>
        <v/>
      </c>
      <c r="P578" s="611" t="str">
        <f t="shared" ref="P578:P641" si="75">LEFT(A578,FIND("!",A578)+1)</f>
        <v>Page5_CHV_MCI!M</v>
      </c>
      <c r="Q578" s="611">
        <f t="shared" ref="Q578:Q641" si="76">VALUE(RIGHT(A578,LEN(A578)-FIND("!",A578)-1))</f>
        <v>9</v>
      </c>
      <c r="R578" s="1447">
        <f t="shared" ref="R578:R641" ca="1" si="77">IF(E578=TRUE,INDIRECT("Comments!$D$"&amp;T578),0)</f>
        <v>0</v>
      </c>
      <c r="S578" s="1447">
        <f t="shared" ref="S578:S641" ca="1" si="78">IF(F578=TRUE,INDIRECT("Comments!$D$"&amp;U578),0)</f>
        <v>0</v>
      </c>
      <c r="T578" s="611">
        <v>22</v>
      </c>
      <c r="V578" s="2557" t="str">
        <f t="shared" ref="V578:V641" ca="1" si="79">IF(SUM(R578+S578)=0,"","
*** "&amp;TEXT(SUM(R578+S578),"0,0")&amp;" Points de précision seront déduits suite à cette(ces) erreur(s) !")</f>
        <v/>
      </c>
      <c r="W578" s="611" t="str">
        <f t="shared" ref="W578:W641" ca="1" si="80">LEFT(A578,FIND("!",A578,1)-1)&amp;", Ligne "&amp;INDIRECT(ADDRESS(ROW(INDIRECT(A578)),IF(INDIRECT(ADDRESS(ROW(INDIRECT(A578)),1,,,LEFT(A578,FIND("!",A578,1)-1)))="",2,1),,,LEFT(A578,FIND("!",A578,1)-1)))&amp;" ["&amp;A578&amp;"] "&amp;" -"</f>
        <v>Page5_CHV_MCI, Ligne 6 [Page5_CHV_MCI!M9]  -</v>
      </c>
    </row>
    <row r="579" spans="1:23">
      <c r="A579" s="1443" t="str">
        <f>celladdr(Page5_CHV_MCI!M10)</f>
        <v>Page5_CHV_MCI!M10</v>
      </c>
      <c r="B579" s="1456" t="s">
        <v>1086</v>
      </c>
      <c r="C579" s="1451" t="b">
        <f>IF(Page5_CHV_MCI!$K$10=0,FALSE,OR(Page5_CHV_MCI!$M$10/Page5_CHV_MCI!$K$10&lt;INDEX(Min_Table,L579),Page5_CHV_MCI!$M$10/Page5_CHV_MCI!$K$10&gt;INDEX(Max_Table,L579)))</f>
        <v>0</v>
      </c>
      <c r="D579" s="1454" t="b">
        <f>OR(AND(Page5_CHV_MCI!$L10&lt;&gt;0,Page5_CHV_MCI!$M10=0),AND(Page5_CHV_MCI!$M10&lt;&gt;0,Page5_CHV_MCI!$L10=0))</f>
        <v>0</v>
      </c>
      <c r="E579" s="1454" t="b">
        <f>IF(Page5_CHV_MCI!$K$10=0,FALSE,OR(Page5_CHV_MCI!$M$10/Page5_CHV_MCI!$K$10&lt;INDEX(Min_Table,M579),Page5_CHV_MCI!$M$10/Page5_CHV_MCI!$K$10&gt;INDEX(Max_Table,M579)))</f>
        <v>0</v>
      </c>
      <c r="F579" s="1454"/>
      <c r="G579" s="1444" t="str">
        <f t="shared" si="74"/>
        <v/>
      </c>
      <c r="H579" s="1447" t="str">
        <f>IF(C579=TRUE,Comments!$B$20&amp;DOLLAR(INDEX(Min_Table,L579),0)&amp;Comments!$B$18&amp;DOLLAR(INDEX(Max_Table,L579),0)&amp;Comments!$B$19&amp;DOLLAR(Page5_CHV_MCI!$M$10/Page5_CHV_MCI!$K$10,0),"")</f>
        <v/>
      </c>
      <c r="I579" s="1446" t="str">
        <f>IF(D579=TRUE,Comments!$B$24,"")</f>
        <v/>
      </c>
      <c r="J579" s="1446" t="str">
        <f>IF(E579=TRUE,Comments!$B$22&amp;DOLLAR(INDEX(Min_Table,M579),0)&amp;Comments!$B$18&amp;DOLLAR(INDEX(Max_Table,M579),0)&amp;IFERROR(Comments!$B$19&amp;DOLLAR(Page5_CHV_MCI!$M$10/Page5_CHV_MCI!$K$10,0),0),"")</f>
        <v/>
      </c>
      <c r="K579" s="1452"/>
      <c r="L579" s="611">
        <f>ROW(OR_VEH!$A$667)</f>
        <v>667</v>
      </c>
      <c r="M579" s="611">
        <f>ROW(OR_VEH!$A$9)</f>
        <v>9</v>
      </c>
      <c r="N579" s="611" t="str">
        <f>"CPTE # "&amp;Page5_CHV_MCI!$E$10&amp;"  "&amp;Page5_CHV_MCI!$C$10&amp;" - COÛT DES VENTES - AAD"</f>
        <v>CPTE # 406A  CORVETTE E-RAY - COÛT DES VENTES - AAD</v>
      </c>
      <c r="O579" s="611" t="str">
        <f t="shared" si="73"/>
        <v/>
      </c>
      <c r="P579" s="611" t="str">
        <f t="shared" si="75"/>
        <v>Page5_CHV_MCI!M</v>
      </c>
      <c r="Q579" s="611">
        <f t="shared" si="76"/>
        <v>10</v>
      </c>
      <c r="R579" s="1447">
        <f t="shared" ca="1" si="77"/>
        <v>0</v>
      </c>
      <c r="S579" s="1447">
        <f t="shared" ca="1" si="78"/>
        <v>0</v>
      </c>
      <c r="T579" s="611">
        <v>22</v>
      </c>
      <c r="V579" s="2557" t="str">
        <f t="shared" ca="1" si="79"/>
        <v/>
      </c>
      <c r="W579" s="611" t="str">
        <f t="shared" ca="1" si="80"/>
        <v>Page5_CHV_MCI, Ligne 7 [Page5_CHV_MCI!M10]  -</v>
      </c>
    </row>
    <row r="580" spans="1:23">
      <c r="A580" s="1443" t="str">
        <f>celladdr(Page5_CHV_MCI!M11)</f>
        <v>Page5_CHV_MCI!M11</v>
      </c>
      <c r="B580" s="1456" t="s">
        <v>1086</v>
      </c>
      <c r="C580" s="1451" t="b">
        <f>IF(Page5_CHV_MCI!$K$11=0,FALSE,OR(Page5_CHV_MCI!$M$11/Page5_CHV_MCI!$K$11&lt;INDEX(Min_Table,L580),Page5_CHV_MCI!$M$11/Page5_CHV_MCI!$K$11&gt;INDEX(Max_Table,L580)))</f>
        <v>0</v>
      </c>
      <c r="D580" s="1454" t="b">
        <f>OR(AND(Page5_CHV_MCI!$L11&lt;&gt;0,Page5_CHV_MCI!$M11=0),AND(Page5_CHV_MCI!$M11&lt;&gt;0,Page5_CHV_MCI!$L11=0))</f>
        <v>0</v>
      </c>
      <c r="E580" s="1454" t="b">
        <f>IF(Page5_CHV_MCI!$K$11=0,FALSE,OR(Page5_CHV_MCI!$M$11/Page5_CHV_MCI!$K$11&lt;INDEX(Min_Table,M580),Page5_CHV_MCI!$M$11/Page5_CHV_MCI!$K$11&gt;INDEX(Max_Table,M580)))</f>
        <v>0</v>
      </c>
      <c r="F580" s="1454"/>
      <c r="G580" s="1444" t="str">
        <f t="shared" si="74"/>
        <v/>
      </c>
      <c r="H580" s="1447" t="str">
        <f>IF(C580=TRUE,Comments!$B$20&amp;DOLLAR(INDEX(Min_Table,L580),0)&amp;Comments!$B$18&amp;DOLLAR(INDEX(Max_Table,L580),0)&amp;Comments!$B$19&amp;DOLLAR(Page5_CHV_MCI!$M$11/Page5_CHV_MCI!$K$11,0),"")</f>
        <v/>
      </c>
      <c r="I580" s="1446" t="str">
        <f>IF(D580=TRUE,Comments!$B$24,"")</f>
        <v/>
      </c>
      <c r="J580" s="1446" t="str">
        <f>IF(E580=TRUE,Comments!$B$22&amp;DOLLAR(INDEX(Min_Table,M580),0)&amp;Comments!$B$18&amp;DOLLAR(INDEX(Max_Table,M580),0)&amp;IFERROR(Comments!$B$19&amp;DOLLAR(Page5_CHV_MCI!$M$11/Page5_CHV_MCI!$K$11,0),0),"")</f>
        <v/>
      </c>
      <c r="K580" s="1452"/>
      <c r="L580" s="611">
        <f>ROW(OR_VEH!$A$667)</f>
        <v>667</v>
      </c>
      <c r="M580" s="611">
        <f>ROW(OR_VEH!$A$10)</f>
        <v>10</v>
      </c>
      <c r="N580" s="611" t="str">
        <f>"CPTE # "&amp;Page5_CHV_MCI!$E$11&amp;"  "&amp;Page5_CHV_MCI!$C$11&amp;" - COÛT DES VENTES - AAD"</f>
        <v>CPTE # 407A  NE PAS UTILISER - COÛT DES VENTES - AAD</v>
      </c>
      <c r="O580" s="611" t="str">
        <f t="shared" si="73"/>
        <v/>
      </c>
      <c r="P580" s="611" t="str">
        <f t="shared" si="75"/>
        <v>Page5_CHV_MCI!M</v>
      </c>
      <c r="Q580" s="611">
        <f t="shared" si="76"/>
        <v>11</v>
      </c>
      <c r="R580" s="1447">
        <f t="shared" ca="1" si="77"/>
        <v>0</v>
      </c>
      <c r="S580" s="1447">
        <f t="shared" ca="1" si="78"/>
        <v>0</v>
      </c>
      <c r="T580" s="611">
        <v>22</v>
      </c>
      <c r="V580" s="2557" t="str">
        <f t="shared" ca="1" si="79"/>
        <v/>
      </c>
      <c r="W580" s="611" t="str">
        <f t="shared" ca="1" si="80"/>
        <v>Page5_CHV_MCI, Ligne 8 [Page5_CHV_MCI!M11]  -</v>
      </c>
    </row>
    <row r="581" spans="1:23">
      <c r="A581" s="1443" t="str">
        <f>celladdr(Page5_CHV_MCI!M12)</f>
        <v>Page5_CHV_MCI!M12</v>
      </c>
      <c r="B581" s="1456" t="s">
        <v>1086</v>
      </c>
      <c r="C581" s="1451" t="b">
        <f>IF(Page5_CHV_MCI!$K$12=0,FALSE,OR(Page5_CHV_MCI!$M$12/Page5_CHV_MCI!$K$12&lt;INDEX(Min_Table,L581),Page5_CHV_MCI!$M$12/Page5_CHV_MCI!$K$12&gt;INDEX(Max_Table,L581)))</f>
        <v>0</v>
      </c>
      <c r="D581" s="1454" t="b">
        <f>OR(AND(Page5_CHV_MCI!$L12&lt;&gt;0,Page5_CHV_MCI!$M12=0),AND(Page5_CHV_MCI!$M12&lt;&gt;0,Page5_CHV_MCI!$L12=0))</f>
        <v>0</v>
      </c>
      <c r="E581" s="1454" t="b">
        <f>IF(Page5_CHV_MCI!$K$12=0,FALSE,OR(Page5_CHV_MCI!$M$12/Page5_CHV_MCI!$K$12&lt;INDEX(Min_Table,M581),Page5_CHV_MCI!$M$12/Page5_CHV_MCI!$K$12&gt;INDEX(Max_Table,M581)))</f>
        <v>0</v>
      </c>
      <c r="F581" s="1454"/>
      <c r="G581" s="1444" t="str">
        <f t="shared" si="74"/>
        <v/>
      </c>
      <c r="H581" s="1447" t="str">
        <f>IF(C581=TRUE,Comments!$B$20&amp;DOLLAR(INDEX(Min_Table,L581),0)&amp;Comments!$B$18&amp;DOLLAR(INDEX(Max_Table,L581),0)&amp;Comments!$B$19&amp;DOLLAR(Page5_CHV_MCI!$M$12/Page5_CHV_MCI!$K$12,0),"")</f>
        <v/>
      </c>
      <c r="I581" s="1446" t="str">
        <f>IF(D581=TRUE,Comments!$B$24,"")</f>
        <v/>
      </c>
      <c r="J581" s="1446" t="str">
        <f>IF(E581=TRUE,Comments!$B$22&amp;DOLLAR(INDEX(Min_Table,M581),0)&amp;Comments!$B$18&amp;DOLLAR(INDEX(Max_Table,M581),0)&amp;IFERROR(Comments!$B$19&amp;DOLLAR(Page5_CHV_MCI!$M$12/Page5_CHV_MCI!$K$12,0),0),"")</f>
        <v/>
      </c>
      <c r="K581" s="1452"/>
      <c r="L581" s="611">
        <f>ROW(OR_VEH!$A$667)</f>
        <v>667</v>
      </c>
      <c r="M581" s="611">
        <f>ROW(OR_VEH!$A$11)</f>
        <v>11</v>
      </c>
      <c r="N581" s="611" t="str">
        <f>"CPTE # "&amp;Page5_CHV_MCI!$E$12&amp;"  "&amp;Page5_CHV_MCI!$C$12&amp;" - COÛT DES VENTES - AAD"</f>
        <v>CPTE # 408A  NE PAS UTILISER - COÛT DES VENTES - AAD</v>
      </c>
      <c r="O581" s="611" t="str">
        <f t="shared" si="73"/>
        <v/>
      </c>
      <c r="P581" s="611" t="str">
        <f t="shared" si="75"/>
        <v>Page5_CHV_MCI!M</v>
      </c>
      <c r="Q581" s="611">
        <f t="shared" si="76"/>
        <v>12</v>
      </c>
      <c r="R581" s="1447">
        <f t="shared" ca="1" si="77"/>
        <v>0</v>
      </c>
      <c r="S581" s="1447">
        <f t="shared" ca="1" si="78"/>
        <v>0</v>
      </c>
      <c r="T581" s="611">
        <v>22</v>
      </c>
      <c r="V581" s="2557" t="str">
        <f t="shared" ca="1" si="79"/>
        <v/>
      </c>
      <c r="W581" s="611" t="str">
        <f t="shared" ca="1" si="80"/>
        <v>Page5_CHV_MCI, Ligne 9 [Page5_CHV_MCI!M12]  -</v>
      </c>
    </row>
    <row r="582" spans="1:23">
      <c r="A582" s="1443" t="str">
        <f>celladdr(Page5_CHV_MCI!M13)</f>
        <v>Page5_CHV_MCI!M13</v>
      </c>
      <c r="B582" s="1456" t="s">
        <v>1086</v>
      </c>
      <c r="C582" s="1451" t="b">
        <f>IF(Page5_CHV_MCI!$K$13=0,FALSE,OR(Page5_CHV_MCI!$M$13/Page5_CHV_MCI!$K$13&lt;INDEX(Min_Table,L582),Page5_CHV_MCI!$M$13/Page5_CHV_MCI!$K$13&gt;INDEX(Max_Table,L582)))</f>
        <v>0</v>
      </c>
      <c r="D582" s="1454" t="b">
        <f>OR(AND(Page5_CHV_MCI!$L13&lt;&gt;0,Page5_CHV_MCI!$M13=0),AND(Page5_CHV_MCI!$M13&lt;&gt;0,Page5_CHV_MCI!$L13=0))</f>
        <v>0</v>
      </c>
      <c r="E582" s="1454" t="b">
        <f>IF(Page5_CHV_MCI!$K$13=0,FALSE,OR(Page5_CHV_MCI!$M$13/Page5_CHV_MCI!$K$13&lt;INDEX(Min_Table,M582),Page5_CHV_MCI!$M$13/Page5_CHV_MCI!$K$13&gt;INDEX(Max_Table,M582)))</f>
        <v>0</v>
      </c>
      <c r="F582" s="1454"/>
      <c r="G582" s="1444" t="str">
        <f t="shared" si="74"/>
        <v/>
      </c>
      <c r="H582" s="1447" t="str">
        <f>IF(C582=TRUE,Comments!$B$20&amp;DOLLAR(INDEX(Min_Table,L582),0)&amp;Comments!$B$18&amp;DOLLAR(INDEX(Max_Table,L582),0)&amp;Comments!$B$19&amp;DOLLAR(Page5_CHV_MCI!$M$13/Page5_CHV_MCI!$K$13,0),"")</f>
        <v/>
      </c>
      <c r="I582" s="1446" t="str">
        <f>IF(D582=TRUE,Comments!$B$24,"")</f>
        <v/>
      </c>
      <c r="J582" s="1446" t="str">
        <f>IF(E582=TRUE,Comments!$B$22&amp;DOLLAR(INDEX(Min_Table,M582),0)&amp;Comments!$B$18&amp;DOLLAR(INDEX(Max_Table,M582),0)&amp;IFERROR(Comments!$B$19&amp;DOLLAR(Page5_CHV_MCI!$M$13/Page5_CHV_MCI!$K$13,0),0),"")</f>
        <v/>
      </c>
      <c r="K582" s="1452"/>
      <c r="L582" s="611">
        <f>ROW(OR_VEH!$A$667)</f>
        <v>667</v>
      </c>
      <c r="M582" s="611">
        <f>ROW(OR_VEH!$A$12)</f>
        <v>12</v>
      </c>
      <c r="N582" s="611" t="str">
        <f>"CPTE # "&amp;Page5_CHV_MCI!$E$13&amp;"  "&amp;Page5_CHV_MCI!$C$13&amp;" - COÛT DES VENTES - AAD"</f>
        <v>CPTE # 409A  NE PAS UTILISER - COÛT DES VENTES - AAD</v>
      </c>
      <c r="O582" s="611" t="str">
        <f t="shared" si="73"/>
        <v/>
      </c>
      <c r="P582" s="611" t="str">
        <f t="shared" si="75"/>
        <v>Page5_CHV_MCI!M</v>
      </c>
      <c r="Q582" s="611">
        <f t="shared" si="76"/>
        <v>13</v>
      </c>
      <c r="R582" s="1447">
        <f t="shared" ca="1" si="77"/>
        <v>0</v>
      </c>
      <c r="S582" s="1447">
        <f t="shared" ca="1" si="78"/>
        <v>0</v>
      </c>
      <c r="T582" s="611">
        <v>22</v>
      </c>
      <c r="V582" s="2557" t="str">
        <f t="shared" ca="1" si="79"/>
        <v/>
      </c>
      <c r="W582" s="611" t="str">
        <f t="shared" ca="1" si="80"/>
        <v>Page5_CHV_MCI, Ligne 10 [Page5_CHV_MCI!M13]  -</v>
      </c>
    </row>
    <row r="583" spans="1:23">
      <c r="A583" s="1443" t="str">
        <f>celladdr(Page5_CHV_MCI!M14)</f>
        <v>Page5_CHV_MCI!M14</v>
      </c>
      <c r="B583" s="1456" t="s">
        <v>1086</v>
      </c>
      <c r="C583" s="1451" t="b">
        <f>IF(Page5_CHV_MCI!$K$14=0,FALSE,OR(Page5_CHV_MCI!$M$14/Page5_CHV_MCI!$K$14&lt;INDEX(Min_Table,L583),Page5_CHV_MCI!$M$14/Page5_CHV_MCI!$K$14&gt;INDEX(Max_Table,L583)))</f>
        <v>0</v>
      </c>
      <c r="D583" s="1454" t="b">
        <f>OR(AND(Page5_CHV_MCI!$L14&lt;&gt;0,Page5_CHV_MCI!$M14=0),AND(Page5_CHV_MCI!$M14&lt;&gt;0,Page5_CHV_MCI!$L14=0))</f>
        <v>0</v>
      </c>
      <c r="E583" s="1454" t="b">
        <f>IF(Page5_CHV_MCI!$K$14=0,FALSE,OR(Page5_CHV_MCI!$M$14/Page5_CHV_MCI!$K$14&lt;INDEX(Min_Table,M583),Page5_CHV_MCI!$M$14/Page5_CHV_MCI!$K$14&gt;INDEX(Max_Table,M583)))</f>
        <v>0</v>
      </c>
      <c r="F583" s="1454"/>
      <c r="G583" s="1444" t="str">
        <f t="shared" si="74"/>
        <v/>
      </c>
      <c r="H583" s="1447" t="str">
        <f>IF(C583=TRUE,Comments!$B$20&amp;DOLLAR(INDEX(Min_Table,L583),0)&amp;Comments!$B$18&amp;DOLLAR(INDEX(Max_Table,L583),0)&amp;Comments!$B$19&amp;DOLLAR(Page5_CHV_MCI!$M$14/Page5_CHV_MCI!$K$14,0),"")</f>
        <v/>
      </c>
      <c r="I583" s="1446" t="str">
        <f>IF(D583=TRUE,Comments!$B$24,"")</f>
        <v/>
      </c>
      <c r="J583" s="1446" t="str">
        <f>IF(E583=TRUE,Comments!$B$22&amp;DOLLAR(INDEX(Min_Table,M583),0)&amp;Comments!$B$18&amp;DOLLAR(INDEX(Max_Table,M583),0)&amp;IFERROR(Comments!$B$19&amp;DOLLAR(Page5_CHV_MCI!$M$14/Page5_CHV_MCI!$K$14,0),0),"")</f>
        <v/>
      </c>
      <c r="K583" s="1452"/>
      <c r="L583" s="611">
        <f>ROW(OR_VEH!$A$667)</f>
        <v>667</v>
      </c>
      <c r="M583" s="611">
        <f>ROW(OR_VEH!$A$13)</f>
        <v>13</v>
      </c>
      <c r="N583" s="611" t="str">
        <f>"CPTE # "&amp;Page5_CHV_MCI!$E$14&amp;"  "&amp;Page5_CHV_MCI!$C$14&amp;" - COÛT DES VENTES - AAD"</f>
        <v>CPTE # 410A  CAMARO - COÛT DES VENTES - AAD</v>
      </c>
      <c r="O583" s="611" t="str">
        <f t="shared" si="73"/>
        <v/>
      </c>
      <c r="P583" s="611" t="str">
        <f t="shared" si="75"/>
        <v>Page5_CHV_MCI!M</v>
      </c>
      <c r="Q583" s="611">
        <f t="shared" si="76"/>
        <v>14</v>
      </c>
      <c r="R583" s="1447">
        <f t="shared" ca="1" si="77"/>
        <v>0</v>
      </c>
      <c r="S583" s="1447">
        <f t="shared" ca="1" si="78"/>
        <v>0</v>
      </c>
      <c r="T583" s="611">
        <v>22</v>
      </c>
      <c r="V583" s="2557" t="str">
        <f t="shared" ca="1" si="79"/>
        <v/>
      </c>
      <c r="W583" s="611" t="str">
        <f t="shared" ca="1" si="80"/>
        <v>Page5_CHV_MCI, Ligne 11 [Page5_CHV_MCI!M14]  -</v>
      </c>
    </row>
    <row r="584" spans="1:23">
      <c r="A584" s="1443" t="str">
        <f>celladdr(Page5_CHV_MCI!M15)</f>
        <v>Page5_CHV_MCI!M15</v>
      </c>
      <c r="B584" s="1456" t="s">
        <v>1086</v>
      </c>
      <c r="C584" s="1451" t="b">
        <f>IF(Page5_CHV_MCI!$K$15=0,FALSE,OR(Page5_CHV_MCI!$M$15/Page5_CHV_MCI!$K$15&lt;INDEX(Min_Table,L584),Page5_CHV_MCI!$M$15/Page5_CHV_MCI!$K$15&gt;INDEX(Max_Table,L584)))</f>
        <v>0</v>
      </c>
      <c r="D584" s="1454" t="b">
        <f>OR(AND(Page5_CHV_MCI!$L15&lt;&gt;0,Page5_CHV_MCI!$M15=0),AND(Page5_CHV_MCI!$M15&lt;&gt;0,Page5_CHV_MCI!$L15=0))</f>
        <v>0</v>
      </c>
      <c r="E584" s="1454" t="b">
        <f>IF(Page5_CHV_MCI!$K$15=0,FALSE,OR(Page5_CHV_MCI!$M$15/Page5_CHV_MCI!$K$15&lt;INDEX(Min_Table,M584),Page5_CHV_MCI!$M$15/Page5_CHV_MCI!$K$15&gt;INDEX(Max_Table,M584)))</f>
        <v>0</v>
      </c>
      <c r="F584" s="1454"/>
      <c r="G584" s="1444" t="str">
        <f t="shared" si="74"/>
        <v/>
      </c>
      <c r="H584" s="1447" t="str">
        <f>IF(C584=TRUE,Comments!$B$20&amp;DOLLAR(INDEX(Min_Table,L584),0)&amp;Comments!$B$18&amp;DOLLAR(INDEX(Max_Table,L584),0)&amp;Comments!$B$19&amp;DOLLAR(Page5_CHV_MCI!$M$15/Page5_CHV_MCI!$K$15,0),"")</f>
        <v/>
      </c>
      <c r="I584" s="1446" t="str">
        <f>IF(D584=TRUE,Comments!$B$24,"")</f>
        <v/>
      </c>
      <c r="J584" s="1446" t="str">
        <f>IF(E584=TRUE,Comments!$B$22&amp;DOLLAR(INDEX(Min_Table,M584),0)&amp;Comments!$B$18&amp;DOLLAR(INDEX(Max_Table,M584),0)&amp;IFERROR(Comments!$B$19&amp;DOLLAR(Page5_CHV_MCI!$M$15/Page5_CHV_MCI!$K$15,0),0),"")</f>
        <v/>
      </c>
      <c r="K584" s="1452"/>
      <c r="L584" s="611">
        <f>ROW(OR_VEH!$A$667)</f>
        <v>667</v>
      </c>
      <c r="M584" s="611">
        <f>ROW(OR_VEH!$A$14)</f>
        <v>14</v>
      </c>
      <c r="N584" s="611" t="str">
        <f>"CPTE # "&amp;Page5_CHV_MCI!$E$15&amp;"  "&amp;Page5_CHV_MCI!$C$15&amp;" - COÛT DES VENTES - AAD"</f>
        <v>CPTE # 411A  CRUZE - COÛT DES VENTES - AAD</v>
      </c>
      <c r="O584" s="611" t="str">
        <f t="shared" si="73"/>
        <v/>
      </c>
      <c r="P584" s="611" t="str">
        <f t="shared" si="75"/>
        <v>Page5_CHV_MCI!M</v>
      </c>
      <c r="Q584" s="611">
        <f t="shared" si="76"/>
        <v>15</v>
      </c>
      <c r="R584" s="1447">
        <f t="shared" ca="1" si="77"/>
        <v>0</v>
      </c>
      <c r="S584" s="1447">
        <f t="shared" ca="1" si="78"/>
        <v>0</v>
      </c>
      <c r="T584" s="611">
        <v>22</v>
      </c>
      <c r="V584" s="2557" t="str">
        <f t="shared" ca="1" si="79"/>
        <v/>
      </c>
      <c r="W584" s="611" t="str">
        <f t="shared" ca="1" si="80"/>
        <v>Page5_CHV_MCI, Ligne 12 [Page5_CHV_MCI!M15]  -</v>
      </c>
    </row>
    <row r="585" spans="1:23">
      <c r="A585" s="1443" t="str">
        <f>celladdr(Page5_CHV_MCI!M16)</f>
        <v>Page5_CHV_MCI!M16</v>
      </c>
      <c r="B585" s="1456" t="s">
        <v>1086</v>
      </c>
      <c r="C585" s="1451" t="b">
        <f>IF(Page5_CHV_MCI!$K$16=0,FALSE,OR(Page5_CHV_MCI!$M$16/Page5_CHV_MCI!$K$16&lt;INDEX(Min_Table,L585),Page5_CHV_MCI!$M$16/Page5_CHV_MCI!$K$16&gt;INDEX(Max_Table,L585)))</f>
        <v>0</v>
      </c>
      <c r="D585" s="1454" t="b">
        <f>OR(AND(Page5_CHV_MCI!$L16&lt;&gt;0,Page5_CHV_MCI!$M16=0),AND(Page5_CHV_MCI!$M16&lt;&gt;0,Page5_CHV_MCI!$L16=0))</f>
        <v>0</v>
      </c>
      <c r="E585" s="1454" t="b">
        <f>IF(Page5_CHV_MCI!$K$16=0,FALSE,OR(Page5_CHV_MCI!$M$16/Page5_CHV_MCI!$K$16&lt;INDEX(Min_Table,M585),Page5_CHV_MCI!$M$16/Page5_CHV_MCI!$K$16&gt;INDEX(Max_Table,M585)))</f>
        <v>0</v>
      </c>
      <c r="F585" s="1454"/>
      <c r="G585" s="1444" t="str">
        <f t="shared" si="74"/>
        <v/>
      </c>
      <c r="H585" s="1447" t="str">
        <f>IF(C585=TRUE,Comments!$B$20&amp;DOLLAR(INDEX(Min_Table,L585),0)&amp;Comments!$B$18&amp;DOLLAR(INDEX(Max_Table,L585),0)&amp;Comments!$B$19&amp;DOLLAR(Page5_CHV_MCI!$M$16/Page5_CHV_MCI!$K$16,0),"")</f>
        <v/>
      </c>
      <c r="I585" s="1446" t="str">
        <f>IF(D585=TRUE,Comments!$B$24,"")</f>
        <v/>
      </c>
      <c r="J585" s="1446" t="str">
        <f>IF(E585=TRUE,Comments!$B$22&amp;DOLLAR(INDEX(Min_Table,M585),0)&amp;Comments!$B$18&amp;DOLLAR(INDEX(Max_Table,M585),0)&amp;IFERROR(Comments!$B$19&amp;DOLLAR(Page5_CHV_MCI!$M$16/Page5_CHV_MCI!$K$16,0),0),"")</f>
        <v/>
      </c>
      <c r="K585" s="1452"/>
      <c r="L585" s="611">
        <f>ROW(OR_VEH!$A$667)</f>
        <v>667</v>
      </c>
      <c r="M585" s="611">
        <f>ROW(OR_VEH!$A$15)</f>
        <v>15</v>
      </c>
      <c r="N585" s="611" t="str">
        <f>"CPTE # "&amp;Page5_CHV_MCI!$E$16&amp;"  "&amp;Page5_CHV_MCI!$C$16&amp;" - COÛT DES VENTES - AAD"</f>
        <v>CPTE # 412A  NE PAS UTILISER - COÛT DES VENTES - AAD</v>
      </c>
      <c r="O585" s="611" t="str">
        <f t="shared" si="73"/>
        <v/>
      </c>
      <c r="P585" s="611" t="str">
        <f t="shared" si="75"/>
        <v>Page5_CHV_MCI!M</v>
      </c>
      <c r="Q585" s="611">
        <f t="shared" si="76"/>
        <v>16</v>
      </c>
      <c r="R585" s="1447">
        <f t="shared" ca="1" si="77"/>
        <v>0</v>
      </c>
      <c r="S585" s="1447">
        <f t="shared" ca="1" si="78"/>
        <v>0</v>
      </c>
      <c r="T585" s="611">
        <v>22</v>
      </c>
      <c r="V585" s="2557" t="str">
        <f t="shared" ca="1" si="79"/>
        <v/>
      </c>
      <c r="W585" s="611" t="str">
        <f t="shared" ca="1" si="80"/>
        <v>Page5_CHV_MCI, Ligne 13 [Page5_CHV_MCI!M16]  -</v>
      </c>
    </row>
    <row r="586" spans="1:23">
      <c r="A586" s="1443" t="str">
        <f>celladdr(Page5_CHV_MCI!M17)</f>
        <v>Page5_CHV_MCI!M17</v>
      </c>
      <c r="B586" s="1456" t="s">
        <v>1086</v>
      </c>
      <c r="C586" s="1451" t="b">
        <f>IF(Page5_CHV_MCI!$K$17=0,FALSE,OR(Page5_CHV_MCI!$M$17/Page5_CHV_MCI!$K$17&lt;INDEX(Min_Table,L586),Page5_CHV_MCI!$M$17/Page5_CHV_MCI!$K$17&gt;INDEX(Max_Table,L586)))</f>
        <v>0</v>
      </c>
      <c r="D586" s="1454" t="b">
        <f>OR(AND(Page5_CHV_MCI!$L17&lt;&gt;0,Page5_CHV_MCI!$M17=0),AND(Page5_CHV_MCI!$M17&lt;&gt;0,Page5_CHV_MCI!$L17=0))</f>
        <v>0</v>
      </c>
      <c r="E586" s="1454" t="b">
        <f>IF(Page5_CHV_MCI!$K$17=0,FALSE,OR(Page5_CHV_MCI!$M$17/Page5_CHV_MCI!$K$17&lt;INDEX(Min_Table,M586),Page5_CHV_MCI!$M$17/Page5_CHV_MCI!$K$17&gt;INDEX(Max_Table,M586)))</f>
        <v>0</v>
      </c>
      <c r="F586" s="1454"/>
      <c r="G586" s="1444" t="str">
        <f t="shared" si="74"/>
        <v/>
      </c>
      <c r="H586" s="1447" t="str">
        <f>IF(C586=TRUE,Comments!$B$20&amp;DOLLAR(INDEX(Min_Table,L586),0)&amp;Comments!$B$18&amp;DOLLAR(INDEX(Max_Table,L586),0)&amp;Comments!$B$19&amp;DOLLAR(Page5_CHV_MCI!$M$17/Page5_CHV_MCI!$K$17,0),"")</f>
        <v/>
      </c>
      <c r="I586" s="1446" t="str">
        <f>IF(D586=TRUE,Comments!$B$24,"")</f>
        <v/>
      </c>
      <c r="J586" s="1446" t="str">
        <f>IF(E586=TRUE,Comments!$B$22&amp;DOLLAR(INDEX(Min_Table,M586),0)&amp;Comments!$B$18&amp;DOLLAR(INDEX(Max_Table,M586),0)&amp;IFERROR(Comments!$B$19&amp;DOLLAR(Page5_CHV_MCI!$M$17/Page5_CHV_MCI!$K$17,0),0),"")</f>
        <v/>
      </c>
      <c r="K586" s="1452"/>
      <c r="L586" s="611">
        <f>ROW(OR_VEH!$A$667)</f>
        <v>667</v>
      </c>
      <c r="M586" s="611">
        <f>ROW(OR_VEH!$A$16)</f>
        <v>16</v>
      </c>
      <c r="N586" s="611" t="str">
        <f>"CPTE # "&amp;Page5_CHV_MCI!$E$17&amp;"  "&amp;Page5_CHV_MCI!$C$17&amp;" - COÛT DES VENTES - AAD"</f>
        <v>CPTE # 413A  NE PAS UTILISER - COÛT DES VENTES - AAD</v>
      </c>
      <c r="O586" s="611" t="str">
        <f t="shared" si="73"/>
        <v/>
      </c>
      <c r="P586" s="611" t="str">
        <f t="shared" si="75"/>
        <v>Page5_CHV_MCI!M</v>
      </c>
      <c r="Q586" s="611">
        <f t="shared" si="76"/>
        <v>17</v>
      </c>
      <c r="R586" s="1447">
        <f t="shared" ca="1" si="77"/>
        <v>0</v>
      </c>
      <c r="S586" s="1447">
        <f t="shared" ca="1" si="78"/>
        <v>0</v>
      </c>
      <c r="T586" s="611">
        <v>22</v>
      </c>
      <c r="V586" s="2557" t="str">
        <f t="shared" ca="1" si="79"/>
        <v/>
      </c>
      <c r="W586" s="611" t="str">
        <f t="shared" ca="1" si="80"/>
        <v>Page5_CHV_MCI, Ligne 14 [Page5_CHV_MCI!M17]  -</v>
      </c>
    </row>
    <row r="587" spans="1:23">
      <c r="A587" s="1443" t="str">
        <f>celladdr(Page5_CHV_MCI!M18)</f>
        <v>Page5_CHV_MCI!M18</v>
      </c>
      <c r="B587" s="1456" t="s">
        <v>1086</v>
      </c>
      <c r="C587" s="1451" t="b">
        <f>IF(Page5_CHV_MCI!$K$18=0,FALSE,OR(Page5_CHV_MCI!$M$18/Page5_CHV_MCI!$K$18&lt;INDEX(Min_Table,L587),Page5_CHV_MCI!$M$18/Page5_CHV_MCI!$K$18&gt;INDEX(Max_Table,L587)))</f>
        <v>0</v>
      </c>
      <c r="D587" s="1454" t="b">
        <f>OR(AND(Page5_CHV_MCI!$L18&lt;&gt;0,Page5_CHV_MCI!$M18=0),AND(Page5_CHV_MCI!$M18&lt;&gt;0,Page5_CHV_MCI!$L18=0))</f>
        <v>0</v>
      </c>
      <c r="E587" s="1454" t="b">
        <f>IF(Page5_CHV_MCI!$K$18=0,FALSE,OR(Page5_CHV_MCI!$M$18/Page5_CHV_MCI!$K$18&lt;INDEX(Min_Table,M587),Page5_CHV_MCI!$M$18/Page5_CHV_MCI!$K$18&gt;INDEX(Max_Table,M587)))</f>
        <v>0</v>
      </c>
      <c r="F587" s="1454"/>
      <c r="G587" s="1444" t="str">
        <f t="shared" si="74"/>
        <v/>
      </c>
      <c r="H587" s="1447" t="str">
        <f>IF(C587=TRUE,Comments!$B$20&amp;DOLLAR(INDEX(Min_Table,L587),0)&amp;Comments!$B$18&amp;DOLLAR(INDEX(Max_Table,L587),0)&amp;Comments!$B$19&amp;DOLLAR(Page5_CHV_MCI!$M$18/Page5_CHV_MCI!$K$18,0),"")</f>
        <v/>
      </c>
      <c r="I587" s="1446" t="str">
        <f>IF(D587=TRUE,Comments!$B$24,"")</f>
        <v/>
      </c>
      <c r="J587" s="1446" t="str">
        <f>IF(E587=TRUE,Comments!$B$22&amp;DOLLAR(INDEX(Min_Table,M587),0)&amp;Comments!$B$18&amp;DOLLAR(INDEX(Max_Table,M587),0)&amp;IFERROR(Comments!$B$19&amp;DOLLAR(Page5_CHV_MCI!$M$18/Page5_CHV_MCI!$K$18,0),0),"")</f>
        <v/>
      </c>
      <c r="K587" s="1452"/>
      <c r="L587" s="611">
        <f>ROW(OR_VEH!$A$667)</f>
        <v>667</v>
      </c>
      <c r="M587" s="611">
        <f>ROW(OR_VEH!$A$17)</f>
        <v>17</v>
      </c>
      <c r="N587" s="611" t="str">
        <f>"CPTE # "&amp;Page5_CHV_MCI!$E$18&amp;"  "&amp;Page5_CHV_MCI!$C$18&amp;" - COÛT DES VENTES - AAD"</f>
        <v>CPTE # 414A  NE PAS UTILISER - COÛT DES VENTES - AAD</v>
      </c>
      <c r="O587" s="611" t="str">
        <f t="shared" si="73"/>
        <v/>
      </c>
      <c r="P587" s="611" t="str">
        <f t="shared" si="75"/>
        <v>Page5_CHV_MCI!M</v>
      </c>
      <c r="Q587" s="611">
        <f t="shared" si="76"/>
        <v>18</v>
      </c>
      <c r="R587" s="1447">
        <f t="shared" ca="1" si="77"/>
        <v>0</v>
      </c>
      <c r="S587" s="1447">
        <f t="shared" ca="1" si="78"/>
        <v>0</v>
      </c>
      <c r="T587" s="611">
        <v>22</v>
      </c>
      <c r="V587" s="2557" t="str">
        <f t="shared" ca="1" si="79"/>
        <v/>
      </c>
      <c r="W587" s="611" t="str">
        <f t="shared" ca="1" si="80"/>
        <v>Page5_CHV_MCI, Ligne 15 [Page5_CHV_MCI!M18]  -</v>
      </c>
    </row>
    <row r="588" spans="1:23">
      <c r="A588" s="1443" t="str">
        <f>celladdr(Page5_CHV_MCI!M19)</f>
        <v>Page5_CHV_MCI!M19</v>
      </c>
      <c r="B588" s="1456" t="s">
        <v>1086</v>
      </c>
      <c r="C588" s="1451" t="b">
        <f>IF(Page5_CHV_MCI!$K$19=0,FALSE,OR(Page5_CHV_MCI!$M$19/Page5_CHV_MCI!$K$19&lt;INDEX(Min_Table,L588),Page5_CHV_MCI!$M$19/Page5_CHV_MCI!$K$19&gt;INDEX(Max_Table,L588)))</f>
        <v>0</v>
      </c>
      <c r="D588" s="1454" t="b">
        <f>OR(AND(Page5_CHV_MCI!$L19&lt;&gt;0,Page5_CHV_MCI!$M19=0),AND(Page5_CHV_MCI!$M19&lt;&gt;0,Page5_CHV_MCI!$L19=0))</f>
        <v>0</v>
      </c>
      <c r="E588" s="1454" t="b">
        <f>IF(Page5_CHV_MCI!$K$19=0,FALSE,OR(Page5_CHV_MCI!$M$19/Page5_CHV_MCI!$K$19&lt;INDEX(Min_Table,M588),Page5_CHV_MCI!$M$19/Page5_CHV_MCI!$K$19&gt;INDEX(Max_Table,M588)))</f>
        <v>0</v>
      </c>
      <c r="F588" s="1454"/>
      <c r="G588" s="1444" t="str">
        <f t="shared" si="74"/>
        <v/>
      </c>
      <c r="H588" s="1447" t="str">
        <f>IF(C588=TRUE,Comments!$B$20&amp;DOLLAR(INDEX(Min_Table,L588),0)&amp;Comments!$B$18&amp;DOLLAR(INDEX(Max_Table,L588),0)&amp;Comments!$B$19&amp;DOLLAR(Page5_CHV_MCI!$M$19/Page5_CHV_MCI!$K$19,0),"")</f>
        <v/>
      </c>
      <c r="I588" s="1446" t="str">
        <f>IF(D588=TRUE,Comments!$B$24,"")</f>
        <v/>
      </c>
      <c r="J588" s="1446" t="str">
        <f>IF(E588=TRUE,Comments!$B$22&amp;DOLLAR(INDEX(Min_Table,M588),0)&amp;Comments!$B$18&amp;DOLLAR(INDEX(Max_Table,M588),0)&amp;IFERROR(Comments!$B$19&amp;DOLLAR(Page5_CHV_MCI!$M$19/Page5_CHV_MCI!$K$19,0),0),"")</f>
        <v/>
      </c>
      <c r="K588" s="1452"/>
      <c r="L588" s="611">
        <f>ROW(OR_VEH!$A$667)</f>
        <v>667</v>
      </c>
      <c r="M588" s="611">
        <f>ROW(OR_VEH!$A$18)</f>
        <v>18</v>
      </c>
      <c r="N588" s="611" t="str">
        <f>"CPTE # "&amp;Page5_CHV_MCI!$E$19&amp;"  "&amp;Page5_CHV_MCI!$C$19&amp;" - COÛT DES VENTES - AAD"</f>
        <v>CPTE # 415A  NE PAS UTILISER - COÛT DES VENTES - AAD</v>
      </c>
      <c r="O588" s="611" t="str">
        <f t="shared" si="73"/>
        <v/>
      </c>
      <c r="P588" s="611" t="str">
        <f t="shared" si="75"/>
        <v>Page5_CHV_MCI!M</v>
      </c>
      <c r="Q588" s="611">
        <f t="shared" si="76"/>
        <v>19</v>
      </c>
      <c r="R588" s="1447">
        <f t="shared" ca="1" si="77"/>
        <v>0</v>
      </c>
      <c r="S588" s="1447">
        <f t="shared" ca="1" si="78"/>
        <v>0</v>
      </c>
      <c r="T588" s="611">
        <v>22</v>
      </c>
      <c r="V588" s="2557" t="str">
        <f t="shared" ca="1" si="79"/>
        <v/>
      </c>
      <c r="W588" s="611" t="str">
        <f t="shared" ca="1" si="80"/>
        <v>Page5_CHV_MCI, Ligne 16 [Page5_CHV_MCI!M19]  -</v>
      </c>
    </row>
    <row r="589" spans="1:23">
      <c r="A589" s="1443" t="str">
        <f>celladdr(Page5_CHV_MCI!M20)</f>
        <v>Page5_CHV_MCI!M20</v>
      </c>
      <c r="B589" s="1456" t="s">
        <v>1086</v>
      </c>
      <c r="C589" s="1451"/>
      <c r="D589" s="1454"/>
      <c r="E589" s="1454"/>
      <c r="F589" s="1454"/>
      <c r="G589" s="1444" t="str">
        <f t="shared" si="74"/>
        <v/>
      </c>
      <c r="I589" s="1446"/>
      <c r="J589" s="1446"/>
      <c r="K589" s="1452"/>
      <c r="L589" s="611">
        <f>ROW(OR_VEH!$A$667)</f>
        <v>667</v>
      </c>
      <c r="M589" s="611">
        <f>ROW(OR_VEH!$A$19)</f>
        <v>19</v>
      </c>
      <c r="N589" s="611" t="str">
        <f>"CPTE # "&amp;Page5_CHV_MCI!$E$20&amp;"  "&amp;Page5_CHV_MCI!$C$20&amp;" - COÛT DES VENTES - AAD"</f>
        <v>CPTE # 416A  POUR USAGE FUTUR - COÛT DES VENTES - AAD</v>
      </c>
      <c r="O589" s="611" t="str">
        <f t="shared" si="73"/>
        <v/>
      </c>
      <c r="P589" s="611" t="str">
        <f t="shared" si="75"/>
        <v>Page5_CHV_MCI!M</v>
      </c>
      <c r="Q589" s="611">
        <f t="shared" si="76"/>
        <v>20</v>
      </c>
      <c r="R589" s="1447">
        <f t="shared" ca="1" si="77"/>
        <v>0</v>
      </c>
      <c r="S589" s="1447">
        <f t="shared" ca="1" si="78"/>
        <v>0</v>
      </c>
      <c r="T589" s="611">
        <v>22</v>
      </c>
      <c r="V589" s="2557" t="str">
        <f t="shared" ca="1" si="79"/>
        <v/>
      </c>
      <c r="W589" s="611" t="str">
        <f t="shared" ca="1" si="80"/>
        <v>Page5_CHV_MCI, Ligne 17 [Page5_CHV_MCI!M20]  -</v>
      </c>
    </row>
    <row r="590" spans="1:23">
      <c r="A590" s="1443" t="str">
        <f>celladdr(Page5_CHV_MCI!M21)</f>
        <v>Page5_CHV_MCI!M21</v>
      </c>
      <c r="B590" s="1456" t="s">
        <v>1086</v>
      </c>
      <c r="C590" s="1451" t="b">
        <f>IF(Page5_CHV_MCI!$K$21=0,FALSE,OR(Page5_CHV_MCI!$M$21/Page5_CHV_MCI!$K$21&lt;INDEX(Min_Table,L590),Page5_CHV_MCI!$M$21/Page5_CHV_MCI!$K$21&gt;INDEX(Max_Table,L590)))</f>
        <v>0</v>
      </c>
      <c r="D590" s="1454" t="b">
        <f>OR(AND(Page5_CHV_MCI!$L21&lt;&gt;0,Page5_CHV_MCI!$M21=0),AND(Page5_CHV_MCI!$M21&lt;&gt;0,Page5_CHV_MCI!$L21=0))</f>
        <v>0</v>
      </c>
      <c r="E590" s="1454" t="b">
        <f>IF(Page5_CHV_MCI!$K$21=0,FALSE,OR(Page5_CHV_MCI!$M$21/Page5_CHV_MCI!$K$21&lt;INDEX(Min_Table,M590),Page5_CHV_MCI!$M$21/Page5_CHV_MCI!$K$21&gt;INDEX(Max_Table,M590)))</f>
        <v>0</v>
      </c>
      <c r="F590" s="1454"/>
      <c r="G590" s="1444" t="str">
        <f t="shared" si="74"/>
        <v/>
      </c>
      <c r="H590" s="1447" t="str">
        <f>IF(C590=TRUE,Comments!$B$20&amp;DOLLAR(INDEX(Min_Table,L590),0)&amp;Comments!$B$18&amp;DOLLAR(INDEX(Max_Table,L590),0)&amp;Comments!$B$19&amp;DOLLAR(Page5_CHV_MCI!$M$21/Page5_CHV_MCI!$K$21,0),"")</f>
        <v/>
      </c>
      <c r="I590" s="1446" t="str">
        <f>IF(D590=TRUE,Comments!$B$24,"")</f>
        <v/>
      </c>
      <c r="J590" s="1446" t="str">
        <f>IF(E590=TRUE,Comments!$B$22&amp;DOLLAR(INDEX(Min_Table,M590),0)&amp;Comments!$B$18&amp;DOLLAR(INDEX(Max_Table,M590),0)&amp;IFERROR(Comments!$B$19&amp;DOLLAR(Page5_CHV_MCI!$M$21/Page5_CHV_MCI!$K$21,0),0),"")</f>
        <v/>
      </c>
      <c r="K590" s="1452"/>
      <c r="L590" s="611">
        <f>ROW(OR_VEH!$A$667)</f>
        <v>667</v>
      </c>
      <c r="M590" s="611">
        <f>ROW(OR_VEH!$A$20)</f>
        <v>20</v>
      </c>
      <c r="N590" s="611" t="str">
        <f>"CPTE # "&amp;Page5_CHV_MCI!$E$21&amp;"  "&amp;Page5_CHV_MCI!$C$21&amp;" - COÛT DES VENTES - AAD"</f>
        <v>CPTE # 417A  NE PAS UTILISER - COÛT DES VENTES - AAD</v>
      </c>
      <c r="O590" s="611" t="str">
        <f t="shared" si="73"/>
        <v/>
      </c>
      <c r="P590" s="611" t="str">
        <f t="shared" si="75"/>
        <v>Page5_CHV_MCI!M</v>
      </c>
      <c r="Q590" s="611">
        <f t="shared" si="76"/>
        <v>21</v>
      </c>
      <c r="R590" s="1447">
        <f t="shared" ca="1" si="77"/>
        <v>0</v>
      </c>
      <c r="S590" s="1447">
        <f t="shared" ca="1" si="78"/>
        <v>0</v>
      </c>
      <c r="T590" s="611">
        <v>22</v>
      </c>
      <c r="V590" s="2557" t="str">
        <f t="shared" ca="1" si="79"/>
        <v/>
      </c>
      <c r="W590" s="611" t="str">
        <f t="shared" ca="1" si="80"/>
        <v>Page5_CHV_MCI, Ligne 18 [Page5_CHV_MCI!M21]  -</v>
      </c>
    </row>
    <row r="591" spans="1:23">
      <c r="A591" s="1443" t="str">
        <f>celladdr(Page5_CHV_MCI!M22)</f>
        <v>Page5_CHV_MCI!M22</v>
      </c>
      <c r="B591" s="1456" t="s">
        <v>1086</v>
      </c>
      <c r="C591" s="1451" t="b">
        <f>IF(Page5_CHV_MCI!$K$22=0,FALSE,OR(Page5_CHV_MCI!$M$22/Page5_CHV_MCI!$K$22&lt;INDEX(Min_Table,L591),Page5_CHV_MCI!$M$22/Page5_CHV_MCI!$K$22&gt;INDEX(Max_Table,L591)))</f>
        <v>0</v>
      </c>
      <c r="D591" s="1454" t="b">
        <f>OR(AND(Page5_CHV_MCI!$L22&lt;&gt;0,Page5_CHV_MCI!$M22=0),AND(Page5_CHV_MCI!$M22&lt;&gt;0,Page5_CHV_MCI!$L22=0))</f>
        <v>0</v>
      </c>
      <c r="E591" s="1454" t="b">
        <f>IF(Page5_CHV_MCI!$K$22=0,FALSE,OR(Page5_CHV_MCI!$M$22/Page5_CHV_MCI!$K$22&lt;INDEX(Min_Table,M591),Page5_CHV_MCI!$M$22/Page5_CHV_MCI!$K$22&gt;INDEX(Max_Table,M591)))</f>
        <v>0</v>
      </c>
      <c r="F591" s="1454"/>
      <c r="G591" s="1444" t="str">
        <f t="shared" si="74"/>
        <v/>
      </c>
      <c r="H591" s="1447" t="str">
        <f>IF(C591=TRUE,Comments!$B$20&amp;DOLLAR(INDEX(Min_Table,L591),0)&amp;Comments!$B$18&amp;DOLLAR(INDEX(Max_Table,L591),0)&amp;Comments!$B$19&amp;DOLLAR(Page5_CHV_MCI!$M$22/Page5_CHV_MCI!$K$22,0),"")</f>
        <v/>
      </c>
      <c r="I591" s="1446" t="str">
        <f>IF(D591=TRUE,Comments!$B$24,"")</f>
        <v/>
      </c>
      <c r="J591" s="1446" t="str">
        <f>IF(E591=TRUE,Comments!$B$22&amp;DOLLAR(INDEX(Min_Table,M591),0)&amp;Comments!$B$18&amp;DOLLAR(INDEX(Max_Table,M591),0)&amp;IFERROR(Comments!$B$19&amp;DOLLAR(Page5_CHV_MCI!$M$22/Page5_CHV_MCI!$K$22,0),0),"")</f>
        <v/>
      </c>
      <c r="K591" s="1452"/>
      <c r="L591" s="611">
        <f>ROW(OR_VEH!$A$667)</f>
        <v>667</v>
      </c>
      <c r="M591" s="611">
        <f>ROW(OR_VEH!$A$21)</f>
        <v>21</v>
      </c>
      <c r="N591" s="611" t="str">
        <f>"CPTE # "&amp;Page5_CHV_MCI!$E$22&amp;"  "&amp;Page5_CHV_MCI!$C$22&amp;" - COÛT DES VENTES - AAD"</f>
        <v>CPTE # 418A  AUTRES CHEVROLET - COÛT DES VENTES - AAD</v>
      </c>
      <c r="O591" s="611" t="str">
        <f t="shared" si="73"/>
        <v/>
      </c>
      <c r="P591" s="611" t="str">
        <f t="shared" si="75"/>
        <v>Page5_CHV_MCI!M</v>
      </c>
      <c r="Q591" s="611">
        <f t="shared" si="76"/>
        <v>22</v>
      </c>
      <c r="R591" s="1447">
        <f t="shared" ca="1" si="77"/>
        <v>0</v>
      </c>
      <c r="S591" s="1447">
        <f t="shared" ca="1" si="78"/>
        <v>0</v>
      </c>
      <c r="T591" s="611">
        <v>22</v>
      </c>
      <c r="V591" s="2557" t="str">
        <f t="shared" ca="1" si="79"/>
        <v/>
      </c>
      <c r="W591" s="611" t="str">
        <f t="shared" ca="1" si="80"/>
        <v>Page5_CHV_MCI, Ligne 19 [Page5_CHV_MCI!M22]  -</v>
      </c>
    </row>
    <row r="592" spans="1:23">
      <c r="A592" s="1443" t="str">
        <f>celladdr(Page5_CHV_MCI!M23)</f>
        <v>Page5_CHV_MCI!M23</v>
      </c>
      <c r="B592" s="1444" t="s">
        <v>1086</v>
      </c>
      <c r="C592" s="1451"/>
      <c r="D592" s="1454"/>
      <c r="E592" s="1454"/>
      <c r="F592" s="1454"/>
      <c r="G592" s="1444" t="str">
        <f t="shared" si="74"/>
        <v/>
      </c>
      <c r="H592" s="1447" t="str">
        <f>IF(C592=TRUE,Comments!$B$26,"")</f>
        <v/>
      </c>
      <c r="I592" s="1446" t="str">
        <f>IF(D592=TRUE,Comments!$B$24,"")</f>
        <v/>
      </c>
      <c r="J592" s="1446"/>
      <c r="K592" s="1452"/>
      <c r="O592" s="611" t="str">
        <f t="shared" si="73"/>
        <v/>
      </c>
      <c r="P592" s="611" t="str">
        <f t="shared" si="75"/>
        <v>Page5_CHV_MCI!M</v>
      </c>
      <c r="Q592" s="611">
        <f t="shared" si="76"/>
        <v>23</v>
      </c>
      <c r="R592" s="1447">
        <f t="shared" ca="1" si="77"/>
        <v>0</v>
      </c>
      <c r="S592" s="1447">
        <f t="shared" ca="1" si="78"/>
        <v>0</v>
      </c>
      <c r="V592" s="2557" t="str">
        <f t="shared" ca="1" si="79"/>
        <v/>
      </c>
      <c r="W592" s="611" t="str">
        <f t="shared" ca="1" si="80"/>
        <v>Page5_CHV_MCI, Ligne 20 [Page5_CHV_MCI!M23]  -</v>
      </c>
    </row>
    <row r="593" spans="1:23">
      <c r="A593" s="1443" t="str">
        <f>celladdr(Page5_CHV_MCI!M24)</f>
        <v>Page5_CHV_MCI!M24</v>
      </c>
      <c r="B593" s="1456" t="s">
        <v>1086</v>
      </c>
      <c r="C593" s="1451" t="b">
        <f>IF(Page5_CHV_MCI!$K$24=0,FALSE,OR(Page5_CHV_MCI!$M$24/Page5_CHV_MCI!$K$24&lt;INDEX(Min_Table,L593),Page5_CHV_MCI!$M$24/Page5_CHV_MCI!$K$24&gt;INDEX(Max_Table,L593)))</f>
        <v>0</v>
      </c>
      <c r="D593" s="1454" t="b">
        <f>OR(AND(Page5_CHV_MCI!$L24&lt;&gt;0,Page5_CHV_MCI!$M24=0),AND(Page5_CHV_MCI!$M24&lt;&gt;0,Page5_CHV_MCI!$L24=0))</f>
        <v>0</v>
      </c>
      <c r="E593" s="1454" t="b">
        <f>IF(Page5_CHV_MCI!$K$24=0,FALSE,OR(Page5_CHV_MCI!$M$24/Page5_CHV_MCI!$K$24&lt;INDEX(Min_Table,M593),Page5_CHV_MCI!$M$24/Page5_CHV_MCI!$K$24&gt;INDEX(Max_Table,M593)))</f>
        <v>0</v>
      </c>
      <c r="F593" s="1454"/>
      <c r="G593" s="1444" t="str">
        <f t="shared" si="74"/>
        <v/>
      </c>
      <c r="H593" s="1447" t="str">
        <f>IF(C593=TRUE,Comments!$B$20&amp;DOLLAR(INDEX(Min_Table,L593),0)&amp;Comments!$B$18&amp;DOLLAR(INDEX(Max_Table,L593),0)&amp;Comments!$B$19&amp;DOLLAR(Page5_CHV_MCI!$M$24/Page5_CHV_MCI!$K$24,0),"")</f>
        <v/>
      </c>
      <c r="I593" s="1446" t="str">
        <f>IF(D593=TRUE,Comments!$B$24,"")</f>
        <v/>
      </c>
      <c r="J593" s="1446" t="str">
        <f>IF(E593=TRUE,Comments!$B$22&amp;DOLLAR(INDEX(Min_Table,M593),0)&amp;Comments!$B$18&amp;DOLLAR(INDEX(Max_Table,M593),0)&amp;IFERROR(Comments!$B$19&amp;DOLLAR(Page5_CHV_MCI!$M$24/Page5_CHV_MCI!$K$24,0),0),"")</f>
        <v/>
      </c>
      <c r="K593" s="1452"/>
      <c r="L593" s="611">
        <f>ROW(OR_VEH!$A$667)</f>
        <v>667</v>
      </c>
      <c r="M593" s="611">
        <f>ROW(OR_VEH!$A$23)</f>
        <v>23</v>
      </c>
      <c r="N593" s="611" t="str">
        <f>"CPTE # "&amp;Page5_CHV_MCI!$E$24&amp;"  "&amp;Page5_CHV_MCI!$C$24&amp;" - COÛT DES VENTES - AAD"</f>
        <v>CPTE # 419A  MÉMO* VENTES INTERNET VOITURES - COÛT DES VENTES - AAD</v>
      </c>
      <c r="O593" s="611" t="str">
        <f t="shared" si="73"/>
        <v/>
      </c>
      <c r="P593" s="611" t="str">
        <f t="shared" si="75"/>
        <v>Page5_CHV_MCI!M</v>
      </c>
      <c r="Q593" s="611">
        <f t="shared" si="76"/>
        <v>24</v>
      </c>
      <c r="R593" s="1447">
        <f t="shared" ca="1" si="77"/>
        <v>0</v>
      </c>
      <c r="S593" s="1447">
        <f t="shared" ca="1" si="78"/>
        <v>0</v>
      </c>
      <c r="T593" s="611">
        <v>22</v>
      </c>
      <c r="V593" s="2557" t="str">
        <f t="shared" ca="1" si="79"/>
        <v/>
      </c>
      <c r="W593" s="611" t="str">
        <f t="shared" ca="1" si="80"/>
        <v>Page5_CHV_MCI, Ligne 21 [Page5_CHV_MCI!M24]  -</v>
      </c>
    </row>
    <row r="594" spans="1:23">
      <c r="A594" s="1443" t="str">
        <f>celladdr(Page5_CHV_MCI!M25)</f>
        <v>Page5_CHV_MCI!M25</v>
      </c>
      <c r="B594" s="1456" t="s">
        <v>1086</v>
      </c>
      <c r="C594" s="1451" t="b">
        <f>IF(Page5_CHV_MCI!$K$25=0,FALSE,OR(Page5_CHV_MCI!$M$25/Page5_CHV_MCI!$K$25&lt;INDEX(Min_Table,L594),Page5_CHV_MCI!$M$25/Page5_CHV_MCI!$K$25&gt;INDEX(Max_Table,L594)))</f>
        <v>0</v>
      </c>
      <c r="D594" s="1454" t="b">
        <f>OR(AND(Page5_CHV_MCI!$L25&lt;&gt;0,Page5_CHV_MCI!$M25=0),AND(Page5_CHV_MCI!$M25&lt;&gt;0,Page5_CHV_MCI!$L25=0))</f>
        <v>0</v>
      </c>
      <c r="E594" s="1454" t="b">
        <f>IF(Page5_CHV_MCI!$K$25=0,FALSE,OR(Page5_CHV_MCI!$M$25/Page5_CHV_MCI!$K$25&lt;INDEX(Min_Table,M594),Page5_CHV_MCI!$M$25/Page5_CHV_MCI!$K$25&gt;INDEX(Max_Table,M594)))</f>
        <v>0</v>
      </c>
      <c r="F594" s="1454"/>
      <c r="G594" s="1444" t="str">
        <f t="shared" si="74"/>
        <v/>
      </c>
      <c r="H594" s="1447" t="str">
        <f>IF(C594=TRUE,Comments!$B$20&amp;DOLLAR(INDEX(Min_Table,L594),0)&amp;Comments!$B$18&amp;DOLLAR(INDEX(Max_Table,L594),0)&amp;Comments!$B$19&amp;DOLLAR(Page5_CHV_MCI!$M$25/Page5_CHV_MCI!$K$25,0),"")</f>
        <v/>
      </c>
      <c r="I594" s="1446" t="str">
        <f>IF(D594=TRUE,Comments!$B$24,"")</f>
        <v/>
      </c>
      <c r="J594" s="1446" t="str">
        <f>IF(E594=TRUE,Comments!$B$22&amp;DOLLAR(INDEX(Min_Table,M594),0)&amp;Comments!$B$18&amp;DOLLAR(INDEX(Max_Table,M594),0)&amp;IFERROR(Comments!$B$19&amp;DOLLAR(Page5_CHV_MCI!$M$25/Page5_CHV_MCI!$K$25,0),0),"")</f>
        <v/>
      </c>
      <c r="K594" s="1452"/>
      <c r="L594" s="611">
        <f>ROW(OR_VEH!$A$667)</f>
        <v>667</v>
      </c>
      <c r="M594" s="611">
        <f>ROW(OR_VEH!$A$24)</f>
        <v>24</v>
      </c>
      <c r="N594" s="611" t="str">
        <f>"CPTE # "&amp;Page5_CHV_MCI!$E$25&amp;"  "&amp;Page5_CHV_MCI!$C$25&amp;" - COÛT DES VENTES - AAD"</f>
        <v>CPTE # DE PG PARCS  TOTAL PARCS - VOITURES - COÛT DES VENTES - AAD</v>
      </c>
      <c r="O594" s="611" t="str">
        <f t="shared" si="73"/>
        <v/>
      </c>
      <c r="P594" s="611" t="str">
        <f t="shared" si="75"/>
        <v>Page5_CHV_MCI!M</v>
      </c>
      <c r="Q594" s="611">
        <f t="shared" si="76"/>
        <v>25</v>
      </c>
      <c r="R594" s="1447">
        <f t="shared" ca="1" si="77"/>
        <v>0</v>
      </c>
      <c r="S594" s="1447">
        <f t="shared" ca="1" si="78"/>
        <v>0</v>
      </c>
      <c r="T594" s="611">
        <v>22</v>
      </c>
      <c r="V594" s="2557" t="str">
        <f t="shared" ca="1" si="79"/>
        <v/>
      </c>
      <c r="W594" s="611" t="str">
        <f t="shared" ca="1" si="80"/>
        <v>Page5_CHV_MCI, Ligne 22 [Page5_CHV_MCI!M25]  -</v>
      </c>
    </row>
    <row r="595" spans="1:23">
      <c r="A595" s="1443" t="str">
        <f>celladdr(Page5_CHV_MCI!M26)</f>
        <v>Page5_CHV_MCI!M26</v>
      </c>
      <c r="B595" s="1456" t="s">
        <v>1086</v>
      </c>
      <c r="C595" s="1451" t="b">
        <f>IF(Page5_CHV_MCI!$K$26=0,FALSE,OR(Page5_CHV_MCI!$M$26/Page5_CHV_MCI!$K$26&lt;INDEX(Min_Table,L595),Page5_CHV_MCI!$M$26/Page5_CHV_MCI!$K$26&gt;INDEX(Max_Table,L595)))</f>
        <v>0</v>
      </c>
      <c r="D595" s="1454" t="b">
        <f>OR(AND(Page5_CHV_MCI!$L26&lt;&gt;0,Page5_CHV_MCI!$M26=0),AND(Page5_CHV_MCI!$M26&lt;&gt;0,Page5_CHV_MCI!$L26=0))</f>
        <v>0</v>
      </c>
      <c r="E595" s="1454" t="b">
        <f>IF(Page5_CHV_MCI!$K$26=0,FALSE,OR(Page5_CHV_MCI!$M$26/Page5_CHV_MCI!$K$26&lt;INDEX(Min_Table,M595),Page5_CHV_MCI!$M$26/Page5_CHV_MCI!$K$26&gt;INDEX(Max_Table,M595)))</f>
        <v>0</v>
      </c>
      <c r="F595" s="1454"/>
      <c r="G595" s="1444" t="str">
        <f t="shared" si="74"/>
        <v/>
      </c>
      <c r="H595" s="1447" t="str">
        <f>IF(C595=TRUE,Comments!$B$20&amp;DOLLAR(INDEX(Min_Table,L595),0)&amp;Comments!$B$18&amp;DOLLAR(INDEX(Max_Table,L595),0)&amp;Comments!$B$19&amp;DOLLAR(Page5_CHV_MCI!$M$26/Page5_CHV_MCI!$K$26,0),"")</f>
        <v/>
      </c>
      <c r="I595" s="1446" t="str">
        <f>IF(D595=TRUE,Comments!$B$24,"")</f>
        <v/>
      </c>
      <c r="J595" s="1446" t="str">
        <f>IF(E595=TRUE,Comments!$B$22&amp;DOLLAR(INDEX(Min_Table,M595),0)&amp;Comments!$B$18&amp;DOLLAR(INDEX(Max_Table,M595),0)&amp;IFERROR(Comments!$B$19&amp;DOLLAR(Page5_CHV_MCI!$M$26/Page5_CHV_MCI!$K$26,0),0),"")</f>
        <v/>
      </c>
      <c r="K595" s="1452"/>
      <c r="L595" s="611">
        <f>ROW(OR_VEH!$A$667)</f>
        <v>667</v>
      </c>
      <c r="M595" s="611">
        <f>ROW(OR_VEH!$A$25)</f>
        <v>25</v>
      </c>
      <c r="N595" s="611" t="str">
        <f>"CPTE # "&amp;Page5_CHV_MCI!$E$26&amp;"  "&amp;Page5_CHV_MCI!$C$26&amp;" - COÛT DES VENTES - AAD"</f>
        <v>CPTE # 421A  TOTAL INTERNE - VOITURES - COÛT DES VENTES - AAD</v>
      </c>
      <c r="O595" s="611" t="str">
        <f t="shared" si="73"/>
        <v/>
      </c>
      <c r="P595" s="611" t="str">
        <f t="shared" si="75"/>
        <v>Page5_CHV_MCI!M</v>
      </c>
      <c r="Q595" s="611">
        <f t="shared" si="76"/>
        <v>26</v>
      </c>
      <c r="R595" s="1447">
        <f t="shared" ca="1" si="77"/>
        <v>0</v>
      </c>
      <c r="S595" s="1447">
        <f t="shared" ca="1" si="78"/>
        <v>0</v>
      </c>
      <c r="T595" s="611">
        <v>22</v>
      </c>
      <c r="V595" s="2557" t="str">
        <f t="shared" ca="1" si="79"/>
        <v/>
      </c>
      <c r="W595" s="611" t="str">
        <f t="shared" ca="1" si="80"/>
        <v>Page5_CHV_MCI, Ligne 23 [Page5_CHV_MCI!M26]  -</v>
      </c>
    </row>
    <row r="596" spans="1:23">
      <c r="A596" s="1443" t="str">
        <f>celladdr(Page5_CHV_MCI!M27)</f>
        <v>Page5_CHV_MCI!M27</v>
      </c>
      <c r="B596" s="1444" t="s">
        <v>1086</v>
      </c>
      <c r="C596" s="1451"/>
      <c r="D596" s="1454"/>
      <c r="E596" s="1454"/>
      <c r="F596" s="1454"/>
      <c r="G596" s="1444" t="str">
        <f t="shared" si="74"/>
        <v/>
      </c>
      <c r="H596" s="1447" t="str">
        <f>IF(C596=TRUE,Comments!$B$26,"")</f>
        <v/>
      </c>
      <c r="I596" s="1446" t="str">
        <f>IF(D596=TRUE,Comments!$B$24,"")</f>
        <v/>
      </c>
      <c r="J596" s="1446"/>
      <c r="K596" s="1452"/>
      <c r="O596" s="611" t="str">
        <f t="shared" si="73"/>
        <v/>
      </c>
      <c r="P596" s="611" t="str">
        <f t="shared" si="75"/>
        <v>Page5_CHV_MCI!M</v>
      </c>
      <c r="Q596" s="611">
        <f t="shared" si="76"/>
        <v>27</v>
      </c>
      <c r="R596" s="1447">
        <f t="shared" ca="1" si="77"/>
        <v>0</v>
      </c>
      <c r="S596" s="1447">
        <f t="shared" ca="1" si="78"/>
        <v>0</v>
      </c>
      <c r="V596" s="2557" t="str">
        <f t="shared" ca="1" si="79"/>
        <v/>
      </c>
      <c r="W596" s="611" t="str">
        <f t="shared" ca="1" si="80"/>
        <v>Page5_CHV_MCI, Ligne 24 [Page5_CHV_MCI!M27]  -</v>
      </c>
    </row>
    <row r="597" spans="1:23">
      <c r="A597" s="1443" t="str">
        <f>celladdr(Page5_CHV_MCI!M28)</f>
        <v>Page5_CHV_MCI!M28</v>
      </c>
      <c r="B597" s="1456" t="s">
        <v>1086</v>
      </c>
      <c r="C597" s="1451" t="b">
        <f>IF(Page5_CHV_MCI!$K$28=0,FALSE,OR(Page5_CHV_MCI!$M$28/Page5_CHV_MCI!$K$28&lt;INDEX(Min_Table,L597),Page5_CHV_MCI!$M$28/Page5_CHV_MCI!$K$28&gt;INDEX(Max_Table,L597)))</f>
        <v>0</v>
      </c>
      <c r="D597" s="1454" t="b">
        <f>OR(AND(Page5_CHV_MCI!$L28&lt;&gt;0,Page5_CHV_MCI!$M28=0),AND(Page5_CHV_MCI!$M28&lt;&gt;0,Page5_CHV_MCI!$L28=0))</f>
        <v>0</v>
      </c>
      <c r="E597" s="1454" t="b">
        <f>IF(Page5_CHV_MCI!$K$28=0,FALSE,OR(Page5_CHV_MCI!$M$28/Page5_CHV_MCI!$K$28&lt;INDEX(Min_Table,M597),Page5_CHV_MCI!$M$28/Page5_CHV_MCI!$K$28&gt;INDEX(Max_Table,M597)))</f>
        <v>0</v>
      </c>
      <c r="F597" s="1454"/>
      <c r="G597" s="1444" t="str">
        <f t="shared" si="74"/>
        <v/>
      </c>
      <c r="H597" s="1447" t="str">
        <f>IF(C597=TRUE,Comments!$B$20&amp;DOLLAR(INDEX(Min_Table,L597),0)&amp;Comments!$B$18&amp;DOLLAR(INDEX(Max_Table,L597),0)&amp;Comments!$B$19&amp;DOLLAR(Page5_CHV_MCI!$M$28/Page5_CHV_MCI!$K$28,0),"")</f>
        <v/>
      </c>
      <c r="I597" s="1446" t="str">
        <f>IF(D597=TRUE,Comments!$B$24,"")</f>
        <v/>
      </c>
      <c r="J597" s="1446" t="str">
        <f>IF(E597=TRUE,Comments!$B$22&amp;DOLLAR(INDEX(Min_Table,M597),0)&amp;Comments!$B$18&amp;DOLLAR(INDEX(Max_Table,M597),0)&amp;IFERROR(Comments!$B$19&amp;DOLLAR(Page5_CHV_MCI!$M$28/Page5_CHV_MCI!$K$28,0),0),"")</f>
        <v/>
      </c>
      <c r="K597" s="1452"/>
      <c r="L597" s="611">
        <f>ROW(OR_VEH!$A$667)</f>
        <v>667</v>
      </c>
      <c r="M597" s="611">
        <f>ROW(OR_VEH!$A$27)</f>
        <v>27</v>
      </c>
      <c r="N597" s="611" t="str">
        <f>"CPTE # "&amp;Page5_CHV_MCI!$E$28&amp;"  "&amp;Page5_CHV_MCI!$C$28&amp;" - COÛT DES VENTES - AAD"</f>
        <v>CPTE # 423A  NE PAS UTILISER - COÛT DES VENTES - AAD</v>
      </c>
      <c r="O597" s="611" t="str">
        <f t="shared" si="73"/>
        <v/>
      </c>
      <c r="P597" s="611" t="str">
        <f t="shared" si="75"/>
        <v>Page5_CHV_MCI!M</v>
      </c>
      <c r="Q597" s="611">
        <f t="shared" si="76"/>
        <v>28</v>
      </c>
      <c r="R597" s="1447">
        <f t="shared" ca="1" si="77"/>
        <v>0</v>
      </c>
      <c r="S597" s="1447">
        <f t="shared" ca="1" si="78"/>
        <v>0</v>
      </c>
      <c r="T597" s="611">
        <v>22</v>
      </c>
      <c r="V597" s="2557" t="str">
        <f t="shared" ca="1" si="79"/>
        <v/>
      </c>
      <c r="W597" s="611" t="str">
        <f t="shared" ca="1" si="80"/>
        <v>Page5_CHV_MCI, Ligne 25 [Page5_CHV_MCI!M28]  -</v>
      </c>
    </row>
    <row r="598" spans="1:23">
      <c r="A598" s="1443" t="str">
        <f>celladdr(Page5_CHV_MCI!M29)</f>
        <v>Page5_CHV_MCI!M29</v>
      </c>
      <c r="B598" s="1456" t="s">
        <v>1086</v>
      </c>
      <c r="C598" s="1451" t="b">
        <f>IF(Page5_CHV_MCI!$K$29=0,FALSE,OR(Page5_CHV_MCI!$M$29/Page5_CHV_MCI!$K$29&lt;INDEX(Min_Table,L598),Page5_CHV_MCI!$M$29/Page5_CHV_MCI!$K$29&gt;INDEX(Max_Table,L598)))</f>
        <v>0</v>
      </c>
      <c r="D598" s="1454" t="b">
        <f>OR(AND(Page5_CHV_MCI!$L29&lt;&gt;0,Page5_CHV_MCI!$M29=0),AND(Page5_CHV_MCI!$M29&lt;&gt;0,Page5_CHV_MCI!$L29=0))</f>
        <v>0</v>
      </c>
      <c r="E598" s="1454" t="b">
        <f>IF(Page5_CHV_MCI!$K$29=0,FALSE,OR(Page5_CHV_MCI!$M$29/Page5_CHV_MCI!$K$29&lt;INDEX(Min_Table,M598),Page5_CHV_MCI!$M$29/Page5_CHV_MCI!$K$29&gt;INDEX(Max_Table,M598)))</f>
        <v>0</v>
      </c>
      <c r="F598" s="1454"/>
      <c r="G598" s="1444" t="str">
        <f t="shared" si="74"/>
        <v/>
      </c>
      <c r="H598" s="1447" t="str">
        <f>IF(C598=TRUE,Comments!$B$20&amp;DOLLAR(INDEX(Min_Table,L598),0)&amp;Comments!$B$18&amp;DOLLAR(INDEX(Max_Table,L598),0)&amp;Comments!$B$19&amp;DOLLAR(Page5_CHV_MCI!$M$29/Page5_CHV_MCI!$K$29,0),"")</f>
        <v/>
      </c>
      <c r="I598" s="1446" t="str">
        <f>IF(D598=TRUE,Comments!$B$24,"")</f>
        <v/>
      </c>
      <c r="J598" s="1446" t="str">
        <f>IF(E598=TRUE,Comments!$B$22&amp;DOLLAR(INDEX(Min_Table,M598),0)&amp;Comments!$B$18&amp;DOLLAR(INDEX(Max_Table,M598),0)&amp;IFERROR(Comments!$B$19&amp;DOLLAR(Page5_CHV_MCI!$M$29/Page5_CHV_MCI!$K$29,0),0),"")</f>
        <v/>
      </c>
      <c r="K598" s="1452"/>
      <c r="L598" s="611">
        <f>ROW(OR_VEH!$A$667)</f>
        <v>667</v>
      </c>
      <c r="M598" s="611">
        <f>ROW(OR_VEH!$A$28)</f>
        <v>28</v>
      </c>
      <c r="N598" s="611" t="str">
        <f>"CPTE # "&amp;Page5_CHV_MCI!$E$29&amp;"  "&amp;Page5_CHV_MCI!$C$29&amp;" - COÛT DES VENTES - AAD"</f>
        <v>CPTE # 424A  NE PAS UTILISER - COÛT DES VENTES - AAD</v>
      </c>
      <c r="O598" s="611" t="str">
        <f t="shared" si="73"/>
        <v/>
      </c>
      <c r="P598" s="611" t="str">
        <f t="shared" si="75"/>
        <v>Page5_CHV_MCI!M</v>
      </c>
      <c r="Q598" s="611">
        <f t="shared" si="76"/>
        <v>29</v>
      </c>
      <c r="R598" s="1447">
        <f t="shared" ca="1" si="77"/>
        <v>0</v>
      </c>
      <c r="S598" s="1447">
        <f t="shared" ca="1" si="78"/>
        <v>0</v>
      </c>
      <c r="T598" s="611">
        <v>22</v>
      </c>
      <c r="V598" s="2557" t="str">
        <f t="shared" ca="1" si="79"/>
        <v/>
      </c>
      <c r="W598" s="611" t="str">
        <f t="shared" ca="1" si="80"/>
        <v>Page5_CHV_MCI, Ligne 26 [Page5_CHV_MCI!M29]  -</v>
      </c>
    </row>
    <row r="599" spans="1:23">
      <c r="A599" s="1443" t="str">
        <f>celladdr(Page5_CHV_MCI!M30)</f>
        <v>Page5_CHV_MCI!M30</v>
      </c>
      <c r="B599" s="1456" t="s">
        <v>1086</v>
      </c>
      <c r="C599" s="1451" t="b">
        <f>IF(Page5_CHV_MCI!$K$30=0,FALSE,OR(Page5_CHV_MCI!$M$30/Page5_CHV_MCI!$K$30&lt;INDEX(Min_Table,L599),Page5_CHV_MCI!$M$30/Page5_CHV_MCI!$K$30&gt;INDEX(Max_Table,L599)))</f>
        <v>0</v>
      </c>
      <c r="D599" s="1454" t="b">
        <f>OR(AND(Page5_CHV_MCI!$L30&lt;&gt;0,Page5_CHV_MCI!$M30=0),AND(Page5_CHV_MCI!$M30&lt;&gt;0,Page5_CHV_MCI!$L30=0))</f>
        <v>0</v>
      </c>
      <c r="E599" s="1454" t="b">
        <f>IF(Page5_CHV_MCI!$K$30=0,FALSE,OR(Page5_CHV_MCI!$M$30/Page5_CHV_MCI!$K$30&lt;INDEX(Min_Table,M599),Page5_CHV_MCI!$M$30/Page5_CHV_MCI!$K$30&gt;INDEX(Max_Table,M599)))</f>
        <v>0</v>
      </c>
      <c r="F599" s="1454"/>
      <c r="G599" s="1444" t="str">
        <f t="shared" si="74"/>
        <v/>
      </c>
      <c r="H599" s="1447" t="str">
        <f>IF(C599=TRUE,Comments!$B$20&amp;DOLLAR(INDEX(Min_Table,L599),0)&amp;Comments!$B$18&amp;DOLLAR(INDEX(Max_Table,L599),0)&amp;Comments!$B$19&amp;DOLLAR(Page5_CHV_MCI!$M$30/Page5_CHV_MCI!$K$30,0),"")</f>
        <v/>
      </c>
      <c r="I599" s="1446" t="str">
        <f>IF(D599=TRUE,Comments!$B$24,"")</f>
        <v/>
      </c>
      <c r="J599" s="1446" t="str">
        <f>IF(E599=TRUE,Comments!$B$22&amp;DOLLAR(INDEX(Min_Table,M599),0)&amp;Comments!$B$18&amp;DOLLAR(INDEX(Max_Table,M599),0)&amp;IFERROR(Comments!$B$19&amp;DOLLAR(Page5_CHV_MCI!$M$30/Page5_CHV_MCI!$K$30,0),0),"")</f>
        <v/>
      </c>
      <c r="K599" s="1452"/>
      <c r="L599" s="611">
        <f>ROW(OR_VEH!$A$667)</f>
        <v>667</v>
      </c>
      <c r="M599" s="611">
        <f>ROW(OR_VEH!$A$29)</f>
        <v>29</v>
      </c>
      <c r="N599" s="611" t="str">
        <f>"CPTE # "&amp;Page5_CHV_MCI!$E$30&amp;"  "&amp;Page5_CHV_MCI!$C$30&amp;" - COÛT DES VENTES - AAD"</f>
        <v>CPTE # 425A  EXPRESS - COÛT DES VENTES - AAD</v>
      </c>
      <c r="O599" s="611" t="str">
        <f t="shared" si="73"/>
        <v/>
      </c>
      <c r="P599" s="611" t="str">
        <f t="shared" si="75"/>
        <v>Page5_CHV_MCI!M</v>
      </c>
      <c r="Q599" s="611">
        <f t="shared" si="76"/>
        <v>30</v>
      </c>
      <c r="R599" s="1447">
        <f t="shared" ca="1" si="77"/>
        <v>0</v>
      </c>
      <c r="S599" s="1447">
        <f t="shared" ca="1" si="78"/>
        <v>0</v>
      </c>
      <c r="T599" s="611">
        <v>22</v>
      </c>
      <c r="V599" s="2557" t="str">
        <f t="shared" ca="1" si="79"/>
        <v/>
      </c>
      <c r="W599" s="611" t="str">
        <f t="shared" ca="1" si="80"/>
        <v>Page5_CHV_MCI, Ligne 27 [Page5_CHV_MCI!M30]  -</v>
      </c>
    </row>
    <row r="600" spans="1:23">
      <c r="A600" s="1443" t="str">
        <f>celladdr(Page5_CHV_MCI!M31)</f>
        <v>Page5_CHV_MCI!M31</v>
      </c>
      <c r="B600" s="1456" t="s">
        <v>1086</v>
      </c>
      <c r="C600" s="1451" t="b">
        <f>IF(Page5_CHV_MCI!$K$31=0,FALSE,OR(Page5_CHV_MCI!$M$31/Page5_CHV_MCI!$K$31&lt;INDEX(Min_Table,L600),Page5_CHV_MCI!$M$31/Page5_CHV_MCI!$K$31&gt;INDEX(Max_Table,L600)))</f>
        <v>0</v>
      </c>
      <c r="D600" s="1454" t="b">
        <f>OR(AND(Page5_CHV_MCI!$L31&lt;&gt;0,Page5_CHV_MCI!$M31=0),AND(Page5_CHV_MCI!$M31&lt;&gt;0,Page5_CHV_MCI!$L31=0))</f>
        <v>0</v>
      </c>
      <c r="E600" s="1454" t="b">
        <f>IF(Page5_CHV_MCI!$K$31=0,FALSE,OR(Page5_CHV_MCI!$M$31/Page5_CHV_MCI!$K$31&lt;INDEX(Min_Table,M600),Page5_CHV_MCI!$M$31/Page5_CHV_MCI!$K$31&gt;INDEX(Max_Table,M600)))</f>
        <v>0</v>
      </c>
      <c r="F600" s="1454"/>
      <c r="G600" s="1444" t="str">
        <f t="shared" si="74"/>
        <v/>
      </c>
      <c r="H600" s="1447" t="str">
        <f>IF(C600=TRUE,Comments!$B$20&amp;DOLLAR(INDEX(Min_Table,L600),0)&amp;Comments!$B$18&amp;DOLLAR(INDEX(Max_Table,L600),0)&amp;Comments!$B$19&amp;DOLLAR(Page5_CHV_MCI!$M$31/Page5_CHV_MCI!$K$31,0),"")</f>
        <v/>
      </c>
      <c r="I600" s="1446" t="str">
        <f>IF(D600=TRUE,Comments!$B$24,"")</f>
        <v/>
      </c>
      <c r="J600" s="1446" t="str">
        <f>IF(E600=TRUE,Comments!$B$22&amp;DOLLAR(INDEX(Min_Table,M600),0)&amp;Comments!$B$18&amp;DOLLAR(INDEX(Max_Table,M600),0)&amp;IFERROR(Comments!$B$19&amp;DOLLAR(Page5_CHV_MCI!$M$31/Page5_CHV_MCI!$K$31,0),0),"")</f>
        <v/>
      </c>
      <c r="K600" s="1452"/>
      <c r="L600" s="611">
        <f>ROW(OR_VEH!$A$667)</f>
        <v>667</v>
      </c>
      <c r="M600" s="611">
        <f>ROW(OR_VEH!$A$30)</f>
        <v>30</v>
      </c>
      <c r="N600" s="611" t="str">
        <f>"CPTE # "&amp;Page5_CHV_MCI!$E$31&amp;"  "&amp;Page5_CHV_MCI!$C$31&amp;" - COÛT DES VENTES - AAD"</f>
        <v>CPTE # 426A  COLORADO - COÛT DES VENTES - AAD</v>
      </c>
      <c r="O600" s="611" t="str">
        <f t="shared" si="73"/>
        <v/>
      </c>
      <c r="P600" s="611" t="str">
        <f t="shared" si="75"/>
        <v>Page5_CHV_MCI!M</v>
      </c>
      <c r="Q600" s="611">
        <f t="shared" si="76"/>
        <v>31</v>
      </c>
      <c r="R600" s="1447">
        <f t="shared" ca="1" si="77"/>
        <v>0</v>
      </c>
      <c r="S600" s="1447">
        <f t="shared" ca="1" si="78"/>
        <v>0</v>
      </c>
      <c r="T600" s="611">
        <v>22</v>
      </c>
      <c r="V600" s="2557" t="str">
        <f t="shared" ca="1" si="79"/>
        <v/>
      </c>
      <c r="W600" s="611" t="str">
        <f t="shared" ca="1" si="80"/>
        <v>Page5_CHV_MCI, Ligne 28 [Page5_CHV_MCI!M31]  -</v>
      </c>
    </row>
    <row r="601" spans="1:23">
      <c r="A601" s="1443" t="str">
        <f>celladdr(Page5_CHV_MCI!M32)</f>
        <v>Page5_CHV_MCI!M32</v>
      </c>
      <c r="B601" s="1456" t="s">
        <v>1086</v>
      </c>
      <c r="C601" s="1451" t="b">
        <f>IF(Page5_CHV_MCI!$K$32=0,FALSE,OR(Page5_CHV_MCI!$M$32/Page5_CHV_MCI!$K$32&lt;INDEX(Min_Table,L601),Page5_CHV_MCI!$M$32/Page5_CHV_MCI!$K$32&gt;INDEX(Max_Table,L601)))</f>
        <v>0</v>
      </c>
      <c r="D601" s="1454" t="b">
        <f>OR(AND(Page5_CHV_MCI!$L32&lt;&gt;0,Page5_CHV_MCI!$M32=0),AND(Page5_CHV_MCI!$M32&lt;&gt;0,Page5_CHV_MCI!$L32=0))</f>
        <v>0</v>
      </c>
      <c r="E601" s="1454" t="b">
        <f>IF(Page5_CHV_MCI!$K$32=0,FALSE,OR(Page5_CHV_MCI!$M$32/Page5_CHV_MCI!$K$32&lt;INDEX(Min_Table,M601),Page5_CHV_MCI!$M$32/Page5_CHV_MCI!$K$32&gt;INDEX(Max_Table,M601)))</f>
        <v>0</v>
      </c>
      <c r="F601" s="1454"/>
      <c r="G601" s="1444" t="str">
        <f t="shared" si="74"/>
        <v/>
      </c>
      <c r="H601" s="1447" t="str">
        <f>IF(C601=TRUE,Comments!$B$20&amp;DOLLAR(INDEX(Min_Table,L601),0)&amp;Comments!$B$18&amp;DOLLAR(INDEX(Max_Table,L601),0)&amp;Comments!$B$19&amp;DOLLAR(Page5_CHV_MCI!$M$32/Page5_CHV_MCI!$K$32,0),"")</f>
        <v/>
      </c>
      <c r="I601" s="1446" t="str">
        <f>IF(D601=TRUE,Comments!$B$24,"")</f>
        <v/>
      </c>
      <c r="J601" s="1446" t="str">
        <f>IF(E601=TRUE,Comments!$B$22&amp;DOLLAR(INDEX(Min_Table,M601),0)&amp;Comments!$B$18&amp;DOLLAR(INDEX(Max_Table,M601),0)&amp;IFERROR(Comments!$B$19&amp;DOLLAR(Page5_CHV_MCI!$M$32/Page5_CHV_MCI!$K$32,0),0),"")</f>
        <v/>
      </c>
      <c r="K601" s="1452"/>
      <c r="L601" s="611">
        <f>ROW(OR_VEH!$A$667)</f>
        <v>667</v>
      </c>
      <c r="M601" s="611">
        <f>ROW(OR_VEH!$A$31)</f>
        <v>31</v>
      </c>
      <c r="N601" s="611" t="str">
        <f>"CPTE # "&amp;Page5_CHV_MCI!$E$32&amp;"  "&amp;Page5_CHV_MCI!$C$32&amp;" - COÛT DES VENTES - AAD"</f>
        <v>CPTE # 427A  TRAVERSE - COÛT DES VENTES - AAD</v>
      </c>
      <c r="O601" s="611" t="str">
        <f t="shared" si="73"/>
        <v/>
      </c>
      <c r="P601" s="611" t="str">
        <f t="shared" si="75"/>
        <v>Page5_CHV_MCI!M</v>
      </c>
      <c r="Q601" s="611">
        <f t="shared" si="76"/>
        <v>32</v>
      </c>
      <c r="R601" s="1447">
        <f t="shared" ca="1" si="77"/>
        <v>0</v>
      </c>
      <c r="S601" s="1447">
        <f t="shared" ca="1" si="78"/>
        <v>0</v>
      </c>
      <c r="T601" s="611">
        <v>22</v>
      </c>
      <c r="V601" s="2557" t="str">
        <f t="shared" ca="1" si="79"/>
        <v/>
      </c>
      <c r="W601" s="611" t="str">
        <f t="shared" ca="1" si="80"/>
        <v>Page5_CHV_MCI, Ligne 29 [Page5_CHV_MCI!M32]  -</v>
      </c>
    </row>
    <row r="602" spans="1:23">
      <c r="A602" s="1443" t="str">
        <f>celladdr(Page5_CHV_MCI!M33)</f>
        <v>Page5_CHV_MCI!M33</v>
      </c>
      <c r="B602" s="1456" t="s">
        <v>1086</v>
      </c>
      <c r="C602" s="1451" t="b">
        <f>IF(Page5_CHV_MCI!$K$33=0,FALSE,OR(Page5_CHV_MCI!$M$33/Page5_CHV_MCI!$K$33&lt;INDEX(Min_Table,L602),Page5_CHV_MCI!$M$33/Page5_CHV_MCI!$K$33&gt;INDEX(Max_Table,L602)))</f>
        <v>0</v>
      </c>
      <c r="D602" s="1454" t="b">
        <f>OR(AND(Page5_CHV_MCI!$L33&lt;&gt;0,Page5_CHV_MCI!$M33=0),AND(Page5_CHV_MCI!$M33&lt;&gt;0,Page5_CHV_MCI!$L33=0))</f>
        <v>0</v>
      </c>
      <c r="E602" s="1454" t="b">
        <f>IF(Page5_CHV_MCI!$K$33=0,FALSE,OR(Page5_CHV_MCI!$M$33/Page5_CHV_MCI!$K$33&lt;INDEX(Min_Table,M602),Page5_CHV_MCI!$M$33/Page5_CHV_MCI!$K$33&gt;INDEX(Max_Table,M602)))</f>
        <v>0</v>
      </c>
      <c r="F602" s="1454"/>
      <c r="G602" s="1444" t="str">
        <f t="shared" si="74"/>
        <v/>
      </c>
      <c r="H602" s="1447" t="str">
        <f>IF(C602=TRUE,Comments!$B$20&amp;DOLLAR(INDEX(Min_Table,L602),0)&amp;Comments!$B$18&amp;DOLLAR(INDEX(Max_Table,L602),0)&amp;Comments!$B$19&amp;DOLLAR(Page5_CHV_MCI!$M$33/Page5_CHV_MCI!$K$33,0),"")</f>
        <v/>
      </c>
      <c r="I602" s="1446" t="str">
        <f>IF(D602=TRUE,Comments!$B$24,"")</f>
        <v/>
      </c>
      <c r="J602" s="1446" t="str">
        <f>IF(E602=TRUE,Comments!$B$22&amp;DOLLAR(INDEX(Min_Table,M602),0)&amp;Comments!$B$18&amp;DOLLAR(INDEX(Max_Table,M602),0)&amp;IFERROR(Comments!$B$19&amp;DOLLAR(Page5_CHV_MCI!$M$33/Page5_CHV_MCI!$K$33,0),0),"")</f>
        <v/>
      </c>
      <c r="K602" s="1452"/>
      <c r="L602" s="611">
        <f>ROW(OR_VEH!$A$667)</f>
        <v>667</v>
      </c>
      <c r="M602" s="611">
        <f>ROW(OR_VEH!$A$32)</f>
        <v>32</v>
      </c>
      <c r="N602" s="611" t="str">
        <f>"CPTE # "&amp;Page5_CHV_MCI!$E$33&amp;"  "&amp;Page5_CHV_MCI!$C$33&amp;" - COÛT DES VENTES - AAD"</f>
        <v>CPTE # 428A  TRAX - COÛT DES VENTES - AAD</v>
      </c>
      <c r="O602" s="611" t="str">
        <f t="shared" ref="O602:O633" si="81">IF(A602=A601,"TRUE","")</f>
        <v/>
      </c>
      <c r="P602" s="611" t="str">
        <f t="shared" si="75"/>
        <v>Page5_CHV_MCI!M</v>
      </c>
      <c r="Q602" s="611">
        <f t="shared" si="76"/>
        <v>33</v>
      </c>
      <c r="R602" s="1447">
        <f t="shared" ca="1" si="77"/>
        <v>0</v>
      </c>
      <c r="S602" s="1447">
        <f t="shared" ca="1" si="78"/>
        <v>0</v>
      </c>
      <c r="T602" s="611">
        <v>22</v>
      </c>
      <c r="V602" s="2557" t="str">
        <f t="shared" ca="1" si="79"/>
        <v/>
      </c>
      <c r="W602" s="611" t="str">
        <f t="shared" ca="1" si="80"/>
        <v>Page5_CHV_MCI, Ligne 30 [Page5_CHV_MCI!M33]  -</v>
      </c>
    </row>
    <row r="603" spans="1:23">
      <c r="A603" s="1443" t="str">
        <f>celladdr(Page5_CHV_MCI!M34)</f>
        <v>Page5_CHV_MCI!M34</v>
      </c>
      <c r="B603" s="1456" t="s">
        <v>1086</v>
      </c>
      <c r="C603" s="1451" t="b">
        <f>IF(Page5_CHV_MCI!$K$34=0,FALSE,OR(Page5_CHV_MCI!$M$34/Page5_CHV_MCI!$K$34&lt;INDEX(Min_Table,L603),Page5_CHV_MCI!$M$34/Page5_CHV_MCI!$K$34&gt;INDEX(Max_Table,L603)))</f>
        <v>0</v>
      </c>
      <c r="D603" s="1454" t="b">
        <f>OR(AND(Page5_CHV_MCI!$L34&lt;&gt;0,Page5_CHV_MCI!$M34=0),AND(Page5_CHV_MCI!$M34&lt;&gt;0,Page5_CHV_MCI!$L34=0))</f>
        <v>0</v>
      </c>
      <c r="E603" s="1454" t="b">
        <f>IF(Page5_CHV_MCI!$K$34=0,FALSE,OR(Page5_CHV_MCI!$M$34/Page5_CHV_MCI!$K$34&lt;INDEX(Min_Table,M603),Page5_CHV_MCI!$M$34/Page5_CHV_MCI!$K$34&gt;INDEX(Max_Table,M603)))</f>
        <v>0</v>
      </c>
      <c r="F603" s="1454"/>
      <c r="G603" s="1444" t="str">
        <f t="shared" si="74"/>
        <v/>
      </c>
      <c r="H603" s="1447" t="str">
        <f>IF(C603=TRUE,Comments!$B$20&amp;DOLLAR(INDEX(Min_Table,L603),0)&amp;Comments!$B$18&amp;DOLLAR(INDEX(Max_Table,L603),0)&amp;Comments!$B$19&amp;DOLLAR(Page5_CHV_MCI!$M$34/Page5_CHV_MCI!$K$34,0),"")</f>
        <v/>
      </c>
      <c r="I603" s="1446" t="str">
        <f>IF(D603=TRUE,Comments!$B$24,"")</f>
        <v/>
      </c>
      <c r="J603" s="1446" t="str">
        <f>IF(E603=TRUE,Comments!$B$22&amp;DOLLAR(INDEX(Min_Table,M603),0)&amp;Comments!$B$18&amp;DOLLAR(INDEX(Max_Table,M603),0)&amp;IFERROR(Comments!$B$19&amp;DOLLAR(Page5_CHV_MCI!$M$34/Page5_CHV_MCI!$K$34,0),0),"")</f>
        <v/>
      </c>
      <c r="K603" s="1452"/>
      <c r="L603" s="611">
        <f>ROW(OR_VEH!$A$667)</f>
        <v>667</v>
      </c>
      <c r="M603" s="611">
        <f>ROW(OR_VEH!$A$33)</f>
        <v>33</v>
      </c>
      <c r="N603" s="611" t="str">
        <f>"CPTE # "&amp;Page5_CHV_MCI!$E$34&amp;"  "&amp;Page5_CHV_MCI!$C$34&amp;" - COÛT DES VENTES - AAD"</f>
        <v>CPTE # 429A  TAHOE/SUBURBAN - COÛT DES VENTES - AAD</v>
      </c>
      <c r="O603" s="611" t="str">
        <f t="shared" si="81"/>
        <v/>
      </c>
      <c r="P603" s="611" t="str">
        <f t="shared" si="75"/>
        <v>Page5_CHV_MCI!M</v>
      </c>
      <c r="Q603" s="611">
        <f t="shared" si="76"/>
        <v>34</v>
      </c>
      <c r="R603" s="1447">
        <f t="shared" ca="1" si="77"/>
        <v>0</v>
      </c>
      <c r="S603" s="1447">
        <f t="shared" ca="1" si="78"/>
        <v>0</v>
      </c>
      <c r="T603" s="611">
        <v>22</v>
      </c>
      <c r="V603" s="2557" t="str">
        <f t="shared" ca="1" si="79"/>
        <v/>
      </c>
      <c r="W603" s="611" t="str">
        <f t="shared" ca="1" si="80"/>
        <v>Page5_CHV_MCI, Ligne 31 [Page5_CHV_MCI!M34]  -</v>
      </c>
    </row>
    <row r="604" spans="1:23">
      <c r="A604" s="1443" t="str">
        <f>celladdr(Page5_CHV_MCI!M35)</f>
        <v>Page5_CHV_MCI!M35</v>
      </c>
      <c r="B604" s="1456" t="s">
        <v>1086</v>
      </c>
      <c r="C604" s="1451" t="b">
        <f>IF(Page5_CHV_MCI!$K$35=0,FALSE,OR(Page5_CHV_MCI!$M$35/Page5_CHV_MCI!$K$35&lt;INDEX(Min_Table,L604),Page5_CHV_MCI!$M$35/Page5_CHV_MCI!$K$35&gt;INDEX(Max_Table,L604)))</f>
        <v>0</v>
      </c>
      <c r="D604" s="1454" t="b">
        <f>OR(AND(Page5_CHV_MCI!$L35&lt;&gt;0,Page5_CHV_MCI!$M35=0),AND(Page5_CHV_MCI!$M35&lt;&gt;0,Page5_CHV_MCI!$L35=0))</f>
        <v>0</v>
      </c>
      <c r="E604" s="1454" t="b">
        <f>IF(Page5_CHV_MCI!$K$35=0,FALSE,OR(Page5_CHV_MCI!$M$35/Page5_CHV_MCI!$K$35&lt;INDEX(Min_Table,M604),Page5_CHV_MCI!$M$35/Page5_CHV_MCI!$K$35&gt;INDEX(Max_Table,M604)))</f>
        <v>0</v>
      </c>
      <c r="F604" s="1454"/>
      <c r="G604" s="1444" t="str">
        <f t="shared" si="74"/>
        <v/>
      </c>
      <c r="H604" s="1447" t="str">
        <f>IF(C604=TRUE,Comments!$B$20&amp;DOLLAR(INDEX(Min_Table,L604),0)&amp;Comments!$B$18&amp;DOLLAR(INDEX(Max_Table,L604),0)&amp;Comments!$B$19&amp;DOLLAR(Page5_CHV_MCI!$M$35/Page5_CHV_MCI!$K$35,0),"")</f>
        <v/>
      </c>
      <c r="I604" s="1446" t="str">
        <f>IF(D604=TRUE,Comments!$B$24,"")</f>
        <v/>
      </c>
      <c r="J604" s="1446" t="str">
        <f>IF(E604=TRUE,Comments!$B$22&amp;DOLLAR(INDEX(Min_Table,M604),0)&amp;Comments!$B$18&amp;DOLLAR(INDEX(Max_Table,M604),0)&amp;IFERROR(Comments!$B$19&amp;DOLLAR(Page5_CHV_MCI!$M$35/Page5_CHV_MCI!$K$35,0),0),"")</f>
        <v/>
      </c>
      <c r="K604" s="1452"/>
      <c r="L604" s="611">
        <f>ROW(OR_VEH!$A$667)</f>
        <v>667</v>
      </c>
      <c r="M604" s="611">
        <f>ROW(OR_VEH!$A$34)</f>
        <v>34</v>
      </c>
      <c r="N604" s="611" t="str">
        <f>"CPTE # "&amp;Page5_CHV_MCI!$E$35&amp;"  "&amp;Page5_CHV_MCI!$C$35&amp;" - COÛT DES VENTES - AAD"</f>
        <v>CPTE # 430A  CL 1500 SILVERADO - COÛT DES VENTES - AAD</v>
      </c>
      <c r="O604" s="611" t="str">
        <f t="shared" si="81"/>
        <v/>
      </c>
      <c r="P604" s="611" t="str">
        <f t="shared" si="75"/>
        <v>Page5_CHV_MCI!M</v>
      </c>
      <c r="Q604" s="611">
        <f t="shared" si="76"/>
        <v>35</v>
      </c>
      <c r="R604" s="1447">
        <f t="shared" ca="1" si="77"/>
        <v>0</v>
      </c>
      <c r="S604" s="1447">
        <f t="shared" ca="1" si="78"/>
        <v>0</v>
      </c>
      <c r="T604" s="611">
        <v>22</v>
      </c>
      <c r="V604" s="2557" t="str">
        <f t="shared" ca="1" si="79"/>
        <v/>
      </c>
      <c r="W604" s="611" t="str">
        <f t="shared" ca="1" si="80"/>
        <v>Page5_CHV_MCI, Ligne 32 [Page5_CHV_MCI!M35]  -</v>
      </c>
    </row>
    <row r="605" spans="1:23">
      <c r="A605" s="1443" t="str">
        <f>celladdr(Page5_CHV_MCI!M36)</f>
        <v>Page5_CHV_MCI!M36</v>
      </c>
      <c r="B605" s="1456" t="s">
        <v>1086</v>
      </c>
      <c r="C605" s="1451" t="b">
        <f>IF(Page5_CHV_MCI!$K$36=0,FALSE,OR(Page5_CHV_MCI!$M$36/Page5_CHV_MCI!$K$36&lt;INDEX(Min_Table,L605),Page5_CHV_MCI!$M$36/Page5_CHV_MCI!$K$36&gt;INDEX(Max_Table,L605)))</f>
        <v>0</v>
      </c>
      <c r="D605" s="1454" t="b">
        <f>OR(AND(Page5_CHV_MCI!$L36&lt;&gt;0,Page5_CHV_MCI!$M36=0),AND(Page5_CHV_MCI!$M36&lt;&gt;0,Page5_CHV_MCI!$L36=0))</f>
        <v>0</v>
      </c>
      <c r="E605" s="1454" t="b">
        <f>IF(Page5_CHV_MCI!$K$36=0,FALSE,OR(Page5_CHV_MCI!$M$36/Page5_CHV_MCI!$K$36&lt;INDEX(Min_Table,M605),Page5_CHV_MCI!$M$36/Page5_CHV_MCI!$K$36&gt;INDEX(Max_Table,M605)))</f>
        <v>0</v>
      </c>
      <c r="F605" s="1454"/>
      <c r="G605" s="1444" t="str">
        <f t="shared" si="74"/>
        <v/>
      </c>
      <c r="H605" s="1447" t="str">
        <f>IF(C605=TRUE,Comments!$B$20&amp;DOLLAR(INDEX(Min_Table,L605),0)&amp;Comments!$B$18&amp;DOLLAR(INDEX(Max_Table,L605),0)&amp;Comments!$B$19&amp;DOLLAR(Page5_CHV_MCI!$M$36/Page5_CHV_MCI!$K$36,0),"")</f>
        <v/>
      </c>
      <c r="I605" s="1446" t="str">
        <f>IF(D605=TRUE,Comments!$B$24,"")</f>
        <v/>
      </c>
      <c r="J605" s="1446" t="str">
        <f>IF(E605=TRUE,Comments!$B$22&amp;DOLLAR(INDEX(Min_Table,M605),0)&amp;Comments!$B$18&amp;DOLLAR(INDEX(Max_Table,M605),0)&amp;IFERROR(Comments!$B$19&amp;DOLLAR(Page5_CHV_MCI!$M$36/Page5_CHV_MCI!$K$36,0),0),"")</f>
        <v/>
      </c>
      <c r="K605" s="1452"/>
      <c r="L605" s="611">
        <f>ROW(OR_VEH!$A$667)</f>
        <v>667</v>
      </c>
      <c r="M605" s="611">
        <f>ROW(OR_VEH!$A$35)</f>
        <v>35</v>
      </c>
      <c r="N605" s="611" t="str">
        <f>"CPTE # "&amp;Page5_CHV_MCI!$E$36&amp;"  "&amp;Page5_CHV_MCI!$C$36&amp;" - COÛT DES VENTES - AAD"</f>
        <v>CPTE # 431A  CL 2500 SILVERADO - COÛT DES VENTES - AAD</v>
      </c>
      <c r="O605" s="611" t="str">
        <f t="shared" si="81"/>
        <v/>
      </c>
      <c r="P605" s="611" t="str">
        <f t="shared" si="75"/>
        <v>Page5_CHV_MCI!M</v>
      </c>
      <c r="Q605" s="611">
        <f t="shared" si="76"/>
        <v>36</v>
      </c>
      <c r="R605" s="1447">
        <f t="shared" ca="1" si="77"/>
        <v>0</v>
      </c>
      <c r="S605" s="1447">
        <f t="shared" ca="1" si="78"/>
        <v>0</v>
      </c>
      <c r="T605" s="611">
        <v>22</v>
      </c>
      <c r="V605" s="2557" t="str">
        <f t="shared" ca="1" si="79"/>
        <v/>
      </c>
      <c r="W605" s="611" t="str">
        <f t="shared" ca="1" si="80"/>
        <v>Page5_CHV_MCI, Ligne 33 [Page5_CHV_MCI!M36]  -</v>
      </c>
    </row>
    <row r="606" spans="1:23">
      <c r="A606" s="1443" t="str">
        <f>celladdr(Page5_CHV_MCI!M37)</f>
        <v>Page5_CHV_MCI!M37</v>
      </c>
      <c r="B606" s="1456" t="s">
        <v>1086</v>
      </c>
      <c r="C606" s="1451" t="b">
        <f>IF(Page5_CHV_MCI!$K$37=0,FALSE,OR(Page5_CHV_MCI!$M$37/Page5_CHV_MCI!$K$37&lt;INDEX(Min_Table,L606),Page5_CHV_MCI!$M$37/Page5_CHV_MCI!$K$37&gt;INDEX(Max_Table,L606)))</f>
        <v>0</v>
      </c>
      <c r="D606" s="1454" t="b">
        <f>OR(AND(Page5_CHV_MCI!$L37&lt;&gt;0,Page5_CHV_MCI!$M37=0),AND(Page5_CHV_MCI!$M37&lt;&gt;0,Page5_CHV_MCI!$L37=0))</f>
        <v>0</v>
      </c>
      <c r="E606" s="1454" t="b">
        <f>IF(Page5_CHV_MCI!$K$37=0,FALSE,OR(Page5_CHV_MCI!$M$37/Page5_CHV_MCI!$K$37&lt;INDEX(Min_Table,M606),Page5_CHV_MCI!$M$37/Page5_CHV_MCI!$K$37&gt;INDEX(Max_Table,M606)))</f>
        <v>0</v>
      </c>
      <c r="F606" s="1454"/>
      <c r="G606" s="1444" t="str">
        <f t="shared" si="74"/>
        <v/>
      </c>
      <c r="H606" s="1447" t="str">
        <f>IF(C606=TRUE,Comments!$B$20&amp;DOLLAR(INDEX(Min_Table,L606),0)&amp;Comments!$B$18&amp;DOLLAR(INDEX(Max_Table,L606),0)&amp;Comments!$B$19&amp;DOLLAR(Page5_CHV_MCI!$M$37/Page5_CHV_MCI!$K$37,0),"")</f>
        <v/>
      </c>
      <c r="I606" s="1446" t="str">
        <f>IF(D606=TRUE,Comments!$B$24,"")</f>
        <v/>
      </c>
      <c r="J606" s="1446" t="str">
        <f>IF(E606=TRUE,Comments!$B$22&amp;DOLLAR(INDEX(Min_Table,M606),0)&amp;Comments!$B$18&amp;DOLLAR(INDEX(Max_Table,M606),0)&amp;IFERROR(Comments!$B$19&amp;DOLLAR(Page5_CHV_MCI!$M$37/Page5_CHV_MCI!$K$37,0),0),"")</f>
        <v/>
      </c>
      <c r="K606" s="1452"/>
      <c r="L606" s="611">
        <f>ROW(OR_VEH!$A$667)</f>
        <v>667</v>
      </c>
      <c r="M606" s="611">
        <f>ROW(OR_VEH!$A$36)</f>
        <v>36</v>
      </c>
      <c r="N606" s="611" t="str">
        <f>"CPTE # "&amp;Page5_CHV_MCI!$E$37&amp;"  "&amp;Page5_CHV_MCI!$C$37&amp;" - COÛT DES VENTES - AAD"</f>
        <v>CPTE # 432A  CL 3500 SILVERADO - COÛT DES VENTES - AAD</v>
      </c>
      <c r="O606" s="611" t="str">
        <f t="shared" si="81"/>
        <v/>
      </c>
      <c r="P606" s="611" t="str">
        <f t="shared" si="75"/>
        <v>Page5_CHV_MCI!M</v>
      </c>
      <c r="Q606" s="611">
        <f t="shared" si="76"/>
        <v>37</v>
      </c>
      <c r="R606" s="1447">
        <f t="shared" ca="1" si="77"/>
        <v>0</v>
      </c>
      <c r="S606" s="1447">
        <f t="shared" ca="1" si="78"/>
        <v>0</v>
      </c>
      <c r="T606" s="611">
        <v>22</v>
      </c>
      <c r="V606" s="2557" t="str">
        <f t="shared" ca="1" si="79"/>
        <v/>
      </c>
      <c r="W606" s="611" t="str">
        <f t="shared" ca="1" si="80"/>
        <v>Page5_CHV_MCI, Ligne 34 [Page5_CHV_MCI!M37]  -</v>
      </c>
    </row>
    <row r="607" spans="1:23">
      <c r="A607" s="1443" t="str">
        <f>celladdr(Page5_CHV_MCI!M38)</f>
        <v>Page5_CHV_MCI!M38</v>
      </c>
      <c r="B607" s="1456" t="s">
        <v>1086</v>
      </c>
      <c r="C607" s="1451" t="b">
        <f>IF(Page5_CHV_MCI!$K$38=0,FALSE,OR(Page5_CHV_MCI!$M$38/Page5_CHV_MCI!$K$38&lt;INDEX(Min_Table,L607),Page5_CHV_MCI!$M$38/Page5_CHV_MCI!$K$38&gt;INDEX(Max_Table,L607)))</f>
        <v>0</v>
      </c>
      <c r="D607" s="1454" t="b">
        <f>OR(AND(Page5_CHV_MCI!$L38&lt;&gt;0,Page5_CHV_MCI!$M38=0),AND(Page5_CHV_MCI!$M38&lt;&gt;0,Page5_CHV_MCI!$L38=0))</f>
        <v>0</v>
      </c>
      <c r="E607" s="1454" t="b">
        <f>IF(Page5_CHV_MCI!$K$38=0,FALSE,OR(Page5_CHV_MCI!$M$38/Page5_CHV_MCI!$K$38&lt;INDEX(Min_Table,M607),Page5_CHV_MCI!$M$38/Page5_CHV_MCI!$K$38&gt;INDEX(Max_Table,M607)))</f>
        <v>0</v>
      </c>
      <c r="F607" s="1454"/>
      <c r="G607" s="1444" t="str">
        <f t="shared" si="74"/>
        <v/>
      </c>
      <c r="H607" s="1447" t="str">
        <f>IF(C607=TRUE,Comments!$B$20&amp;DOLLAR(INDEX(Min_Table,L607),0)&amp;Comments!$B$18&amp;DOLLAR(INDEX(Max_Table,L607),0)&amp;Comments!$B$19&amp;DOLLAR(Page5_CHV_MCI!$M$38/Page5_CHV_MCI!$K$38,0),"")</f>
        <v/>
      </c>
      <c r="I607" s="1446" t="str">
        <f>IF(D607=TRUE,Comments!$B$24,"")</f>
        <v/>
      </c>
      <c r="J607" s="1446" t="str">
        <f>IF(E607=TRUE,Comments!$B$22&amp;DOLLAR(INDEX(Min_Table,M607),0)&amp;Comments!$B$18&amp;DOLLAR(INDEX(Max_Table,M607),0)&amp;IFERROR(Comments!$B$19&amp;DOLLAR(Page5_CHV_MCI!$M$38/Page5_CHV_MCI!$K$38,0),0),"")</f>
        <v/>
      </c>
      <c r="K607" s="1452"/>
      <c r="L607" s="611">
        <f>ROW(OR_VEH!$A$667)</f>
        <v>667</v>
      </c>
      <c r="M607" s="611">
        <f>ROW(OR_VEH!$A$37)</f>
        <v>37</v>
      </c>
      <c r="N607" s="611" t="str">
        <f>"CPTE # "&amp;Page5_CHV_MCI!$E$38&amp;"  "&amp;Page5_CHV_MCI!$C$38&amp;" - COÛT DES VENTES - AAD"</f>
        <v>CPTE # 433A  BLAZER - COÛT DES VENTES - AAD</v>
      </c>
      <c r="O607" s="611" t="str">
        <f t="shared" si="81"/>
        <v/>
      </c>
      <c r="P607" s="611" t="str">
        <f t="shared" si="75"/>
        <v>Page5_CHV_MCI!M</v>
      </c>
      <c r="Q607" s="611">
        <f t="shared" si="76"/>
        <v>38</v>
      </c>
      <c r="R607" s="1447">
        <f t="shared" ca="1" si="77"/>
        <v>0</v>
      </c>
      <c r="S607" s="1447">
        <f t="shared" ca="1" si="78"/>
        <v>0</v>
      </c>
      <c r="T607" s="611">
        <v>22</v>
      </c>
      <c r="V607" s="2557" t="str">
        <f t="shared" ca="1" si="79"/>
        <v/>
      </c>
      <c r="W607" s="611" t="str">
        <f t="shared" ca="1" si="80"/>
        <v>Page5_CHV_MCI, Ligne 35 [Page5_CHV_MCI!M38]  -</v>
      </c>
    </row>
    <row r="608" spans="1:23">
      <c r="A608" s="1443" t="str">
        <f>celladdr(Page5_CHV_MCI!M39)</f>
        <v>Page5_CHV_MCI!M39</v>
      </c>
      <c r="B608" s="1456" t="s">
        <v>1086</v>
      </c>
      <c r="C608" s="1451" t="b">
        <f>IF(Page5_CHV_MCI!$K$39=0,FALSE,OR(Page5_CHV_MCI!$M$39/Page5_CHV_MCI!$K$39&lt;INDEX(Min_Table,L608),Page5_CHV_MCI!$M$39/Page5_CHV_MCI!$K$39&gt;INDEX(Max_Table,L608)))</f>
        <v>0</v>
      </c>
      <c r="D608" s="1454" t="b">
        <f>OR(AND(Page5_CHV_MCI!$L39&lt;&gt;0,Page5_CHV_MCI!$M39=0),AND(Page5_CHV_MCI!$M39&lt;&gt;0,Page5_CHV_MCI!$L39=0))</f>
        <v>0</v>
      </c>
      <c r="E608" s="1454" t="b">
        <f>IF(Page5_CHV_MCI!$K$39=0,FALSE,OR(Page5_CHV_MCI!$M$39/Page5_CHV_MCI!$K$39&lt;INDEX(Min_Table,M608),Page5_CHV_MCI!$M$39/Page5_CHV_MCI!$K$39&gt;INDEX(Max_Table,M608)))</f>
        <v>0</v>
      </c>
      <c r="F608" s="1454"/>
      <c r="G608" s="1444" t="str">
        <f t="shared" si="74"/>
        <v/>
      </c>
      <c r="H608" s="1447" t="str">
        <f>IF(C608=TRUE,Comments!$B$20&amp;DOLLAR(INDEX(Min_Table,L608),0)&amp;Comments!$B$18&amp;DOLLAR(INDEX(Max_Table,L608),0)&amp;Comments!$B$19&amp;DOLLAR(Page5_CHV_MCI!$M$39/Page5_CHV_MCI!$K$39,0),"")</f>
        <v/>
      </c>
      <c r="I608" s="1446" t="str">
        <f>IF(D608=TRUE,Comments!$B$24,"")</f>
        <v/>
      </c>
      <c r="J608" s="1446" t="str">
        <f>IF(E608=TRUE,Comments!$B$22&amp;DOLLAR(INDEX(Min_Table,M608),0)&amp;Comments!$B$18&amp;DOLLAR(INDEX(Max_Table,M608),0)&amp;IFERROR(Comments!$B$19&amp;DOLLAR(Page5_CHV_MCI!$M$39/Page5_CHV_MCI!$K$39,0),0),"")</f>
        <v/>
      </c>
      <c r="K608" s="1452"/>
      <c r="L608" s="611">
        <f>ROW(OR_VEH!$A$667)</f>
        <v>667</v>
      </c>
      <c r="M608" s="611">
        <f>ROW(OR_VEH!$A$38)</f>
        <v>38</v>
      </c>
      <c r="N608" s="611" t="str">
        <f>"CPTE # "&amp;Page5_CHV_MCI!$E$39&amp;"  "&amp;Page5_CHV_MCI!$C$39&amp;" - COÛT DES VENTES - AAD"</f>
        <v>CPTE # 434A  EQUINOX - COÛT DES VENTES - AAD</v>
      </c>
      <c r="O608" s="611" t="str">
        <f t="shared" si="81"/>
        <v/>
      </c>
      <c r="P608" s="611" t="str">
        <f t="shared" si="75"/>
        <v>Page5_CHV_MCI!M</v>
      </c>
      <c r="Q608" s="611">
        <f t="shared" si="76"/>
        <v>39</v>
      </c>
      <c r="R608" s="1447">
        <f t="shared" ca="1" si="77"/>
        <v>0</v>
      </c>
      <c r="S608" s="1447">
        <f t="shared" ca="1" si="78"/>
        <v>0</v>
      </c>
      <c r="T608" s="611">
        <v>22</v>
      </c>
      <c r="V608" s="2557" t="str">
        <f t="shared" ca="1" si="79"/>
        <v/>
      </c>
      <c r="W608" s="611" t="str">
        <f t="shared" ca="1" si="80"/>
        <v>Page5_CHV_MCI, Ligne 36 [Page5_CHV_MCI!M39]  -</v>
      </c>
    </row>
    <row r="609" spans="1:23">
      <c r="A609" s="1443" t="str">
        <f>celladdr(Page5_CHV_MCI!M40)</f>
        <v>Page5_CHV_MCI!M40</v>
      </c>
      <c r="B609" s="1456" t="s">
        <v>1086</v>
      </c>
      <c r="C609" s="1451" t="b">
        <f>IF(Page5_CHV_MCI!$K$40=0,FALSE,OR(Page5_CHV_MCI!$M$40/Page5_CHV_MCI!$K$40&lt;INDEX(Min_Table,L609),Page5_CHV_MCI!$M$40/Page5_CHV_MCI!$K$40&gt;INDEX(Max_Table,L609)))</f>
        <v>0</v>
      </c>
      <c r="D609" s="1454" t="b">
        <f>OR(AND(Page5_CHV_MCI!$L40&lt;&gt;0,Page5_CHV_MCI!$M40=0),AND(Page5_CHV_MCI!$M40&lt;&gt;0,Page5_CHV_MCI!$L40=0))</f>
        <v>0</v>
      </c>
      <c r="E609" s="1454" t="b">
        <f>IF(Page5_CHV_MCI!$K$40=0,FALSE,OR(Page5_CHV_MCI!$M$40/Page5_CHV_MCI!$K$40&lt;INDEX(Min_Table,M609),Page5_CHV_MCI!$M$40/Page5_CHV_MCI!$K$40&gt;INDEX(Max_Table,M609)))</f>
        <v>0</v>
      </c>
      <c r="F609" s="1454"/>
      <c r="G609" s="1444" t="str">
        <f t="shared" si="74"/>
        <v/>
      </c>
      <c r="H609" s="1447" t="str">
        <f>IF(C609=TRUE,Comments!$B$20&amp;DOLLAR(INDEX(Min_Table,L609),0)&amp;Comments!$B$18&amp;DOLLAR(INDEX(Max_Table,L609),0)&amp;Comments!$B$19&amp;DOLLAR(Page5_CHV_MCI!$M$40/Page5_CHV_MCI!$K$40,0),"")</f>
        <v/>
      </c>
      <c r="I609" s="1446" t="str">
        <f>IF(D609=TRUE,Comments!$B$24,"")</f>
        <v/>
      </c>
      <c r="J609" s="1446" t="str">
        <f>IF(E609=TRUE,Comments!$B$22&amp;DOLLAR(INDEX(Min_Table,M609),0)&amp;Comments!$B$18&amp;DOLLAR(INDEX(Max_Table,M609),0)&amp;IFERROR(Comments!$B$19&amp;DOLLAR(Page5_CHV_MCI!$M$40/Page5_CHV_MCI!$K$40,0),0),"")</f>
        <v/>
      </c>
      <c r="K609" s="1452"/>
      <c r="L609" s="611">
        <f>ROW(OR_VEH!$A$667)</f>
        <v>667</v>
      </c>
      <c r="M609" s="611">
        <f>ROW(OR_VEH!$A$39)</f>
        <v>39</v>
      </c>
      <c r="N609" s="611" t="str">
        <f>"CPTE # "&amp;Page5_CHV_MCI!$E$40&amp;"  "&amp;Page5_CHV_MCI!$C$40&amp;" - COÛT DES VENTES - AAD"</f>
        <v>CPTE # 435A  CITY EXPRESS - COÛT DES VENTES - AAD</v>
      </c>
      <c r="O609" s="611" t="str">
        <f t="shared" si="81"/>
        <v/>
      </c>
      <c r="P609" s="611" t="str">
        <f t="shared" si="75"/>
        <v>Page5_CHV_MCI!M</v>
      </c>
      <c r="Q609" s="611">
        <f t="shared" si="76"/>
        <v>40</v>
      </c>
      <c r="R609" s="1447">
        <f t="shared" ca="1" si="77"/>
        <v>0</v>
      </c>
      <c r="S609" s="1447">
        <f t="shared" ca="1" si="78"/>
        <v>0</v>
      </c>
      <c r="T609" s="611">
        <v>22</v>
      </c>
      <c r="V609" s="2557" t="str">
        <f t="shared" ca="1" si="79"/>
        <v/>
      </c>
      <c r="W609" s="611" t="str">
        <f t="shared" ca="1" si="80"/>
        <v>Page5_CHV_MCI, Ligne 37 [Page5_CHV_MCI!M40]  -</v>
      </c>
    </row>
    <row r="610" spans="1:23">
      <c r="A610" s="1443" t="str">
        <f>celladdr(Page5_CHV_MCI!M41)</f>
        <v>Page5_CHV_MCI!M41</v>
      </c>
      <c r="B610" s="1456" t="s">
        <v>1086</v>
      </c>
      <c r="C610" s="1451" t="b">
        <f>IF(Page5_CHV_MCI!$K$41=0,FALSE,OR(Page5_CHV_MCI!$M$41/Page5_CHV_MCI!$K$41&lt;INDEX(Min_Table,L610),Page5_CHV_MCI!$M$41/Page5_CHV_MCI!$K$41&gt;INDEX(Max_Table,L610)))</f>
        <v>0</v>
      </c>
      <c r="D610" s="1454" t="b">
        <f>OR(AND(Page5_CHV_MCI!$L41&lt;&gt;0,Page5_CHV_MCI!$M41=0),AND(Page5_CHV_MCI!$M41&lt;&gt;0,Page5_CHV_MCI!$L41=0))</f>
        <v>0</v>
      </c>
      <c r="E610" s="1454" t="b">
        <f>IF(Page5_CHV_MCI!$K$41=0,FALSE,OR(Page5_CHV_MCI!$M$41/Page5_CHV_MCI!$K$41&lt;INDEX(Min_Table,M610),Page5_CHV_MCI!$M$41/Page5_CHV_MCI!$K$41&gt;INDEX(Max_Table,M610)))</f>
        <v>0</v>
      </c>
      <c r="F610" s="1454"/>
      <c r="G610" s="1444" t="str">
        <f t="shared" si="74"/>
        <v/>
      </c>
      <c r="H610" s="1447" t="str">
        <f>IF(C610=TRUE,Comments!$B$20&amp;DOLLAR(INDEX(Min_Table,L610),0)&amp;Comments!$B$18&amp;DOLLAR(INDEX(Max_Table,L610),0)&amp;Comments!$B$19&amp;DOLLAR(Page5_CHV_MCI!$M$41/Page5_CHV_MCI!$K$41,0),"")</f>
        <v/>
      </c>
      <c r="I610" s="1446" t="str">
        <f>IF(D610=TRUE,Comments!$B$24,"")</f>
        <v/>
      </c>
      <c r="J610" s="1446" t="str">
        <f>IF(E610=TRUE,Comments!$B$22&amp;DOLLAR(INDEX(Min_Table,M610),0)&amp;Comments!$B$18&amp;DOLLAR(INDEX(Max_Table,M610),0)&amp;IFERROR(Comments!$B$19&amp;DOLLAR(Page5_CHV_MCI!$M$41/Page5_CHV_MCI!$K$41,0),0),"")</f>
        <v/>
      </c>
      <c r="K610" s="1452"/>
      <c r="L610" s="611">
        <f>ROW(OR_VEH!$A$667)</f>
        <v>667</v>
      </c>
      <c r="M610" s="611">
        <f>ROW(OR_VEH!$A$40)</f>
        <v>40</v>
      </c>
      <c r="N610" s="611" t="str">
        <f>"CPTE # "&amp;Page5_CHV_MCI!$E$41&amp;"  "&amp;Page5_CHV_MCI!$C$41&amp;" - COÛT DES VENTES - AAD"</f>
        <v>CPTE # 436A  TRAILBLAZER - COÛT DES VENTES - AAD</v>
      </c>
      <c r="O610" s="611" t="str">
        <f t="shared" si="81"/>
        <v/>
      </c>
      <c r="P610" s="611" t="str">
        <f t="shared" si="75"/>
        <v>Page5_CHV_MCI!M</v>
      </c>
      <c r="Q610" s="611">
        <f t="shared" si="76"/>
        <v>41</v>
      </c>
      <c r="R610" s="1447">
        <f t="shared" ca="1" si="77"/>
        <v>0</v>
      </c>
      <c r="S610" s="1447">
        <f t="shared" ca="1" si="78"/>
        <v>0</v>
      </c>
      <c r="T610" s="611">
        <v>22</v>
      </c>
      <c r="V610" s="2557" t="str">
        <f t="shared" ca="1" si="79"/>
        <v/>
      </c>
      <c r="W610" s="611" t="str">
        <f t="shared" ca="1" si="80"/>
        <v>Page5_CHV_MCI, Ligne 38 [Page5_CHV_MCI!M41]  -</v>
      </c>
    </row>
    <row r="611" spans="1:23">
      <c r="A611" s="1443" t="str">
        <f>celladdr(Page5_CHV_MCI!M42)</f>
        <v>Page5_CHV_MCI!M42</v>
      </c>
      <c r="B611" s="1456" t="s">
        <v>1086</v>
      </c>
      <c r="C611" s="1451"/>
      <c r="D611" s="1454"/>
      <c r="E611" s="1454"/>
      <c r="F611" s="1454"/>
      <c r="G611" s="1444" t="str">
        <f t="shared" si="74"/>
        <v/>
      </c>
      <c r="I611" s="1446"/>
      <c r="J611" s="1446"/>
      <c r="K611" s="1452"/>
      <c r="L611" s="611">
        <f>ROW(OR_VEH!$A$667)</f>
        <v>667</v>
      </c>
      <c r="M611" s="611">
        <f>ROW(OR_VEH!$A$41)</f>
        <v>41</v>
      </c>
      <c r="N611" s="611" t="str">
        <f>"CPTE # "&amp;Page5_CHV_MCI!$E$42&amp;"  "&amp;Page5_CHV_MCI!$C$42&amp;" - COÛT DES VENTES - AAD"</f>
        <v>CPTE # 437A  POUR USAGE FUTUR - COÛT DES VENTES - AAD</v>
      </c>
      <c r="O611" s="611" t="str">
        <f t="shared" si="81"/>
        <v/>
      </c>
      <c r="P611" s="611" t="str">
        <f t="shared" si="75"/>
        <v>Page5_CHV_MCI!M</v>
      </c>
      <c r="Q611" s="611">
        <f t="shared" si="76"/>
        <v>42</v>
      </c>
      <c r="R611" s="1447">
        <f t="shared" ca="1" si="77"/>
        <v>0</v>
      </c>
      <c r="S611" s="1447">
        <f t="shared" ca="1" si="78"/>
        <v>0</v>
      </c>
      <c r="T611" s="611">
        <v>22</v>
      </c>
      <c r="V611" s="2557" t="str">
        <f t="shared" ca="1" si="79"/>
        <v/>
      </c>
      <c r="W611" s="611" t="str">
        <f t="shared" ca="1" si="80"/>
        <v>Page5_CHV_MCI, Ligne 39 [Page5_CHV_MCI!M42]  -</v>
      </c>
    </row>
    <row r="612" spans="1:23">
      <c r="A612" s="1443" t="str">
        <f>celladdr(Page5_CHV_MCI!M43)</f>
        <v>Page5_CHV_MCI!M43</v>
      </c>
      <c r="B612" s="1456" t="s">
        <v>1086</v>
      </c>
      <c r="C612" s="1451" t="b">
        <f>IF(Page5_CHV_MCI!$K$43=0,FALSE,OR(Page5_CHV_MCI!$M$43/Page5_CHV_MCI!$K$43&lt;INDEX(Min_Table,L612),Page5_CHV_MCI!$M$43/Page5_CHV_MCI!$K$43&gt;INDEX(Max_Table,L612)))</f>
        <v>0</v>
      </c>
      <c r="D612" s="1454" t="b">
        <f>OR(AND(Page5_CHV_MCI!$L43&lt;&gt;0,Page5_CHV_MCI!$M43=0),AND(Page5_CHV_MCI!$M43&lt;&gt;0,Page5_CHV_MCI!$L43=0))</f>
        <v>0</v>
      </c>
      <c r="E612" s="1454" t="b">
        <f>IF(Page5_CHV_MCI!$K$43=0,FALSE,OR(Page5_CHV_MCI!$M$43/Page5_CHV_MCI!$K$43&lt;INDEX(Min_Table,M612),Page5_CHV_MCI!$M$43/Page5_CHV_MCI!$K$43&gt;INDEX(Max_Table,M612)))</f>
        <v>0</v>
      </c>
      <c r="F612" s="1454"/>
      <c r="G612" s="1444" t="str">
        <f t="shared" si="74"/>
        <v/>
      </c>
      <c r="H612" s="1447" t="str">
        <f>IF(C612=TRUE,Comments!$B$20&amp;DOLLAR(INDEX(Min_Table,L612),0)&amp;Comments!$B$18&amp;DOLLAR(INDEX(Max_Table,L612),0)&amp;Comments!$B$19&amp;DOLLAR(Page5_CHV_MCI!$M$43/Page5_CHV_MCI!$K$43,0),"")</f>
        <v/>
      </c>
      <c r="I612" s="1446" t="str">
        <f>IF(D612=TRUE,Comments!$B$24,"")</f>
        <v/>
      </c>
      <c r="J612" s="1446" t="str">
        <f>IF(E612=TRUE,Comments!$B$22&amp;DOLLAR(INDEX(Min_Table,M612),0)&amp;Comments!$B$18&amp;DOLLAR(INDEX(Max_Table,M612),0)&amp;IFERROR(Comments!$B$19&amp;DOLLAR(Page5_CHV_MCI!$M$43/Page5_CHV_MCI!$K$43,0),0),"")</f>
        <v/>
      </c>
      <c r="K612" s="1452"/>
      <c r="L612" s="611">
        <f>ROW(OR_VEH!$A$667)</f>
        <v>667</v>
      </c>
      <c r="M612" s="611">
        <f>ROW(OR_VEH!$A$42)</f>
        <v>42</v>
      </c>
      <c r="N612" s="611" t="str">
        <f>"CPTE # "&amp;Page5_CHV_MCI!$E$43&amp;"  "&amp;Page5_CHV_MCI!$C$43&amp;" - COÛT DES VENTES - AAD"</f>
        <v>CPTE # 438A  AUTRES CHEVROLET - COÛT DES VENTES - AAD</v>
      </c>
      <c r="O612" s="611" t="str">
        <f t="shared" si="81"/>
        <v/>
      </c>
      <c r="P612" s="611" t="str">
        <f t="shared" si="75"/>
        <v>Page5_CHV_MCI!M</v>
      </c>
      <c r="Q612" s="611">
        <f t="shared" si="76"/>
        <v>43</v>
      </c>
      <c r="R612" s="1447">
        <f t="shared" ca="1" si="77"/>
        <v>0</v>
      </c>
      <c r="S612" s="1447">
        <f t="shared" ca="1" si="78"/>
        <v>0</v>
      </c>
      <c r="T612" s="611">
        <v>22</v>
      </c>
      <c r="V612" s="2557" t="str">
        <f t="shared" ca="1" si="79"/>
        <v/>
      </c>
      <c r="W612" s="611" t="str">
        <f t="shared" ca="1" si="80"/>
        <v>Page5_CHV_MCI, Ligne 40 [Page5_CHV_MCI!M43]  -</v>
      </c>
    </row>
    <row r="613" spans="1:23">
      <c r="A613" s="1443" t="str">
        <f>celladdr(Page5_CHV_MCI!M44)</f>
        <v>Page5_CHV_MCI!M44</v>
      </c>
      <c r="B613" s="1444" t="s">
        <v>1086</v>
      </c>
      <c r="C613" s="1451"/>
      <c r="D613" s="1454"/>
      <c r="E613" s="1454"/>
      <c r="F613" s="1454"/>
      <c r="G613" s="1444" t="str">
        <f t="shared" si="74"/>
        <v/>
      </c>
      <c r="H613" s="1447" t="str">
        <f>IF(C613=TRUE,Comments!$B$26,"")</f>
        <v/>
      </c>
      <c r="I613" s="1446" t="str">
        <f>IF(D613=TRUE,Comments!$B$24,"")</f>
        <v/>
      </c>
      <c r="J613" s="1446"/>
      <c r="K613" s="1452"/>
      <c r="O613" s="611" t="str">
        <f t="shared" si="81"/>
        <v/>
      </c>
      <c r="P613" s="611" t="str">
        <f t="shared" si="75"/>
        <v>Page5_CHV_MCI!M</v>
      </c>
      <c r="Q613" s="611">
        <f t="shared" si="76"/>
        <v>44</v>
      </c>
      <c r="R613" s="1447">
        <f t="shared" ca="1" si="77"/>
        <v>0</v>
      </c>
      <c r="S613" s="1447">
        <f t="shared" ca="1" si="78"/>
        <v>0</v>
      </c>
      <c r="V613" s="2557" t="str">
        <f t="shared" ca="1" si="79"/>
        <v/>
      </c>
      <c r="W613" s="611" t="str">
        <f t="shared" ca="1" si="80"/>
        <v>Page5_CHV_MCI, Ligne 41 [Page5_CHV_MCI!M44]  -</v>
      </c>
    </row>
    <row r="614" spans="1:23">
      <c r="A614" s="1443" t="str">
        <f>celladdr(Page5_CHV_MCI!M45)</f>
        <v>Page5_CHV_MCI!M45</v>
      </c>
      <c r="B614" s="1456" t="s">
        <v>1086</v>
      </c>
      <c r="C614" s="1451" t="b">
        <f>IF(Page5_CHV_MCI!$K$45=0,FALSE,OR(Page5_CHV_MCI!$M$45/Page5_CHV_MCI!$K$45&lt;INDEX(Min_Table,L614),Page5_CHV_MCI!$M$45/Page5_CHV_MCI!$K$45&gt;INDEX(Max_Table,L614)))</f>
        <v>0</v>
      </c>
      <c r="D614" s="1454" t="b">
        <f>OR(AND(Page5_CHV_MCI!$L45&lt;&gt;0,Page5_CHV_MCI!$M45=0),AND(Page5_CHV_MCI!$M45&lt;&gt;0,Page5_CHV_MCI!$L45=0))</f>
        <v>0</v>
      </c>
      <c r="E614" s="1454" t="b">
        <f>IF(Page5_CHV_MCI!$K$45=0,FALSE,OR(Page5_CHV_MCI!$M$45/Page5_CHV_MCI!$K$45&lt;INDEX(Min_Table,M614),Page5_CHV_MCI!$M$45/Page5_CHV_MCI!$K$45&gt;INDEX(Max_Table,M614)))</f>
        <v>0</v>
      </c>
      <c r="F614" s="1454"/>
      <c r="G614" s="1444" t="str">
        <f t="shared" si="74"/>
        <v/>
      </c>
      <c r="H614" s="1447" t="str">
        <f>IF(C614=TRUE,Comments!$B$20&amp;DOLLAR(INDEX(Min_Table,L614),0)&amp;Comments!$B$18&amp;DOLLAR(INDEX(Max_Table,L614),0)&amp;Comments!$B$19&amp;DOLLAR(Page5_CHV_MCI!$M$45/Page5_CHV_MCI!$K$45,0),"")</f>
        <v/>
      </c>
      <c r="I614" s="1446" t="str">
        <f>IF(D614=TRUE,Comments!$B$24,"")</f>
        <v/>
      </c>
      <c r="J614" s="1446" t="str">
        <f>IF(E614=TRUE,Comments!$B$22&amp;DOLLAR(INDEX(Min_Table,M614),0)&amp;Comments!$B$18&amp;DOLLAR(INDEX(Max_Table,M614),0)&amp;IFERROR(Comments!$B$19&amp;DOLLAR(Page5_CHV_MCI!$M$45/Page5_CHV_MCI!$K$45,0),0),"")</f>
        <v/>
      </c>
      <c r="K614" s="1452"/>
      <c r="L614" s="611">
        <f>ROW(OR_VEH!$A$667)</f>
        <v>667</v>
      </c>
      <c r="M614" s="611">
        <f>ROW(OR_VEH!$A$44)</f>
        <v>44</v>
      </c>
      <c r="N614" s="611" t="str">
        <f>"CPTE # "&amp;Page5_CHV_MCI!$E$45&amp;"  "&amp;Page5_CHV_MCI!$C$45&amp;" - COÛT DES VENTES - AAD"</f>
        <v>CPTE # 439A  MÉMO* VENTES INTERNET CAMIONS - COÛT DES VENTES - AAD</v>
      </c>
      <c r="O614" s="611" t="str">
        <f t="shared" si="81"/>
        <v/>
      </c>
      <c r="P614" s="611" t="str">
        <f t="shared" si="75"/>
        <v>Page5_CHV_MCI!M</v>
      </c>
      <c r="Q614" s="611">
        <f t="shared" si="76"/>
        <v>45</v>
      </c>
      <c r="R614" s="1447">
        <f t="shared" ca="1" si="77"/>
        <v>0</v>
      </c>
      <c r="S614" s="1447">
        <f t="shared" ca="1" si="78"/>
        <v>0</v>
      </c>
      <c r="T614" s="611">
        <v>22</v>
      </c>
      <c r="V614" s="2557" t="str">
        <f t="shared" ca="1" si="79"/>
        <v/>
      </c>
      <c r="W614" s="611" t="str">
        <f t="shared" ca="1" si="80"/>
        <v>Page5_CHV_MCI, Ligne 42 [Page5_CHV_MCI!M45]  -</v>
      </c>
    </row>
    <row r="615" spans="1:23">
      <c r="A615" s="1443" t="str">
        <f>celladdr(Page5_CHV_MCI!M46)</f>
        <v>Page5_CHV_MCI!M46</v>
      </c>
      <c r="B615" s="1456" t="s">
        <v>1086</v>
      </c>
      <c r="C615" s="1451" t="b">
        <f>IF(Page5_CHV_MCI!$K$46=0,FALSE,OR(Page5_CHV_MCI!$M$46/Page5_CHV_MCI!$K$46&lt;INDEX(Min_Table,L615),Page5_CHV_MCI!$M$46/Page5_CHV_MCI!$K$46&gt;INDEX(Max_Table,L615)))</f>
        <v>0</v>
      </c>
      <c r="D615" s="1454" t="b">
        <f>OR(AND(Page5_CHV_MCI!$L46&lt;&gt;0,Page5_CHV_MCI!$M46=0),AND(Page5_CHV_MCI!$M46&lt;&gt;0,Page5_CHV_MCI!$L46=0))</f>
        <v>0</v>
      </c>
      <c r="E615" s="1454" t="b">
        <f>IF(Page5_CHV_MCI!$K$46=0,FALSE,OR(Page5_CHV_MCI!$M$46/Page5_CHV_MCI!$K$46&lt;INDEX(Min_Table,M615),Page5_CHV_MCI!$M$46/Page5_CHV_MCI!$K$46&gt;INDEX(Max_Table,M615)))</f>
        <v>0</v>
      </c>
      <c r="F615" s="1454"/>
      <c r="G615" s="1444" t="str">
        <f t="shared" si="74"/>
        <v/>
      </c>
      <c r="H615" s="1447" t="str">
        <f>IF(C615=TRUE,Comments!$B$20&amp;DOLLAR(INDEX(Min_Table,L615),0)&amp;Comments!$B$18&amp;DOLLAR(INDEX(Max_Table,L615),0)&amp;Comments!$B$19&amp;DOLLAR(Page5_CHV_MCI!$M$46/Page5_CHV_MCI!$K$46,0),"")</f>
        <v/>
      </c>
      <c r="I615" s="1446" t="str">
        <f>IF(D615=TRUE,Comments!$B$24,"")</f>
        <v/>
      </c>
      <c r="J615" s="1446" t="str">
        <f>IF(E615=TRUE,Comments!$B$22&amp;DOLLAR(INDEX(Min_Table,M615),0)&amp;Comments!$B$18&amp;DOLLAR(INDEX(Max_Table,M615),0)&amp;IFERROR(Comments!$B$19&amp;DOLLAR(Page5_CHV_MCI!$M$46/Page5_CHV_MCI!$K$46,0),0),"")</f>
        <v/>
      </c>
      <c r="K615" s="1452"/>
      <c r="L615" s="611">
        <f>ROW(OR_VEH!$A$667)</f>
        <v>667</v>
      </c>
      <c r="M615" s="611">
        <f>ROW(OR_VEH!$A$45)</f>
        <v>45</v>
      </c>
      <c r="N615" s="611" t="str">
        <f>"CPTE # "&amp;Page5_CHV_MCI!$E$46&amp;"  "&amp;Page5_CHV_MCI!$C$46&amp;" - COÛT DES VENTES - AAD"</f>
        <v>CPTE # DE PG PARCS  TOTAL PARCS - CAMIONS - COÛT DES VENTES - AAD</v>
      </c>
      <c r="O615" s="611" t="str">
        <f t="shared" si="81"/>
        <v/>
      </c>
      <c r="P615" s="611" t="str">
        <f t="shared" si="75"/>
        <v>Page5_CHV_MCI!M</v>
      </c>
      <c r="Q615" s="611">
        <f t="shared" si="76"/>
        <v>46</v>
      </c>
      <c r="R615" s="1447">
        <f t="shared" ca="1" si="77"/>
        <v>0</v>
      </c>
      <c r="S615" s="1447">
        <f t="shared" ca="1" si="78"/>
        <v>0</v>
      </c>
      <c r="T615" s="611">
        <v>22</v>
      </c>
      <c r="V615" s="2557" t="str">
        <f t="shared" ca="1" si="79"/>
        <v/>
      </c>
      <c r="W615" s="611" t="str">
        <f t="shared" ca="1" si="80"/>
        <v>Page5_CHV_MCI, Ligne 43 [Page5_CHV_MCI!M46]  -</v>
      </c>
    </row>
    <row r="616" spans="1:23">
      <c r="A616" s="1443" t="str">
        <f>celladdr(Page5_CHV_MCI!M47)</f>
        <v>Page5_CHV_MCI!M47</v>
      </c>
      <c r="B616" s="1456" t="s">
        <v>1086</v>
      </c>
      <c r="C616" s="1451" t="b">
        <f>IF(Page5_CHV_MCI!$K$47=0,FALSE,OR(Page5_CHV_MCI!$M$47/Page5_CHV_MCI!$K$47&lt;INDEX(Min_Table,L616),Page5_CHV_MCI!$M$47/Page5_CHV_MCI!$K$47&gt;INDEX(Max_Table,L616)))</f>
        <v>0</v>
      </c>
      <c r="D616" s="1454" t="b">
        <f>OR(AND(Page5_CHV_MCI!$L47&lt;&gt;0,Page5_CHV_MCI!$M47=0),AND(Page5_CHV_MCI!$M47&lt;&gt;0,Page5_CHV_MCI!$L47=0))</f>
        <v>0</v>
      </c>
      <c r="E616" s="1454" t="b">
        <f>IF(Page5_CHV_MCI!$K$47=0,FALSE,OR(Page5_CHV_MCI!$M$47/Page5_CHV_MCI!$K$47&lt;INDEX(Min_Table,M616),Page5_CHV_MCI!$M$47/Page5_CHV_MCI!$K$47&gt;INDEX(Max_Table,M616)))</f>
        <v>0</v>
      </c>
      <c r="F616" s="1454"/>
      <c r="G616" s="1444" t="str">
        <f t="shared" si="74"/>
        <v/>
      </c>
      <c r="H616" s="1447" t="str">
        <f>IF(C616=TRUE,Comments!$B$20&amp;DOLLAR(INDEX(Min_Table,L616),0)&amp;Comments!$B$18&amp;DOLLAR(INDEX(Max_Table,L616),0)&amp;Comments!$B$19&amp;DOLLAR(Page5_CHV_MCI!$M$47/Page5_CHV_MCI!$K$47,0),"")</f>
        <v/>
      </c>
      <c r="I616" s="1446" t="str">
        <f>IF(D616=TRUE,Comments!$B$24,"")</f>
        <v/>
      </c>
      <c r="J616" s="1446" t="str">
        <f>IF(E616=TRUE,Comments!$B$22&amp;DOLLAR(INDEX(Min_Table,M616),0)&amp;Comments!$B$18&amp;DOLLAR(INDEX(Max_Table,M616),0)&amp;IFERROR(Comments!$B$19&amp;DOLLAR(Page5_CHV_MCI!$M$47/Page5_CHV_MCI!$K$47,0),0),"")</f>
        <v/>
      </c>
      <c r="K616" s="1452"/>
      <c r="L616" s="611">
        <f>ROW(OR_VEH!$A$667)</f>
        <v>667</v>
      </c>
      <c r="M616" s="611">
        <f>ROW(OR_VEH!$A$46)</f>
        <v>46</v>
      </c>
      <c r="N616" s="611" t="str">
        <f>"CPTE # "&amp;Page5_CHV_MCI!$E$47&amp;"  "&amp;Page5_CHV_MCI!$C$47&amp;" - COÛT DES VENTES - AAD"</f>
        <v>CPTE # 441A  TOTAL IINTERNE - CAMIONS  - COÛT DES VENTES - AAD</v>
      </c>
      <c r="O616" s="611" t="str">
        <f t="shared" si="81"/>
        <v/>
      </c>
      <c r="P616" s="611" t="str">
        <f t="shared" si="75"/>
        <v>Page5_CHV_MCI!M</v>
      </c>
      <c r="Q616" s="611">
        <f t="shared" si="76"/>
        <v>47</v>
      </c>
      <c r="R616" s="1447">
        <f t="shared" ca="1" si="77"/>
        <v>0</v>
      </c>
      <c r="S616" s="1447">
        <f t="shared" ca="1" si="78"/>
        <v>0</v>
      </c>
      <c r="T616" s="611">
        <v>22</v>
      </c>
      <c r="V616" s="2557" t="str">
        <f t="shared" ca="1" si="79"/>
        <v/>
      </c>
      <c r="W616" s="611" t="str">
        <f t="shared" ca="1" si="80"/>
        <v>Page5_CHV_MCI, Ligne 44 [Page5_CHV_MCI!M47]  -</v>
      </c>
    </row>
    <row r="617" spans="1:23">
      <c r="A617" s="1443" t="str">
        <f>celladdr(Page5_CHV_MCI!M48)</f>
        <v>Page5_CHV_MCI!M48</v>
      </c>
      <c r="B617" s="1444" t="s">
        <v>1086</v>
      </c>
      <c r="C617" s="1451"/>
      <c r="D617" s="1454"/>
      <c r="E617" s="1454"/>
      <c r="F617" s="1454"/>
      <c r="G617" s="1444" t="str">
        <f t="shared" si="74"/>
        <v/>
      </c>
      <c r="H617" s="1447" t="str">
        <f>IF(C617=TRUE,Comments!$B$26,"")</f>
        <v/>
      </c>
      <c r="I617" s="1446" t="str">
        <f>IF(D617=TRUE,Comments!$B$24,"")</f>
        <v/>
      </c>
      <c r="J617" s="1446"/>
      <c r="K617" s="1452"/>
      <c r="O617" s="611" t="str">
        <f t="shared" si="81"/>
        <v/>
      </c>
      <c r="P617" s="611" t="str">
        <f t="shared" si="75"/>
        <v>Page5_CHV_MCI!M</v>
      </c>
      <c r="Q617" s="611">
        <f t="shared" si="76"/>
        <v>48</v>
      </c>
      <c r="R617" s="1447">
        <f t="shared" ca="1" si="77"/>
        <v>0</v>
      </c>
      <c r="S617" s="1447">
        <f t="shared" ca="1" si="78"/>
        <v>0</v>
      </c>
      <c r="V617" s="2557" t="str">
        <f t="shared" ca="1" si="79"/>
        <v/>
      </c>
      <c r="W617" s="611" t="str">
        <f t="shared" ca="1" si="80"/>
        <v>Page5_CHV_MCI, Ligne 45 [Page5_CHV_MCI!M48]  -</v>
      </c>
    </row>
    <row r="618" spans="1:23">
      <c r="A618" s="1443" t="str">
        <f>celladdr(Page5_CHV_MCI!M49)</f>
        <v>Page5_CHV_MCI!M49</v>
      </c>
      <c r="B618" s="1456" t="s">
        <v>1086</v>
      </c>
      <c r="C618" s="1451"/>
      <c r="D618" s="1454" t="b">
        <f>OR(AND(Page5_CHV_MCI!$L49&lt;&gt;0,Page5_CHV_MCI!$M49=0),AND(Page5_CHV_MCI!$M49&lt;&gt;0,Page5_CHV_MCI!$L49=0))</f>
        <v>0</v>
      </c>
      <c r="E618" s="1454"/>
      <c r="F618" s="1454"/>
      <c r="G618" s="1444" t="str">
        <f t="shared" si="74"/>
        <v/>
      </c>
      <c r="I618" s="1446" t="str">
        <f>IF(D618=TRUE,Comments!$B$24,"")</f>
        <v/>
      </c>
      <c r="J618" s="1446"/>
      <c r="K618" s="1452"/>
      <c r="N618" s="611" t="str">
        <f>"CPTE # "&amp;Page5_CHV_MCI!$E$49&amp;"  "&amp;Page5_CHV_MCI!$C$49&amp;" - COÛT DES VENTES - AAD"</f>
        <v>CPTE #      - COÛT DES VENTES - AAD</v>
      </c>
      <c r="O618" s="611" t="str">
        <f t="shared" si="81"/>
        <v/>
      </c>
      <c r="P618" s="611" t="str">
        <f t="shared" si="75"/>
        <v>Page5_CHV_MCI!M</v>
      </c>
      <c r="Q618" s="611">
        <f t="shared" si="76"/>
        <v>49</v>
      </c>
      <c r="R618" s="1447">
        <f t="shared" ca="1" si="77"/>
        <v>0</v>
      </c>
      <c r="S618" s="1447">
        <f t="shared" ca="1" si="78"/>
        <v>0</v>
      </c>
      <c r="V618" s="2557" t="str">
        <f t="shared" ca="1" si="79"/>
        <v/>
      </c>
      <c r="W618" s="611" t="str">
        <f t="shared" ca="1" si="80"/>
        <v>Page5_CHV_MCI, Ligne 46 [Page5_CHV_MCI!M49]  -</v>
      </c>
    </row>
    <row r="619" spans="1:23">
      <c r="A619" s="1443" t="str">
        <f>celladdr(Page5_CHV_MCI!M50)</f>
        <v>Page5_CHV_MCI!M50</v>
      </c>
      <c r="B619" s="1456" t="s">
        <v>1086</v>
      </c>
      <c r="C619" s="1451"/>
      <c r="D619" s="1454" t="b">
        <f>OR(AND(Page5_CHV_MCI!$L50&lt;&gt;0,Page5_CHV_MCI!$M50=0),AND(Page5_CHV_MCI!$M50&lt;&gt;0,Page5_CHV_MCI!$L50=0))</f>
        <v>0</v>
      </c>
      <c r="E619" s="1454"/>
      <c r="F619" s="1454"/>
      <c r="G619" s="1444" t="str">
        <f t="shared" si="74"/>
        <v/>
      </c>
      <c r="I619" s="1446" t="str">
        <f>IF(D619=TRUE,Comments!$B$24,"")</f>
        <v/>
      </c>
      <c r="J619" s="1446"/>
      <c r="K619" s="1452"/>
      <c r="N619" s="611" t="str">
        <f>"CPTE # "&amp;Page5_CHV_MCI!$E$50&amp;"  "&amp;Page5_CHV_MCI!$C$50&amp;" - COÛT DES VENTES - AAD"</f>
        <v>CPTE # 457A  ACCESSOIRES - COÛT DES VENTES - AAD</v>
      </c>
      <c r="O619" s="611" t="str">
        <f t="shared" si="81"/>
        <v/>
      </c>
      <c r="P619" s="611" t="str">
        <f t="shared" si="75"/>
        <v>Page5_CHV_MCI!M</v>
      </c>
      <c r="Q619" s="611">
        <f t="shared" si="76"/>
        <v>50</v>
      </c>
      <c r="R619" s="1447">
        <f t="shared" ca="1" si="77"/>
        <v>0</v>
      </c>
      <c r="S619" s="1447">
        <f t="shared" ca="1" si="78"/>
        <v>0</v>
      </c>
      <c r="V619" s="2557" t="str">
        <f t="shared" ca="1" si="79"/>
        <v/>
      </c>
      <c r="W619" s="611" t="str">
        <f t="shared" ca="1" si="80"/>
        <v>Page5_CHV_MCI, Ligne 47 [Page5_CHV_MCI!M50]  -</v>
      </c>
    </row>
    <row r="620" spans="1:23">
      <c r="A620" s="1443" t="str">
        <f>celladdr(Page5_CHV_MCI!N51)</f>
        <v>Page5_CHV_MCI!N51</v>
      </c>
      <c r="B620" s="1455" t="s">
        <v>1086</v>
      </c>
      <c r="C620" s="1445" t="b">
        <f>Page5_CHV_MCI!$N$51&lt;&gt;Page5_CHV_MCI!$N$48+Page5_CHV_MCI!$N$49+Page5_CHV_MCI!$N$27+Page5_CHV_MCI!$N$50</f>
        <v>0</v>
      </c>
      <c r="D620" s="1454"/>
      <c r="F620" s="1454"/>
      <c r="G620" s="1444" t="str">
        <f t="shared" si="74"/>
        <v/>
      </c>
      <c r="H620" s="1446" t="str">
        <f>IF(C620=TRUE,Comments!$B$39&amp;DOLLAR(Page5_CHV_MCI!$N$51-(Page5_CHV_MCI!$N$48+Page5_CHV_MCI!$N$49+Page5_CHV_MCI!$N$27+Page5_CHV_MCI!$N$50),0),"")</f>
        <v/>
      </c>
      <c r="I620" s="1452"/>
      <c r="J620" s="1452"/>
      <c r="K620" s="1452"/>
      <c r="N620" s="611" t="str">
        <f>Page5_CHV_MCI!$B$1&amp;" TOTAL VÉHICULES NEUFS - PROFIT BRUT - AAD"</f>
        <v>CHEVROLET TOTAL VÉHICULES NEUFS - PROFIT BRUT - AAD</v>
      </c>
      <c r="O620" s="611" t="str">
        <f t="shared" si="81"/>
        <v/>
      </c>
      <c r="P620" s="611" t="str">
        <f t="shared" si="75"/>
        <v>Page5_CHV_MCI!N</v>
      </c>
      <c r="Q620" s="611">
        <f t="shared" si="76"/>
        <v>51</v>
      </c>
      <c r="R620" s="1447">
        <f t="shared" ca="1" si="77"/>
        <v>0</v>
      </c>
      <c r="S620" s="1447">
        <f t="shared" ca="1" si="78"/>
        <v>0</v>
      </c>
      <c r="V620" s="2557" t="str">
        <f t="shared" ca="1" si="79"/>
        <v/>
      </c>
      <c r="W620" s="611" t="str">
        <f t="shared" ca="1" si="80"/>
        <v>Page5_CHV_MCI, Ligne 48 [Page5_CHV_MCI!N51]  -</v>
      </c>
    </row>
    <row r="621" spans="1:23">
      <c r="A621" s="1443" t="str">
        <f>celladdr(Page5_CHV_VE!F51)</f>
        <v>Page5_CHV_VE!F51</v>
      </c>
      <c r="B621" s="1453" t="s">
        <v>1086</v>
      </c>
      <c r="C621" s="1445" t="b">
        <f>Page5_CHV_VE!$F$51&lt;&gt;Page5_CHV_VE!$F$48+Page5_CHV_VE!$F$27</f>
        <v>0</v>
      </c>
      <c r="D621" s="1454"/>
      <c r="F621" s="1454"/>
      <c r="G621" s="1444" t="str">
        <f t="shared" si="74"/>
        <v/>
      </c>
      <c r="H621" s="1446" t="str">
        <f>IF(C621=TRUE,Comments!$B$38&amp;Page5_CHV_VE!$F$51-(Page5_CHV_VE!$F$48+Page5_CHV_VE!$F$27),"")</f>
        <v/>
      </c>
      <c r="I621" s="1452"/>
      <c r="J621" s="1452"/>
      <c r="K621" s="1452"/>
      <c r="N621" s="611" t="str">
        <f>Page5_CHV_VE!$B$1&amp;" TOTAL VÉHICULES NEUFS - - UNITÉS - MOIS"</f>
        <v>CHEVROLET - VE TOTAL VÉHICULES NEUFS - - UNITÉS - MOIS</v>
      </c>
      <c r="O621" s="611" t="str">
        <f t="shared" si="81"/>
        <v/>
      </c>
      <c r="P621" s="611" t="str">
        <f t="shared" si="75"/>
        <v>Page5_CHV_VE!F</v>
      </c>
      <c r="Q621" s="611">
        <f t="shared" si="76"/>
        <v>51</v>
      </c>
      <c r="R621" s="1447">
        <f t="shared" ca="1" si="77"/>
        <v>0</v>
      </c>
      <c r="S621" s="1447">
        <f t="shared" ca="1" si="78"/>
        <v>0</v>
      </c>
      <c r="V621" s="2557" t="str">
        <f t="shared" ca="1" si="79"/>
        <v/>
      </c>
      <c r="W621" s="611" t="str">
        <f t="shared" ca="1" si="80"/>
        <v>Page5_CHV_VE, Ligne 48 [Page5_CHV_VE!F51]  -</v>
      </c>
    </row>
    <row r="622" spans="1:23">
      <c r="A622" s="1443" t="str">
        <f>celladdr(Page5_CHV_VE!I51)</f>
        <v>Page5_CHV_VE!I51</v>
      </c>
      <c r="B622" s="1455" t="s">
        <v>1086</v>
      </c>
      <c r="C622" s="1445" t="b">
        <f>Page5_CHV_VE!$I$51&lt;&gt;Page5_CHV_VE!$I$48+Page5_CHV_VE!$I$49+Page5_CHV_VE!$I$27+Page5_CHV_VE!$I$50</f>
        <v>0</v>
      </c>
      <c r="D622" s="1454"/>
      <c r="F622" s="1454"/>
      <c r="G622" s="1444" t="str">
        <f t="shared" si="74"/>
        <v/>
      </c>
      <c r="H622" s="1446" t="str">
        <f>IF(C622=TRUE,Comments!$B$39&amp;DOLLAR(Page5_CHV_VE!$I$51-(Page5_CHV_VE!$I$48+Page5_CHV_VE!$I$49+Page5_CHV_VE!$I$27+Page5_CHV_VE!$I$50),0),"")</f>
        <v/>
      </c>
      <c r="I622" s="1452"/>
      <c r="J622" s="1452"/>
      <c r="K622" s="1452"/>
      <c r="N622" s="611" t="str">
        <f>Page5_CHV_VE!$B$1&amp;" TOTAL VÉHICULES NEUFS - PROFIT BRUT - MOIS"</f>
        <v>CHEVROLET - VE TOTAL VÉHICULES NEUFS - PROFIT BRUT - MOIS</v>
      </c>
      <c r="O622" s="611" t="str">
        <f t="shared" si="81"/>
        <v/>
      </c>
      <c r="P622" s="611" t="str">
        <f t="shared" si="75"/>
        <v>Page5_CHV_VE!I</v>
      </c>
      <c r="Q622" s="611">
        <f t="shared" si="76"/>
        <v>51</v>
      </c>
      <c r="R622" s="1447">
        <f t="shared" ca="1" si="77"/>
        <v>0</v>
      </c>
      <c r="S622" s="1447">
        <f t="shared" ca="1" si="78"/>
        <v>0</v>
      </c>
      <c r="V622" s="2557" t="str">
        <f t="shared" ca="1" si="79"/>
        <v/>
      </c>
      <c r="W622" s="611" t="str">
        <f t="shared" ca="1" si="80"/>
        <v>Page5_CHV_VE, Ligne 48 [Page5_CHV_VE!I51]  -</v>
      </c>
    </row>
    <row r="623" spans="1:23">
      <c r="A623" s="1443" t="str">
        <f>celladdr(Page5_CHV_VE!K4)</f>
        <v>Page5_CHV_VE!K4</v>
      </c>
      <c r="B623" s="1464" t="s">
        <v>1086</v>
      </c>
      <c r="C623" s="1451" t="b">
        <f>Page5_CHV_VE!$K$4&lt;0</f>
        <v>0</v>
      </c>
      <c r="D623" s="1454" t="b">
        <f>OR(AND(Page5_CHV_VE!$K4&gt;0,Page5_CHV_VE!$M4=0),AND(Page5_CHV_VE!$M4&lt;&gt;0,Page5_CHV_VE!$K4=0))</f>
        <v>0</v>
      </c>
      <c r="E623" s="1454"/>
      <c r="F623" s="1454"/>
      <c r="G623" s="1444" t="str">
        <f t="shared" si="74"/>
        <v/>
      </c>
      <c r="H623" s="1447" t="str">
        <f>IF(C623=TRUE,Comments!$B$26,"")</f>
        <v/>
      </c>
      <c r="I623" s="1446" t="str">
        <f>IF(D623=TRUE,Comments!$B$21,"")</f>
        <v/>
      </c>
      <c r="J623" s="1446"/>
      <c r="K623" s="1452"/>
      <c r="N623" s="611" t="str">
        <f>"CPTE # "&amp;Page5_CHV_VE!$E$4&amp;"  "&amp;Page5_CHV_VE!$C$4&amp;" - UNITÉS - AAD"</f>
        <v>CPTE # 400B  NE PAS UTILISER - UNITÉS - AAD</v>
      </c>
      <c r="O623" s="611" t="str">
        <f t="shared" si="81"/>
        <v/>
      </c>
      <c r="P623" s="611" t="str">
        <f t="shared" si="75"/>
        <v>Page5_CHV_VE!K</v>
      </c>
      <c r="Q623" s="611">
        <f t="shared" si="76"/>
        <v>4</v>
      </c>
      <c r="R623" s="1447">
        <f t="shared" ca="1" si="77"/>
        <v>0</v>
      </c>
      <c r="S623" s="1447">
        <f t="shared" ca="1" si="78"/>
        <v>0</v>
      </c>
      <c r="V623" s="2557" t="str">
        <f t="shared" ca="1" si="79"/>
        <v/>
      </c>
      <c r="W623" s="611" t="str">
        <f t="shared" ca="1" si="80"/>
        <v>Page5_CHV_VE, Ligne 1 [Page5_CHV_VE!K4]  -</v>
      </c>
    </row>
    <row r="624" spans="1:23">
      <c r="A624" s="1443" t="str">
        <f>celladdr(Page5_CHV_VE!K5)</f>
        <v>Page5_CHV_VE!K5</v>
      </c>
      <c r="B624" s="1464" t="s">
        <v>1086</v>
      </c>
      <c r="C624" s="1451" t="b">
        <f>Page5_CHV_VE!$K$5&lt;0</f>
        <v>0</v>
      </c>
      <c r="D624" s="1454" t="b">
        <f>OR(AND(Page5_CHV_VE!$K5&gt;0,Page5_CHV_VE!$M5=0),AND(Page5_CHV_VE!$M5&lt;&gt;0,Page5_CHV_VE!$K5=0))</f>
        <v>0</v>
      </c>
      <c r="E624" s="1454"/>
      <c r="F624" s="1454"/>
      <c r="G624" s="1444" t="str">
        <f t="shared" si="74"/>
        <v/>
      </c>
      <c r="H624" s="1447" t="str">
        <f>IF(C624=TRUE,Comments!$B$26,"")</f>
        <v/>
      </c>
      <c r="I624" s="1446" t="str">
        <f>IF(D624=TRUE,Comments!$B$21,"")</f>
        <v/>
      </c>
      <c r="J624" s="1446"/>
      <c r="K624" s="1452"/>
      <c r="N624" s="611" t="str">
        <f>"CPTE # "&amp;Page5_CHV_VE!$E$5&amp;"  "&amp;Page5_CHV_VE!$C$5&amp;" - UNITÉS - AAD"</f>
        <v>CPTE # 401B  NE PAS UTILISER - UNITÉS - AAD</v>
      </c>
      <c r="O624" s="611" t="str">
        <f t="shared" si="81"/>
        <v/>
      </c>
      <c r="P624" s="611" t="str">
        <f t="shared" si="75"/>
        <v>Page5_CHV_VE!K</v>
      </c>
      <c r="Q624" s="611">
        <f t="shared" si="76"/>
        <v>5</v>
      </c>
      <c r="R624" s="1447">
        <f t="shared" ca="1" si="77"/>
        <v>0</v>
      </c>
      <c r="S624" s="1447">
        <f t="shared" ca="1" si="78"/>
        <v>0</v>
      </c>
      <c r="V624" s="2557" t="str">
        <f t="shared" ca="1" si="79"/>
        <v/>
      </c>
      <c r="W624" s="611" t="str">
        <f t="shared" ca="1" si="80"/>
        <v>Page5_CHV_VE, Ligne 2 [Page5_CHV_VE!K5]  -</v>
      </c>
    </row>
    <row r="625" spans="1:23">
      <c r="A625" s="1443" t="str">
        <f>celladdr(Page5_CHV_VE!K6)</f>
        <v>Page5_CHV_VE!K6</v>
      </c>
      <c r="B625" s="1464" t="s">
        <v>1086</v>
      </c>
      <c r="C625" s="1451" t="b">
        <f>Page5_CHV_VE!$K$6&lt;0</f>
        <v>0</v>
      </c>
      <c r="D625" s="1454" t="b">
        <f>OR(AND(Page5_CHV_VE!$K6&gt;0,Page5_CHV_VE!$M6=0),AND(Page5_CHV_VE!$M6&lt;&gt;0,Page5_CHV_VE!$K6=0))</f>
        <v>0</v>
      </c>
      <c r="E625" s="1454"/>
      <c r="F625" s="1454"/>
      <c r="G625" s="1444" t="str">
        <f t="shared" si="74"/>
        <v/>
      </c>
      <c r="H625" s="1447" t="str">
        <f>IF(C625=TRUE,Comments!$B$26,"")</f>
        <v/>
      </c>
      <c r="I625" s="1446" t="str">
        <f>IF(D625=TRUE,Comments!$B$21,"")</f>
        <v/>
      </c>
      <c r="J625" s="1446"/>
      <c r="K625" s="1452"/>
      <c r="N625" s="611" t="str">
        <f>"CPTE # "&amp;Page5_CHV_VE!$E$6&amp;"  "&amp;Page5_CHV_VE!$C$6&amp;" - UNITÉS - AAD"</f>
        <v>CPTE # 402B  NE PAS UTILISER - UNITÉS - AAD</v>
      </c>
      <c r="O625" s="611" t="str">
        <f t="shared" si="81"/>
        <v/>
      </c>
      <c r="P625" s="611" t="str">
        <f t="shared" si="75"/>
        <v>Page5_CHV_VE!K</v>
      </c>
      <c r="Q625" s="611">
        <f t="shared" si="76"/>
        <v>6</v>
      </c>
      <c r="R625" s="1447">
        <f t="shared" ca="1" si="77"/>
        <v>0</v>
      </c>
      <c r="S625" s="1447">
        <f t="shared" ca="1" si="78"/>
        <v>0</v>
      </c>
      <c r="V625" s="2557" t="str">
        <f t="shared" ca="1" si="79"/>
        <v/>
      </c>
      <c r="W625" s="611" t="str">
        <f t="shared" ca="1" si="80"/>
        <v>Page5_CHV_VE, Ligne 3 [Page5_CHV_VE!K6]  -</v>
      </c>
    </row>
    <row r="626" spans="1:23">
      <c r="A626" s="1443" t="str">
        <f>celladdr(Page5_CHV_VE!K7)</f>
        <v>Page5_CHV_VE!K7</v>
      </c>
      <c r="B626" s="1464" t="s">
        <v>1086</v>
      </c>
      <c r="C626" s="1451" t="b">
        <f>Page5_CHV_VE!$K$7&lt;0</f>
        <v>0</v>
      </c>
      <c r="D626" s="1454" t="b">
        <f>OR(AND(Page5_CHV_VE!$K7&gt;0,Page5_CHV_VE!$M7=0),AND(Page5_CHV_VE!$M7&lt;&gt;0,Page5_CHV_VE!$K7=0))</f>
        <v>0</v>
      </c>
      <c r="E626" s="1454"/>
      <c r="F626" s="1454"/>
      <c r="G626" s="1444" t="str">
        <f t="shared" si="74"/>
        <v/>
      </c>
      <c r="H626" s="1447" t="str">
        <f>IF(C626=TRUE,Comments!$B$26,"")</f>
        <v/>
      </c>
      <c r="I626" s="1446" t="str">
        <f>IF(D626=TRUE,Comments!$B$21,"")</f>
        <v/>
      </c>
      <c r="J626" s="1446"/>
      <c r="K626" s="1452"/>
      <c r="N626" s="611" t="str">
        <f>"CPTE # "&amp;Page5_CHV_VE!$E$7&amp;"  "&amp;Page5_CHV_VE!$C$7&amp;" - UNITÉS - AAD"</f>
        <v>CPTE # 403B  NE PAS UTILISER - UNITÉS - AAD</v>
      </c>
      <c r="O626" s="611" t="str">
        <f t="shared" si="81"/>
        <v/>
      </c>
      <c r="P626" s="611" t="str">
        <f t="shared" si="75"/>
        <v>Page5_CHV_VE!K</v>
      </c>
      <c r="Q626" s="611">
        <f t="shared" si="76"/>
        <v>7</v>
      </c>
      <c r="R626" s="1447">
        <f t="shared" ca="1" si="77"/>
        <v>0</v>
      </c>
      <c r="S626" s="1447">
        <f t="shared" ca="1" si="78"/>
        <v>0</v>
      </c>
      <c r="V626" s="2557" t="str">
        <f t="shared" ca="1" si="79"/>
        <v/>
      </c>
      <c r="W626" s="611" t="str">
        <f t="shared" ca="1" si="80"/>
        <v>Page5_CHV_VE, Ligne 4 [Page5_CHV_VE!K7]  -</v>
      </c>
    </row>
    <row r="627" spans="1:23">
      <c r="A627" s="1443" t="str">
        <f>celladdr(Page5_CHV_VE!K8)</f>
        <v>Page5_CHV_VE!K8</v>
      </c>
      <c r="B627" s="1464" t="s">
        <v>1086</v>
      </c>
      <c r="C627" s="1451" t="b">
        <f>Page5_CHV_VE!$K$8&lt;0</f>
        <v>0</v>
      </c>
      <c r="D627" s="1454" t="b">
        <f>OR(AND(Page5_CHV_VE!$K8&gt;0,Page5_CHV_VE!$M8=0),AND(Page5_CHV_VE!$M8&lt;&gt;0,Page5_CHV_VE!$K8=0))</f>
        <v>0</v>
      </c>
      <c r="E627" s="1454"/>
      <c r="F627" s="1454"/>
      <c r="G627" s="1444" t="str">
        <f t="shared" si="74"/>
        <v/>
      </c>
      <c r="H627" s="1447" t="str">
        <f>IF(C627=TRUE,Comments!$B$26,"")</f>
        <v/>
      </c>
      <c r="I627" s="1446" t="str">
        <f>IF(D627=TRUE,Comments!$B$21,"")</f>
        <v/>
      </c>
      <c r="J627" s="1446"/>
      <c r="K627" s="1452"/>
      <c r="N627" s="611" t="str">
        <f>"CPTE # "&amp;Page5_CHV_VE!$E$8&amp;"  "&amp;Page5_CHV_VE!$C$8&amp;" - UNITÉS - AAD"</f>
        <v>CPTE # 404B  NE PAS UTILISER - UNITÉS - AAD</v>
      </c>
      <c r="O627" s="611" t="str">
        <f t="shared" si="81"/>
        <v/>
      </c>
      <c r="P627" s="611" t="str">
        <f t="shared" si="75"/>
        <v>Page5_CHV_VE!K</v>
      </c>
      <c r="Q627" s="611">
        <f t="shared" si="76"/>
        <v>8</v>
      </c>
      <c r="R627" s="1447">
        <f t="shared" ca="1" si="77"/>
        <v>0</v>
      </c>
      <c r="S627" s="1447">
        <f t="shared" ca="1" si="78"/>
        <v>0</v>
      </c>
      <c r="V627" s="2557" t="str">
        <f t="shared" ca="1" si="79"/>
        <v/>
      </c>
      <c r="W627" s="611" t="str">
        <f t="shared" ca="1" si="80"/>
        <v>Page5_CHV_VE, Ligne 5 [Page5_CHV_VE!K8]  -</v>
      </c>
    </row>
    <row r="628" spans="1:23">
      <c r="A628" s="1443" t="str">
        <f>celladdr(Page5_CHV_VE!K9)</f>
        <v>Page5_CHV_VE!K9</v>
      </c>
      <c r="B628" s="1464" t="s">
        <v>1086</v>
      </c>
      <c r="C628" s="1451" t="b">
        <f>Page5_CHV_VE!$K$9&lt;0</f>
        <v>0</v>
      </c>
      <c r="D628" s="1454" t="b">
        <f>OR(AND(Page5_CHV_VE!$K9&gt;0,Page5_CHV_VE!$M9=0),AND(Page5_CHV_VE!$M9&lt;&gt;0,Page5_CHV_VE!$K9=0))</f>
        <v>0</v>
      </c>
      <c r="E628" s="1454"/>
      <c r="F628" s="1454"/>
      <c r="G628" s="1444" t="str">
        <f t="shared" si="74"/>
        <v/>
      </c>
      <c r="H628" s="1447" t="str">
        <f>IF(C628=TRUE,Comments!$B$26,"")</f>
        <v/>
      </c>
      <c r="I628" s="1446" t="str">
        <f>IF(D628=TRUE,Comments!$B$21,"")</f>
        <v/>
      </c>
      <c r="J628" s="1446"/>
      <c r="K628" s="1452"/>
      <c r="N628" s="611" t="str">
        <f>"CPTE # "&amp;Page5_CHV_VE!$E$9&amp;"  "&amp;Page5_CHV_VE!$C$9&amp;" - UNITÉS - AAD"</f>
        <v>CPTE # 405B  NE PAS UTILISER - UNITÉS - AAD</v>
      </c>
      <c r="O628" s="611" t="str">
        <f t="shared" si="81"/>
        <v/>
      </c>
      <c r="P628" s="611" t="str">
        <f t="shared" si="75"/>
        <v>Page5_CHV_VE!K</v>
      </c>
      <c r="Q628" s="611">
        <f t="shared" si="76"/>
        <v>9</v>
      </c>
      <c r="R628" s="1447">
        <f t="shared" ca="1" si="77"/>
        <v>0</v>
      </c>
      <c r="S628" s="1447">
        <f t="shared" ca="1" si="78"/>
        <v>0</v>
      </c>
      <c r="V628" s="2557" t="str">
        <f t="shared" ca="1" si="79"/>
        <v/>
      </c>
      <c r="W628" s="611" t="str">
        <f t="shared" ca="1" si="80"/>
        <v>Page5_CHV_VE, Ligne 6 [Page5_CHV_VE!K9]  -</v>
      </c>
    </row>
    <row r="629" spans="1:23">
      <c r="A629" s="1443" t="str">
        <f>celladdr(Page5_CHV_VE!K10)</f>
        <v>Page5_CHV_VE!K10</v>
      </c>
      <c r="B629" s="1464" t="s">
        <v>1086</v>
      </c>
      <c r="C629" s="1451" t="b">
        <f>Page5_CHV_VE!$K$10&lt;0</f>
        <v>0</v>
      </c>
      <c r="D629" s="1454" t="b">
        <f>OR(AND(Page5_CHV_VE!$K10&gt;0,Page5_CHV_VE!$M10=0),AND(Page5_CHV_VE!$M10&lt;&gt;0,Page5_CHV_VE!$K10=0))</f>
        <v>0</v>
      </c>
      <c r="E629" s="1454"/>
      <c r="F629" s="1454"/>
      <c r="G629" s="1444" t="str">
        <f t="shared" si="74"/>
        <v/>
      </c>
      <c r="H629" s="1447" t="str">
        <f>IF(C629=TRUE,Comments!$B$26,"")</f>
        <v/>
      </c>
      <c r="I629" s="1446" t="str">
        <f>IF(D629=TRUE,Comments!$B$21,"")</f>
        <v/>
      </c>
      <c r="J629" s="1446"/>
      <c r="K629" s="1452"/>
      <c r="N629" s="611" t="str">
        <f>"CPTE # "&amp;Page5_CHV_VE!$E$10&amp;"  "&amp;Page5_CHV_VE!$C$10&amp;" - UNITÉS - AAD"</f>
        <v>CPTE # 406B  NE PAS UTILISER - UNITÉS - AAD</v>
      </c>
      <c r="O629" s="611" t="str">
        <f t="shared" si="81"/>
        <v/>
      </c>
      <c r="P629" s="611" t="str">
        <f t="shared" si="75"/>
        <v>Page5_CHV_VE!K</v>
      </c>
      <c r="Q629" s="611">
        <f t="shared" si="76"/>
        <v>10</v>
      </c>
      <c r="R629" s="1447">
        <f t="shared" ca="1" si="77"/>
        <v>0</v>
      </c>
      <c r="S629" s="1447">
        <f t="shared" ca="1" si="78"/>
        <v>0</v>
      </c>
      <c r="V629" s="2557" t="str">
        <f t="shared" ca="1" si="79"/>
        <v/>
      </c>
      <c r="W629" s="611" t="str">
        <f t="shared" ca="1" si="80"/>
        <v>Page5_CHV_VE, Ligne 7 [Page5_CHV_VE!K10]  -</v>
      </c>
    </row>
    <row r="630" spans="1:23">
      <c r="A630" s="1443" t="str">
        <f>celladdr(Page5_CHV_VE!K11)</f>
        <v>Page5_CHV_VE!K11</v>
      </c>
      <c r="B630" s="1464" t="s">
        <v>1086</v>
      </c>
      <c r="C630" s="1451" t="b">
        <f>Page5_CHV_VE!$K$11&lt;0</f>
        <v>0</v>
      </c>
      <c r="D630" s="1454" t="b">
        <f>OR(AND(Page5_CHV_VE!$K11&gt;0,Page5_CHV_VE!$M11=0),AND(Page5_CHV_VE!$M11&lt;&gt;0,Page5_CHV_VE!$K11=0))</f>
        <v>0</v>
      </c>
      <c r="E630" s="1454"/>
      <c r="F630" s="1454"/>
      <c r="G630" s="1444" t="str">
        <f t="shared" si="74"/>
        <v/>
      </c>
      <c r="H630" s="1447" t="str">
        <f>IF(C630=TRUE,Comments!$B$26,"")</f>
        <v/>
      </c>
      <c r="I630" s="1446" t="str">
        <f>IF(D630=TRUE,Comments!$B$21,"")</f>
        <v/>
      </c>
      <c r="J630" s="1446"/>
      <c r="K630" s="1452"/>
      <c r="N630" s="611" t="str">
        <f>"CPTE # "&amp;Page5_CHV_VE!$E$11&amp;"  "&amp;Page5_CHV_VE!$C$11&amp;" - UNITÉS - AAD"</f>
        <v>CPTE # 407B  NE PAS UTILISER - UNITÉS - AAD</v>
      </c>
      <c r="O630" s="611" t="str">
        <f t="shared" si="81"/>
        <v/>
      </c>
      <c r="P630" s="611" t="str">
        <f t="shared" si="75"/>
        <v>Page5_CHV_VE!K</v>
      </c>
      <c r="Q630" s="611">
        <f t="shared" si="76"/>
        <v>11</v>
      </c>
      <c r="R630" s="1447">
        <f t="shared" ca="1" si="77"/>
        <v>0</v>
      </c>
      <c r="S630" s="1447">
        <f t="shared" ca="1" si="78"/>
        <v>0</v>
      </c>
      <c r="V630" s="2557" t="str">
        <f t="shared" ca="1" si="79"/>
        <v/>
      </c>
      <c r="W630" s="611" t="str">
        <f t="shared" ca="1" si="80"/>
        <v>Page5_CHV_VE, Ligne 8 [Page5_CHV_VE!K11]  -</v>
      </c>
    </row>
    <row r="631" spans="1:23">
      <c r="A631" s="1443" t="str">
        <f>celladdr(Page5_CHV_VE!K12)</f>
        <v>Page5_CHV_VE!K12</v>
      </c>
      <c r="B631" s="1464" t="s">
        <v>1086</v>
      </c>
      <c r="C631" s="1451" t="b">
        <f>Page5_CHV_VE!$K$12&lt;0</f>
        <v>0</v>
      </c>
      <c r="D631" s="1454" t="b">
        <f>OR(AND(Page5_CHV_VE!$K12&gt;0,Page5_CHV_VE!$M12=0),AND(Page5_CHV_VE!$M12&lt;&gt;0,Page5_CHV_VE!$K12=0))</f>
        <v>0</v>
      </c>
      <c r="E631" s="1454"/>
      <c r="F631" s="1454"/>
      <c r="G631" s="1444" t="str">
        <f t="shared" si="74"/>
        <v/>
      </c>
      <c r="H631" s="1447" t="str">
        <f>IF(C631=TRUE,Comments!$B$26,"")</f>
        <v/>
      </c>
      <c r="I631" s="1446" t="str">
        <f>IF(D631=TRUE,Comments!$B$21,"")</f>
        <v/>
      </c>
      <c r="J631" s="1446"/>
      <c r="K631" s="1452"/>
      <c r="N631" s="611" t="str">
        <f>"CPTE # "&amp;Page5_CHV_VE!$E$12&amp;"  "&amp;Page5_CHV_VE!$C$12&amp;" - UNITÉS - AAD"</f>
        <v>CPTE # 408B  NE PAS UTILISER - UNITÉS - AAD</v>
      </c>
      <c r="O631" s="611" t="str">
        <f t="shared" si="81"/>
        <v/>
      </c>
      <c r="P631" s="611" t="str">
        <f t="shared" si="75"/>
        <v>Page5_CHV_VE!K</v>
      </c>
      <c r="Q631" s="611">
        <f t="shared" si="76"/>
        <v>12</v>
      </c>
      <c r="R631" s="1447">
        <f t="shared" ca="1" si="77"/>
        <v>0</v>
      </c>
      <c r="S631" s="1447">
        <f t="shared" ca="1" si="78"/>
        <v>0</v>
      </c>
      <c r="V631" s="2557" t="str">
        <f t="shared" ca="1" si="79"/>
        <v/>
      </c>
      <c r="W631" s="611" t="str">
        <f t="shared" ca="1" si="80"/>
        <v>Page5_CHV_VE, Ligne 9 [Page5_CHV_VE!K12]  -</v>
      </c>
    </row>
    <row r="632" spans="1:23">
      <c r="A632" s="1443" t="str">
        <f>celladdr(Page5_CHV_VE!K13)</f>
        <v>Page5_CHV_VE!K13</v>
      </c>
      <c r="B632" s="1464" t="s">
        <v>1086</v>
      </c>
      <c r="C632" s="1451" t="b">
        <f>Page5_CHV_VE!$K$13&lt;0</f>
        <v>0</v>
      </c>
      <c r="D632" s="1454" t="b">
        <f>OR(AND(Page5_CHV_VE!$K13&gt;0,Page5_CHV_VE!$M13=0),AND(Page5_CHV_VE!$M13&lt;&gt;0,Page5_CHV_VE!$K13=0))</f>
        <v>0</v>
      </c>
      <c r="E632" s="1454"/>
      <c r="F632" s="1454"/>
      <c r="G632" s="1444" t="str">
        <f t="shared" si="74"/>
        <v/>
      </c>
      <c r="H632" s="1447" t="str">
        <f>IF(C632=TRUE,Comments!$B$26,"")</f>
        <v/>
      </c>
      <c r="I632" s="1446" t="str">
        <f>IF(D632=TRUE,Comments!$B$21,"")</f>
        <v/>
      </c>
      <c r="J632" s="1446"/>
      <c r="K632" s="1452"/>
      <c r="N632" s="611" t="str">
        <f>"CPTE # "&amp;Page5_CHV_VE!$E$13&amp;"  "&amp;Page5_CHV_VE!$C$13&amp;" - UNITÉS - AAD"</f>
        <v>CPTE # 409B  NE PAS UTILISER - UNITÉS - AAD</v>
      </c>
      <c r="O632" s="611" t="str">
        <f t="shared" si="81"/>
        <v/>
      </c>
      <c r="P632" s="611" t="str">
        <f t="shared" si="75"/>
        <v>Page5_CHV_VE!K</v>
      </c>
      <c r="Q632" s="611">
        <f t="shared" si="76"/>
        <v>13</v>
      </c>
      <c r="R632" s="1447">
        <f t="shared" ca="1" si="77"/>
        <v>0</v>
      </c>
      <c r="S632" s="1447">
        <f t="shared" ca="1" si="78"/>
        <v>0</v>
      </c>
      <c r="V632" s="2557" t="str">
        <f t="shared" ca="1" si="79"/>
        <v/>
      </c>
      <c r="W632" s="611" t="str">
        <f t="shared" ca="1" si="80"/>
        <v>Page5_CHV_VE, Ligne 10 [Page5_CHV_VE!K13]  -</v>
      </c>
    </row>
    <row r="633" spans="1:23">
      <c r="A633" s="1443" t="str">
        <f>celladdr(Page5_CHV_VE!K14)</f>
        <v>Page5_CHV_VE!K14</v>
      </c>
      <c r="B633" s="1464" t="s">
        <v>1086</v>
      </c>
      <c r="C633" s="1451" t="b">
        <f>Page5_CHV_VE!$K$14&lt;0</f>
        <v>0</v>
      </c>
      <c r="D633" s="1454" t="b">
        <f>OR(AND(Page5_CHV_VE!$K14&gt;0,Page5_CHV_VE!$M14=0),AND(Page5_CHV_VE!$M14&lt;&gt;0,Page5_CHV_VE!$K14=0))</f>
        <v>0</v>
      </c>
      <c r="E633" s="1454"/>
      <c r="F633" s="1454"/>
      <c r="G633" s="1444" t="str">
        <f t="shared" si="74"/>
        <v/>
      </c>
      <c r="H633" s="1447" t="str">
        <f>IF(C633=TRUE,Comments!$B$26,"")</f>
        <v/>
      </c>
      <c r="I633" s="1446" t="str">
        <f>IF(D633=TRUE,Comments!$B$21,"")</f>
        <v/>
      </c>
      <c r="J633" s="1446"/>
      <c r="K633" s="1452"/>
      <c r="N633" s="611" t="str">
        <f>"CPTE # "&amp;Page5_CHV_VE!$E$14&amp;"  "&amp;Page5_CHV_VE!$C$14&amp;" - UNITÉS - AAD"</f>
        <v>CPTE # 410B  NE PAS UTILISER - UNITÉS - AAD</v>
      </c>
      <c r="O633" s="611" t="str">
        <f t="shared" si="81"/>
        <v/>
      </c>
      <c r="P633" s="611" t="str">
        <f t="shared" si="75"/>
        <v>Page5_CHV_VE!K</v>
      </c>
      <c r="Q633" s="611">
        <f t="shared" si="76"/>
        <v>14</v>
      </c>
      <c r="R633" s="1447">
        <f t="shared" ca="1" si="77"/>
        <v>0</v>
      </c>
      <c r="S633" s="1447">
        <f t="shared" ca="1" si="78"/>
        <v>0</v>
      </c>
      <c r="V633" s="2557" t="str">
        <f t="shared" ca="1" si="79"/>
        <v/>
      </c>
      <c r="W633" s="611" t="str">
        <f t="shared" ca="1" si="80"/>
        <v>Page5_CHV_VE, Ligne 11 [Page5_CHV_VE!K14]  -</v>
      </c>
    </row>
    <row r="634" spans="1:23">
      <c r="A634" s="1443" t="str">
        <f>celladdr(Page5_CHV_VE!K15)</f>
        <v>Page5_CHV_VE!K15</v>
      </c>
      <c r="B634" s="1464" t="s">
        <v>1086</v>
      </c>
      <c r="C634" s="1451" t="b">
        <f>Page5_CHV_VE!$K$15&lt;0</f>
        <v>0</v>
      </c>
      <c r="D634" s="1454" t="b">
        <f>OR(AND(Page5_CHV_VE!$K15&gt;0,Page5_CHV_VE!$M15=0),AND(Page5_CHV_VE!$M15&lt;&gt;0,Page5_CHV_VE!$K15=0))</f>
        <v>0</v>
      </c>
      <c r="E634" s="1454"/>
      <c r="F634" s="1454"/>
      <c r="G634" s="1444" t="str">
        <f t="shared" si="74"/>
        <v/>
      </c>
      <c r="H634" s="1447" t="str">
        <f>IF(C634=TRUE,Comments!$B$26,"")</f>
        <v/>
      </c>
      <c r="I634" s="1446" t="str">
        <f>IF(D634=TRUE,Comments!$B$21,"")</f>
        <v/>
      </c>
      <c r="J634" s="1446"/>
      <c r="K634" s="1452"/>
      <c r="N634" s="611" t="str">
        <f>"CPTE # "&amp;Page5_CHV_VE!$E$15&amp;"  "&amp;Page5_CHV_VE!$C$15&amp;" - UNITÉS - AAD"</f>
        <v>CPTE # 411B  NE PAS UTILISER - UNITÉS - AAD</v>
      </c>
      <c r="O634" s="611" t="str">
        <f t="shared" ref="O634:O665" si="82">IF(A634=A633,"TRUE","")</f>
        <v/>
      </c>
      <c r="P634" s="611" t="str">
        <f t="shared" si="75"/>
        <v>Page5_CHV_VE!K</v>
      </c>
      <c r="Q634" s="611">
        <f t="shared" si="76"/>
        <v>15</v>
      </c>
      <c r="R634" s="1447">
        <f t="shared" ca="1" si="77"/>
        <v>0</v>
      </c>
      <c r="S634" s="1447">
        <f t="shared" ca="1" si="78"/>
        <v>0</v>
      </c>
      <c r="V634" s="2557" t="str">
        <f t="shared" ca="1" si="79"/>
        <v/>
      </c>
      <c r="W634" s="611" t="str">
        <f t="shared" ca="1" si="80"/>
        <v>Page5_CHV_VE, Ligne 12 [Page5_CHV_VE!K15]  -</v>
      </c>
    </row>
    <row r="635" spans="1:23">
      <c r="A635" s="1443" t="str">
        <f>celladdr(Page5_CHV_VE!K16)</f>
        <v>Page5_CHV_VE!K16</v>
      </c>
      <c r="B635" s="1464" t="s">
        <v>1086</v>
      </c>
      <c r="C635" s="1451" t="b">
        <f>Page5_CHV_VE!$K$16&lt;0</f>
        <v>0</v>
      </c>
      <c r="D635" s="1454" t="b">
        <f>OR(AND(Page5_CHV_VE!$K16&gt;0,Page5_CHV_VE!$M16=0),AND(Page5_CHV_VE!$M16&lt;&gt;0,Page5_CHV_VE!$K16=0))</f>
        <v>0</v>
      </c>
      <c r="E635" s="1454"/>
      <c r="F635" s="1454"/>
      <c r="G635" s="1444" t="str">
        <f t="shared" si="74"/>
        <v/>
      </c>
      <c r="H635" s="1447" t="str">
        <f>IF(C635=TRUE,Comments!$B$26,"")</f>
        <v/>
      </c>
      <c r="I635" s="1446" t="str">
        <f>IF(D635=TRUE,Comments!$B$21,"")</f>
        <v/>
      </c>
      <c r="J635" s="1446"/>
      <c r="K635" s="1452"/>
      <c r="N635" s="611" t="str">
        <f>"CPTE # "&amp;Page5_CHV_VE!$E$16&amp;"  "&amp;Page5_CHV_VE!$C$16&amp;" - UNITÉS - AAD"</f>
        <v>CPTE # 412B  NE PAS UTILISER - UNITÉS - AAD</v>
      </c>
      <c r="O635" s="611" t="str">
        <f t="shared" si="82"/>
        <v/>
      </c>
      <c r="P635" s="611" t="str">
        <f t="shared" si="75"/>
        <v>Page5_CHV_VE!K</v>
      </c>
      <c r="Q635" s="611">
        <f t="shared" si="76"/>
        <v>16</v>
      </c>
      <c r="R635" s="1447">
        <f t="shared" ca="1" si="77"/>
        <v>0</v>
      </c>
      <c r="S635" s="1447">
        <f t="shared" ca="1" si="78"/>
        <v>0</v>
      </c>
      <c r="V635" s="2557" t="str">
        <f t="shared" ca="1" si="79"/>
        <v/>
      </c>
      <c r="W635" s="611" t="str">
        <f t="shared" ca="1" si="80"/>
        <v>Page5_CHV_VE, Ligne 13 [Page5_CHV_VE!K16]  -</v>
      </c>
    </row>
    <row r="636" spans="1:23">
      <c r="A636" s="1443" t="str">
        <f>celladdr(Page5_CHV_VE!K17)</f>
        <v>Page5_CHV_VE!K17</v>
      </c>
      <c r="B636" s="1464" t="s">
        <v>1086</v>
      </c>
      <c r="C636" s="1451" t="b">
        <f>Page5_CHV_VE!$K$17&lt;0</f>
        <v>0</v>
      </c>
      <c r="D636" s="1454" t="b">
        <f>OR(AND(Page5_CHV_VE!$K17&gt;0,Page5_CHV_VE!$M17=0),AND(Page5_CHV_VE!$M17&lt;&gt;0,Page5_CHV_VE!$K17=0))</f>
        <v>0</v>
      </c>
      <c r="E636" s="1454"/>
      <c r="F636" s="1454"/>
      <c r="G636" s="1444" t="str">
        <f t="shared" si="74"/>
        <v/>
      </c>
      <c r="H636" s="1447" t="str">
        <f>IF(C636=TRUE,Comments!$B$26,"")</f>
        <v/>
      </c>
      <c r="I636" s="1446" t="str">
        <f>IF(D636=TRUE,Comments!$B$21,"")</f>
        <v/>
      </c>
      <c r="J636" s="1446"/>
      <c r="K636" s="1452"/>
      <c r="N636" s="611" t="str">
        <f>"CPTE # "&amp;Page5_CHV_VE!$E$17&amp;"  "&amp;Page5_CHV_VE!$C$17&amp;" - UNITÉS - AAD"</f>
        <v>CPTE # 413B  NE PAS UTILISER - UNITÉS - AAD</v>
      </c>
      <c r="O636" s="611" t="str">
        <f t="shared" si="82"/>
        <v/>
      </c>
      <c r="P636" s="611" t="str">
        <f t="shared" si="75"/>
        <v>Page5_CHV_VE!K</v>
      </c>
      <c r="Q636" s="611">
        <f t="shared" si="76"/>
        <v>17</v>
      </c>
      <c r="R636" s="1447">
        <f t="shared" ca="1" si="77"/>
        <v>0</v>
      </c>
      <c r="S636" s="1447">
        <f t="shared" ca="1" si="78"/>
        <v>0</v>
      </c>
      <c r="V636" s="2557" t="str">
        <f t="shared" ca="1" si="79"/>
        <v/>
      </c>
      <c r="W636" s="611" t="str">
        <f t="shared" ca="1" si="80"/>
        <v>Page5_CHV_VE, Ligne 14 [Page5_CHV_VE!K17]  -</v>
      </c>
    </row>
    <row r="637" spans="1:23">
      <c r="A637" s="1443" t="str">
        <f>celladdr(Page5_CHV_VE!K18)</f>
        <v>Page5_CHV_VE!K18</v>
      </c>
      <c r="B637" s="1464" t="s">
        <v>1086</v>
      </c>
      <c r="C637" s="1451" t="b">
        <f>Page5_CHV_VE!$K$18&lt;0</f>
        <v>0</v>
      </c>
      <c r="D637" s="1454" t="b">
        <f>OR(AND(Page5_CHV_VE!$K18&gt;0,Page5_CHV_VE!$M18=0),AND(Page5_CHV_VE!$M18&lt;&gt;0,Page5_CHV_VE!$K18=0))</f>
        <v>0</v>
      </c>
      <c r="E637" s="1454"/>
      <c r="F637" s="1454"/>
      <c r="G637" s="1444" t="str">
        <f t="shared" si="74"/>
        <v/>
      </c>
      <c r="H637" s="1447" t="str">
        <f>IF(C637=TRUE,Comments!$B$26,"")</f>
        <v/>
      </c>
      <c r="I637" s="1446" t="str">
        <f>IF(D637=TRUE,Comments!$B$21,"")</f>
        <v/>
      </c>
      <c r="J637" s="1446"/>
      <c r="K637" s="1452"/>
      <c r="N637" s="611" t="str">
        <f>"CPTE # "&amp;Page5_CHV_VE!$E$18&amp;"  "&amp;Page5_CHV_VE!$C$18&amp;" - UNITÉS - AAD"</f>
        <v>CPTE # 414B  NE PAS UTILISER - UNITÉS - AAD</v>
      </c>
      <c r="O637" s="611" t="str">
        <f t="shared" si="82"/>
        <v/>
      </c>
      <c r="P637" s="611" t="str">
        <f t="shared" si="75"/>
        <v>Page5_CHV_VE!K</v>
      </c>
      <c r="Q637" s="611">
        <f t="shared" si="76"/>
        <v>18</v>
      </c>
      <c r="R637" s="1447">
        <f t="shared" ca="1" si="77"/>
        <v>0</v>
      </c>
      <c r="S637" s="1447">
        <f t="shared" ca="1" si="78"/>
        <v>0</v>
      </c>
      <c r="V637" s="2557" t="str">
        <f t="shared" ca="1" si="79"/>
        <v/>
      </c>
      <c r="W637" s="611" t="str">
        <f t="shared" ca="1" si="80"/>
        <v>Page5_CHV_VE, Ligne 15 [Page5_CHV_VE!K18]  -</v>
      </c>
    </row>
    <row r="638" spans="1:23">
      <c r="A638" s="1443" t="str">
        <f>celladdr(Page5_CHV_VE!K19)</f>
        <v>Page5_CHV_VE!K19</v>
      </c>
      <c r="B638" s="1464" t="s">
        <v>1086</v>
      </c>
      <c r="C638" s="1451" t="b">
        <f>Page5_CHV_VE!$K$19&lt;0</f>
        <v>0</v>
      </c>
      <c r="D638" s="1454" t="b">
        <f>OR(AND(Page5_CHV_VE!$K19&gt;0,Page5_CHV_VE!$M19=0),AND(Page5_CHV_VE!$M19&lt;&gt;0,Page5_CHV_VE!$K19=0))</f>
        <v>0</v>
      </c>
      <c r="E638" s="1454"/>
      <c r="F638" s="1454"/>
      <c r="G638" s="1444" t="str">
        <f t="shared" si="74"/>
        <v/>
      </c>
      <c r="H638" s="1447" t="str">
        <f>IF(C638=TRUE,Comments!$B$26,"")</f>
        <v/>
      </c>
      <c r="I638" s="1446" t="str">
        <f>IF(D638=TRUE,Comments!$B$21,"")</f>
        <v/>
      </c>
      <c r="J638" s="1446"/>
      <c r="K638" s="1452"/>
      <c r="N638" s="611" t="str">
        <f>"CPTE # "&amp;Page5_CHV_VE!$E$19&amp;"  "&amp;Page5_CHV_VE!$C$19&amp;" - UNITÉS - AAD"</f>
        <v>CPTE # 415B  NE PAS UTILISER - UNITÉS - AAD</v>
      </c>
      <c r="O638" s="611" t="str">
        <f t="shared" si="82"/>
        <v/>
      </c>
      <c r="P638" s="611" t="str">
        <f t="shared" si="75"/>
        <v>Page5_CHV_VE!K</v>
      </c>
      <c r="Q638" s="611">
        <f t="shared" si="76"/>
        <v>19</v>
      </c>
      <c r="R638" s="1447">
        <f t="shared" ca="1" si="77"/>
        <v>0</v>
      </c>
      <c r="S638" s="1447">
        <f t="shared" ca="1" si="78"/>
        <v>0</v>
      </c>
      <c r="V638" s="2557" t="str">
        <f t="shared" ca="1" si="79"/>
        <v/>
      </c>
      <c r="W638" s="611" t="str">
        <f t="shared" ca="1" si="80"/>
        <v>Page5_CHV_VE, Ligne 16 [Page5_CHV_VE!K19]  -</v>
      </c>
    </row>
    <row r="639" spans="1:23">
      <c r="A639" s="1443" t="str">
        <f>celladdr(Page5_CHV_VE!K20)</f>
        <v>Page5_CHV_VE!K20</v>
      </c>
      <c r="B639" s="1464" t="s">
        <v>1086</v>
      </c>
      <c r="C639" s="1451" t="b">
        <f>Page5_CHV_VE!$K$20&lt;0</f>
        <v>0</v>
      </c>
      <c r="D639" s="1454"/>
      <c r="E639" s="1454"/>
      <c r="F639" s="1454"/>
      <c r="G639" s="1444" t="str">
        <f t="shared" si="74"/>
        <v/>
      </c>
      <c r="H639" s="1447" t="str">
        <f>IF(C639=TRUE,Comments!$B$26,"")</f>
        <v/>
      </c>
      <c r="I639" s="1446"/>
      <c r="J639" s="1446"/>
      <c r="K639" s="1452"/>
      <c r="N639" s="611" t="str">
        <f>"CPTE # "&amp;Page5_CHV_VE!$E$20&amp;"  "&amp;Page5_CHV_VE!$C$20&amp;" - UNITÉS - AAD"</f>
        <v>CPTE # 416B  NE PAS UTILISER - UNITÉS - AAD</v>
      </c>
      <c r="O639" s="611" t="str">
        <f t="shared" si="82"/>
        <v/>
      </c>
      <c r="P639" s="611" t="str">
        <f t="shared" si="75"/>
        <v>Page5_CHV_VE!K</v>
      </c>
      <c r="Q639" s="611">
        <f t="shared" si="76"/>
        <v>20</v>
      </c>
      <c r="R639" s="1447">
        <f t="shared" ca="1" si="77"/>
        <v>0</v>
      </c>
      <c r="S639" s="1447">
        <f t="shared" ca="1" si="78"/>
        <v>0</v>
      </c>
      <c r="V639" s="2557" t="str">
        <f t="shared" ca="1" si="79"/>
        <v/>
      </c>
      <c r="W639" s="611" t="str">
        <f t="shared" ca="1" si="80"/>
        <v>Page5_CHV_VE, Ligne 17 [Page5_CHV_VE!K20]  -</v>
      </c>
    </row>
    <row r="640" spans="1:23">
      <c r="A640" s="1443" t="str">
        <f>celladdr(Page5_CHV_VE!K21)</f>
        <v>Page5_CHV_VE!K21</v>
      </c>
      <c r="B640" s="1464" t="s">
        <v>1086</v>
      </c>
      <c r="C640" s="1451" t="b">
        <f>Page5_CHV_VE!$K$21&lt;0</f>
        <v>0</v>
      </c>
      <c r="D640" s="1454" t="b">
        <f>OR(AND(Page5_CHV_VE!$K21&gt;0,Page5_CHV_VE!$M21=0),AND(Page5_CHV_VE!$M21&lt;&gt;0,Page5_CHV_VE!$K21=0))</f>
        <v>0</v>
      </c>
      <c r="E640" s="1454"/>
      <c r="F640" s="1454"/>
      <c r="G640" s="1444" t="str">
        <f t="shared" si="74"/>
        <v/>
      </c>
      <c r="H640" s="1447" t="str">
        <f>IF(C640=TRUE,Comments!$B$26,"")</f>
        <v/>
      </c>
      <c r="I640" s="1446" t="str">
        <f>IF(D640=TRUE,Comments!$B$21,"")</f>
        <v/>
      </c>
      <c r="J640" s="1446"/>
      <c r="K640" s="1452"/>
      <c r="N640" s="611" t="str">
        <f>"CPTE # "&amp;Page5_CHV_VE!$E$21&amp;"  "&amp;Page5_CHV_VE!$C$21&amp;" - UNITÉS - AAD"</f>
        <v>CPTE # 417B  NE PAS UTILISER - UNITÉS - AAD</v>
      </c>
      <c r="O640" s="611" t="str">
        <f t="shared" si="82"/>
        <v/>
      </c>
      <c r="P640" s="611" t="str">
        <f t="shared" si="75"/>
        <v>Page5_CHV_VE!K</v>
      </c>
      <c r="Q640" s="611">
        <f t="shared" si="76"/>
        <v>21</v>
      </c>
      <c r="R640" s="1447">
        <f t="shared" ca="1" si="77"/>
        <v>0</v>
      </c>
      <c r="S640" s="1447">
        <f t="shared" ca="1" si="78"/>
        <v>0</v>
      </c>
      <c r="V640" s="2557" t="str">
        <f t="shared" ca="1" si="79"/>
        <v/>
      </c>
      <c r="W640" s="611" t="str">
        <f t="shared" ca="1" si="80"/>
        <v>Page5_CHV_VE, Ligne 18 [Page5_CHV_VE!K21]  -</v>
      </c>
    </row>
    <row r="641" spans="1:23">
      <c r="A641" s="1443" t="str">
        <f>celladdr(Page5_CHV_VE!K22)</f>
        <v>Page5_CHV_VE!K22</v>
      </c>
      <c r="B641" s="1464" t="s">
        <v>1086</v>
      </c>
      <c r="C641" s="1451" t="b">
        <f>Page5_CHV_VE!$K$22&lt;0</f>
        <v>0</v>
      </c>
      <c r="D641" s="1454" t="b">
        <f>OR(AND(Page5_CHV_VE!$K22&gt;0,Page5_CHV_VE!$M22=0),AND(Page5_CHV_VE!$M22&lt;&gt;0,Page5_CHV_VE!$K22=0))</f>
        <v>0</v>
      </c>
      <c r="E641" s="1454"/>
      <c r="F641" s="1454"/>
      <c r="G641" s="1444" t="str">
        <f t="shared" si="74"/>
        <v/>
      </c>
      <c r="H641" s="1447" t="str">
        <f>IF(C641=TRUE,Comments!$B$26,"")</f>
        <v/>
      </c>
      <c r="I641" s="1446" t="str">
        <f>IF(D641=TRUE,Comments!$B$21,"")</f>
        <v/>
      </c>
      <c r="J641" s="1446"/>
      <c r="K641" s="1452"/>
      <c r="N641" s="611" t="str">
        <f>"CPTE # "&amp;Page5_CHV_VE!$E$22&amp;"  "&amp;Page5_CHV_VE!$C$22&amp;" - UNITÉS - AAD"</f>
        <v>CPTE # 418B  NE PAS UTILISER - UNITÉS - AAD</v>
      </c>
      <c r="O641" s="611" t="str">
        <f t="shared" si="82"/>
        <v/>
      </c>
      <c r="P641" s="611" t="str">
        <f t="shared" si="75"/>
        <v>Page5_CHV_VE!K</v>
      </c>
      <c r="Q641" s="611">
        <f t="shared" si="76"/>
        <v>22</v>
      </c>
      <c r="R641" s="1447">
        <f t="shared" ca="1" si="77"/>
        <v>0</v>
      </c>
      <c r="S641" s="1447">
        <f t="shared" ca="1" si="78"/>
        <v>0</v>
      </c>
      <c r="V641" s="2557" t="str">
        <f t="shared" ca="1" si="79"/>
        <v/>
      </c>
      <c r="W641" s="611" t="str">
        <f t="shared" ca="1" si="80"/>
        <v>Page5_CHV_VE, Ligne 19 [Page5_CHV_VE!K22]  -</v>
      </c>
    </row>
    <row r="642" spans="1:23">
      <c r="A642" s="1443" t="str">
        <f>celladdr(Page5_CHV_VE!K23)</f>
        <v>Page5_CHV_VE!K23</v>
      </c>
      <c r="B642" s="1444" t="s">
        <v>1086</v>
      </c>
      <c r="C642" s="1451"/>
      <c r="D642" s="1454"/>
      <c r="E642" s="1454"/>
      <c r="F642" s="1454"/>
      <c r="G642" s="1444" t="str">
        <f t="shared" ref="G642:G705" si="83">IF(H642&amp;I642&amp;J642&amp;K642&lt;&gt;"","No.de ref. du commentaire.: "&amp;W642&amp;" "&amp;N642&amp;" "&amp;H642&amp;I642&amp;IF(OR(C642=TRUE,D642=TRUE),"",J642&amp;K642&amp;V642),"")</f>
        <v/>
      </c>
      <c r="H642" s="1447" t="str">
        <f>IF(C642=TRUE,Comments!$B$26,"")</f>
        <v/>
      </c>
      <c r="I642" s="1446" t="str">
        <f>IF(D642=TRUE,Comments!$B$21,"")</f>
        <v/>
      </c>
      <c r="J642" s="1446"/>
      <c r="K642" s="1452"/>
      <c r="O642" s="611" t="str">
        <f t="shared" si="82"/>
        <v/>
      </c>
      <c r="P642" s="611" t="str">
        <f t="shared" ref="P642:P705" si="84">LEFT(A642,FIND("!",A642)+1)</f>
        <v>Page5_CHV_VE!K</v>
      </c>
      <c r="Q642" s="611">
        <f t="shared" ref="Q642:Q705" si="85">VALUE(RIGHT(A642,LEN(A642)-FIND("!",A642)-1))</f>
        <v>23</v>
      </c>
      <c r="R642" s="1447">
        <f t="shared" ref="R642:R705" ca="1" si="86">IF(E642=TRUE,INDIRECT("Comments!$D$"&amp;T642),0)</f>
        <v>0</v>
      </c>
      <c r="S642" s="1447">
        <f t="shared" ref="S642:S705" ca="1" si="87">IF(F642=TRUE,INDIRECT("Comments!$D$"&amp;U642),0)</f>
        <v>0</v>
      </c>
      <c r="V642" s="2557" t="str">
        <f t="shared" ref="V642:V705" ca="1" si="88">IF(SUM(R642+S642)=0,"","
*** "&amp;TEXT(SUM(R642+S642),"0,0")&amp;" Points de précision seront déduits suite à cette(ces) erreur(s) !")</f>
        <v/>
      </c>
      <c r="W642" s="611" t="str">
        <f t="shared" ref="W642:W705" ca="1" si="89">LEFT(A642,FIND("!",A642,1)-1)&amp;", Ligne "&amp;INDIRECT(ADDRESS(ROW(INDIRECT(A642)),IF(INDIRECT(ADDRESS(ROW(INDIRECT(A642)),1,,,LEFT(A642,FIND("!",A642,1)-1)))="",2,1),,,LEFT(A642,FIND("!",A642,1)-1)))&amp;" ["&amp;A642&amp;"] "&amp;" -"</f>
        <v>Page5_CHV_VE, Ligne 20 [Page5_CHV_VE!K23]  -</v>
      </c>
    </row>
    <row r="643" spans="1:23">
      <c r="A643" s="1443" t="str">
        <f>celladdr(Page5_CHV_VE!K24)</f>
        <v>Page5_CHV_VE!K24</v>
      </c>
      <c r="B643" s="1464" t="s">
        <v>1086</v>
      </c>
      <c r="C643" s="1451" t="b">
        <f>Page5_CHV_VE!$K$24&lt;0</f>
        <v>0</v>
      </c>
      <c r="D643" s="1454" t="b">
        <f>OR(AND(Page5_CHV_VE!$K24&gt;0,Page5_CHV_VE!$M24=0),AND(Page5_CHV_VE!$M24&lt;&gt;0,Page5_CHV_VE!$K24=0))</f>
        <v>0</v>
      </c>
      <c r="E643" s="1454"/>
      <c r="F643" s="1454"/>
      <c r="G643" s="1444" t="str">
        <f t="shared" si="83"/>
        <v/>
      </c>
      <c r="H643" s="1447" t="str">
        <f>IF(C643=TRUE,Comments!$B$26,"")</f>
        <v/>
      </c>
      <c r="I643" s="1446" t="str">
        <f>IF(D643=TRUE,Comments!$B$21,"")</f>
        <v/>
      </c>
      <c r="J643" s="1446"/>
      <c r="K643" s="1452"/>
      <c r="N643" s="611" t="str">
        <f>"CPTE # "&amp;Page5_CHV_VE!$E$24&amp;"  "&amp;Page5_CHV_VE!$C$24&amp;" - UNITÉS - AAD"</f>
        <v>CPTE # 419B  MÉMO* VENTES INTERNET VOITURES - UNITÉS - AAD</v>
      </c>
      <c r="O643" s="611" t="str">
        <f t="shared" si="82"/>
        <v/>
      </c>
      <c r="P643" s="611" t="str">
        <f t="shared" si="84"/>
        <v>Page5_CHV_VE!K</v>
      </c>
      <c r="Q643" s="611">
        <f t="shared" si="85"/>
        <v>24</v>
      </c>
      <c r="R643" s="1447">
        <f t="shared" ca="1" si="86"/>
        <v>0</v>
      </c>
      <c r="S643" s="1447">
        <f t="shared" ca="1" si="87"/>
        <v>0</v>
      </c>
      <c r="V643" s="2557" t="str">
        <f t="shared" ca="1" si="88"/>
        <v/>
      </c>
      <c r="W643" s="611" t="str">
        <f t="shared" ca="1" si="89"/>
        <v>Page5_CHV_VE, Ligne 21 [Page5_CHV_VE!K24]  -</v>
      </c>
    </row>
    <row r="644" spans="1:23">
      <c r="A644" s="1443" t="str">
        <f>celladdr(Page5_CHV_VE!K25)</f>
        <v>Page5_CHV_VE!K25</v>
      </c>
      <c r="B644" s="1464" t="s">
        <v>1086</v>
      </c>
      <c r="C644" s="1451" t="b">
        <f>Page5_CHV_VE!$K$25&lt;0</f>
        <v>0</v>
      </c>
      <c r="D644" s="1454" t="b">
        <f>OR(AND(Page5_CHV_VE!$K25&gt;0,Page5_CHV_VE!$M25=0),AND(Page5_CHV_VE!$M25&lt;&gt;0,Page5_CHV_VE!$K25=0))</f>
        <v>0</v>
      </c>
      <c r="E644" s="1454" t="b">
        <f>ROUND(Page5_CHV_VE!K25,2)&lt;&gt;ROUND(Page5_PARCS_GOUV!F5+Page5_PARCS_GOUV!F41,2)</f>
        <v>0</v>
      </c>
      <c r="F644" s="1454"/>
      <c r="G644" s="1444" t="str">
        <f t="shared" si="83"/>
        <v/>
      </c>
      <c r="H644" s="1447" t="str">
        <f>IF(C644=TRUE,Comments!$B$26,"")</f>
        <v/>
      </c>
      <c r="I644" s="1446" t="str">
        <f>IF(D644=TRUE,Comments!$B$21,"")</f>
        <v/>
      </c>
      <c r="J644" s="1446" t="str">
        <f>IF(E644=TRUE, Comments!$B$97,"")</f>
        <v/>
      </c>
      <c r="K644" s="1452"/>
      <c r="N644" s="611" t="str">
        <f>"CPTE # "&amp;Page5_CHV_VE!$E$25&amp;"  "&amp;Page5_CHV_VE!$C$25&amp;" - UNITÉS - AAD"</f>
        <v>CPTE # DE PG PARCS  TOTAL PARCS - VOITURES - UNITÉS - AAD</v>
      </c>
      <c r="O644" s="611" t="str">
        <f t="shared" si="82"/>
        <v/>
      </c>
      <c r="P644" s="611" t="str">
        <f t="shared" si="84"/>
        <v>Page5_CHV_VE!K</v>
      </c>
      <c r="Q644" s="611">
        <f t="shared" si="85"/>
        <v>25</v>
      </c>
      <c r="R644" s="1447">
        <f t="shared" ca="1" si="86"/>
        <v>0</v>
      </c>
      <c r="S644" s="1447">
        <f t="shared" ca="1" si="87"/>
        <v>0</v>
      </c>
      <c r="T644" s="611">
        <v>97</v>
      </c>
      <c r="V644" s="2557" t="str">
        <f t="shared" ca="1" si="88"/>
        <v/>
      </c>
      <c r="W644" s="611" t="str">
        <f t="shared" ca="1" si="89"/>
        <v>Page5_CHV_VE, Ligne 22 [Page5_CHV_VE!K25]  -</v>
      </c>
    </row>
    <row r="645" spans="1:23">
      <c r="A645" s="1443" t="str">
        <f>celladdr(Page5_CHV_VE!K26)</f>
        <v>Page5_CHV_VE!K26</v>
      </c>
      <c r="B645" s="1464" t="s">
        <v>1086</v>
      </c>
      <c r="C645" s="1451" t="b">
        <f>Page5_CHV_VE!$K$26&lt;0</f>
        <v>0</v>
      </c>
      <c r="D645" s="1454" t="b">
        <f>OR(AND(Page5_CHV_VE!$K26&gt;0,Page5_CHV_VE!$M26=0),AND(Page5_CHV_VE!$M26&lt;&gt;0,Page5_CHV_VE!$K26=0))</f>
        <v>0</v>
      </c>
      <c r="E645" s="1454"/>
      <c r="F645" s="1454"/>
      <c r="G645" s="1444" t="str">
        <f t="shared" si="83"/>
        <v/>
      </c>
      <c r="H645" s="1447" t="str">
        <f>IF(C645=TRUE,Comments!$B$26,"")</f>
        <v/>
      </c>
      <c r="I645" s="1446" t="str">
        <f>IF(D645=TRUE,Comments!$B$21,"")</f>
        <v/>
      </c>
      <c r="J645" s="1446"/>
      <c r="K645" s="1452"/>
      <c r="N645" s="611" t="str">
        <f>"CPTE # "&amp;Page5_CHV_VE!$E$26&amp;"  "&amp;Page5_CHV_VE!$C$26&amp;" - UNITÉS - AAD"</f>
        <v>CPTE # 421B  TOTAL INTERNE - VOITURES - UNITÉS - AAD</v>
      </c>
      <c r="O645" s="611" t="str">
        <f t="shared" si="82"/>
        <v/>
      </c>
      <c r="P645" s="611" t="str">
        <f t="shared" si="84"/>
        <v>Page5_CHV_VE!K</v>
      </c>
      <c r="Q645" s="611">
        <f t="shared" si="85"/>
        <v>26</v>
      </c>
      <c r="R645" s="1447">
        <f t="shared" ca="1" si="86"/>
        <v>0</v>
      </c>
      <c r="S645" s="1447">
        <f t="shared" ca="1" si="87"/>
        <v>0</v>
      </c>
      <c r="V645" s="2557" t="str">
        <f t="shared" ca="1" si="88"/>
        <v/>
      </c>
      <c r="W645" s="611" t="str">
        <f t="shared" ca="1" si="89"/>
        <v>Page5_CHV_VE, Ligne 23 [Page5_CHV_VE!K26]  -</v>
      </c>
    </row>
    <row r="646" spans="1:23">
      <c r="A646" s="1443" t="str">
        <f>celladdr(Page5_CHV_VE!K27)</f>
        <v>Page5_CHV_VE!K27</v>
      </c>
      <c r="B646" s="1444" t="s">
        <v>1086</v>
      </c>
      <c r="C646" s="1451"/>
      <c r="D646" s="1454"/>
      <c r="E646" s="1454"/>
      <c r="F646" s="1454"/>
      <c r="G646" s="1444" t="str">
        <f t="shared" si="83"/>
        <v/>
      </c>
      <c r="H646" s="1447" t="str">
        <f>IF(C646=TRUE,Comments!$B$26,"")</f>
        <v/>
      </c>
      <c r="I646" s="1446" t="str">
        <f>IF(D646=TRUE,Comments!$B$21,"")</f>
        <v/>
      </c>
      <c r="J646" s="1446"/>
      <c r="K646" s="1452"/>
      <c r="O646" s="611" t="str">
        <f t="shared" si="82"/>
        <v/>
      </c>
      <c r="P646" s="611" t="str">
        <f t="shared" si="84"/>
        <v>Page5_CHV_VE!K</v>
      </c>
      <c r="Q646" s="611">
        <f t="shared" si="85"/>
        <v>27</v>
      </c>
      <c r="R646" s="1447">
        <f t="shared" ca="1" si="86"/>
        <v>0</v>
      </c>
      <c r="S646" s="1447">
        <f t="shared" ca="1" si="87"/>
        <v>0</v>
      </c>
      <c r="V646" s="2557" t="str">
        <f t="shared" ca="1" si="88"/>
        <v/>
      </c>
      <c r="W646" s="611" t="str">
        <f t="shared" ca="1" si="89"/>
        <v>Page5_CHV_VE, Ligne 24 [Page5_CHV_VE!K27]  -</v>
      </c>
    </row>
    <row r="647" spans="1:23">
      <c r="A647" s="1443" t="str">
        <f>celladdr(Page5_CHV_VE!K28)</f>
        <v>Page5_CHV_VE!K28</v>
      </c>
      <c r="B647" s="1464" t="s">
        <v>1086</v>
      </c>
      <c r="C647" s="1451" t="b">
        <f>Page5_CHV_VE!$K$28&lt;0</f>
        <v>0</v>
      </c>
      <c r="D647" s="1454" t="b">
        <f>OR(AND(Page5_CHV_VE!$K28&gt;0,Page5_CHV_VE!$M28=0),AND(Page5_CHV_VE!$M28&lt;&gt;0,Page5_CHV_VE!$K28=0))</f>
        <v>0</v>
      </c>
      <c r="E647" s="1454"/>
      <c r="F647" s="1454"/>
      <c r="G647" s="1444" t="str">
        <f t="shared" si="83"/>
        <v/>
      </c>
      <c r="H647" s="1447" t="str">
        <f>IF(C647=TRUE,Comments!$B$26,"")</f>
        <v/>
      </c>
      <c r="I647" s="1446" t="str">
        <f>IF(D647=TRUE,Comments!$B$21,"")</f>
        <v/>
      </c>
      <c r="J647" s="1446"/>
      <c r="K647" s="1452"/>
      <c r="N647" s="611" t="str">
        <f>"CPTE # "&amp;Page5_CHV_VE!$E$28&amp;"  "&amp;Page5_CHV_VE!$C$28&amp;" - UNITÉS - AAD"</f>
        <v>CPTE # 423B  BOLT EUV - UNITÉS - AAD</v>
      </c>
      <c r="O647" s="611" t="str">
        <f t="shared" si="82"/>
        <v/>
      </c>
      <c r="P647" s="611" t="str">
        <f t="shared" si="84"/>
        <v>Page5_CHV_VE!K</v>
      </c>
      <c r="Q647" s="611">
        <f t="shared" si="85"/>
        <v>28</v>
      </c>
      <c r="R647" s="1447">
        <f t="shared" ca="1" si="86"/>
        <v>0</v>
      </c>
      <c r="S647" s="1447">
        <f t="shared" ca="1" si="87"/>
        <v>0</v>
      </c>
      <c r="V647" s="2557" t="str">
        <f t="shared" ca="1" si="88"/>
        <v/>
      </c>
      <c r="W647" s="611" t="str">
        <f t="shared" ca="1" si="89"/>
        <v>Page5_CHV_VE, Ligne 25 [Page5_CHV_VE!K28]  -</v>
      </c>
    </row>
    <row r="648" spans="1:23">
      <c r="A648" s="1443" t="str">
        <f>celladdr(Page5_CHV_VE!K29)</f>
        <v>Page5_CHV_VE!K29</v>
      </c>
      <c r="B648" s="1464" t="s">
        <v>1086</v>
      </c>
      <c r="C648" s="1451" t="b">
        <f>Page5_CHV_VE!$K$29&lt;0</f>
        <v>0</v>
      </c>
      <c r="D648" s="1454" t="b">
        <f>OR(AND(Page5_CHV_VE!$K29&gt;0,Page5_CHV_VE!$M29=0),AND(Page5_CHV_VE!$M29&lt;&gt;0,Page5_CHV_VE!$K29=0))</f>
        <v>0</v>
      </c>
      <c r="E648" s="1454"/>
      <c r="F648" s="1454"/>
      <c r="G648" s="1444" t="str">
        <f t="shared" si="83"/>
        <v/>
      </c>
      <c r="H648" s="1447" t="str">
        <f>IF(C648=TRUE,Comments!$B$26,"")</f>
        <v/>
      </c>
      <c r="I648" s="1446" t="str">
        <f>IF(D648=TRUE,Comments!$B$21,"")</f>
        <v/>
      </c>
      <c r="J648" s="1446"/>
      <c r="K648" s="1452"/>
      <c r="N648" s="611" t="str">
        <f>"CPTE # "&amp;Page5_CHV_VE!$E$29&amp;"  "&amp;Page5_CHV_VE!$C$29&amp;" - UNITÉS - AAD"</f>
        <v>CPTE # 424B  BOLT EV - UNITÉS - AAD</v>
      </c>
      <c r="O648" s="611" t="str">
        <f t="shared" si="82"/>
        <v/>
      </c>
      <c r="P648" s="611" t="str">
        <f t="shared" si="84"/>
        <v>Page5_CHV_VE!K</v>
      </c>
      <c r="Q648" s="611">
        <f t="shared" si="85"/>
        <v>29</v>
      </c>
      <c r="R648" s="1447">
        <f t="shared" ca="1" si="86"/>
        <v>0</v>
      </c>
      <c r="S648" s="1447">
        <f t="shared" ca="1" si="87"/>
        <v>0</v>
      </c>
      <c r="V648" s="2557" t="str">
        <f t="shared" ca="1" si="88"/>
        <v/>
      </c>
      <c r="W648" s="611" t="str">
        <f t="shared" ca="1" si="89"/>
        <v>Page5_CHV_VE, Ligne 26 [Page5_CHV_VE!K29]  -</v>
      </c>
    </row>
    <row r="649" spans="1:23">
      <c r="A649" s="1443" t="str">
        <f>celladdr(Page5_CHV_VE!K30)</f>
        <v>Page5_CHV_VE!K30</v>
      </c>
      <c r="B649" s="1464" t="s">
        <v>1086</v>
      </c>
      <c r="C649" s="1451" t="b">
        <f>Page5_CHV_VE!$K$30&lt;0</f>
        <v>0</v>
      </c>
      <c r="D649" s="1454" t="b">
        <f>OR(AND(Page5_CHV_VE!$K30&gt;0,Page5_CHV_VE!$M30=0),AND(Page5_CHV_VE!$M30&lt;&gt;0,Page5_CHV_VE!$K30=0))</f>
        <v>0</v>
      </c>
      <c r="E649" s="1454"/>
      <c r="F649" s="1454"/>
      <c r="G649" s="1444" t="str">
        <f t="shared" si="83"/>
        <v/>
      </c>
      <c r="H649" s="1447" t="str">
        <f>IF(C649=TRUE,Comments!$B$26,"")</f>
        <v/>
      </c>
      <c r="I649" s="1446" t="str">
        <f>IF(D649=TRUE,Comments!$B$21,"")</f>
        <v/>
      </c>
      <c r="J649" s="1446"/>
      <c r="K649" s="1452"/>
      <c r="N649" s="611" t="str">
        <f>"CPTE # "&amp;Page5_CHV_VE!$E$30&amp;"  "&amp;Page5_CHV_VE!$C$30&amp;" - UNITÉS - AAD"</f>
        <v>CPTE # 425B  BLAZER EV - UNITÉS - AAD</v>
      </c>
      <c r="O649" s="611" t="str">
        <f t="shared" si="82"/>
        <v/>
      </c>
      <c r="P649" s="611" t="str">
        <f t="shared" si="84"/>
        <v>Page5_CHV_VE!K</v>
      </c>
      <c r="Q649" s="611">
        <f t="shared" si="85"/>
        <v>30</v>
      </c>
      <c r="R649" s="1447">
        <f t="shared" ca="1" si="86"/>
        <v>0</v>
      </c>
      <c r="S649" s="1447">
        <f t="shared" ca="1" si="87"/>
        <v>0</v>
      </c>
      <c r="V649" s="2557" t="str">
        <f t="shared" ca="1" si="88"/>
        <v/>
      </c>
      <c r="W649" s="611" t="str">
        <f t="shared" ca="1" si="89"/>
        <v>Page5_CHV_VE, Ligne 27 [Page5_CHV_VE!K30]  -</v>
      </c>
    </row>
    <row r="650" spans="1:23">
      <c r="A650" s="1443" t="str">
        <f>celladdr(Page5_CHV_VE!K31)</f>
        <v>Page5_CHV_VE!K31</v>
      </c>
      <c r="B650" s="1464" t="s">
        <v>1086</v>
      </c>
      <c r="C650" s="1451" t="b">
        <f>Page5_CHV_VE!$K$31&lt;0</f>
        <v>0</v>
      </c>
      <c r="D650" s="1454" t="b">
        <f>OR(AND(Page5_CHV_VE!$K31&gt;0,Page5_CHV_VE!$M31=0),AND(Page5_CHV_VE!$M31&lt;&gt;0,Page5_CHV_VE!$K31=0))</f>
        <v>0</v>
      </c>
      <c r="E650" s="1454"/>
      <c r="F650" s="1454"/>
      <c r="G650" s="1444" t="str">
        <f t="shared" si="83"/>
        <v/>
      </c>
      <c r="H650" s="1447" t="str">
        <f>IF(C650=TRUE,Comments!$B$26,"")</f>
        <v/>
      </c>
      <c r="I650" s="1446" t="str">
        <f>IF(D650=TRUE,Comments!$B$21,"")</f>
        <v/>
      </c>
      <c r="J650" s="1446"/>
      <c r="K650" s="1452"/>
      <c r="N650" s="611" t="str">
        <f>"CPTE # "&amp;Page5_CHV_VE!$E$31&amp;"  "&amp;Page5_CHV_VE!$C$31&amp;" - UNITÉS - AAD"</f>
        <v>CPTE # 426B  EQUINOX EV - UNITÉS - AAD</v>
      </c>
      <c r="O650" s="611" t="str">
        <f t="shared" si="82"/>
        <v/>
      </c>
      <c r="P650" s="611" t="str">
        <f t="shared" si="84"/>
        <v>Page5_CHV_VE!K</v>
      </c>
      <c r="Q650" s="611">
        <f t="shared" si="85"/>
        <v>31</v>
      </c>
      <c r="R650" s="1447">
        <f t="shared" ca="1" si="86"/>
        <v>0</v>
      </c>
      <c r="S650" s="1447">
        <f t="shared" ca="1" si="87"/>
        <v>0</v>
      </c>
      <c r="V650" s="2557" t="str">
        <f t="shared" ca="1" si="88"/>
        <v/>
      </c>
      <c r="W650" s="611" t="str">
        <f t="shared" ca="1" si="89"/>
        <v>Page5_CHV_VE, Ligne 28 [Page5_CHV_VE!K31]  -</v>
      </c>
    </row>
    <row r="651" spans="1:23">
      <c r="A651" s="1443" t="str">
        <f>celladdr(Page5_CHV_VE!K32)</f>
        <v>Page5_CHV_VE!K32</v>
      </c>
      <c r="B651" s="1464" t="s">
        <v>1086</v>
      </c>
      <c r="C651" s="1451" t="b">
        <f>Page5_CHV_VE!$K$32&lt;0</f>
        <v>0</v>
      </c>
      <c r="D651" s="1454" t="b">
        <f>OR(AND(Page5_CHV_VE!$K32&gt;0,Page5_CHV_VE!$M32=0),AND(Page5_CHV_VE!$M32&lt;&gt;0,Page5_CHV_VE!$K32=0))</f>
        <v>0</v>
      </c>
      <c r="E651" s="1454"/>
      <c r="F651" s="1454"/>
      <c r="G651" s="1444" t="str">
        <f t="shared" si="83"/>
        <v/>
      </c>
      <c r="H651" s="1447" t="str">
        <f>IF(C651=TRUE,Comments!$B$26,"")</f>
        <v/>
      </c>
      <c r="I651" s="1446" t="str">
        <f>IF(D651=TRUE,Comments!$B$21,"")</f>
        <v/>
      </c>
      <c r="J651" s="1446"/>
      <c r="K651" s="1452"/>
      <c r="N651" s="611" t="str">
        <f>"CPTE # "&amp;Page5_CHV_VE!$E$32&amp;"  "&amp;Page5_CHV_VE!$C$32&amp;" - UNITÉS - AAD"</f>
        <v>CPTE # 427B  SILVERADO EV - UNITÉS - AAD</v>
      </c>
      <c r="O651" s="611" t="str">
        <f t="shared" si="82"/>
        <v/>
      </c>
      <c r="P651" s="611" t="str">
        <f t="shared" si="84"/>
        <v>Page5_CHV_VE!K</v>
      </c>
      <c r="Q651" s="611">
        <f t="shared" si="85"/>
        <v>32</v>
      </c>
      <c r="R651" s="1447">
        <f t="shared" ca="1" si="86"/>
        <v>0</v>
      </c>
      <c r="S651" s="1447">
        <f t="shared" ca="1" si="87"/>
        <v>0</v>
      </c>
      <c r="V651" s="2557" t="str">
        <f t="shared" ca="1" si="88"/>
        <v/>
      </c>
      <c r="W651" s="611" t="str">
        <f t="shared" ca="1" si="89"/>
        <v>Page5_CHV_VE, Ligne 29 [Page5_CHV_VE!K32]  -</v>
      </c>
    </row>
    <row r="652" spans="1:23">
      <c r="A652" s="1443" t="str">
        <f>celladdr(Page5_CHV_VE!K33)</f>
        <v>Page5_CHV_VE!K33</v>
      </c>
      <c r="B652" s="1464" t="s">
        <v>1086</v>
      </c>
      <c r="C652" s="1451" t="b">
        <f>Page5_CHV_VE!$K$33&lt;0</f>
        <v>0</v>
      </c>
      <c r="D652" s="1454" t="b">
        <f>OR(AND(Page5_CHV_VE!$K33&gt;0,Page5_CHV_VE!$M33=0),AND(Page5_CHV_VE!$M33&lt;&gt;0,Page5_CHV_VE!$K33=0))</f>
        <v>0</v>
      </c>
      <c r="E652" s="1454"/>
      <c r="F652" s="1454"/>
      <c r="G652" s="1444" t="str">
        <f t="shared" si="83"/>
        <v/>
      </c>
      <c r="H652" s="1447" t="str">
        <f>IF(C652=TRUE,Comments!$B$26,"")</f>
        <v/>
      </c>
      <c r="I652" s="1446" t="str">
        <f>IF(D652=TRUE,Comments!$B$21,"")</f>
        <v/>
      </c>
      <c r="J652" s="1446"/>
      <c r="K652" s="1452"/>
      <c r="N652" s="611" t="str">
        <f>"CPTE # "&amp;Page5_CHV_VE!$E$33&amp;"  "&amp;Page5_CHV_VE!$C$33&amp;" - UNITÉS - AAD"</f>
        <v>CPTE # 428B  ZEVO 400 AWD - UNITÉS - AAD</v>
      </c>
      <c r="O652" s="611" t="str">
        <f t="shared" si="82"/>
        <v/>
      </c>
      <c r="P652" s="611" t="str">
        <f t="shared" si="84"/>
        <v>Page5_CHV_VE!K</v>
      </c>
      <c r="Q652" s="611">
        <f t="shared" si="85"/>
        <v>33</v>
      </c>
      <c r="R652" s="1447">
        <f t="shared" ca="1" si="86"/>
        <v>0</v>
      </c>
      <c r="S652" s="1447">
        <f t="shared" ca="1" si="87"/>
        <v>0</v>
      </c>
      <c r="V652" s="2557" t="str">
        <f t="shared" ca="1" si="88"/>
        <v/>
      </c>
      <c r="W652" s="611" t="str">
        <f t="shared" ca="1" si="89"/>
        <v>Page5_CHV_VE, Ligne 30 [Page5_CHV_VE!K33]  -</v>
      </c>
    </row>
    <row r="653" spans="1:23">
      <c r="A653" s="1443" t="str">
        <f>celladdr(Page5_CHV_VE!K34)</f>
        <v>Page5_CHV_VE!K34</v>
      </c>
      <c r="B653" s="1464" t="s">
        <v>1086</v>
      </c>
      <c r="C653" s="1451" t="b">
        <f>Page5_CHV_VE!$K$34&lt;0</f>
        <v>0</v>
      </c>
      <c r="D653" s="1454" t="b">
        <f>OR(AND(Page5_CHV_VE!$K34&gt;0,Page5_CHV_VE!$M34=0),AND(Page5_CHV_VE!$M34&lt;&gt;0,Page5_CHV_VE!$K34=0))</f>
        <v>0</v>
      </c>
      <c r="E653" s="1454"/>
      <c r="F653" s="1454"/>
      <c r="G653" s="1444" t="str">
        <f t="shared" si="83"/>
        <v/>
      </c>
      <c r="H653" s="1447" t="str">
        <f>IF(C653=TRUE,Comments!$B$26,"")</f>
        <v/>
      </c>
      <c r="I653" s="1446" t="str">
        <f>IF(D653=TRUE,Comments!$B$21,"")</f>
        <v/>
      </c>
      <c r="J653" s="1446"/>
      <c r="K653" s="1452"/>
      <c r="N653" s="611" t="str">
        <f>"CPTE # "&amp;Page5_CHV_VE!$E$34&amp;"  "&amp;Page5_CHV_VE!$C$34&amp;" - UNITÉS - AAD"</f>
        <v>CPTE # 429B  ZEVO 600 AWD - UNITÉS - AAD</v>
      </c>
      <c r="O653" s="611" t="str">
        <f t="shared" si="82"/>
        <v/>
      </c>
      <c r="P653" s="611" t="str">
        <f t="shared" si="84"/>
        <v>Page5_CHV_VE!K</v>
      </c>
      <c r="Q653" s="611">
        <f t="shared" si="85"/>
        <v>34</v>
      </c>
      <c r="R653" s="1447">
        <f t="shared" ca="1" si="86"/>
        <v>0</v>
      </c>
      <c r="S653" s="1447">
        <f t="shared" ca="1" si="87"/>
        <v>0</v>
      </c>
      <c r="V653" s="2557" t="str">
        <f t="shared" ca="1" si="88"/>
        <v/>
      </c>
      <c r="W653" s="611" t="str">
        <f t="shared" ca="1" si="89"/>
        <v>Page5_CHV_VE, Ligne 31 [Page5_CHV_VE!K34]  -</v>
      </c>
    </row>
    <row r="654" spans="1:23">
      <c r="A654" s="1443" t="str">
        <f>celladdr(Page5_CHV_VE!K35)</f>
        <v>Page5_CHV_VE!K35</v>
      </c>
      <c r="B654" s="1464" t="s">
        <v>1086</v>
      </c>
      <c r="C654" s="1451" t="b">
        <f>Page5_CHV_VE!$K$35&lt;0</f>
        <v>0</v>
      </c>
      <c r="D654" s="1454" t="b">
        <f>OR(AND(Page5_CHV_VE!$K35&gt;0,Page5_CHV_VE!$M35=0),AND(Page5_CHV_VE!$M35&lt;&gt;0,Page5_CHV_VE!$K35=0))</f>
        <v>0</v>
      </c>
      <c r="E654" s="1454"/>
      <c r="F654" s="1454"/>
      <c r="G654" s="1444" t="str">
        <f t="shared" si="83"/>
        <v/>
      </c>
      <c r="H654" s="1447" t="str">
        <f>IF(C654=TRUE,Comments!$B$26,"")</f>
        <v/>
      </c>
      <c r="I654" s="1446" t="str">
        <f>IF(D654=TRUE,Comments!$B$21,"")</f>
        <v/>
      </c>
      <c r="J654" s="1446"/>
      <c r="K654" s="1452"/>
      <c r="N654" s="611" t="str">
        <f>"CPTE # "&amp;Page5_CHV_VE!$E$35&amp;"  "&amp;Page5_CHV_VE!$C$35&amp;" - UNITÉS - AAD"</f>
        <v>CPTE # 430B  NE PAS UTILISER - UNITÉS - AAD</v>
      </c>
      <c r="O654" s="611" t="str">
        <f t="shared" si="82"/>
        <v/>
      </c>
      <c r="P654" s="611" t="str">
        <f t="shared" si="84"/>
        <v>Page5_CHV_VE!K</v>
      </c>
      <c r="Q654" s="611">
        <f t="shared" si="85"/>
        <v>35</v>
      </c>
      <c r="R654" s="1447">
        <f t="shared" ca="1" si="86"/>
        <v>0</v>
      </c>
      <c r="S654" s="1447">
        <f t="shared" ca="1" si="87"/>
        <v>0</v>
      </c>
      <c r="V654" s="2557" t="str">
        <f t="shared" ca="1" si="88"/>
        <v/>
      </c>
      <c r="W654" s="611" t="str">
        <f t="shared" ca="1" si="89"/>
        <v>Page5_CHV_VE, Ligne 32 [Page5_CHV_VE!K35]  -</v>
      </c>
    </row>
    <row r="655" spans="1:23">
      <c r="A655" s="1443" t="str">
        <f>celladdr(Page5_CHV_VE!K36)</f>
        <v>Page5_CHV_VE!K36</v>
      </c>
      <c r="B655" s="1464" t="s">
        <v>1086</v>
      </c>
      <c r="C655" s="1451" t="b">
        <f>Page5_CHV_VE!$K$36&lt;0</f>
        <v>0</v>
      </c>
      <c r="D655" s="1454" t="b">
        <f>OR(AND(Page5_CHV_VE!$K36&gt;0,Page5_CHV_VE!$M36=0),AND(Page5_CHV_VE!$M36&lt;&gt;0,Page5_CHV_VE!$K36=0))</f>
        <v>0</v>
      </c>
      <c r="E655" s="1454"/>
      <c r="F655" s="1454"/>
      <c r="G655" s="1444" t="str">
        <f t="shared" si="83"/>
        <v/>
      </c>
      <c r="H655" s="1447" t="str">
        <f>IF(C655=TRUE,Comments!$B$26,"")</f>
        <v/>
      </c>
      <c r="I655" s="1446" t="str">
        <f>IF(D655=TRUE,Comments!$B$21,"")</f>
        <v/>
      </c>
      <c r="J655" s="1446"/>
      <c r="K655" s="1452"/>
      <c r="N655" s="611" t="str">
        <f>"CPTE # "&amp;Page5_CHV_VE!$E$36&amp;"  "&amp;Page5_CHV_VE!$C$36&amp;" - UNITÉS - AAD"</f>
        <v>CPTE # 431B  NE PAS UTILISER - UNITÉS - AAD</v>
      </c>
      <c r="O655" s="611" t="str">
        <f t="shared" si="82"/>
        <v/>
      </c>
      <c r="P655" s="611" t="str">
        <f t="shared" si="84"/>
        <v>Page5_CHV_VE!K</v>
      </c>
      <c r="Q655" s="611">
        <f t="shared" si="85"/>
        <v>36</v>
      </c>
      <c r="R655" s="1447">
        <f t="shared" ca="1" si="86"/>
        <v>0</v>
      </c>
      <c r="S655" s="1447">
        <f t="shared" ca="1" si="87"/>
        <v>0</v>
      </c>
      <c r="V655" s="2557" t="str">
        <f t="shared" ca="1" si="88"/>
        <v/>
      </c>
      <c r="W655" s="611" t="str">
        <f t="shared" ca="1" si="89"/>
        <v>Page5_CHV_VE, Ligne 33 [Page5_CHV_VE!K36]  -</v>
      </c>
    </row>
    <row r="656" spans="1:23">
      <c r="A656" s="1443" t="str">
        <f>celladdr(Page5_CHV_VE!K37)</f>
        <v>Page5_CHV_VE!K37</v>
      </c>
      <c r="B656" s="1464" t="s">
        <v>1086</v>
      </c>
      <c r="C656" s="1451" t="b">
        <f>Page5_CHV_VE!$K$37&lt;0</f>
        <v>0</v>
      </c>
      <c r="D656" s="1454" t="b">
        <f>OR(AND(Page5_CHV_VE!$K37&gt;0,Page5_CHV_VE!$M37=0),AND(Page5_CHV_VE!$M37&lt;&gt;0,Page5_CHV_VE!$K37=0))</f>
        <v>0</v>
      </c>
      <c r="E656" s="1454"/>
      <c r="F656" s="1454"/>
      <c r="G656" s="1444" t="str">
        <f t="shared" si="83"/>
        <v/>
      </c>
      <c r="H656" s="1447" t="str">
        <f>IF(C656=TRUE,Comments!$B$26,"")</f>
        <v/>
      </c>
      <c r="I656" s="1446" t="str">
        <f>IF(D656=TRUE,Comments!$B$21,"")</f>
        <v/>
      </c>
      <c r="J656" s="1446"/>
      <c r="K656" s="1452"/>
      <c r="N656" s="611" t="str">
        <f>"CPTE # "&amp;Page5_CHV_VE!$E$37&amp;"  "&amp;Page5_CHV_VE!$C$37&amp;" - UNITÉS - AAD"</f>
        <v>CPTE # 432B  NE PAS UTILISER - UNITÉS - AAD</v>
      </c>
      <c r="O656" s="611" t="str">
        <f t="shared" si="82"/>
        <v/>
      </c>
      <c r="P656" s="611" t="str">
        <f t="shared" si="84"/>
        <v>Page5_CHV_VE!K</v>
      </c>
      <c r="Q656" s="611">
        <f t="shared" si="85"/>
        <v>37</v>
      </c>
      <c r="R656" s="1447">
        <f t="shared" ca="1" si="86"/>
        <v>0</v>
      </c>
      <c r="S656" s="1447">
        <f t="shared" ca="1" si="87"/>
        <v>0</v>
      </c>
      <c r="V656" s="2557" t="str">
        <f t="shared" ca="1" si="88"/>
        <v/>
      </c>
      <c r="W656" s="611" t="str">
        <f t="shared" ca="1" si="89"/>
        <v>Page5_CHV_VE, Ligne 34 [Page5_CHV_VE!K37]  -</v>
      </c>
    </row>
    <row r="657" spans="1:23">
      <c r="A657" s="1443" t="str">
        <f>celladdr(Page5_CHV_VE!K38)</f>
        <v>Page5_CHV_VE!K38</v>
      </c>
      <c r="B657" s="1464" t="s">
        <v>1086</v>
      </c>
      <c r="C657" s="1451" t="b">
        <f>Page5_CHV_VE!$K$38&lt;0</f>
        <v>0</v>
      </c>
      <c r="D657" s="1454" t="b">
        <f>OR(AND(Page5_CHV_VE!$K38&gt;0,Page5_CHV_VE!$M38=0),AND(Page5_CHV_VE!$M38&lt;&gt;0,Page5_CHV_VE!$K38=0))</f>
        <v>0</v>
      </c>
      <c r="E657" s="1454"/>
      <c r="F657" s="1454"/>
      <c r="G657" s="1444" t="str">
        <f t="shared" si="83"/>
        <v/>
      </c>
      <c r="H657" s="1447" t="str">
        <f>IF(C657=TRUE,Comments!$B$26,"")</f>
        <v/>
      </c>
      <c r="I657" s="1446" t="str">
        <f>IF(D657=TRUE,Comments!$B$21,"")</f>
        <v/>
      </c>
      <c r="J657" s="1446"/>
      <c r="K657" s="1452"/>
      <c r="N657" s="611" t="str">
        <f>"CPTE # "&amp;Page5_CHV_VE!$E$38&amp;"  "&amp;Page5_CHV_VE!$C$38&amp;" - UNITÉS - AAD"</f>
        <v>CPTE # 433B  NE PAS UTILISER - UNITÉS - AAD</v>
      </c>
      <c r="O657" s="611" t="str">
        <f t="shared" si="82"/>
        <v/>
      </c>
      <c r="P657" s="611" t="str">
        <f t="shared" si="84"/>
        <v>Page5_CHV_VE!K</v>
      </c>
      <c r="Q657" s="611">
        <f t="shared" si="85"/>
        <v>38</v>
      </c>
      <c r="R657" s="1447">
        <f t="shared" ca="1" si="86"/>
        <v>0</v>
      </c>
      <c r="S657" s="1447">
        <f t="shared" ca="1" si="87"/>
        <v>0</v>
      </c>
      <c r="V657" s="2557" t="str">
        <f t="shared" ca="1" si="88"/>
        <v/>
      </c>
      <c r="W657" s="611" t="str">
        <f t="shared" ca="1" si="89"/>
        <v>Page5_CHV_VE, Ligne 35 [Page5_CHV_VE!K38]  -</v>
      </c>
    </row>
    <row r="658" spans="1:23">
      <c r="A658" s="1443" t="str">
        <f>celladdr(Page5_CHV_VE!K39)</f>
        <v>Page5_CHV_VE!K39</v>
      </c>
      <c r="B658" s="1464" t="s">
        <v>1086</v>
      </c>
      <c r="C658" s="1451" t="b">
        <f>Page5_CHV_VE!$K$39&lt;0</f>
        <v>0</v>
      </c>
      <c r="D658" s="1454" t="b">
        <f>OR(AND(Page5_CHV_VE!$K39&gt;0,Page5_CHV_VE!$M39=0),AND(Page5_CHV_VE!$M39&lt;&gt;0,Page5_CHV_VE!$K39=0))</f>
        <v>0</v>
      </c>
      <c r="E658" s="1454"/>
      <c r="F658" s="1454"/>
      <c r="G658" s="1444" t="str">
        <f t="shared" si="83"/>
        <v/>
      </c>
      <c r="H658" s="1447" t="str">
        <f>IF(C658=TRUE,Comments!$B$26,"")</f>
        <v/>
      </c>
      <c r="I658" s="1446" t="str">
        <f>IF(D658=TRUE,Comments!$B$21,"")</f>
        <v/>
      </c>
      <c r="J658" s="1446"/>
      <c r="K658" s="1452"/>
      <c r="N658" s="611" t="str">
        <f>"CPTE # "&amp;Page5_CHV_VE!$E$39&amp;"  "&amp;Page5_CHV_VE!$C$39&amp;" - UNITÉS - AAD"</f>
        <v>CPTE # 434B  NE PAS UTILISER - UNITÉS - AAD</v>
      </c>
      <c r="O658" s="611" t="str">
        <f t="shared" si="82"/>
        <v/>
      </c>
      <c r="P658" s="611" t="str">
        <f t="shared" si="84"/>
        <v>Page5_CHV_VE!K</v>
      </c>
      <c r="Q658" s="611">
        <f t="shared" si="85"/>
        <v>39</v>
      </c>
      <c r="R658" s="1447">
        <f t="shared" ca="1" si="86"/>
        <v>0</v>
      </c>
      <c r="S658" s="1447">
        <f t="shared" ca="1" si="87"/>
        <v>0</v>
      </c>
      <c r="V658" s="2557" t="str">
        <f t="shared" ca="1" si="88"/>
        <v/>
      </c>
      <c r="W658" s="611" t="str">
        <f t="shared" ca="1" si="89"/>
        <v>Page5_CHV_VE, Ligne 36 [Page5_CHV_VE!K39]  -</v>
      </c>
    </row>
    <row r="659" spans="1:23">
      <c r="A659" s="1443" t="str">
        <f>celladdr(Page5_CHV_VE!K40)</f>
        <v>Page5_CHV_VE!K40</v>
      </c>
      <c r="B659" s="1464" t="s">
        <v>1086</v>
      </c>
      <c r="C659" s="1451" t="b">
        <f>Page5_CHV_VE!$K$40&lt;0</f>
        <v>0</v>
      </c>
      <c r="D659" s="1454" t="b">
        <f>OR(AND(Page5_CHV_VE!$K40&gt;0,Page5_CHV_VE!$M40=0),AND(Page5_CHV_VE!$M40&lt;&gt;0,Page5_CHV_VE!$K40=0))</f>
        <v>0</v>
      </c>
      <c r="E659" s="1454"/>
      <c r="F659" s="1454"/>
      <c r="G659" s="1444" t="str">
        <f t="shared" si="83"/>
        <v/>
      </c>
      <c r="H659" s="1447" t="str">
        <f>IF(C659=TRUE,Comments!$B$26,"")</f>
        <v/>
      </c>
      <c r="I659" s="1446" t="str">
        <f>IF(D659=TRUE,Comments!$B$21,"")</f>
        <v/>
      </c>
      <c r="J659" s="1446"/>
      <c r="K659" s="1452"/>
      <c r="N659" s="611" t="str">
        <f>"CPTE # "&amp;Page5_CHV_VE!$E$40&amp;"  "&amp;Page5_CHV_VE!$C$40&amp;" - UNITÉS - AAD"</f>
        <v>CPTE # 435B  NE PAS UTILISER - UNITÉS - AAD</v>
      </c>
      <c r="O659" s="611" t="str">
        <f t="shared" si="82"/>
        <v/>
      </c>
      <c r="P659" s="611" t="str">
        <f t="shared" si="84"/>
        <v>Page5_CHV_VE!K</v>
      </c>
      <c r="Q659" s="611">
        <f t="shared" si="85"/>
        <v>40</v>
      </c>
      <c r="R659" s="1447">
        <f t="shared" ca="1" si="86"/>
        <v>0</v>
      </c>
      <c r="S659" s="1447">
        <f t="shared" ca="1" si="87"/>
        <v>0</v>
      </c>
      <c r="V659" s="2557" t="str">
        <f t="shared" ca="1" si="88"/>
        <v/>
      </c>
      <c r="W659" s="611" t="str">
        <f t="shared" ca="1" si="89"/>
        <v>Page5_CHV_VE, Ligne 37 [Page5_CHV_VE!K40]  -</v>
      </c>
    </row>
    <row r="660" spans="1:23">
      <c r="A660" s="1443" t="str">
        <f>celladdr(Page5_CHV_VE!K41)</f>
        <v>Page5_CHV_VE!K41</v>
      </c>
      <c r="B660" s="1464" t="s">
        <v>1086</v>
      </c>
      <c r="C660" s="1451" t="b">
        <f>Page5_CHV_VE!$K$41&lt;0</f>
        <v>0</v>
      </c>
      <c r="D660" s="1454" t="b">
        <f>OR(AND(Page5_CHV_VE!$K41&gt;0,Page5_CHV_VE!$M41=0),AND(Page5_CHV_VE!$M41&lt;&gt;0,Page5_CHV_VE!$K41=0))</f>
        <v>0</v>
      </c>
      <c r="E660" s="1454"/>
      <c r="F660" s="1454"/>
      <c r="G660" s="1444" t="str">
        <f t="shared" si="83"/>
        <v/>
      </c>
      <c r="H660" s="1447" t="str">
        <f>IF(C660=TRUE,Comments!$B$26,"")</f>
        <v/>
      </c>
      <c r="I660" s="1446" t="str">
        <f>IF(D660=TRUE,Comments!$B$21,"")</f>
        <v/>
      </c>
      <c r="J660" s="1446"/>
      <c r="K660" s="1452"/>
      <c r="N660" s="611" t="str">
        <f>"CPTE # "&amp;Page5_CHV_VE!$E$41&amp;"  "&amp;Page5_CHV_VE!$C$41&amp;" - UNITÉS - AAD"</f>
        <v>CPTE # 436B  NE PAS UTILISER - UNITÉS - AAD</v>
      </c>
      <c r="O660" s="611" t="str">
        <f t="shared" si="82"/>
        <v/>
      </c>
      <c r="P660" s="611" t="str">
        <f t="shared" si="84"/>
        <v>Page5_CHV_VE!K</v>
      </c>
      <c r="Q660" s="611">
        <f t="shared" si="85"/>
        <v>41</v>
      </c>
      <c r="R660" s="1447">
        <f t="shared" ca="1" si="86"/>
        <v>0</v>
      </c>
      <c r="S660" s="1447">
        <f t="shared" ca="1" si="87"/>
        <v>0</v>
      </c>
      <c r="V660" s="2557" t="str">
        <f t="shared" ca="1" si="88"/>
        <v/>
      </c>
      <c r="W660" s="611" t="str">
        <f t="shared" ca="1" si="89"/>
        <v>Page5_CHV_VE, Ligne 38 [Page5_CHV_VE!K41]  -</v>
      </c>
    </row>
    <row r="661" spans="1:23">
      <c r="A661" s="1443" t="str">
        <f>celladdr(Page5_CHV_VE!K42)</f>
        <v>Page5_CHV_VE!K42</v>
      </c>
      <c r="B661" s="1464" t="s">
        <v>1086</v>
      </c>
      <c r="C661" s="1451" t="b">
        <f>Page5_CHV_VE!$K$42&lt;0</f>
        <v>0</v>
      </c>
      <c r="D661" s="1454"/>
      <c r="E661" s="1454"/>
      <c r="F661" s="1454"/>
      <c r="G661" s="1444" t="str">
        <f t="shared" si="83"/>
        <v/>
      </c>
      <c r="H661" s="1447" t="str">
        <f>IF(C661=TRUE,Comments!$B$26,"")</f>
        <v/>
      </c>
      <c r="I661" s="1446"/>
      <c r="J661" s="1446"/>
      <c r="K661" s="1452"/>
      <c r="N661" s="611" t="str">
        <f>"CPTE # "&amp;Page5_CHV_VE!$E$42&amp;"  "&amp;Page5_CHV_VE!$C$42&amp;" - UNITÉS - AAD"</f>
        <v>CPTE # 437B  NE PAS UTILISER - UNITÉS - AAD</v>
      </c>
      <c r="O661" s="611" t="str">
        <f t="shared" si="82"/>
        <v/>
      </c>
      <c r="P661" s="611" t="str">
        <f t="shared" si="84"/>
        <v>Page5_CHV_VE!K</v>
      </c>
      <c r="Q661" s="611">
        <f t="shared" si="85"/>
        <v>42</v>
      </c>
      <c r="R661" s="1447">
        <f t="shared" ca="1" si="86"/>
        <v>0</v>
      </c>
      <c r="S661" s="1447">
        <f t="shared" ca="1" si="87"/>
        <v>0</v>
      </c>
      <c r="V661" s="2557" t="str">
        <f t="shared" ca="1" si="88"/>
        <v/>
      </c>
      <c r="W661" s="611" t="str">
        <f t="shared" ca="1" si="89"/>
        <v>Page5_CHV_VE, Ligne 39 [Page5_CHV_VE!K42]  -</v>
      </c>
    </row>
    <row r="662" spans="1:23">
      <c r="A662" s="1443" t="str">
        <f>celladdr(Page5_CHV_VE!K43)</f>
        <v>Page5_CHV_VE!K43</v>
      </c>
      <c r="B662" s="1464" t="s">
        <v>1086</v>
      </c>
      <c r="C662" s="1451" t="b">
        <f>Page5_CHV_VE!$K$43&lt;0</f>
        <v>0</v>
      </c>
      <c r="D662" s="1454" t="b">
        <f>OR(AND(Page5_CHV_VE!$K43&gt;0,Page5_CHV_VE!$M43=0),AND(Page5_CHV_VE!$M43&lt;&gt;0,Page5_CHV_VE!$K43=0))</f>
        <v>0</v>
      </c>
      <c r="E662" s="1454"/>
      <c r="F662" s="1454"/>
      <c r="G662" s="1444" t="str">
        <f t="shared" si="83"/>
        <v/>
      </c>
      <c r="H662" s="1447" t="str">
        <f>IF(C662=TRUE,Comments!$B$26,"")</f>
        <v/>
      </c>
      <c r="I662" s="1446" t="str">
        <f>IF(D662=TRUE,Comments!$B$21,"")</f>
        <v/>
      </c>
      <c r="J662" s="1446"/>
      <c r="K662" s="1452"/>
      <c r="N662" s="611" t="str">
        <f>"CPTE # "&amp;Page5_CHV_VE!$E$43&amp;"  "&amp;Page5_CHV_VE!$C$43&amp;" - UNITÉS - AAD"</f>
        <v>CPTE # 438B  NE PAS UTILISER - UNITÉS - AAD</v>
      </c>
      <c r="O662" s="611" t="str">
        <f t="shared" si="82"/>
        <v/>
      </c>
      <c r="P662" s="611" t="str">
        <f t="shared" si="84"/>
        <v>Page5_CHV_VE!K</v>
      </c>
      <c r="Q662" s="611">
        <f t="shared" si="85"/>
        <v>43</v>
      </c>
      <c r="R662" s="1447">
        <f t="shared" ca="1" si="86"/>
        <v>0</v>
      </c>
      <c r="S662" s="1447">
        <f t="shared" ca="1" si="87"/>
        <v>0</v>
      </c>
      <c r="V662" s="2557" t="str">
        <f t="shared" ca="1" si="88"/>
        <v/>
      </c>
      <c r="W662" s="611" t="str">
        <f t="shared" ca="1" si="89"/>
        <v>Page5_CHV_VE, Ligne 40 [Page5_CHV_VE!K43]  -</v>
      </c>
    </row>
    <row r="663" spans="1:23">
      <c r="A663" s="1443" t="str">
        <f>celladdr(Page5_CHV_VE!K44)</f>
        <v>Page5_CHV_VE!K44</v>
      </c>
      <c r="B663" s="1444" t="s">
        <v>1086</v>
      </c>
      <c r="C663" s="1451"/>
      <c r="D663" s="1454"/>
      <c r="E663" s="1454"/>
      <c r="F663" s="1454"/>
      <c r="G663" s="1444" t="str">
        <f t="shared" si="83"/>
        <v/>
      </c>
      <c r="H663" s="1447" t="str">
        <f>IF(C663=TRUE,Comments!$B$26,"")</f>
        <v/>
      </c>
      <c r="I663" s="1446" t="str">
        <f>IF(D663=TRUE,Comments!$B$21,"")</f>
        <v/>
      </c>
      <c r="J663" s="1446"/>
      <c r="K663" s="1452"/>
      <c r="O663" s="611" t="str">
        <f t="shared" si="82"/>
        <v/>
      </c>
      <c r="P663" s="611" t="str">
        <f t="shared" si="84"/>
        <v>Page5_CHV_VE!K</v>
      </c>
      <c r="Q663" s="611">
        <f t="shared" si="85"/>
        <v>44</v>
      </c>
      <c r="R663" s="1447">
        <f t="shared" ca="1" si="86"/>
        <v>0</v>
      </c>
      <c r="S663" s="1447">
        <f t="shared" ca="1" si="87"/>
        <v>0</v>
      </c>
      <c r="V663" s="2557" t="str">
        <f t="shared" ca="1" si="88"/>
        <v/>
      </c>
      <c r="W663" s="611" t="str">
        <f t="shared" ca="1" si="89"/>
        <v>Page5_CHV_VE, Ligne 41 [Page5_CHV_VE!K44]  -</v>
      </c>
    </row>
    <row r="664" spans="1:23">
      <c r="A664" s="1443" t="str">
        <f>celladdr(Page5_CHV_VE!K45)</f>
        <v>Page5_CHV_VE!K45</v>
      </c>
      <c r="B664" s="1464" t="s">
        <v>1086</v>
      </c>
      <c r="C664" s="1451" t="b">
        <f>Page5_CHV_VE!$K$45&lt;0</f>
        <v>0</v>
      </c>
      <c r="D664" s="1454" t="b">
        <f>OR(AND(Page5_CHV_VE!$K45&gt;0,Page5_CHV_VE!$M45=0),AND(Page5_CHV_VE!$M45&lt;&gt;0,Page5_CHV_VE!$K45=0))</f>
        <v>0</v>
      </c>
      <c r="E664" s="1454"/>
      <c r="F664" s="1454"/>
      <c r="G664" s="1444" t="str">
        <f t="shared" si="83"/>
        <v/>
      </c>
      <c r="H664" s="1447" t="str">
        <f>IF(C664=TRUE,Comments!$B$26,"")</f>
        <v/>
      </c>
      <c r="I664" s="1446" t="str">
        <f>IF(D664=TRUE,Comments!$B$21,"")</f>
        <v/>
      </c>
      <c r="J664" s="1446"/>
      <c r="K664" s="1452"/>
      <c r="N664" s="611" t="str">
        <f>"CPTE # "&amp;Page5_CHV_VE!$E$45&amp;"  "&amp;Page5_CHV_VE!$C$45&amp;" - UNITÉS - AAD"</f>
        <v>CPTE # 439B  MÉMO* VENTES INTERNET CAMIONS - UNITÉS - AAD</v>
      </c>
      <c r="O664" s="611" t="str">
        <f t="shared" si="82"/>
        <v/>
      </c>
      <c r="P664" s="611" t="str">
        <f t="shared" si="84"/>
        <v>Page5_CHV_VE!K</v>
      </c>
      <c r="Q664" s="611">
        <f t="shared" si="85"/>
        <v>45</v>
      </c>
      <c r="R664" s="1447">
        <f t="shared" ca="1" si="86"/>
        <v>0</v>
      </c>
      <c r="S664" s="1447">
        <f t="shared" ca="1" si="87"/>
        <v>0</v>
      </c>
      <c r="V664" s="2557" t="str">
        <f t="shared" ca="1" si="88"/>
        <v/>
      </c>
      <c r="W664" s="611" t="str">
        <f t="shared" ca="1" si="89"/>
        <v>Page5_CHV_VE, Ligne 42 [Page5_CHV_VE!K45]  -</v>
      </c>
    </row>
    <row r="665" spans="1:23">
      <c r="A665" s="1443" t="str">
        <f>celladdr(Page5_CHV_VE!K46)</f>
        <v>Page5_CHV_VE!K46</v>
      </c>
      <c r="B665" s="1464" t="s">
        <v>1086</v>
      </c>
      <c r="C665" s="1451" t="b">
        <f>Page5_CHV_VE!$K$46&lt;0</f>
        <v>0</v>
      </c>
      <c r="D665" s="1454" t="b">
        <f>OR(AND(Page5_CHV_VE!$K46&gt;0,Page5_CHV_VE!$M46=0),AND(Page5_CHV_VE!$M46&lt;&gt;0,Page5_CHV_VE!$K46=0))</f>
        <v>0</v>
      </c>
      <c r="E665" s="1454" t="b">
        <f>ROUND(Page5_CHV_VE!K46 + Page5_GMC_VE!K46,2)&lt;&gt;ROUND(Page5_PARCS_GOUV!K19+Page5_PARCS_GOUV!K21+Page5_PARCS_GOUV!K23+Page5_PARCS_GOUV!K28 +Page5_PARCS_GOUV!K55+Page5_PARCS_GOUV!K57+Page5_PARCS_GOUV!K59+Page5_PARCS_GOUV!K64,2)</f>
        <v>0</v>
      </c>
      <c r="F665" s="1454"/>
      <c r="G665" s="1444" t="str">
        <f t="shared" si="83"/>
        <v/>
      </c>
      <c r="H665" s="1447" t="str">
        <f>IF(C665=TRUE,Comments!$B$26,"")</f>
        <v/>
      </c>
      <c r="I665" s="1446" t="str">
        <f>IF(D665=TRUE,Comments!$B$21,"")</f>
        <v/>
      </c>
      <c r="J665" s="1446" t="str">
        <f>IF(E665=TRUE, Comments!$B$97,"")</f>
        <v/>
      </c>
      <c r="K665" s="1452"/>
      <c r="N665" s="611" t="str">
        <f>"CPTE # "&amp;Page5_CHV_VE!$E$46&amp;"  "&amp;Page5_CHV_VE!$C$46&amp;" - UNITÉS - AAD"</f>
        <v>CPTE # DE PG PARCS  TOTAL PARCS - CAMIONS - UNITÉS - AAD</v>
      </c>
      <c r="O665" s="611" t="str">
        <f t="shared" si="82"/>
        <v/>
      </c>
      <c r="P665" s="611" t="str">
        <f t="shared" si="84"/>
        <v>Page5_CHV_VE!K</v>
      </c>
      <c r="Q665" s="611">
        <f t="shared" si="85"/>
        <v>46</v>
      </c>
      <c r="R665" s="1447">
        <f t="shared" ca="1" si="86"/>
        <v>0</v>
      </c>
      <c r="S665" s="1447">
        <f t="shared" ca="1" si="87"/>
        <v>0</v>
      </c>
      <c r="T665" s="611">
        <v>97</v>
      </c>
      <c r="V665" s="2557" t="str">
        <f t="shared" ca="1" si="88"/>
        <v/>
      </c>
      <c r="W665" s="611" t="str">
        <f t="shared" ca="1" si="89"/>
        <v>Page5_CHV_VE, Ligne 43 [Page5_CHV_VE!K46]  -</v>
      </c>
    </row>
    <row r="666" spans="1:23">
      <c r="A666" s="1443" t="str">
        <f>celladdr(Page5_CHV_VE!K47)</f>
        <v>Page5_CHV_VE!K47</v>
      </c>
      <c r="B666" s="1464" t="s">
        <v>1086</v>
      </c>
      <c r="C666" s="1451" t="b">
        <f>Page5_CHV_VE!$K$47&lt;0</f>
        <v>0</v>
      </c>
      <c r="D666" s="1454" t="b">
        <f>OR(AND(Page5_CHV_VE!$K47&gt;0,Page5_CHV_VE!$M47=0),AND(Page5_CHV_VE!$M47&lt;&gt;0,Page5_CHV_VE!$K47=0))</f>
        <v>0</v>
      </c>
      <c r="E666" s="1454"/>
      <c r="F666" s="1454"/>
      <c r="G666" s="1444" t="str">
        <f t="shared" si="83"/>
        <v/>
      </c>
      <c r="H666" s="1447" t="str">
        <f>IF(C666=TRUE,Comments!$B$26,"")</f>
        <v/>
      </c>
      <c r="I666" s="1446" t="str">
        <f>IF(D666=TRUE,Comments!$B$21,"")</f>
        <v/>
      </c>
      <c r="J666" s="1446"/>
      <c r="K666" s="1452"/>
      <c r="N666" s="611" t="str">
        <f>"CPTE # "&amp;Page5_CHV_VE!$E$47&amp;"  "&amp;Page5_CHV_VE!$C$47&amp;" - UNITÉS - AAD"</f>
        <v>CPTE # 441B  TOTAL IINTERNE - CAMIONS  - UNITÉS - AAD</v>
      </c>
      <c r="O666" s="611" t="str">
        <f t="shared" ref="O666:O692" si="90">IF(A666=A665,"TRUE","")</f>
        <v/>
      </c>
      <c r="P666" s="611" t="str">
        <f t="shared" si="84"/>
        <v>Page5_CHV_VE!K</v>
      </c>
      <c r="Q666" s="611">
        <f t="shared" si="85"/>
        <v>47</v>
      </c>
      <c r="R666" s="1447">
        <f t="shared" ca="1" si="86"/>
        <v>0</v>
      </c>
      <c r="S666" s="1447">
        <f t="shared" ca="1" si="87"/>
        <v>0</v>
      </c>
      <c r="V666" s="2557" t="str">
        <f t="shared" ca="1" si="88"/>
        <v/>
      </c>
      <c r="W666" s="611" t="str">
        <f t="shared" ca="1" si="89"/>
        <v>Page5_CHV_VE, Ligne 44 [Page5_CHV_VE!K47]  -</v>
      </c>
    </row>
    <row r="667" spans="1:23">
      <c r="A667" s="1443" t="str">
        <f>celladdr(Page5_CHV_VE!K48)</f>
        <v>Page5_CHV_VE!K48</v>
      </c>
      <c r="B667" s="1444" t="s">
        <v>1086</v>
      </c>
      <c r="C667" s="1451"/>
      <c r="D667" s="1454"/>
      <c r="E667" s="1454"/>
      <c r="F667" s="1454"/>
      <c r="G667" s="1444" t="str">
        <f t="shared" si="83"/>
        <v/>
      </c>
      <c r="H667" s="1447" t="str">
        <f>IF(C667=TRUE,Comments!$B$26,"")</f>
        <v/>
      </c>
      <c r="I667" s="1446" t="str">
        <f>IF(D667=TRUE,Comments!$B$21,"")</f>
        <v/>
      </c>
      <c r="J667" s="1446"/>
      <c r="K667" s="1452"/>
      <c r="O667" s="611" t="str">
        <f t="shared" si="90"/>
        <v/>
      </c>
      <c r="P667" s="611" t="str">
        <f t="shared" si="84"/>
        <v>Page5_CHV_VE!K</v>
      </c>
      <c r="Q667" s="611">
        <f t="shared" si="85"/>
        <v>48</v>
      </c>
      <c r="R667" s="1447">
        <f t="shared" ca="1" si="86"/>
        <v>0</v>
      </c>
      <c r="S667" s="1447">
        <f t="shared" ca="1" si="87"/>
        <v>0</v>
      </c>
      <c r="V667" s="2557" t="str">
        <f t="shared" ca="1" si="88"/>
        <v/>
      </c>
      <c r="W667" s="611" t="str">
        <f t="shared" ca="1" si="89"/>
        <v>Page5_CHV_VE, Ligne 45 [Page5_CHV_VE!K48]  -</v>
      </c>
    </row>
    <row r="668" spans="1:23">
      <c r="A668" s="1443" t="str">
        <f>celladdr(Page5_CHV_VE!K49)</f>
        <v>Page5_CHV_VE!K49</v>
      </c>
      <c r="B668" s="1464" t="s">
        <v>1086</v>
      </c>
      <c r="C668" s="1451"/>
      <c r="D668" s="1454" t="b">
        <f>OR(AND(Page5_CHV_VE!$K49&gt;0,Page5_CHV_VE!$M49=0),AND(Page5_CHV_VE!$M49&lt;&gt;0,Page5_CHV_VE!$K49=0))</f>
        <v>0</v>
      </c>
      <c r="E668" s="1454"/>
      <c r="F668" s="1454"/>
      <c r="G668" s="1444" t="str">
        <f t="shared" si="83"/>
        <v/>
      </c>
      <c r="I668" s="1446" t="str">
        <f>IF(D668=TRUE,Comments!$B$24,"")</f>
        <v/>
      </c>
      <c r="J668" s="1446"/>
      <c r="K668" s="1452"/>
      <c r="N668" s="611" t="str">
        <f>"CPTE # "&amp;Page5_CHV_VE!$E$49&amp;"  "&amp;Page5_CHV_VE!$C$49&amp;" - UNITÉS - AAD"</f>
        <v>CPTE #      - UNITÉS - AAD</v>
      </c>
      <c r="O668" s="611" t="str">
        <f t="shared" si="90"/>
        <v/>
      </c>
      <c r="P668" s="611" t="str">
        <f t="shared" si="84"/>
        <v>Page5_CHV_VE!K</v>
      </c>
      <c r="Q668" s="611">
        <f t="shared" si="85"/>
        <v>49</v>
      </c>
      <c r="R668" s="1447">
        <f t="shared" ca="1" si="86"/>
        <v>0</v>
      </c>
      <c r="S668" s="1447">
        <f t="shared" ca="1" si="87"/>
        <v>0</v>
      </c>
      <c r="V668" s="2557" t="str">
        <f t="shared" ca="1" si="88"/>
        <v/>
      </c>
      <c r="W668" s="611" t="str">
        <f t="shared" ca="1" si="89"/>
        <v>Page5_CHV_VE, Ligne 46 [Page5_CHV_VE!K49]  -</v>
      </c>
    </row>
    <row r="669" spans="1:23">
      <c r="A669" s="1443" t="str">
        <f>celladdr(Page5_CHV_VE!K50)</f>
        <v>Page5_CHV_VE!K50</v>
      </c>
      <c r="B669" s="1464" t="s">
        <v>1086</v>
      </c>
      <c r="C669" s="1451"/>
      <c r="D669" s="1454" t="b">
        <f>OR(AND(Page5_CHV_VE!$K50&gt;0,Page5_CHV_VE!$M50=0),AND(Page5_CHV_VE!$M50&lt;&gt;0,Page5_CHV_VE!$K50=0))</f>
        <v>0</v>
      </c>
      <c r="E669" s="1454"/>
      <c r="F669" s="1454"/>
      <c r="G669" s="1444" t="str">
        <f t="shared" si="83"/>
        <v/>
      </c>
      <c r="I669" s="1446" t="str">
        <f>IF(D669=TRUE,Comments!$B$21,"")</f>
        <v/>
      </c>
      <c r="J669" s="1446"/>
      <c r="K669" s="1452"/>
      <c r="N669" s="611" t="str">
        <f>"CPTE # "&amp;Page5_CHV_VE!$E$50&amp;"  "&amp;Page5_CHV_VE!$C$50&amp;" - UNITÉS - AAD"</f>
        <v>CPTE # 457B  ACCESSOIRES - UNITÉS - AAD</v>
      </c>
      <c r="O669" s="611" t="str">
        <f t="shared" si="90"/>
        <v/>
      </c>
      <c r="P669" s="611" t="str">
        <f t="shared" si="84"/>
        <v>Page5_CHV_VE!K</v>
      </c>
      <c r="Q669" s="611">
        <f t="shared" si="85"/>
        <v>50</v>
      </c>
      <c r="R669" s="1447">
        <f t="shared" ca="1" si="86"/>
        <v>0</v>
      </c>
      <c r="S669" s="1447">
        <f t="shared" ca="1" si="87"/>
        <v>0</v>
      </c>
      <c r="V669" s="2557" t="str">
        <f t="shared" ca="1" si="88"/>
        <v/>
      </c>
      <c r="W669" s="611" t="str">
        <f t="shared" ca="1" si="89"/>
        <v>Page5_CHV_VE, Ligne 47 [Page5_CHV_VE!K50]  -</v>
      </c>
    </row>
    <row r="670" spans="1:23">
      <c r="A670" s="1443" t="str">
        <f>celladdr(Page5_CHV_VE!K51)</f>
        <v>Page5_CHV_VE!K51</v>
      </c>
      <c r="B670" s="1453" t="s">
        <v>1086</v>
      </c>
      <c r="C670" s="1445" t="b">
        <f>Page5_CHV_VE!$K$51&lt;&gt;Page5_CHV_VE!$K$48+Page5_CHV_VE!$K$27</f>
        <v>0</v>
      </c>
      <c r="D670" s="1454"/>
      <c r="F670" s="1454"/>
      <c r="G670" s="1444" t="str">
        <f t="shared" si="83"/>
        <v/>
      </c>
      <c r="H670" s="1446" t="str">
        <f>IF(C670=TRUE,Comments!$B$38&amp;Page5_CHV_VE!$K$51-(Page5_CHV_VE!$K$48+Page5_CHV_VE!$K$27),"")</f>
        <v/>
      </c>
      <c r="I670" s="1452"/>
      <c r="J670" s="1452"/>
      <c r="K670" s="1452"/>
      <c r="N670" s="611" t="str">
        <f>Page5_CHV_VE!$B$1&amp;" TOTAL VÉHICULES NEUFS  - UNITÉS - AAD"</f>
        <v>CHEVROLET - VE TOTAL VÉHICULES NEUFS  - UNITÉS - AAD</v>
      </c>
      <c r="O670" s="611" t="str">
        <f t="shared" si="90"/>
        <v/>
      </c>
      <c r="P670" s="611" t="str">
        <f t="shared" si="84"/>
        <v>Page5_CHV_VE!K</v>
      </c>
      <c r="Q670" s="611">
        <f t="shared" si="85"/>
        <v>51</v>
      </c>
      <c r="R670" s="1447">
        <f t="shared" ca="1" si="86"/>
        <v>0</v>
      </c>
      <c r="S670" s="1447">
        <f t="shared" ca="1" si="87"/>
        <v>0</v>
      </c>
      <c r="V670" s="2557" t="str">
        <f t="shared" ca="1" si="88"/>
        <v/>
      </c>
      <c r="W670" s="611" t="str">
        <f t="shared" ca="1" si="89"/>
        <v>Page5_CHV_VE, Ligne 48 [Page5_CHV_VE!K51]  -</v>
      </c>
    </row>
    <row r="671" spans="1:23">
      <c r="A671" s="1443" t="str">
        <f>celladdr(Page5_CHV_VE!L4)</f>
        <v>Page5_CHV_VE!L4</v>
      </c>
      <c r="B671" s="1456" t="s">
        <v>1086</v>
      </c>
      <c r="C671" s="1451" t="b">
        <f>Page5_CHV_VE!$L$4&lt;0</f>
        <v>0</v>
      </c>
      <c r="D671" s="1454" t="b">
        <f>OR(AND(Page5_CHV_VE!$L4&lt;&gt;0,Page5_CHV_VE!$M4=0),AND(Page5_CHV_VE!$M4&lt;&gt;0,Page5_CHV_VE!$L4=0))</f>
        <v>0</v>
      </c>
      <c r="E671" s="1454"/>
      <c r="F671" s="1454"/>
      <c r="G671" s="1444" t="str">
        <f t="shared" si="83"/>
        <v/>
      </c>
      <c r="H671" s="1447" t="str">
        <f>IF(C671=TRUE,Comments!$B$23,"")</f>
        <v/>
      </c>
      <c r="I671" s="1446" t="str">
        <f>IF(D671=TRUE,Comments!$B$24,"")</f>
        <v/>
      </c>
      <c r="J671" s="1446"/>
      <c r="K671" s="1452"/>
      <c r="N671" s="611" t="str">
        <f>"CPTE # "&amp;Page5_CHV_VE!$E$4&amp;"  "&amp;Page5_CHV_VE!$C$4&amp;" - CHIFFRE D'AFFAIRES RÉALISÉ - AAD"</f>
        <v>CPTE # 400B  NE PAS UTILISER - CHIFFRE D'AFFAIRES RÉALISÉ - AAD</v>
      </c>
      <c r="O671" s="611" t="str">
        <f t="shared" si="90"/>
        <v/>
      </c>
      <c r="P671" s="611" t="str">
        <f t="shared" si="84"/>
        <v>Page5_CHV_VE!L</v>
      </c>
      <c r="Q671" s="611">
        <f t="shared" si="85"/>
        <v>4</v>
      </c>
      <c r="R671" s="1447">
        <f t="shared" ca="1" si="86"/>
        <v>0</v>
      </c>
      <c r="S671" s="1447">
        <f t="shared" ca="1" si="87"/>
        <v>0</v>
      </c>
      <c r="V671" s="2557" t="str">
        <f t="shared" ca="1" si="88"/>
        <v/>
      </c>
      <c r="W671" s="611" t="str">
        <f t="shared" ca="1" si="89"/>
        <v>Page5_CHV_VE, Ligne 1 [Page5_CHV_VE!L4]  -</v>
      </c>
    </row>
    <row r="672" spans="1:23">
      <c r="A672" s="1443" t="str">
        <f>celladdr(Page5_CHV_VE!L5)</f>
        <v>Page5_CHV_VE!L5</v>
      </c>
      <c r="B672" s="1456" t="s">
        <v>1086</v>
      </c>
      <c r="C672" s="1451" t="b">
        <f>Page5_CHV_VE!$L$5&lt;0</f>
        <v>0</v>
      </c>
      <c r="D672" s="1454" t="b">
        <f>OR(AND(Page5_CHV_VE!$L5&lt;&gt;0,Page5_CHV_VE!$M5=0),AND(Page5_CHV_VE!$M5&lt;&gt;0,Page5_CHV_VE!$L5=0))</f>
        <v>0</v>
      </c>
      <c r="E672" s="1454"/>
      <c r="F672" s="1454"/>
      <c r="G672" s="1444" t="str">
        <f t="shared" si="83"/>
        <v/>
      </c>
      <c r="H672" s="1447" t="str">
        <f>IF(C672=TRUE,Comments!$B$23,"")</f>
        <v/>
      </c>
      <c r="I672" s="1446" t="str">
        <f>IF(D672=TRUE,Comments!$B$24,"")</f>
        <v/>
      </c>
      <c r="J672" s="1446"/>
      <c r="K672" s="1452"/>
      <c r="N672" s="611" t="str">
        <f>"CPTE # "&amp;Page5_CHV_VE!$E$5&amp;"  "&amp;Page5_CHV_VE!$C$5&amp;" - CHIFFRE D'AFFAIRES RÉALISÉ - AAD"</f>
        <v>CPTE # 401B  NE PAS UTILISER - CHIFFRE D'AFFAIRES RÉALISÉ - AAD</v>
      </c>
      <c r="O672" s="611" t="str">
        <f t="shared" si="90"/>
        <v/>
      </c>
      <c r="P672" s="611" t="str">
        <f t="shared" si="84"/>
        <v>Page5_CHV_VE!L</v>
      </c>
      <c r="Q672" s="611">
        <f t="shared" si="85"/>
        <v>5</v>
      </c>
      <c r="R672" s="1447">
        <f t="shared" ca="1" si="86"/>
        <v>0</v>
      </c>
      <c r="S672" s="1447">
        <f t="shared" ca="1" si="87"/>
        <v>0</v>
      </c>
      <c r="V672" s="2557" t="str">
        <f t="shared" ca="1" si="88"/>
        <v/>
      </c>
      <c r="W672" s="611" t="str">
        <f t="shared" ca="1" si="89"/>
        <v>Page5_CHV_VE, Ligne 2 [Page5_CHV_VE!L5]  -</v>
      </c>
    </row>
    <row r="673" spans="1:23">
      <c r="A673" s="1443" t="str">
        <f>celladdr(Page5_CHV_VE!L6)</f>
        <v>Page5_CHV_VE!L6</v>
      </c>
      <c r="B673" s="1456" t="s">
        <v>1086</v>
      </c>
      <c r="C673" s="1451" t="b">
        <f>Page5_CHV_VE!$L$6&lt;0</f>
        <v>0</v>
      </c>
      <c r="D673" s="1454" t="b">
        <f>OR(AND(Page5_CHV_VE!$L6&lt;&gt;0,Page5_CHV_VE!$M6=0),AND(Page5_CHV_VE!$M6&lt;&gt;0,Page5_CHV_VE!$L6=0))</f>
        <v>0</v>
      </c>
      <c r="E673" s="1454"/>
      <c r="F673" s="1454"/>
      <c r="G673" s="1444" t="str">
        <f t="shared" si="83"/>
        <v/>
      </c>
      <c r="H673" s="1447" t="str">
        <f>IF(C673=TRUE,Comments!$B$23,"")</f>
        <v/>
      </c>
      <c r="I673" s="1446" t="str">
        <f>IF(D673=TRUE,Comments!$B$24,"")</f>
        <v/>
      </c>
      <c r="J673" s="1446"/>
      <c r="K673" s="1452"/>
      <c r="N673" s="611" t="str">
        <f>"CPTE # "&amp;Page5_CHV_VE!$E$6&amp;"  "&amp;Page5_CHV_VE!$C$6&amp;" - CHIFFRE D'AFFAIRES RÉALISÉ - AAD"</f>
        <v>CPTE # 402B  NE PAS UTILISER - CHIFFRE D'AFFAIRES RÉALISÉ - AAD</v>
      </c>
      <c r="O673" s="611" t="str">
        <f t="shared" si="90"/>
        <v/>
      </c>
      <c r="P673" s="611" t="str">
        <f t="shared" si="84"/>
        <v>Page5_CHV_VE!L</v>
      </c>
      <c r="Q673" s="611">
        <f t="shared" si="85"/>
        <v>6</v>
      </c>
      <c r="R673" s="1447">
        <f t="shared" ca="1" si="86"/>
        <v>0</v>
      </c>
      <c r="S673" s="1447">
        <f t="shared" ca="1" si="87"/>
        <v>0</v>
      </c>
      <c r="V673" s="2557" t="str">
        <f t="shared" ca="1" si="88"/>
        <v/>
      </c>
      <c r="W673" s="611" t="str">
        <f t="shared" ca="1" si="89"/>
        <v>Page5_CHV_VE, Ligne 3 [Page5_CHV_VE!L6]  -</v>
      </c>
    </row>
    <row r="674" spans="1:23">
      <c r="A674" s="1443" t="str">
        <f>celladdr(Page5_CHV_VE!L7)</f>
        <v>Page5_CHV_VE!L7</v>
      </c>
      <c r="B674" s="1456" t="s">
        <v>1086</v>
      </c>
      <c r="C674" s="1451" t="b">
        <f>Page5_CHV_VE!$L$7&lt;0</f>
        <v>0</v>
      </c>
      <c r="D674" s="1454" t="b">
        <f>OR(AND(Page5_CHV_VE!$L7&lt;&gt;0,Page5_CHV_VE!$M7=0),AND(Page5_CHV_VE!$M7&lt;&gt;0,Page5_CHV_VE!$L7=0))</f>
        <v>0</v>
      </c>
      <c r="E674" s="1454"/>
      <c r="F674" s="1454"/>
      <c r="G674" s="1444" t="str">
        <f t="shared" si="83"/>
        <v/>
      </c>
      <c r="H674" s="1447" t="str">
        <f>IF(C674=TRUE,Comments!$B$23,"")</f>
        <v/>
      </c>
      <c r="I674" s="1446" t="str">
        <f>IF(D674=TRUE,Comments!$B$24,"")</f>
        <v/>
      </c>
      <c r="J674" s="1446"/>
      <c r="K674" s="1452"/>
      <c r="N674" s="611" t="str">
        <f>"CPTE # "&amp;Page5_CHV_VE!$E$7&amp;"  "&amp;Page5_CHV_VE!$C$7&amp;" - CHIFFRE D'AFFAIRES RÉALISÉ - AAD"</f>
        <v>CPTE # 403B  NE PAS UTILISER - CHIFFRE D'AFFAIRES RÉALISÉ - AAD</v>
      </c>
      <c r="O674" s="611" t="str">
        <f t="shared" si="90"/>
        <v/>
      </c>
      <c r="P674" s="611" t="str">
        <f t="shared" si="84"/>
        <v>Page5_CHV_VE!L</v>
      </c>
      <c r="Q674" s="611">
        <f t="shared" si="85"/>
        <v>7</v>
      </c>
      <c r="R674" s="1447">
        <f t="shared" ca="1" si="86"/>
        <v>0</v>
      </c>
      <c r="S674" s="1447">
        <f t="shared" ca="1" si="87"/>
        <v>0</v>
      </c>
      <c r="V674" s="2557" t="str">
        <f t="shared" ca="1" si="88"/>
        <v/>
      </c>
      <c r="W674" s="611" t="str">
        <f t="shared" ca="1" si="89"/>
        <v>Page5_CHV_VE, Ligne 4 [Page5_CHV_VE!L7]  -</v>
      </c>
    </row>
    <row r="675" spans="1:23">
      <c r="A675" s="1443" t="str">
        <f>celladdr(Page5_CHV_VE!L8)</f>
        <v>Page5_CHV_VE!L8</v>
      </c>
      <c r="B675" s="1456" t="s">
        <v>1086</v>
      </c>
      <c r="C675" s="1451" t="b">
        <f>Page5_CHV_VE!$L$8&lt;0</f>
        <v>0</v>
      </c>
      <c r="D675" s="1454" t="b">
        <f>OR(AND(Page5_CHV_VE!$L8&lt;&gt;0,Page5_CHV_VE!$M8=0),AND(Page5_CHV_VE!$M8&lt;&gt;0,Page5_CHV_VE!$L8=0))</f>
        <v>0</v>
      </c>
      <c r="E675" s="1454"/>
      <c r="F675" s="1454"/>
      <c r="G675" s="1444" t="str">
        <f t="shared" si="83"/>
        <v/>
      </c>
      <c r="H675" s="1447" t="str">
        <f>IF(C675=TRUE,Comments!$B$23,"")</f>
        <v/>
      </c>
      <c r="I675" s="1446" t="str">
        <f>IF(D675=TRUE,Comments!$B$24,"")</f>
        <v/>
      </c>
      <c r="J675" s="1446"/>
      <c r="K675" s="1452"/>
      <c r="N675" s="611" t="str">
        <f>"CPTE # "&amp;Page5_CHV_VE!$E$8&amp;"  "&amp;Page5_CHV_VE!$C$8&amp;" - CHIFFRE D'AFFAIRES RÉALISÉ - AAD"</f>
        <v>CPTE # 404B  NE PAS UTILISER - CHIFFRE D'AFFAIRES RÉALISÉ - AAD</v>
      </c>
      <c r="O675" s="611" t="str">
        <f t="shared" si="90"/>
        <v/>
      </c>
      <c r="P675" s="611" t="str">
        <f t="shared" si="84"/>
        <v>Page5_CHV_VE!L</v>
      </c>
      <c r="Q675" s="611">
        <f t="shared" si="85"/>
        <v>8</v>
      </c>
      <c r="R675" s="1447">
        <f t="shared" ca="1" si="86"/>
        <v>0</v>
      </c>
      <c r="S675" s="1447">
        <f t="shared" ca="1" si="87"/>
        <v>0</v>
      </c>
      <c r="V675" s="2557" t="str">
        <f t="shared" ca="1" si="88"/>
        <v/>
      </c>
      <c r="W675" s="611" t="str">
        <f t="shared" ca="1" si="89"/>
        <v>Page5_CHV_VE, Ligne 5 [Page5_CHV_VE!L8]  -</v>
      </c>
    </row>
    <row r="676" spans="1:23">
      <c r="A676" s="1443" t="str">
        <f>celladdr(Page5_CHV_VE!L9)</f>
        <v>Page5_CHV_VE!L9</v>
      </c>
      <c r="B676" s="1456" t="s">
        <v>1086</v>
      </c>
      <c r="C676" s="1451" t="b">
        <f>Page5_CHV_VE!$L$9&lt;0</f>
        <v>0</v>
      </c>
      <c r="D676" s="1454" t="b">
        <f>OR(AND(Page5_CHV_VE!$L9&lt;&gt;0,Page5_CHV_VE!$M9=0),AND(Page5_CHV_VE!$M9&lt;&gt;0,Page5_CHV_VE!$L9=0))</f>
        <v>0</v>
      </c>
      <c r="E676" s="1454"/>
      <c r="F676" s="1454"/>
      <c r="G676" s="1444" t="str">
        <f t="shared" si="83"/>
        <v/>
      </c>
      <c r="H676" s="1447" t="str">
        <f>IF(C676=TRUE,Comments!$B$23,"")</f>
        <v/>
      </c>
      <c r="I676" s="1446" t="str">
        <f>IF(D676=TRUE,Comments!$B$24,"")</f>
        <v/>
      </c>
      <c r="J676" s="1446"/>
      <c r="K676" s="1452"/>
      <c r="N676" s="611" t="str">
        <f>"CPTE # "&amp;Page5_CHV_VE!$E$9&amp;"  "&amp;Page5_CHV_VE!$C$9&amp;" - CHIFFRE D'AFFAIRES RÉALISÉ - AAD"</f>
        <v>CPTE # 405B  NE PAS UTILISER - CHIFFRE D'AFFAIRES RÉALISÉ - AAD</v>
      </c>
      <c r="O676" s="611" t="str">
        <f t="shared" si="90"/>
        <v/>
      </c>
      <c r="P676" s="611" t="str">
        <f t="shared" si="84"/>
        <v>Page5_CHV_VE!L</v>
      </c>
      <c r="Q676" s="611">
        <f t="shared" si="85"/>
        <v>9</v>
      </c>
      <c r="R676" s="1447">
        <f t="shared" ca="1" si="86"/>
        <v>0</v>
      </c>
      <c r="S676" s="1447">
        <f t="shared" ca="1" si="87"/>
        <v>0</v>
      </c>
      <c r="V676" s="2557" t="str">
        <f t="shared" ca="1" si="88"/>
        <v/>
      </c>
      <c r="W676" s="611" t="str">
        <f t="shared" ca="1" si="89"/>
        <v>Page5_CHV_VE, Ligne 6 [Page5_CHV_VE!L9]  -</v>
      </c>
    </row>
    <row r="677" spans="1:23">
      <c r="A677" s="1443" t="str">
        <f>celladdr(Page5_CHV_VE!L10)</f>
        <v>Page5_CHV_VE!L10</v>
      </c>
      <c r="B677" s="1456" t="s">
        <v>1086</v>
      </c>
      <c r="C677" s="1451" t="b">
        <f>Page5_CHV_VE!$L$10&lt;0</f>
        <v>0</v>
      </c>
      <c r="D677" s="1454" t="b">
        <f>OR(AND(Page5_CHV_VE!$L10&lt;&gt;0,Page5_CHV_VE!$M10=0),AND(Page5_CHV_VE!$M10&lt;&gt;0,Page5_CHV_VE!$L10=0))</f>
        <v>0</v>
      </c>
      <c r="E677" s="1454"/>
      <c r="F677" s="1454"/>
      <c r="G677" s="1444" t="str">
        <f t="shared" si="83"/>
        <v/>
      </c>
      <c r="H677" s="1447" t="str">
        <f>IF(C677=TRUE,Comments!$B$23,"")</f>
        <v/>
      </c>
      <c r="I677" s="1446" t="str">
        <f>IF(D677=TRUE,Comments!$B$24,"")</f>
        <v/>
      </c>
      <c r="J677" s="1446"/>
      <c r="K677" s="1452"/>
      <c r="N677" s="611" t="str">
        <f>"CPTE # "&amp;Page5_CHV_VE!$E$10&amp;"  "&amp;Page5_CHV_VE!$C$10&amp;" - CHIFFRE D'AFFAIRES RÉALISÉ - AAD"</f>
        <v>CPTE # 406B  NE PAS UTILISER - CHIFFRE D'AFFAIRES RÉALISÉ - AAD</v>
      </c>
      <c r="O677" s="611" t="str">
        <f t="shared" si="90"/>
        <v/>
      </c>
      <c r="P677" s="611" t="str">
        <f t="shared" si="84"/>
        <v>Page5_CHV_VE!L</v>
      </c>
      <c r="Q677" s="611">
        <f t="shared" si="85"/>
        <v>10</v>
      </c>
      <c r="R677" s="1447">
        <f t="shared" ca="1" si="86"/>
        <v>0</v>
      </c>
      <c r="S677" s="1447">
        <f t="shared" ca="1" si="87"/>
        <v>0</v>
      </c>
      <c r="V677" s="2557" t="str">
        <f t="shared" ca="1" si="88"/>
        <v/>
      </c>
      <c r="W677" s="611" t="str">
        <f t="shared" ca="1" si="89"/>
        <v>Page5_CHV_VE, Ligne 7 [Page5_CHV_VE!L10]  -</v>
      </c>
    </row>
    <row r="678" spans="1:23">
      <c r="A678" s="1443" t="str">
        <f>celladdr(Page5_CHV_VE!L11)</f>
        <v>Page5_CHV_VE!L11</v>
      </c>
      <c r="B678" s="1456" t="s">
        <v>1086</v>
      </c>
      <c r="C678" s="1451" t="b">
        <f>Page5_CHV_VE!$L$11&lt;0</f>
        <v>0</v>
      </c>
      <c r="D678" s="1454" t="b">
        <f>OR(AND(Page5_CHV_VE!$L11&lt;&gt;0,Page5_CHV_VE!$M11=0),AND(Page5_CHV_VE!$M11&lt;&gt;0,Page5_CHV_VE!$L11=0))</f>
        <v>0</v>
      </c>
      <c r="E678" s="1454"/>
      <c r="F678" s="1454"/>
      <c r="G678" s="1444" t="str">
        <f t="shared" si="83"/>
        <v/>
      </c>
      <c r="H678" s="1447" t="str">
        <f>IF(C678=TRUE,Comments!$B$23,"")</f>
        <v/>
      </c>
      <c r="I678" s="1446" t="str">
        <f>IF(D678=TRUE,Comments!$B$24,"")</f>
        <v/>
      </c>
      <c r="J678" s="1446"/>
      <c r="K678" s="1452"/>
      <c r="N678" s="611" t="str">
        <f>"CPTE # "&amp;Page5_CHV_VE!$E$11&amp;"  "&amp;Page5_CHV_VE!$C$11&amp;" - CHIFFRE D'AFFAIRES RÉALISÉ - AAD"</f>
        <v>CPTE # 407B  NE PAS UTILISER - CHIFFRE D'AFFAIRES RÉALISÉ - AAD</v>
      </c>
      <c r="O678" s="611" t="str">
        <f t="shared" si="90"/>
        <v/>
      </c>
      <c r="P678" s="611" t="str">
        <f t="shared" si="84"/>
        <v>Page5_CHV_VE!L</v>
      </c>
      <c r="Q678" s="611">
        <f t="shared" si="85"/>
        <v>11</v>
      </c>
      <c r="R678" s="1447">
        <f t="shared" ca="1" si="86"/>
        <v>0</v>
      </c>
      <c r="S678" s="1447">
        <f t="shared" ca="1" si="87"/>
        <v>0</v>
      </c>
      <c r="V678" s="2557" t="str">
        <f t="shared" ca="1" si="88"/>
        <v/>
      </c>
      <c r="W678" s="611" t="str">
        <f t="shared" ca="1" si="89"/>
        <v>Page5_CHV_VE, Ligne 8 [Page5_CHV_VE!L11]  -</v>
      </c>
    </row>
    <row r="679" spans="1:23">
      <c r="A679" s="1443" t="str">
        <f>celladdr(Page5_CHV_VE!L12)</f>
        <v>Page5_CHV_VE!L12</v>
      </c>
      <c r="B679" s="1456" t="s">
        <v>1086</v>
      </c>
      <c r="C679" s="1451" t="b">
        <f>Page5_CHV_VE!$L$12&lt;0</f>
        <v>0</v>
      </c>
      <c r="D679" s="1454" t="b">
        <f>OR(AND(Page5_CHV_VE!$L12&lt;&gt;0,Page5_CHV_VE!$M12=0),AND(Page5_CHV_VE!$M12&lt;&gt;0,Page5_CHV_VE!$L12=0))</f>
        <v>0</v>
      </c>
      <c r="E679" s="1454"/>
      <c r="F679" s="1454"/>
      <c r="G679" s="1444" t="str">
        <f t="shared" si="83"/>
        <v/>
      </c>
      <c r="H679" s="1447" t="str">
        <f>IF(C679=TRUE,Comments!$B$23,"")</f>
        <v/>
      </c>
      <c r="I679" s="1446" t="str">
        <f>IF(D679=TRUE,Comments!$B$24,"")</f>
        <v/>
      </c>
      <c r="J679" s="1446"/>
      <c r="K679" s="1452"/>
      <c r="N679" s="611" t="str">
        <f>"CPTE # "&amp;Page5_CHV_VE!$E$12&amp;"  "&amp;Page5_CHV_VE!$C$12&amp;" - CHIFFRE D'AFFAIRES RÉALISÉ - AAD"</f>
        <v>CPTE # 408B  NE PAS UTILISER - CHIFFRE D'AFFAIRES RÉALISÉ - AAD</v>
      </c>
      <c r="O679" s="611" t="str">
        <f t="shared" si="90"/>
        <v/>
      </c>
      <c r="P679" s="611" t="str">
        <f t="shared" si="84"/>
        <v>Page5_CHV_VE!L</v>
      </c>
      <c r="Q679" s="611">
        <f t="shared" si="85"/>
        <v>12</v>
      </c>
      <c r="R679" s="1447">
        <f t="shared" ca="1" si="86"/>
        <v>0</v>
      </c>
      <c r="S679" s="1447">
        <f t="shared" ca="1" si="87"/>
        <v>0</v>
      </c>
      <c r="V679" s="2557" t="str">
        <f t="shared" ca="1" si="88"/>
        <v/>
      </c>
      <c r="W679" s="611" t="str">
        <f t="shared" ca="1" si="89"/>
        <v>Page5_CHV_VE, Ligne 9 [Page5_CHV_VE!L12]  -</v>
      </c>
    </row>
    <row r="680" spans="1:23">
      <c r="A680" s="1443" t="str">
        <f>celladdr(Page5_CHV_VE!L13)</f>
        <v>Page5_CHV_VE!L13</v>
      </c>
      <c r="B680" s="1456" t="s">
        <v>1086</v>
      </c>
      <c r="C680" s="1451" t="b">
        <f>Page5_CHV_VE!$L$13&lt;0</f>
        <v>0</v>
      </c>
      <c r="D680" s="1454" t="b">
        <f>OR(AND(Page5_CHV_VE!$L13&lt;&gt;0,Page5_CHV_VE!$M13=0),AND(Page5_CHV_VE!$M13&lt;&gt;0,Page5_CHV_VE!$L13=0))</f>
        <v>0</v>
      </c>
      <c r="E680" s="1454"/>
      <c r="F680" s="1454"/>
      <c r="G680" s="1444" t="str">
        <f t="shared" si="83"/>
        <v/>
      </c>
      <c r="H680" s="1447" t="str">
        <f>IF(C680=TRUE,Comments!$B$23,"")</f>
        <v/>
      </c>
      <c r="I680" s="1446" t="str">
        <f>IF(D680=TRUE,Comments!$B$24,"")</f>
        <v/>
      </c>
      <c r="J680" s="1446"/>
      <c r="K680" s="1452"/>
      <c r="N680" s="611" t="str">
        <f>"CPTE # "&amp;Page5_CHV_VE!$E$13&amp;"  "&amp;Page5_CHV_VE!$C$13&amp;" - CHIFFRE D'AFFAIRES RÉALISÉ - AAD"</f>
        <v>CPTE # 409B  NE PAS UTILISER - CHIFFRE D'AFFAIRES RÉALISÉ - AAD</v>
      </c>
      <c r="O680" s="611" t="str">
        <f t="shared" si="90"/>
        <v/>
      </c>
      <c r="P680" s="611" t="str">
        <f t="shared" si="84"/>
        <v>Page5_CHV_VE!L</v>
      </c>
      <c r="Q680" s="611">
        <f t="shared" si="85"/>
        <v>13</v>
      </c>
      <c r="R680" s="1447">
        <f t="shared" ca="1" si="86"/>
        <v>0</v>
      </c>
      <c r="S680" s="1447">
        <f t="shared" ca="1" si="87"/>
        <v>0</v>
      </c>
      <c r="V680" s="2557" t="str">
        <f t="shared" ca="1" si="88"/>
        <v/>
      </c>
      <c r="W680" s="611" t="str">
        <f t="shared" ca="1" si="89"/>
        <v>Page5_CHV_VE, Ligne 10 [Page5_CHV_VE!L13]  -</v>
      </c>
    </row>
    <row r="681" spans="1:23">
      <c r="A681" s="1443" t="str">
        <f>celladdr(Page5_CHV_VE!L14)</f>
        <v>Page5_CHV_VE!L14</v>
      </c>
      <c r="B681" s="1456" t="s">
        <v>1086</v>
      </c>
      <c r="C681" s="1451" t="b">
        <f>Page5_CHV_VE!$L$14&lt;0</f>
        <v>0</v>
      </c>
      <c r="D681" s="1454" t="b">
        <f>OR(AND(Page5_CHV_VE!$L14&lt;&gt;0,Page5_CHV_VE!$M14=0),AND(Page5_CHV_VE!$M14&lt;&gt;0,Page5_CHV_VE!$L14=0))</f>
        <v>0</v>
      </c>
      <c r="E681" s="1454"/>
      <c r="F681" s="1454"/>
      <c r="G681" s="1444" t="str">
        <f t="shared" si="83"/>
        <v/>
      </c>
      <c r="H681" s="1447" t="str">
        <f>IF(C681=TRUE,Comments!$B$23,"")</f>
        <v/>
      </c>
      <c r="I681" s="1446" t="str">
        <f>IF(D681=TRUE,Comments!$B$24,"")</f>
        <v/>
      </c>
      <c r="J681" s="1446"/>
      <c r="K681" s="1452"/>
      <c r="N681" s="611" t="str">
        <f>"CPTE # "&amp;Page5_CHV_VE!$E$14&amp;"  "&amp;Page5_CHV_VE!$C$14&amp;" - CHIFFRE D'AFFAIRES RÉALISÉ - AAD"</f>
        <v>CPTE # 410B  NE PAS UTILISER - CHIFFRE D'AFFAIRES RÉALISÉ - AAD</v>
      </c>
      <c r="O681" s="611" t="str">
        <f t="shared" si="90"/>
        <v/>
      </c>
      <c r="P681" s="611" t="str">
        <f t="shared" si="84"/>
        <v>Page5_CHV_VE!L</v>
      </c>
      <c r="Q681" s="611">
        <f t="shared" si="85"/>
        <v>14</v>
      </c>
      <c r="R681" s="1447">
        <f t="shared" ca="1" si="86"/>
        <v>0</v>
      </c>
      <c r="S681" s="1447">
        <f t="shared" ca="1" si="87"/>
        <v>0</v>
      </c>
      <c r="V681" s="2557" t="str">
        <f t="shared" ca="1" si="88"/>
        <v/>
      </c>
      <c r="W681" s="611" t="str">
        <f t="shared" ca="1" si="89"/>
        <v>Page5_CHV_VE, Ligne 11 [Page5_CHV_VE!L14]  -</v>
      </c>
    </row>
    <row r="682" spans="1:23">
      <c r="A682" s="1443" t="str">
        <f>celladdr(Page5_CHV_VE!L15)</f>
        <v>Page5_CHV_VE!L15</v>
      </c>
      <c r="B682" s="1456" t="s">
        <v>1086</v>
      </c>
      <c r="C682" s="1451" t="b">
        <f>Page5_CHV_VE!$L$15&lt;0</f>
        <v>0</v>
      </c>
      <c r="D682" s="1454" t="b">
        <f>OR(AND(Page5_CHV_VE!$L15&lt;&gt;0,Page5_CHV_VE!$M15=0),AND(Page5_CHV_VE!$M15&lt;&gt;0,Page5_CHV_VE!$L15=0))</f>
        <v>0</v>
      </c>
      <c r="E682" s="1454"/>
      <c r="F682" s="1454"/>
      <c r="G682" s="1444" t="str">
        <f t="shared" si="83"/>
        <v/>
      </c>
      <c r="H682" s="1447" t="str">
        <f>IF(C682=TRUE,Comments!$B$23,"")</f>
        <v/>
      </c>
      <c r="I682" s="1446" t="str">
        <f>IF(D682=TRUE,Comments!$B$24,"")</f>
        <v/>
      </c>
      <c r="J682" s="1446"/>
      <c r="K682" s="1452"/>
      <c r="N682" s="611" t="str">
        <f>"CPTE # "&amp;Page5_CHV_VE!$E$15&amp;"  "&amp;Page5_CHV_VE!$C$15&amp;" - CHIFFRE D'AFFAIRES RÉALISÉ - AAD"</f>
        <v>CPTE # 411B  NE PAS UTILISER - CHIFFRE D'AFFAIRES RÉALISÉ - AAD</v>
      </c>
      <c r="O682" s="611" t="str">
        <f t="shared" si="90"/>
        <v/>
      </c>
      <c r="P682" s="611" t="str">
        <f t="shared" si="84"/>
        <v>Page5_CHV_VE!L</v>
      </c>
      <c r="Q682" s="611">
        <f t="shared" si="85"/>
        <v>15</v>
      </c>
      <c r="R682" s="1447">
        <f t="shared" ca="1" si="86"/>
        <v>0</v>
      </c>
      <c r="S682" s="1447">
        <f t="shared" ca="1" si="87"/>
        <v>0</v>
      </c>
      <c r="V682" s="2557" t="str">
        <f t="shared" ca="1" si="88"/>
        <v/>
      </c>
      <c r="W682" s="611" t="str">
        <f t="shared" ca="1" si="89"/>
        <v>Page5_CHV_VE, Ligne 12 [Page5_CHV_VE!L15]  -</v>
      </c>
    </row>
    <row r="683" spans="1:23">
      <c r="A683" s="1443" t="str">
        <f>celladdr(Page5_CHV_VE!L16)</f>
        <v>Page5_CHV_VE!L16</v>
      </c>
      <c r="B683" s="1456" t="s">
        <v>1086</v>
      </c>
      <c r="C683" s="1451" t="b">
        <f>Page5_CHV_VE!$L$16&lt;0</f>
        <v>0</v>
      </c>
      <c r="D683" s="1454" t="b">
        <f>OR(AND(Page5_CHV_VE!$L16&lt;&gt;0,Page5_CHV_VE!$M16=0),AND(Page5_CHV_VE!$M16&lt;&gt;0,Page5_CHV_VE!$L16=0))</f>
        <v>0</v>
      </c>
      <c r="E683" s="1454"/>
      <c r="F683" s="1454"/>
      <c r="G683" s="1444" t="str">
        <f t="shared" si="83"/>
        <v/>
      </c>
      <c r="H683" s="1447" t="str">
        <f>IF(C683=TRUE,Comments!$B$23,"")</f>
        <v/>
      </c>
      <c r="I683" s="1446" t="str">
        <f>IF(D683=TRUE,Comments!$B$24,"")</f>
        <v/>
      </c>
      <c r="J683" s="1446"/>
      <c r="K683" s="1452"/>
      <c r="N683" s="611" t="str">
        <f>"CPTE # "&amp;Page5_CHV_VE!$E$16&amp;"  "&amp;Page5_CHV_VE!$C$16&amp;" - CHIFFRE D'AFFAIRES RÉALISÉ - AAD"</f>
        <v>CPTE # 412B  NE PAS UTILISER - CHIFFRE D'AFFAIRES RÉALISÉ - AAD</v>
      </c>
      <c r="O683" s="611" t="str">
        <f t="shared" si="90"/>
        <v/>
      </c>
      <c r="P683" s="611" t="str">
        <f t="shared" si="84"/>
        <v>Page5_CHV_VE!L</v>
      </c>
      <c r="Q683" s="611">
        <f t="shared" si="85"/>
        <v>16</v>
      </c>
      <c r="R683" s="1447">
        <f t="shared" ca="1" si="86"/>
        <v>0</v>
      </c>
      <c r="S683" s="1447">
        <f t="shared" ca="1" si="87"/>
        <v>0</v>
      </c>
      <c r="V683" s="2557" t="str">
        <f t="shared" ca="1" si="88"/>
        <v/>
      </c>
      <c r="W683" s="611" t="str">
        <f t="shared" ca="1" si="89"/>
        <v>Page5_CHV_VE, Ligne 13 [Page5_CHV_VE!L16]  -</v>
      </c>
    </row>
    <row r="684" spans="1:23">
      <c r="A684" s="1443" t="str">
        <f>celladdr(Page5_CHV_VE!L17)</f>
        <v>Page5_CHV_VE!L17</v>
      </c>
      <c r="B684" s="1456" t="s">
        <v>1086</v>
      </c>
      <c r="C684" s="1451" t="b">
        <f>Page5_CHV_VE!$L$17&lt;0</f>
        <v>0</v>
      </c>
      <c r="D684" s="1454" t="b">
        <f>OR(AND(Page5_CHV_VE!$L17&lt;&gt;0,Page5_CHV_VE!$M17=0),AND(Page5_CHV_VE!$M17&lt;&gt;0,Page5_CHV_VE!$L17=0))</f>
        <v>0</v>
      </c>
      <c r="E684" s="1454"/>
      <c r="F684" s="1454"/>
      <c r="G684" s="1444" t="str">
        <f t="shared" si="83"/>
        <v/>
      </c>
      <c r="H684" s="1447" t="str">
        <f>IF(C684=TRUE,Comments!$B$23,"")</f>
        <v/>
      </c>
      <c r="I684" s="1446" t="str">
        <f>IF(D684=TRUE,Comments!$B$24,"")</f>
        <v/>
      </c>
      <c r="J684" s="1446"/>
      <c r="K684" s="1452"/>
      <c r="N684" s="611" t="str">
        <f>"CPTE # "&amp;Page5_CHV_VE!$E$17&amp;"  "&amp;Page5_CHV_VE!$C$17&amp;" - CHIFFRE D'AFFAIRES RÉALISÉ - AAD"</f>
        <v>CPTE # 413B  NE PAS UTILISER - CHIFFRE D'AFFAIRES RÉALISÉ - AAD</v>
      </c>
      <c r="O684" s="611" t="str">
        <f t="shared" si="90"/>
        <v/>
      </c>
      <c r="P684" s="611" t="str">
        <f t="shared" si="84"/>
        <v>Page5_CHV_VE!L</v>
      </c>
      <c r="Q684" s="611">
        <f t="shared" si="85"/>
        <v>17</v>
      </c>
      <c r="R684" s="1447">
        <f t="shared" ca="1" si="86"/>
        <v>0</v>
      </c>
      <c r="S684" s="1447">
        <f t="shared" ca="1" si="87"/>
        <v>0</v>
      </c>
      <c r="V684" s="2557" t="str">
        <f t="shared" ca="1" si="88"/>
        <v/>
      </c>
      <c r="W684" s="611" t="str">
        <f t="shared" ca="1" si="89"/>
        <v>Page5_CHV_VE, Ligne 14 [Page5_CHV_VE!L17]  -</v>
      </c>
    </row>
    <row r="685" spans="1:23">
      <c r="A685" s="1443" t="str">
        <f>celladdr(Page5_CHV_VE!L18)</f>
        <v>Page5_CHV_VE!L18</v>
      </c>
      <c r="B685" s="1456" t="s">
        <v>1086</v>
      </c>
      <c r="C685" s="1451" t="b">
        <f>Page5_CHV_VE!$L$18&lt;0</f>
        <v>0</v>
      </c>
      <c r="D685" s="1454" t="b">
        <f>OR(AND(Page5_CHV_VE!$L18&lt;&gt;0,Page5_CHV_VE!$M18=0),AND(Page5_CHV_VE!$M18&lt;&gt;0,Page5_CHV_VE!$L18=0))</f>
        <v>0</v>
      </c>
      <c r="E685" s="1454"/>
      <c r="F685" s="1454"/>
      <c r="G685" s="1444" t="str">
        <f t="shared" si="83"/>
        <v/>
      </c>
      <c r="H685" s="1447" t="str">
        <f>IF(C685=TRUE,Comments!$B$23,"")</f>
        <v/>
      </c>
      <c r="I685" s="1446" t="str">
        <f>IF(D685=TRUE,Comments!$B$24,"")</f>
        <v/>
      </c>
      <c r="J685" s="1446"/>
      <c r="K685" s="1452"/>
      <c r="N685" s="611" t="str">
        <f>"CPTE # "&amp;Page5_CHV_VE!$E$18&amp;"  "&amp;Page5_CHV_VE!$C$18&amp;" - CHIFFRE D'AFFAIRES RÉALISÉ - AAD"</f>
        <v>CPTE # 414B  NE PAS UTILISER - CHIFFRE D'AFFAIRES RÉALISÉ - AAD</v>
      </c>
      <c r="O685" s="611" t="str">
        <f t="shared" si="90"/>
        <v/>
      </c>
      <c r="P685" s="611" t="str">
        <f t="shared" si="84"/>
        <v>Page5_CHV_VE!L</v>
      </c>
      <c r="Q685" s="611">
        <f t="shared" si="85"/>
        <v>18</v>
      </c>
      <c r="R685" s="1447">
        <f t="shared" ca="1" si="86"/>
        <v>0</v>
      </c>
      <c r="S685" s="1447">
        <f t="shared" ca="1" si="87"/>
        <v>0</v>
      </c>
      <c r="V685" s="2557" t="str">
        <f t="shared" ca="1" si="88"/>
        <v/>
      </c>
      <c r="W685" s="611" t="str">
        <f t="shared" ca="1" si="89"/>
        <v>Page5_CHV_VE, Ligne 15 [Page5_CHV_VE!L18]  -</v>
      </c>
    </row>
    <row r="686" spans="1:23">
      <c r="A686" s="1443" t="str">
        <f>celladdr(Page5_CHV_VE!L19)</f>
        <v>Page5_CHV_VE!L19</v>
      </c>
      <c r="B686" s="1456" t="s">
        <v>1086</v>
      </c>
      <c r="C686" s="1451" t="b">
        <f>Page5_CHV_VE!$L$19&lt;0</f>
        <v>0</v>
      </c>
      <c r="D686" s="1454" t="b">
        <f>OR(AND(Page5_CHV_VE!$L19&lt;&gt;0,Page5_CHV_VE!$M19=0),AND(Page5_CHV_VE!$M19&lt;&gt;0,Page5_CHV_VE!$L19=0))</f>
        <v>0</v>
      </c>
      <c r="E686" s="1454"/>
      <c r="F686" s="1454"/>
      <c r="G686" s="1444" t="str">
        <f t="shared" si="83"/>
        <v/>
      </c>
      <c r="H686" s="1447" t="str">
        <f>IF(C686=TRUE,Comments!$B$23,"")</f>
        <v/>
      </c>
      <c r="I686" s="1446" t="str">
        <f>IF(D686=TRUE,Comments!$B$24,"")</f>
        <v/>
      </c>
      <c r="J686" s="1446"/>
      <c r="K686" s="1452"/>
      <c r="N686" s="611" t="str">
        <f>"CPTE # "&amp;Page5_CHV_VE!$E$19&amp;"  "&amp;Page5_CHV_VE!$C$19&amp;" - CHIFFRE D'AFFAIRES RÉALISÉ - AAD"</f>
        <v>CPTE # 415B  NE PAS UTILISER - CHIFFRE D'AFFAIRES RÉALISÉ - AAD</v>
      </c>
      <c r="O686" s="611" t="str">
        <f t="shared" si="90"/>
        <v/>
      </c>
      <c r="P686" s="611" t="str">
        <f t="shared" si="84"/>
        <v>Page5_CHV_VE!L</v>
      </c>
      <c r="Q686" s="611">
        <f t="shared" si="85"/>
        <v>19</v>
      </c>
      <c r="R686" s="1447">
        <f t="shared" ca="1" si="86"/>
        <v>0</v>
      </c>
      <c r="S686" s="1447">
        <f t="shared" ca="1" si="87"/>
        <v>0</v>
      </c>
      <c r="V686" s="2557" t="str">
        <f t="shared" ca="1" si="88"/>
        <v/>
      </c>
      <c r="W686" s="611" t="str">
        <f t="shared" ca="1" si="89"/>
        <v>Page5_CHV_VE, Ligne 16 [Page5_CHV_VE!L19]  -</v>
      </c>
    </row>
    <row r="687" spans="1:23">
      <c r="A687" s="1443" t="str">
        <f>celladdr(Page5_CHV_VE!L20)</f>
        <v>Page5_CHV_VE!L20</v>
      </c>
      <c r="B687" s="1456" t="s">
        <v>1086</v>
      </c>
      <c r="C687" s="1451" t="b">
        <f>Page5_CHV_VE!$L$20&lt;0</f>
        <v>0</v>
      </c>
      <c r="D687" s="1454"/>
      <c r="E687" s="1454"/>
      <c r="F687" s="1454"/>
      <c r="G687" s="1444" t="str">
        <f t="shared" si="83"/>
        <v/>
      </c>
      <c r="H687" s="1447" t="str">
        <f>IF(C687=TRUE,Comments!$B$23,"")</f>
        <v/>
      </c>
      <c r="I687" s="1446"/>
      <c r="J687" s="1446"/>
      <c r="K687" s="1452"/>
      <c r="N687" s="611" t="str">
        <f>"CPTE # "&amp;Page5_CHV_VE!$E$20&amp;"  "&amp;Page5_CHV_VE!$C$20&amp;" - CHIFFRE D'AFFAIRES RÉALISÉ - AAD"</f>
        <v>CPTE # 416B  NE PAS UTILISER - CHIFFRE D'AFFAIRES RÉALISÉ - AAD</v>
      </c>
      <c r="O687" s="611" t="str">
        <f t="shared" si="90"/>
        <v/>
      </c>
      <c r="P687" s="611" t="str">
        <f t="shared" si="84"/>
        <v>Page5_CHV_VE!L</v>
      </c>
      <c r="Q687" s="611">
        <f t="shared" si="85"/>
        <v>20</v>
      </c>
      <c r="R687" s="1447">
        <f t="shared" ca="1" si="86"/>
        <v>0</v>
      </c>
      <c r="S687" s="1447">
        <f t="shared" ca="1" si="87"/>
        <v>0</v>
      </c>
      <c r="V687" s="2557" t="str">
        <f t="shared" ca="1" si="88"/>
        <v/>
      </c>
      <c r="W687" s="611" t="str">
        <f t="shared" ca="1" si="89"/>
        <v>Page5_CHV_VE, Ligne 17 [Page5_CHV_VE!L20]  -</v>
      </c>
    </row>
    <row r="688" spans="1:23">
      <c r="A688" s="1443" t="str">
        <f>celladdr(Page5_CHV_VE!L21)</f>
        <v>Page5_CHV_VE!L21</v>
      </c>
      <c r="B688" s="1456" t="s">
        <v>1086</v>
      </c>
      <c r="C688" s="1451" t="b">
        <f>Page5_CHV_VE!$L$21&lt;0</f>
        <v>0</v>
      </c>
      <c r="D688" s="1454" t="b">
        <f>OR(AND(Page5_CHV_VE!$L21&lt;&gt;0,Page5_CHV_VE!$M21=0),AND(Page5_CHV_VE!$M21&lt;&gt;0,Page5_CHV_VE!$L21=0))</f>
        <v>0</v>
      </c>
      <c r="E688" s="1454"/>
      <c r="F688" s="1454"/>
      <c r="G688" s="1444" t="str">
        <f t="shared" si="83"/>
        <v/>
      </c>
      <c r="H688" s="1447" t="str">
        <f>IF(C688=TRUE,Comments!$B$23,"")</f>
        <v/>
      </c>
      <c r="I688" s="1446" t="str">
        <f>IF(D688=TRUE,Comments!$B$24,"")</f>
        <v/>
      </c>
      <c r="J688" s="1446"/>
      <c r="K688" s="1452"/>
      <c r="N688" s="611" t="str">
        <f>"CPTE # "&amp;Page5_CHV_VE!$E$21&amp;"  "&amp;Page5_CHV_VE!$C$21&amp;" - CHIFFRE D'AFFAIRES RÉALISÉ - AAD"</f>
        <v>CPTE # 417B  NE PAS UTILISER - CHIFFRE D'AFFAIRES RÉALISÉ - AAD</v>
      </c>
      <c r="O688" s="611" t="str">
        <f t="shared" si="90"/>
        <v/>
      </c>
      <c r="P688" s="611" t="str">
        <f t="shared" si="84"/>
        <v>Page5_CHV_VE!L</v>
      </c>
      <c r="Q688" s="611">
        <f t="shared" si="85"/>
        <v>21</v>
      </c>
      <c r="R688" s="1447">
        <f t="shared" ca="1" si="86"/>
        <v>0</v>
      </c>
      <c r="S688" s="1447">
        <f t="shared" ca="1" si="87"/>
        <v>0</v>
      </c>
      <c r="V688" s="2557" t="str">
        <f t="shared" ca="1" si="88"/>
        <v/>
      </c>
      <c r="W688" s="611" t="str">
        <f t="shared" ca="1" si="89"/>
        <v>Page5_CHV_VE, Ligne 18 [Page5_CHV_VE!L21]  -</v>
      </c>
    </row>
    <row r="689" spans="1:23">
      <c r="A689" s="1443" t="str">
        <f>celladdr(Page5_CHV_VE!L22)</f>
        <v>Page5_CHV_VE!L22</v>
      </c>
      <c r="B689" s="1456" t="s">
        <v>1086</v>
      </c>
      <c r="C689" s="1451" t="b">
        <f>Page5_CHV_VE!$L$22&lt;0</f>
        <v>0</v>
      </c>
      <c r="D689" s="1454" t="b">
        <f>OR(AND(Page5_CHV_VE!$L22&lt;&gt;0,Page5_CHV_VE!$M22=0),AND(Page5_CHV_VE!$M22&lt;&gt;0,Page5_CHV_VE!$L22=0))</f>
        <v>0</v>
      </c>
      <c r="E689" s="1454"/>
      <c r="F689" s="1454"/>
      <c r="G689" s="1444" t="str">
        <f t="shared" si="83"/>
        <v/>
      </c>
      <c r="H689" s="1447" t="str">
        <f>IF(C689=TRUE,Comments!$B$23,"")</f>
        <v/>
      </c>
      <c r="I689" s="1446" t="str">
        <f>IF(D689=TRUE,Comments!$B$24,"")</f>
        <v/>
      </c>
      <c r="J689" s="1446"/>
      <c r="K689" s="1452"/>
      <c r="N689" s="611" t="str">
        <f>"CPTE # "&amp;Page5_CHV_VE!$E$22&amp;"  "&amp;Page5_CHV_VE!$C$22&amp;" - CHIFFRE D'AFFAIRES RÉALISÉ - AAD"</f>
        <v>CPTE # 418B  NE PAS UTILISER - CHIFFRE D'AFFAIRES RÉALISÉ - AAD</v>
      </c>
      <c r="O689" s="611" t="str">
        <f t="shared" si="90"/>
        <v/>
      </c>
      <c r="P689" s="611" t="str">
        <f t="shared" si="84"/>
        <v>Page5_CHV_VE!L</v>
      </c>
      <c r="Q689" s="611">
        <f t="shared" si="85"/>
        <v>22</v>
      </c>
      <c r="R689" s="1447">
        <f t="shared" ca="1" si="86"/>
        <v>0</v>
      </c>
      <c r="S689" s="1447">
        <f t="shared" ca="1" si="87"/>
        <v>0</v>
      </c>
      <c r="V689" s="2557" t="str">
        <f t="shared" ca="1" si="88"/>
        <v/>
      </c>
      <c r="W689" s="611" t="str">
        <f t="shared" ca="1" si="89"/>
        <v>Page5_CHV_VE, Ligne 19 [Page5_CHV_VE!L22]  -</v>
      </c>
    </row>
    <row r="690" spans="1:23">
      <c r="A690" s="1443" t="str">
        <f>celladdr(Page5_CHV_VE!L23)</f>
        <v>Page5_CHV_VE!L23</v>
      </c>
      <c r="B690" s="1444" t="s">
        <v>1086</v>
      </c>
      <c r="C690" s="1451"/>
      <c r="D690" s="1454"/>
      <c r="E690" s="1454"/>
      <c r="F690" s="1454"/>
      <c r="G690" s="1444" t="str">
        <f t="shared" si="83"/>
        <v/>
      </c>
      <c r="H690" s="1447" t="str">
        <f>IF(C690=TRUE,Comments!$B$26,"")</f>
        <v/>
      </c>
      <c r="I690" s="1446" t="str">
        <f>IF(D690=TRUE,Comments!$B$24,"")</f>
        <v/>
      </c>
      <c r="J690" s="1446"/>
      <c r="K690" s="1452"/>
      <c r="O690" s="611" t="str">
        <f t="shared" si="90"/>
        <v/>
      </c>
      <c r="P690" s="611" t="str">
        <f t="shared" si="84"/>
        <v>Page5_CHV_VE!L</v>
      </c>
      <c r="Q690" s="611">
        <f t="shared" si="85"/>
        <v>23</v>
      </c>
      <c r="R690" s="1447">
        <f t="shared" ca="1" si="86"/>
        <v>0</v>
      </c>
      <c r="S690" s="1447">
        <f t="shared" ca="1" si="87"/>
        <v>0</v>
      </c>
      <c r="V690" s="2557" t="str">
        <f t="shared" ca="1" si="88"/>
        <v/>
      </c>
      <c r="W690" s="611" t="str">
        <f t="shared" ca="1" si="89"/>
        <v>Page5_CHV_VE, Ligne 20 [Page5_CHV_VE!L23]  -</v>
      </c>
    </row>
    <row r="691" spans="1:23">
      <c r="A691" s="1443" t="str">
        <f>celladdr(Page5_CHV_VE!L24)</f>
        <v>Page5_CHV_VE!L24</v>
      </c>
      <c r="B691" s="1456" t="s">
        <v>1086</v>
      </c>
      <c r="C691" s="1451" t="b">
        <f>Page5_CHV_VE!$L$24&lt;0</f>
        <v>0</v>
      </c>
      <c r="D691" s="1454" t="b">
        <f>OR(AND(Page5_CHV_VE!$L24&lt;&gt;0,Page5_CHV_VE!$M24=0),AND(Page5_CHV_VE!$M24&lt;&gt;0,Page5_CHV_VE!$L24=0))</f>
        <v>0</v>
      </c>
      <c r="E691" s="1454"/>
      <c r="F691" s="1454"/>
      <c r="G691" s="1444" t="str">
        <f t="shared" si="83"/>
        <v/>
      </c>
      <c r="H691" s="1447" t="str">
        <f>IF(C691=TRUE,Comments!$B$23,"")</f>
        <v/>
      </c>
      <c r="I691" s="1446" t="str">
        <f>IF(D691=TRUE,Comments!$B$24,"")</f>
        <v/>
      </c>
      <c r="J691" s="1446"/>
      <c r="K691" s="1452"/>
      <c r="N691" s="611" t="str">
        <f>"CPTE # "&amp;Page5_CHV_VE!$E$24&amp;"  "&amp;Page5_CHV_VE!$C$24&amp;" - CHIFFRE D'AFFAIRES RÉALISÉ - AAD"</f>
        <v>CPTE # 419B  MÉMO* VENTES INTERNET VOITURES - CHIFFRE D'AFFAIRES RÉALISÉ - AAD</v>
      </c>
      <c r="O691" s="611" t="str">
        <f t="shared" si="90"/>
        <v/>
      </c>
      <c r="P691" s="611" t="str">
        <f t="shared" si="84"/>
        <v>Page5_CHV_VE!L</v>
      </c>
      <c r="Q691" s="611">
        <f t="shared" si="85"/>
        <v>24</v>
      </c>
      <c r="R691" s="1447">
        <f t="shared" ca="1" si="86"/>
        <v>0</v>
      </c>
      <c r="S691" s="1447">
        <f t="shared" ca="1" si="87"/>
        <v>0</v>
      </c>
      <c r="V691" s="2557" t="str">
        <f t="shared" ca="1" si="88"/>
        <v/>
      </c>
      <c r="W691" s="611" t="str">
        <f t="shared" ca="1" si="89"/>
        <v>Page5_CHV_VE, Ligne 21 [Page5_CHV_VE!L24]  -</v>
      </c>
    </row>
    <row r="692" spans="1:23">
      <c r="A692" s="1443" t="str">
        <f>celladdr(Page5_CHV_VE!L25)</f>
        <v>Page5_CHV_VE!L25</v>
      </c>
      <c r="B692" s="1456" t="s">
        <v>1086</v>
      </c>
      <c r="C692" s="1451" t="b">
        <f>Page5_CHV_VE!$L$25&lt;0</f>
        <v>0</v>
      </c>
      <c r="D692" s="1454" t="b">
        <f>OR(AND(Page5_CHV_VE!$L25&lt;&gt;0,Page5_CHV_VE!$M25=0),AND(Page5_CHV_VE!$M25&lt;&gt;0,Page5_CHV_VE!$L25=0))</f>
        <v>0</v>
      </c>
      <c r="E692" s="1454" t="b">
        <f>ROUND(Page5_CHV_VE!L25,2)&lt;&gt;ROUND(Page5_PARCS_GOUV!L5+Page5_PARCS_GOUV!L41,2)</f>
        <v>0</v>
      </c>
      <c r="F692" s="1454"/>
      <c r="G692" s="1444" t="str">
        <f t="shared" si="83"/>
        <v/>
      </c>
      <c r="H692" s="1447" t="str">
        <f>IF(C692=TRUE,Comments!$B$23,"")</f>
        <v/>
      </c>
      <c r="I692" s="1446" t="str">
        <f>IF(D692=TRUE,Comments!$B$24,"")</f>
        <v/>
      </c>
      <c r="J692" s="1446" t="str">
        <f>IF(E692=TRUE, Comments!$B$98,"")</f>
        <v/>
      </c>
      <c r="K692" s="1452"/>
      <c r="N692" s="611" t="str">
        <f>"CPTE # "&amp;Page5_CHV_VE!$E$25&amp;"  "&amp;Page5_CHV_VE!$C$25&amp;" - CHIFFRE D'AFFAIRES RÉALISÉ - AAD"</f>
        <v>CPTE # DE PG PARCS  TOTAL PARCS - VOITURES - CHIFFRE D'AFFAIRES RÉALISÉ - AAD</v>
      </c>
      <c r="O692" s="611" t="str">
        <f t="shared" si="90"/>
        <v/>
      </c>
      <c r="P692" s="611" t="str">
        <f t="shared" si="84"/>
        <v>Page5_CHV_VE!L</v>
      </c>
      <c r="Q692" s="611">
        <f t="shared" si="85"/>
        <v>25</v>
      </c>
      <c r="R692" s="1447">
        <f t="shared" ca="1" si="86"/>
        <v>0</v>
      </c>
      <c r="S692" s="1447">
        <f t="shared" ca="1" si="87"/>
        <v>0</v>
      </c>
      <c r="T692" s="611">
        <v>98</v>
      </c>
      <c r="V692" s="2557" t="str">
        <f t="shared" ca="1" si="88"/>
        <v/>
      </c>
      <c r="W692" s="611" t="str">
        <f t="shared" ca="1" si="89"/>
        <v>Page5_CHV_VE, Ligne 22 [Page5_CHV_VE!L25]  -</v>
      </c>
    </row>
    <row r="693" spans="1:23">
      <c r="A693" s="1443" t="str">
        <f>celladdr(Page5_CHV_VE!N25)</f>
        <v>Page5_CHV_VE!N25</v>
      </c>
      <c r="B693" s="1456" t="s">
        <v>1086</v>
      </c>
      <c r="C693" s="1451"/>
      <c r="D693" s="1454"/>
      <c r="E693" s="1454" t="b">
        <f>ROUND(Page5_CHV_VE!N25,2)&lt;&gt;ROUND(Page5_PARCS_GOUV!N5+Page5_PARCS_GOUV!N41,2)</f>
        <v>0</v>
      </c>
      <c r="F693" s="1454"/>
      <c r="G693" s="1444" t="str">
        <f t="shared" si="83"/>
        <v/>
      </c>
      <c r="I693" s="1446"/>
      <c r="J693" s="1446" t="str">
        <f>IF(E693=TRUE, Comments!$B$99,"")</f>
        <v/>
      </c>
      <c r="K693" s="1452"/>
      <c r="N693" s="611" t="str">
        <f>"CPTE # "&amp;Page5_CHV_VE!$E$25&amp;"  "&amp;Page5_CHV_VE!$C$25&amp;" - PROFIT BRUT - AAD"</f>
        <v>CPTE # DE PG PARCS  TOTAL PARCS - VOITURES - PROFIT BRUT - AAD</v>
      </c>
      <c r="P693" s="611" t="str">
        <f t="shared" si="84"/>
        <v>Page5_CHV_VE!N</v>
      </c>
      <c r="Q693" s="611">
        <f t="shared" si="85"/>
        <v>25</v>
      </c>
      <c r="R693" s="1447">
        <f t="shared" ca="1" si="86"/>
        <v>0</v>
      </c>
      <c r="S693" s="1447">
        <f t="shared" ca="1" si="87"/>
        <v>0</v>
      </c>
      <c r="T693" s="611">
        <v>99</v>
      </c>
      <c r="V693" s="2557" t="str">
        <f t="shared" ca="1" si="88"/>
        <v/>
      </c>
      <c r="W693" s="611" t="str">
        <f t="shared" ca="1" si="89"/>
        <v>Page5_CHV_VE, Ligne 22 [Page5_CHV_VE!N25]  -</v>
      </c>
    </row>
    <row r="694" spans="1:23">
      <c r="A694" s="1443" t="str">
        <f>celladdr(Page5_CHV_VE!L26)</f>
        <v>Page5_CHV_VE!L26</v>
      </c>
      <c r="B694" s="1456" t="s">
        <v>1086</v>
      </c>
      <c r="C694" s="1451" t="b">
        <f>Page5_CHV_VE!$L$26&lt;0</f>
        <v>0</v>
      </c>
      <c r="D694" s="1454" t="b">
        <f>OR(AND(Page5_CHV_VE!$L26&lt;&gt;0,Page5_CHV_VE!$M26=0),AND(Page5_CHV_VE!$M26&lt;&gt;0,Page5_CHV_VE!$L26=0))</f>
        <v>0</v>
      </c>
      <c r="E694" s="1454"/>
      <c r="F694" s="1454"/>
      <c r="G694" s="1444" t="str">
        <f t="shared" si="83"/>
        <v/>
      </c>
      <c r="H694" s="1447" t="str">
        <f>IF(C694=TRUE,Comments!$B$23,"")</f>
        <v/>
      </c>
      <c r="I694" s="1446" t="str">
        <f>IF(D694=TRUE,Comments!$B$24,"")</f>
        <v/>
      </c>
      <c r="J694" s="1446"/>
      <c r="K694" s="1452"/>
      <c r="N694" s="611" t="str">
        <f>"CPTE # "&amp;Page5_CHV_VE!$E$26&amp;"  "&amp;Page5_CHV_VE!$C$26&amp;" - CHIFFRE D'AFFAIRES RÉALISÉ - AAD"</f>
        <v>CPTE # 421B  TOTAL INTERNE - VOITURES - CHIFFRE D'AFFAIRES RÉALISÉ - AAD</v>
      </c>
      <c r="O694" s="611" t="str">
        <f>IF(A694=A692,"TRUE","")</f>
        <v/>
      </c>
      <c r="P694" s="611" t="str">
        <f t="shared" si="84"/>
        <v>Page5_CHV_VE!L</v>
      </c>
      <c r="Q694" s="611">
        <f t="shared" si="85"/>
        <v>26</v>
      </c>
      <c r="R694" s="1447">
        <f t="shared" ca="1" si="86"/>
        <v>0</v>
      </c>
      <c r="S694" s="1447">
        <f t="shared" ca="1" si="87"/>
        <v>0</v>
      </c>
      <c r="V694" s="2557" t="str">
        <f t="shared" ca="1" si="88"/>
        <v/>
      </c>
      <c r="W694" s="611" t="str">
        <f t="shared" ca="1" si="89"/>
        <v>Page5_CHV_VE, Ligne 23 [Page5_CHV_VE!L26]  -</v>
      </c>
    </row>
    <row r="695" spans="1:23">
      <c r="A695" s="1443" t="str">
        <f>celladdr(Page5_CHV_VE!L27)</f>
        <v>Page5_CHV_VE!L27</v>
      </c>
      <c r="B695" s="1444" t="s">
        <v>1086</v>
      </c>
      <c r="C695" s="1451"/>
      <c r="D695" s="1454"/>
      <c r="E695" s="1454"/>
      <c r="F695" s="1454"/>
      <c r="G695" s="1444" t="str">
        <f t="shared" si="83"/>
        <v/>
      </c>
      <c r="H695" s="1447" t="str">
        <f>IF(C695=TRUE,Comments!$B$26,"")</f>
        <v/>
      </c>
      <c r="I695" s="1446" t="str">
        <f>IF(D695=TRUE,Comments!$B$24,"")</f>
        <v/>
      </c>
      <c r="J695" s="1446"/>
      <c r="K695" s="1452"/>
      <c r="O695" s="611" t="str">
        <f t="shared" ref="O695:O715" si="91">IF(A695=A694,"TRUE","")</f>
        <v/>
      </c>
      <c r="P695" s="611" t="str">
        <f t="shared" si="84"/>
        <v>Page5_CHV_VE!L</v>
      </c>
      <c r="Q695" s="611">
        <f t="shared" si="85"/>
        <v>27</v>
      </c>
      <c r="R695" s="1447">
        <f t="shared" ca="1" si="86"/>
        <v>0</v>
      </c>
      <c r="S695" s="1447">
        <f t="shared" ca="1" si="87"/>
        <v>0</v>
      </c>
      <c r="V695" s="2557" t="str">
        <f t="shared" ca="1" si="88"/>
        <v/>
      </c>
      <c r="W695" s="611" t="str">
        <f t="shared" ca="1" si="89"/>
        <v>Page5_CHV_VE, Ligne 24 [Page5_CHV_VE!L27]  -</v>
      </c>
    </row>
    <row r="696" spans="1:23">
      <c r="A696" s="1443" t="str">
        <f>celladdr(Page5_CHV_VE!L28)</f>
        <v>Page5_CHV_VE!L28</v>
      </c>
      <c r="B696" s="1456" t="s">
        <v>1086</v>
      </c>
      <c r="C696" s="1451" t="b">
        <f>Page5_CHV_VE!$L$28&lt;0</f>
        <v>0</v>
      </c>
      <c r="D696" s="1454" t="b">
        <f>OR(AND(Page5_CHV_VE!$L28&lt;&gt;0,Page5_CHV_VE!$M28=0),AND(Page5_CHV_VE!$M28&lt;&gt;0,Page5_CHV_VE!$L28=0))</f>
        <v>0</v>
      </c>
      <c r="E696" s="1454"/>
      <c r="F696" s="1454"/>
      <c r="G696" s="1444" t="str">
        <f t="shared" si="83"/>
        <v/>
      </c>
      <c r="H696" s="1447" t="str">
        <f>IF(C696=TRUE,Comments!$B$23,"")</f>
        <v/>
      </c>
      <c r="I696" s="1446" t="str">
        <f>IF(D696=TRUE,Comments!$B$24,"")</f>
        <v/>
      </c>
      <c r="J696" s="1446"/>
      <c r="K696" s="1452"/>
      <c r="N696" s="611" t="str">
        <f>"CPTE # "&amp;Page5_CHV_VE!$E$28&amp;"  "&amp;Page5_CHV_VE!$C$28&amp;" - CHIFFRE D'AFFAIRES RÉALISÉ - AAD"</f>
        <v>CPTE # 423B  BOLT EUV - CHIFFRE D'AFFAIRES RÉALISÉ - AAD</v>
      </c>
      <c r="O696" s="611" t="str">
        <f t="shared" si="91"/>
        <v/>
      </c>
      <c r="P696" s="611" t="str">
        <f t="shared" si="84"/>
        <v>Page5_CHV_VE!L</v>
      </c>
      <c r="Q696" s="611">
        <f t="shared" si="85"/>
        <v>28</v>
      </c>
      <c r="R696" s="1447">
        <f t="shared" ca="1" si="86"/>
        <v>0</v>
      </c>
      <c r="S696" s="1447">
        <f t="shared" ca="1" si="87"/>
        <v>0</v>
      </c>
      <c r="V696" s="2557" t="str">
        <f t="shared" ca="1" si="88"/>
        <v/>
      </c>
      <c r="W696" s="611" t="str">
        <f t="shared" ca="1" si="89"/>
        <v>Page5_CHV_VE, Ligne 25 [Page5_CHV_VE!L28]  -</v>
      </c>
    </row>
    <row r="697" spans="1:23">
      <c r="A697" s="1443" t="str">
        <f>celladdr(Page5_CHV_VE!L29)</f>
        <v>Page5_CHV_VE!L29</v>
      </c>
      <c r="B697" s="1456" t="s">
        <v>1086</v>
      </c>
      <c r="C697" s="1451" t="b">
        <f>Page5_CHV_VE!$L$29&lt;0</f>
        <v>0</v>
      </c>
      <c r="D697" s="1454" t="b">
        <f>OR(AND(Page5_CHV_VE!$L29&lt;&gt;0,Page5_CHV_VE!$M29=0),AND(Page5_CHV_VE!$M29&lt;&gt;0,Page5_CHV_VE!$L29=0))</f>
        <v>0</v>
      </c>
      <c r="E697" s="1454"/>
      <c r="F697" s="1454"/>
      <c r="G697" s="1444" t="str">
        <f t="shared" si="83"/>
        <v/>
      </c>
      <c r="H697" s="1447" t="str">
        <f>IF(C697=TRUE,Comments!$B$23,"")</f>
        <v/>
      </c>
      <c r="I697" s="1446" t="str">
        <f>IF(D697=TRUE,Comments!$B$24,"")</f>
        <v/>
      </c>
      <c r="J697" s="1446"/>
      <c r="K697" s="1452"/>
      <c r="N697" s="611" t="str">
        <f>"CPTE # "&amp;Page5_CHV_VE!$E$29&amp;"  "&amp;Page5_CHV_VE!$C$29&amp;" - CHIFFRE D'AFFAIRES RÉALISÉ - AAD"</f>
        <v>CPTE # 424B  BOLT EV - CHIFFRE D'AFFAIRES RÉALISÉ - AAD</v>
      </c>
      <c r="O697" s="611" t="str">
        <f t="shared" si="91"/>
        <v/>
      </c>
      <c r="P697" s="611" t="str">
        <f t="shared" si="84"/>
        <v>Page5_CHV_VE!L</v>
      </c>
      <c r="Q697" s="611">
        <f t="shared" si="85"/>
        <v>29</v>
      </c>
      <c r="R697" s="1447">
        <f t="shared" ca="1" si="86"/>
        <v>0</v>
      </c>
      <c r="S697" s="1447">
        <f t="shared" ca="1" si="87"/>
        <v>0</v>
      </c>
      <c r="V697" s="2557" t="str">
        <f t="shared" ca="1" si="88"/>
        <v/>
      </c>
      <c r="W697" s="611" t="str">
        <f t="shared" ca="1" si="89"/>
        <v>Page5_CHV_VE, Ligne 26 [Page5_CHV_VE!L29]  -</v>
      </c>
    </row>
    <row r="698" spans="1:23">
      <c r="A698" s="1443" t="str">
        <f>celladdr(Page5_CHV_VE!L30)</f>
        <v>Page5_CHV_VE!L30</v>
      </c>
      <c r="B698" s="1456" t="s">
        <v>1086</v>
      </c>
      <c r="C698" s="1451" t="b">
        <f>Page5_CHV_VE!$L$30&lt;0</f>
        <v>0</v>
      </c>
      <c r="D698" s="1454" t="b">
        <f>OR(AND(Page5_CHV_VE!$L30&lt;&gt;0,Page5_CHV_VE!$M30=0),AND(Page5_CHV_VE!$M30&lt;&gt;0,Page5_CHV_VE!$L30=0))</f>
        <v>0</v>
      </c>
      <c r="E698" s="1454"/>
      <c r="F698" s="1454"/>
      <c r="G698" s="1444" t="str">
        <f t="shared" si="83"/>
        <v/>
      </c>
      <c r="H698" s="1447" t="str">
        <f>IF(C698=TRUE,Comments!$B$23,"")</f>
        <v/>
      </c>
      <c r="I698" s="1446" t="str">
        <f>IF(D698=TRUE,Comments!$B$24,"")</f>
        <v/>
      </c>
      <c r="J698" s="1446"/>
      <c r="K698" s="1452"/>
      <c r="N698" s="611" t="str">
        <f>"CPTE # "&amp;Page5_CHV_VE!$E$30&amp;"  "&amp;Page5_CHV_VE!$C$30&amp;" - CHIFFRE D'AFFAIRES RÉALISÉ - AAD"</f>
        <v>CPTE # 425B  BLAZER EV - CHIFFRE D'AFFAIRES RÉALISÉ - AAD</v>
      </c>
      <c r="O698" s="611" t="str">
        <f t="shared" si="91"/>
        <v/>
      </c>
      <c r="P698" s="611" t="str">
        <f t="shared" si="84"/>
        <v>Page5_CHV_VE!L</v>
      </c>
      <c r="Q698" s="611">
        <f t="shared" si="85"/>
        <v>30</v>
      </c>
      <c r="R698" s="1447">
        <f t="shared" ca="1" si="86"/>
        <v>0</v>
      </c>
      <c r="S698" s="1447">
        <f t="shared" ca="1" si="87"/>
        <v>0</v>
      </c>
      <c r="V698" s="2557" t="str">
        <f t="shared" ca="1" si="88"/>
        <v/>
      </c>
      <c r="W698" s="611" t="str">
        <f t="shared" ca="1" si="89"/>
        <v>Page5_CHV_VE, Ligne 27 [Page5_CHV_VE!L30]  -</v>
      </c>
    </row>
    <row r="699" spans="1:23">
      <c r="A699" s="1443" t="str">
        <f>celladdr(Page5_CHV_VE!L31)</f>
        <v>Page5_CHV_VE!L31</v>
      </c>
      <c r="B699" s="1456" t="s">
        <v>1086</v>
      </c>
      <c r="C699" s="1451" t="b">
        <f>Page5_CHV_VE!$L$31&lt;0</f>
        <v>0</v>
      </c>
      <c r="D699" s="1454" t="b">
        <f>OR(AND(Page5_CHV_VE!$L31&lt;&gt;0,Page5_CHV_VE!$M31=0),AND(Page5_CHV_VE!$M31&lt;&gt;0,Page5_CHV_VE!$L31=0))</f>
        <v>0</v>
      </c>
      <c r="E699" s="1454"/>
      <c r="F699" s="1454"/>
      <c r="G699" s="1444" t="str">
        <f t="shared" si="83"/>
        <v/>
      </c>
      <c r="H699" s="1447" t="str">
        <f>IF(C699=TRUE,Comments!$B$23,"")</f>
        <v/>
      </c>
      <c r="I699" s="1446" t="str">
        <f>IF(D699=TRUE,Comments!$B$24,"")</f>
        <v/>
      </c>
      <c r="J699" s="1446"/>
      <c r="K699" s="1452"/>
      <c r="N699" s="611" t="str">
        <f>"CPTE # "&amp;Page5_CHV_VE!$E$31&amp;"  "&amp;Page5_CHV_VE!$C$31&amp;" - CHIFFRE D'AFFAIRES RÉALISÉ - AAD"</f>
        <v>CPTE # 426B  EQUINOX EV - CHIFFRE D'AFFAIRES RÉALISÉ - AAD</v>
      </c>
      <c r="O699" s="611" t="str">
        <f t="shared" si="91"/>
        <v/>
      </c>
      <c r="P699" s="611" t="str">
        <f t="shared" si="84"/>
        <v>Page5_CHV_VE!L</v>
      </c>
      <c r="Q699" s="611">
        <f t="shared" si="85"/>
        <v>31</v>
      </c>
      <c r="R699" s="1447">
        <f t="shared" ca="1" si="86"/>
        <v>0</v>
      </c>
      <c r="S699" s="1447">
        <f t="shared" ca="1" si="87"/>
        <v>0</v>
      </c>
      <c r="V699" s="2557" t="str">
        <f t="shared" ca="1" si="88"/>
        <v/>
      </c>
      <c r="W699" s="611" t="str">
        <f t="shared" ca="1" si="89"/>
        <v>Page5_CHV_VE, Ligne 28 [Page5_CHV_VE!L31]  -</v>
      </c>
    </row>
    <row r="700" spans="1:23">
      <c r="A700" s="1443" t="str">
        <f>celladdr(Page5_CHV_VE!L32)</f>
        <v>Page5_CHV_VE!L32</v>
      </c>
      <c r="B700" s="1456" t="s">
        <v>1086</v>
      </c>
      <c r="C700" s="1451" t="b">
        <f>Page5_CHV_VE!$L$32&lt;0</f>
        <v>0</v>
      </c>
      <c r="D700" s="1454" t="b">
        <f>OR(AND(Page5_CHV_VE!$L32&lt;&gt;0,Page5_CHV_VE!$M32=0),AND(Page5_CHV_VE!$M32&lt;&gt;0,Page5_CHV_VE!$L32=0))</f>
        <v>0</v>
      </c>
      <c r="E700" s="1454"/>
      <c r="F700" s="1454"/>
      <c r="G700" s="1444" t="str">
        <f t="shared" si="83"/>
        <v/>
      </c>
      <c r="H700" s="1447" t="str">
        <f>IF(C700=TRUE,Comments!$B$23,"")</f>
        <v/>
      </c>
      <c r="I700" s="1446" t="str">
        <f>IF(D700=TRUE,Comments!$B$24,"")</f>
        <v/>
      </c>
      <c r="J700" s="1446"/>
      <c r="K700" s="1452"/>
      <c r="N700" s="611" t="str">
        <f>"CPTE # "&amp;Page5_CHV_VE!$E$32&amp;"  "&amp;Page5_CHV_VE!$C$32&amp;" - CHIFFRE D'AFFAIRES RÉALISÉ - AAD"</f>
        <v>CPTE # 427B  SILVERADO EV - CHIFFRE D'AFFAIRES RÉALISÉ - AAD</v>
      </c>
      <c r="O700" s="611" t="str">
        <f t="shared" si="91"/>
        <v/>
      </c>
      <c r="P700" s="611" t="str">
        <f t="shared" si="84"/>
        <v>Page5_CHV_VE!L</v>
      </c>
      <c r="Q700" s="611">
        <f t="shared" si="85"/>
        <v>32</v>
      </c>
      <c r="R700" s="1447">
        <f t="shared" ca="1" si="86"/>
        <v>0</v>
      </c>
      <c r="S700" s="1447">
        <f t="shared" ca="1" si="87"/>
        <v>0</v>
      </c>
      <c r="V700" s="2557" t="str">
        <f t="shared" ca="1" si="88"/>
        <v/>
      </c>
      <c r="W700" s="611" t="str">
        <f t="shared" ca="1" si="89"/>
        <v>Page5_CHV_VE, Ligne 29 [Page5_CHV_VE!L32]  -</v>
      </c>
    </row>
    <row r="701" spans="1:23">
      <c r="A701" s="1443" t="str">
        <f>celladdr(Page5_CHV_VE!L33)</f>
        <v>Page5_CHV_VE!L33</v>
      </c>
      <c r="B701" s="1456" t="s">
        <v>1086</v>
      </c>
      <c r="C701" s="1451" t="b">
        <f>Page5_CHV_VE!$L$33&lt;0</f>
        <v>0</v>
      </c>
      <c r="D701" s="1454" t="b">
        <f>OR(AND(Page5_CHV_VE!$L33&lt;&gt;0,Page5_CHV_VE!$M33=0),AND(Page5_CHV_VE!$M33&lt;&gt;0,Page5_CHV_VE!$L33=0))</f>
        <v>0</v>
      </c>
      <c r="E701" s="1454"/>
      <c r="F701" s="1454"/>
      <c r="G701" s="1444" t="str">
        <f t="shared" si="83"/>
        <v/>
      </c>
      <c r="H701" s="1447" t="str">
        <f>IF(C701=TRUE,Comments!$B$23,"")</f>
        <v/>
      </c>
      <c r="I701" s="1446" t="str">
        <f>IF(D701=TRUE,Comments!$B$24,"")</f>
        <v/>
      </c>
      <c r="J701" s="1446"/>
      <c r="K701" s="1452"/>
      <c r="N701" s="611" t="str">
        <f>"CPTE # "&amp;Page5_CHV_VE!$E$33&amp;"  "&amp;Page5_CHV_VE!$C$33&amp;" - CHIFFRE D'AFFAIRES RÉALISÉ - AAD"</f>
        <v>CPTE # 428B  ZEVO 400 AWD - CHIFFRE D'AFFAIRES RÉALISÉ - AAD</v>
      </c>
      <c r="O701" s="611" t="str">
        <f t="shared" si="91"/>
        <v/>
      </c>
      <c r="P701" s="611" t="str">
        <f t="shared" si="84"/>
        <v>Page5_CHV_VE!L</v>
      </c>
      <c r="Q701" s="611">
        <f t="shared" si="85"/>
        <v>33</v>
      </c>
      <c r="R701" s="1447">
        <f t="shared" ca="1" si="86"/>
        <v>0</v>
      </c>
      <c r="S701" s="1447">
        <f t="shared" ca="1" si="87"/>
        <v>0</v>
      </c>
      <c r="V701" s="2557" t="str">
        <f t="shared" ca="1" si="88"/>
        <v/>
      </c>
      <c r="W701" s="611" t="str">
        <f t="shared" ca="1" si="89"/>
        <v>Page5_CHV_VE, Ligne 30 [Page5_CHV_VE!L33]  -</v>
      </c>
    </row>
    <row r="702" spans="1:23">
      <c r="A702" s="1443" t="str">
        <f>celladdr(Page5_CHV_VE!L34)</f>
        <v>Page5_CHV_VE!L34</v>
      </c>
      <c r="B702" s="1456" t="s">
        <v>1086</v>
      </c>
      <c r="C702" s="1451" t="b">
        <f>Page5_CHV_VE!$L$34&lt;0</f>
        <v>0</v>
      </c>
      <c r="D702" s="1454" t="b">
        <f>OR(AND(Page5_CHV_VE!$L34&lt;&gt;0,Page5_CHV_VE!$M34=0),AND(Page5_CHV_VE!$M34&lt;&gt;0,Page5_CHV_VE!$L34=0))</f>
        <v>0</v>
      </c>
      <c r="E702" s="1454"/>
      <c r="F702" s="1454"/>
      <c r="G702" s="1444" t="str">
        <f t="shared" si="83"/>
        <v/>
      </c>
      <c r="H702" s="1447" t="str">
        <f>IF(C702=TRUE,Comments!$B$23,"")</f>
        <v/>
      </c>
      <c r="I702" s="1446" t="str">
        <f>IF(D702=TRUE,Comments!$B$24,"")</f>
        <v/>
      </c>
      <c r="J702" s="1446"/>
      <c r="K702" s="1452"/>
      <c r="N702" s="611" t="str">
        <f>"CPTE # "&amp;Page5_CHV_VE!$E$34&amp;"  "&amp;Page5_CHV_VE!$C$34&amp;" - CHIFFRE D'AFFAIRES RÉALISÉ - AAD"</f>
        <v>CPTE # 429B  ZEVO 600 AWD - CHIFFRE D'AFFAIRES RÉALISÉ - AAD</v>
      </c>
      <c r="O702" s="611" t="str">
        <f t="shared" si="91"/>
        <v/>
      </c>
      <c r="P702" s="611" t="str">
        <f t="shared" si="84"/>
        <v>Page5_CHV_VE!L</v>
      </c>
      <c r="Q702" s="611">
        <f t="shared" si="85"/>
        <v>34</v>
      </c>
      <c r="R702" s="1447">
        <f t="shared" ca="1" si="86"/>
        <v>0</v>
      </c>
      <c r="S702" s="1447">
        <f t="shared" ca="1" si="87"/>
        <v>0</v>
      </c>
      <c r="V702" s="2557" t="str">
        <f t="shared" ca="1" si="88"/>
        <v/>
      </c>
      <c r="W702" s="611" t="str">
        <f t="shared" ca="1" si="89"/>
        <v>Page5_CHV_VE, Ligne 31 [Page5_CHV_VE!L34]  -</v>
      </c>
    </row>
    <row r="703" spans="1:23">
      <c r="A703" s="1443" t="str">
        <f>celladdr(Page5_CHV_VE!L35)</f>
        <v>Page5_CHV_VE!L35</v>
      </c>
      <c r="B703" s="1456" t="s">
        <v>1086</v>
      </c>
      <c r="C703" s="1451" t="b">
        <f>Page5_CHV_VE!$L$35&lt;0</f>
        <v>0</v>
      </c>
      <c r="D703" s="1454" t="b">
        <f>OR(AND(Page5_CHV_VE!$L35&lt;&gt;0,Page5_CHV_VE!$M35=0),AND(Page5_CHV_VE!$M35&lt;&gt;0,Page5_CHV_VE!$L35=0))</f>
        <v>0</v>
      </c>
      <c r="E703" s="1454"/>
      <c r="F703" s="1454"/>
      <c r="G703" s="1444" t="str">
        <f t="shared" si="83"/>
        <v/>
      </c>
      <c r="H703" s="1447" t="str">
        <f>IF(C703=TRUE,Comments!$B$23,"")</f>
        <v/>
      </c>
      <c r="I703" s="1446" t="str">
        <f>IF(D703=TRUE,Comments!$B$24,"")</f>
        <v/>
      </c>
      <c r="J703" s="1446"/>
      <c r="K703" s="1452"/>
      <c r="N703" s="611" t="str">
        <f>"CPTE # "&amp;Page5_CHV_VE!$E$35&amp;"  "&amp;Page5_CHV_VE!$C$35&amp;" - CHIFFRE D'AFFAIRES RÉALISÉ - AAD"</f>
        <v>CPTE # 430B  NE PAS UTILISER - CHIFFRE D'AFFAIRES RÉALISÉ - AAD</v>
      </c>
      <c r="O703" s="611" t="str">
        <f t="shared" si="91"/>
        <v/>
      </c>
      <c r="P703" s="611" t="str">
        <f t="shared" si="84"/>
        <v>Page5_CHV_VE!L</v>
      </c>
      <c r="Q703" s="611">
        <f t="shared" si="85"/>
        <v>35</v>
      </c>
      <c r="R703" s="1447">
        <f t="shared" ca="1" si="86"/>
        <v>0</v>
      </c>
      <c r="S703" s="1447">
        <f t="shared" ca="1" si="87"/>
        <v>0</v>
      </c>
      <c r="V703" s="2557" t="str">
        <f t="shared" ca="1" si="88"/>
        <v/>
      </c>
      <c r="W703" s="611" t="str">
        <f t="shared" ca="1" si="89"/>
        <v>Page5_CHV_VE, Ligne 32 [Page5_CHV_VE!L35]  -</v>
      </c>
    </row>
    <row r="704" spans="1:23">
      <c r="A704" s="1443" t="str">
        <f>celladdr(Page5_CHV_VE!L36)</f>
        <v>Page5_CHV_VE!L36</v>
      </c>
      <c r="B704" s="1456" t="s">
        <v>1086</v>
      </c>
      <c r="C704" s="1451" t="b">
        <f>Page5_CHV_VE!$L$36&lt;0</f>
        <v>0</v>
      </c>
      <c r="D704" s="1454" t="b">
        <f>OR(AND(Page5_CHV_VE!$L36&lt;&gt;0,Page5_CHV_VE!$M36=0),AND(Page5_CHV_VE!$M36&lt;&gt;0,Page5_CHV_VE!$L36=0))</f>
        <v>0</v>
      </c>
      <c r="E704" s="1454"/>
      <c r="F704" s="1454"/>
      <c r="G704" s="1444" t="str">
        <f t="shared" si="83"/>
        <v/>
      </c>
      <c r="H704" s="1447" t="str">
        <f>IF(C704=TRUE,Comments!$B$23,"")</f>
        <v/>
      </c>
      <c r="I704" s="1446" t="str">
        <f>IF(D704=TRUE,Comments!$B$24,"")</f>
        <v/>
      </c>
      <c r="J704" s="1446"/>
      <c r="K704" s="1452"/>
      <c r="N704" s="611" t="str">
        <f>"CPTE # "&amp;Page5_CHV_VE!$E$36&amp;"  "&amp;Page5_CHV_VE!$C$36&amp;" - CHIFFRE D'AFFAIRES RÉALISÉ - AAD"</f>
        <v>CPTE # 431B  NE PAS UTILISER - CHIFFRE D'AFFAIRES RÉALISÉ - AAD</v>
      </c>
      <c r="O704" s="611" t="str">
        <f t="shared" si="91"/>
        <v/>
      </c>
      <c r="P704" s="611" t="str">
        <f t="shared" si="84"/>
        <v>Page5_CHV_VE!L</v>
      </c>
      <c r="Q704" s="611">
        <f t="shared" si="85"/>
        <v>36</v>
      </c>
      <c r="R704" s="1447">
        <f t="shared" ca="1" si="86"/>
        <v>0</v>
      </c>
      <c r="S704" s="1447">
        <f t="shared" ca="1" si="87"/>
        <v>0</v>
      </c>
      <c r="V704" s="2557" t="str">
        <f t="shared" ca="1" si="88"/>
        <v/>
      </c>
      <c r="W704" s="611" t="str">
        <f t="shared" ca="1" si="89"/>
        <v>Page5_CHV_VE, Ligne 33 [Page5_CHV_VE!L36]  -</v>
      </c>
    </row>
    <row r="705" spans="1:23">
      <c r="A705" s="1443" t="str">
        <f>celladdr(Page5_CHV_VE!L37)</f>
        <v>Page5_CHV_VE!L37</v>
      </c>
      <c r="B705" s="1456" t="s">
        <v>1086</v>
      </c>
      <c r="C705" s="1451" t="b">
        <f>Page5_CHV_VE!$L$37&lt;0</f>
        <v>0</v>
      </c>
      <c r="D705" s="1454" t="b">
        <f>OR(AND(Page5_CHV_VE!$L37&lt;&gt;0,Page5_CHV_VE!$M37=0),AND(Page5_CHV_VE!$M37&lt;&gt;0,Page5_CHV_VE!$L37=0))</f>
        <v>0</v>
      </c>
      <c r="E705" s="1454"/>
      <c r="F705" s="1454"/>
      <c r="G705" s="1444" t="str">
        <f t="shared" si="83"/>
        <v/>
      </c>
      <c r="H705" s="1447" t="str">
        <f>IF(C705=TRUE,Comments!$B$23,"")</f>
        <v/>
      </c>
      <c r="I705" s="1446" t="str">
        <f>IF(D705=TRUE,Comments!$B$24,"")</f>
        <v/>
      </c>
      <c r="J705" s="1446"/>
      <c r="K705" s="1452"/>
      <c r="N705" s="611" t="str">
        <f>"CPTE # "&amp;Page5_CHV_VE!$E$37&amp;"  "&amp;Page5_CHV_VE!$C$37&amp;" - CHIFFRE D'AFFAIRES RÉALISÉ - AAD"</f>
        <v>CPTE # 432B  NE PAS UTILISER - CHIFFRE D'AFFAIRES RÉALISÉ - AAD</v>
      </c>
      <c r="O705" s="611" t="str">
        <f t="shared" si="91"/>
        <v/>
      </c>
      <c r="P705" s="611" t="str">
        <f t="shared" si="84"/>
        <v>Page5_CHV_VE!L</v>
      </c>
      <c r="Q705" s="611">
        <f t="shared" si="85"/>
        <v>37</v>
      </c>
      <c r="R705" s="1447">
        <f t="shared" ca="1" si="86"/>
        <v>0</v>
      </c>
      <c r="S705" s="1447">
        <f t="shared" ca="1" si="87"/>
        <v>0</v>
      </c>
      <c r="V705" s="2557" t="str">
        <f t="shared" ca="1" si="88"/>
        <v/>
      </c>
      <c r="W705" s="611" t="str">
        <f t="shared" ca="1" si="89"/>
        <v>Page5_CHV_VE, Ligne 34 [Page5_CHV_VE!L37]  -</v>
      </c>
    </row>
    <row r="706" spans="1:23">
      <c r="A706" s="1443" t="str">
        <f>celladdr(Page5_CHV_VE!L38)</f>
        <v>Page5_CHV_VE!L38</v>
      </c>
      <c r="B706" s="1456" t="s">
        <v>1086</v>
      </c>
      <c r="C706" s="1451" t="b">
        <f>Page5_CHV_VE!$L$38&lt;0</f>
        <v>0</v>
      </c>
      <c r="D706" s="1454" t="b">
        <f>OR(AND(Page5_CHV_VE!$L38&lt;&gt;0,Page5_CHV_VE!$M38=0),AND(Page5_CHV_VE!$M38&lt;&gt;0,Page5_CHV_VE!$L38=0))</f>
        <v>0</v>
      </c>
      <c r="E706" s="1454"/>
      <c r="F706" s="1454"/>
      <c r="G706" s="1444" t="str">
        <f t="shared" ref="G706:G769" si="92">IF(H706&amp;I706&amp;J706&amp;K706&lt;&gt;"","No.de ref. du commentaire.: "&amp;W706&amp;" "&amp;N706&amp;" "&amp;H706&amp;I706&amp;IF(OR(C706=TRUE,D706=TRUE),"",J706&amp;K706&amp;V706),"")</f>
        <v/>
      </c>
      <c r="H706" s="1447" t="str">
        <f>IF(C706=TRUE,Comments!$B$23,"")</f>
        <v/>
      </c>
      <c r="I706" s="1446" t="str">
        <f>IF(D706=TRUE,Comments!$B$24,"")</f>
        <v/>
      </c>
      <c r="J706" s="1446"/>
      <c r="K706" s="1452"/>
      <c r="N706" s="611" t="str">
        <f>"CPTE # "&amp;Page5_CHV_VE!$E$38&amp;"  "&amp;Page5_CHV_VE!$C$38&amp;" - CHIFFRE D'AFFAIRES RÉALISÉ - AAD"</f>
        <v>CPTE # 433B  NE PAS UTILISER - CHIFFRE D'AFFAIRES RÉALISÉ - AAD</v>
      </c>
      <c r="O706" s="611" t="str">
        <f t="shared" si="91"/>
        <v/>
      </c>
      <c r="P706" s="611" t="str">
        <f t="shared" ref="P706:P769" si="93">LEFT(A706,FIND("!",A706)+1)</f>
        <v>Page5_CHV_VE!L</v>
      </c>
      <c r="Q706" s="611">
        <f t="shared" ref="Q706:Q769" si="94">VALUE(RIGHT(A706,LEN(A706)-FIND("!",A706)-1))</f>
        <v>38</v>
      </c>
      <c r="R706" s="1447">
        <f t="shared" ref="R706:R769" ca="1" si="95">IF(E706=TRUE,INDIRECT("Comments!$D$"&amp;T706),0)</f>
        <v>0</v>
      </c>
      <c r="S706" s="1447">
        <f t="shared" ref="S706:S769" ca="1" si="96">IF(F706=TRUE,INDIRECT("Comments!$D$"&amp;U706),0)</f>
        <v>0</v>
      </c>
      <c r="V706" s="2557" t="str">
        <f t="shared" ref="V706:V769" ca="1" si="97">IF(SUM(R706+S706)=0,"","
*** "&amp;TEXT(SUM(R706+S706),"0,0")&amp;" Points de précision seront déduits suite à cette(ces) erreur(s) !")</f>
        <v/>
      </c>
      <c r="W706" s="611" t="str">
        <f t="shared" ref="W706:W769" ca="1" si="98">LEFT(A706,FIND("!",A706,1)-1)&amp;", Ligne "&amp;INDIRECT(ADDRESS(ROW(INDIRECT(A706)),IF(INDIRECT(ADDRESS(ROW(INDIRECT(A706)),1,,,LEFT(A706,FIND("!",A706,1)-1)))="",2,1),,,LEFT(A706,FIND("!",A706,1)-1)))&amp;" ["&amp;A706&amp;"] "&amp;" -"</f>
        <v>Page5_CHV_VE, Ligne 35 [Page5_CHV_VE!L38]  -</v>
      </c>
    </row>
    <row r="707" spans="1:23">
      <c r="A707" s="1443" t="str">
        <f>celladdr(Page5_CHV_VE!L39)</f>
        <v>Page5_CHV_VE!L39</v>
      </c>
      <c r="B707" s="1456" t="s">
        <v>1086</v>
      </c>
      <c r="C707" s="1451" t="b">
        <f>Page5_CHV_VE!$L$39&lt;0</f>
        <v>0</v>
      </c>
      <c r="D707" s="1454" t="b">
        <f>OR(AND(Page5_CHV_VE!$L39&lt;&gt;0,Page5_CHV_VE!$M39=0),AND(Page5_CHV_VE!$M39&lt;&gt;0,Page5_CHV_VE!$L39=0))</f>
        <v>0</v>
      </c>
      <c r="E707" s="1454"/>
      <c r="F707" s="1454"/>
      <c r="G707" s="1444" t="str">
        <f t="shared" si="92"/>
        <v/>
      </c>
      <c r="H707" s="1447" t="str">
        <f>IF(C707=TRUE,Comments!$B$23,"")</f>
        <v/>
      </c>
      <c r="I707" s="1446" t="str">
        <f>IF(D707=TRUE,Comments!$B$24,"")</f>
        <v/>
      </c>
      <c r="J707" s="1446"/>
      <c r="K707" s="1452"/>
      <c r="N707" s="611" t="str">
        <f>"CPTE # "&amp;Page5_CHV_VE!$E$39&amp;"  "&amp;Page5_CHV_VE!$C$39&amp;" - CHIFFRE D'AFFAIRES RÉALISÉ - AAD"</f>
        <v>CPTE # 434B  NE PAS UTILISER - CHIFFRE D'AFFAIRES RÉALISÉ - AAD</v>
      </c>
      <c r="O707" s="611" t="str">
        <f t="shared" si="91"/>
        <v/>
      </c>
      <c r="P707" s="611" t="str">
        <f t="shared" si="93"/>
        <v>Page5_CHV_VE!L</v>
      </c>
      <c r="Q707" s="611">
        <f t="shared" si="94"/>
        <v>39</v>
      </c>
      <c r="R707" s="1447">
        <f t="shared" ca="1" si="95"/>
        <v>0</v>
      </c>
      <c r="S707" s="1447">
        <f t="shared" ca="1" si="96"/>
        <v>0</v>
      </c>
      <c r="V707" s="2557" t="str">
        <f t="shared" ca="1" si="97"/>
        <v/>
      </c>
      <c r="W707" s="611" t="str">
        <f t="shared" ca="1" si="98"/>
        <v>Page5_CHV_VE, Ligne 36 [Page5_CHV_VE!L39]  -</v>
      </c>
    </row>
    <row r="708" spans="1:23">
      <c r="A708" s="1443" t="str">
        <f>celladdr(Page5_CHV_VE!L40)</f>
        <v>Page5_CHV_VE!L40</v>
      </c>
      <c r="B708" s="1456" t="s">
        <v>1086</v>
      </c>
      <c r="C708" s="1451" t="b">
        <f>Page5_CHV_VE!$L$40&lt;0</f>
        <v>0</v>
      </c>
      <c r="D708" s="1454" t="b">
        <f>OR(AND(Page5_CHV_VE!$L40&lt;&gt;0,Page5_CHV_VE!$M40=0),AND(Page5_CHV_VE!$M40&lt;&gt;0,Page5_CHV_VE!$L40=0))</f>
        <v>0</v>
      </c>
      <c r="E708" s="1454"/>
      <c r="F708" s="1454"/>
      <c r="G708" s="1444" t="str">
        <f t="shared" si="92"/>
        <v/>
      </c>
      <c r="H708" s="1447" t="str">
        <f>IF(C708=TRUE,Comments!$B$23,"")</f>
        <v/>
      </c>
      <c r="I708" s="1446" t="str">
        <f>IF(D708=TRUE,Comments!$B$24,"")</f>
        <v/>
      </c>
      <c r="J708" s="1446"/>
      <c r="K708" s="1452"/>
      <c r="N708" s="611" t="str">
        <f>"CPTE # "&amp;Page5_CHV_VE!$E$40&amp;"  "&amp;Page5_CHV_VE!$C$40&amp;" - CHIFFRE D'AFFAIRES RÉALISÉ - AAD"</f>
        <v>CPTE # 435B  NE PAS UTILISER - CHIFFRE D'AFFAIRES RÉALISÉ - AAD</v>
      </c>
      <c r="O708" s="611" t="str">
        <f t="shared" si="91"/>
        <v/>
      </c>
      <c r="P708" s="611" t="str">
        <f t="shared" si="93"/>
        <v>Page5_CHV_VE!L</v>
      </c>
      <c r="Q708" s="611">
        <f t="shared" si="94"/>
        <v>40</v>
      </c>
      <c r="R708" s="1447">
        <f t="shared" ca="1" si="95"/>
        <v>0</v>
      </c>
      <c r="S708" s="1447">
        <f t="shared" ca="1" si="96"/>
        <v>0</v>
      </c>
      <c r="V708" s="2557" t="str">
        <f t="shared" ca="1" si="97"/>
        <v/>
      </c>
      <c r="W708" s="611" t="str">
        <f t="shared" ca="1" si="98"/>
        <v>Page5_CHV_VE, Ligne 37 [Page5_CHV_VE!L40]  -</v>
      </c>
    </row>
    <row r="709" spans="1:23">
      <c r="A709" s="1443" t="str">
        <f>celladdr(Page5_CHV_VE!L41)</f>
        <v>Page5_CHV_VE!L41</v>
      </c>
      <c r="B709" s="1456" t="s">
        <v>1086</v>
      </c>
      <c r="C709" s="1451" t="b">
        <f>Page5_CHV_VE!$L$41&lt;0</f>
        <v>0</v>
      </c>
      <c r="D709" s="1454" t="b">
        <f>OR(AND(Page5_CHV_VE!$L41&lt;&gt;0,Page5_CHV_VE!$M41=0),AND(Page5_CHV_VE!$M41&lt;&gt;0,Page5_CHV_VE!$L41=0))</f>
        <v>0</v>
      </c>
      <c r="E709" s="1454"/>
      <c r="F709" s="1454"/>
      <c r="G709" s="1444" t="str">
        <f t="shared" si="92"/>
        <v/>
      </c>
      <c r="H709" s="1447" t="str">
        <f>IF(C709=TRUE,Comments!$B$23,"")</f>
        <v/>
      </c>
      <c r="I709" s="1446" t="str">
        <f>IF(D709=TRUE,Comments!$B$24,"")</f>
        <v/>
      </c>
      <c r="J709" s="1446"/>
      <c r="K709" s="1452"/>
      <c r="N709" s="611" t="str">
        <f>"CPTE # "&amp;Page5_CHV_VE!$E$41&amp;"  "&amp;Page5_CHV_VE!$C$41&amp;" - CHIFFRE D'AFFAIRES RÉALISÉ - AAD"</f>
        <v>CPTE # 436B  NE PAS UTILISER - CHIFFRE D'AFFAIRES RÉALISÉ - AAD</v>
      </c>
      <c r="O709" s="611" t="str">
        <f t="shared" si="91"/>
        <v/>
      </c>
      <c r="P709" s="611" t="str">
        <f t="shared" si="93"/>
        <v>Page5_CHV_VE!L</v>
      </c>
      <c r="Q709" s="611">
        <f t="shared" si="94"/>
        <v>41</v>
      </c>
      <c r="R709" s="1447">
        <f t="shared" ca="1" si="95"/>
        <v>0</v>
      </c>
      <c r="S709" s="1447">
        <f t="shared" ca="1" si="96"/>
        <v>0</v>
      </c>
      <c r="V709" s="2557" t="str">
        <f t="shared" ca="1" si="97"/>
        <v/>
      </c>
      <c r="W709" s="611" t="str">
        <f t="shared" ca="1" si="98"/>
        <v>Page5_CHV_VE, Ligne 38 [Page5_CHV_VE!L41]  -</v>
      </c>
    </row>
    <row r="710" spans="1:23">
      <c r="A710" s="1443" t="str">
        <f>celladdr(Page5_CHV_VE!L42)</f>
        <v>Page5_CHV_VE!L42</v>
      </c>
      <c r="B710" s="1456" t="s">
        <v>1086</v>
      </c>
      <c r="C710" s="1451" t="b">
        <f>Page5_CHV_VE!$L$42&lt;0</f>
        <v>0</v>
      </c>
      <c r="D710" s="1454"/>
      <c r="E710" s="1454"/>
      <c r="F710" s="1454"/>
      <c r="G710" s="1444" t="str">
        <f t="shared" si="92"/>
        <v/>
      </c>
      <c r="H710" s="1447" t="str">
        <f>IF(C710=TRUE,Comments!$B$23,"")</f>
        <v/>
      </c>
      <c r="I710" s="1446"/>
      <c r="J710" s="1446"/>
      <c r="K710" s="1452"/>
      <c r="N710" s="611" t="str">
        <f>"CPTE # "&amp;Page5_CHV_VE!$E$42&amp;"  "&amp;Page5_CHV_VE!$C$42&amp;" - CHIFFRE D'AFFAIRES RÉALISÉ - AAD"</f>
        <v>CPTE # 437B  NE PAS UTILISER - CHIFFRE D'AFFAIRES RÉALISÉ - AAD</v>
      </c>
      <c r="O710" s="611" t="str">
        <f t="shared" si="91"/>
        <v/>
      </c>
      <c r="P710" s="611" t="str">
        <f t="shared" si="93"/>
        <v>Page5_CHV_VE!L</v>
      </c>
      <c r="Q710" s="611">
        <f t="shared" si="94"/>
        <v>42</v>
      </c>
      <c r="R710" s="1447">
        <f t="shared" ca="1" si="95"/>
        <v>0</v>
      </c>
      <c r="S710" s="1447">
        <f t="shared" ca="1" si="96"/>
        <v>0</v>
      </c>
      <c r="V710" s="2557" t="str">
        <f t="shared" ca="1" si="97"/>
        <v/>
      </c>
      <c r="W710" s="611" t="str">
        <f t="shared" ca="1" si="98"/>
        <v>Page5_CHV_VE, Ligne 39 [Page5_CHV_VE!L42]  -</v>
      </c>
    </row>
    <row r="711" spans="1:23">
      <c r="A711" s="1443" t="str">
        <f>celladdr(Page5_CHV_VE!L43)</f>
        <v>Page5_CHV_VE!L43</v>
      </c>
      <c r="B711" s="1456" t="s">
        <v>1086</v>
      </c>
      <c r="C711" s="1451" t="b">
        <f>Page5_CHV_VE!$L$43&lt;0</f>
        <v>0</v>
      </c>
      <c r="D711" s="1454" t="b">
        <f>OR(AND(Page5_CHV_VE!$L43&lt;&gt;0,Page5_CHV_VE!$M43=0),AND(Page5_CHV_VE!$M43&lt;&gt;0,Page5_CHV_VE!$L43=0))</f>
        <v>0</v>
      </c>
      <c r="E711" s="1454"/>
      <c r="F711" s="1454"/>
      <c r="G711" s="1444" t="str">
        <f t="shared" si="92"/>
        <v/>
      </c>
      <c r="H711" s="1447" t="str">
        <f>IF(C711=TRUE,Comments!$B$23,"")</f>
        <v/>
      </c>
      <c r="I711" s="1446" t="str">
        <f>IF(D711=TRUE,Comments!$B$24,"")</f>
        <v/>
      </c>
      <c r="J711" s="1446"/>
      <c r="K711" s="1452"/>
      <c r="N711" s="611" t="str">
        <f>"CPTE # "&amp;Page5_CHV_VE!$E$43&amp;"  "&amp;Page5_CHV_VE!$C$43&amp;" - CHIFFRE D'AFFAIRES RÉALISÉ - AAD"</f>
        <v>CPTE # 438B  NE PAS UTILISER - CHIFFRE D'AFFAIRES RÉALISÉ - AAD</v>
      </c>
      <c r="O711" s="611" t="str">
        <f t="shared" si="91"/>
        <v/>
      </c>
      <c r="P711" s="611" t="str">
        <f t="shared" si="93"/>
        <v>Page5_CHV_VE!L</v>
      </c>
      <c r="Q711" s="611">
        <f t="shared" si="94"/>
        <v>43</v>
      </c>
      <c r="R711" s="1447">
        <f t="shared" ca="1" si="95"/>
        <v>0</v>
      </c>
      <c r="S711" s="1447">
        <f t="shared" ca="1" si="96"/>
        <v>0</v>
      </c>
      <c r="V711" s="2557" t="str">
        <f t="shared" ca="1" si="97"/>
        <v/>
      </c>
      <c r="W711" s="611" t="str">
        <f t="shared" ca="1" si="98"/>
        <v>Page5_CHV_VE, Ligne 40 [Page5_CHV_VE!L43]  -</v>
      </c>
    </row>
    <row r="712" spans="1:23">
      <c r="A712" s="1443" t="str">
        <f>celladdr(Page5_CHV_VE!L44)</f>
        <v>Page5_CHV_VE!L44</v>
      </c>
      <c r="B712" s="1444" t="s">
        <v>1086</v>
      </c>
      <c r="C712" s="1451"/>
      <c r="D712" s="1454"/>
      <c r="E712" s="1454"/>
      <c r="F712" s="1454"/>
      <c r="G712" s="1444" t="str">
        <f t="shared" si="92"/>
        <v/>
      </c>
      <c r="H712" s="1447" t="str">
        <f>IF(C712=TRUE,Comments!$B$26,"")</f>
        <v/>
      </c>
      <c r="I712" s="1446" t="str">
        <f>IF(D712=TRUE,Comments!$B$24,"")</f>
        <v/>
      </c>
      <c r="J712" s="1446"/>
      <c r="K712" s="1452"/>
      <c r="O712" s="611" t="str">
        <f t="shared" si="91"/>
        <v/>
      </c>
      <c r="P712" s="611" t="str">
        <f t="shared" si="93"/>
        <v>Page5_CHV_VE!L</v>
      </c>
      <c r="Q712" s="611">
        <f t="shared" si="94"/>
        <v>44</v>
      </c>
      <c r="R712" s="1447">
        <f t="shared" ca="1" si="95"/>
        <v>0</v>
      </c>
      <c r="S712" s="1447">
        <f t="shared" ca="1" si="96"/>
        <v>0</v>
      </c>
      <c r="V712" s="2557" t="str">
        <f t="shared" ca="1" si="97"/>
        <v/>
      </c>
      <c r="W712" s="611" t="str">
        <f t="shared" ca="1" si="98"/>
        <v>Page5_CHV_VE, Ligne 41 [Page5_CHV_VE!L44]  -</v>
      </c>
    </row>
    <row r="713" spans="1:23">
      <c r="A713" s="1443" t="str">
        <f>celladdr(Page5_CHV_VE!L45)</f>
        <v>Page5_CHV_VE!L45</v>
      </c>
      <c r="B713" s="1456" t="s">
        <v>1086</v>
      </c>
      <c r="C713" s="1451" t="b">
        <f>Page5_CHV_VE!$L$45&lt;0</f>
        <v>0</v>
      </c>
      <c r="D713" s="1454" t="b">
        <f>OR(AND(Page5_CHV_VE!$L45&lt;&gt;0,Page5_CHV_VE!$M45=0),AND(Page5_CHV_VE!$M45&lt;&gt;0,Page5_CHV_VE!$L45=0))</f>
        <v>0</v>
      </c>
      <c r="E713" s="1454"/>
      <c r="F713" s="1454"/>
      <c r="G713" s="1444" t="str">
        <f t="shared" si="92"/>
        <v/>
      </c>
      <c r="H713" s="1447" t="str">
        <f>IF(C713=TRUE,Comments!$B$23,"")</f>
        <v/>
      </c>
      <c r="I713" s="1446" t="str">
        <f>IF(D713=TRUE,Comments!$B$24,"")</f>
        <v/>
      </c>
      <c r="J713" s="1446"/>
      <c r="K713" s="1452"/>
      <c r="N713" s="611" t="str">
        <f>"CPTE # "&amp;Page5_CHV_VE!$E$45&amp;"  "&amp;Page5_CHV_VE!$C$45&amp;" - CHIFFRE D'AFFAIRES RÉALISÉ - AAD"</f>
        <v>CPTE # 439B  MÉMO* VENTES INTERNET CAMIONS - CHIFFRE D'AFFAIRES RÉALISÉ - AAD</v>
      </c>
      <c r="O713" s="611" t="str">
        <f t="shared" si="91"/>
        <v/>
      </c>
      <c r="P713" s="611" t="str">
        <f t="shared" si="93"/>
        <v>Page5_CHV_VE!L</v>
      </c>
      <c r="Q713" s="611">
        <f t="shared" si="94"/>
        <v>45</v>
      </c>
      <c r="R713" s="1447">
        <f t="shared" ca="1" si="95"/>
        <v>0</v>
      </c>
      <c r="S713" s="1447">
        <f t="shared" ca="1" si="96"/>
        <v>0</v>
      </c>
      <c r="V713" s="2557" t="str">
        <f t="shared" ca="1" si="97"/>
        <v/>
      </c>
      <c r="W713" s="611" t="str">
        <f t="shared" ca="1" si="98"/>
        <v>Page5_CHV_VE, Ligne 42 [Page5_CHV_VE!L45]  -</v>
      </c>
    </row>
    <row r="714" spans="1:23">
      <c r="A714" s="1443" t="str">
        <f>celladdr(Page5_CHV_VE!L46)</f>
        <v>Page5_CHV_VE!L46</v>
      </c>
      <c r="B714" s="1456" t="s">
        <v>1086</v>
      </c>
      <c r="C714" s="1451" t="b">
        <f>Page5_CHV_VE!$L$46&lt;0</f>
        <v>0</v>
      </c>
      <c r="D714" s="1454" t="b">
        <f>OR(AND(Page5_CHV_VE!$L46&lt;&gt;0,Page5_CHV_VE!$M46=0),AND(Page5_CHV_VE!$M46&lt;&gt;0,Page5_CHV_VE!$L46=0))</f>
        <v>0</v>
      </c>
      <c r="E714" s="1454" t="b">
        <f>ROUND(Page5_CHV_VE!L46 + Page5_GMC_VE!L46,2)&lt;&gt;ROUND(Page5_PARCS_GOUV!L19+Page5_PARCS_GOUV!L21+Page5_PARCS_GOUV!L23+Page5_PARCS_GOUV!L28 +Page5_PARCS_GOUV!L55+Page5_PARCS_GOUV!L57+Page5_PARCS_GOUV!L59+Page5_PARCS_GOUV!L64,2)</f>
        <v>0</v>
      </c>
      <c r="F714" s="1454"/>
      <c r="G714" s="1444" t="str">
        <f t="shared" si="92"/>
        <v/>
      </c>
      <c r="H714" s="1447" t="str">
        <f>IF(C714=TRUE,Comments!$B$23,"")</f>
        <v/>
      </c>
      <c r="I714" s="1446" t="str">
        <f>IF(D714=TRUE,Comments!$B$24,"")</f>
        <v/>
      </c>
      <c r="J714" s="1446" t="str">
        <f>IF(E714=TRUE, Comments!$B$98,"")</f>
        <v/>
      </c>
      <c r="K714" s="1452"/>
      <c r="N714" s="611" t="str">
        <f>"CPTE # "&amp;Page5_CHV_VE!$E$46&amp;"  "&amp;Page5_CHV_VE!$C$46&amp;" - CHIFFRE D'AFFAIRES RÉALISÉ - AAD"</f>
        <v>CPTE # DE PG PARCS  TOTAL PARCS - CAMIONS - CHIFFRE D'AFFAIRES RÉALISÉ - AAD</v>
      </c>
      <c r="O714" s="611" t="str">
        <f t="shared" si="91"/>
        <v/>
      </c>
      <c r="P714" s="611" t="str">
        <f t="shared" si="93"/>
        <v>Page5_CHV_VE!L</v>
      </c>
      <c r="Q714" s="611">
        <f t="shared" si="94"/>
        <v>46</v>
      </c>
      <c r="R714" s="1447">
        <f t="shared" ca="1" si="95"/>
        <v>0</v>
      </c>
      <c r="S714" s="1447">
        <f t="shared" ca="1" si="96"/>
        <v>0</v>
      </c>
      <c r="T714" s="611">
        <v>98</v>
      </c>
      <c r="V714" s="2557" t="str">
        <f t="shared" ca="1" si="97"/>
        <v/>
      </c>
      <c r="W714" s="611" t="str">
        <f t="shared" ca="1" si="98"/>
        <v>Page5_CHV_VE, Ligne 43 [Page5_CHV_VE!L46]  -</v>
      </c>
    </row>
    <row r="715" spans="1:23">
      <c r="A715" s="1443" t="str">
        <f>celladdr(Page5_CHV_VE!N46)</f>
        <v>Page5_CHV_VE!N46</v>
      </c>
      <c r="B715" s="1456" t="s">
        <v>1086</v>
      </c>
      <c r="C715" s="1451"/>
      <c r="D715" s="1454"/>
      <c r="E715" s="1454" t="b">
        <f>ROUND(Page5_CHV_VE!N46 + Page5_GMC_VE!N46,2)&lt;&gt;ROUND(Page5_PARCS_GOUV!N19+Page5_PARCS_GOUV!N21+Page5_PARCS_GOUV!N23+Page5_PARCS_GOUV!N28 +Page5_PARCS_GOUV!N55+Page5_PARCS_GOUV!N57+Page5_PARCS_GOUV!N59+Page5_PARCS_GOUV!N64,2)</f>
        <v>0</v>
      </c>
      <c r="F715" s="1454"/>
      <c r="G715" s="1444" t="str">
        <f t="shared" si="92"/>
        <v/>
      </c>
      <c r="I715" s="1446"/>
      <c r="J715" s="1446" t="str">
        <f>IF(E715=TRUE, Comments!$B$99,"")</f>
        <v/>
      </c>
      <c r="K715" s="1452"/>
      <c r="N715" s="611" t="str">
        <f>"CPTE # "&amp;Page5_CHV_VE!$E$46&amp;"  "&amp;Page5_CHV_VE!$C$46&amp;" - PROFIT BRUT - AAD"</f>
        <v>CPTE # DE PG PARCS  TOTAL PARCS - CAMIONS - PROFIT BRUT - AAD</v>
      </c>
      <c r="O715" s="611" t="str">
        <f t="shared" si="91"/>
        <v/>
      </c>
      <c r="P715" s="611" t="str">
        <f t="shared" si="93"/>
        <v>Page5_CHV_VE!N</v>
      </c>
      <c r="Q715" s="611">
        <f t="shared" si="94"/>
        <v>46</v>
      </c>
      <c r="R715" s="1447">
        <f t="shared" ca="1" si="95"/>
        <v>0</v>
      </c>
      <c r="S715" s="1447">
        <f t="shared" ca="1" si="96"/>
        <v>0</v>
      </c>
      <c r="T715" s="611">
        <v>99</v>
      </c>
      <c r="V715" s="2557" t="str">
        <f t="shared" ca="1" si="97"/>
        <v/>
      </c>
      <c r="W715" s="611" t="str">
        <f t="shared" ca="1" si="98"/>
        <v>Page5_CHV_VE, Ligne 43 [Page5_CHV_VE!N46]  -</v>
      </c>
    </row>
    <row r="716" spans="1:23">
      <c r="A716" s="1443" t="str">
        <f>celladdr(Page5_CHV_VE!L47)</f>
        <v>Page5_CHV_VE!L47</v>
      </c>
      <c r="B716" s="1456" t="s">
        <v>1086</v>
      </c>
      <c r="C716" s="1451" t="b">
        <f>Page5_CHV_VE!$L$47&lt;0</f>
        <v>0</v>
      </c>
      <c r="D716" s="1454" t="b">
        <f>OR(AND(Page5_CHV_VE!$L47&lt;&gt;0,Page5_CHV_VE!$M47=0),AND(Page5_CHV_VE!$M47&lt;&gt;0,Page5_CHV_VE!$L47=0))</f>
        <v>0</v>
      </c>
      <c r="E716" s="1454"/>
      <c r="F716" s="1454"/>
      <c r="G716" s="1444" t="str">
        <f t="shared" si="92"/>
        <v/>
      </c>
      <c r="H716" s="1447" t="str">
        <f>IF(C716=TRUE,Comments!$B$23,"")</f>
        <v/>
      </c>
      <c r="I716" s="1446" t="str">
        <f>IF(D716=TRUE,Comments!$B$24,"")</f>
        <v/>
      </c>
      <c r="J716" s="1446"/>
      <c r="K716" s="1452"/>
      <c r="N716" s="611" t="str">
        <f>"CPTE # "&amp;Page5_CHV_VE!$E$47&amp;"  "&amp;Page5_CHV_VE!$C$47&amp;" - CHIFFRE D'AFFAIRES RÉALISÉ - AAD"</f>
        <v>CPTE # 441B  TOTAL IINTERNE - CAMIONS  - CHIFFRE D'AFFAIRES RÉALISÉ - AAD</v>
      </c>
      <c r="O716" s="611" t="str">
        <f>IF(A716=A714,"TRUE","")</f>
        <v/>
      </c>
      <c r="P716" s="611" t="str">
        <f t="shared" si="93"/>
        <v>Page5_CHV_VE!L</v>
      </c>
      <c r="Q716" s="611">
        <f t="shared" si="94"/>
        <v>47</v>
      </c>
      <c r="R716" s="1447">
        <f t="shared" ca="1" si="95"/>
        <v>0</v>
      </c>
      <c r="S716" s="1447">
        <f t="shared" ca="1" si="96"/>
        <v>0</v>
      </c>
      <c r="V716" s="2557" t="str">
        <f t="shared" ca="1" si="97"/>
        <v/>
      </c>
      <c r="W716" s="611" t="str">
        <f t="shared" ca="1" si="98"/>
        <v>Page5_CHV_VE, Ligne 44 [Page5_CHV_VE!L47]  -</v>
      </c>
    </row>
    <row r="717" spans="1:23">
      <c r="A717" s="1443" t="str">
        <f>celladdr(Page5_CHV_VE!L48)</f>
        <v>Page5_CHV_VE!L48</v>
      </c>
      <c r="B717" s="1444" t="s">
        <v>1086</v>
      </c>
      <c r="C717" s="1451"/>
      <c r="D717" s="1454"/>
      <c r="E717" s="1454"/>
      <c r="F717" s="1454"/>
      <c r="G717" s="1444" t="str">
        <f t="shared" si="92"/>
        <v/>
      </c>
      <c r="H717" s="1447" t="str">
        <f>IF(C717=TRUE,Comments!$B$26,"")</f>
        <v/>
      </c>
      <c r="I717" s="1446" t="str">
        <f>IF(D717=TRUE,Comments!$B$24,"")</f>
        <v/>
      </c>
      <c r="J717" s="1446"/>
      <c r="K717" s="1452"/>
      <c r="O717" s="611" t="str">
        <f t="shared" ref="O717:O748" si="99">IF(A717=A716,"TRUE","")</f>
        <v/>
      </c>
      <c r="P717" s="611" t="str">
        <f t="shared" si="93"/>
        <v>Page5_CHV_VE!L</v>
      </c>
      <c r="Q717" s="611">
        <f t="shared" si="94"/>
        <v>48</v>
      </c>
      <c r="R717" s="1447">
        <f t="shared" ca="1" si="95"/>
        <v>0</v>
      </c>
      <c r="S717" s="1447">
        <f t="shared" ca="1" si="96"/>
        <v>0</v>
      </c>
      <c r="V717" s="2557" t="str">
        <f t="shared" ca="1" si="97"/>
        <v/>
      </c>
      <c r="W717" s="611" t="str">
        <f t="shared" ca="1" si="98"/>
        <v>Page5_CHV_VE, Ligne 45 [Page5_CHV_VE!L48]  -</v>
      </c>
    </row>
    <row r="718" spans="1:23">
      <c r="A718" s="1443" t="str">
        <f>celladdr(Page5_CHV_VE!L49)</f>
        <v>Page5_CHV_VE!L49</v>
      </c>
      <c r="B718" s="1456" t="s">
        <v>1086</v>
      </c>
      <c r="C718" s="1451" t="b">
        <f>Page5_CHV_VE!$L$49&lt;0</f>
        <v>0</v>
      </c>
      <c r="D718" s="1454" t="b">
        <f>OR(AND(Page5_CHV_VE!$L49&lt;&gt;0,Page5_CHV_VE!$M49=0),AND(Page5_CHV_VE!$M49&lt;&gt;0,Page5_CHV_VE!$L49=0))</f>
        <v>0</v>
      </c>
      <c r="E718" s="1454"/>
      <c r="F718" s="1454"/>
      <c r="G718" s="1444" t="str">
        <f t="shared" si="92"/>
        <v/>
      </c>
      <c r="H718" s="1447" t="str">
        <f>IF(C718=TRUE,Comments!$B$23,"")</f>
        <v/>
      </c>
      <c r="I718" s="1446" t="str">
        <f>IF(D718=TRUE,Comments!$B$24,"")</f>
        <v/>
      </c>
      <c r="J718" s="1446"/>
      <c r="K718" s="1452"/>
      <c r="N718" s="611" t="str">
        <f>"CPTE # "&amp;Page5_CHV_VE!$E$49&amp;"  "&amp;Page5_CHV_VE!$C$49&amp;" - CHIFFRE D'AFFAIRES RÉALISÉ - AAD"</f>
        <v>CPTE #      - CHIFFRE D'AFFAIRES RÉALISÉ - AAD</v>
      </c>
      <c r="O718" s="611" t="str">
        <f t="shared" si="99"/>
        <v/>
      </c>
      <c r="P718" s="611" t="str">
        <f t="shared" si="93"/>
        <v>Page5_CHV_VE!L</v>
      </c>
      <c r="Q718" s="611">
        <f t="shared" si="94"/>
        <v>49</v>
      </c>
      <c r="R718" s="1447">
        <f t="shared" ca="1" si="95"/>
        <v>0</v>
      </c>
      <c r="S718" s="1447">
        <f t="shared" ca="1" si="96"/>
        <v>0</v>
      </c>
      <c r="V718" s="2557" t="str">
        <f t="shared" ca="1" si="97"/>
        <v/>
      </c>
      <c r="W718" s="611" t="str">
        <f t="shared" ca="1" si="98"/>
        <v>Page5_CHV_VE, Ligne 46 [Page5_CHV_VE!L49]  -</v>
      </c>
    </row>
    <row r="719" spans="1:23">
      <c r="A719" s="1443" t="str">
        <f>celladdr(Page5_CHV_VE!L50)</f>
        <v>Page5_CHV_VE!L50</v>
      </c>
      <c r="B719" s="1456" t="s">
        <v>1086</v>
      </c>
      <c r="C719" s="1451" t="b">
        <f>Page5_CHV_VE!$L$50&lt;0</f>
        <v>0</v>
      </c>
      <c r="D719" s="1454" t="b">
        <f>OR(AND(Page5_CHV_VE!$L50&lt;&gt;0,Page5_CHV_VE!$M50=0),AND(Page5_CHV_VE!$M50&lt;&gt;0,Page5_CHV_VE!$L50=0))</f>
        <v>0</v>
      </c>
      <c r="E719" s="1454"/>
      <c r="F719" s="1454"/>
      <c r="G719" s="1444" t="str">
        <f t="shared" si="92"/>
        <v/>
      </c>
      <c r="H719" s="1447" t="str">
        <f>IF(C719=TRUE,Comments!$B$23,"")</f>
        <v/>
      </c>
      <c r="I719" s="1446" t="str">
        <f>IF(D719=TRUE,Comments!$B$24,"")</f>
        <v/>
      </c>
      <c r="J719" s="1446"/>
      <c r="K719" s="1452"/>
      <c r="N719" s="611" t="str">
        <f>"CPTE # "&amp;Page5_CHV_VE!$E$50&amp;"  "&amp;Page5_CHV_VE!$C$50&amp;" - CHIFFRE D'AFFAIRES RÉALISÉ - AAD"</f>
        <v>CPTE # 457B  ACCESSOIRES - CHIFFRE D'AFFAIRES RÉALISÉ - AAD</v>
      </c>
      <c r="O719" s="611" t="str">
        <f t="shared" si="99"/>
        <v/>
      </c>
      <c r="P719" s="611" t="str">
        <f t="shared" si="93"/>
        <v>Page5_CHV_VE!L</v>
      </c>
      <c r="Q719" s="611">
        <f t="shared" si="94"/>
        <v>50</v>
      </c>
      <c r="R719" s="1447">
        <f t="shared" ca="1" si="95"/>
        <v>0</v>
      </c>
      <c r="S719" s="1447">
        <f t="shared" ca="1" si="96"/>
        <v>0</v>
      </c>
      <c r="V719" s="2557" t="str">
        <f t="shared" ca="1" si="97"/>
        <v/>
      </c>
      <c r="W719" s="611" t="str">
        <f t="shared" ca="1" si="98"/>
        <v>Page5_CHV_VE, Ligne 47 [Page5_CHV_VE!L50]  -</v>
      </c>
    </row>
    <row r="720" spans="1:23">
      <c r="A720" s="1443" t="str">
        <f>celladdr(Page5_CHV_VE!M4)</f>
        <v>Page5_CHV_VE!M4</v>
      </c>
      <c r="B720" s="1456" t="s">
        <v>1086</v>
      </c>
      <c r="C720" s="1451" t="b">
        <f>IF(Page5_CHV_VE!$K$4=0,FALSE,OR(Page5_CHV_VE!$M$4/Page5_CHV_VE!$K$4&lt;INDEX(Min_Table,L720),Page5_CHV_VE!$M$4/Page5_CHV_VE!$K$4&gt;INDEX(Max_Table,L720)))</f>
        <v>0</v>
      </c>
      <c r="D720" s="1454" t="b">
        <f>OR(AND(Page5_CHV_VE!$L4&lt;&gt;0,Page5_CHV_VE!$M4=0),AND(Page5_CHV_VE!$M4&lt;&gt;0,Page5_CHV_VE!$L4=0))</f>
        <v>0</v>
      </c>
      <c r="E720" s="1454" t="b">
        <f>IF(Page5_CHV_VE!$K$4=0,FALSE,OR(Page5_CHV_VE!$M$4/Page5_CHV_VE!$K$4&lt;INDEX(Min_Table,M720),Page5_CHV_VE!$M$4/Page5_CHV_VE!$K$4&gt;INDEX(Max_Table,M720)))</f>
        <v>0</v>
      </c>
      <c r="F720" s="1454"/>
      <c r="G720" s="1444" t="str">
        <f t="shared" si="92"/>
        <v/>
      </c>
      <c r="H720" s="1447" t="str">
        <f>IF(C720=TRUE,Comments!$B$20&amp;DOLLAR(INDEX(Min_Table,L720),0)&amp;Comments!$B$18&amp;DOLLAR(INDEX(Max_Table,L720),0)&amp;Comments!$B$19&amp;DOLLAR(Page5_CHV_VE!$M$4/Page5_CHV_VE!$K$4,0),"")</f>
        <v/>
      </c>
      <c r="I720" s="1446" t="str">
        <f>IF(D720=TRUE,Comments!$B$24,"")</f>
        <v/>
      </c>
      <c r="J720" s="1446" t="str">
        <f>IF(E720=TRUE,Comments!$B$22&amp;DOLLAR(INDEX(Min_Table,M720),0)&amp;Comments!$B$18&amp;DOLLAR(INDEX(Max_Table,M720),0)&amp;Comments!$B$19&amp;IFERROR(DOLLAR(Page5_CHV_VE!$M$4/Page5_CHV_VE!$K$4,0),0),"")</f>
        <v/>
      </c>
      <c r="K720" s="1452"/>
      <c r="L720" s="611">
        <f>ROW(OR_VEH!$A$667)</f>
        <v>667</v>
      </c>
      <c r="M720" s="611">
        <f>ROW(OR_VEH!$A$53)</f>
        <v>53</v>
      </c>
      <c r="N720" s="611" t="str">
        <f>"CPTE # "&amp;Page5_CHV_VE!$E$4&amp;"  "&amp;Page5_CHV_VE!$C$4&amp;" - COÛT DES VENTES - AAD"</f>
        <v>CPTE # 400B  NE PAS UTILISER - COÛT DES VENTES - AAD</v>
      </c>
      <c r="O720" s="611" t="str">
        <f t="shared" si="99"/>
        <v/>
      </c>
      <c r="P720" s="611" t="str">
        <f t="shared" si="93"/>
        <v>Page5_CHV_VE!M</v>
      </c>
      <c r="Q720" s="611">
        <f t="shared" si="94"/>
        <v>4</v>
      </c>
      <c r="R720" s="1447">
        <f t="shared" ca="1" si="95"/>
        <v>0</v>
      </c>
      <c r="S720" s="1447">
        <f t="shared" ca="1" si="96"/>
        <v>0</v>
      </c>
      <c r="T720" s="611">
        <v>22</v>
      </c>
      <c r="V720" s="2557" t="str">
        <f t="shared" ca="1" si="97"/>
        <v/>
      </c>
      <c r="W720" s="611" t="str">
        <f t="shared" ca="1" si="98"/>
        <v>Page5_CHV_VE, Ligne 1 [Page5_CHV_VE!M4]  -</v>
      </c>
    </row>
    <row r="721" spans="1:23">
      <c r="A721" s="1443" t="str">
        <f>celladdr(Page5_CHV_VE!M5)</f>
        <v>Page5_CHV_VE!M5</v>
      </c>
      <c r="B721" s="1456" t="s">
        <v>1086</v>
      </c>
      <c r="C721" s="1451" t="b">
        <f>IF(Page5_CHV_VE!$K$5=0,FALSE,OR(Page5_CHV_VE!$M$5/Page5_CHV_VE!$K$5&lt;INDEX(Min_Table,L721),Page5_CHV_VE!$M$5/Page5_CHV_VE!$K$5&gt;INDEX(Max_Table,L721)))</f>
        <v>0</v>
      </c>
      <c r="D721" s="1454" t="b">
        <f>OR(AND(Page5_CHV_VE!$L5&lt;&gt;0,Page5_CHV_VE!$M5=0),AND(Page5_CHV_VE!$M5&lt;&gt;0,Page5_CHV_VE!$L5=0))</f>
        <v>0</v>
      </c>
      <c r="E721" s="1454" t="b">
        <f>IF(Page5_CHV_VE!$K$5=0,FALSE,OR(Page5_CHV_VE!$M$5/Page5_CHV_VE!$K$5&lt;INDEX(Min_Table,M721),Page5_CHV_VE!$M$5/Page5_CHV_VE!$K$5&gt;INDEX(Max_Table,M721)))</f>
        <v>0</v>
      </c>
      <c r="F721" s="1454"/>
      <c r="G721" s="1444" t="str">
        <f t="shared" si="92"/>
        <v/>
      </c>
      <c r="H721" s="1447" t="str">
        <f>IF(C721=TRUE,Comments!$B$20&amp;DOLLAR(INDEX(Min_Table,L721),0)&amp;Comments!$B$18&amp;DOLLAR(INDEX(Max_Table,L721),0)&amp;Comments!$B$19&amp;DOLLAR(Page5_CHV_VE!$M$5/Page5_CHV_VE!$K$5,0),"")</f>
        <v/>
      </c>
      <c r="I721" s="1446" t="str">
        <f>IF(D721=TRUE,Comments!$B$24,"")</f>
        <v/>
      </c>
      <c r="J721" s="1446" t="str">
        <f>IF(E721=TRUE,Comments!$B$22&amp;DOLLAR(INDEX(Min_Table,M721),0)&amp;Comments!$B$18&amp;DOLLAR(INDEX(Max_Table,M721),0)&amp;Comments!$B$19&amp;DOLLAR(Page5_CHV_VE!$M$5/Page5_CHV_VE!$K$5,0),"")</f>
        <v/>
      </c>
      <c r="K721" s="1452"/>
      <c r="L721" s="611">
        <f>ROW(OR_VEH!$A$667)</f>
        <v>667</v>
      </c>
      <c r="M721" s="611">
        <f>ROW(OR_VEH!$A$54)</f>
        <v>54</v>
      </c>
      <c r="N721" s="611" t="str">
        <f>"CPTE # "&amp;Page5_CHV_VE!$E$5&amp;"  "&amp;Page5_CHV_VE!$C$5&amp;" - COÛT DES VENTES - AAD"</f>
        <v>CPTE # 401B  NE PAS UTILISER - COÛT DES VENTES - AAD</v>
      </c>
      <c r="O721" s="611" t="str">
        <f t="shared" si="99"/>
        <v/>
      </c>
      <c r="P721" s="611" t="str">
        <f t="shared" si="93"/>
        <v>Page5_CHV_VE!M</v>
      </c>
      <c r="Q721" s="611">
        <f t="shared" si="94"/>
        <v>5</v>
      </c>
      <c r="R721" s="1447">
        <f t="shared" ca="1" si="95"/>
        <v>0</v>
      </c>
      <c r="S721" s="1447">
        <f t="shared" ca="1" si="96"/>
        <v>0</v>
      </c>
      <c r="T721" s="611">
        <v>22</v>
      </c>
      <c r="V721" s="2557" t="str">
        <f t="shared" ca="1" si="97"/>
        <v/>
      </c>
      <c r="W721" s="611" t="str">
        <f t="shared" ca="1" si="98"/>
        <v>Page5_CHV_VE, Ligne 2 [Page5_CHV_VE!M5]  -</v>
      </c>
    </row>
    <row r="722" spans="1:23">
      <c r="A722" s="1443" t="str">
        <f>celladdr(Page5_CHV_VE!M6)</f>
        <v>Page5_CHV_VE!M6</v>
      </c>
      <c r="B722" s="1456" t="s">
        <v>1086</v>
      </c>
      <c r="C722" s="1451" t="b">
        <f>IF(Page5_CHV_VE!$K$6=0,FALSE,OR(Page5_CHV_VE!$M$6/Page5_CHV_VE!$K$6&lt;INDEX(Min_Table,L722),Page5_CHV_VE!$M$6/Page5_CHV_VE!$K$6&gt;INDEX(Max_Table,L722)))</f>
        <v>0</v>
      </c>
      <c r="D722" s="1454" t="b">
        <f>OR(AND(Page5_CHV_VE!$L6&lt;&gt;0,Page5_CHV_VE!$M6=0),AND(Page5_CHV_VE!$M6&lt;&gt;0,Page5_CHV_VE!$L6=0))</f>
        <v>0</v>
      </c>
      <c r="E722" s="1454" t="b">
        <f>IF(Page5_CHV_VE!$K$6=0,FALSE,OR(Page5_CHV_VE!$M$6/Page5_CHV_VE!$K$6&lt;INDEX(Min_Table,M722),Page5_CHV_VE!$M$6/Page5_CHV_VE!$K$6&gt;INDEX(Max_Table,M722)))</f>
        <v>0</v>
      </c>
      <c r="F722" s="1454"/>
      <c r="G722" s="1444" t="str">
        <f t="shared" si="92"/>
        <v/>
      </c>
      <c r="H722" s="1447" t="str">
        <f>IF(C722=TRUE,Comments!$B$20&amp;DOLLAR(INDEX(Min_Table,L722),0)&amp;Comments!$B$18&amp;DOLLAR(INDEX(Max_Table,L722),0)&amp;Comments!$B$19&amp;DOLLAR(Page5_CHV_VE!$M$6/Page5_CHV_VE!$K$6,0),"")</f>
        <v/>
      </c>
      <c r="I722" s="1446" t="str">
        <f>IF(D722=TRUE,Comments!$B$24,"")</f>
        <v/>
      </c>
      <c r="J722" s="1446" t="str">
        <f>IF(E722=TRUE,Comments!$B$22&amp;DOLLAR(INDEX(Min_Table,M722),0)&amp;Comments!$B$18&amp;DOLLAR(INDEX(Max_Table,M722),0)&amp;Comments!$B$19&amp;DOLLAR(Page5_CHV_VE!$M$6/Page5_CHV_VE!$K$6,0),"")</f>
        <v/>
      </c>
      <c r="K722" s="1452"/>
      <c r="L722" s="611">
        <f>ROW(OR_VEH!$A$667)</f>
        <v>667</v>
      </c>
      <c r="M722" s="611">
        <f>ROW(OR_VEH!$A$55)</f>
        <v>55</v>
      </c>
      <c r="N722" s="611" t="str">
        <f>"CPTE # "&amp;Page5_CHV_VE!$E$6&amp;"  "&amp;Page5_CHV_VE!$C$6&amp;" - COÛT DES VENTES - AAD"</f>
        <v>CPTE # 402B  NE PAS UTILISER - COÛT DES VENTES - AAD</v>
      </c>
      <c r="O722" s="611" t="str">
        <f t="shared" si="99"/>
        <v/>
      </c>
      <c r="P722" s="611" t="str">
        <f t="shared" si="93"/>
        <v>Page5_CHV_VE!M</v>
      </c>
      <c r="Q722" s="611">
        <f t="shared" si="94"/>
        <v>6</v>
      </c>
      <c r="R722" s="1447">
        <f t="shared" ca="1" si="95"/>
        <v>0</v>
      </c>
      <c r="S722" s="1447">
        <f t="shared" ca="1" si="96"/>
        <v>0</v>
      </c>
      <c r="T722" s="611">
        <v>22</v>
      </c>
      <c r="V722" s="2557" t="str">
        <f t="shared" ca="1" si="97"/>
        <v/>
      </c>
      <c r="W722" s="611" t="str">
        <f t="shared" ca="1" si="98"/>
        <v>Page5_CHV_VE, Ligne 3 [Page5_CHV_VE!M6]  -</v>
      </c>
    </row>
    <row r="723" spans="1:23">
      <c r="A723" s="1443" t="str">
        <f>celladdr(Page5_CHV_VE!M7)</f>
        <v>Page5_CHV_VE!M7</v>
      </c>
      <c r="B723" s="1456" t="s">
        <v>1086</v>
      </c>
      <c r="C723" s="1451" t="b">
        <f>IF(Page5_CHV_VE!$K$7=0,FALSE,OR(Page5_CHV_VE!$M$7/Page5_CHV_VE!$K$7&lt;INDEX(Min_Table,L723),Page5_CHV_VE!$M$7/Page5_CHV_VE!$K$7&gt;INDEX(Max_Table,L723)))</f>
        <v>0</v>
      </c>
      <c r="D723" s="1454" t="b">
        <f>OR(AND(Page5_CHV_VE!$L7&lt;&gt;0,Page5_CHV_VE!$M7=0),AND(Page5_CHV_VE!$M7&lt;&gt;0,Page5_CHV_VE!$L7=0))</f>
        <v>0</v>
      </c>
      <c r="E723" s="1454" t="b">
        <f>IF(Page5_CHV_VE!$K$7=0,FALSE,OR(Page5_CHV_VE!$M$7/Page5_CHV_VE!$K$7&lt;INDEX(Min_Table,M723),Page5_CHV_VE!$M$7/Page5_CHV_VE!$K$7&gt;INDEX(Max_Table,M723)))</f>
        <v>0</v>
      </c>
      <c r="F723" s="1454"/>
      <c r="G723" s="1444" t="str">
        <f t="shared" si="92"/>
        <v/>
      </c>
      <c r="H723" s="1447" t="str">
        <f>IF(C723=TRUE,Comments!$B$20&amp;DOLLAR(INDEX(Min_Table,L723),0)&amp;Comments!$B$18&amp;DOLLAR(INDEX(Max_Table,L723),0)&amp;Comments!$B$19&amp;DOLLAR(Page5_CHV_VE!$M$7/Page5_CHV_VE!$K$7,0),"")</f>
        <v/>
      </c>
      <c r="I723" s="1446" t="str">
        <f>IF(D723=TRUE,Comments!$B$24,"")</f>
        <v/>
      </c>
      <c r="J723" s="1446" t="str">
        <f>IF(E723=TRUE,Comments!$B$22&amp;DOLLAR(INDEX(Min_Table,M723),0)&amp;Comments!$B$18&amp;DOLLAR(INDEX(Max_Table,M723),0)&amp;Comments!$B$19&amp;DOLLAR(Page5_CHV_VE!$M$7/Page5_CHV_VE!$K$7,0),"")</f>
        <v/>
      </c>
      <c r="K723" s="1452"/>
      <c r="L723" s="611">
        <f>ROW(OR_VEH!$A$667)</f>
        <v>667</v>
      </c>
      <c r="M723" s="611">
        <f>ROW(OR_VEH!$A$56)</f>
        <v>56</v>
      </c>
      <c r="N723" s="611" t="str">
        <f>"CPTE # "&amp;Page5_CHV_VE!$E$7&amp;"  "&amp;Page5_CHV_VE!$C$7&amp;" - COÛT DES VENTES - AAD"</f>
        <v>CPTE # 403B  NE PAS UTILISER - COÛT DES VENTES - AAD</v>
      </c>
      <c r="O723" s="611" t="str">
        <f t="shared" si="99"/>
        <v/>
      </c>
      <c r="P723" s="611" t="str">
        <f t="shared" si="93"/>
        <v>Page5_CHV_VE!M</v>
      </c>
      <c r="Q723" s="611">
        <f t="shared" si="94"/>
        <v>7</v>
      </c>
      <c r="R723" s="1447">
        <f t="shared" ca="1" si="95"/>
        <v>0</v>
      </c>
      <c r="S723" s="1447">
        <f t="shared" ca="1" si="96"/>
        <v>0</v>
      </c>
      <c r="T723" s="611">
        <v>22</v>
      </c>
      <c r="V723" s="2557" t="str">
        <f t="shared" ca="1" si="97"/>
        <v/>
      </c>
      <c r="W723" s="611" t="str">
        <f t="shared" ca="1" si="98"/>
        <v>Page5_CHV_VE, Ligne 4 [Page5_CHV_VE!M7]  -</v>
      </c>
    </row>
    <row r="724" spans="1:23">
      <c r="A724" s="1443" t="str">
        <f>celladdr(Page5_CHV_VE!M8)</f>
        <v>Page5_CHV_VE!M8</v>
      </c>
      <c r="B724" s="1456" t="s">
        <v>1086</v>
      </c>
      <c r="C724" s="1451" t="b">
        <f>IF(Page5_CHV_VE!$K$8=0,FALSE,OR(Page5_CHV_VE!$M$8/Page5_CHV_VE!$K$8&lt;INDEX(Min_Table,L724),Page5_CHV_VE!$M$8/Page5_CHV_VE!$K$8&gt;INDEX(Max_Table,L724)))</f>
        <v>0</v>
      </c>
      <c r="D724" s="1454" t="b">
        <f>OR(AND(Page5_CHV_VE!$L8&lt;&gt;0,Page5_CHV_VE!$M8=0),AND(Page5_CHV_VE!$M8&lt;&gt;0,Page5_CHV_VE!$L8=0))</f>
        <v>0</v>
      </c>
      <c r="E724" s="1454" t="b">
        <f>IF(Page5_CHV_VE!$K$8=0,FALSE,OR(Page5_CHV_VE!$M$8/Page5_CHV_VE!$K$8&lt;INDEX(Min_Table,M724),Page5_CHV_VE!$M$8/Page5_CHV_VE!$K$8&gt;INDEX(Max_Table,M724)))</f>
        <v>0</v>
      </c>
      <c r="F724" s="1454"/>
      <c r="G724" s="1444" t="str">
        <f t="shared" si="92"/>
        <v/>
      </c>
      <c r="H724" s="1447" t="str">
        <f>IF(C724=TRUE,Comments!$B$20&amp;DOLLAR(INDEX(Min_Table,L724),0)&amp;Comments!$B$18&amp;DOLLAR(INDEX(Max_Table,L724),0)&amp;Comments!$B$19&amp;DOLLAR(Page5_CHV_VE!$M$8/Page5_CHV_VE!$K$8,0),"")</f>
        <v/>
      </c>
      <c r="I724" s="1446" t="str">
        <f>IF(D724=TRUE,Comments!$B$24,"")</f>
        <v/>
      </c>
      <c r="J724" s="1446" t="str">
        <f>IF(E724=TRUE,Comments!$B$22&amp;DOLLAR(INDEX(Min_Table,M724),0)&amp;Comments!$B$18&amp;DOLLAR(INDEX(Max_Table,M724),0)&amp;Comments!$B$19&amp;DOLLAR(Page5_CHV_VE!$M$8/Page5_CHV_VE!$K$8,0),"")</f>
        <v/>
      </c>
      <c r="K724" s="1452"/>
      <c r="L724" s="611">
        <f>ROW(OR_VEH!$A$667)</f>
        <v>667</v>
      </c>
      <c r="M724" s="611">
        <f>ROW(OR_VEH!$A$57)</f>
        <v>57</v>
      </c>
      <c r="N724" s="611" t="str">
        <f>"CPTE # "&amp;Page5_CHV_VE!$E$8&amp;"  "&amp;Page5_CHV_VE!$C$8&amp;" - COÛT DES VENTES - AAD"</f>
        <v>CPTE # 404B  NE PAS UTILISER - COÛT DES VENTES - AAD</v>
      </c>
      <c r="O724" s="611" t="str">
        <f t="shared" si="99"/>
        <v/>
      </c>
      <c r="P724" s="611" t="str">
        <f t="shared" si="93"/>
        <v>Page5_CHV_VE!M</v>
      </c>
      <c r="Q724" s="611">
        <f t="shared" si="94"/>
        <v>8</v>
      </c>
      <c r="R724" s="1447">
        <f t="shared" ca="1" si="95"/>
        <v>0</v>
      </c>
      <c r="S724" s="1447">
        <f t="shared" ca="1" si="96"/>
        <v>0</v>
      </c>
      <c r="T724" s="611">
        <v>22</v>
      </c>
      <c r="V724" s="2557" t="str">
        <f t="shared" ca="1" si="97"/>
        <v/>
      </c>
      <c r="W724" s="611" t="str">
        <f t="shared" ca="1" si="98"/>
        <v>Page5_CHV_VE, Ligne 5 [Page5_CHV_VE!M8]  -</v>
      </c>
    </row>
    <row r="725" spans="1:23">
      <c r="A725" s="1443" t="str">
        <f>celladdr(Page5_CHV_VE!M9)</f>
        <v>Page5_CHV_VE!M9</v>
      </c>
      <c r="B725" s="1456" t="s">
        <v>1086</v>
      </c>
      <c r="C725" s="1451" t="b">
        <f>IF(Page5_CHV_VE!$K$9=0,FALSE,OR(Page5_CHV_VE!$M$9/Page5_CHV_VE!$K$9&lt;INDEX(Min_Table,L725),Page5_CHV_VE!$M$9/Page5_CHV_VE!$K$9&gt;INDEX(Max_Table,L725)))</f>
        <v>0</v>
      </c>
      <c r="D725" s="1454" t="b">
        <f>OR(AND(Page5_CHV_VE!$L9&lt;&gt;0,Page5_CHV_VE!$M9=0),AND(Page5_CHV_VE!$M9&lt;&gt;0,Page5_CHV_VE!$L9=0))</f>
        <v>0</v>
      </c>
      <c r="E725" s="1454" t="b">
        <f>IF(Page5_CHV_VE!$K$9=0,FALSE,OR(Page5_CHV_VE!$M$9/Page5_CHV_VE!$K$9&lt;INDEX(Min_Table,M725),Page5_CHV_VE!$M$9/Page5_CHV_VE!$K$9&gt;INDEX(Max_Table,M725)))</f>
        <v>0</v>
      </c>
      <c r="F725" s="1454"/>
      <c r="G725" s="1444" t="str">
        <f t="shared" si="92"/>
        <v/>
      </c>
      <c r="H725" s="1447" t="str">
        <f>IF(C725=TRUE,Comments!$B$20&amp;DOLLAR(INDEX(Min_Table,L725),0)&amp;Comments!$B$18&amp;DOLLAR(INDEX(Max_Table,L725),0)&amp;Comments!$B$19&amp;DOLLAR(Page5_CHV_VE!$M$9/Page5_CHV_VE!$K$9,0),"")</f>
        <v/>
      </c>
      <c r="I725" s="1446" t="str">
        <f>IF(D725=TRUE,Comments!$B$24,"")</f>
        <v/>
      </c>
      <c r="J725" s="1446" t="str">
        <f>IF(E725=TRUE,Comments!$B$22&amp;DOLLAR(INDEX(Min_Table,M725),0)&amp;Comments!$B$18&amp;DOLLAR(INDEX(Max_Table,M725),0)&amp;Comments!$B$19&amp;DOLLAR(Page5_CHV_VE!$M$9/Page5_CHV_VE!$K$9,0),"")</f>
        <v/>
      </c>
      <c r="K725" s="1452"/>
      <c r="L725" s="611">
        <f>ROW(OR_VEH!$A$667)</f>
        <v>667</v>
      </c>
      <c r="M725" s="611">
        <f>ROW(OR_VEH!$A$58)</f>
        <v>58</v>
      </c>
      <c r="N725" s="611" t="str">
        <f>"CPTE # "&amp;Page5_CHV_VE!$E$9&amp;"  "&amp;Page5_CHV_VE!$C$9&amp;" - COÛT DES VENTES - AAD"</f>
        <v>CPTE # 405B  NE PAS UTILISER - COÛT DES VENTES - AAD</v>
      </c>
      <c r="O725" s="611" t="str">
        <f t="shared" si="99"/>
        <v/>
      </c>
      <c r="P725" s="611" t="str">
        <f t="shared" si="93"/>
        <v>Page5_CHV_VE!M</v>
      </c>
      <c r="Q725" s="611">
        <f t="shared" si="94"/>
        <v>9</v>
      </c>
      <c r="R725" s="1447">
        <f t="shared" ca="1" si="95"/>
        <v>0</v>
      </c>
      <c r="S725" s="1447">
        <f t="shared" ca="1" si="96"/>
        <v>0</v>
      </c>
      <c r="T725" s="611">
        <v>22</v>
      </c>
      <c r="V725" s="2557" t="str">
        <f t="shared" ca="1" si="97"/>
        <v/>
      </c>
      <c r="W725" s="611" t="str">
        <f t="shared" ca="1" si="98"/>
        <v>Page5_CHV_VE, Ligne 6 [Page5_CHV_VE!M9]  -</v>
      </c>
    </row>
    <row r="726" spans="1:23">
      <c r="A726" s="1443" t="str">
        <f>celladdr(Page5_CHV_VE!M10)</f>
        <v>Page5_CHV_VE!M10</v>
      </c>
      <c r="B726" s="1456" t="s">
        <v>1086</v>
      </c>
      <c r="C726" s="1451" t="b">
        <f>IF(Page5_CHV_VE!$K$10=0,FALSE,OR(Page5_CHV_VE!$M$10/Page5_CHV_VE!$K$10&lt;INDEX(Min_Table,L726),Page5_CHV_VE!$M$10/Page5_CHV_VE!$K$10&gt;INDEX(Max_Table,L726)))</f>
        <v>0</v>
      </c>
      <c r="D726" s="1454" t="b">
        <f>OR(AND(Page5_CHV_VE!$L10&lt;&gt;0,Page5_CHV_VE!$M10=0),AND(Page5_CHV_VE!$M10&lt;&gt;0,Page5_CHV_VE!$L10=0))</f>
        <v>0</v>
      </c>
      <c r="E726" s="1454" t="b">
        <f>IF(Page5_CHV_VE!$K$10=0,FALSE,OR(Page5_CHV_VE!$M$10/Page5_CHV_VE!$K$10&lt;INDEX(Min_Table,M726),Page5_CHV_VE!$M$10/Page5_CHV_VE!$K$10&gt;INDEX(Max_Table,M726)))</f>
        <v>0</v>
      </c>
      <c r="F726" s="1454"/>
      <c r="G726" s="1444" t="str">
        <f t="shared" si="92"/>
        <v/>
      </c>
      <c r="H726" s="1447" t="str">
        <f>IF(C726=TRUE,Comments!$B$20&amp;DOLLAR(INDEX(Min_Table,L726),0)&amp;Comments!$B$18&amp;DOLLAR(INDEX(Max_Table,L726),0)&amp;Comments!$B$19&amp;DOLLAR(Page5_CHV_VE!$M$10/Page5_CHV_VE!$K$10,0),"")</f>
        <v/>
      </c>
      <c r="I726" s="1446" t="str">
        <f>IF(D726=TRUE,Comments!$B$24,"")</f>
        <v/>
      </c>
      <c r="J726" s="1446" t="str">
        <f>IF(E726=TRUE,Comments!$B$22&amp;DOLLAR(INDEX(Min_Table,M726),0)&amp;Comments!$B$18&amp;DOLLAR(INDEX(Max_Table,M726),0)&amp;Comments!$B$19&amp;IFERROR(DOLLAR(Page5_CHV_VE!$M$10/Page5_CHV_VE!$K$10,0),0),"")</f>
        <v/>
      </c>
      <c r="K726" s="1452"/>
      <c r="L726" s="611">
        <f>ROW(OR_VEH!$A$667)</f>
        <v>667</v>
      </c>
      <c r="M726" s="611">
        <f>ROW(OR_VEH!$A$59)</f>
        <v>59</v>
      </c>
      <c r="N726" s="611" t="str">
        <f>"CPTE # "&amp;Page5_CHV_VE!$E$10&amp;"  "&amp;Page5_CHV_VE!$C$10&amp;" - COÛT DES VENTES - AAD"</f>
        <v>CPTE # 406B  NE PAS UTILISER - COÛT DES VENTES - AAD</v>
      </c>
      <c r="O726" s="611" t="str">
        <f t="shared" si="99"/>
        <v/>
      </c>
      <c r="P726" s="611" t="str">
        <f t="shared" si="93"/>
        <v>Page5_CHV_VE!M</v>
      </c>
      <c r="Q726" s="611">
        <f t="shared" si="94"/>
        <v>10</v>
      </c>
      <c r="R726" s="1447">
        <f t="shared" ca="1" si="95"/>
        <v>0</v>
      </c>
      <c r="S726" s="1447">
        <f t="shared" ca="1" si="96"/>
        <v>0</v>
      </c>
      <c r="T726" s="611">
        <v>22</v>
      </c>
      <c r="V726" s="2557" t="str">
        <f t="shared" ca="1" si="97"/>
        <v/>
      </c>
      <c r="W726" s="611" t="str">
        <f t="shared" ca="1" si="98"/>
        <v>Page5_CHV_VE, Ligne 7 [Page5_CHV_VE!M10]  -</v>
      </c>
    </row>
    <row r="727" spans="1:23">
      <c r="A727" s="1443" t="str">
        <f>celladdr(Page5_CHV_VE!M11)</f>
        <v>Page5_CHV_VE!M11</v>
      </c>
      <c r="B727" s="1456" t="s">
        <v>1086</v>
      </c>
      <c r="C727" s="1451" t="b">
        <f>IF(Page5_CHV_VE!$K$11=0,FALSE,OR(Page5_CHV_VE!$M$11/Page5_CHV_VE!$K$11&lt;INDEX(Min_Table,L727),Page5_CHV_VE!$M$11/Page5_CHV_VE!$K$11&gt;INDEX(Max_Table,L727)))</f>
        <v>0</v>
      </c>
      <c r="D727" s="1454" t="b">
        <f>OR(AND(Page5_CHV_VE!$L11&lt;&gt;0,Page5_CHV_VE!$M11=0),AND(Page5_CHV_VE!$M11&lt;&gt;0,Page5_CHV_VE!$L11=0))</f>
        <v>0</v>
      </c>
      <c r="E727" s="1454" t="b">
        <f>IF(Page5_CHV_VE!$K$11=0,FALSE,OR(Page5_CHV_VE!$M$11/Page5_CHV_VE!$K$11&lt;INDEX(Min_Table,M727),Page5_CHV_VE!$M$11/Page5_CHV_VE!$K$11&gt;INDEX(Max_Table,M727)))</f>
        <v>0</v>
      </c>
      <c r="F727" s="1454"/>
      <c r="G727" s="1444" t="str">
        <f t="shared" si="92"/>
        <v/>
      </c>
      <c r="H727" s="1447" t="str">
        <f>IF(C727=TRUE,Comments!$B$20&amp;DOLLAR(INDEX(Min_Table,L727),0)&amp;Comments!$B$18&amp;DOLLAR(INDEX(Max_Table,L727),0)&amp;Comments!$B$19&amp;DOLLAR(Page5_CHV_VE!$M$11/Page5_CHV_VE!$K$11,0),"")</f>
        <v/>
      </c>
      <c r="I727" s="1446" t="str">
        <f>IF(D727=TRUE,Comments!$B$24,"")</f>
        <v/>
      </c>
      <c r="J727" s="1446" t="str">
        <f>IF(E727=TRUE,Comments!$B$22&amp;DOLLAR(INDEX(Min_Table,M727),0)&amp;Comments!$B$18&amp;DOLLAR(INDEX(Max_Table,M727),0)&amp;Comments!$B$19&amp;IFERROR(DOLLAR(Page5_CHV_VE!$M$11/Page5_CHV_VE!$K$11,0),0),"")</f>
        <v/>
      </c>
      <c r="K727" s="1452"/>
      <c r="L727" s="611">
        <f>ROW(OR_VEH!$A$667)</f>
        <v>667</v>
      </c>
      <c r="M727" s="611">
        <f>ROW(OR_VEH!$A$60)</f>
        <v>60</v>
      </c>
      <c r="N727" s="611" t="str">
        <f>"CPTE # "&amp;Page5_CHV_VE!$E$11&amp;"  "&amp;Page5_CHV_VE!$C$11&amp;" - COÛT DES VENTES - AAD"</f>
        <v>CPTE # 407B  NE PAS UTILISER - COÛT DES VENTES - AAD</v>
      </c>
      <c r="O727" s="611" t="str">
        <f t="shared" si="99"/>
        <v/>
      </c>
      <c r="P727" s="611" t="str">
        <f t="shared" si="93"/>
        <v>Page5_CHV_VE!M</v>
      </c>
      <c r="Q727" s="611">
        <f t="shared" si="94"/>
        <v>11</v>
      </c>
      <c r="R727" s="1447">
        <f t="shared" ca="1" si="95"/>
        <v>0</v>
      </c>
      <c r="S727" s="1447">
        <f t="shared" ca="1" si="96"/>
        <v>0</v>
      </c>
      <c r="T727" s="611">
        <v>22</v>
      </c>
      <c r="V727" s="2557" t="str">
        <f t="shared" ca="1" si="97"/>
        <v/>
      </c>
      <c r="W727" s="611" t="str">
        <f t="shared" ca="1" si="98"/>
        <v>Page5_CHV_VE, Ligne 8 [Page5_CHV_VE!M11]  -</v>
      </c>
    </row>
    <row r="728" spans="1:23">
      <c r="A728" s="1443" t="str">
        <f>celladdr(Page5_CHV_VE!M12)</f>
        <v>Page5_CHV_VE!M12</v>
      </c>
      <c r="B728" s="1456" t="s">
        <v>1086</v>
      </c>
      <c r="C728" s="1451" t="b">
        <f>IF(Page5_CHV_VE!$K$12=0,FALSE,OR(Page5_CHV_VE!$M$12/Page5_CHV_VE!$K$12&lt;INDEX(Min_Table,L728),Page5_CHV_VE!$M$12/Page5_CHV_VE!$K$12&gt;INDEX(Max_Table,L728)))</f>
        <v>0</v>
      </c>
      <c r="D728" s="1454" t="b">
        <f>OR(AND(Page5_CHV_VE!$L12&lt;&gt;0,Page5_CHV_VE!$M12=0),AND(Page5_CHV_VE!$M12&lt;&gt;0,Page5_CHV_VE!$L12=0))</f>
        <v>0</v>
      </c>
      <c r="E728" s="1454" t="b">
        <f>IF(Page5_CHV_VE!$K$12=0,FALSE,OR(Page5_CHV_VE!$M$12/Page5_CHV_VE!$K$12&lt;INDEX(Min_Table,M728),Page5_CHV_VE!$M$12/Page5_CHV_VE!$K$12&gt;INDEX(Max_Table,M728)))</f>
        <v>0</v>
      </c>
      <c r="F728" s="1454"/>
      <c r="G728" s="1444" t="str">
        <f t="shared" si="92"/>
        <v/>
      </c>
      <c r="H728" s="1447" t="str">
        <f>IF(C728=TRUE,Comments!$B$20&amp;DOLLAR(INDEX(Min_Table,L728),0)&amp;Comments!$B$18&amp;DOLLAR(INDEX(Max_Table,L728),0)&amp;Comments!$B$19&amp;DOLLAR(Page5_CHV_VE!$M$12/Page5_CHV_VE!$K$12,0),"")</f>
        <v/>
      </c>
      <c r="I728" s="1446" t="str">
        <f>IF(D731=TRUE,Comments!$B$24,"")</f>
        <v/>
      </c>
      <c r="J728" s="1446" t="str">
        <f>IF(E728=TRUE,Comments!$B$22&amp;DOLLAR(INDEX(Min_Table,M728),0)&amp;Comments!$B$18&amp;DOLLAR(INDEX(Max_Table,M728),0)&amp;Comments!$B$19&amp;IFERROR(DOLLAR(Page5_CHV_VE!$M$12/Page5_CHV_VE!$K$12,0),0),"")</f>
        <v/>
      </c>
      <c r="K728" s="1452"/>
      <c r="L728" s="611">
        <f>ROW(OR_VEH!$A$667)</f>
        <v>667</v>
      </c>
      <c r="M728" s="611">
        <f>ROW(OR_VEH!$A$61)</f>
        <v>61</v>
      </c>
      <c r="N728" s="611" t="str">
        <f>"CPTE # "&amp;Page5_CHV_VE!$E$12&amp;"  "&amp;Page5_CHV_VE!$C$12&amp;" - COÛT DES VENTES - AAD"</f>
        <v>CPTE # 408B  NE PAS UTILISER - COÛT DES VENTES - AAD</v>
      </c>
      <c r="O728" s="611" t="str">
        <f t="shared" si="99"/>
        <v/>
      </c>
      <c r="P728" s="611" t="str">
        <f t="shared" si="93"/>
        <v>Page5_CHV_VE!M</v>
      </c>
      <c r="Q728" s="611">
        <f t="shared" si="94"/>
        <v>12</v>
      </c>
      <c r="R728" s="1447">
        <f t="shared" ca="1" si="95"/>
        <v>0</v>
      </c>
      <c r="S728" s="1447">
        <f t="shared" ca="1" si="96"/>
        <v>0</v>
      </c>
      <c r="T728" s="611">
        <v>22</v>
      </c>
      <c r="V728" s="2557" t="str">
        <f t="shared" ca="1" si="97"/>
        <v/>
      </c>
      <c r="W728" s="611" t="str">
        <f t="shared" ca="1" si="98"/>
        <v>Page5_CHV_VE, Ligne 9 [Page5_CHV_VE!M12]  -</v>
      </c>
    </row>
    <row r="729" spans="1:23">
      <c r="A729" s="1443" t="str">
        <f>celladdr(Page5_CHV_VE!M13)</f>
        <v>Page5_CHV_VE!M13</v>
      </c>
      <c r="B729" s="1456" t="s">
        <v>1086</v>
      </c>
      <c r="C729" s="1451" t="b">
        <f>IF(Page5_CHV_VE!$K$13=0,FALSE,OR(Page5_CHV_VE!$M$13/Page5_CHV_VE!$K$13&lt;INDEX(Min_Table,L729),Page5_CHV_VE!$M$13/Page5_CHV_VE!$K$13&gt;INDEX(Max_Table,L729)))</f>
        <v>0</v>
      </c>
      <c r="D729" s="1454" t="b">
        <f>OR(AND(Page5_CHV_VE!$L13&lt;&gt;0,Page5_CHV_VE!$M13=0),AND(Page5_CHV_VE!$M13&lt;&gt;0,Page5_CHV_VE!$L13=0))</f>
        <v>0</v>
      </c>
      <c r="E729" s="1454" t="b">
        <f>IF(Page5_CHV_VE!$K$13=0,FALSE,OR(Page5_CHV_VE!$M$13/Page5_CHV_VE!$K$13&lt;INDEX(Min_Table,M729),Page5_CHV_VE!$M$13/Page5_CHV_VE!$K$13&gt;INDEX(Max_Table,M729)))</f>
        <v>0</v>
      </c>
      <c r="F729" s="1454"/>
      <c r="G729" s="1444" t="str">
        <f t="shared" si="92"/>
        <v/>
      </c>
      <c r="H729" s="1447" t="str">
        <f>IF(C729=TRUE,Comments!$B$20&amp;DOLLAR(INDEX(Min_Table,L729),0)&amp;Comments!$B$18&amp;DOLLAR(INDEX(Max_Table,L729),0)&amp;Comments!$B$19&amp;DOLLAR(Page5_CHV_VE!$M$13/Page5_CHV_VE!$K$13,0),"")</f>
        <v/>
      </c>
      <c r="I729" s="1446" t="str">
        <f>IF(D729=TRUE,Comments!$B$24,"")</f>
        <v/>
      </c>
      <c r="J729" s="1446" t="str">
        <f>IF(E729=TRUE,Comments!$B$22&amp;DOLLAR(INDEX(Min_Table,M729),0)&amp;Comments!$B$18&amp;DOLLAR(INDEX(Max_Table,M729),0)&amp;Comments!$B$19&amp;IFERROR(DOLLAR(Page5_CHV_VE!$M$13/Page5_CHV_VE!$K$13,0),0),"")</f>
        <v/>
      </c>
      <c r="K729" s="1452"/>
      <c r="L729" s="611">
        <f>ROW(OR_VEH!$A$667)</f>
        <v>667</v>
      </c>
      <c r="M729" s="611">
        <f>ROW(OR_VEH!$A$62)</f>
        <v>62</v>
      </c>
      <c r="N729" s="611" t="str">
        <f>"CPTE # "&amp;Page5_CHV_VE!$E$13&amp;"  "&amp;Page5_CHV_VE!$C$13&amp;" - COÛT DES VENTES - AAD"</f>
        <v>CPTE # 409B  NE PAS UTILISER - COÛT DES VENTES - AAD</v>
      </c>
      <c r="O729" s="611" t="str">
        <f t="shared" si="99"/>
        <v/>
      </c>
      <c r="P729" s="611" t="str">
        <f t="shared" si="93"/>
        <v>Page5_CHV_VE!M</v>
      </c>
      <c r="Q729" s="611">
        <f t="shared" si="94"/>
        <v>13</v>
      </c>
      <c r="R729" s="1447">
        <f t="shared" ca="1" si="95"/>
        <v>0</v>
      </c>
      <c r="S729" s="1447">
        <f t="shared" ca="1" si="96"/>
        <v>0</v>
      </c>
      <c r="T729" s="611">
        <v>22</v>
      </c>
      <c r="V729" s="2557" t="str">
        <f t="shared" ca="1" si="97"/>
        <v/>
      </c>
      <c r="W729" s="611" t="str">
        <f t="shared" ca="1" si="98"/>
        <v>Page5_CHV_VE, Ligne 10 [Page5_CHV_VE!M13]  -</v>
      </c>
    </row>
    <row r="730" spans="1:23">
      <c r="A730" s="1443" t="str">
        <f>celladdr(Page5_CHV_VE!M14)</f>
        <v>Page5_CHV_VE!M14</v>
      </c>
      <c r="B730" s="1456" t="s">
        <v>1086</v>
      </c>
      <c r="C730" s="1451" t="b">
        <f>IF(Page5_CHV_VE!$K$14=0,FALSE,OR(Page5_CHV_VE!$M$14/Page5_CHV_VE!$K$14&lt;INDEX(Min_Table,L730),Page5_CHV_VE!$M$14/Page5_CHV_VE!$K$14&gt;INDEX(Max_Table,L730)))</f>
        <v>0</v>
      </c>
      <c r="D730" s="1454" t="b">
        <f>OR(AND(Page5_CHV_VE!$L14&lt;&gt;0,Page5_CHV_VE!$M14=0),AND(Page5_CHV_VE!$M14&lt;&gt;0,Page5_CHV_VE!$L14=0))</f>
        <v>0</v>
      </c>
      <c r="E730" s="1454" t="b">
        <f>IF(Page5_CHV_VE!$K$14=0,FALSE,OR(Page5_CHV_VE!$M$14/Page5_CHV_VE!$K$14&lt;INDEX(Min_Table,M730),Page5_CHV_VE!$M$14/Page5_CHV_VE!$K$14&gt;INDEX(Max_Table,M730)))</f>
        <v>0</v>
      </c>
      <c r="F730" s="1454"/>
      <c r="G730" s="1444" t="str">
        <f t="shared" si="92"/>
        <v/>
      </c>
      <c r="H730" s="1447" t="str">
        <f>IF(C730=TRUE,Comments!$B$20&amp;DOLLAR(INDEX(Min_Table,L730),0)&amp;Comments!$B$18&amp;DOLLAR(INDEX(Max_Table,L730),0)&amp;Comments!$B$19&amp;DOLLAR(Page5_CHV_VE!$M$14/Page5_CHV_VE!$K$14,0),"")</f>
        <v/>
      </c>
      <c r="I730" s="1446" t="str">
        <f>IF(D730=TRUE,Comments!$B$24,"")</f>
        <v/>
      </c>
      <c r="J730" s="1446" t="str">
        <f>IF(E730=TRUE,Comments!$B$22&amp;DOLLAR(INDEX(Min_Table,M730),0)&amp;Comments!$B$18&amp;DOLLAR(INDEX(Max_Table,M730),0)&amp;Comments!$B$19&amp;IFERROR(DOLLAR(Page5_CHV_VE!$M$14/Page5_CHV_VE!$K$14,0),0),"")</f>
        <v/>
      </c>
      <c r="K730" s="1452"/>
      <c r="L730" s="611">
        <f>ROW(OR_VEH!$A$667)</f>
        <v>667</v>
      </c>
      <c r="M730" s="611">
        <f>ROW(OR_VEH!$A$63)</f>
        <v>63</v>
      </c>
      <c r="N730" s="611" t="str">
        <f>"CPTE # "&amp;Page5_CHV_VE!$E$14&amp;"  "&amp;Page5_CHV_VE!$C$14&amp;" - COÛT DES VENTES - AAD"</f>
        <v>CPTE # 410B  NE PAS UTILISER - COÛT DES VENTES - AAD</v>
      </c>
      <c r="O730" s="611" t="str">
        <f t="shared" si="99"/>
        <v/>
      </c>
      <c r="P730" s="611" t="str">
        <f t="shared" si="93"/>
        <v>Page5_CHV_VE!M</v>
      </c>
      <c r="Q730" s="611">
        <f t="shared" si="94"/>
        <v>14</v>
      </c>
      <c r="R730" s="1447">
        <f t="shared" ca="1" si="95"/>
        <v>0</v>
      </c>
      <c r="S730" s="1447">
        <f t="shared" ca="1" si="96"/>
        <v>0</v>
      </c>
      <c r="T730" s="611">
        <v>22</v>
      </c>
      <c r="V730" s="2557" t="str">
        <f t="shared" ca="1" si="97"/>
        <v/>
      </c>
      <c r="W730" s="611" t="str">
        <f t="shared" ca="1" si="98"/>
        <v>Page5_CHV_VE, Ligne 11 [Page5_CHV_VE!M14]  -</v>
      </c>
    </row>
    <row r="731" spans="1:23">
      <c r="A731" s="1443" t="str">
        <f>celladdr(Page5_CHV_VE!M15)</f>
        <v>Page5_CHV_VE!M15</v>
      </c>
      <c r="B731" s="1456" t="s">
        <v>1086</v>
      </c>
      <c r="C731" s="1451" t="b">
        <f>IF(Page5_CHV_VE!$K$15=0,FALSE,OR(Page5_CHV_VE!$M$15/Page5_CHV_VE!$K$15&lt;INDEX(Min_Table,L731),Page5_CHV_VE!$M$15/Page5_CHV_VE!$K$15&gt;INDEX(Max_Table,L731)))</f>
        <v>0</v>
      </c>
      <c r="D731" s="1454" t="b">
        <f>OR(AND(Page5_CHV_VE!$L15&lt;&gt;0,Page5_CHV_VE!$M15=0),AND(Page5_CHV_VE!$M15&lt;&gt;0,Page5_CHV_VE!$L15=0))</f>
        <v>0</v>
      </c>
      <c r="E731" s="1454" t="b">
        <f>IF(Page5_CHV_VE!$K$15=0,FALSE,OR(Page5_CHV_VE!$M$15/Page5_CHV_VE!$K$15&lt;INDEX(Min_Table,M731),Page5_CHV_VE!$M$15/Page5_CHV_VE!$K$15&gt;INDEX(Max_Table,M731)))</f>
        <v>0</v>
      </c>
      <c r="F731" s="1454"/>
      <c r="G731" s="1444" t="str">
        <f t="shared" si="92"/>
        <v/>
      </c>
      <c r="H731" s="1447" t="str">
        <f>IF(C731=TRUE,Comments!$B$20&amp;DOLLAR(INDEX(Min_Table,L731),0)&amp;Comments!$B$18&amp;DOLLAR(INDEX(Max_Table,L731),0)&amp;Comments!$B$19&amp;DOLLAR(Page5_CHV_VE!$M$15/Page5_CHV_VE!$K$15,0),"")</f>
        <v/>
      </c>
      <c r="I731" s="1446" t="str">
        <f>IF(D731=TRUE,Comments!$B$24,"")</f>
        <v/>
      </c>
      <c r="J731" s="1446" t="str">
        <f>IF(E731=TRUE,Comments!$B$22&amp;DOLLAR(INDEX(Min_Table,M731),0)&amp;Comments!$B$18&amp;DOLLAR(INDEX(Max_Table,M731),0)&amp;Comments!$B$19&amp;IFERROR(DOLLAR(Page5_CHV_VE!$M$15/Page5_CHV_VE!$K$15,0),0),"")</f>
        <v/>
      </c>
      <c r="K731" s="1452"/>
      <c r="L731" s="611">
        <f>ROW(OR_VEH!$A$667)</f>
        <v>667</v>
      </c>
      <c r="M731" s="611">
        <f>ROW(OR_VEH!$A$64)</f>
        <v>64</v>
      </c>
      <c r="N731" s="611" t="str">
        <f>"CPTE # "&amp;Page5_CHV_VE!$E$15&amp;"  "&amp;Page5_CHV_VE!$C$15&amp;" - COÛT DES VENTES - AAD"</f>
        <v>CPTE # 411B  NE PAS UTILISER - COÛT DES VENTES - AAD</v>
      </c>
      <c r="O731" s="611" t="str">
        <f t="shared" si="99"/>
        <v/>
      </c>
      <c r="P731" s="611" t="str">
        <f t="shared" si="93"/>
        <v>Page5_CHV_VE!M</v>
      </c>
      <c r="Q731" s="611">
        <f t="shared" si="94"/>
        <v>15</v>
      </c>
      <c r="R731" s="1447">
        <f t="shared" ca="1" si="95"/>
        <v>0</v>
      </c>
      <c r="S731" s="1447">
        <f t="shared" ca="1" si="96"/>
        <v>0</v>
      </c>
      <c r="T731" s="611">
        <v>22</v>
      </c>
      <c r="V731" s="2557" t="str">
        <f t="shared" ca="1" si="97"/>
        <v/>
      </c>
      <c r="W731" s="611" t="str">
        <f t="shared" ca="1" si="98"/>
        <v>Page5_CHV_VE, Ligne 12 [Page5_CHV_VE!M15]  -</v>
      </c>
    </row>
    <row r="732" spans="1:23">
      <c r="A732" s="1443" t="str">
        <f>celladdr(Page5_CHV_VE!M16)</f>
        <v>Page5_CHV_VE!M16</v>
      </c>
      <c r="B732" s="1456" t="s">
        <v>1086</v>
      </c>
      <c r="C732" s="1451" t="b">
        <f>IF(Page5_CHV_VE!$K$16=0,FALSE,OR(Page5_CHV_VE!$M$16/Page5_CHV_VE!$K$16&lt;INDEX(Min_Table,L732),Page5_CHV_VE!$M$16/Page5_CHV_VE!$K$16&gt;INDEX(Max_Table,L732)))</f>
        <v>0</v>
      </c>
      <c r="D732" s="1454" t="b">
        <f>OR(AND(Page5_CHV_VE!$L16&lt;&gt;0,Page5_CHV_VE!$M16=0),AND(Page5_CHV_VE!$M16&lt;&gt;0,Page5_CHV_VE!$L16=0))</f>
        <v>0</v>
      </c>
      <c r="E732" s="1454" t="b">
        <f>IF(Page5_CHV_VE!$K$16=0,FALSE,OR(Page5_CHV_VE!$M$16/Page5_CHV_VE!$K$16&lt;INDEX(Min_Table,M732),Page5_CHV_VE!$M$16/Page5_CHV_VE!$K$16&gt;INDEX(Max_Table,M732)))</f>
        <v>0</v>
      </c>
      <c r="F732" s="1454"/>
      <c r="G732" s="1444" t="str">
        <f t="shared" si="92"/>
        <v/>
      </c>
      <c r="H732" s="1447" t="str">
        <f>IF(C732=TRUE,Comments!$B$20&amp;DOLLAR(INDEX(Min_Table,L732),0)&amp;Comments!$B$18&amp;DOLLAR(INDEX(Max_Table,L732),0)&amp;Comments!$B$19&amp;DOLLAR(Page5_CHV_VE!$M$16/Page5_CHV_VE!$K$16,0),"")</f>
        <v/>
      </c>
      <c r="I732" s="1446" t="str">
        <f>IF(D732=TRUE,Comments!$B$24,"")</f>
        <v/>
      </c>
      <c r="J732" s="1446" t="str">
        <f>IF(E732=TRUE,Comments!$B$22&amp;DOLLAR(INDEX(Min_Table,M732),0)&amp;Comments!$B$18&amp;DOLLAR(INDEX(Max_Table,M732),0)&amp;Comments!$B$19&amp;IFERROR(DOLLAR(Page5_CHV_VE!$M$16/Page5_CHV_VE!$K$16,0),0),"")</f>
        <v/>
      </c>
      <c r="K732" s="1452"/>
      <c r="L732" s="611">
        <f>ROW(OR_VEH!$A$667)</f>
        <v>667</v>
      </c>
      <c r="M732" s="611">
        <f>ROW(OR_VEH!$A$65)</f>
        <v>65</v>
      </c>
      <c r="N732" s="611" t="str">
        <f>"CPTE # "&amp;Page5_CHV_VE!$E$16&amp;"  "&amp;Page5_CHV_VE!$C$16&amp;" - COÛT DES VENTES - AAD"</f>
        <v>CPTE # 412B  NE PAS UTILISER - COÛT DES VENTES - AAD</v>
      </c>
      <c r="O732" s="611" t="str">
        <f t="shared" si="99"/>
        <v/>
      </c>
      <c r="P732" s="611" t="str">
        <f t="shared" si="93"/>
        <v>Page5_CHV_VE!M</v>
      </c>
      <c r="Q732" s="611">
        <f t="shared" si="94"/>
        <v>16</v>
      </c>
      <c r="R732" s="1447">
        <f t="shared" ca="1" si="95"/>
        <v>0</v>
      </c>
      <c r="S732" s="1447">
        <f t="shared" ca="1" si="96"/>
        <v>0</v>
      </c>
      <c r="T732" s="611">
        <v>22</v>
      </c>
      <c r="V732" s="2557" t="str">
        <f t="shared" ca="1" si="97"/>
        <v/>
      </c>
      <c r="W732" s="611" t="str">
        <f t="shared" ca="1" si="98"/>
        <v>Page5_CHV_VE, Ligne 13 [Page5_CHV_VE!M16]  -</v>
      </c>
    </row>
    <row r="733" spans="1:23">
      <c r="A733" s="1443" t="str">
        <f>celladdr(Page5_CHV_VE!M17)</f>
        <v>Page5_CHV_VE!M17</v>
      </c>
      <c r="B733" s="1456" t="s">
        <v>1086</v>
      </c>
      <c r="C733" s="1451" t="b">
        <f>IF(Page5_CHV_VE!$K$17=0,FALSE,OR(Page5_CHV_VE!$M$17/Page5_CHV_VE!$K$17&lt;INDEX(Min_Table,L733),Page5_CHV_VE!$M$17/Page5_CHV_VE!$K$17&gt;INDEX(Max_Table,L733)))</f>
        <v>0</v>
      </c>
      <c r="D733" s="1454" t="b">
        <f>OR(AND(Page5_CHV_VE!$L17&lt;&gt;0,Page5_CHV_VE!$M17=0),AND(Page5_CHV_VE!$M17&lt;&gt;0,Page5_CHV_VE!$L17=0))</f>
        <v>0</v>
      </c>
      <c r="E733" s="1454" t="b">
        <f>IF(Page5_CHV_VE!$K$17=0,FALSE,OR(Page5_CHV_VE!$M$17/Page5_CHV_VE!$K$17&lt;INDEX(Min_Table,M733),Page5_CHV_VE!$M$17/Page5_CHV_VE!$K$17&gt;INDEX(Max_Table,M733)))</f>
        <v>0</v>
      </c>
      <c r="F733" s="1454"/>
      <c r="G733" s="1444" t="str">
        <f t="shared" si="92"/>
        <v/>
      </c>
      <c r="H733" s="1447" t="str">
        <f>IF(C733=TRUE,Comments!$B$20&amp;DOLLAR(INDEX(Min_Table,L733),0)&amp;Comments!$B$18&amp;DOLLAR(INDEX(Max_Table,L733),0)&amp;Comments!$B$19&amp;DOLLAR(Page5_CHV_VE!$M$17/Page5_CHV_VE!$K$17,0),"")</f>
        <v/>
      </c>
      <c r="I733" s="1446" t="str">
        <f>IF(D733=TRUE,Comments!$B$24,"")</f>
        <v/>
      </c>
      <c r="J733" s="1446" t="str">
        <f>IF(E733=TRUE,Comments!$B$22&amp;DOLLAR(INDEX(Min_Table,M733),0)&amp;Comments!$B$18&amp;DOLLAR(INDEX(Max_Table,M733),0)&amp;Comments!$B$19&amp;IFERROR(DOLLAR(Page5_CHV_VE!$M$17/Page5_CHV_VE!$K$17,0),0),"")</f>
        <v/>
      </c>
      <c r="K733" s="1452"/>
      <c r="L733" s="611">
        <f>ROW(OR_VEH!$A$667)</f>
        <v>667</v>
      </c>
      <c r="M733" s="611">
        <f>ROW(OR_VEH!$A$66)</f>
        <v>66</v>
      </c>
      <c r="N733" s="611" t="str">
        <f>"CPTE # "&amp;Page5_CHV_VE!$E$17&amp;"  "&amp;Page5_CHV_VE!$C$17&amp;" - COÛT DES VENTES - AAD"</f>
        <v>CPTE # 413B  NE PAS UTILISER - COÛT DES VENTES - AAD</v>
      </c>
      <c r="O733" s="611" t="str">
        <f t="shared" si="99"/>
        <v/>
      </c>
      <c r="P733" s="611" t="str">
        <f t="shared" si="93"/>
        <v>Page5_CHV_VE!M</v>
      </c>
      <c r="Q733" s="611">
        <f t="shared" si="94"/>
        <v>17</v>
      </c>
      <c r="R733" s="1447">
        <f t="shared" ca="1" si="95"/>
        <v>0</v>
      </c>
      <c r="S733" s="1447">
        <f t="shared" ca="1" si="96"/>
        <v>0</v>
      </c>
      <c r="T733" s="611">
        <v>22</v>
      </c>
      <c r="V733" s="2557" t="str">
        <f t="shared" ca="1" si="97"/>
        <v/>
      </c>
      <c r="W733" s="611" t="str">
        <f t="shared" ca="1" si="98"/>
        <v>Page5_CHV_VE, Ligne 14 [Page5_CHV_VE!M17]  -</v>
      </c>
    </row>
    <row r="734" spans="1:23">
      <c r="A734" s="1443" t="str">
        <f>celladdr(Page5_CHV_VE!M18)</f>
        <v>Page5_CHV_VE!M18</v>
      </c>
      <c r="B734" s="1456" t="s">
        <v>1086</v>
      </c>
      <c r="C734" s="1451" t="b">
        <f>IF(Page5_CHV_VE!$K$18=0,FALSE,OR(Page5_CHV_VE!$M$18/Page5_CHV_VE!$K$18&lt;INDEX(Min_Table,L734),Page5_CHV_VE!$M$18/Page5_CHV_VE!$K$18&gt;INDEX(Max_Table,L734)))</f>
        <v>0</v>
      </c>
      <c r="D734" s="1454" t="b">
        <f>OR(AND(Page5_CHV_VE!$L18&lt;&gt;0,Page5_CHV_VE!$M18=0),AND(Page5_CHV_VE!$M18&lt;&gt;0,Page5_CHV_VE!$L18=0))</f>
        <v>0</v>
      </c>
      <c r="E734" s="1454" t="b">
        <f>IF(Page5_CHV_VE!$K$18=0,FALSE,OR(Page5_CHV_VE!$M$18/Page5_CHV_VE!$K$18&lt;INDEX(Min_Table,M734),Page5_CHV_VE!$M$18/Page5_CHV_VE!$K$18&gt;INDEX(Max_Table,M734)))</f>
        <v>0</v>
      </c>
      <c r="F734" s="1454"/>
      <c r="G734" s="1444" t="str">
        <f t="shared" si="92"/>
        <v/>
      </c>
      <c r="H734" s="1447" t="str">
        <f>IF(C734=TRUE,Comments!$B$20&amp;DOLLAR(INDEX(Min_Table,L734),0)&amp;Comments!$B$18&amp;DOLLAR(INDEX(Max_Table,L734),0)&amp;Comments!$B$19&amp;DOLLAR(Page5_CHV_VE!$M$18/Page5_CHV_VE!$K$18,0),"")</f>
        <v/>
      </c>
      <c r="I734" s="1446" t="str">
        <f>IF(D734=TRUE,Comments!$B$24,"")</f>
        <v/>
      </c>
      <c r="J734" s="1446" t="str">
        <f>IF(E734=TRUE,Comments!$B$22&amp;DOLLAR(INDEX(Min_Table,M734),0)&amp;Comments!$B$18&amp;DOLLAR(INDEX(Max_Table,M734),0)&amp;Comments!$B$19&amp;IFERROR(DOLLAR(Page5_CHV_VE!$M$18/Page5_CHV_VE!$K$18,0),0),"")</f>
        <v/>
      </c>
      <c r="K734" s="1452"/>
      <c r="L734" s="611">
        <f>ROW(OR_VEH!$A$667)</f>
        <v>667</v>
      </c>
      <c r="M734" s="611">
        <f>ROW(OR_VEH!$A$67)</f>
        <v>67</v>
      </c>
      <c r="N734" s="611" t="str">
        <f>"CPTE # "&amp;Page5_CHV_VE!$E$18&amp;"  "&amp;Page5_CHV_VE!$C$18&amp;" - COÛT DES VENTES - AAD"</f>
        <v>CPTE # 414B  NE PAS UTILISER - COÛT DES VENTES - AAD</v>
      </c>
      <c r="O734" s="611" t="str">
        <f t="shared" si="99"/>
        <v/>
      </c>
      <c r="P734" s="611" t="str">
        <f t="shared" si="93"/>
        <v>Page5_CHV_VE!M</v>
      </c>
      <c r="Q734" s="611">
        <f t="shared" si="94"/>
        <v>18</v>
      </c>
      <c r="R734" s="1447">
        <f t="shared" ca="1" si="95"/>
        <v>0</v>
      </c>
      <c r="S734" s="1447">
        <f t="shared" ca="1" si="96"/>
        <v>0</v>
      </c>
      <c r="T734" s="611">
        <v>22</v>
      </c>
      <c r="V734" s="2557" t="str">
        <f t="shared" ca="1" si="97"/>
        <v/>
      </c>
      <c r="W734" s="611" t="str">
        <f t="shared" ca="1" si="98"/>
        <v>Page5_CHV_VE, Ligne 15 [Page5_CHV_VE!M18]  -</v>
      </c>
    </row>
    <row r="735" spans="1:23">
      <c r="A735" s="1443" t="str">
        <f>celladdr(Page5_CHV_VE!M19)</f>
        <v>Page5_CHV_VE!M19</v>
      </c>
      <c r="B735" s="1456" t="s">
        <v>1086</v>
      </c>
      <c r="C735" s="1451" t="b">
        <f>IF(Page5_CHV_VE!$K$19=0,FALSE,OR(Page5_CHV_VE!$M$19/Page5_CHV_VE!$K$19&lt;INDEX(Min_Table,L735),Page5_CHV_VE!$M$19/Page5_CHV_VE!$K$19&gt;INDEX(Max_Table,L735)))</f>
        <v>0</v>
      </c>
      <c r="D735" s="1454" t="b">
        <f>OR(AND(Page5_CHV_VE!$L19&lt;&gt;0,Page5_CHV_VE!$M19=0),AND(Page5_CHV_VE!$M19&lt;&gt;0,Page5_CHV_VE!$L19=0))</f>
        <v>0</v>
      </c>
      <c r="E735" s="1454" t="b">
        <f>IF(Page5_CHV_VE!$K$19=0,FALSE,OR(Page5_CHV_VE!$M$19/Page5_CHV_VE!$K$19&lt;INDEX(Min_Table,M735),Page5_CHV_VE!$M$19/Page5_CHV_VE!$K$19&gt;INDEX(Max_Table,M735)))</f>
        <v>0</v>
      </c>
      <c r="F735" s="1454"/>
      <c r="G735" s="1444" t="str">
        <f t="shared" si="92"/>
        <v/>
      </c>
      <c r="H735" s="1447" t="str">
        <f>IF(C735=TRUE,Comments!$B$20&amp;DOLLAR(INDEX(Min_Table,L735),0)&amp;Comments!$B$18&amp;DOLLAR(INDEX(Max_Table,L735),0)&amp;Comments!$B$19&amp;DOLLAR(Page5_CHV_VE!$M$19/Page5_CHV_VE!$K$19,0),"")</f>
        <v/>
      </c>
      <c r="I735" s="1446" t="str">
        <f>IF(D735=TRUE,Comments!$B$24,"")</f>
        <v/>
      </c>
      <c r="J735" s="1446" t="str">
        <f>IF(E735=TRUE,Comments!$B$22&amp;DOLLAR(INDEX(Min_Table,M735),0)&amp;Comments!$B$18&amp;DOLLAR(INDEX(Max_Table,M735),0)&amp;Comments!$B$19&amp;IFERROR(DOLLAR(Page5_CHV_VE!$M$19/Page5_CHV_VE!$K$19,0),0),"")</f>
        <v/>
      </c>
      <c r="K735" s="1452"/>
      <c r="L735" s="611">
        <f>ROW(OR_VEH!$A$667)</f>
        <v>667</v>
      </c>
      <c r="M735" s="611">
        <f>ROW(OR_VEH!$A$68)</f>
        <v>68</v>
      </c>
      <c r="N735" s="611" t="str">
        <f>"CPTE # "&amp;Page5_CHV_VE!$E$19&amp;"  "&amp;Page5_CHV_VE!$C$19&amp;" - COÛT DES VENTES - AAD"</f>
        <v>CPTE # 415B  NE PAS UTILISER - COÛT DES VENTES - AAD</v>
      </c>
      <c r="O735" s="611" t="str">
        <f t="shared" si="99"/>
        <v/>
      </c>
      <c r="P735" s="611" t="str">
        <f t="shared" si="93"/>
        <v>Page5_CHV_VE!M</v>
      </c>
      <c r="Q735" s="611">
        <f t="shared" si="94"/>
        <v>19</v>
      </c>
      <c r="R735" s="1447">
        <f t="shared" ca="1" si="95"/>
        <v>0</v>
      </c>
      <c r="S735" s="1447">
        <f t="shared" ca="1" si="96"/>
        <v>0</v>
      </c>
      <c r="T735" s="611">
        <v>22</v>
      </c>
      <c r="V735" s="2557" t="str">
        <f t="shared" ca="1" si="97"/>
        <v/>
      </c>
      <c r="W735" s="611" t="str">
        <f t="shared" ca="1" si="98"/>
        <v>Page5_CHV_VE, Ligne 16 [Page5_CHV_VE!M19]  -</v>
      </c>
    </row>
    <row r="736" spans="1:23">
      <c r="A736" s="1443" t="str">
        <f>celladdr(Page5_CHV_VE!M20)</f>
        <v>Page5_CHV_VE!M20</v>
      </c>
      <c r="B736" s="1456" t="s">
        <v>1086</v>
      </c>
      <c r="C736" s="1451"/>
      <c r="D736" s="1454"/>
      <c r="E736" s="1454"/>
      <c r="F736" s="1454"/>
      <c r="G736" s="1444" t="str">
        <f t="shared" si="92"/>
        <v/>
      </c>
      <c r="I736" s="1446"/>
      <c r="J736" s="1446"/>
      <c r="K736" s="1452"/>
      <c r="L736" s="611">
        <f>ROW(OR_VEH!$A$667)</f>
        <v>667</v>
      </c>
      <c r="M736" s="611">
        <f>ROW(OR_VEH!$A$69)</f>
        <v>69</v>
      </c>
      <c r="N736" s="611" t="str">
        <f>"CPTE # "&amp;Page5_CHV_VE!$E$20&amp;"  "&amp;Page5_CHV_VE!$C$20&amp;" - COÛT DES VENTES - AAD"</f>
        <v>CPTE # 416B  NE PAS UTILISER - COÛT DES VENTES - AAD</v>
      </c>
      <c r="O736" s="611" t="str">
        <f t="shared" si="99"/>
        <v/>
      </c>
      <c r="P736" s="611" t="str">
        <f t="shared" si="93"/>
        <v>Page5_CHV_VE!M</v>
      </c>
      <c r="Q736" s="611">
        <f t="shared" si="94"/>
        <v>20</v>
      </c>
      <c r="R736" s="1447">
        <f t="shared" ca="1" si="95"/>
        <v>0</v>
      </c>
      <c r="S736" s="1447">
        <f t="shared" ca="1" si="96"/>
        <v>0</v>
      </c>
      <c r="T736" s="611">
        <v>22</v>
      </c>
      <c r="V736" s="2557" t="str">
        <f t="shared" ca="1" si="97"/>
        <v/>
      </c>
      <c r="W736" s="611" t="str">
        <f t="shared" ca="1" si="98"/>
        <v>Page5_CHV_VE, Ligne 17 [Page5_CHV_VE!M20]  -</v>
      </c>
    </row>
    <row r="737" spans="1:23">
      <c r="A737" s="1443" t="str">
        <f>celladdr(Page5_CHV_VE!M21)</f>
        <v>Page5_CHV_VE!M21</v>
      </c>
      <c r="B737" s="1456" t="s">
        <v>1086</v>
      </c>
      <c r="C737" s="1451" t="b">
        <f>IF(Page5_CHV_VE!$K$21=0,FALSE,OR(Page5_CHV_VE!$M$21/Page5_CHV_VE!$K$21&lt;INDEX(Min_Table,L737),Page5_CHV_VE!$M$21/Page5_CHV_VE!$K$21&gt;INDEX(Max_Table,L737)))</f>
        <v>0</v>
      </c>
      <c r="D737" s="1454" t="b">
        <f>OR(AND(Page5_CHV_VE!$L21&lt;&gt;0,Page5_CHV_VE!$M21=0),AND(Page5_CHV_VE!$M21&lt;&gt;0,Page5_CHV_VE!$L21=0))</f>
        <v>0</v>
      </c>
      <c r="E737" s="1454" t="b">
        <f>IF(Page5_CHV_VE!$K$21=0,FALSE,OR(Page5_CHV_VE!$M$21/Page5_CHV_VE!$K$21&lt;INDEX(Min_Table,M737),Page5_CHV_VE!$M$21/Page5_CHV_VE!$K$21&gt;INDEX(Max_Table,M737)))</f>
        <v>0</v>
      </c>
      <c r="F737" s="1454"/>
      <c r="G737" s="1444" t="str">
        <f t="shared" si="92"/>
        <v/>
      </c>
      <c r="H737" s="1447" t="str">
        <f>IF(C737=TRUE,Comments!$B$20&amp;DOLLAR(INDEX(Min_Table,L737),0)&amp;Comments!$B$18&amp;DOLLAR(INDEX(Max_Table,L737),0)&amp;Comments!$B$19&amp;DOLLAR(Page5_CHV_VE!$M$21/Page5_CHV_VE!$K$21,0),"")</f>
        <v/>
      </c>
      <c r="I737" s="1446" t="str">
        <f>IF(D737=TRUE,Comments!$B$24,"")</f>
        <v/>
      </c>
      <c r="J737" s="1446" t="str">
        <f>IF(E737=TRUE,Comments!$B$22&amp;DOLLAR(INDEX(Min_Table,M737),0)&amp;Comments!$B$18&amp;DOLLAR(INDEX(Max_Table,M737),0)&amp;Comments!$B$19&amp;IFERROR(DOLLAR(Page5_CHV_VE!$M$21/Page5_CHV_VE!$K$21,0),0),"")</f>
        <v/>
      </c>
      <c r="K737" s="1452"/>
      <c r="L737" s="611">
        <f>ROW(OR_VEH!$A$667)</f>
        <v>667</v>
      </c>
      <c r="M737" s="611">
        <f>ROW(OR_VEH!$A$70)</f>
        <v>70</v>
      </c>
      <c r="N737" s="611" t="str">
        <f>"CPTE # "&amp;Page5_CHV_VE!$E$21&amp;"  "&amp;Page5_CHV_VE!$C$21&amp;" - COÛT DES VENTES - AAD"</f>
        <v>CPTE # 417B  NE PAS UTILISER - COÛT DES VENTES - AAD</v>
      </c>
      <c r="O737" s="611" t="str">
        <f t="shared" si="99"/>
        <v/>
      </c>
      <c r="P737" s="611" t="str">
        <f t="shared" si="93"/>
        <v>Page5_CHV_VE!M</v>
      </c>
      <c r="Q737" s="611">
        <f t="shared" si="94"/>
        <v>21</v>
      </c>
      <c r="R737" s="1447">
        <f t="shared" ca="1" si="95"/>
        <v>0</v>
      </c>
      <c r="S737" s="1447">
        <f t="shared" ca="1" si="96"/>
        <v>0</v>
      </c>
      <c r="T737" s="611">
        <v>22</v>
      </c>
      <c r="V737" s="2557" t="str">
        <f t="shared" ca="1" si="97"/>
        <v/>
      </c>
      <c r="W737" s="611" t="str">
        <f t="shared" ca="1" si="98"/>
        <v>Page5_CHV_VE, Ligne 18 [Page5_CHV_VE!M21]  -</v>
      </c>
    </row>
    <row r="738" spans="1:23">
      <c r="A738" s="1443" t="str">
        <f>celladdr(Page5_CHV_VE!M22)</f>
        <v>Page5_CHV_VE!M22</v>
      </c>
      <c r="B738" s="1456" t="s">
        <v>1086</v>
      </c>
      <c r="C738" s="1451" t="b">
        <f>IF(Page5_CHV_VE!$K$22=0,FALSE,OR(Page5_CHV_VE!$M$22/Page5_CHV_VE!$K$22&lt;INDEX(Min_Table,L738),Page5_CHV_VE!$M$22/Page5_CHV_VE!$K$22&gt;INDEX(Max_Table,L738)))</f>
        <v>0</v>
      </c>
      <c r="D738" s="1454" t="b">
        <f>OR(AND(Page5_CHV_VE!$L22&lt;&gt;0,Page5_CHV_VE!$M22=0),AND(Page5_CHV_VE!$M22&lt;&gt;0,Page5_CHV_VE!$L22=0))</f>
        <v>0</v>
      </c>
      <c r="E738" s="1454" t="b">
        <f>IF(Page5_CHV_VE!$K$22=0,FALSE,OR(Page5_CHV_VE!$M$22/Page5_CHV_VE!$K$22&lt;INDEX(Min_Table,M738),Page5_CHV_VE!$M$22/Page5_CHV_VE!$K$22&gt;INDEX(Max_Table,M738)))</f>
        <v>0</v>
      </c>
      <c r="F738" s="1454"/>
      <c r="G738" s="1444" t="str">
        <f t="shared" si="92"/>
        <v/>
      </c>
      <c r="H738" s="1447" t="str">
        <f>IF(C738=TRUE,Comments!$B$20&amp;DOLLAR(INDEX(Min_Table,L738),0)&amp;Comments!$B$18&amp;DOLLAR(INDEX(Max_Table,L738),0)&amp;Comments!$B$19&amp;DOLLAR(Page5_CHV_VE!$M$22/Page5_CHV_VE!$K$22,0),"")</f>
        <v/>
      </c>
      <c r="I738" s="1446" t="str">
        <f>IF(D738=TRUE,Comments!$B$24,"")</f>
        <v/>
      </c>
      <c r="J738" s="1446" t="str">
        <f>IF(E738=TRUE,Comments!$B$22&amp;DOLLAR(INDEX(Min_Table,M738),0)&amp;Comments!$B$18&amp;DOLLAR(INDEX(Max_Table,M738),0)&amp;Comments!$B$19&amp;IFERROR(DOLLAR(Page5_CHV_VE!$M$22/Page5_CHV_VE!$K$22,0),0),"")</f>
        <v/>
      </c>
      <c r="K738" s="1452"/>
      <c r="L738" s="611">
        <f>ROW(OR_VEH!$A$667)</f>
        <v>667</v>
      </c>
      <c r="M738" s="611">
        <f>ROW(OR_VEH!$A$71)</f>
        <v>71</v>
      </c>
      <c r="N738" s="611" t="str">
        <f>"CPTE # "&amp;Page5_CHV_VE!$E$22&amp;"  "&amp;Page5_CHV_VE!$C$22&amp;" - COÛT DES VENTES - AAD"</f>
        <v>CPTE # 418B  NE PAS UTILISER - COÛT DES VENTES - AAD</v>
      </c>
      <c r="O738" s="611" t="str">
        <f t="shared" si="99"/>
        <v/>
      </c>
      <c r="P738" s="611" t="str">
        <f t="shared" si="93"/>
        <v>Page5_CHV_VE!M</v>
      </c>
      <c r="Q738" s="611">
        <f t="shared" si="94"/>
        <v>22</v>
      </c>
      <c r="R738" s="1447">
        <f t="shared" ca="1" si="95"/>
        <v>0</v>
      </c>
      <c r="S738" s="1447">
        <f t="shared" ca="1" si="96"/>
        <v>0</v>
      </c>
      <c r="T738" s="611">
        <v>22</v>
      </c>
      <c r="V738" s="2557" t="str">
        <f t="shared" ca="1" si="97"/>
        <v/>
      </c>
      <c r="W738" s="611" t="str">
        <f t="shared" ca="1" si="98"/>
        <v>Page5_CHV_VE, Ligne 19 [Page5_CHV_VE!M22]  -</v>
      </c>
    </row>
    <row r="739" spans="1:23">
      <c r="A739" s="1443" t="str">
        <f>celladdr(Page5_CHV_VE!M23)</f>
        <v>Page5_CHV_VE!M23</v>
      </c>
      <c r="B739" s="1444" t="s">
        <v>1086</v>
      </c>
      <c r="C739" s="1451"/>
      <c r="D739" s="1454"/>
      <c r="E739" s="1454"/>
      <c r="F739" s="1454"/>
      <c r="G739" s="1444" t="str">
        <f t="shared" si="92"/>
        <v/>
      </c>
      <c r="H739" s="1447" t="str">
        <f>IF(C739=TRUE,Comments!$B$26,"")</f>
        <v/>
      </c>
      <c r="I739" s="1446" t="str">
        <f>IF(D739=TRUE,Comments!$B$24,"")</f>
        <v/>
      </c>
      <c r="J739" s="1446"/>
      <c r="K739" s="1452"/>
      <c r="O739" s="611" t="str">
        <f t="shared" si="99"/>
        <v/>
      </c>
      <c r="P739" s="611" t="str">
        <f t="shared" si="93"/>
        <v>Page5_CHV_VE!M</v>
      </c>
      <c r="Q739" s="611">
        <f t="shared" si="94"/>
        <v>23</v>
      </c>
      <c r="R739" s="1447">
        <f t="shared" ca="1" si="95"/>
        <v>0</v>
      </c>
      <c r="S739" s="1447">
        <f t="shared" ca="1" si="96"/>
        <v>0</v>
      </c>
      <c r="V739" s="2557" t="str">
        <f t="shared" ca="1" si="97"/>
        <v/>
      </c>
      <c r="W739" s="611" t="str">
        <f t="shared" ca="1" si="98"/>
        <v>Page5_CHV_VE, Ligne 20 [Page5_CHV_VE!M23]  -</v>
      </c>
    </row>
    <row r="740" spans="1:23">
      <c r="A740" s="1443" t="str">
        <f>celladdr(Page5_CHV_VE!M24)</f>
        <v>Page5_CHV_VE!M24</v>
      </c>
      <c r="B740" s="1456" t="s">
        <v>1086</v>
      </c>
      <c r="C740" s="1451" t="b">
        <f>IF(Page5_CHV_VE!$K$24=0,FALSE,OR(Page5_CHV_VE!$M$24/Page5_CHV_VE!$K$24&lt;INDEX(Min_Table,L740),Page5_CHV_VE!$M$24/Page5_CHV_VE!$K$24&gt;INDEX(Max_Table,L740)))</f>
        <v>0</v>
      </c>
      <c r="D740" s="1454" t="b">
        <f>OR(AND(Page5_CHV_VE!$L24&lt;&gt;0,Page5_CHV_VE!$M24=0),AND(Page5_CHV_VE!$M24&lt;&gt;0,Page5_CHV_VE!$L24=0))</f>
        <v>0</v>
      </c>
      <c r="E740" s="1454" t="b">
        <f>IF(Page5_CHV_VE!$K$24=0,FALSE,OR(Page5_CHV_VE!$M$24/Page5_CHV_VE!$K$24&lt;INDEX(Min_Table,M740),Page5_CHV_VE!$M$24/Page5_CHV_VE!$K$24&gt;INDEX(Max_Table,M740)))</f>
        <v>0</v>
      </c>
      <c r="F740" s="1454"/>
      <c r="G740" s="1444" t="str">
        <f t="shared" si="92"/>
        <v/>
      </c>
      <c r="H740" s="1447" t="str">
        <f>IF(C740=TRUE,Comments!$B$20&amp;DOLLAR(INDEX(Min_Table,L740),0)&amp;Comments!$B$18&amp;DOLLAR(INDEX(Max_Table,L740),0)&amp;Comments!$B$19&amp;DOLLAR(Page5_CHV_VE!$M$24/Page5_CHV_VE!$K$24,0),"")</f>
        <v/>
      </c>
      <c r="I740" s="1446" t="str">
        <f>IF(D740=TRUE,Comments!$B$24,"")</f>
        <v/>
      </c>
      <c r="J740" s="1446" t="str">
        <f>IF(E740=TRUE,Comments!$B$22&amp;DOLLAR(INDEX(Min_Table,M740),0)&amp;Comments!$B$18&amp;DOLLAR(INDEX(Max_Table,M740),0)&amp;Comments!$B$19&amp;IFERROR(DOLLAR(Page5_CHV_VE!$M$24/Page5_CHV_VE!$K$24,0),0),"")</f>
        <v/>
      </c>
      <c r="K740" s="1452"/>
      <c r="L740" s="611">
        <f>ROW(OR_VEH!$A$667)</f>
        <v>667</v>
      </c>
      <c r="M740" s="611">
        <f>ROW(OR_VEH!$A$73)</f>
        <v>73</v>
      </c>
      <c r="N740" s="611" t="str">
        <f>"CPTE # "&amp;Page5_CHV_VE!$E$24&amp;"  "&amp;Page5_CHV_VE!$C$24&amp;" - COÛT DES VENTES - AAD"</f>
        <v>CPTE # 419B  MÉMO* VENTES INTERNET VOITURES - COÛT DES VENTES - AAD</v>
      </c>
      <c r="O740" s="611" t="str">
        <f t="shared" si="99"/>
        <v/>
      </c>
      <c r="P740" s="611" t="str">
        <f t="shared" si="93"/>
        <v>Page5_CHV_VE!M</v>
      </c>
      <c r="Q740" s="611">
        <f t="shared" si="94"/>
        <v>24</v>
      </c>
      <c r="R740" s="1447">
        <f t="shared" ca="1" si="95"/>
        <v>0</v>
      </c>
      <c r="S740" s="1447">
        <f t="shared" ca="1" si="96"/>
        <v>0</v>
      </c>
      <c r="T740" s="611">
        <v>22</v>
      </c>
      <c r="V740" s="2557" t="str">
        <f t="shared" ca="1" si="97"/>
        <v/>
      </c>
      <c r="W740" s="611" t="str">
        <f t="shared" ca="1" si="98"/>
        <v>Page5_CHV_VE, Ligne 21 [Page5_CHV_VE!M24]  -</v>
      </c>
    </row>
    <row r="741" spans="1:23">
      <c r="A741" s="1443" t="str">
        <f>celladdr(Page5_CHV_VE!M25)</f>
        <v>Page5_CHV_VE!M25</v>
      </c>
      <c r="B741" s="1456" t="s">
        <v>1086</v>
      </c>
      <c r="C741" s="1451" t="b">
        <f>IF(Page5_CHV_VE!$K$25=0,FALSE,OR(Page5_CHV_VE!$M$25/Page5_CHV_VE!$K$25&lt;INDEX(Min_Table,L741),Page5_CHV_VE!$M$25/Page5_CHV_VE!$K$25&gt;INDEX(Max_Table,L741)))</f>
        <v>0</v>
      </c>
      <c r="D741" s="1454" t="b">
        <f>OR(AND(Page5_CHV_VE!$L25&lt;&gt;0,Page5_CHV_VE!$M25=0),AND(Page5_CHV_VE!$M25&lt;&gt;0,Page5_CHV_VE!$L25=0))</f>
        <v>0</v>
      </c>
      <c r="E741" s="1454" t="b">
        <f>IF(Page5_CHV_VE!$K$25=0,FALSE,OR(Page5_CHV_VE!$M$25/Page5_CHV_VE!$K$25&lt;INDEX(Min_Table,M741),Page5_CHV_VE!$M$25/Page5_CHV_VE!$K$25&gt;INDEX(Max_Table,M741)))</f>
        <v>0</v>
      </c>
      <c r="F741" s="1454"/>
      <c r="G741" s="1444" t="str">
        <f t="shared" si="92"/>
        <v/>
      </c>
      <c r="H741" s="1447" t="str">
        <f>IF(C741=TRUE,Comments!$B$20&amp;DOLLAR(INDEX(Min_Table,L741),0)&amp;Comments!$B$18&amp;DOLLAR(INDEX(Max_Table,L741),0)&amp;Comments!$B$19&amp;DOLLAR(Page5_CHV_VE!$M$25/Page5_CHV_VE!$K$25,0),"")</f>
        <v/>
      </c>
      <c r="I741" s="1446" t="str">
        <f>IF(D741=TRUE,Comments!$B$24,"")</f>
        <v/>
      </c>
      <c r="J741" s="1446" t="str">
        <f>IF(E741=TRUE,Comments!$B$22&amp;DOLLAR(INDEX(Min_Table,M741),0)&amp;Comments!$B$18&amp;DOLLAR(INDEX(Max_Table,M741),0)&amp;Comments!$B$19&amp;IFERROR(DOLLAR(Page5_CHV_VE!$M$25/Page5_CHV_VE!$K$25,0),0),"")</f>
        <v/>
      </c>
      <c r="K741" s="1452"/>
      <c r="L741" s="611">
        <f>ROW(OR_VEH!$A$667)</f>
        <v>667</v>
      </c>
      <c r="M741" s="611">
        <f>ROW(OR_VEH!$A$74)</f>
        <v>74</v>
      </c>
      <c r="N741" s="611" t="str">
        <f>"CPTE # "&amp;Page5_CHV_VE!$E$25&amp;"  "&amp;Page5_CHV_VE!$C$25&amp;" - COÛT DES VENTES - AAD"</f>
        <v>CPTE # DE PG PARCS  TOTAL PARCS - VOITURES - COÛT DES VENTES - AAD</v>
      </c>
      <c r="O741" s="611" t="str">
        <f t="shared" si="99"/>
        <v/>
      </c>
      <c r="P741" s="611" t="str">
        <f t="shared" si="93"/>
        <v>Page5_CHV_VE!M</v>
      </c>
      <c r="Q741" s="611">
        <f t="shared" si="94"/>
        <v>25</v>
      </c>
      <c r="R741" s="1447">
        <f t="shared" ca="1" si="95"/>
        <v>0</v>
      </c>
      <c r="S741" s="1447">
        <f t="shared" ca="1" si="96"/>
        <v>0</v>
      </c>
      <c r="T741" s="611">
        <v>22</v>
      </c>
      <c r="V741" s="2557" t="str">
        <f t="shared" ca="1" si="97"/>
        <v/>
      </c>
      <c r="W741" s="611" t="str">
        <f t="shared" ca="1" si="98"/>
        <v>Page5_CHV_VE, Ligne 22 [Page5_CHV_VE!M25]  -</v>
      </c>
    </row>
    <row r="742" spans="1:23">
      <c r="A742" s="1443" t="str">
        <f>celladdr(Page5_CHV_VE!M26)</f>
        <v>Page5_CHV_VE!M26</v>
      </c>
      <c r="B742" s="1456" t="s">
        <v>1086</v>
      </c>
      <c r="C742" s="1451" t="b">
        <f>IF(Page5_CHV_VE!$K$26=0,FALSE,OR(Page5_CHV_VE!$M$26/Page5_CHV_VE!$K$26&lt;INDEX(Min_Table,L742),Page5_CHV_VE!$M$26/Page5_CHV_VE!$K$26&gt;INDEX(Max_Table,L742)))</f>
        <v>0</v>
      </c>
      <c r="D742" s="1454" t="b">
        <f>OR(AND(Page5_CHV_VE!$L26&lt;&gt;0,Page5_CHV_VE!$M26=0),AND(Page5_CHV_VE!$M26&lt;&gt;0,Page5_CHV_VE!$L26=0))</f>
        <v>0</v>
      </c>
      <c r="E742" s="1454" t="b">
        <f>IF(Page5_CHV_VE!$K$26=0,FALSE,OR(Page5_CHV_VE!$M$26/Page5_CHV_VE!$K$26&lt;INDEX(Min_Table,M742),Page5_CHV_VE!$M$26/Page5_CHV_VE!$K$26&gt;INDEX(Max_Table,M742)))</f>
        <v>0</v>
      </c>
      <c r="F742" s="1454"/>
      <c r="G742" s="1444" t="str">
        <f t="shared" si="92"/>
        <v/>
      </c>
      <c r="H742" s="1447" t="str">
        <f>IF(C742=TRUE,Comments!$B$20&amp;DOLLAR(INDEX(Min_Table,L742),0)&amp;Comments!$B$18&amp;DOLLAR(INDEX(Max_Table,L742),0)&amp;Comments!$B$19&amp;DOLLAR(Page5_CHV_VE!$M$26/Page5_CHV_VE!$K$26,0),"")</f>
        <v/>
      </c>
      <c r="I742" s="1446" t="str">
        <f>IF(D742=TRUE,Comments!$B$24,"")</f>
        <v/>
      </c>
      <c r="J742" s="1446" t="str">
        <f>IF(E742=TRUE,Comments!$B$22&amp;DOLLAR(INDEX(Min_Table,M742),0)&amp;Comments!$B$18&amp;DOLLAR(INDEX(Max_Table,M742),0)&amp;Comments!$B$19&amp;IFERROR(DOLLAR(Page5_CHV_VE!$M$26/Page5_CHV_VE!$K$26,0),0),"")</f>
        <v/>
      </c>
      <c r="K742" s="1452"/>
      <c r="L742" s="611">
        <f>ROW(OR_VEH!$A$667)</f>
        <v>667</v>
      </c>
      <c r="M742" s="611">
        <f>ROW(OR_VEH!$A$75)</f>
        <v>75</v>
      </c>
      <c r="N742" s="611" t="str">
        <f>"CPTE # "&amp;Page5_CHV_VE!$E$26&amp;"  "&amp;Page5_CHV_VE!$C$26&amp;" - COÛT DES VENTES - AAD"</f>
        <v>CPTE # 421B  TOTAL INTERNE - VOITURES - COÛT DES VENTES - AAD</v>
      </c>
      <c r="O742" s="611" t="str">
        <f t="shared" si="99"/>
        <v/>
      </c>
      <c r="P742" s="611" t="str">
        <f t="shared" si="93"/>
        <v>Page5_CHV_VE!M</v>
      </c>
      <c r="Q742" s="611">
        <f t="shared" si="94"/>
        <v>26</v>
      </c>
      <c r="R742" s="1447">
        <f t="shared" ca="1" si="95"/>
        <v>0</v>
      </c>
      <c r="S742" s="1447">
        <f t="shared" ca="1" si="96"/>
        <v>0</v>
      </c>
      <c r="T742" s="611">
        <v>22</v>
      </c>
      <c r="V742" s="2557" t="str">
        <f t="shared" ca="1" si="97"/>
        <v/>
      </c>
      <c r="W742" s="611" t="str">
        <f t="shared" ca="1" si="98"/>
        <v>Page5_CHV_VE, Ligne 23 [Page5_CHV_VE!M26]  -</v>
      </c>
    </row>
    <row r="743" spans="1:23">
      <c r="A743" s="1443" t="str">
        <f>celladdr(Page5_CHV_VE!M27)</f>
        <v>Page5_CHV_VE!M27</v>
      </c>
      <c r="B743" s="1444" t="s">
        <v>1086</v>
      </c>
      <c r="C743" s="1451"/>
      <c r="D743" s="1454"/>
      <c r="E743" s="1454"/>
      <c r="F743" s="1454"/>
      <c r="G743" s="1444" t="str">
        <f t="shared" si="92"/>
        <v/>
      </c>
      <c r="H743" s="1447" t="str">
        <f>IF(C743=TRUE,Comments!$B$26,"")</f>
        <v/>
      </c>
      <c r="I743" s="1446" t="str">
        <f>IF(D743=TRUE,Comments!$B$24,"")</f>
        <v/>
      </c>
      <c r="J743" s="1446"/>
      <c r="K743" s="1452"/>
      <c r="O743" s="611" t="str">
        <f t="shared" si="99"/>
        <v/>
      </c>
      <c r="P743" s="611" t="str">
        <f t="shared" si="93"/>
        <v>Page5_CHV_VE!M</v>
      </c>
      <c r="Q743" s="611">
        <f t="shared" si="94"/>
        <v>27</v>
      </c>
      <c r="R743" s="1447">
        <f t="shared" ca="1" si="95"/>
        <v>0</v>
      </c>
      <c r="S743" s="1447">
        <f t="shared" ca="1" si="96"/>
        <v>0</v>
      </c>
      <c r="V743" s="2557" t="str">
        <f t="shared" ca="1" si="97"/>
        <v/>
      </c>
      <c r="W743" s="611" t="str">
        <f t="shared" ca="1" si="98"/>
        <v>Page5_CHV_VE, Ligne 24 [Page5_CHV_VE!M27]  -</v>
      </c>
    </row>
    <row r="744" spans="1:23">
      <c r="A744" s="1443" t="str">
        <f>celladdr(Page5_CHV_VE!M28)</f>
        <v>Page5_CHV_VE!M28</v>
      </c>
      <c r="B744" s="1456" t="s">
        <v>1086</v>
      </c>
      <c r="C744" s="1451" t="b">
        <f>IF(Page5_CHV_VE!$K$28=0,FALSE,OR(Page5_CHV_VE!$M$28/Page5_CHV_VE!$K$28&lt;INDEX(Min_Table,L744),Page5_CHV_VE!$M$28/Page5_CHV_VE!$K$28&gt;INDEX(Max_Table,L744)))</f>
        <v>0</v>
      </c>
      <c r="D744" s="1454" t="b">
        <f>OR(AND(Page5_CHV_VE!$L28&lt;&gt;0,Page5_CHV_VE!$M28=0),AND(Page5_CHV_VE!$M28&lt;&gt;0,Page5_CHV_VE!$L28=0))</f>
        <v>0</v>
      </c>
      <c r="E744" s="1454" t="b">
        <f>IF(Page5_CHV_VE!$K$28=0,FALSE,OR(Page5_CHV_VE!$M$28/Page5_CHV_VE!$K$28&lt;INDEX(Min_Table,M744),Page5_CHV_VE!$M$28/Page5_CHV_VE!$K$28&gt;INDEX(Max_Table,M744)))</f>
        <v>0</v>
      </c>
      <c r="F744" s="1454"/>
      <c r="G744" s="1444" t="str">
        <f t="shared" si="92"/>
        <v/>
      </c>
      <c r="H744" s="1447" t="str">
        <f>IF(C744=TRUE,Comments!$B$20&amp;DOLLAR(INDEX(Min_Table,L744),0)&amp;Comments!$B$18&amp;DOLLAR(INDEX(Max_Table,L744),0)&amp;Comments!$B$19&amp;DOLLAR(Page5_CHV_VE!$M$28/Page5_CHV_VE!$K$28,0),"")</f>
        <v/>
      </c>
      <c r="I744" s="1446" t="str">
        <f>IF(D744=TRUE,Comments!$B$24,"")</f>
        <v/>
      </c>
      <c r="J744" s="1446" t="str">
        <f>IF(E744=TRUE,Comments!$B$22&amp;DOLLAR(INDEX(Min_Table,M744),0)&amp;Comments!$B$18&amp;DOLLAR(INDEX(Max_Table,M744),0)&amp;Comments!$B$19&amp;IFERROR(DOLLAR(Page5_CHV_VE!$M$28/Page5_CHV_VE!$K$28,0),0),"")</f>
        <v/>
      </c>
      <c r="K744" s="1452"/>
      <c r="L744" s="611">
        <f>ROW(OR_VEH!$A$667)</f>
        <v>667</v>
      </c>
      <c r="M744" s="611">
        <f>ROW(OR_VEH!$A$77)</f>
        <v>77</v>
      </c>
      <c r="N744" s="611" t="str">
        <f>"CPTE # "&amp;Page5_CHV_VE!$E$28&amp;"  "&amp;Page5_CHV_VE!$C$28&amp;" - COÛT DES VENTES - AAD"</f>
        <v>CPTE # 423B  BOLT EUV - COÛT DES VENTES - AAD</v>
      </c>
      <c r="O744" s="611" t="str">
        <f t="shared" si="99"/>
        <v/>
      </c>
      <c r="P744" s="611" t="str">
        <f t="shared" si="93"/>
        <v>Page5_CHV_VE!M</v>
      </c>
      <c r="Q744" s="611">
        <f t="shared" si="94"/>
        <v>28</v>
      </c>
      <c r="R744" s="1447">
        <f t="shared" ca="1" si="95"/>
        <v>0</v>
      </c>
      <c r="S744" s="1447">
        <f t="shared" ca="1" si="96"/>
        <v>0</v>
      </c>
      <c r="T744" s="611">
        <v>22</v>
      </c>
      <c r="V744" s="2557" t="str">
        <f t="shared" ca="1" si="97"/>
        <v/>
      </c>
      <c r="W744" s="611" t="str">
        <f t="shared" ca="1" si="98"/>
        <v>Page5_CHV_VE, Ligne 25 [Page5_CHV_VE!M28]  -</v>
      </c>
    </row>
    <row r="745" spans="1:23">
      <c r="A745" s="1443" t="str">
        <f>celladdr(Page5_CHV_VE!M29)</f>
        <v>Page5_CHV_VE!M29</v>
      </c>
      <c r="B745" s="1456" t="s">
        <v>1086</v>
      </c>
      <c r="C745" s="1451" t="b">
        <f>IF(Page5_CHV_VE!$K$29=0,FALSE,OR(Page5_CHV_VE!$M$29/Page5_CHV_VE!$K$29&lt;INDEX(Min_Table,L745),Page5_CHV_VE!$M$29/Page5_CHV_VE!$K$29&gt;INDEX(Max_Table,L745)))</f>
        <v>0</v>
      </c>
      <c r="D745" s="1454" t="b">
        <f>OR(AND(Page5_CHV_VE!$L29&lt;&gt;0,Page5_CHV_VE!$M29=0),AND(Page5_CHV_VE!$M29&lt;&gt;0,Page5_CHV_VE!$L29=0))</f>
        <v>0</v>
      </c>
      <c r="E745" s="1454" t="b">
        <f>IF(Page5_CHV_VE!$K$29=0,FALSE,OR(Page5_CHV_VE!$M$29/Page5_CHV_VE!$K$29&lt;INDEX(Min_Table,M745),Page5_CHV_VE!$M$29/Page5_CHV_VE!$K$29&gt;INDEX(Max_Table,M745)))</f>
        <v>0</v>
      </c>
      <c r="F745" s="1454"/>
      <c r="G745" s="1444" t="str">
        <f t="shared" si="92"/>
        <v/>
      </c>
      <c r="H745" s="1447" t="str">
        <f>IF(C745=TRUE,Comments!$B$20&amp;DOLLAR(INDEX(Min_Table,L745),0)&amp;Comments!$B$18&amp;DOLLAR(INDEX(Max_Table,L745),0)&amp;Comments!$B$19&amp;DOLLAR(Page5_CHV_VE!$M$29/Page5_CHV_VE!$K$29,0),"")</f>
        <v/>
      </c>
      <c r="I745" s="1446" t="str">
        <f>IF(D745=TRUE,Comments!$B$24,"")</f>
        <v/>
      </c>
      <c r="J745" s="1446" t="str">
        <f>IF(E745=TRUE,Comments!$B$22&amp;DOLLAR(INDEX(Min_Table,M745),0)&amp;Comments!$B$18&amp;DOLLAR(INDEX(Max_Table,M745),0)&amp;Comments!$B$19&amp;IFERROR(DOLLAR(Page5_CHV_VE!$M$29/Page5_CHV_VE!$K$29,0),0),"")</f>
        <v/>
      </c>
      <c r="K745" s="1452"/>
      <c r="L745" s="611">
        <f>ROW(OR_VEH!$A$667)</f>
        <v>667</v>
      </c>
      <c r="M745" s="611">
        <f>ROW(OR_VEH!$A$78)</f>
        <v>78</v>
      </c>
      <c r="N745" s="611" t="str">
        <f>"CPTE # "&amp;Page5_CHV_VE!$E$29&amp;"  "&amp;Page5_CHV_VE!$C$29&amp;" - COÛT DES VENTES - AAD"</f>
        <v>CPTE # 424B  BOLT EV - COÛT DES VENTES - AAD</v>
      </c>
      <c r="O745" s="611" t="str">
        <f t="shared" si="99"/>
        <v/>
      </c>
      <c r="P745" s="611" t="str">
        <f t="shared" si="93"/>
        <v>Page5_CHV_VE!M</v>
      </c>
      <c r="Q745" s="611">
        <f t="shared" si="94"/>
        <v>29</v>
      </c>
      <c r="R745" s="1447">
        <f t="shared" ca="1" si="95"/>
        <v>0</v>
      </c>
      <c r="S745" s="1447">
        <f t="shared" ca="1" si="96"/>
        <v>0</v>
      </c>
      <c r="T745" s="611">
        <v>22</v>
      </c>
      <c r="V745" s="2557" t="str">
        <f t="shared" ca="1" si="97"/>
        <v/>
      </c>
      <c r="W745" s="611" t="str">
        <f t="shared" ca="1" si="98"/>
        <v>Page5_CHV_VE, Ligne 26 [Page5_CHV_VE!M29]  -</v>
      </c>
    </row>
    <row r="746" spans="1:23">
      <c r="A746" s="1443" t="str">
        <f>celladdr(Page5_CHV_VE!M30)</f>
        <v>Page5_CHV_VE!M30</v>
      </c>
      <c r="B746" s="1456" t="s">
        <v>1086</v>
      </c>
      <c r="C746" s="1451" t="b">
        <f>IF(Page5_CHV_VE!$K$30=0,FALSE,OR(Page5_CHV_VE!$M$30/Page5_CHV_VE!$K$30&lt;INDEX(Min_Table,L746),Page5_CHV_VE!$M$30/Page5_CHV_VE!$K$30&gt;INDEX(Max_Table,L746)))</f>
        <v>0</v>
      </c>
      <c r="D746" s="1454" t="b">
        <f>OR(AND(Page5_CHV_VE!$L30&lt;&gt;0,Page5_CHV_VE!$M30=0),AND(Page5_CHV_VE!$M30&lt;&gt;0,Page5_CHV_VE!$L30=0))</f>
        <v>0</v>
      </c>
      <c r="E746" s="1454" t="b">
        <f>IF(Page5_CHV_VE!$K$30=0,FALSE,OR(Page5_CHV_VE!$M$30/Page5_CHV_VE!$K$30&lt;INDEX(Min_Table,M746),Page5_CHV_VE!$M$30/Page5_CHV_VE!$K$30&gt;INDEX(Max_Table,M746)))</f>
        <v>0</v>
      </c>
      <c r="F746" s="1454"/>
      <c r="G746" s="1444" t="str">
        <f t="shared" si="92"/>
        <v/>
      </c>
      <c r="H746" s="1447" t="str">
        <f>IF(C746=TRUE,Comments!$B$20&amp;DOLLAR(INDEX(Min_Table,L746),0)&amp;Comments!$B$18&amp;DOLLAR(INDEX(Max_Table,L746),0)&amp;Comments!$B$19&amp;DOLLAR(Page5_CHV_VE!$M$30/Page5_CHV_VE!$K$30,0),"")</f>
        <v/>
      </c>
      <c r="I746" s="1446" t="str">
        <f>IF(D746=TRUE,Comments!$B$24,"")</f>
        <v/>
      </c>
      <c r="J746" s="1446" t="str">
        <f>IF(E746=TRUE,Comments!$B$22&amp;DOLLAR(INDEX(Min_Table,M746),0)&amp;Comments!$B$18&amp;DOLLAR(INDEX(Max_Table,M746),0)&amp;Comments!$B$19&amp;IFERROR(DOLLAR(Page5_CHV_VE!$M$30/Page5_CHV_VE!$K$30,0),0),"")</f>
        <v/>
      </c>
      <c r="K746" s="1452"/>
      <c r="L746" s="611">
        <f>ROW(OR_VEH!$A$667)</f>
        <v>667</v>
      </c>
      <c r="M746" s="611">
        <f>ROW(OR_VEH!$A$79)</f>
        <v>79</v>
      </c>
      <c r="N746" s="611" t="str">
        <f>"CPTE # "&amp;Page5_CHV_VE!$E$30&amp;"  "&amp;Page5_CHV_VE!$C$30&amp;" - COÛT DES VENTES - AAD"</f>
        <v>CPTE # 425B  BLAZER EV - COÛT DES VENTES - AAD</v>
      </c>
      <c r="O746" s="611" t="str">
        <f t="shared" si="99"/>
        <v/>
      </c>
      <c r="P746" s="611" t="str">
        <f t="shared" si="93"/>
        <v>Page5_CHV_VE!M</v>
      </c>
      <c r="Q746" s="611">
        <f t="shared" si="94"/>
        <v>30</v>
      </c>
      <c r="R746" s="1447">
        <f t="shared" ca="1" si="95"/>
        <v>0</v>
      </c>
      <c r="S746" s="1447">
        <f t="shared" ca="1" si="96"/>
        <v>0</v>
      </c>
      <c r="T746" s="611">
        <v>22</v>
      </c>
      <c r="V746" s="2557" t="str">
        <f t="shared" ca="1" si="97"/>
        <v/>
      </c>
      <c r="W746" s="611" t="str">
        <f t="shared" ca="1" si="98"/>
        <v>Page5_CHV_VE, Ligne 27 [Page5_CHV_VE!M30]  -</v>
      </c>
    </row>
    <row r="747" spans="1:23">
      <c r="A747" s="1443" t="str">
        <f>celladdr(Page5_CHV_VE!M31)</f>
        <v>Page5_CHV_VE!M31</v>
      </c>
      <c r="B747" s="1456" t="s">
        <v>1086</v>
      </c>
      <c r="C747" s="1451" t="b">
        <f>IF(Page5_CHV_VE!$K$31=0,FALSE,OR(Page5_CHV_VE!$M$31/Page5_CHV_VE!$K$31&lt;INDEX(Min_Table,L747),Page5_CHV_VE!$M$31/Page5_CHV_VE!$K$31&gt;INDEX(Max_Table,L747)))</f>
        <v>0</v>
      </c>
      <c r="D747" s="1454" t="b">
        <f>OR(AND(Page5_CHV_VE!$L31&lt;&gt;0,Page5_CHV_VE!$M31=0),AND(Page5_CHV_VE!$M31&lt;&gt;0,Page5_CHV_VE!$L31=0))</f>
        <v>0</v>
      </c>
      <c r="E747" s="1454" t="b">
        <f>IF(Page5_CHV_VE!$K$31=0,FALSE,OR(Page5_CHV_VE!$M$31/Page5_CHV_VE!$K$31&lt;INDEX(Min_Table,M747),Page5_CHV_VE!$M$31/Page5_CHV_VE!$K$31&gt;INDEX(Max_Table,M747)))</f>
        <v>0</v>
      </c>
      <c r="F747" s="1454"/>
      <c r="G747" s="1444" t="str">
        <f t="shared" si="92"/>
        <v/>
      </c>
      <c r="H747" s="1447" t="str">
        <f>IF(C747=TRUE,Comments!$B$20&amp;DOLLAR(INDEX(Min_Table,L747),0)&amp;Comments!$B$18&amp;DOLLAR(INDEX(Max_Table,L747),0)&amp;Comments!$B$19&amp;DOLLAR(Page5_CHV_VE!$M$31/Page5_CHV_VE!$K$31,0),"")</f>
        <v/>
      </c>
      <c r="I747" s="1446" t="str">
        <f>IF(D747=TRUE,Comments!$B$24,"")</f>
        <v/>
      </c>
      <c r="J747" s="1446" t="str">
        <f>IF(E747=TRUE,Comments!$B$22&amp;DOLLAR(INDEX(Min_Table,M747),0)&amp;Comments!$B$18&amp;DOLLAR(INDEX(Max_Table,M747),0)&amp;Comments!$B$19&amp;IFERROR(DOLLAR(Page5_CHV_VE!$M$31/Page5_CHV_VE!$K$31,0),0),"")</f>
        <v/>
      </c>
      <c r="K747" s="1452"/>
      <c r="L747" s="611">
        <f>ROW(OR_VEH!$A$667)</f>
        <v>667</v>
      </c>
      <c r="M747" s="611">
        <f>ROW(OR_VEH!$A$80)</f>
        <v>80</v>
      </c>
      <c r="N747" s="611" t="str">
        <f>"CPTE # "&amp;Page5_CHV_VE!$E$31&amp;"  "&amp;Page5_CHV_VE!$C$31&amp;" - COÛT DES VENTES - AAD"</f>
        <v>CPTE # 426B  EQUINOX EV - COÛT DES VENTES - AAD</v>
      </c>
      <c r="O747" s="611" t="str">
        <f t="shared" si="99"/>
        <v/>
      </c>
      <c r="P747" s="611" t="str">
        <f t="shared" si="93"/>
        <v>Page5_CHV_VE!M</v>
      </c>
      <c r="Q747" s="611">
        <f t="shared" si="94"/>
        <v>31</v>
      </c>
      <c r="R747" s="1447">
        <f t="shared" ca="1" si="95"/>
        <v>0</v>
      </c>
      <c r="S747" s="1447">
        <f t="shared" ca="1" si="96"/>
        <v>0</v>
      </c>
      <c r="T747" s="611">
        <v>22</v>
      </c>
      <c r="V747" s="2557" t="str">
        <f t="shared" ca="1" si="97"/>
        <v/>
      </c>
      <c r="W747" s="611" t="str">
        <f t="shared" ca="1" si="98"/>
        <v>Page5_CHV_VE, Ligne 28 [Page5_CHV_VE!M31]  -</v>
      </c>
    </row>
    <row r="748" spans="1:23">
      <c r="A748" s="1443" t="str">
        <f>celladdr(Page5_CHV_VE!M32)</f>
        <v>Page5_CHV_VE!M32</v>
      </c>
      <c r="B748" s="1456" t="s">
        <v>1086</v>
      </c>
      <c r="C748" s="1451" t="b">
        <f>IF(Page5_CHV_VE!$K$32=0,FALSE,OR(Page5_CHV_VE!$M$32/Page5_CHV_VE!$K$32&lt;INDEX(Min_Table,L748),Page5_CHV_VE!$M$32/Page5_CHV_VE!$K$32&gt;INDEX(Max_Table,L748)))</f>
        <v>0</v>
      </c>
      <c r="D748" s="1454" t="b">
        <f>OR(AND(Page5_CHV_VE!$L32&lt;&gt;0,Page5_CHV_VE!$M32=0),AND(Page5_CHV_VE!$M32&lt;&gt;0,Page5_CHV_VE!$L32=0))</f>
        <v>0</v>
      </c>
      <c r="E748" s="1454" t="b">
        <f>IF(Page5_CHV_VE!$K$32=0,FALSE,OR(Page5_CHV_VE!$M$32/Page5_CHV_VE!$K$32&lt;INDEX(Min_Table,M748),Page5_CHV_VE!$M$32/Page5_CHV_VE!$K$32&gt;INDEX(Max_Table,M748)))</f>
        <v>0</v>
      </c>
      <c r="F748" s="1454"/>
      <c r="G748" s="1444" t="str">
        <f t="shared" si="92"/>
        <v/>
      </c>
      <c r="H748" s="1447" t="str">
        <f>IF(C748=TRUE,Comments!$B$20&amp;DOLLAR(INDEX(Min_Table,L748),0)&amp;Comments!$B$18&amp;DOLLAR(INDEX(Max_Table,L748),0)&amp;Comments!$B$19&amp;DOLLAR(Page5_CHV_VE!$M$32/Page5_CHV_VE!$K$32,0),"")</f>
        <v/>
      </c>
      <c r="I748" s="1446" t="str">
        <f>IF(D748=TRUE,Comments!$B$24,"")</f>
        <v/>
      </c>
      <c r="J748" s="1446" t="str">
        <f>IF(E748=TRUE,Comments!$B$22&amp;DOLLAR(INDEX(Min_Table,M748),0)&amp;Comments!$B$18&amp;DOLLAR(INDEX(Max_Table,M748),0)&amp;Comments!$B$19&amp;IFERROR(DOLLAR(Page5_CHV_VE!$M$32/Page5_CHV_VE!$K$32,0),0),"")</f>
        <v/>
      </c>
      <c r="K748" s="1452"/>
      <c r="L748" s="611">
        <f>ROW(OR_VEH!$A$667)</f>
        <v>667</v>
      </c>
      <c r="M748" s="611">
        <f>ROW(OR_VEH!$A$81)</f>
        <v>81</v>
      </c>
      <c r="N748" s="611" t="str">
        <f>"CPTE # "&amp;Page5_CHV_VE!$E$32&amp;"  "&amp;Page5_CHV_VE!$C$32&amp;" - COÛT DES VENTES - AAD"</f>
        <v>CPTE # 427B  SILVERADO EV - COÛT DES VENTES - AAD</v>
      </c>
      <c r="O748" s="611" t="str">
        <f t="shared" si="99"/>
        <v/>
      </c>
      <c r="P748" s="611" t="str">
        <f t="shared" si="93"/>
        <v>Page5_CHV_VE!M</v>
      </c>
      <c r="Q748" s="611">
        <f t="shared" si="94"/>
        <v>32</v>
      </c>
      <c r="R748" s="1447">
        <f t="shared" ca="1" si="95"/>
        <v>0</v>
      </c>
      <c r="S748" s="1447">
        <f t="shared" ca="1" si="96"/>
        <v>0</v>
      </c>
      <c r="T748" s="611">
        <v>22</v>
      </c>
      <c r="V748" s="2557" t="str">
        <f t="shared" ca="1" si="97"/>
        <v/>
      </c>
      <c r="W748" s="611" t="str">
        <f t="shared" ca="1" si="98"/>
        <v>Page5_CHV_VE, Ligne 29 [Page5_CHV_VE!M32]  -</v>
      </c>
    </row>
    <row r="749" spans="1:23">
      <c r="A749" s="1443" t="str">
        <f>celladdr(Page5_CHV_VE!M33)</f>
        <v>Page5_CHV_VE!M33</v>
      </c>
      <c r="B749" s="1456" t="s">
        <v>1086</v>
      </c>
      <c r="C749" s="1451" t="b">
        <f>IF(Page5_CHV_VE!$K$33=0,FALSE,OR(Page5_CHV_VE!$M$33/Page5_CHV_VE!$K$33&lt;INDEX(Min_Table,L749),Page5_CHV_VE!$M$33/Page5_CHV_VE!$K$33&gt;INDEX(Max_Table,L749)))</f>
        <v>0</v>
      </c>
      <c r="D749" s="1454" t="b">
        <f>OR(AND(Page5_CHV_VE!$L33&lt;&gt;0,Page5_CHV_VE!$M33=0),AND(Page5_CHV_VE!$M33&lt;&gt;0,Page5_CHV_VE!$L33=0))</f>
        <v>0</v>
      </c>
      <c r="E749" s="1454" t="b">
        <f>IF(Page5_CHV_VE!$K$33=0,FALSE,OR(Page5_CHV_VE!$M$33/Page5_CHV_VE!$K$33&lt;INDEX(Min_Table,M749),Page5_CHV_VE!$M$33/Page5_CHV_VE!$K$33&gt;INDEX(Max_Table,M749)))</f>
        <v>0</v>
      </c>
      <c r="F749" s="1454"/>
      <c r="G749" s="1444" t="str">
        <f t="shared" si="92"/>
        <v/>
      </c>
      <c r="H749" s="1447" t="str">
        <f>IF(C749=TRUE,Comments!$B$20&amp;DOLLAR(INDEX(Min_Table,L749),0)&amp;Comments!$B$18&amp;DOLLAR(INDEX(Max_Table,L749),0)&amp;Comments!$B$19&amp;DOLLAR(Page5_CHV_VE!$M$33/Page5_CHV_VE!$K$33,0),"")</f>
        <v/>
      </c>
      <c r="I749" s="1446" t="str">
        <f>IF(D749=TRUE,Comments!$B$24,"")</f>
        <v/>
      </c>
      <c r="J749" s="1446" t="str">
        <f>IF(E749=TRUE,Comments!$B$22&amp;DOLLAR(INDEX(Min_Table,M749),0)&amp;Comments!$B$18&amp;DOLLAR(INDEX(Max_Table,M749),0)&amp;Comments!$B$19&amp;IFERROR(DOLLAR(Page5_CHV_VE!$M$33/Page5_CHV_VE!$K$33,0),0),"")</f>
        <v/>
      </c>
      <c r="K749" s="1452"/>
      <c r="L749" s="611">
        <f>ROW(OR_VEH!$A$667)</f>
        <v>667</v>
      </c>
      <c r="M749" s="611">
        <f>ROW(OR_VEH!$A$82)</f>
        <v>82</v>
      </c>
      <c r="N749" s="611" t="str">
        <f>"CPTE # "&amp;Page5_CHV_VE!$E$33&amp;"  "&amp;Page5_CHV_VE!$C$33&amp;" - COÛT DES VENTES - AAD"</f>
        <v>CPTE # 428B  ZEVO 400 AWD - COÛT DES VENTES - AAD</v>
      </c>
      <c r="O749" s="611" t="str">
        <f t="shared" ref="O749:O780" si="100">IF(A749=A748,"TRUE","")</f>
        <v/>
      </c>
      <c r="P749" s="611" t="str">
        <f t="shared" si="93"/>
        <v>Page5_CHV_VE!M</v>
      </c>
      <c r="Q749" s="611">
        <f t="shared" si="94"/>
        <v>33</v>
      </c>
      <c r="R749" s="1447">
        <f t="shared" ca="1" si="95"/>
        <v>0</v>
      </c>
      <c r="S749" s="1447">
        <f t="shared" ca="1" si="96"/>
        <v>0</v>
      </c>
      <c r="T749" s="611">
        <v>22</v>
      </c>
      <c r="V749" s="2557" t="str">
        <f t="shared" ca="1" si="97"/>
        <v/>
      </c>
      <c r="W749" s="611" t="str">
        <f t="shared" ca="1" si="98"/>
        <v>Page5_CHV_VE, Ligne 30 [Page5_CHV_VE!M33]  -</v>
      </c>
    </row>
    <row r="750" spans="1:23">
      <c r="A750" s="1443" t="str">
        <f>celladdr(Page5_CHV_VE!M34)</f>
        <v>Page5_CHV_VE!M34</v>
      </c>
      <c r="B750" s="1456" t="s">
        <v>1086</v>
      </c>
      <c r="C750" s="1451" t="b">
        <f>IF(Page5_CHV_VE!$K$34=0,FALSE,OR(Page5_CHV_VE!$M$34/Page5_CHV_VE!$K$34&lt;INDEX(Min_Table,L750),Page5_CHV_VE!$M$34/Page5_CHV_VE!$K$34&gt;INDEX(Max_Table,L750)))</f>
        <v>0</v>
      </c>
      <c r="D750" s="1454" t="b">
        <f>OR(AND(Page5_CHV_VE!$L34&lt;&gt;0,Page5_CHV_VE!$M34=0),AND(Page5_CHV_VE!$M34&lt;&gt;0,Page5_CHV_VE!$L34=0))</f>
        <v>0</v>
      </c>
      <c r="E750" s="1454" t="b">
        <f>IF(Page5_CHV_VE!$K$34=0,FALSE,OR(Page5_CHV_VE!$M$34/Page5_CHV_VE!$K$34&lt;INDEX(Min_Table,M750),Page5_CHV_VE!$M$34/Page5_CHV_VE!$K$34&gt;INDEX(Max_Table,M750)))</f>
        <v>0</v>
      </c>
      <c r="F750" s="1454"/>
      <c r="G750" s="1444" t="str">
        <f t="shared" si="92"/>
        <v/>
      </c>
      <c r="H750" s="1447" t="str">
        <f>IF(C750=TRUE,Comments!$B$20&amp;DOLLAR(INDEX(Min_Table,L750),0)&amp;Comments!$B$18&amp;DOLLAR(INDEX(Max_Table,L750),0)&amp;Comments!$B$19&amp;DOLLAR(Page5_CHV_VE!$M$34/Page5_CHV_VE!$K$34,0),"")</f>
        <v/>
      </c>
      <c r="I750" s="1446" t="str">
        <f>IF(D750=TRUE,Comments!$B$24,"")</f>
        <v/>
      </c>
      <c r="J750" s="1446" t="str">
        <f>IF(E750=TRUE,Comments!$B$22&amp;DOLLAR(INDEX(Min_Table,M750),0)&amp;Comments!$B$18&amp;DOLLAR(INDEX(Max_Table,M750),0)&amp;Comments!$B$19&amp;IFERROR(DOLLAR(Page5_CHV_VE!$M$34/Page5_CHV_VE!$K$34,0),0),"")</f>
        <v/>
      </c>
      <c r="K750" s="1452"/>
      <c r="L750" s="611">
        <f>ROW(OR_VEH!$A$667)</f>
        <v>667</v>
      </c>
      <c r="M750" s="611">
        <f>ROW(OR_VEH!$A$83)</f>
        <v>83</v>
      </c>
      <c r="N750" s="611" t="str">
        <f>"CPTE # "&amp;Page5_CHV_VE!$E$34&amp;"  "&amp;Page5_CHV_VE!$C$34&amp;" - COÛT DES VENTES - AAD"</f>
        <v>CPTE # 429B  ZEVO 600 AWD - COÛT DES VENTES - AAD</v>
      </c>
      <c r="O750" s="611" t="str">
        <f t="shared" si="100"/>
        <v/>
      </c>
      <c r="P750" s="611" t="str">
        <f t="shared" si="93"/>
        <v>Page5_CHV_VE!M</v>
      </c>
      <c r="Q750" s="611">
        <f t="shared" si="94"/>
        <v>34</v>
      </c>
      <c r="R750" s="1447">
        <f t="shared" ca="1" si="95"/>
        <v>0</v>
      </c>
      <c r="S750" s="1447">
        <f t="shared" ca="1" si="96"/>
        <v>0</v>
      </c>
      <c r="T750" s="611">
        <v>22</v>
      </c>
      <c r="V750" s="2557" t="str">
        <f t="shared" ca="1" si="97"/>
        <v/>
      </c>
      <c r="W750" s="611" t="str">
        <f t="shared" ca="1" si="98"/>
        <v>Page5_CHV_VE, Ligne 31 [Page5_CHV_VE!M34]  -</v>
      </c>
    </row>
    <row r="751" spans="1:23">
      <c r="A751" s="1443" t="str">
        <f>celladdr(Page5_CHV_VE!M35)</f>
        <v>Page5_CHV_VE!M35</v>
      </c>
      <c r="B751" s="1456" t="s">
        <v>1086</v>
      </c>
      <c r="C751" s="1451" t="b">
        <f>IF(Page5_CHV_VE!$K$35=0,FALSE,OR(Page5_CHV_VE!$M$35/Page5_CHV_VE!$K$35&lt;INDEX(Min_Table,L751),Page5_CHV_VE!$M$35/Page5_CHV_VE!$K$35&gt;INDEX(Max_Table,L751)))</f>
        <v>0</v>
      </c>
      <c r="D751" s="1454" t="b">
        <f>OR(AND(Page5_CHV_VE!$L35&lt;&gt;0,Page5_CHV_VE!$M35=0),AND(Page5_CHV_VE!$M35&lt;&gt;0,Page5_CHV_VE!$L35=0))</f>
        <v>0</v>
      </c>
      <c r="E751" s="1454" t="b">
        <f>IF(Page5_CHV_VE!$K$35=0,FALSE,OR(Page5_CHV_VE!$M$35/Page5_CHV_VE!$K$35&lt;INDEX(Min_Table,M751),Page5_CHV_VE!$M$35/Page5_CHV_VE!$K$35&gt;INDEX(Max_Table,M751)))</f>
        <v>0</v>
      </c>
      <c r="F751" s="1454"/>
      <c r="G751" s="1444" t="str">
        <f t="shared" si="92"/>
        <v/>
      </c>
      <c r="H751" s="1447" t="str">
        <f>IF(C751=TRUE,Comments!$B$20&amp;DOLLAR(INDEX(Min_Table,L751),0)&amp;Comments!$B$18&amp;DOLLAR(INDEX(Max_Table,L751),0)&amp;Comments!$B$19&amp;DOLLAR(Page5_CHV_VE!$M$35/Page5_CHV_VE!$K$35,0),"")</f>
        <v/>
      </c>
      <c r="I751" s="1446" t="str">
        <f>IF(D751=TRUE,Comments!$B$24,"")</f>
        <v/>
      </c>
      <c r="J751" s="1446" t="str">
        <f>IF(E751=TRUE,Comments!$B$22&amp;DOLLAR(INDEX(Min_Table,M751),0)&amp;Comments!$B$18&amp;DOLLAR(INDEX(Max_Table,M751),0)&amp;Comments!$B$19&amp;IFERROR(DOLLAR(Page5_CHV_VE!$M$35/Page5_CHV_VE!$K$35,0),0),"")</f>
        <v/>
      </c>
      <c r="K751" s="1452"/>
      <c r="L751" s="611">
        <f>ROW(OR_VEH!$A$667)</f>
        <v>667</v>
      </c>
      <c r="M751" s="611">
        <f>ROW(OR_VEH!$A$84)</f>
        <v>84</v>
      </c>
      <c r="N751" s="611" t="str">
        <f>"CPTE # "&amp;Page5_CHV_VE!$E$35&amp;"  "&amp;Page5_CHV_VE!$C$35&amp;" - COÛT DES VENTES - AAD"</f>
        <v>CPTE # 430B  NE PAS UTILISER - COÛT DES VENTES - AAD</v>
      </c>
      <c r="O751" s="611" t="str">
        <f t="shared" si="100"/>
        <v/>
      </c>
      <c r="P751" s="611" t="str">
        <f t="shared" si="93"/>
        <v>Page5_CHV_VE!M</v>
      </c>
      <c r="Q751" s="611">
        <f t="shared" si="94"/>
        <v>35</v>
      </c>
      <c r="R751" s="1447">
        <f t="shared" ca="1" si="95"/>
        <v>0</v>
      </c>
      <c r="S751" s="1447">
        <f t="shared" ca="1" si="96"/>
        <v>0</v>
      </c>
      <c r="T751" s="611">
        <v>22</v>
      </c>
      <c r="V751" s="2557" t="str">
        <f t="shared" ca="1" si="97"/>
        <v/>
      </c>
      <c r="W751" s="611" t="str">
        <f t="shared" ca="1" si="98"/>
        <v>Page5_CHV_VE, Ligne 32 [Page5_CHV_VE!M35]  -</v>
      </c>
    </row>
    <row r="752" spans="1:23">
      <c r="A752" s="1443" t="str">
        <f>celladdr(Page5_CHV_VE!M36)</f>
        <v>Page5_CHV_VE!M36</v>
      </c>
      <c r="B752" s="1456" t="s">
        <v>1086</v>
      </c>
      <c r="C752" s="1451" t="b">
        <f>IF(Page5_CHV_VE!$K$36=0,FALSE,OR(Page5_CHV_VE!$M$36/Page5_CHV_VE!$K$36&lt;INDEX(Min_Table,L752),Page5_CHV_VE!$M$36/Page5_CHV_VE!$K$36&gt;INDEX(Max_Table,L752)))</f>
        <v>0</v>
      </c>
      <c r="D752" s="1454" t="b">
        <f>OR(AND(Page5_CHV_VE!$L36&lt;&gt;0,Page5_CHV_VE!$M36=0),AND(Page5_CHV_VE!$M36&lt;&gt;0,Page5_CHV_VE!$L36=0))</f>
        <v>0</v>
      </c>
      <c r="E752" s="1454" t="b">
        <f>IF(Page5_CHV_VE!$K$36=0,FALSE,OR(Page5_CHV_VE!$M$36/Page5_CHV_VE!$K$36&lt;INDEX(Min_Table,M752),Page5_CHV_VE!$M$36/Page5_CHV_VE!$K$36&gt;INDEX(Max_Table,M752)))</f>
        <v>0</v>
      </c>
      <c r="F752" s="1454"/>
      <c r="G752" s="1444" t="str">
        <f t="shared" si="92"/>
        <v/>
      </c>
      <c r="H752" s="1447" t="str">
        <f>IF(C752=TRUE,Comments!$B$20&amp;DOLLAR(INDEX(Min_Table,L752),0)&amp;Comments!$B$18&amp;DOLLAR(INDEX(Max_Table,L752),0)&amp;Comments!$B$19&amp;DOLLAR(Page5_CHV_VE!$M$36/Page5_CHV_VE!$K$36,0),"")</f>
        <v/>
      </c>
      <c r="I752" s="1446" t="str">
        <f>IF(D752=TRUE,Comments!$B$24,"")</f>
        <v/>
      </c>
      <c r="J752" s="1446" t="str">
        <f>IF(E752=TRUE,Comments!$B$22&amp;DOLLAR(INDEX(Min_Table,M752),0)&amp;Comments!$B$18&amp;DOLLAR(INDEX(Max_Table,M752),0)&amp;Comments!$B$19&amp;IFERROR(DOLLAR(Page5_CHV_VE!$M$36/Page5_CHV_VE!$K$36,0),0),"")</f>
        <v/>
      </c>
      <c r="K752" s="1452"/>
      <c r="L752" s="611">
        <f>ROW(OR_VEH!$A$667)</f>
        <v>667</v>
      </c>
      <c r="M752" s="611">
        <f>ROW(OR_VEH!$A$85)</f>
        <v>85</v>
      </c>
      <c r="N752" s="611" t="str">
        <f>"CPTE # "&amp;Page5_CHV_VE!$E$36&amp;"  "&amp;Page5_CHV_VE!$C$36&amp;" - COÛT DES VENTES - AAD"</f>
        <v>CPTE # 431B  NE PAS UTILISER - COÛT DES VENTES - AAD</v>
      </c>
      <c r="O752" s="611" t="str">
        <f t="shared" si="100"/>
        <v/>
      </c>
      <c r="P752" s="611" t="str">
        <f t="shared" si="93"/>
        <v>Page5_CHV_VE!M</v>
      </c>
      <c r="Q752" s="611">
        <f t="shared" si="94"/>
        <v>36</v>
      </c>
      <c r="R752" s="1447">
        <f t="shared" ca="1" si="95"/>
        <v>0</v>
      </c>
      <c r="S752" s="1447">
        <f t="shared" ca="1" si="96"/>
        <v>0</v>
      </c>
      <c r="T752" s="611">
        <v>22</v>
      </c>
      <c r="V752" s="2557" t="str">
        <f t="shared" ca="1" si="97"/>
        <v/>
      </c>
      <c r="W752" s="611" t="str">
        <f t="shared" ca="1" si="98"/>
        <v>Page5_CHV_VE, Ligne 33 [Page5_CHV_VE!M36]  -</v>
      </c>
    </row>
    <row r="753" spans="1:23">
      <c r="A753" s="1443" t="str">
        <f>celladdr(Page5_CHV_VE!M37)</f>
        <v>Page5_CHV_VE!M37</v>
      </c>
      <c r="B753" s="1456" t="s">
        <v>1086</v>
      </c>
      <c r="C753" s="1451" t="b">
        <f>IF(Page5_CHV_VE!$K$37=0,FALSE,OR(Page5_CHV_VE!$M$37/Page5_CHV_VE!$K$37&lt;INDEX(Min_Table,L753),Page5_CHV_VE!$M$37/Page5_CHV_VE!$K$37&gt;INDEX(Max_Table,L753)))</f>
        <v>0</v>
      </c>
      <c r="D753" s="1454" t="b">
        <f>OR(AND(Page5_CHV_VE!$L37&lt;&gt;0,Page5_CHV_VE!$M37=0),AND(Page5_CHV_VE!$M37&lt;&gt;0,Page5_CHV_VE!$L37=0))</f>
        <v>0</v>
      </c>
      <c r="E753" s="1454" t="b">
        <f>IF(Page5_CHV_VE!$K$37=0,FALSE,OR(Page5_CHV_VE!$M$37/Page5_CHV_VE!$K$37&lt;INDEX(Min_Table,M753),Page5_CHV_VE!$M$37/Page5_CHV_VE!$K$37&gt;INDEX(Max_Table,M753)))</f>
        <v>0</v>
      </c>
      <c r="F753" s="1454"/>
      <c r="G753" s="1444" t="str">
        <f t="shared" si="92"/>
        <v/>
      </c>
      <c r="H753" s="1447" t="str">
        <f>IF(C753=TRUE,Comments!$B$20&amp;DOLLAR(INDEX(Min_Table,L753),0)&amp;Comments!$B$18&amp;DOLLAR(INDEX(Max_Table,L753),0)&amp;Comments!$B$19&amp;DOLLAR(Page5_CHV_VE!$M$37/Page5_CHV_VE!$K$37,0),"")</f>
        <v/>
      </c>
      <c r="I753" s="1446" t="str">
        <f>IF(D753=TRUE,Comments!$B$24,"")</f>
        <v/>
      </c>
      <c r="J753" s="1446" t="str">
        <f>IF(E753=TRUE,Comments!$B$22&amp;DOLLAR(INDEX(Min_Table,M753),0)&amp;Comments!$B$18&amp;DOLLAR(INDEX(Max_Table,M753),0)&amp;Comments!$B$19&amp;IFERROR(DOLLAR(Page5_CHV_VE!$M$37/Page5_CHV_VE!$K$37,0),0),"")</f>
        <v/>
      </c>
      <c r="K753" s="1452"/>
      <c r="L753" s="611">
        <f>ROW(OR_VEH!$A$667)</f>
        <v>667</v>
      </c>
      <c r="M753" s="611">
        <f>ROW(OR_VEH!$A$86)</f>
        <v>86</v>
      </c>
      <c r="N753" s="611" t="str">
        <f>"CPTE # "&amp;Page5_CHV_VE!$E$37&amp;"  "&amp;Page5_CHV_VE!$C$37&amp;" - COÛT DES VENTES - AAD"</f>
        <v>CPTE # 432B  NE PAS UTILISER - COÛT DES VENTES - AAD</v>
      </c>
      <c r="O753" s="611" t="str">
        <f t="shared" si="100"/>
        <v/>
      </c>
      <c r="P753" s="611" t="str">
        <f t="shared" si="93"/>
        <v>Page5_CHV_VE!M</v>
      </c>
      <c r="Q753" s="611">
        <f t="shared" si="94"/>
        <v>37</v>
      </c>
      <c r="R753" s="1447">
        <f t="shared" ca="1" si="95"/>
        <v>0</v>
      </c>
      <c r="S753" s="1447">
        <f t="shared" ca="1" si="96"/>
        <v>0</v>
      </c>
      <c r="T753" s="611">
        <v>22</v>
      </c>
      <c r="V753" s="2557" t="str">
        <f t="shared" ca="1" si="97"/>
        <v/>
      </c>
      <c r="W753" s="611" t="str">
        <f t="shared" ca="1" si="98"/>
        <v>Page5_CHV_VE, Ligne 34 [Page5_CHV_VE!M37]  -</v>
      </c>
    </row>
    <row r="754" spans="1:23">
      <c r="A754" s="1443" t="str">
        <f>celladdr(Page5_CHV_VE!M38)</f>
        <v>Page5_CHV_VE!M38</v>
      </c>
      <c r="B754" s="1456" t="s">
        <v>1086</v>
      </c>
      <c r="C754" s="1451" t="b">
        <f>IF(Page5_CHV_VE!$K$38=0,FALSE,OR(Page5_CHV_VE!$M$38/Page5_CHV_VE!$K$38&lt;INDEX(Min_Table,L754),Page5_CHV_VE!$M$38/Page5_CHV_VE!$K$38&gt;INDEX(Max_Table,L754)))</f>
        <v>0</v>
      </c>
      <c r="D754" s="1454" t="b">
        <f>OR(AND(Page5_CHV_VE!$L38&lt;&gt;0,Page5_CHV_VE!$M38=0),AND(Page5_CHV_VE!$M38&lt;&gt;0,Page5_CHV_VE!$L38=0))</f>
        <v>0</v>
      </c>
      <c r="E754" s="1454" t="b">
        <f>IF(Page5_CHV_VE!$K$38=0,FALSE,OR(Page5_CHV_VE!$M$38/Page5_CHV_VE!$K$38&lt;INDEX(Min_Table,M754),Page5_CHV_VE!$M$38/Page5_CHV_VE!$K$38&gt;INDEX(Max_Table,M754)))</f>
        <v>0</v>
      </c>
      <c r="F754" s="1454"/>
      <c r="G754" s="1444" t="str">
        <f t="shared" si="92"/>
        <v/>
      </c>
      <c r="H754" s="1447" t="str">
        <f>IF(C754=TRUE,Comments!$B$20&amp;DOLLAR(INDEX(Min_Table,L754),0)&amp;Comments!$B$18&amp;DOLLAR(INDEX(Max_Table,L754),0)&amp;Comments!$B$19&amp;DOLLAR(Page5_CHV_VE!$M$38/Page5_CHV_VE!$K$38,0),"")</f>
        <v/>
      </c>
      <c r="I754" s="1446" t="str">
        <f>IF(D754=TRUE,Comments!$B$24,"")</f>
        <v/>
      </c>
      <c r="J754" s="1446" t="str">
        <f>IF(E754=TRUE,Comments!$B$22&amp;DOLLAR(INDEX(Min_Table,M754),0)&amp;Comments!$B$18&amp;DOLLAR(INDEX(Max_Table,M754),0)&amp;Comments!$B$19&amp;IFERROR(DOLLAR(Page5_CHV_VE!$M$38/Page5_CHV_VE!$K$38,0),0),"")</f>
        <v/>
      </c>
      <c r="K754" s="1452"/>
      <c r="L754" s="611">
        <f>ROW(OR_VEH!$A$667)</f>
        <v>667</v>
      </c>
      <c r="M754" s="611">
        <f>ROW(OR_VEH!$A$87)</f>
        <v>87</v>
      </c>
      <c r="N754" s="611" t="str">
        <f>"CPTE # "&amp;Page5_CHV_VE!$E$38&amp;"  "&amp;Page5_CHV_VE!$C$38&amp;" - COÛT DES VENTES - AAD"</f>
        <v>CPTE # 433B  NE PAS UTILISER - COÛT DES VENTES - AAD</v>
      </c>
      <c r="O754" s="611" t="str">
        <f t="shared" si="100"/>
        <v/>
      </c>
      <c r="P754" s="611" t="str">
        <f t="shared" si="93"/>
        <v>Page5_CHV_VE!M</v>
      </c>
      <c r="Q754" s="611">
        <f t="shared" si="94"/>
        <v>38</v>
      </c>
      <c r="R754" s="1447">
        <f t="shared" ca="1" si="95"/>
        <v>0</v>
      </c>
      <c r="S754" s="1447">
        <f t="shared" ca="1" si="96"/>
        <v>0</v>
      </c>
      <c r="T754" s="611">
        <v>22</v>
      </c>
      <c r="V754" s="2557" t="str">
        <f t="shared" ca="1" si="97"/>
        <v/>
      </c>
      <c r="W754" s="611" t="str">
        <f t="shared" ca="1" si="98"/>
        <v>Page5_CHV_VE, Ligne 35 [Page5_CHV_VE!M38]  -</v>
      </c>
    </row>
    <row r="755" spans="1:23">
      <c r="A755" s="1443" t="str">
        <f>celladdr(Page5_CHV_VE!M39)</f>
        <v>Page5_CHV_VE!M39</v>
      </c>
      <c r="B755" s="1456" t="s">
        <v>1086</v>
      </c>
      <c r="C755" s="1451" t="b">
        <f>IF(Page5_CHV_VE!$K$39=0,FALSE,OR(Page5_CHV_VE!$M$39/Page5_CHV_VE!$K$39&lt;INDEX(Min_Table,L755),Page5_CHV_VE!$M$39/Page5_CHV_VE!$K$39&gt;INDEX(Max_Table,L755)))</f>
        <v>0</v>
      </c>
      <c r="D755" s="1454" t="b">
        <f>OR(AND(Page5_CHV_VE!$L39&lt;&gt;0,Page5_CHV_VE!$M39=0),AND(Page5_CHV_VE!$M39&lt;&gt;0,Page5_CHV_VE!$L39=0))</f>
        <v>0</v>
      </c>
      <c r="E755" s="1454" t="b">
        <f>IF(Page5_CHV_VE!$K$39=0,FALSE,OR(Page5_CHV_VE!$M$39/Page5_CHV_VE!$K$39&lt;INDEX(Min_Table,M755),Page5_CHV_VE!$M$39/Page5_CHV_VE!$K$39&gt;INDEX(Max_Table,M755)))</f>
        <v>0</v>
      </c>
      <c r="F755" s="1454"/>
      <c r="G755" s="1444" t="str">
        <f t="shared" si="92"/>
        <v/>
      </c>
      <c r="H755" s="1447" t="str">
        <f>IF(C755=TRUE,Comments!$B$20&amp;DOLLAR(INDEX(Min_Table,L755),0)&amp;Comments!$B$18&amp;DOLLAR(INDEX(Max_Table,L755),0)&amp;Comments!$B$19&amp;DOLLAR(Page5_CHV_VE!$M$39/Page5_CHV_VE!$K$39,0),"")</f>
        <v/>
      </c>
      <c r="I755" s="1446" t="str">
        <f>IF(D755=TRUE,Comments!$B$24,"")</f>
        <v/>
      </c>
      <c r="J755" s="1446" t="str">
        <f>IF(E755=TRUE,Comments!$B$22&amp;DOLLAR(INDEX(Min_Table,M755),0)&amp;Comments!$B$18&amp;DOLLAR(INDEX(Max_Table,M755),0)&amp;Comments!$B$19&amp;IFERROR(DOLLAR(Page5_CHV_VE!$M$39/Page5_CHV_VE!$K$39,0),0),"")</f>
        <v/>
      </c>
      <c r="K755" s="1452"/>
      <c r="L755" s="611">
        <f>ROW(OR_VEH!$A$667)</f>
        <v>667</v>
      </c>
      <c r="M755" s="611">
        <f>ROW(OR_VEH!$A$88)</f>
        <v>88</v>
      </c>
      <c r="N755" s="611" t="str">
        <f>"CPTE # "&amp;Page5_CHV_VE!$E$39&amp;"  "&amp;Page5_CHV_VE!$C$39&amp;" - COÛT DES VENTES - AAD"</f>
        <v>CPTE # 434B  NE PAS UTILISER - COÛT DES VENTES - AAD</v>
      </c>
      <c r="O755" s="611" t="str">
        <f t="shared" si="100"/>
        <v/>
      </c>
      <c r="P755" s="611" t="str">
        <f t="shared" si="93"/>
        <v>Page5_CHV_VE!M</v>
      </c>
      <c r="Q755" s="611">
        <f t="shared" si="94"/>
        <v>39</v>
      </c>
      <c r="R755" s="1447">
        <f t="shared" ca="1" si="95"/>
        <v>0</v>
      </c>
      <c r="S755" s="1447">
        <f t="shared" ca="1" si="96"/>
        <v>0</v>
      </c>
      <c r="T755" s="611">
        <v>22</v>
      </c>
      <c r="V755" s="2557" t="str">
        <f t="shared" ca="1" si="97"/>
        <v/>
      </c>
      <c r="W755" s="611" t="str">
        <f t="shared" ca="1" si="98"/>
        <v>Page5_CHV_VE, Ligne 36 [Page5_CHV_VE!M39]  -</v>
      </c>
    </row>
    <row r="756" spans="1:23">
      <c r="A756" s="1443" t="str">
        <f>celladdr(Page5_CHV_VE!M40)</f>
        <v>Page5_CHV_VE!M40</v>
      </c>
      <c r="B756" s="1456" t="s">
        <v>1086</v>
      </c>
      <c r="C756" s="1451" t="b">
        <f>IF(Page5_CHV_VE!$K$40=0,FALSE,OR(Page5_CHV_VE!$M$40/Page5_CHV_VE!$K$40&lt;INDEX(Min_Table,L756),Page5_CHV_VE!$M$40/Page5_CHV_VE!$K$40&gt;INDEX(Max_Table,L756)))</f>
        <v>0</v>
      </c>
      <c r="D756" s="1454" t="b">
        <f>OR(AND(Page5_CHV_VE!$L40&lt;&gt;0,Page5_CHV_VE!$M40=0),AND(Page5_CHV_VE!$M40&lt;&gt;0,Page5_CHV_VE!$L40=0))</f>
        <v>0</v>
      </c>
      <c r="E756" s="1454" t="b">
        <f>IF(Page5_CHV_VE!$K$40=0,FALSE,OR(Page5_CHV_VE!$M$40/Page5_CHV_VE!$K$40&lt;INDEX(Min_Table,M756),Page5_CHV_VE!$M$40/Page5_CHV_VE!$K$40&gt;INDEX(Max_Table,M756)))</f>
        <v>0</v>
      </c>
      <c r="F756" s="1454"/>
      <c r="G756" s="1444" t="str">
        <f t="shared" si="92"/>
        <v/>
      </c>
      <c r="H756" s="1447" t="str">
        <f>IF(C756=TRUE,Comments!$B$20&amp;DOLLAR(INDEX(Min_Table,L756),0)&amp;Comments!$B$18&amp;DOLLAR(INDEX(Max_Table,L756),0)&amp;Comments!$B$19&amp;DOLLAR(Page5_CHV_VE!$M$40/Page5_CHV_VE!$K$40,0),"")</f>
        <v/>
      </c>
      <c r="I756" s="1446" t="str">
        <f>IF(D756=TRUE,Comments!$B$24,"")</f>
        <v/>
      </c>
      <c r="J756" s="1446" t="str">
        <f>IF(E756=TRUE,Comments!$B$22&amp;DOLLAR(INDEX(Min_Table,M756),0)&amp;Comments!$B$18&amp;DOLLAR(INDEX(Max_Table,M756),0)&amp;Comments!$B$19&amp;IFERROR(DOLLAR(Page5_CHV_VE!$M$40/Page5_CHV_VE!$K$40,0),0),"")</f>
        <v/>
      </c>
      <c r="K756" s="1452"/>
      <c r="L756" s="611">
        <f>ROW(OR_VEH!$A$667)</f>
        <v>667</v>
      </c>
      <c r="M756" s="611">
        <f>ROW(OR_VEH!$A$89)</f>
        <v>89</v>
      </c>
      <c r="N756" s="611" t="str">
        <f>"CPTE # "&amp;Page5_CHV_VE!$E$40&amp;"  "&amp;Page5_CHV_VE!$C$40&amp;" - COÛT DES VENTES - AAD"</f>
        <v>CPTE # 435B  NE PAS UTILISER - COÛT DES VENTES - AAD</v>
      </c>
      <c r="O756" s="611" t="str">
        <f t="shared" si="100"/>
        <v/>
      </c>
      <c r="P756" s="611" t="str">
        <f t="shared" si="93"/>
        <v>Page5_CHV_VE!M</v>
      </c>
      <c r="Q756" s="611">
        <f t="shared" si="94"/>
        <v>40</v>
      </c>
      <c r="R756" s="1447">
        <f t="shared" ca="1" si="95"/>
        <v>0</v>
      </c>
      <c r="S756" s="1447">
        <f t="shared" ca="1" si="96"/>
        <v>0</v>
      </c>
      <c r="T756" s="611">
        <v>22</v>
      </c>
      <c r="V756" s="2557" t="str">
        <f t="shared" ca="1" si="97"/>
        <v/>
      </c>
      <c r="W756" s="611" t="str">
        <f t="shared" ca="1" si="98"/>
        <v>Page5_CHV_VE, Ligne 37 [Page5_CHV_VE!M40]  -</v>
      </c>
    </row>
    <row r="757" spans="1:23">
      <c r="A757" s="1443" t="str">
        <f>celladdr(Page5_CHV_VE!M41)</f>
        <v>Page5_CHV_VE!M41</v>
      </c>
      <c r="B757" s="1456" t="s">
        <v>1086</v>
      </c>
      <c r="C757" s="1451" t="b">
        <f>IF(Page5_CHV_VE!$K$41=0,FALSE,OR(Page5_CHV_VE!$M$41/Page5_CHV_VE!$K$41&lt;INDEX(Min_Table,L757),Page5_CHV_VE!$M$41/Page5_CHV_VE!$K$41&gt;INDEX(Max_Table,L757)))</f>
        <v>0</v>
      </c>
      <c r="D757" s="1454" t="b">
        <f>OR(AND(Page5_CHV_VE!$L41&lt;&gt;0,Page5_CHV_VE!$M41=0),AND(Page5_CHV_VE!$M41&lt;&gt;0,Page5_CHV_VE!$L41=0))</f>
        <v>0</v>
      </c>
      <c r="E757" s="1454" t="b">
        <f>IF(Page5_CHV_VE!$K$41=0,FALSE,OR(Page5_CHV_VE!$M$41/Page5_CHV_VE!$K$41&lt;INDEX(Min_Table,M757),Page5_CHV_VE!$M$41/Page5_CHV_VE!$K$41&gt;INDEX(Max_Table,M757)))</f>
        <v>0</v>
      </c>
      <c r="F757" s="1454"/>
      <c r="G757" s="1444" t="str">
        <f t="shared" si="92"/>
        <v/>
      </c>
      <c r="H757" s="1447" t="str">
        <f>IF(C757=TRUE,Comments!$B$20&amp;DOLLAR(INDEX(Min_Table,L757),0)&amp;Comments!$B$18&amp;DOLLAR(INDEX(Max_Table,L757),0)&amp;Comments!$B$19&amp;DOLLAR(Page5_CHV_VE!$M$41/Page5_CHV_VE!$K$41,0),"")</f>
        <v/>
      </c>
      <c r="I757" s="1446" t="str">
        <f>IF(D757=TRUE,Comments!$B$24,"")</f>
        <v/>
      </c>
      <c r="J757" s="1446" t="str">
        <f>IF(E757=TRUE,Comments!$B$22&amp;DOLLAR(INDEX(Min_Table,M757),0)&amp;Comments!$B$18&amp;DOLLAR(INDEX(Max_Table,M757),0)&amp;Comments!$B$19&amp;IFERROR(DOLLAR(Page5_CHV_VE!$M$41/Page5_CHV_VE!$K$41,0),0),"")</f>
        <v/>
      </c>
      <c r="K757" s="1452"/>
      <c r="L757" s="611">
        <f>ROW(OR_VEH!$A$667)</f>
        <v>667</v>
      </c>
      <c r="M757" s="611">
        <f>ROW(OR_VEH!$A$90)</f>
        <v>90</v>
      </c>
      <c r="N757" s="611" t="str">
        <f>"CPTE # "&amp;Page5_CHV_VE!$E$41&amp;"  "&amp;Page5_CHV_VE!$C$41&amp;" - COÛT DES VENTES - AAD"</f>
        <v>CPTE # 436B  NE PAS UTILISER - COÛT DES VENTES - AAD</v>
      </c>
      <c r="O757" s="611" t="str">
        <f t="shared" si="100"/>
        <v/>
      </c>
      <c r="P757" s="611" t="str">
        <f t="shared" si="93"/>
        <v>Page5_CHV_VE!M</v>
      </c>
      <c r="Q757" s="611">
        <f t="shared" si="94"/>
        <v>41</v>
      </c>
      <c r="R757" s="1447">
        <f t="shared" ca="1" si="95"/>
        <v>0</v>
      </c>
      <c r="S757" s="1447">
        <f t="shared" ca="1" si="96"/>
        <v>0</v>
      </c>
      <c r="T757" s="611">
        <v>22</v>
      </c>
      <c r="V757" s="2557" t="str">
        <f t="shared" ca="1" si="97"/>
        <v/>
      </c>
      <c r="W757" s="611" t="str">
        <f t="shared" ca="1" si="98"/>
        <v>Page5_CHV_VE, Ligne 38 [Page5_CHV_VE!M41]  -</v>
      </c>
    </row>
    <row r="758" spans="1:23">
      <c r="A758" s="1443" t="str">
        <f>celladdr(Page5_CHV_VE!M42)</f>
        <v>Page5_CHV_VE!M42</v>
      </c>
      <c r="B758" s="1456" t="s">
        <v>1086</v>
      </c>
      <c r="C758" s="1451"/>
      <c r="D758" s="1454"/>
      <c r="E758" s="1454"/>
      <c r="F758" s="1454"/>
      <c r="G758" s="1444" t="str">
        <f t="shared" si="92"/>
        <v/>
      </c>
      <c r="I758" s="1446"/>
      <c r="J758" s="1446"/>
      <c r="K758" s="1452"/>
      <c r="L758" s="611">
        <f>ROW(OR_VEH!$A$667)</f>
        <v>667</v>
      </c>
      <c r="M758" s="611">
        <f>ROW(OR_VEH!$A$91)</f>
        <v>91</v>
      </c>
      <c r="N758" s="611" t="str">
        <f>"CPTE # "&amp;Page5_CHV_VE!$E$42&amp;"  "&amp;Page5_CHV_VE!$C$42&amp;" - COÛT DES VENTES - AAD"</f>
        <v>CPTE # 437B  NE PAS UTILISER - COÛT DES VENTES - AAD</v>
      </c>
      <c r="O758" s="611" t="str">
        <f t="shared" si="100"/>
        <v/>
      </c>
      <c r="P758" s="611" t="str">
        <f t="shared" si="93"/>
        <v>Page5_CHV_VE!M</v>
      </c>
      <c r="Q758" s="611">
        <f t="shared" si="94"/>
        <v>42</v>
      </c>
      <c r="R758" s="1447">
        <f t="shared" ca="1" si="95"/>
        <v>0</v>
      </c>
      <c r="S758" s="1447">
        <f t="shared" ca="1" si="96"/>
        <v>0</v>
      </c>
      <c r="T758" s="611">
        <v>22</v>
      </c>
      <c r="V758" s="2557" t="str">
        <f t="shared" ca="1" si="97"/>
        <v/>
      </c>
      <c r="W758" s="611" t="str">
        <f t="shared" ca="1" si="98"/>
        <v>Page5_CHV_VE, Ligne 39 [Page5_CHV_VE!M42]  -</v>
      </c>
    </row>
    <row r="759" spans="1:23">
      <c r="A759" s="1443" t="str">
        <f>celladdr(Page5_CHV_VE!M43)</f>
        <v>Page5_CHV_VE!M43</v>
      </c>
      <c r="B759" s="1456" t="s">
        <v>1086</v>
      </c>
      <c r="C759" s="1451" t="b">
        <f>IF(Page5_CHV_VE!$K$43=0,FALSE,OR(Page5_CHV_VE!$M$43/Page5_CHV_VE!$K$43&lt;INDEX(Min_Table,L759),Page5_CHV_VE!$M$43/Page5_CHV_VE!$K$43&gt;INDEX(Max_Table,L759)))</f>
        <v>0</v>
      </c>
      <c r="D759" s="1454" t="b">
        <f>OR(AND(Page5_CHV_VE!$L43&lt;&gt;0,Page5_CHV_VE!$M43=0),AND(Page5_CHV_VE!$M43&lt;&gt;0,Page5_CHV_VE!$L43=0))</f>
        <v>0</v>
      </c>
      <c r="E759" s="1454" t="b">
        <f>IF(Page5_CHV_VE!$K$43=0,FALSE,OR(Page5_CHV_VE!$M$43/Page5_CHV_VE!$K$43&lt;INDEX(Min_Table,M759),Page5_CHV_VE!$M$43/Page5_CHV_VE!$K$43&gt;INDEX(Max_Table,M759)))</f>
        <v>0</v>
      </c>
      <c r="F759" s="1454"/>
      <c r="G759" s="1444" t="str">
        <f t="shared" si="92"/>
        <v/>
      </c>
      <c r="H759" s="1447" t="str">
        <f>IF(C759=TRUE,Comments!$B$20&amp;DOLLAR(INDEX(Min_Table,L759),0)&amp;Comments!$B$18&amp;DOLLAR(INDEX(Max_Table,L759),0)&amp;Comments!$B$19&amp;DOLLAR(Page5_CHV_VE!$M$43/Page5_CHV_VE!$K$43,0),"")</f>
        <v/>
      </c>
      <c r="I759" s="1446" t="str">
        <f>IF(D759=TRUE,Comments!$B$24,"")</f>
        <v/>
      </c>
      <c r="J759" s="1446" t="str">
        <f>IF(E759=TRUE,Comments!$B$22&amp;DOLLAR(INDEX(Min_Table,M759),0)&amp;Comments!$B$18&amp;DOLLAR(INDEX(Max_Table,M759),0)&amp;Comments!$B$19&amp;IFERROR(DOLLAR(Page5_CHV_VE!$M$43/Page5_CHV_VE!$K$43,0),0),"")</f>
        <v/>
      </c>
      <c r="K759" s="1452"/>
      <c r="L759" s="611">
        <f>ROW(OR_VEH!$A$667)</f>
        <v>667</v>
      </c>
      <c r="M759" s="611">
        <f>ROW(OR_VEH!$A$92)</f>
        <v>92</v>
      </c>
      <c r="N759" s="611" t="str">
        <f>"CPTE # "&amp;Page5_CHV_VE!$E$43&amp;"  "&amp;Page5_CHV_VE!$C$43&amp;" - COÛT DES VENTES - AAD"</f>
        <v>CPTE # 438B  NE PAS UTILISER - COÛT DES VENTES - AAD</v>
      </c>
      <c r="O759" s="611" t="str">
        <f t="shared" si="100"/>
        <v/>
      </c>
      <c r="P759" s="611" t="str">
        <f t="shared" si="93"/>
        <v>Page5_CHV_VE!M</v>
      </c>
      <c r="Q759" s="611">
        <f t="shared" si="94"/>
        <v>43</v>
      </c>
      <c r="R759" s="1447">
        <f t="shared" ca="1" si="95"/>
        <v>0</v>
      </c>
      <c r="S759" s="1447">
        <f t="shared" ca="1" si="96"/>
        <v>0</v>
      </c>
      <c r="T759" s="611">
        <v>22</v>
      </c>
      <c r="V759" s="2557" t="str">
        <f t="shared" ca="1" si="97"/>
        <v/>
      </c>
      <c r="W759" s="611" t="str">
        <f t="shared" ca="1" si="98"/>
        <v>Page5_CHV_VE, Ligne 40 [Page5_CHV_VE!M43]  -</v>
      </c>
    </row>
    <row r="760" spans="1:23">
      <c r="A760" s="1443" t="str">
        <f>celladdr(Page5_CHV_VE!M44)</f>
        <v>Page5_CHV_VE!M44</v>
      </c>
      <c r="B760" s="1444" t="s">
        <v>1086</v>
      </c>
      <c r="C760" s="1451"/>
      <c r="D760" s="1454"/>
      <c r="E760" s="1454"/>
      <c r="F760" s="1454"/>
      <c r="G760" s="1444" t="str">
        <f t="shared" si="92"/>
        <v/>
      </c>
      <c r="H760" s="1447" t="str">
        <f>IF(C760=TRUE,Comments!$B$26,"")</f>
        <v/>
      </c>
      <c r="I760" s="1446" t="str">
        <f>IF(D760=TRUE,Comments!$B$24,"")</f>
        <v/>
      </c>
      <c r="J760" s="1446"/>
      <c r="K760" s="1452"/>
      <c r="O760" s="611" t="str">
        <f t="shared" si="100"/>
        <v/>
      </c>
      <c r="P760" s="611" t="str">
        <f t="shared" si="93"/>
        <v>Page5_CHV_VE!M</v>
      </c>
      <c r="Q760" s="611">
        <f t="shared" si="94"/>
        <v>44</v>
      </c>
      <c r="R760" s="1447">
        <f t="shared" ca="1" si="95"/>
        <v>0</v>
      </c>
      <c r="S760" s="1447">
        <f t="shared" ca="1" si="96"/>
        <v>0</v>
      </c>
      <c r="V760" s="2557" t="str">
        <f t="shared" ca="1" si="97"/>
        <v/>
      </c>
      <c r="W760" s="611" t="str">
        <f t="shared" ca="1" si="98"/>
        <v>Page5_CHV_VE, Ligne 41 [Page5_CHV_VE!M44]  -</v>
      </c>
    </row>
    <row r="761" spans="1:23">
      <c r="A761" s="1443" t="str">
        <f>celladdr(Page5_CHV_VE!M45)</f>
        <v>Page5_CHV_VE!M45</v>
      </c>
      <c r="B761" s="1456" t="s">
        <v>1086</v>
      </c>
      <c r="C761" s="1451" t="b">
        <f>IF(Page5_CHV_VE!$K$45=0,FALSE,OR(Page5_CHV_VE!$M$45/Page5_CHV_VE!$K$45&lt;INDEX(Min_Table,L761),Page5_CHV_VE!$M$45/Page5_CHV_VE!$K$45&gt;INDEX(Max_Table,L761)))</f>
        <v>0</v>
      </c>
      <c r="D761" s="1454" t="b">
        <f>OR(AND(Page5_CHV_VE!$L45&lt;&gt;0,Page5_CHV_VE!$M45=0),AND(Page5_CHV_VE!$M45&lt;&gt;0,Page5_CHV_VE!$L45=0))</f>
        <v>0</v>
      </c>
      <c r="E761" s="1454" t="b">
        <f>IF(Page5_CHV_VE!$K$45=0,FALSE,OR(Page5_CHV_VE!$M$45/Page5_CHV_VE!$K$45&lt;INDEX(Min_Table,M761),Page5_CHV_VE!$M$45/Page5_CHV_VE!$K$45&gt;INDEX(Max_Table,M761)))</f>
        <v>0</v>
      </c>
      <c r="F761" s="1454"/>
      <c r="G761" s="1444" t="str">
        <f t="shared" si="92"/>
        <v/>
      </c>
      <c r="H761" s="1447" t="str">
        <f>IF(C761=TRUE,Comments!$B$20&amp;DOLLAR(INDEX(Min_Table,L761),0)&amp;Comments!$B$18&amp;DOLLAR(INDEX(Max_Table,L761),0)&amp;Comments!$B$19&amp;DOLLAR(Page5_CHV_VE!$M$45/Page5_CHV_VE!$K$45,0),"")</f>
        <v/>
      </c>
      <c r="I761" s="1446" t="str">
        <f>IF(D761=TRUE,Comments!$B$24,"")</f>
        <v/>
      </c>
      <c r="J761" s="1446" t="str">
        <f>IF(E761=TRUE,Comments!$B$22&amp;DOLLAR(INDEX(Min_Table,M761),0)&amp;Comments!$B$18&amp;DOLLAR(INDEX(Max_Table,M761),0)&amp;Comments!$B$19&amp;IFERROR(DOLLAR(Page5_CHV_VE!$M$45/Page5_CHV_VE!$K$45,0),0),"")</f>
        <v/>
      </c>
      <c r="K761" s="1452"/>
      <c r="L761" s="611">
        <f>ROW(OR_VEH!$A$667)</f>
        <v>667</v>
      </c>
      <c r="M761" s="611">
        <f>ROW(OR_VEH!$A$94)</f>
        <v>94</v>
      </c>
      <c r="N761" s="611" t="str">
        <f>"CPTE # "&amp;Page5_CHV_VE!$E$45&amp;"  "&amp;Page5_CHV_VE!$C$45&amp;" - COÛT DES VENTES - AAD"</f>
        <v>CPTE # 439B  MÉMO* VENTES INTERNET CAMIONS - COÛT DES VENTES - AAD</v>
      </c>
      <c r="O761" s="611" t="str">
        <f t="shared" si="100"/>
        <v/>
      </c>
      <c r="P761" s="611" t="str">
        <f t="shared" si="93"/>
        <v>Page5_CHV_VE!M</v>
      </c>
      <c r="Q761" s="611">
        <f t="shared" si="94"/>
        <v>45</v>
      </c>
      <c r="R761" s="1447">
        <f t="shared" ca="1" si="95"/>
        <v>0</v>
      </c>
      <c r="S761" s="1447">
        <f t="shared" ca="1" si="96"/>
        <v>0</v>
      </c>
      <c r="T761" s="611">
        <v>22</v>
      </c>
      <c r="V761" s="2557" t="str">
        <f t="shared" ca="1" si="97"/>
        <v/>
      </c>
      <c r="W761" s="611" t="str">
        <f t="shared" ca="1" si="98"/>
        <v>Page5_CHV_VE, Ligne 42 [Page5_CHV_VE!M45]  -</v>
      </c>
    </row>
    <row r="762" spans="1:23">
      <c r="A762" s="1443" t="str">
        <f>celladdr(Page5_CHV_VE!M46)</f>
        <v>Page5_CHV_VE!M46</v>
      </c>
      <c r="B762" s="1456" t="s">
        <v>1086</v>
      </c>
      <c r="C762" s="1451" t="b">
        <f>IF(Page5_CHV_VE!$K$46=0,FALSE,OR(Page5_CHV_VE!$M$46/Page5_CHV_VE!$K$46&lt;INDEX(Min_Table,L762),Page5_CHV_VE!$M$46/Page5_CHV_VE!$K$46&gt;INDEX(Max_Table,L762)))</f>
        <v>0</v>
      </c>
      <c r="D762" s="1454" t="b">
        <f>OR(AND(Page5_CHV_VE!$L46&lt;&gt;0,Page5_CHV_VE!$M46=0),AND(Page5_CHV_VE!$M46&lt;&gt;0,Page5_CHV_VE!$L46=0))</f>
        <v>0</v>
      </c>
      <c r="E762" s="1454" t="b">
        <f>IF(Page5_CHV_VE!$K$46=0,FALSE,OR(Page5_CHV_VE!$M$46/Page5_CHV_VE!$K$46&lt;INDEX(Min_Table,M762),Page5_CHV_VE!$M$46/Page5_CHV_VE!$K$46&gt;INDEX(Max_Table,M762)))</f>
        <v>0</v>
      </c>
      <c r="F762" s="1454"/>
      <c r="G762" s="1444" t="str">
        <f t="shared" si="92"/>
        <v/>
      </c>
      <c r="H762" s="1447" t="str">
        <f>IF(C762=TRUE,Comments!$B$20&amp;DOLLAR(INDEX(Min_Table,L762),0)&amp;Comments!$B$18&amp;DOLLAR(INDEX(Max_Table,L762),0)&amp;Comments!$B$19&amp;DOLLAR(Page5_CHV_VE!$M$46/Page5_CHV_VE!$K$46,0),"")</f>
        <v/>
      </c>
      <c r="I762" s="1446" t="str">
        <f>IF(D762=TRUE,Comments!$B$24,"")</f>
        <v/>
      </c>
      <c r="J762" s="1446" t="str">
        <f>IF(E762=TRUE,Comments!$B$22&amp;DOLLAR(INDEX(Min_Table,M762),0)&amp;Comments!$B$18&amp;DOLLAR(INDEX(Max_Table,M762),0)&amp;Comments!$B$19&amp;IFERROR(DOLLAR(Page5_CHV_VE!$M$46/Page5_CHV_VE!$K$46,0),0),"")</f>
        <v/>
      </c>
      <c r="K762" s="1452"/>
      <c r="L762" s="611">
        <f>ROW(OR_VEH!$A$667)</f>
        <v>667</v>
      </c>
      <c r="M762" s="611">
        <f>ROW(OR_VEH!$A$95)</f>
        <v>95</v>
      </c>
      <c r="N762" s="611" t="str">
        <f>"CPTE # "&amp;Page5_CHV_VE!$E$46&amp;"  "&amp;Page5_CHV_VE!$C$46&amp;" - COÛT DES VENTES - AAD"</f>
        <v>CPTE # DE PG PARCS  TOTAL PARCS - CAMIONS - COÛT DES VENTES - AAD</v>
      </c>
      <c r="O762" s="611" t="str">
        <f t="shared" si="100"/>
        <v/>
      </c>
      <c r="P762" s="611" t="str">
        <f t="shared" si="93"/>
        <v>Page5_CHV_VE!M</v>
      </c>
      <c r="Q762" s="611">
        <f t="shared" si="94"/>
        <v>46</v>
      </c>
      <c r="R762" s="1447">
        <f t="shared" ca="1" si="95"/>
        <v>0</v>
      </c>
      <c r="S762" s="1447">
        <f t="shared" ca="1" si="96"/>
        <v>0</v>
      </c>
      <c r="T762" s="611">
        <v>22</v>
      </c>
      <c r="V762" s="2557" t="str">
        <f t="shared" ca="1" si="97"/>
        <v/>
      </c>
      <c r="W762" s="611" t="str">
        <f t="shared" ca="1" si="98"/>
        <v>Page5_CHV_VE, Ligne 43 [Page5_CHV_VE!M46]  -</v>
      </c>
    </row>
    <row r="763" spans="1:23">
      <c r="A763" s="1443" t="str">
        <f>celladdr(Page5_CHV_VE!M47)</f>
        <v>Page5_CHV_VE!M47</v>
      </c>
      <c r="B763" s="1456" t="s">
        <v>1086</v>
      </c>
      <c r="C763" s="1451" t="b">
        <f>IF(Page5_CHV_VE!$K$47=0,FALSE,OR(Page5_CHV_VE!$M$47/Page5_CHV_VE!$K$47&lt;INDEX(Min_Table,L763),Page5_CHV_VE!$M$47/Page5_CHV_VE!$K$47&gt;INDEX(Max_Table,L763)))</f>
        <v>0</v>
      </c>
      <c r="D763" s="1454" t="b">
        <f>OR(AND(Page5_CHV_VE!$L47&lt;&gt;0,Page5_CHV_VE!$M47=0),AND(Page5_CHV_VE!$M47&lt;&gt;0,Page5_CHV_VE!$L47=0))</f>
        <v>0</v>
      </c>
      <c r="E763" s="1454" t="b">
        <f>IF(Page5_CHV_VE!$K$47=0,FALSE,OR(Page5_CHV_VE!$M$47/Page5_CHV_VE!$K$47&lt;INDEX(Min_Table,M763),Page5_CHV_VE!$M$47/Page5_CHV_VE!$K$47&gt;INDEX(Max_Table,M763)))</f>
        <v>0</v>
      </c>
      <c r="F763" s="1454"/>
      <c r="G763" s="1444" t="str">
        <f t="shared" si="92"/>
        <v/>
      </c>
      <c r="H763" s="1447" t="str">
        <f>IF(C763=TRUE,Comments!$B$20&amp;DOLLAR(INDEX(Min_Table,L763),0)&amp;Comments!$B$18&amp;DOLLAR(INDEX(Max_Table,L763),0)&amp;Comments!$B$19&amp;DOLLAR(Page5_CHV_VE!$M$47/Page5_CHV_VE!$K$47,0),"")</f>
        <v/>
      </c>
      <c r="I763" s="1446" t="str">
        <f>IF(D763=TRUE,Comments!$B$24,"")</f>
        <v/>
      </c>
      <c r="J763" s="1446" t="str">
        <f>IF(E763=TRUE,Comments!$B$22&amp;DOLLAR(INDEX(Min_Table,M763),0)&amp;Comments!$B$18&amp;DOLLAR(INDEX(Max_Table,M763),0)&amp;Comments!$B$19&amp;IFERROR(DOLLAR(Page5_CHV_VE!$M$47/Page5_CHV_VE!$K$47,0),0),"")</f>
        <v/>
      </c>
      <c r="K763" s="1452"/>
      <c r="L763" s="611">
        <f>ROW(OR_VEH!$A$667)</f>
        <v>667</v>
      </c>
      <c r="M763" s="611">
        <f>ROW(OR_VEH!$A$96)</f>
        <v>96</v>
      </c>
      <c r="N763" s="611" t="str">
        <f>"CPTE # "&amp;Page5_CHV_VE!$E$47&amp;"  "&amp;Page5_CHV_VE!$C$47&amp;" - COÛT DES VENTES - AAD"</f>
        <v>CPTE # 441B  TOTAL IINTERNE - CAMIONS  - COÛT DES VENTES - AAD</v>
      </c>
      <c r="O763" s="611" t="str">
        <f t="shared" si="100"/>
        <v/>
      </c>
      <c r="P763" s="611" t="str">
        <f t="shared" si="93"/>
        <v>Page5_CHV_VE!M</v>
      </c>
      <c r="Q763" s="611">
        <f t="shared" si="94"/>
        <v>47</v>
      </c>
      <c r="R763" s="1447">
        <f t="shared" ca="1" si="95"/>
        <v>0</v>
      </c>
      <c r="S763" s="1447">
        <f t="shared" ca="1" si="96"/>
        <v>0</v>
      </c>
      <c r="T763" s="611">
        <v>22</v>
      </c>
      <c r="V763" s="2557" t="str">
        <f t="shared" ca="1" si="97"/>
        <v/>
      </c>
      <c r="W763" s="611" t="str">
        <f t="shared" ca="1" si="98"/>
        <v>Page5_CHV_VE, Ligne 44 [Page5_CHV_VE!M47]  -</v>
      </c>
    </row>
    <row r="764" spans="1:23">
      <c r="A764" s="1443" t="str">
        <f>celladdr(Page5_CHV_VE!M48)</f>
        <v>Page5_CHV_VE!M48</v>
      </c>
      <c r="B764" s="1444" t="s">
        <v>1086</v>
      </c>
      <c r="C764" s="1451"/>
      <c r="D764" s="1454"/>
      <c r="E764" s="1454"/>
      <c r="F764" s="1454"/>
      <c r="G764" s="1444" t="str">
        <f t="shared" si="92"/>
        <v/>
      </c>
      <c r="H764" s="1447" t="str">
        <f>IF(C764=TRUE,Comments!$B$26,"")</f>
        <v/>
      </c>
      <c r="I764" s="1446" t="str">
        <f>IF(D764=TRUE,Comments!$B$24,"")</f>
        <v/>
      </c>
      <c r="J764" s="1446"/>
      <c r="K764" s="1452"/>
      <c r="O764" s="611" t="str">
        <f t="shared" si="100"/>
        <v/>
      </c>
      <c r="P764" s="611" t="str">
        <f t="shared" si="93"/>
        <v>Page5_CHV_VE!M</v>
      </c>
      <c r="Q764" s="611">
        <f t="shared" si="94"/>
        <v>48</v>
      </c>
      <c r="R764" s="1447">
        <f t="shared" ca="1" si="95"/>
        <v>0</v>
      </c>
      <c r="S764" s="1447">
        <f t="shared" ca="1" si="96"/>
        <v>0</v>
      </c>
      <c r="V764" s="2557" t="str">
        <f t="shared" ca="1" si="97"/>
        <v/>
      </c>
      <c r="W764" s="611" t="str">
        <f t="shared" ca="1" si="98"/>
        <v>Page5_CHV_VE, Ligne 45 [Page5_CHV_VE!M48]  -</v>
      </c>
    </row>
    <row r="765" spans="1:23">
      <c r="A765" s="1443" t="str">
        <f>celladdr(Page5_CHV_VE!M49)</f>
        <v>Page5_CHV_VE!M49</v>
      </c>
      <c r="B765" s="1456" t="s">
        <v>1086</v>
      </c>
      <c r="C765" s="1451"/>
      <c r="D765" s="1454" t="b">
        <f>OR(AND(Page5_CHV_VE!$L49&lt;&gt;0,Page5_CHV_VE!$M49=0),AND(Page5_CHV_VE!$M49&lt;&gt;0,Page5_CHV_VE!$L49=0))</f>
        <v>0</v>
      </c>
      <c r="E765" s="1454"/>
      <c r="F765" s="1454"/>
      <c r="G765" s="1444" t="str">
        <f t="shared" si="92"/>
        <v/>
      </c>
      <c r="I765" s="1446" t="str">
        <f>IF(D765=TRUE,Comments!$B$24,"")</f>
        <v/>
      </c>
      <c r="J765" s="1446"/>
      <c r="K765" s="1452"/>
      <c r="N765" s="611" t="str">
        <f>"CPTE # "&amp;Page5_CHV_VE!$E$49&amp;"  "&amp;Page5_CHV_VE!$C$49&amp;" - COÛT DES VENTES - AAD"</f>
        <v>CPTE #      - COÛT DES VENTES - AAD</v>
      </c>
      <c r="O765" s="611" t="str">
        <f t="shared" si="100"/>
        <v/>
      </c>
      <c r="P765" s="611" t="str">
        <f t="shared" si="93"/>
        <v>Page5_CHV_VE!M</v>
      </c>
      <c r="Q765" s="611">
        <f t="shared" si="94"/>
        <v>49</v>
      </c>
      <c r="R765" s="1447">
        <f t="shared" ca="1" si="95"/>
        <v>0</v>
      </c>
      <c r="S765" s="1447">
        <f t="shared" ca="1" si="96"/>
        <v>0</v>
      </c>
      <c r="V765" s="2557" t="str">
        <f t="shared" ca="1" si="97"/>
        <v/>
      </c>
      <c r="W765" s="611" t="str">
        <f t="shared" ca="1" si="98"/>
        <v>Page5_CHV_VE, Ligne 46 [Page5_CHV_VE!M49]  -</v>
      </c>
    </row>
    <row r="766" spans="1:23">
      <c r="A766" s="1443" t="str">
        <f>celladdr(Page5_CHV_VE!M50)</f>
        <v>Page5_CHV_VE!M50</v>
      </c>
      <c r="B766" s="1456" t="s">
        <v>1086</v>
      </c>
      <c r="C766" s="1451"/>
      <c r="D766" s="1454" t="b">
        <f>OR(AND(Page5_CHV_VE!$L50&lt;&gt;0,Page5_CHV_VE!$M50=0),AND(Page5_CHV_VE!$M50&lt;&gt;0,Page5_CHV_VE!$L50=0))</f>
        <v>0</v>
      </c>
      <c r="E766" s="1454"/>
      <c r="F766" s="1454"/>
      <c r="G766" s="1444" t="str">
        <f t="shared" si="92"/>
        <v/>
      </c>
      <c r="I766" s="1446" t="str">
        <f>IF(D766=TRUE,Comments!$B$24,"")</f>
        <v/>
      </c>
      <c r="J766" s="1446"/>
      <c r="K766" s="1452"/>
      <c r="N766" s="611" t="str">
        <f>"CPTE # "&amp;Page5_CHV_VE!$E$50&amp;"  "&amp;Page5_CHV_VE!$C$50&amp;" - COÛT DES VENTES - AAD"</f>
        <v>CPTE # 457B  ACCESSOIRES - COÛT DES VENTES - AAD</v>
      </c>
      <c r="O766" s="611" t="str">
        <f t="shared" si="100"/>
        <v/>
      </c>
      <c r="P766" s="611" t="str">
        <f t="shared" si="93"/>
        <v>Page5_CHV_VE!M</v>
      </c>
      <c r="Q766" s="611">
        <f t="shared" si="94"/>
        <v>50</v>
      </c>
      <c r="R766" s="1447">
        <f t="shared" ca="1" si="95"/>
        <v>0</v>
      </c>
      <c r="S766" s="1447">
        <f t="shared" ca="1" si="96"/>
        <v>0</v>
      </c>
      <c r="V766" s="2557" t="str">
        <f t="shared" ca="1" si="97"/>
        <v/>
      </c>
      <c r="W766" s="611" t="str">
        <f t="shared" ca="1" si="98"/>
        <v>Page5_CHV_VE, Ligne 47 [Page5_CHV_VE!M50]  -</v>
      </c>
    </row>
    <row r="767" spans="1:23">
      <c r="A767" s="1443" t="str">
        <f>celladdr(Page5_CHV_VE!N51)</f>
        <v>Page5_CHV_VE!N51</v>
      </c>
      <c r="B767" s="1455" t="s">
        <v>1086</v>
      </c>
      <c r="C767" s="1445" t="b">
        <f>Page5_CHV_VE!$N$51&lt;&gt;Page5_CHV_VE!$N$48+Page5_CHV_VE!$N$49+Page5_CHV_VE!$N$27+Page5_CHV_VE!$N$50</f>
        <v>0</v>
      </c>
      <c r="D767" s="1454"/>
      <c r="F767" s="1454"/>
      <c r="G767" s="1444" t="str">
        <f t="shared" si="92"/>
        <v/>
      </c>
      <c r="H767" s="1446" t="str">
        <f>IF(C767=TRUE,Comments!$B$39&amp;DOLLAR(Page5_CHV_VE!$N$51-(Page5_CHV_VE!$N$48+Page5_CHV_VE!$N$49+Page5_CHV_VE!$N$27+Page5_CHV_VE!$N$50),0),"")</f>
        <v/>
      </c>
      <c r="I767" s="1452"/>
      <c r="J767" s="1452"/>
      <c r="K767" s="1452"/>
      <c r="N767" s="611" t="str">
        <f>Page5_CHV_VE!$B$1&amp;" TOTAL VÉHICULES NEUFS - PROFIT BRUT - AAD"</f>
        <v>CHEVROLET - VE TOTAL VÉHICULES NEUFS - PROFIT BRUT - AAD</v>
      </c>
      <c r="O767" s="611" t="str">
        <f t="shared" si="100"/>
        <v/>
      </c>
      <c r="P767" s="611" t="str">
        <f t="shared" si="93"/>
        <v>Page5_CHV_VE!N</v>
      </c>
      <c r="Q767" s="611">
        <f t="shared" si="94"/>
        <v>51</v>
      </c>
      <c r="R767" s="1447">
        <f t="shared" ca="1" si="95"/>
        <v>0</v>
      </c>
      <c r="S767" s="1447">
        <f t="shared" ca="1" si="96"/>
        <v>0</v>
      </c>
      <c r="V767" s="2557" t="str">
        <f t="shared" ca="1" si="97"/>
        <v/>
      </c>
      <c r="W767" s="611" t="str">
        <f t="shared" ca="1" si="98"/>
        <v>Page5_CHV_VE, Ligne 48 [Page5_CHV_VE!N51]  -</v>
      </c>
    </row>
    <row r="768" spans="1:23">
      <c r="A768" s="1443" t="str">
        <f>celladdr(Page5_BUI_VE!F51)</f>
        <v>Page5_BUI_VE!F51</v>
      </c>
      <c r="B768" s="1453" t="s">
        <v>1086</v>
      </c>
      <c r="C768" s="1445" t="b">
        <f>Page5_BUI_VE!$F$51&lt;&gt;Page5_BUI_VE!$F$48+Page5_BUI_VE!$F$27</f>
        <v>0</v>
      </c>
      <c r="D768" s="1454"/>
      <c r="F768" s="1454"/>
      <c r="G768" s="1444" t="str">
        <f t="shared" si="92"/>
        <v/>
      </c>
      <c r="H768" s="1446" t="str">
        <f>IF(C768=TRUE,Comments!$B$38&amp;Page5_BUI_VE!$F$51-(Page5_BUI_VE!$F$48+Page5_BUI_VE!$F$27),"")</f>
        <v/>
      </c>
      <c r="I768" s="1452"/>
      <c r="J768" s="1452"/>
      <c r="K768" s="1452"/>
      <c r="N768" s="611" t="str">
        <f>Page5_BUI_VE!$B$1&amp;" TOTAL VÉHICULES NEUFS - - UNITÉS - MOIS"</f>
        <v>BUICK - VE TOTAL VÉHICULES NEUFS - - UNITÉS - MOIS</v>
      </c>
      <c r="O768" s="611" t="str">
        <f t="shared" si="100"/>
        <v/>
      </c>
      <c r="P768" s="611" t="str">
        <f t="shared" si="93"/>
        <v>Page5_BUI_VE!F</v>
      </c>
      <c r="Q768" s="611">
        <f t="shared" si="94"/>
        <v>51</v>
      </c>
      <c r="R768" s="1447">
        <f t="shared" ca="1" si="95"/>
        <v>0</v>
      </c>
      <c r="S768" s="1447">
        <f t="shared" ca="1" si="96"/>
        <v>0</v>
      </c>
      <c r="V768" s="2557" t="str">
        <f t="shared" ca="1" si="97"/>
        <v/>
      </c>
      <c r="W768" s="611" t="str">
        <f t="shared" ca="1" si="98"/>
        <v>Page5_BUI_VE, Ligne 48 [Page5_BUI_VE!F51]  -</v>
      </c>
    </row>
    <row r="769" spans="1:23">
      <c r="A769" s="1443" t="str">
        <f>celladdr(Page5_BUI_VE!I51)</f>
        <v>Page5_BUI_VE!I51</v>
      </c>
      <c r="B769" s="1455" t="s">
        <v>1086</v>
      </c>
      <c r="C769" s="1445" t="b">
        <f>Page5_BUI_VE!$I$51&lt;&gt;Page5_BUI_VE!$I$48+Page5_BUI_VE!$I$49+Page5_BUI_VE!$I$27+Page5_BUI_VE!$I$50</f>
        <v>0</v>
      </c>
      <c r="D769" s="1454"/>
      <c r="F769" s="1454"/>
      <c r="G769" s="1444" t="str">
        <f t="shared" si="92"/>
        <v/>
      </c>
      <c r="H769" s="1446" t="str">
        <f>IF(C769=TRUE,Comments!$B$39&amp;DOLLAR(Page5_BUI_VE!$I$51-(Page5_BUI_VE!$I$48+Page5_BUI_VE!$I$49+Page5_BUI_VE!$I$27+Page5_BUI_VE!$I$50),0),"")</f>
        <v/>
      </c>
      <c r="I769" s="1452"/>
      <c r="J769" s="1452"/>
      <c r="K769" s="1452"/>
      <c r="N769" s="611" t="str">
        <f>Page5_BUI_VE!$B$1&amp;" TOTAL VÉHICULES NEUFS - PROFIT BRUT - MOIS"</f>
        <v>BUICK - VE TOTAL VÉHICULES NEUFS - PROFIT BRUT - MOIS</v>
      </c>
      <c r="O769" s="611" t="str">
        <f t="shared" si="100"/>
        <v/>
      </c>
      <c r="P769" s="611" t="str">
        <f t="shared" si="93"/>
        <v>Page5_BUI_VE!I</v>
      </c>
      <c r="Q769" s="611">
        <f t="shared" si="94"/>
        <v>51</v>
      </c>
      <c r="R769" s="1447">
        <f t="shared" ca="1" si="95"/>
        <v>0</v>
      </c>
      <c r="S769" s="1447">
        <f t="shared" ca="1" si="96"/>
        <v>0</v>
      </c>
      <c r="V769" s="2557" t="str">
        <f t="shared" ca="1" si="97"/>
        <v/>
      </c>
      <c r="W769" s="611" t="str">
        <f t="shared" ca="1" si="98"/>
        <v>Page5_BUI_VE, Ligne 48 [Page5_BUI_VE!I51]  -</v>
      </c>
    </row>
    <row r="770" spans="1:23">
      <c r="A770" s="1443" t="str">
        <f>celladdr(Page5_BUI_VE!K4)</f>
        <v>Page5_BUI_VE!K4</v>
      </c>
      <c r="B770" s="1464" t="s">
        <v>1086</v>
      </c>
      <c r="C770" s="1451" t="b">
        <f>Page5_BUI_VE!$K$4&lt;&gt;0</f>
        <v>0</v>
      </c>
      <c r="D770" s="1454" t="b">
        <f>OR(AND(Page5_BUI_VE!$K4&gt;0,Page5_BUI_VE!$M4=0),AND(Page5_BUI_VE!$M4&lt;&gt;0,Page5_BUI_VE!$K4=0))</f>
        <v>0</v>
      </c>
      <c r="E770" s="1454"/>
      <c r="F770" s="1454"/>
      <c r="G770" s="1444" t="str">
        <f t="shared" ref="G770:G833" si="101">IF(H770&amp;I770&amp;J770&amp;K770&lt;&gt;"","No.de ref. du commentaire.: "&amp;W770&amp;" "&amp;N770&amp;" "&amp;H770&amp;I770&amp;IF(OR(C770=TRUE,D770=TRUE),"",J770&amp;K770&amp;V770),"")</f>
        <v/>
      </c>
      <c r="H770" s="1447" t="str">
        <f>IF(C770=TRUE,Comments!$B$26,"")</f>
        <v/>
      </c>
      <c r="I770" s="1446" t="str">
        <f>IF(D770=TRUE,Comments!$B$21,"")</f>
        <v/>
      </c>
      <c r="J770" s="1446"/>
      <c r="K770" s="1452"/>
      <c r="N770" s="611" t="str">
        <f>"CPTE # "&amp;Page5_BUI_VE!$E$4&amp;"  "&amp;Page5_BUI_VE!$C$4&amp;" - UNITÉS - AAD"</f>
        <v>CPTE # 400C  NE PAS UTILISER - UNITÉS - AAD</v>
      </c>
      <c r="O770" s="611" t="str">
        <f t="shared" si="100"/>
        <v/>
      </c>
      <c r="P770" s="611" t="str">
        <f t="shared" ref="P770:P833" si="102">LEFT(A770,FIND("!",A770)+1)</f>
        <v>Page5_BUI_VE!K</v>
      </c>
      <c r="Q770" s="611">
        <f t="shared" ref="Q770:Q833" si="103">VALUE(RIGHT(A770,LEN(A770)-FIND("!",A770)-1))</f>
        <v>4</v>
      </c>
      <c r="R770" s="1447">
        <f t="shared" ref="R770:R833" ca="1" si="104">IF(E770=TRUE,INDIRECT("Comments!$D$"&amp;T770),0)</f>
        <v>0</v>
      </c>
      <c r="S770" s="1447">
        <f t="shared" ref="S770:S833" ca="1" si="105">IF(F770=TRUE,INDIRECT("Comments!$D$"&amp;U770),0)</f>
        <v>0</v>
      </c>
      <c r="V770" s="2557" t="str">
        <f t="shared" ref="V770:V833" ca="1" si="106">IF(SUM(R770+S770)=0,"","
*** "&amp;TEXT(SUM(R770+S770),"0,0")&amp;" Points de précision seront déduits suite à cette(ces) erreur(s) !")</f>
        <v/>
      </c>
      <c r="W770" s="611" t="str">
        <f t="shared" ref="W770:W833" ca="1" si="107">LEFT(A770,FIND("!",A770,1)-1)&amp;", Ligne "&amp;INDIRECT(ADDRESS(ROW(INDIRECT(A770)),IF(INDIRECT(ADDRESS(ROW(INDIRECT(A770)),1,,,LEFT(A770,FIND("!",A770,1)-1)))="",2,1),,,LEFT(A770,FIND("!",A770,1)-1)))&amp;" ["&amp;A770&amp;"] "&amp;" -"</f>
        <v>Page5_BUI_VE, Ligne 1 [Page5_BUI_VE!K4]  -</v>
      </c>
    </row>
    <row r="771" spans="1:23">
      <c r="A771" s="1443" t="str">
        <f>celladdr(Page5_BUI_VE!K5)</f>
        <v>Page5_BUI_VE!K5</v>
      </c>
      <c r="B771" s="1464" t="s">
        <v>1086</v>
      </c>
      <c r="C771" s="1451" t="b">
        <f>Page5_BUI_VE!$K$5&lt;&gt;0</f>
        <v>0</v>
      </c>
      <c r="D771" s="1454" t="b">
        <f>OR(AND(Page5_BUI_VE!$K5&gt;0,Page5_BUI_VE!$M5=0),AND(Page5_BUI_VE!$M5&lt;&gt;0,Page5_BUI_VE!$K5=0))</f>
        <v>0</v>
      </c>
      <c r="E771" s="1454"/>
      <c r="F771" s="1454"/>
      <c r="G771" s="1444" t="str">
        <f t="shared" si="101"/>
        <v/>
      </c>
      <c r="H771" s="1447" t="str">
        <f>IF(C771=TRUE,Comments!$B$26,"")</f>
        <v/>
      </c>
      <c r="I771" s="1446" t="str">
        <f>IF(D771=TRUE,Comments!$B$21,"")</f>
        <v/>
      </c>
      <c r="J771" s="1446"/>
      <c r="K771" s="1452"/>
      <c r="N771" s="611" t="str">
        <f>"CPTE # "&amp;Page5_BUI_VE!$E$5&amp;"  "&amp;Page5_BUI_VE!$C$5&amp;" - UNITÉS - AAD"</f>
        <v>CPTE # 401C  NE PAS UTILISER - UNITÉS - AAD</v>
      </c>
      <c r="O771" s="611" t="str">
        <f t="shared" si="100"/>
        <v/>
      </c>
      <c r="P771" s="611" t="str">
        <f t="shared" si="102"/>
        <v>Page5_BUI_VE!K</v>
      </c>
      <c r="Q771" s="611">
        <f t="shared" si="103"/>
        <v>5</v>
      </c>
      <c r="R771" s="1447">
        <f t="shared" ca="1" si="104"/>
        <v>0</v>
      </c>
      <c r="S771" s="1447">
        <f t="shared" ca="1" si="105"/>
        <v>0</v>
      </c>
      <c r="V771" s="2557" t="str">
        <f t="shared" ca="1" si="106"/>
        <v/>
      </c>
      <c r="W771" s="611" t="str">
        <f t="shared" ca="1" si="107"/>
        <v>Page5_BUI_VE, Ligne 2 [Page5_BUI_VE!K5]  -</v>
      </c>
    </row>
    <row r="772" spans="1:23">
      <c r="A772" s="1443" t="str">
        <f>celladdr(Page5_BUI_VE!K6)</f>
        <v>Page5_BUI_VE!K6</v>
      </c>
      <c r="B772" s="1464" t="s">
        <v>1086</v>
      </c>
      <c r="C772" s="1451" t="b">
        <f>Page5_BUI_VE!$K$6&lt;&gt;0</f>
        <v>0</v>
      </c>
      <c r="D772" s="1454" t="b">
        <f>OR(AND(Page5_BUI_VE!$K6&gt;0,Page5_BUI_VE!$M6=0),AND(Page5_BUI_VE!$M6&lt;&gt;0,Page5_BUI_VE!$K6=0))</f>
        <v>0</v>
      </c>
      <c r="E772" s="1454"/>
      <c r="F772" s="1454"/>
      <c r="G772" s="1444" t="str">
        <f t="shared" si="101"/>
        <v/>
      </c>
      <c r="H772" s="1447" t="str">
        <f>IF(C772=TRUE,Comments!$B$26,"")</f>
        <v/>
      </c>
      <c r="I772" s="1446" t="str">
        <f>IF(D772=TRUE,Comments!$B$21,"")</f>
        <v/>
      </c>
      <c r="J772" s="1446"/>
      <c r="K772" s="1452"/>
      <c r="N772" s="611" t="str">
        <f>"CPTE # "&amp;Page5_BUI_VE!$E$6&amp;"  "&amp;Page5_BUI_VE!$C$6&amp;" - UNITÉS - AAD"</f>
        <v>CPTE # 402C  NE PAS UTILISER - UNITÉS - AAD</v>
      </c>
      <c r="O772" s="611" t="str">
        <f t="shared" si="100"/>
        <v/>
      </c>
      <c r="P772" s="611" t="str">
        <f t="shared" si="102"/>
        <v>Page5_BUI_VE!K</v>
      </c>
      <c r="Q772" s="611">
        <f t="shared" si="103"/>
        <v>6</v>
      </c>
      <c r="R772" s="1447">
        <f t="shared" ca="1" si="104"/>
        <v>0</v>
      </c>
      <c r="S772" s="1447">
        <f t="shared" ca="1" si="105"/>
        <v>0</v>
      </c>
      <c r="V772" s="2557" t="str">
        <f t="shared" ca="1" si="106"/>
        <v/>
      </c>
      <c r="W772" s="611" t="str">
        <f t="shared" ca="1" si="107"/>
        <v>Page5_BUI_VE, Ligne 3 [Page5_BUI_VE!K6]  -</v>
      </c>
    </row>
    <row r="773" spans="1:23">
      <c r="A773" s="1443" t="str">
        <f>celladdr(Page5_BUI_VE!K7)</f>
        <v>Page5_BUI_VE!K7</v>
      </c>
      <c r="B773" s="1464" t="s">
        <v>1086</v>
      </c>
      <c r="C773" s="1451" t="b">
        <f>Page5_BUI_VE!$K$7&lt;&gt;0</f>
        <v>0</v>
      </c>
      <c r="D773" s="1454" t="b">
        <f>OR(AND(Page5_BUI_VE!$K7&gt;0,Page5_BUI_VE!$M7=0),AND(Page5_BUI_VE!$M7&lt;&gt;0,Page5_BUI_VE!$K7=0))</f>
        <v>0</v>
      </c>
      <c r="E773" s="1454"/>
      <c r="F773" s="1454"/>
      <c r="G773" s="1444" t="str">
        <f t="shared" si="101"/>
        <v/>
      </c>
      <c r="H773" s="1447" t="str">
        <f>IF(C773=TRUE,Comments!$B$26,"")</f>
        <v/>
      </c>
      <c r="I773" s="1446" t="str">
        <f>IF(D773=TRUE,Comments!$B$21,"")</f>
        <v/>
      </c>
      <c r="J773" s="1446"/>
      <c r="K773" s="1452"/>
      <c r="N773" s="611" t="str">
        <f>"CPTE # "&amp;Page5_BUI_VE!$E$7&amp;"  "&amp;Page5_BUI_VE!$C$7&amp;" - UNITÉS - AAD"</f>
        <v>CPTE # 403C  NE PAS UTILISER - UNITÉS - AAD</v>
      </c>
      <c r="O773" s="611" t="str">
        <f t="shared" si="100"/>
        <v/>
      </c>
      <c r="P773" s="611" t="str">
        <f t="shared" si="102"/>
        <v>Page5_BUI_VE!K</v>
      </c>
      <c r="Q773" s="611">
        <f t="shared" si="103"/>
        <v>7</v>
      </c>
      <c r="R773" s="1447">
        <f t="shared" ca="1" si="104"/>
        <v>0</v>
      </c>
      <c r="S773" s="1447">
        <f t="shared" ca="1" si="105"/>
        <v>0</v>
      </c>
      <c r="V773" s="2557" t="str">
        <f t="shared" ca="1" si="106"/>
        <v/>
      </c>
      <c r="W773" s="611" t="str">
        <f t="shared" ca="1" si="107"/>
        <v>Page5_BUI_VE, Ligne 4 [Page5_BUI_VE!K7]  -</v>
      </c>
    </row>
    <row r="774" spans="1:23">
      <c r="A774" s="1443" t="str">
        <f>celladdr(Page5_BUI_VE!K8)</f>
        <v>Page5_BUI_VE!K8</v>
      </c>
      <c r="B774" s="1464" t="s">
        <v>1086</v>
      </c>
      <c r="C774" s="1451" t="b">
        <f>Page5_BUI_VE!$K$8&lt;&gt;0</f>
        <v>0</v>
      </c>
      <c r="D774" s="1454" t="b">
        <f>OR(AND(Page5_BUI_VE!$K8&gt;0,Page5_BUI_VE!$M8=0),AND(Page5_BUI_VE!$M8&lt;&gt;0,Page5_BUI_VE!$K8=0))</f>
        <v>0</v>
      </c>
      <c r="E774" s="1454"/>
      <c r="F774" s="1454"/>
      <c r="G774" s="1444" t="str">
        <f t="shared" si="101"/>
        <v/>
      </c>
      <c r="H774" s="1447" t="str">
        <f>IF(C774=TRUE,Comments!$B$26,"")</f>
        <v/>
      </c>
      <c r="I774" s="1446" t="str">
        <f>IF(D774=TRUE,Comments!$B$21,"")</f>
        <v/>
      </c>
      <c r="J774" s="1446"/>
      <c r="K774" s="1452"/>
      <c r="N774" s="611" t="str">
        <f>"CPTE # "&amp;Page5_BUI_VE!$E$8&amp;"  "&amp;Page5_BUI_VE!$C$8&amp;" - UNITÉS - AAD"</f>
        <v>CPTE # 404C  NE PAS UTILISER - UNITÉS - AAD</v>
      </c>
      <c r="O774" s="611" t="str">
        <f t="shared" si="100"/>
        <v/>
      </c>
      <c r="P774" s="611" t="str">
        <f t="shared" si="102"/>
        <v>Page5_BUI_VE!K</v>
      </c>
      <c r="Q774" s="611">
        <f t="shared" si="103"/>
        <v>8</v>
      </c>
      <c r="R774" s="1447">
        <f t="shared" ca="1" si="104"/>
        <v>0</v>
      </c>
      <c r="S774" s="1447">
        <f t="shared" ca="1" si="105"/>
        <v>0</v>
      </c>
      <c r="V774" s="2557" t="str">
        <f t="shared" ca="1" si="106"/>
        <v/>
      </c>
      <c r="W774" s="611" t="str">
        <f t="shared" ca="1" si="107"/>
        <v>Page5_BUI_VE, Ligne 5 [Page5_BUI_VE!K8]  -</v>
      </c>
    </row>
    <row r="775" spans="1:23">
      <c r="A775" s="1443" t="str">
        <f>celladdr(Page5_BUI_VE!K9)</f>
        <v>Page5_BUI_VE!K9</v>
      </c>
      <c r="B775" s="1464" t="s">
        <v>1086</v>
      </c>
      <c r="C775" s="1451" t="b">
        <f>Page5_BUI_VE!$K$9&lt;&gt;0</f>
        <v>0</v>
      </c>
      <c r="D775" s="1454" t="b">
        <f>OR(AND(Page5_BUI_VE!$K9&gt;0,Page5_BUI_VE!$M9=0),AND(Page5_BUI_VE!$M9&lt;&gt;0,Page5_BUI_VE!$K9=0))</f>
        <v>0</v>
      </c>
      <c r="E775" s="1454"/>
      <c r="F775" s="1454"/>
      <c r="G775" s="1444" t="str">
        <f t="shared" si="101"/>
        <v/>
      </c>
      <c r="H775" s="1447" t="str">
        <f>IF(C775=TRUE,Comments!$B$26,"")</f>
        <v/>
      </c>
      <c r="I775" s="1446" t="str">
        <f>IF(D775=TRUE,Comments!$B$21,"")</f>
        <v/>
      </c>
      <c r="J775" s="1446"/>
      <c r="K775" s="1452"/>
      <c r="N775" s="611" t="str">
        <f>"CPTE # "&amp;Page5_BUI_VE!$E$9&amp;"  "&amp;Page5_BUI_VE!$C$9&amp;" - UNITÉS - AAD"</f>
        <v>CPTE # 405C  NE PAS UTILISER - UNITÉS - AAD</v>
      </c>
      <c r="O775" s="611" t="str">
        <f t="shared" si="100"/>
        <v/>
      </c>
      <c r="P775" s="611" t="str">
        <f t="shared" si="102"/>
        <v>Page5_BUI_VE!K</v>
      </c>
      <c r="Q775" s="611">
        <f t="shared" si="103"/>
        <v>9</v>
      </c>
      <c r="R775" s="1447">
        <f t="shared" ca="1" si="104"/>
        <v>0</v>
      </c>
      <c r="S775" s="1447">
        <f t="shared" ca="1" si="105"/>
        <v>0</v>
      </c>
      <c r="V775" s="2557" t="str">
        <f t="shared" ca="1" si="106"/>
        <v/>
      </c>
      <c r="W775" s="611" t="str">
        <f t="shared" ca="1" si="107"/>
        <v>Page5_BUI_VE, Ligne 6 [Page5_BUI_VE!K9]  -</v>
      </c>
    </row>
    <row r="776" spans="1:23">
      <c r="A776" s="1443" t="str">
        <f>celladdr(Page5_BUI_VE!K10)</f>
        <v>Page5_BUI_VE!K10</v>
      </c>
      <c r="B776" s="1464" t="s">
        <v>1086</v>
      </c>
      <c r="C776" s="1451" t="b">
        <f>Page5_BUI_VE!$K$10&lt;&gt;0</f>
        <v>0</v>
      </c>
      <c r="D776" s="1454" t="b">
        <f>OR(AND(Page5_BUI_VE!$K10&gt;0,Page5_BUI_VE!$M10=0),AND(Page5_BUI_VE!$M10&lt;&gt;0,Page5_BUI_VE!$K10=0))</f>
        <v>0</v>
      </c>
      <c r="E776" s="1454"/>
      <c r="F776" s="1454"/>
      <c r="G776" s="1444" t="str">
        <f t="shared" si="101"/>
        <v/>
      </c>
      <c r="H776" s="1447" t="str">
        <f>IF(C776=TRUE,Comments!$B$26,"")</f>
        <v/>
      </c>
      <c r="I776" s="1446" t="str">
        <f>IF(D776=TRUE,Comments!$B$21,"")</f>
        <v/>
      </c>
      <c r="J776" s="1446"/>
      <c r="K776" s="1452"/>
      <c r="N776" s="611" t="str">
        <f>"CPTE # "&amp;Page5_BUI_VE!$E$10&amp;"  "&amp;Page5_BUI_VE!$C$10&amp;" - UNITÉS - AAD"</f>
        <v>CPTE # 406C  NE PAS UTILISER - UNITÉS - AAD</v>
      </c>
      <c r="O776" s="611" t="str">
        <f t="shared" si="100"/>
        <v/>
      </c>
      <c r="P776" s="611" t="str">
        <f t="shared" si="102"/>
        <v>Page5_BUI_VE!K</v>
      </c>
      <c r="Q776" s="611">
        <f t="shared" si="103"/>
        <v>10</v>
      </c>
      <c r="R776" s="1447">
        <f t="shared" ca="1" si="104"/>
        <v>0</v>
      </c>
      <c r="S776" s="1447">
        <f t="shared" ca="1" si="105"/>
        <v>0</v>
      </c>
      <c r="V776" s="2557" t="str">
        <f t="shared" ca="1" si="106"/>
        <v/>
      </c>
      <c r="W776" s="611" t="str">
        <f t="shared" ca="1" si="107"/>
        <v>Page5_BUI_VE, Ligne 7 [Page5_BUI_VE!K10]  -</v>
      </c>
    </row>
    <row r="777" spans="1:23">
      <c r="A777" s="1443" t="str">
        <f>celladdr(Page5_BUI_VE!K11)</f>
        <v>Page5_BUI_VE!K11</v>
      </c>
      <c r="B777" s="1464" t="s">
        <v>1086</v>
      </c>
      <c r="C777" s="1451" t="b">
        <f>Page5_BUI_VE!$K$11&lt;&gt;0</f>
        <v>0</v>
      </c>
      <c r="D777" s="1454" t="b">
        <f>OR(AND(Page5_BUI_VE!$K11&gt;0,Page5_BUI_VE!$M11=0),AND(Page5_BUI_VE!$M11&lt;&gt;0,Page5_BUI_VE!$K11=0))</f>
        <v>0</v>
      </c>
      <c r="E777" s="1454"/>
      <c r="F777" s="1454"/>
      <c r="G777" s="1444" t="str">
        <f t="shared" si="101"/>
        <v/>
      </c>
      <c r="H777" s="1447" t="str">
        <f>IF(C777=TRUE,Comments!$B$26,"")</f>
        <v/>
      </c>
      <c r="I777" s="1446" t="str">
        <f>IF(D777=TRUE,Comments!$B$21,"")</f>
        <v/>
      </c>
      <c r="J777" s="1446"/>
      <c r="K777" s="1452"/>
      <c r="N777" s="611" t="str">
        <f>"CPTE # "&amp;Page5_BUI_VE!$E$11&amp;"  "&amp;Page5_BUI_VE!$C$11&amp;" - UNITÉS - AAD"</f>
        <v>CPTE # 407C  NE PAS UTILISER - UNITÉS - AAD</v>
      </c>
      <c r="O777" s="611" t="str">
        <f t="shared" si="100"/>
        <v/>
      </c>
      <c r="P777" s="611" t="str">
        <f t="shared" si="102"/>
        <v>Page5_BUI_VE!K</v>
      </c>
      <c r="Q777" s="611">
        <f t="shared" si="103"/>
        <v>11</v>
      </c>
      <c r="R777" s="1447">
        <f t="shared" ca="1" si="104"/>
        <v>0</v>
      </c>
      <c r="S777" s="1447">
        <f t="shared" ca="1" si="105"/>
        <v>0</v>
      </c>
      <c r="V777" s="2557" t="str">
        <f t="shared" ca="1" si="106"/>
        <v/>
      </c>
      <c r="W777" s="611" t="str">
        <f t="shared" ca="1" si="107"/>
        <v>Page5_BUI_VE, Ligne 8 [Page5_BUI_VE!K11]  -</v>
      </c>
    </row>
    <row r="778" spans="1:23">
      <c r="A778" s="1443" t="str">
        <f>celladdr(Page5_BUI_VE!K12)</f>
        <v>Page5_BUI_VE!K12</v>
      </c>
      <c r="B778" s="1464" t="s">
        <v>1086</v>
      </c>
      <c r="C778" s="1451" t="b">
        <f>Page5_BUI_VE!$K$12&lt;&gt;0</f>
        <v>0</v>
      </c>
      <c r="D778" s="1454" t="b">
        <f>OR(AND(Page5_BUI_VE!$K12&gt;0,Page5_BUI_VE!$M12=0),AND(Page5_BUI_VE!$M12&lt;&gt;0,Page5_BUI_VE!$K12=0))</f>
        <v>0</v>
      </c>
      <c r="E778" s="1454"/>
      <c r="F778" s="1454"/>
      <c r="G778" s="1444" t="str">
        <f t="shared" si="101"/>
        <v/>
      </c>
      <c r="H778" s="1447" t="str">
        <f>IF(C778=TRUE,Comments!$B$26,"")</f>
        <v/>
      </c>
      <c r="I778" s="1446" t="str">
        <f>IF(D778=TRUE,Comments!$B$21,"")</f>
        <v/>
      </c>
      <c r="J778" s="1446"/>
      <c r="K778" s="1452"/>
      <c r="N778" s="611" t="str">
        <f>"CPTE # "&amp;Page5_BUI_VE!$E$12&amp;"  "&amp;Page5_BUI_VE!$C$12&amp;" - UNITÉS - AAD"</f>
        <v>CPTE # 408C  NE PAS UTILISER - UNITÉS - AAD</v>
      </c>
      <c r="O778" s="611" t="str">
        <f t="shared" si="100"/>
        <v/>
      </c>
      <c r="P778" s="611" t="str">
        <f t="shared" si="102"/>
        <v>Page5_BUI_VE!K</v>
      </c>
      <c r="Q778" s="611">
        <f t="shared" si="103"/>
        <v>12</v>
      </c>
      <c r="R778" s="1447">
        <f t="shared" ca="1" si="104"/>
        <v>0</v>
      </c>
      <c r="S778" s="1447">
        <f t="shared" ca="1" si="105"/>
        <v>0</v>
      </c>
      <c r="V778" s="2557" t="str">
        <f t="shared" ca="1" si="106"/>
        <v/>
      </c>
      <c r="W778" s="611" t="str">
        <f t="shared" ca="1" si="107"/>
        <v>Page5_BUI_VE, Ligne 9 [Page5_BUI_VE!K12]  -</v>
      </c>
    </row>
    <row r="779" spans="1:23">
      <c r="A779" s="1443" t="str">
        <f>celladdr(Page5_BUI_VE!K13)</f>
        <v>Page5_BUI_VE!K13</v>
      </c>
      <c r="B779" s="1464" t="s">
        <v>1086</v>
      </c>
      <c r="C779" s="1451" t="b">
        <f>Page5_BUI_VE!$K$13&lt;&gt;0</f>
        <v>0</v>
      </c>
      <c r="D779" s="1454" t="b">
        <f>OR(AND(Page5_BUI_VE!$K13&gt;0,Page5_BUI_VE!$M13=0),AND(Page5_BUI_VE!$M13&lt;&gt;0,Page5_BUI_VE!$K13=0))</f>
        <v>0</v>
      </c>
      <c r="E779" s="1454"/>
      <c r="F779" s="1454"/>
      <c r="G779" s="1444" t="str">
        <f t="shared" si="101"/>
        <v/>
      </c>
      <c r="H779" s="1447" t="str">
        <f>IF(C779=TRUE,Comments!$B$26,"")</f>
        <v/>
      </c>
      <c r="I779" s="1446" t="str">
        <f>IF(D779=TRUE,Comments!$B$21,"")</f>
        <v/>
      </c>
      <c r="J779" s="1446"/>
      <c r="K779" s="1452"/>
      <c r="N779" s="611" t="str">
        <f>"CPTE # "&amp;Page5_BUI_VE!$E$13&amp;"  "&amp;Page5_BUI_VE!$C$13&amp;" - UNITÉS - AAD"</f>
        <v>CPTE # 409C  NE PAS UTILISER - UNITÉS - AAD</v>
      </c>
      <c r="O779" s="611" t="str">
        <f t="shared" si="100"/>
        <v/>
      </c>
      <c r="P779" s="611" t="str">
        <f t="shared" si="102"/>
        <v>Page5_BUI_VE!K</v>
      </c>
      <c r="Q779" s="611">
        <f t="shared" si="103"/>
        <v>13</v>
      </c>
      <c r="R779" s="1447">
        <f t="shared" ca="1" si="104"/>
        <v>0</v>
      </c>
      <c r="S779" s="1447">
        <f t="shared" ca="1" si="105"/>
        <v>0</v>
      </c>
      <c r="V779" s="2557" t="str">
        <f t="shared" ca="1" si="106"/>
        <v/>
      </c>
      <c r="W779" s="611" t="str">
        <f t="shared" ca="1" si="107"/>
        <v>Page5_BUI_VE, Ligne 10 [Page5_BUI_VE!K13]  -</v>
      </c>
    </row>
    <row r="780" spans="1:23">
      <c r="A780" s="1443" t="str">
        <f>celladdr(Page5_BUI_VE!K14)</f>
        <v>Page5_BUI_VE!K14</v>
      </c>
      <c r="B780" s="1464" t="s">
        <v>1086</v>
      </c>
      <c r="C780" s="1451" t="b">
        <f>Page5_BUI_VE!$K$14&lt;&gt;0</f>
        <v>0</v>
      </c>
      <c r="D780" s="1454" t="b">
        <f>OR(AND(Page5_BUI_VE!$K14&gt;0,Page5_BUI_VE!$M14=0),AND(Page5_BUI_VE!$M14&lt;&gt;0,Page5_BUI_VE!$K14=0))</f>
        <v>0</v>
      </c>
      <c r="E780" s="1454"/>
      <c r="F780" s="1454"/>
      <c r="G780" s="1444" t="str">
        <f t="shared" si="101"/>
        <v/>
      </c>
      <c r="H780" s="1447" t="str">
        <f>IF(C780=TRUE,Comments!$B$26,"")</f>
        <v/>
      </c>
      <c r="I780" s="1446" t="str">
        <f>IF(D780=TRUE,Comments!$B$21,"")</f>
        <v/>
      </c>
      <c r="J780" s="1446"/>
      <c r="K780" s="1452"/>
      <c r="N780" s="611" t="str">
        <f>"CPTE # "&amp;Page5_BUI_VE!$E$14&amp;"  "&amp;Page5_BUI_VE!$C$14&amp;" - UNITÉS - AAD"</f>
        <v>CPTE # 410C  NE PAS UTILISER - UNITÉS - AAD</v>
      </c>
      <c r="O780" s="611" t="str">
        <f t="shared" si="100"/>
        <v/>
      </c>
      <c r="P780" s="611" t="str">
        <f t="shared" si="102"/>
        <v>Page5_BUI_VE!K</v>
      </c>
      <c r="Q780" s="611">
        <f t="shared" si="103"/>
        <v>14</v>
      </c>
      <c r="R780" s="1447">
        <f t="shared" ca="1" si="104"/>
        <v>0</v>
      </c>
      <c r="S780" s="1447">
        <f t="shared" ca="1" si="105"/>
        <v>0</v>
      </c>
      <c r="V780" s="2557" t="str">
        <f t="shared" ca="1" si="106"/>
        <v/>
      </c>
      <c r="W780" s="611" t="str">
        <f t="shared" ca="1" si="107"/>
        <v>Page5_BUI_VE, Ligne 11 [Page5_BUI_VE!K14]  -</v>
      </c>
    </row>
    <row r="781" spans="1:23">
      <c r="A781" s="1443" t="str">
        <f>celladdr(Page5_BUI_VE!K15)</f>
        <v>Page5_BUI_VE!K15</v>
      </c>
      <c r="B781" s="1464" t="s">
        <v>1086</v>
      </c>
      <c r="C781" s="1451" t="b">
        <f>Page5_BUI_VE!$K$15&lt;&gt;0</f>
        <v>0</v>
      </c>
      <c r="D781" s="1454" t="b">
        <f>OR(AND(Page5_BUI_VE!$K15&gt;0,Page5_BUI_VE!$M15=0),AND(Page5_BUI_VE!$M15&lt;&gt;0,Page5_BUI_VE!$K15=0))</f>
        <v>0</v>
      </c>
      <c r="E781" s="1454"/>
      <c r="F781" s="1454"/>
      <c r="G781" s="1444" t="str">
        <f t="shared" si="101"/>
        <v/>
      </c>
      <c r="H781" s="1447" t="str">
        <f>IF(C781=TRUE,Comments!$B$26,"")</f>
        <v/>
      </c>
      <c r="I781" s="1446" t="str">
        <f>IF(D781=TRUE,Comments!$B$21,"")</f>
        <v/>
      </c>
      <c r="J781" s="1446"/>
      <c r="K781" s="1452"/>
      <c r="N781" s="611" t="str">
        <f>"CPTE # "&amp;Page5_BUI_VE!$E$15&amp;"  "&amp;Page5_BUI_VE!$C$15&amp;" - UNITÉS - AAD"</f>
        <v>CPTE # 411C  NE PAS UTILISER - UNITÉS - AAD</v>
      </c>
      <c r="O781" s="611" t="str">
        <f t="shared" ref="O781:O812" si="108">IF(A781=A780,"TRUE","")</f>
        <v/>
      </c>
      <c r="P781" s="611" t="str">
        <f t="shared" si="102"/>
        <v>Page5_BUI_VE!K</v>
      </c>
      <c r="Q781" s="611">
        <f t="shared" si="103"/>
        <v>15</v>
      </c>
      <c r="R781" s="1447">
        <f t="shared" ca="1" si="104"/>
        <v>0</v>
      </c>
      <c r="S781" s="1447">
        <f t="shared" ca="1" si="105"/>
        <v>0</v>
      </c>
      <c r="V781" s="2557" t="str">
        <f t="shared" ca="1" si="106"/>
        <v/>
      </c>
      <c r="W781" s="611" t="str">
        <f t="shared" ca="1" si="107"/>
        <v>Page5_BUI_VE, Ligne 12 [Page5_BUI_VE!K15]  -</v>
      </c>
    </row>
    <row r="782" spans="1:23">
      <c r="A782" s="1443" t="str">
        <f>celladdr(Page5_BUI_VE!K16)</f>
        <v>Page5_BUI_VE!K16</v>
      </c>
      <c r="B782" s="1464" t="s">
        <v>1086</v>
      </c>
      <c r="C782" s="1451" t="b">
        <f>Page5_BUI_VE!$K$16&lt;&gt;0</f>
        <v>0</v>
      </c>
      <c r="D782" s="1454" t="b">
        <f>OR(AND(Page5_BUI_VE!$K16&gt;0,Page5_BUI_VE!$M16=0),AND(Page5_BUI_VE!$M16&lt;&gt;0,Page5_BUI_VE!$K16=0))</f>
        <v>0</v>
      </c>
      <c r="E782" s="1454"/>
      <c r="F782" s="1454"/>
      <c r="G782" s="1444" t="str">
        <f t="shared" si="101"/>
        <v/>
      </c>
      <c r="H782" s="1447" t="str">
        <f>IF(C782=TRUE,Comments!$B$26,"")</f>
        <v/>
      </c>
      <c r="I782" s="1446" t="str">
        <f>IF(D782=TRUE,Comments!$B$21,"")</f>
        <v/>
      </c>
      <c r="J782" s="1446"/>
      <c r="K782" s="1452"/>
      <c r="N782" s="611" t="str">
        <f>"CPTE # "&amp;Page5_BUI_VE!$E$16&amp;"  "&amp;Page5_BUI_VE!$C$16&amp;" - UNITÉS - AAD"</f>
        <v>CPTE # 412C  NE PAS UTILISER - UNITÉS - AAD</v>
      </c>
      <c r="O782" s="611" t="str">
        <f t="shared" si="108"/>
        <v/>
      </c>
      <c r="P782" s="611" t="str">
        <f t="shared" si="102"/>
        <v>Page5_BUI_VE!K</v>
      </c>
      <c r="Q782" s="611">
        <f t="shared" si="103"/>
        <v>16</v>
      </c>
      <c r="R782" s="1447">
        <f t="shared" ca="1" si="104"/>
        <v>0</v>
      </c>
      <c r="S782" s="1447">
        <f t="shared" ca="1" si="105"/>
        <v>0</v>
      </c>
      <c r="V782" s="2557" t="str">
        <f t="shared" ca="1" si="106"/>
        <v/>
      </c>
      <c r="W782" s="611" t="str">
        <f t="shared" ca="1" si="107"/>
        <v>Page5_BUI_VE, Ligne 13 [Page5_BUI_VE!K16]  -</v>
      </c>
    </row>
    <row r="783" spans="1:23">
      <c r="A783" s="1443" t="str">
        <f>celladdr(Page5_BUI_VE!K17)</f>
        <v>Page5_BUI_VE!K17</v>
      </c>
      <c r="B783" s="1464" t="s">
        <v>1086</v>
      </c>
      <c r="C783" s="1451" t="b">
        <f>Page5_BUI_VE!$K$17&lt;&gt;0</f>
        <v>0</v>
      </c>
      <c r="D783" s="1454" t="b">
        <f>OR(AND(Page5_BUI_VE!$K17&gt;0,Page5_BUI_VE!$M17=0),AND(Page5_BUI_VE!$M17&lt;&gt;0,Page5_BUI_VE!$K17=0))</f>
        <v>0</v>
      </c>
      <c r="E783" s="1454"/>
      <c r="F783" s="1454"/>
      <c r="G783" s="1444" t="str">
        <f t="shared" si="101"/>
        <v/>
      </c>
      <c r="H783" s="1447" t="str">
        <f>IF(C783=TRUE,Comments!$B$26,"")</f>
        <v/>
      </c>
      <c r="I783" s="1446" t="str">
        <f>IF(D783=TRUE,Comments!$B$21,"")</f>
        <v/>
      </c>
      <c r="J783" s="1446"/>
      <c r="K783" s="1452"/>
      <c r="N783" s="611" t="str">
        <f>"CPTE # "&amp;Page5_BUI_VE!$E$17&amp;"  "&amp;Page5_BUI_VE!$C$17&amp;" - UNITÉS - AAD"</f>
        <v>CPTE # 413C  NE PAS UTILISER - UNITÉS - AAD</v>
      </c>
      <c r="O783" s="611" t="str">
        <f t="shared" si="108"/>
        <v/>
      </c>
      <c r="P783" s="611" t="str">
        <f t="shared" si="102"/>
        <v>Page5_BUI_VE!K</v>
      </c>
      <c r="Q783" s="611">
        <f t="shared" si="103"/>
        <v>17</v>
      </c>
      <c r="R783" s="1447">
        <f t="shared" ca="1" si="104"/>
        <v>0</v>
      </c>
      <c r="S783" s="1447">
        <f t="shared" ca="1" si="105"/>
        <v>0</v>
      </c>
      <c r="V783" s="2557" t="str">
        <f t="shared" ca="1" si="106"/>
        <v/>
      </c>
      <c r="W783" s="611" t="str">
        <f t="shared" ca="1" si="107"/>
        <v>Page5_BUI_VE, Ligne 14 [Page5_BUI_VE!K17]  -</v>
      </c>
    </row>
    <row r="784" spans="1:23">
      <c r="A784" s="1443" t="str">
        <f>celladdr(Page5_BUI_VE!K18)</f>
        <v>Page5_BUI_VE!K18</v>
      </c>
      <c r="B784" s="1464" t="s">
        <v>1086</v>
      </c>
      <c r="C784" s="1451" t="b">
        <f>Page5_BUI_VE!$K$18&lt;&gt;0</f>
        <v>0</v>
      </c>
      <c r="D784" s="1454" t="b">
        <f>OR(AND(Page5_BUI_VE!$K18&gt;0,Page5_BUI_VE!$M18=0),AND(Page5_BUI_VE!$M18&lt;&gt;0,Page5_BUI_VE!$K18=0))</f>
        <v>0</v>
      </c>
      <c r="E784" s="1454"/>
      <c r="F784" s="1454"/>
      <c r="G784" s="1444" t="str">
        <f t="shared" si="101"/>
        <v/>
      </c>
      <c r="H784" s="1447" t="str">
        <f>IF(C784=TRUE,Comments!$B$26,"")</f>
        <v/>
      </c>
      <c r="I784" s="1446" t="str">
        <f>IF(D784=TRUE,Comments!$B$21,"")</f>
        <v/>
      </c>
      <c r="J784" s="1446"/>
      <c r="K784" s="1452"/>
      <c r="N784" s="611" t="str">
        <f>"CPTE # "&amp;Page5_BUI_VE!$E$18&amp;"  "&amp;Page5_BUI_VE!$C$18&amp;" - UNITÉS - AAD"</f>
        <v>CPTE # 414C  NE PAS UTILISER - UNITÉS - AAD</v>
      </c>
      <c r="O784" s="611" t="str">
        <f t="shared" si="108"/>
        <v/>
      </c>
      <c r="P784" s="611" t="str">
        <f t="shared" si="102"/>
        <v>Page5_BUI_VE!K</v>
      </c>
      <c r="Q784" s="611">
        <f t="shared" si="103"/>
        <v>18</v>
      </c>
      <c r="R784" s="1447">
        <f t="shared" ca="1" si="104"/>
        <v>0</v>
      </c>
      <c r="S784" s="1447">
        <f t="shared" ca="1" si="105"/>
        <v>0</v>
      </c>
      <c r="V784" s="2557" t="str">
        <f t="shared" ca="1" si="106"/>
        <v/>
      </c>
      <c r="W784" s="611" t="str">
        <f t="shared" ca="1" si="107"/>
        <v>Page5_BUI_VE, Ligne 15 [Page5_BUI_VE!K18]  -</v>
      </c>
    </row>
    <row r="785" spans="1:23">
      <c r="A785" s="1443" t="str">
        <f>celladdr(Page5_BUI_VE!K19)</f>
        <v>Page5_BUI_VE!K19</v>
      </c>
      <c r="B785" s="1464" t="s">
        <v>1086</v>
      </c>
      <c r="C785" s="1451" t="b">
        <f>Page5_BUI_VE!$K$19&lt;&gt;0</f>
        <v>0</v>
      </c>
      <c r="D785" s="1454" t="b">
        <f>OR(AND(Page5_BUI_VE!$K19&gt;0,Page5_BUI_VE!$M19=0),AND(Page5_BUI_VE!$M19&lt;&gt;0,Page5_BUI_VE!$K19=0))</f>
        <v>0</v>
      </c>
      <c r="E785" s="1454"/>
      <c r="F785" s="1454"/>
      <c r="G785" s="1444" t="str">
        <f t="shared" si="101"/>
        <v/>
      </c>
      <c r="H785" s="1447" t="str">
        <f>IF(C785=TRUE,Comments!$B$26,"")</f>
        <v/>
      </c>
      <c r="I785" s="1446" t="str">
        <f>IF(D785=TRUE,Comments!$B$21,"")</f>
        <v/>
      </c>
      <c r="J785" s="1446"/>
      <c r="K785" s="1452"/>
      <c r="N785" s="611" t="str">
        <f>"CPTE # "&amp;Page5_BUI_VE!$E$19&amp;"  "&amp;Page5_BUI_VE!$C$19&amp;" - UNITÉS - AAD"</f>
        <v>CPTE # 415C  NE PAS UTILISER - UNITÉS - AAD</v>
      </c>
      <c r="O785" s="611" t="str">
        <f t="shared" si="108"/>
        <v/>
      </c>
      <c r="P785" s="611" t="str">
        <f t="shared" si="102"/>
        <v>Page5_BUI_VE!K</v>
      </c>
      <c r="Q785" s="611">
        <f t="shared" si="103"/>
        <v>19</v>
      </c>
      <c r="R785" s="1447">
        <f t="shared" ca="1" si="104"/>
        <v>0</v>
      </c>
      <c r="S785" s="1447">
        <f t="shared" ca="1" si="105"/>
        <v>0</v>
      </c>
      <c r="V785" s="2557" t="str">
        <f t="shared" ca="1" si="106"/>
        <v/>
      </c>
      <c r="W785" s="611" t="str">
        <f t="shared" ca="1" si="107"/>
        <v>Page5_BUI_VE, Ligne 16 [Page5_BUI_VE!K19]  -</v>
      </c>
    </row>
    <row r="786" spans="1:23">
      <c r="A786" s="1443" t="str">
        <f>celladdr(Page5_BUI_VE!K20)</f>
        <v>Page5_BUI_VE!K20</v>
      </c>
      <c r="B786" s="1464" t="s">
        <v>1086</v>
      </c>
      <c r="C786" s="1451" t="b">
        <f>Page5_BUI_VE!$K$20&lt;&gt;0</f>
        <v>0</v>
      </c>
      <c r="D786" s="1454"/>
      <c r="E786" s="1454"/>
      <c r="F786" s="1454"/>
      <c r="G786" s="1444" t="str">
        <f t="shared" si="101"/>
        <v/>
      </c>
      <c r="H786" s="1447" t="str">
        <f>IF(C786=TRUE,Comments!$B$26,"")</f>
        <v/>
      </c>
      <c r="I786" s="1446"/>
      <c r="J786" s="1446"/>
      <c r="K786" s="1452"/>
      <c r="N786" s="611" t="str">
        <f>"CPTE # "&amp;Page5_BUI_VE!$E$20&amp;"  "&amp;Page5_BUI_VE!$C$20&amp;" - UNITÉS - AAD"</f>
        <v>CPTE # 416C  NE PAS UTILISER - UNITÉS - AAD</v>
      </c>
      <c r="O786" s="611" t="str">
        <f t="shared" si="108"/>
        <v/>
      </c>
      <c r="P786" s="611" t="str">
        <f t="shared" si="102"/>
        <v>Page5_BUI_VE!K</v>
      </c>
      <c r="Q786" s="611">
        <f t="shared" si="103"/>
        <v>20</v>
      </c>
      <c r="R786" s="1447">
        <f t="shared" ca="1" si="104"/>
        <v>0</v>
      </c>
      <c r="S786" s="1447">
        <f t="shared" ca="1" si="105"/>
        <v>0</v>
      </c>
      <c r="V786" s="2557" t="str">
        <f t="shared" ca="1" si="106"/>
        <v/>
      </c>
      <c r="W786" s="611" t="str">
        <f t="shared" ca="1" si="107"/>
        <v>Page5_BUI_VE, Ligne 17 [Page5_BUI_VE!K20]  -</v>
      </c>
    </row>
    <row r="787" spans="1:23">
      <c r="A787" s="1443" t="str">
        <f>celladdr(Page5_BUI_VE!K21)</f>
        <v>Page5_BUI_VE!K21</v>
      </c>
      <c r="B787" s="1464" t="s">
        <v>1086</v>
      </c>
      <c r="C787" s="1451" t="b">
        <f>Page5_BUI_VE!$K$21&lt;&gt;0</f>
        <v>0</v>
      </c>
      <c r="D787" s="1454" t="b">
        <f>OR(AND(Page5_BUI_VE!$K21&gt;0,Page5_BUI_VE!$M21=0),AND(Page5_BUI_VE!$M21&lt;&gt;0,Page5_BUI_VE!$K21=0))</f>
        <v>0</v>
      </c>
      <c r="E787" s="1454"/>
      <c r="F787" s="1454"/>
      <c r="G787" s="1444" t="str">
        <f t="shared" si="101"/>
        <v/>
      </c>
      <c r="H787" s="1447" t="str">
        <f>IF(C787=TRUE,Comments!$B$26,"")</f>
        <v/>
      </c>
      <c r="I787" s="1446" t="str">
        <f>IF(D787=TRUE,Comments!$B$21,"")</f>
        <v/>
      </c>
      <c r="J787" s="1446"/>
      <c r="K787" s="1452"/>
      <c r="N787" s="611" t="str">
        <f>"CPTE # "&amp;Page5_BUI_VE!$E$21&amp;"  "&amp;Page5_BUI_VE!$C$21&amp;" - UNITÉS - AAD"</f>
        <v>CPTE # 417C  NE PAS UTILISER - UNITÉS - AAD</v>
      </c>
      <c r="O787" s="611" t="str">
        <f t="shared" si="108"/>
        <v/>
      </c>
      <c r="P787" s="611" t="str">
        <f t="shared" si="102"/>
        <v>Page5_BUI_VE!K</v>
      </c>
      <c r="Q787" s="611">
        <f t="shared" si="103"/>
        <v>21</v>
      </c>
      <c r="R787" s="1447">
        <f t="shared" ca="1" si="104"/>
        <v>0</v>
      </c>
      <c r="S787" s="1447">
        <f t="shared" ca="1" si="105"/>
        <v>0</v>
      </c>
      <c r="V787" s="2557" t="str">
        <f t="shared" ca="1" si="106"/>
        <v/>
      </c>
      <c r="W787" s="611" t="str">
        <f t="shared" ca="1" si="107"/>
        <v>Page5_BUI_VE, Ligne 18 [Page5_BUI_VE!K21]  -</v>
      </c>
    </row>
    <row r="788" spans="1:23">
      <c r="A788" s="1443" t="str">
        <f>celladdr(Page5_BUI_VE!K22)</f>
        <v>Page5_BUI_VE!K22</v>
      </c>
      <c r="B788" s="1464" t="s">
        <v>1086</v>
      </c>
      <c r="C788" s="1451" t="b">
        <f>Page5_BUI_VE!$K$22&lt;&gt;0</f>
        <v>0</v>
      </c>
      <c r="D788" s="1454" t="b">
        <f>OR(AND(Page5_BUI_VE!$K22&gt;0,Page5_BUI_VE!$M22=0),AND(Page5_BUI_VE!$M22&lt;&gt;0,Page5_BUI_VE!$K22=0))</f>
        <v>0</v>
      </c>
      <c r="E788" s="1454"/>
      <c r="F788" s="1454"/>
      <c r="G788" s="1444" t="str">
        <f t="shared" si="101"/>
        <v/>
      </c>
      <c r="H788" s="1447" t="str">
        <f>IF(C788=TRUE,Comments!$B$26,"")</f>
        <v/>
      </c>
      <c r="I788" s="1446" t="str">
        <f>IF(D788=TRUE,Comments!$B$21,"")</f>
        <v/>
      </c>
      <c r="J788" s="1446"/>
      <c r="K788" s="1452"/>
      <c r="N788" s="611" t="str">
        <f>"CPTE # "&amp;Page5_BUI_VE!$E$22&amp;"  "&amp;Page5_BUI_VE!$C$22&amp;" - UNITÉS - AAD"</f>
        <v>CPTE # 418C  NE PAS UTILISER - UNITÉS - AAD</v>
      </c>
      <c r="O788" s="611" t="str">
        <f t="shared" si="108"/>
        <v/>
      </c>
      <c r="P788" s="611" t="str">
        <f t="shared" si="102"/>
        <v>Page5_BUI_VE!K</v>
      </c>
      <c r="Q788" s="611">
        <f t="shared" si="103"/>
        <v>22</v>
      </c>
      <c r="R788" s="1447">
        <f t="shared" ca="1" si="104"/>
        <v>0</v>
      </c>
      <c r="S788" s="1447">
        <f t="shared" ca="1" si="105"/>
        <v>0</v>
      </c>
      <c r="V788" s="2557" t="str">
        <f t="shared" ca="1" si="106"/>
        <v/>
      </c>
      <c r="W788" s="611" t="str">
        <f t="shared" ca="1" si="107"/>
        <v>Page5_BUI_VE, Ligne 19 [Page5_BUI_VE!K22]  -</v>
      </c>
    </row>
    <row r="789" spans="1:23">
      <c r="A789" s="1443" t="str">
        <f>celladdr(Page5_BUI_VE!K23)</f>
        <v>Page5_BUI_VE!K23</v>
      </c>
      <c r="B789" s="1444" t="s">
        <v>1086</v>
      </c>
      <c r="C789" s="1451"/>
      <c r="D789" s="1454"/>
      <c r="E789" s="1454"/>
      <c r="F789" s="1454"/>
      <c r="G789" s="1444" t="str">
        <f t="shared" si="101"/>
        <v/>
      </c>
      <c r="H789" s="1447" t="str">
        <f>IF(C789=TRUE,Comments!$B$26,"")</f>
        <v/>
      </c>
      <c r="I789" s="1446" t="str">
        <f>IF(D789=TRUE,Comments!$B$21,"")</f>
        <v/>
      </c>
      <c r="J789" s="1446"/>
      <c r="K789" s="1452"/>
      <c r="O789" s="611" t="str">
        <f t="shared" si="108"/>
        <v/>
      </c>
      <c r="P789" s="611" t="str">
        <f t="shared" si="102"/>
        <v>Page5_BUI_VE!K</v>
      </c>
      <c r="Q789" s="611">
        <f t="shared" si="103"/>
        <v>23</v>
      </c>
      <c r="R789" s="1447">
        <f t="shared" ca="1" si="104"/>
        <v>0</v>
      </c>
      <c r="S789" s="1447">
        <f t="shared" ca="1" si="105"/>
        <v>0</v>
      </c>
      <c r="V789" s="2557" t="str">
        <f t="shared" ca="1" si="106"/>
        <v/>
      </c>
      <c r="W789" s="611" t="str">
        <f t="shared" ca="1" si="107"/>
        <v>Page5_BUI_VE, Ligne 20 [Page5_BUI_VE!K23]  -</v>
      </c>
    </row>
    <row r="790" spans="1:23">
      <c r="A790" s="1443" t="str">
        <f>celladdr(Page5_BUI_VE!K24)</f>
        <v>Page5_BUI_VE!K24</v>
      </c>
      <c r="B790" s="1464" t="s">
        <v>1086</v>
      </c>
      <c r="C790" s="1451" t="b">
        <f>Page5_BUI_VE!$K$24&lt;&gt;0</f>
        <v>0</v>
      </c>
      <c r="D790" s="1454" t="b">
        <f>OR(AND(Page5_BUI_VE!$K24&gt;0,Page5_BUI_VE!$M24=0),AND(Page5_BUI_VE!$M24&lt;&gt;0,Page5_BUI_VE!$K24=0))</f>
        <v>0</v>
      </c>
      <c r="E790" s="1454"/>
      <c r="F790" s="1454"/>
      <c r="G790" s="1444" t="str">
        <f t="shared" si="101"/>
        <v/>
      </c>
      <c r="H790" s="1447" t="str">
        <f>IF(C790=TRUE,Comments!$B$26,"")</f>
        <v/>
      </c>
      <c r="I790" s="1446" t="str">
        <f>IF(D790=TRUE,Comments!$B$21,"")</f>
        <v/>
      </c>
      <c r="J790" s="1446"/>
      <c r="K790" s="1452"/>
      <c r="N790" s="611" t="str">
        <f>"CPTE # "&amp;Page5_BUI_VE!$E$24&amp;"  "&amp;Page5_BUI_VE!$C$24&amp;" - UNITÉS - AAD"</f>
        <v>CPTE # 419C  MÉMO* VENTES INTERNET VOITURES - UNITÉS - AAD</v>
      </c>
      <c r="O790" s="611" t="str">
        <f t="shared" si="108"/>
        <v/>
      </c>
      <c r="P790" s="611" t="str">
        <f t="shared" si="102"/>
        <v>Page5_BUI_VE!K</v>
      </c>
      <c r="Q790" s="611">
        <f t="shared" si="103"/>
        <v>24</v>
      </c>
      <c r="R790" s="1447">
        <f t="shared" ca="1" si="104"/>
        <v>0</v>
      </c>
      <c r="S790" s="1447">
        <f t="shared" ca="1" si="105"/>
        <v>0</v>
      </c>
      <c r="V790" s="2557" t="str">
        <f t="shared" ca="1" si="106"/>
        <v/>
      </c>
      <c r="W790" s="611" t="str">
        <f t="shared" ca="1" si="107"/>
        <v>Page5_BUI_VE, Ligne 21 [Page5_BUI_VE!K24]  -</v>
      </c>
    </row>
    <row r="791" spans="1:23">
      <c r="A791" s="1443" t="str">
        <f>celladdr(Page5_BUI_VE!K25)</f>
        <v>Page5_BUI_VE!K25</v>
      </c>
      <c r="B791" s="1464" t="s">
        <v>1086</v>
      </c>
      <c r="C791" s="1451" t="b">
        <f>Page5_BUI_VE!$K$25&lt;&gt;0</f>
        <v>0</v>
      </c>
      <c r="D791" s="1454" t="b">
        <f>OR(AND(Page5_BUI_VE!$K25&gt;0,Page5_BUI_VE!$M25=0),AND(Page5_BUI_VE!$M25&lt;&gt;0,Page5_BUI_VE!$K25=0))</f>
        <v>0</v>
      </c>
      <c r="E791" s="1454" t="b">
        <f>ROUND(Page5_BUI_VE!K25,2)&lt;&gt;ROUND(Page5_PARCS_GOUV!K7 + Page5_PARCS_GOUV!K43,2)</f>
        <v>0</v>
      </c>
      <c r="F791" s="1454"/>
      <c r="G791" s="1444" t="str">
        <f t="shared" si="101"/>
        <v/>
      </c>
      <c r="H791" s="1447" t="str">
        <f>IF(C791=TRUE,Comments!$B$26,"")</f>
        <v/>
      </c>
      <c r="I791" s="1446" t="str">
        <f>IF(D791=TRUE,Comments!$B$21,"")</f>
        <v/>
      </c>
      <c r="J791" s="1446" t="str">
        <f>IF(E791=TRUE, Comments!$B$100,"")</f>
        <v/>
      </c>
      <c r="K791" s="1452"/>
      <c r="N791" s="611" t="str">
        <f>"CPTE # "&amp;Page5_BUI_VE!$E$25&amp;"  "&amp;Page5_BUI_VE!$C$25&amp;" - UNITÉS - AAD"</f>
        <v>CPTE # DE PG PARCS  TOTAL PARCS - VOITURES - UNITÉS - AAD</v>
      </c>
      <c r="O791" s="611" t="str">
        <f t="shared" si="108"/>
        <v/>
      </c>
      <c r="P791" s="611" t="str">
        <f t="shared" si="102"/>
        <v>Page5_BUI_VE!K</v>
      </c>
      <c r="Q791" s="611">
        <f t="shared" si="103"/>
        <v>25</v>
      </c>
      <c r="R791" s="1447">
        <f t="shared" ca="1" si="104"/>
        <v>0</v>
      </c>
      <c r="S791" s="1447">
        <f t="shared" ca="1" si="105"/>
        <v>0</v>
      </c>
      <c r="T791" s="611">
        <v>100</v>
      </c>
      <c r="V791" s="2557" t="str">
        <f t="shared" ca="1" si="106"/>
        <v/>
      </c>
      <c r="W791" s="611" t="str">
        <f t="shared" ca="1" si="107"/>
        <v>Page5_BUI_VE, Ligne 22 [Page5_BUI_VE!K25]  -</v>
      </c>
    </row>
    <row r="792" spans="1:23">
      <c r="A792" s="1443" t="str">
        <f>celladdr(Page5_BUI_VE!K26)</f>
        <v>Page5_BUI_VE!K26</v>
      </c>
      <c r="B792" s="1464" t="s">
        <v>1086</v>
      </c>
      <c r="C792" s="1451" t="b">
        <f>Page5_BUI_VE!$K$26&lt;&gt;0</f>
        <v>0</v>
      </c>
      <c r="D792" s="1454" t="b">
        <f>OR(AND(Page5_BUI_VE!$K26&gt;0,Page5_BUI_VE!$M26=0),AND(Page5_BUI_VE!$M26&lt;&gt;0,Page5_BUI_VE!$K26=0))</f>
        <v>0</v>
      </c>
      <c r="E792" s="1454"/>
      <c r="F792" s="1454"/>
      <c r="G792" s="1444" t="str">
        <f t="shared" si="101"/>
        <v/>
      </c>
      <c r="H792" s="1447" t="str">
        <f>IF(C792=TRUE,Comments!$B$26,"")</f>
        <v/>
      </c>
      <c r="I792" s="1446" t="str">
        <f>IF(D792=TRUE,Comments!$B$21,"")</f>
        <v/>
      </c>
      <c r="J792" s="1446"/>
      <c r="K792" s="1452"/>
      <c r="N792" s="611" t="str">
        <f>"CPTE # "&amp;Page5_BUI_VE!$E$26&amp;"  "&amp;Page5_BUI_VE!$C$26&amp;" - UNITÉS - AAD"</f>
        <v>CPTE # 421C  TOTAL INTERNE - VOITURES - UNITÉS - AAD</v>
      </c>
      <c r="O792" s="611" t="str">
        <f t="shared" si="108"/>
        <v/>
      </c>
      <c r="P792" s="611" t="str">
        <f t="shared" si="102"/>
        <v>Page5_BUI_VE!K</v>
      </c>
      <c r="Q792" s="611">
        <f t="shared" si="103"/>
        <v>26</v>
      </c>
      <c r="R792" s="1447">
        <f t="shared" ca="1" si="104"/>
        <v>0</v>
      </c>
      <c r="S792" s="1447">
        <f t="shared" ca="1" si="105"/>
        <v>0</v>
      </c>
      <c r="V792" s="2557" t="str">
        <f t="shared" ca="1" si="106"/>
        <v/>
      </c>
      <c r="W792" s="611" t="str">
        <f t="shared" ca="1" si="107"/>
        <v>Page5_BUI_VE, Ligne 23 [Page5_BUI_VE!K26]  -</v>
      </c>
    </row>
    <row r="793" spans="1:23">
      <c r="A793" s="1443" t="str">
        <f>celladdr(Page5_BUI_VE!K27)</f>
        <v>Page5_BUI_VE!K27</v>
      </c>
      <c r="B793" s="1444" t="s">
        <v>1086</v>
      </c>
      <c r="C793" s="1451"/>
      <c r="D793" s="1454"/>
      <c r="E793" s="1454"/>
      <c r="F793" s="1454"/>
      <c r="G793" s="1444" t="str">
        <f t="shared" si="101"/>
        <v/>
      </c>
      <c r="H793" s="1447" t="str">
        <f>IF(C793=TRUE,Comments!$B$26,"")</f>
        <v/>
      </c>
      <c r="I793" s="1446" t="str">
        <f>IF(D793=TRUE,Comments!$B$21,"")</f>
        <v/>
      </c>
      <c r="J793" s="1446"/>
      <c r="K793" s="1452"/>
      <c r="O793" s="611" t="str">
        <f t="shared" si="108"/>
        <v/>
      </c>
      <c r="P793" s="611" t="str">
        <f t="shared" si="102"/>
        <v>Page5_BUI_VE!K</v>
      </c>
      <c r="Q793" s="611">
        <f t="shared" si="103"/>
        <v>27</v>
      </c>
      <c r="R793" s="1447">
        <f t="shared" ca="1" si="104"/>
        <v>0</v>
      </c>
      <c r="S793" s="1447">
        <f t="shared" ca="1" si="105"/>
        <v>0</v>
      </c>
      <c r="V793" s="2557" t="str">
        <f t="shared" ca="1" si="106"/>
        <v/>
      </c>
      <c r="W793" s="611" t="str">
        <f t="shared" ca="1" si="107"/>
        <v>Page5_BUI_VE, Ligne 24 [Page5_BUI_VE!K27]  -</v>
      </c>
    </row>
    <row r="794" spans="1:23">
      <c r="A794" s="1443" t="str">
        <f>celladdr(Page5_BUI_VE!K28)</f>
        <v>Page5_BUI_VE!K28</v>
      </c>
      <c r="B794" s="1464" t="s">
        <v>1086</v>
      </c>
      <c r="C794" s="1451" t="b">
        <f>Page5_BUI_VE!$K$28&lt;&gt;0</f>
        <v>0</v>
      </c>
      <c r="D794" s="1454" t="b">
        <f>OR(AND(Page5_BUI_VE!$K28&gt;0,Page5_BUI_VE!$M28=0),AND(Page5_BUI_VE!$M28&lt;&gt;0,Page5_BUI_VE!$K28=0))</f>
        <v>0</v>
      </c>
      <c r="E794" s="1454"/>
      <c r="F794" s="1454"/>
      <c r="G794" s="1444" t="str">
        <f t="shared" si="101"/>
        <v/>
      </c>
      <c r="H794" s="1447" t="str">
        <f>IF(C794=TRUE,Comments!$B$26,"")</f>
        <v/>
      </c>
      <c r="I794" s="1446" t="str">
        <f>IF(D794=TRUE,Comments!$B$21,"")</f>
        <v/>
      </c>
      <c r="J794" s="1446"/>
      <c r="K794" s="1452"/>
      <c r="N794" s="611" t="str">
        <f>"CPTE # "&amp;Page5_BUI_VE!$E$28&amp;"  "&amp;Page5_BUI_VE!$C$28&amp;" - UNITÉS - AAD"</f>
        <v>CPTE # 423C  NE PAS UTILISER - UNITÉS - AAD</v>
      </c>
      <c r="O794" s="611" t="str">
        <f t="shared" si="108"/>
        <v/>
      </c>
      <c r="P794" s="611" t="str">
        <f t="shared" si="102"/>
        <v>Page5_BUI_VE!K</v>
      </c>
      <c r="Q794" s="611">
        <f t="shared" si="103"/>
        <v>28</v>
      </c>
      <c r="R794" s="1447">
        <f t="shared" ca="1" si="104"/>
        <v>0</v>
      </c>
      <c r="S794" s="1447">
        <f t="shared" ca="1" si="105"/>
        <v>0</v>
      </c>
      <c r="V794" s="2557" t="str">
        <f t="shared" ca="1" si="106"/>
        <v/>
      </c>
      <c r="W794" s="611" t="str">
        <f t="shared" ca="1" si="107"/>
        <v>Page5_BUI_VE, Ligne 25 [Page5_BUI_VE!K28]  -</v>
      </c>
    </row>
    <row r="795" spans="1:23">
      <c r="A795" s="1443" t="str">
        <f>celladdr(Page5_BUI_VE!K29)</f>
        <v>Page5_BUI_VE!K29</v>
      </c>
      <c r="B795" s="1464" t="s">
        <v>1086</v>
      </c>
      <c r="C795" s="1451" t="b">
        <f>Page5_BUI_VE!$K$29&lt;&gt;0</f>
        <v>0</v>
      </c>
      <c r="D795" s="1454" t="b">
        <f>OR(AND(Page5_BUI_VE!$K29&gt;0,Page5_BUI_VE!$M29=0),AND(Page5_BUI_VE!$M29&lt;&gt;0,Page5_BUI_VE!$K29=0))</f>
        <v>0</v>
      </c>
      <c r="E795" s="1454"/>
      <c r="F795" s="1454"/>
      <c r="G795" s="1444" t="str">
        <f t="shared" si="101"/>
        <v/>
      </c>
      <c r="H795" s="1447" t="str">
        <f>IF(C795=TRUE,Comments!$B$26,"")</f>
        <v/>
      </c>
      <c r="I795" s="1446" t="str">
        <f>IF(D795=TRUE,Comments!$B$21,"")</f>
        <v/>
      </c>
      <c r="J795" s="1446"/>
      <c r="K795" s="1452"/>
      <c r="N795" s="611" t="str">
        <f>"CPTE # "&amp;Page5_BUI_VE!$E$29&amp;"  "&amp;Page5_BUI_VE!$C$29&amp;" - UNITÉS - AAD"</f>
        <v>CPTE # 424C  NE PAS UTILISER - UNITÉS - AAD</v>
      </c>
      <c r="O795" s="611" t="str">
        <f t="shared" si="108"/>
        <v/>
      </c>
      <c r="P795" s="611" t="str">
        <f t="shared" si="102"/>
        <v>Page5_BUI_VE!K</v>
      </c>
      <c r="Q795" s="611">
        <f t="shared" si="103"/>
        <v>29</v>
      </c>
      <c r="R795" s="1447">
        <f t="shared" ca="1" si="104"/>
        <v>0</v>
      </c>
      <c r="S795" s="1447">
        <f t="shared" ca="1" si="105"/>
        <v>0</v>
      </c>
      <c r="V795" s="2557" t="str">
        <f t="shared" ca="1" si="106"/>
        <v/>
      </c>
      <c r="W795" s="611" t="str">
        <f t="shared" ca="1" si="107"/>
        <v>Page5_BUI_VE, Ligne 26 [Page5_BUI_VE!K29]  -</v>
      </c>
    </row>
    <row r="796" spans="1:23">
      <c r="A796" s="1443" t="str">
        <f>celladdr(Page5_BUI_VE!K30)</f>
        <v>Page5_BUI_VE!K30</v>
      </c>
      <c r="B796" s="1464" t="s">
        <v>1086</v>
      </c>
      <c r="C796" s="1451" t="b">
        <f>Page5_BUI_VE!$K$30&lt;&gt;0</f>
        <v>0</v>
      </c>
      <c r="D796" s="1454" t="b">
        <f>OR(AND(Page5_BUI_VE!$K30&gt;0,Page5_BUI_VE!$M30=0),AND(Page5_BUI_VE!$M30&lt;&gt;0,Page5_BUI_VE!$K30=0))</f>
        <v>0</v>
      </c>
      <c r="E796" s="1454"/>
      <c r="F796" s="1454"/>
      <c r="G796" s="1444" t="str">
        <f t="shared" si="101"/>
        <v/>
      </c>
      <c r="H796" s="1447" t="str">
        <f>IF(C796=TRUE,Comments!$B$26,"")</f>
        <v/>
      </c>
      <c r="I796" s="1446" t="str">
        <f>IF(D796=TRUE,Comments!$B$21,"")</f>
        <v/>
      </c>
      <c r="J796" s="1446"/>
      <c r="K796" s="1452"/>
      <c r="N796" s="611" t="str">
        <f>"CPTE # "&amp;Page5_BUI_VE!$E$30&amp;"  "&amp;Page5_BUI_VE!$C$30&amp;" - UNITÉS - AAD"</f>
        <v>CPTE # 425C  NE PAS UTILISER - UNITÉS - AAD</v>
      </c>
      <c r="O796" s="611" t="str">
        <f t="shared" si="108"/>
        <v/>
      </c>
      <c r="P796" s="611" t="str">
        <f t="shared" si="102"/>
        <v>Page5_BUI_VE!K</v>
      </c>
      <c r="Q796" s="611">
        <f t="shared" si="103"/>
        <v>30</v>
      </c>
      <c r="R796" s="1447">
        <f t="shared" ca="1" si="104"/>
        <v>0</v>
      </c>
      <c r="S796" s="1447">
        <f t="shared" ca="1" si="105"/>
        <v>0</v>
      </c>
      <c r="V796" s="2557" t="str">
        <f t="shared" ca="1" si="106"/>
        <v/>
      </c>
      <c r="W796" s="611" t="str">
        <f t="shared" ca="1" si="107"/>
        <v>Page5_BUI_VE, Ligne 27 [Page5_BUI_VE!K30]  -</v>
      </c>
    </row>
    <row r="797" spans="1:23">
      <c r="A797" s="1443" t="str">
        <f>celladdr(Page5_BUI_VE!K31)</f>
        <v>Page5_BUI_VE!K31</v>
      </c>
      <c r="B797" s="1464" t="s">
        <v>1086</v>
      </c>
      <c r="C797" s="1451" t="b">
        <f>Page5_BUI_VE!$K$31&lt;&gt;0</f>
        <v>0</v>
      </c>
      <c r="D797" s="1454" t="b">
        <f>OR(AND(Page5_BUI_VE!$K31&gt;0,Page5_BUI_VE!$M31=0),AND(Page5_BUI_VE!$M31&lt;&gt;0,Page5_BUI_VE!$K31=0))</f>
        <v>0</v>
      </c>
      <c r="E797" s="1454"/>
      <c r="F797" s="1454"/>
      <c r="G797" s="1444" t="str">
        <f t="shared" si="101"/>
        <v/>
      </c>
      <c r="H797" s="1447" t="str">
        <f>IF(C797=TRUE,Comments!$B$26,"")</f>
        <v/>
      </c>
      <c r="I797" s="1446" t="str">
        <f>IF(D797=TRUE,Comments!$B$21,"")</f>
        <v/>
      </c>
      <c r="J797" s="1446"/>
      <c r="K797" s="1452"/>
      <c r="N797" s="611" t="str">
        <f>"CPTE # "&amp;Page5_BUI_VE!$E$31&amp;"  "&amp;Page5_BUI_VE!$C$31&amp;" - UNITÉS - AAD"</f>
        <v>CPTE # 426C  NE PAS UTILISER - UNITÉS - AAD</v>
      </c>
      <c r="O797" s="611" t="str">
        <f t="shared" si="108"/>
        <v/>
      </c>
      <c r="P797" s="611" t="str">
        <f t="shared" si="102"/>
        <v>Page5_BUI_VE!K</v>
      </c>
      <c r="Q797" s="611">
        <f t="shared" si="103"/>
        <v>31</v>
      </c>
      <c r="R797" s="1447">
        <f t="shared" ca="1" si="104"/>
        <v>0</v>
      </c>
      <c r="S797" s="1447">
        <f t="shared" ca="1" si="105"/>
        <v>0</v>
      </c>
      <c r="V797" s="2557" t="str">
        <f t="shared" ca="1" si="106"/>
        <v/>
      </c>
      <c r="W797" s="611" t="str">
        <f t="shared" ca="1" si="107"/>
        <v>Page5_BUI_VE, Ligne 28 [Page5_BUI_VE!K31]  -</v>
      </c>
    </row>
    <row r="798" spans="1:23">
      <c r="A798" s="1443" t="str">
        <f>celladdr(Page5_BUI_VE!K32)</f>
        <v>Page5_BUI_VE!K32</v>
      </c>
      <c r="B798" s="1464" t="s">
        <v>1086</v>
      </c>
      <c r="C798" s="1451" t="b">
        <f>Page5_BUI_VE!$K$32&lt;&gt;0</f>
        <v>0</v>
      </c>
      <c r="D798" s="1454" t="b">
        <f>OR(AND(Page5_BUI_VE!$K32&gt;0,Page5_BUI_VE!$M32=0),AND(Page5_BUI_VE!$M32&lt;&gt;0,Page5_BUI_VE!$K32=0))</f>
        <v>0</v>
      </c>
      <c r="E798" s="1454"/>
      <c r="F798" s="1454"/>
      <c r="G798" s="1444" t="str">
        <f t="shared" si="101"/>
        <v/>
      </c>
      <c r="H798" s="1447" t="str">
        <f>IF(C798=TRUE,Comments!$B$26,"")</f>
        <v/>
      </c>
      <c r="I798" s="1446" t="str">
        <f>IF(D798=TRUE,Comments!$B$21,"")</f>
        <v/>
      </c>
      <c r="J798" s="1446"/>
      <c r="K798" s="1452"/>
      <c r="N798" s="611" t="str">
        <f>"CPTE # "&amp;Page5_BUI_VE!$E$32&amp;"  "&amp;Page5_BUI_VE!$C$32&amp;" - UNITÉS - AAD"</f>
        <v>CPTE # 427C  NE PAS UTILISER - UNITÉS - AAD</v>
      </c>
      <c r="O798" s="611" t="str">
        <f t="shared" si="108"/>
        <v/>
      </c>
      <c r="P798" s="611" t="str">
        <f t="shared" si="102"/>
        <v>Page5_BUI_VE!K</v>
      </c>
      <c r="Q798" s="611">
        <f t="shared" si="103"/>
        <v>32</v>
      </c>
      <c r="R798" s="1447">
        <f t="shared" ca="1" si="104"/>
        <v>0</v>
      </c>
      <c r="S798" s="1447">
        <f t="shared" ca="1" si="105"/>
        <v>0</v>
      </c>
      <c r="V798" s="2557" t="str">
        <f t="shared" ca="1" si="106"/>
        <v/>
      </c>
      <c r="W798" s="611" t="str">
        <f t="shared" ca="1" si="107"/>
        <v>Page5_BUI_VE, Ligne 29 [Page5_BUI_VE!K32]  -</v>
      </c>
    </row>
    <row r="799" spans="1:23">
      <c r="A799" s="1443" t="str">
        <f>celladdr(Page5_BUI_VE!K33)</f>
        <v>Page5_BUI_VE!K33</v>
      </c>
      <c r="B799" s="1464" t="s">
        <v>1086</v>
      </c>
      <c r="C799" s="1451" t="b">
        <f>Page5_BUI_VE!$K$33&lt;&gt;0</f>
        <v>0</v>
      </c>
      <c r="D799" s="1454" t="b">
        <f>OR(AND(Page5_BUI_VE!$K33&gt;0,Page5_BUI_VE!$M33=0),AND(Page5_BUI_VE!$M33&lt;&gt;0,Page5_BUI_VE!$K33=0))</f>
        <v>0</v>
      </c>
      <c r="E799" s="1454"/>
      <c r="F799" s="1454"/>
      <c r="G799" s="1444" t="str">
        <f t="shared" si="101"/>
        <v/>
      </c>
      <c r="H799" s="1447" t="str">
        <f>IF(C799=TRUE,Comments!$B$26,"")</f>
        <v/>
      </c>
      <c r="I799" s="1446" t="str">
        <f>IF(D799=TRUE,Comments!$B$21,"")</f>
        <v/>
      </c>
      <c r="J799" s="1446"/>
      <c r="K799" s="1452"/>
      <c r="N799" s="611" t="str">
        <f>"CPTE # "&amp;Page5_BUI_VE!$E$33&amp;"  "&amp;Page5_BUI_VE!$C$33&amp;" - UNITÉS - AAD"</f>
        <v>CPTE # 428C  NE PAS UTILISER - UNITÉS - AAD</v>
      </c>
      <c r="O799" s="611" t="str">
        <f t="shared" si="108"/>
        <v/>
      </c>
      <c r="P799" s="611" t="str">
        <f t="shared" si="102"/>
        <v>Page5_BUI_VE!K</v>
      </c>
      <c r="Q799" s="611">
        <f t="shared" si="103"/>
        <v>33</v>
      </c>
      <c r="R799" s="1447">
        <f t="shared" ca="1" si="104"/>
        <v>0</v>
      </c>
      <c r="S799" s="1447">
        <f t="shared" ca="1" si="105"/>
        <v>0</v>
      </c>
      <c r="V799" s="2557" t="str">
        <f t="shared" ca="1" si="106"/>
        <v/>
      </c>
      <c r="W799" s="611" t="str">
        <f t="shared" ca="1" si="107"/>
        <v>Page5_BUI_VE, Ligne 30 [Page5_BUI_VE!K33]  -</v>
      </c>
    </row>
    <row r="800" spans="1:23">
      <c r="A800" s="1443" t="str">
        <f>celladdr(Page5_BUI_VE!K34)</f>
        <v>Page5_BUI_VE!K34</v>
      </c>
      <c r="B800" s="1464" t="s">
        <v>1086</v>
      </c>
      <c r="C800" s="1451" t="b">
        <f>Page5_BUI_VE!$K$34&lt;&gt;0</f>
        <v>0</v>
      </c>
      <c r="D800" s="1454" t="b">
        <f>OR(AND(Page5_BUI_VE!$K34&gt;0,Page5_BUI_VE!$M34=0),AND(Page5_BUI_VE!$M34&lt;&gt;0,Page5_BUI_VE!$K34=0))</f>
        <v>0</v>
      </c>
      <c r="E800" s="1454"/>
      <c r="F800" s="1454"/>
      <c r="G800" s="1444" t="str">
        <f t="shared" si="101"/>
        <v/>
      </c>
      <c r="H800" s="1447" t="str">
        <f>IF(C800=TRUE,Comments!$B$26,"")</f>
        <v/>
      </c>
      <c r="I800" s="1446" t="str">
        <f>IF(D800=TRUE,Comments!$B$21,"")</f>
        <v/>
      </c>
      <c r="J800" s="1446"/>
      <c r="K800" s="1452"/>
      <c r="N800" s="611" t="str">
        <f>"CPTE # "&amp;Page5_BUI_VE!$E$34&amp;"  "&amp;Page5_BUI_VE!$C$34&amp;" - UNITÉS - AAD"</f>
        <v>CPTE # 429C  NE PAS UTILISER - UNITÉS - AAD</v>
      </c>
      <c r="O800" s="611" t="str">
        <f t="shared" si="108"/>
        <v/>
      </c>
      <c r="P800" s="611" t="str">
        <f t="shared" si="102"/>
        <v>Page5_BUI_VE!K</v>
      </c>
      <c r="Q800" s="611">
        <f t="shared" si="103"/>
        <v>34</v>
      </c>
      <c r="R800" s="1447">
        <f t="shared" ca="1" si="104"/>
        <v>0</v>
      </c>
      <c r="S800" s="1447">
        <f t="shared" ca="1" si="105"/>
        <v>0</v>
      </c>
      <c r="V800" s="2557" t="str">
        <f t="shared" ca="1" si="106"/>
        <v/>
      </c>
      <c r="W800" s="611" t="str">
        <f t="shared" ca="1" si="107"/>
        <v>Page5_BUI_VE, Ligne 31 [Page5_BUI_VE!K34]  -</v>
      </c>
    </row>
    <row r="801" spans="1:23">
      <c r="A801" s="1443" t="str">
        <f>celladdr(Page5_BUI_VE!K35)</f>
        <v>Page5_BUI_VE!K35</v>
      </c>
      <c r="B801" s="1464" t="s">
        <v>1086</v>
      </c>
      <c r="C801" s="1451" t="b">
        <f>Page5_BUI_VE!$K$35&lt;&gt;0</f>
        <v>0</v>
      </c>
      <c r="D801" s="1454" t="b">
        <f>OR(AND(Page5_BUI_VE!$K35&gt;0,Page5_BUI_VE!$M35=0),AND(Page5_BUI_VE!$M35&lt;&gt;0,Page5_BUI_VE!$K35=0))</f>
        <v>0</v>
      </c>
      <c r="E801" s="1454"/>
      <c r="F801" s="1454"/>
      <c r="G801" s="1444" t="str">
        <f t="shared" si="101"/>
        <v/>
      </c>
      <c r="H801" s="1447" t="str">
        <f>IF(C801=TRUE,Comments!$B$26,"")</f>
        <v/>
      </c>
      <c r="I801" s="1446" t="str">
        <f>IF(D801=TRUE,Comments!$B$21,"")</f>
        <v/>
      </c>
      <c r="J801" s="1446"/>
      <c r="K801" s="1452"/>
      <c r="N801" s="611" t="str">
        <f>"CPTE # "&amp;Page5_BUI_VE!$E$35&amp;"  "&amp;Page5_BUI_VE!$C$35&amp;" - UNITÉS - AAD"</f>
        <v>CPTE # 430C  NE PAS UTILISER - UNITÉS - AAD</v>
      </c>
      <c r="O801" s="611" t="str">
        <f t="shared" si="108"/>
        <v/>
      </c>
      <c r="P801" s="611" t="str">
        <f t="shared" si="102"/>
        <v>Page5_BUI_VE!K</v>
      </c>
      <c r="Q801" s="611">
        <f t="shared" si="103"/>
        <v>35</v>
      </c>
      <c r="R801" s="1447">
        <f t="shared" ca="1" si="104"/>
        <v>0</v>
      </c>
      <c r="S801" s="1447">
        <f t="shared" ca="1" si="105"/>
        <v>0</v>
      </c>
      <c r="V801" s="2557" t="str">
        <f t="shared" ca="1" si="106"/>
        <v/>
      </c>
      <c r="W801" s="611" t="str">
        <f t="shared" ca="1" si="107"/>
        <v>Page5_BUI_VE, Ligne 32 [Page5_BUI_VE!K35]  -</v>
      </c>
    </row>
    <row r="802" spans="1:23">
      <c r="A802" s="1443" t="str">
        <f>celladdr(Page5_BUI_VE!K36)</f>
        <v>Page5_BUI_VE!K36</v>
      </c>
      <c r="B802" s="1464" t="s">
        <v>1086</v>
      </c>
      <c r="C802" s="1451" t="b">
        <f>Page5_BUI_VE!$K$36&lt;&gt;0</f>
        <v>0</v>
      </c>
      <c r="D802" s="1454" t="b">
        <f>OR(AND(Page5_BUI_VE!$K36&gt;0,Page5_BUI_VE!$M36=0),AND(Page5_BUI_VE!$M36&lt;&gt;0,Page5_BUI_VE!$K36=0))</f>
        <v>0</v>
      </c>
      <c r="E802" s="1454"/>
      <c r="F802" s="1454"/>
      <c r="G802" s="1444" t="str">
        <f t="shared" si="101"/>
        <v/>
      </c>
      <c r="H802" s="1447" t="str">
        <f>IF(C802=TRUE,Comments!$B$26,"")</f>
        <v/>
      </c>
      <c r="I802" s="1446" t="str">
        <f>IF(D802=TRUE,Comments!$B$21,"")</f>
        <v/>
      </c>
      <c r="J802" s="1446"/>
      <c r="K802" s="1452"/>
      <c r="N802" s="611" t="str">
        <f>"CPTE # "&amp;Page5_BUI_VE!$E$36&amp;"  "&amp;Page5_BUI_VE!$C$36&amp;" - UNITÉS - AAD"</f>
        <v>CPTE # 431C  NE PAS UTILISER - UNITÉS - AAD</v>
      </c>
      <c r="O802" s="611" t="str">
        <f t="shared" si="108"/>
        <v/>
      </c>
      <c r="P802" s="611" t="str">
        <f t="shared" si="102"/>
        <v>Page5_BUI_VE!K</v>
      </c>
      <c r="Q802" s="611">
        <f t="shared" si="103"/>
        <v>36</v>
      </c>
      <c r="R802" s="1447">
        <f t="shared" ca="1" si="104"/>
        <v>0</v>
      </c>
      <c r="S802" s="1447">
        <f t="shared" ca="1" si="105"/>
        <v>0</v>
      </c>
      <c r="V802" s="2557" t="str">
        <f t="shared" ca="1" si="106"/>
        <v/>
      </c>
      <c r="W802" s="611" t="str">
        <f t="shared" ca="1" si="107"/>
        <v>Page5_BUI_VE, Ligne 33 [Page5_BUI_VE!K36]  -</v>
      </c>
    </row>
    <row r="803" spans="1:23">
      <c r="A803" s="1443" t="str">
        <f>celladdr(Page5_BUI_VE!K37)</f>
        <v>Page5_BUI_VE!K37</v>
      </c>
      <c r="B803" s="1464" t="s">
        <v>1086</v>
      </c>
      <c r="C803" s="1451" t="b">
        <f>Page5_BUI_VE!$K$37&lt;&gt;0</f>
        <v>0</v>
      </c>
      <c r="D803" s="1454" t="b">
        <f>OR(AND(Page5_BUI_VE!$K37&gt;0,Page5_BUI_VE!$M37=0),AND(Page5_BUI_VE!$M37&lt;&gt;0,Page5_BUI_VE!$K37=0))</f>
        <v>0</v>
      </c>
      <c r="E803" s="1454"/>
      <c r="F803" s="1454"/>
      <c r="G803" s="1444" t="str">
        <f t="shared" si="101"/>
        <v/>
      </c>
      <c r="H803" s="1447" t="str">
        <f>IF(C803=TRUE,Comments!$B$26,"")</f>
        <v/>
      </c>
      <c r="I803" s="1446" t="str">
        <f>IF(D803=TRUE,Comments!$B$21,"")</f>
        <v/>
      </c>
      <c r="J803" s="1446"/>
      <c r="K803" s="1452"/>
      <c r="N803" s="611" t="str">
        <f>"CPTE # "&amp;Page5_BUI_VE!$E$37&amp;"  "&amp;Page5_BUI_VE!$C$37&amp;" - UNITÉS - AAD"</f>
        <v>CPTE # 432C  NE PAS UTILISER - UNITÉS - AAD</v>
      </c>
      <c r="O803" s="611" t="str">
        <f t="shared" si="108"/>
        <v/>
      </c>
      <c r="P803" s="611" t="str">
        <f t="shared" si="102"/>
        <v>Page5_BUI_VE!K</v>
      </c>
      <c r="Q803" s="611">
        <f t="shared" si="103"/>
        <v>37</v>
      </c>
      <c r="R803" s="1447">
        <f t="shared" ca="1" si="104"/>
        <v>0</v>
      </c>
      <c r="S803" s="1447">
        <f t="shared" ca="1" si="105"/>
        <v>0</v>
      </c>
      <c r="V803" s="2557" t="str">
        <f t="shared" ca="1" si="106"/>
        <v/>
      </c>
      <c r="W803" s="611" t="str">
        <f t="shared" ca="1" si="107"/>
        <v>Page5_BUI_VE, Ligne 34 [Page5_BUI_VE!K37]  -</v>
      </c>
    </row>
    <row r="804" spans="1:23">
      <c r="A804" s="1443" t="str">
        <f>celladdr(Page5_BUI_VE!K38)</f>
        <v>Page5_BUI_VE!K38</v>
      </c>
      <c r="B804" s="1464" t="s">
        <v>1086</v>
      </c>
      <c r="C804" s="1451" t="b">
        <f>Page5_BUI_VE!$K$38&lt;&gt;0</f>
        <v>0</v>
      </c>
      <c r="D804" s="1454" t="b">
        <f>OR(AND(Page5_BUI_VE!$K38&gt;0,Page5_BUI_VE!$M38=0),AND(Page5_BUI_VE!$M38&lt;&gt;0,Page5_BUI_VE!$K38=0))</f>
        <v>0</v>
      </c>
      <c r="E804" s="1454"/>
      <c r="F804" s="1454"/>
      <c r="G804" s="1444" t="str">
        <f t="shared" si="101"/>
        <v/>
      </c>
      <c r="H804" s="1447" t="str">
        <f>IF(C804=TRUE,Comments!$B$26,"")</f>
        <v/>
      </c>
      <c r="I804" s="1446" t="str">
        <f>IF(D804=TRUE,Comments!$B$21,"")</f>
        <v/>
      </c>
      <c r="J804" s="1446"/>
      <c r="K804" s="1452"/>
      <c r="N804" s="611" t="str">
        <f>"CPTE # "&amp;Page5_BUI_VE!$E$38&amp;"  "&amp;Page5_BUI_VE!$C$38&amp;" - UNITÉS - AAD"</f>
        <v>CPTE # 433C  NE PAS UTILISER - UNITÉS - AAD</v>
      </c>
      <c r="O804" s="611" t="str">
        <f t="shared" si="108"/>
        <v/>
      </c>
      <c r="P804" s="611" t="str">
        <f t="shared" si="102"/>
        <v>Page5_BUI_VE!K</v>
      </c>
      <c r="Q804" s="611">
        <f t="shared" si="103"/>
        <v>38</v>
      </c>
      <c r="R804" s="1447">
        <f t="shared" ca="1" si="104"/>
        <v>0</v>
      </c>
      <c r="S804" s="1447">
        <f t="shared" ca="1" si="105"/>
        <v>0</v>
      </c>
      <c r="V804" s="2557" t="str">
        <f t="shared" ca="1" si="106"/>
        <v/>
      </c>
      <c r="W804" s="611" t="str">
        <f t="shared" ca="1" si="107"/>
        <v>Page5_BUI_VE, Ligne 35 [Page5_BUI_VE!K38]  -</v>
      </c>
    </row>
    <row r="805" spans="1:23">
      <c r="A805" s="1443" t="str">
        <f>celladdr(Page5_BUI_VE!K39)</f>
        <v>Page5_BUI_VE!K39</v>
      </c>
      <c r="B805" s="1464" t="s">
        <v>1086</v>
      </c>
      <c r="C805" s="1451" t="b">
        <f>Page5_BUI_VE!$K$39&lt;&gt;0</f>
        <v>0</v>
      </c>
      <c r="D805" s="1454" t="b">
        <f>OR(AND(Page5_BUI_VE!$K39&gt;0,Page5_BUI_VE!$M39=0),AND(Page5_BUI_VE!$M39&lt;&gt;0,Page5_BUI_VE!$K39=0))</f>
        <v>0</v>
      </c>
      <c r="E805" s="1454"/>
      <c r="F805" s="1454"/>
      <c r="G805" s="1444" t="str">
        <f t="shared" si="101"/>
        <v/>
      </c>
      <c r="H805" s="1447" t="str">
        <f>IF(C805=TRUE,Comments!$B$26,"")</f>
        <v/>
      </c>
      <c r="I805" s="1446" t="str">
        <f>IF(D805=TRUE,Comments!$B$21,"")</f>
        <v/>
      </c>
      <c r="J805" s="1446"/>
      <c r="K805" s="1452"/>
      <c r="N805" s="611" t="str">
        <f>"CPTE # "&amp;Page5_BUI_VE!$E$39&amp;"  "&amp;Page5_BUI_VE!$C$39&amp;" - UNITÉS - AAD"</f>
        <v>CPTE # 434C  NE PAS UTILISER - UNITÉS - AAD</v>
      </c>
      <c r="O805" s="611" t="str">
        <f t="shared" si="108"/>
        <v/>
      </c>
      <c r="P805" s="611" t="str">
        <f t="shared" si="102"/>
        <v>Page5_BUI_VE!K</v>
      </c>
      <c r="Q805" s="611">
        <f t="shared" si="103"/>
        <v>39</v>
      </c>
      <c r="R805" s="1447">
        <f t="shared" ca="1" si="104"/>
        <v>0</v>
      </c>
      <c r="S805" s="1447">
        <f t="shared" ca="1" si="105"/>
        <v>0</v>
      </c>
      <c r="V805" s="2557" t="str">
        <f t="shared" ca="1" si="106"/>
        <v/>
      </c>
      <c r="W805" s="611" t="str">
        <f t="shared" ca="1" si="107"/>
        <v>Page5_BUI_VE, Ligne 36 [Page5_BUI_VE!K39]  -</v>
      </c>
    </row>
    <row r="806" spans="1:23">
      <c r="A806" s="1443" t="str">
        <f>celladdr(Page5_BUI_VE!K40)</f>
        <v>Page5_BUI_VE!K40</v>
      </c>
      <c r="B806" s="1464" t="s">
        <v>1086</v>
      </c>
      <c r="C806" s="1451" t="b">
        <f>Page5_BUI_VE!$K$40&lt;&gt;0</f>
        <v>0</v>
      </c>
      <c r="D806" s="1454" t="b">
        <f>OR(AND(Page5_BUI_VE!$K40&gt;0,Page5_BUI_VE!$M40=0),AND(Page5_BUI_VE!$M40&lt;&gt;0,Page5_BUI_VE!$K40=0))</f>
        <v>0</v>
      </c>
      <c r="E806" s="1454"/>
      <c r="F806" s="1454"/>
      <c r="G806" s="1444" t="str">
        <f t="shared" si="101"/>
        <v/>
      </c>
      <c r="H806" s="1447" t="str">
        <f>IF(C806=TRUE,Comments!$B$26,"")</f>
        <v/>
      </c>
      <c r="I806" s="1446" t="str">
        <f>IF(D806=TRUE,Comments!$B$21,"")</f>
        <v/>
      </c>
      <c r="J806" s="1446"/>
      <c r="K806" s="1452"/>
      <c r="N806" s="611" t="str">
        <f>"CPTE # "&amp;Page5_BUI_VE!$E$40&amp;"  "&amp;Page5_BUI_VE!$C$40&amp;" - UNITÉS - AAD"</f>
        <v>CPTE # 435C  NE PAS UTILISER - UNITÉS - AAD</v>
      </c>
      <c r="O806" s="611" t="str">
        <f t="shared" si="108"/>
        <v/>
      </c>
      <c r="P806" s="611" t="str">
        <f t="shared" si="102"/>
        <v>Page5_BUI_VE!K</v>
      </c>
      <c r="Q806" s="611">
        <f t="shared" si="103"/>
        <v>40</v>
      </c>
      <c r="R806" s="1447">
        <f t="shared" ca="1" si="104"/>
        <v>0</v>
      </c>
      <c r="S806" s="1447">
        <f t="shared" ca="1" si="105"/>
        <v>0</v>
      </c>
      <c r="V806" s="2557" t="str">
        <f t="shared" ca="1" si="106"/>
        <v/>
      </c>
      <c r="W806" s="611" t="str">
        <f t="shared" ca="1" si="107"/>
        <v>Page5_BUI_VE, Ligne 37 [Page5_BUI_VE!K40]  -</v>
      </c>
    </row>
    <row r="807" spans="1:23">
      <c r="A807" s="1443" t="str">
        <f>celladdr(Page5_BUI_VE!K41)</f>
        <v>Page5_BUI_VE!K41</v>
      </c>
      <c r="B807" s="1464" t="s">
        <v>1086</v>
      </c>
      <c r="C807" s="1451" t="b">
        <f>Page5_BUI_VE!$K$41&lt;&gt;0</f>
        <v>0</v>
      </c>
      <c r="D807" s="1454" t="b">
        <f>OR(AND(Page5_BUI_VE!$K41&gt;0,Page5_BUI_VE!$M41=0),AND(Page5_BUI_VE!$M41&lt;&gt;0,Page5_BUI_VE!$K41=0))</f>
        <v>0</v>
      </c>
      <c r="E807" s="1454"/>
      <c r="F807" s="1454"/>
      <c r="G807" s="1444" t="str">
        <f t="shared" si="101"/>
        <v/>
      </c>
      <c r="H807" s="1447" t="str">
        <f>IF(C807=TRUE,Comments!$B$26,"")</f>
        <v/>
      </c>
      <c r="I807" s="1446" t="str">
        <f>IF(D807=TRUE,Comments!$B$21,"")</f>
        <v/>
      </c>
      <c r="J807" s="1446"/>
      <c r="K807" s="1452"/>
      <c r="N807" s="611" t="str">
        <f>"CPTE # "&amp;Page5_BUI_VE!$E$41&amp;"  "&amp;Page5_BUI_VE!$C$41&amp;" - UNITÉS - AAD"</f>
        <v>CPTE # 436C  NE PAS UTILISER - UNITÉS - AAD</v>
      </c>
      <c r="O807" s="611" t="str">
        <f t="shared" si="108"/>
        <v/>
      </c>
      <c r="P807" s="611" t="str">
        <f t="shared" si="102"/>
        <v>Page5_BUI_VE!K</v>
      </c>
      <c r="Q807" s="611">
        <f t="shared" si="103"/>
        <v>41</v>
      </c>
      <c r="R807" s="1447">
        <f t="shared" ca="1" si="104"/>
        <v>0</v>
      </c>
      <c r="S807" s="1447">
        <f t="shared" ca="1" si="105"/>
        <v>0</v>
      </c>
      <c r="V807" s="2557" t="str">
        <f t="shared" ca="1" si="106"/>
        <v/>
      </c>
      <c r="W807" s="611" t="str">
        <f t="shared" ca="1" si="107"/>
        <v>Page5_BUI_VE, Ligne 38 [Page5_BUI_VE!K41]  -</v>
      </c>
    </row>
    <row r="808" spans="1:23">
      <c r="A808" s="1443" t="str">
        <f>celladdr(Page5_BUI_VE!K42)</f>
        <v>Page5_BUI_VE!K42</v>
      </c>
      <c r="B808" s="1464" t="s">
        <v>1086</v>
      </c>
      <c r="C808" s="1451" t="b">
        <f>Page5_BUI_VE!$K$42&lt;&gt;0</f>
        <v>0</v>
      </c>
      <c r="D808" s="1454"/>
      <c r="E808" s="1454"/>
      <c r="F808" s="1454"/>
      <c r="G808" s="1444" t="str">
        <f t="shared" si="101"/>
        <v/>
      </c>
      <c r="H808" s="1447" t="str">
        <f>IF(C808=TRUE,Comments!$B$26,"")</f>
        <v/>
      </c>
      <c r="I808" s="1446"/>
      <c r="J808" s="1446"/>
      <c r="K808" s="1452"/>
      <c r="N808" s="611" t="str">
        <f>"CPTE # "&amp;Page5_BUI_VE!$E$42&amp;"  "&amp;Page5_BUI_VE!$C$42&amp;" - UNITÉS - AAD"</f>
        <v>CPTE # 437C  NE PAS UTILISER - UNITÉS - AAD</v>
      </c>
      <c r="O808" s="611" t="str">
        <f t="shared" si="108"/>
        <v/>
      </c>
      <c r="P808" s="611" t="str">
        <f t="shared" si="102"/>
        <v>Page5_BUI_VE!K</v>
      </c>
      <c r="Q808" s="611">
        <f t="shared" si="103"/>
        <v>42</v>
      </c>
      <c r="R808" s="1447">
        <f t="shared" ca="1" si="104"/>
        <v>0</v>
      </c>
      <c r="S808" s="1447">
        <f t="shared" ca="1" si="105"/>
        <v>0</v>
      </c>
      <c r="V808" s="2557" t="str">
        <f t="shared" ca="1" si="106"/>
        <v/>
      </c>
      <c r="W808" s="611" t="str">
        <f t="shared" ca="1" si="107"/>
        <v>Page5_BUI_VE, Ligne 39 [Page5_BUI_VE!K42]  -</v>
      </c>
    </row>
    <row r="809" spans="1:23">
      <c r="A809" s="1443" t="str">
        <f>celladdr(Page5_BUI_VE!K43)</f>
        <v>Page5_BUI_VE!K43</v>
      </c>
      <c r="B809" s="1464" t="s">
        <v>1086</v>
      </c>
      <c r="C809" s="1451" t="b">
        <f>Page5_BUI_VE!$K$43&lt;&gt;0</f>
        <v>0</v>
      </c>
      <c r="D809" s="1454" t="b">
        <f>OR(AND(Page5_BUI_VE!$K43&gt;0,Page5_BUI_VE!$M43=0),AND(Page5_BUI_VE!$M43&lt;&gt;0,Page5_BUI_VE!$K43=0))</f>
        <v>0</v>
      </c>
      <c r="E809" s="1454"/>
      <c r="F809" s="1454"/>
      <c r="G809" s="1444" t="str">
        <f t="shared" si="101"/>
        <v/>
      </c>
      <c r="H809" s="1447" t="str">
        <f>IF(C809=TRUE,Comments!$B$26,"")</f>
        <v/>
      </c>
      <c r="I809" s="1446" t="str">
        <f>IF(D809=TRUE,Comments!$B$21,"")</f>
        <v/>
      </c>
      <c r="J809" s="1446"/>
      <c r="K809" s="1452"/>
      <c r="N809" s="611" t="str">
        <f>"CPTE # "&amp;Page5_BUI_VE!$E$43&amp;"  "&amp;Page5_BUI_VE!$C$43&amp;" - UNITÉS - AAD"</f>
        <v>CPTE # 438C  NE PAS UTILISER - UNITÉS - AAD</v>
      </c>
      <c r="O809" s="611" t="str">
        <f t="shared" si="108"/>
        <v/>
      </c>
      <c r="P809" s="611" t="str">
        <f t="shared" si="102"/>
        <v>Page5_BUI_VE!K</v>
      </c>
      <c r="Q809" s="611">
        <f t="shared" si="103"/>
        <v>43</v>
      </c>
      <c r="R809" s="1447">
        <f t="shared" ca="1" si="104"/>
        <v>0</v>
      </c>
      <c r="S809" s="1447">
        <f t="shared" ca="1" si="105"/>
        <v>0</v>
      </c>
      <c r="V809" s="2557" t="str">
        <f t="shared" ca="1" si="106"/>
        <v/>
      </c>
      <c r="W809" s="611" t="str">
        <f t="shared" ca="1" si="107"/>
        <v>Page5_BUI_VE, Ligne 40 [Page5_BUI_VE!K43]  -</v>
      </c>
    </row>
    <row r="810" spans="1:23">
      <c r="A810" s="1443" t="str">
        <f>celladdr(Page5_BUI_VE!K44)</f>
        <v>Page5_BUI_VE!K44</v>
      </c>
      <c r="B810" s="1444" t="s">
        <v>1086</v>
      </c>
      <c r="C810" s="1451"/>
      <c r="D810" s="1454"/>
      <c r="E810" s="1454"/>
      <c r="F810" s="1454"/>
      <c r="G810" s="1444" t="str">
        <f t="shared" si="101"/>
        <v/>
      </c>
      <c r="H810" s="1447" t="str">
        <f>IF(C810=TRUE,Comments!$B$26,"")</f>
        <v/>
      </c>
      <c r="I810" s="1446" t="str">
        <f>IF(D810=TRUE,Comments!$B$21,"")</f>
        <v/>
      </c>
      <c r="J810" s="1446"/>
      <c r="K810" s="1452"/>
      <c r="O810" s="611" t="str">
        <f t="shared" si="108"/>
        <v/>
      </c>
      <c r="P810" s="611" t="str">
        <f t="shared" si="102"/>
        <v>Page5_BUI_VE!K</v>
      </c>
      <c r="Q810" s="611">
        <f t="shared" si="103"/>
        <v>44</v>
      </c>
      <c r="R810" s="1447">
        <f t="shared" ca="1" si="104"/>
        <v>0</v>
      </c>
      <c r="S810" s="1447">
        <f t="shared" ca="1" si="105"/>
        <v>0</v>
      </c>
      <c r="V810" s="2557" t="str">
        <f t="shared" ca="1" si="106"/>
        <v/>
      </c>
      <c r="W810" s="611" t="str">
        <f t="shared" ca="1" si="107"/>
        <v>Page5_BUI_VE, Ligne 41 [Page5_BUI_VE!K44]  -</v>
      </c>
    </row>
    <row r="811" spans="1:23">
      <c r="A811" s="1443" t="str">
        <f>celladdr(Page5_BUI_VE!K45)</f>
        <v>Page5_BUI_VE!K45</v>
      </c>
      <c r="B811" s="1464" t="s">
        <v>1086</v>
      </c>
      <c r="C811" s="1451" t="b">
        <f>Page5_BUI_VE!$K$45&lt;&gt;0</f>
        <v>0</v>
      </c>
      <c r="D811" s="1454" t="b">
        <f>OR(AND(Page5_BUI_VE!$K45&gt;0,Page5_BUI_VE!$M45=0),AND(Page5_BUI_VE!$M45&lt;&gt;0,Page5_BUI_VE!$K45=0))</f>
        <v>0</v>
      </c>
      <c r="E811" s="1454"/>
      <c r="F811" s="1454"/>
      <c r="G811" s="1444" t="str">
        <f t="shared" si="101"/>
        <v/>
      </c>
      <c r="H811" s="1447" t="str">
        <f>IF(C811=TRUE,Comments!$B$26,"")</f>
        <v/>
      </c>
      <c r="I811" s="1446" t="str">
        <f>IF(D811=TRUE,Comments!$B$21,"")</f>
        <v/>
      </c>
      <c r="J811" s="1446"/>
      <c r="K811" s="1452"/>
      <c r="N811" s="611" t="str">
        <f>"CPTE # "&amp;Page5_BUI_VE!$E$45&amp;"  "&amp;Page5_BUI_VE!$C$45&amp;" - UNITÉS - AAD"</f>
        <v>CPTE # 439C  MÉMO* VENTES INTERNET CAMIONS - UNITÉS - AAD</v>
      </c>
      <c r="O811" s="611" t="str">
        <f t="shared" si="108"/>
        <v/>
      </c>
      <c r="P811" s="611" t="str">
        <f t="shared" si="102"/>
        <v>Page5_BUI_VE!K</v>
      </c>
      <c r="Q811" s="611">
        <f t="shared" si="103"/>
        <v>45</v>
      </c>
      <c r="R811" s="1447">
        <f t="shared" ca="1" si="104"/>
        <v>0</v>
      </c>
      <c r="S811" s="1447">
        <f t="shared" ca="1" si="105"/>
        <v>0</v>
      </c>
      <c r="V811" s="2557" t="str">
        <f t="shared" ca="1" si="106"/>
        <v/>
      </c>
      <c r="W811" s="611" t="str">
        <f t="shared" ca="1" si="107"/>
        <v>Page5_BUI_VE, Ligne 42 [Page5_BUI_VE!K45]  -</v>
      </c>
    </row>
    <row r="812" spans="1:23">
      <c r="A812" s="1443" t="str">
        <f>celladdr(Page5_BUI_VE!K46)</f>
        <v>Page5_BUI_VE!K46</v>
      </c>
      <c r="B812" s="1464" t="s">
        <v>1086</v>
      </c>
      <c r="C812" s="1451" t="b">
        <f>Page5_BUI_VE!$K$46&lt;&gt;0</f>
        <v>0</v>
      </c>
      <c r="D812" s="1454" t="b">
        <f>OR(AND(Page5_BUI_VE!$K46&gt;0,Page5_BUI_VE!$M46=0),AND(Page5_BUI_VE!$M46&lt;&gt;0,Page5_BUI_VE!$K46=0))</f>
        <v>0</v>
      </c>
      <c r="E812" s="2452" t="b">
        <f>ROUND(Page5_BUI_VE!K46+ Page5_CAD_VE!K46,2)&lt;&gt;ROUND(Page5_PARCS_GOUV!K13+Page5_PARCS_GOUV!K15+Page5_PARCS_GOUV!K17+Page5_PARCS_GOUV!K49+Page5_PARCS_GOUV!K51+Page5_PARCS_GOUV!K53,2)</f>
        <v>0</v>
      </c>
      <c r="F812" s="1454"/>
      <c r="G812" s="1444" t="str">
        <f t="shared" si="101"/>
        <v/>
      </c>
      <c r="H812" s="1447" t="str">
        <f>IF(C812=TRUE,Comments!$B$26,"")</f>
        <v/>
      </c>
      <c r="I812" s="1446" t="str">
        <f>IF(D812=TRUE,Comments!$B$21,"")</f>
        <v/>
      </c>
      <c r="J812" s="1446" t="str">
        <f>IF(E812=TRUE, Comments!$B$100,"")</f>
        <v/>
      </c>
      <c r="K812" s="1452"/>
      <c r="N812" s="611" t="str">
        <f>"CPTE # "&amp;Page5_BUI_VE!$E$46&amp;"  "&amp;Page5_BUI_VE!$C$46&amp;" - UNITÉS - AAD"</f>
        <v>CPTE # DE PG PARCS  TOTAL PARCS - CAMIONS - UNITÉS - AAD</v>
      </c>
      <c r="O812" s="611" t="str">
        <f t="shared" si="108"/>
        <v/>
      </c>
      <c r="P812" s="611" t="str">
        <f t="shared" si="102"/>
        <v>Page5_BUI_VE!K</v>
      </c>
      <c r="Q812" s="611">
        <f t="shared" si="103"/>
        <v>46</v>
      </c>
      <c r="R812" s="1447">
        <f t="shared" ca="1" si="104"/>
        <v>0</v>
      </c>
      <c r="S812" s="1447">
        <f t="shared" ca="1" si="105"/>
        <v>0</v>
      </c>
      <c r="T812" s="611">
        <v>100</v>
      </c>
      <c r="V812" s="2557" t="str">
        <f t="shared" ca="1" si="106"/>
        <v/>
      </c>
      <c r="W812" s="611" t="str">
        <f t="shared" ca="1" si="107"/>
        <v>Page5_BUI_VE, Ligne 43 [Page5_BUI_VE!K46]  -</v>
      </c>
    </row>
    <row r="813" spans="1:23">
      <c r="A813" s="1443" t="str">
        <f>celladdr(Page5_BUI_VE!K47)</f>
        <v>Page5_BUI_VE!K47</v>
      </c>
      <c r="B813" s="1464" t="s">
        <v>1086</v>
      </c>
      <c r="C813" s="1451" t="b">
        <f>Page5_BUI_VE!$K$47&lt;&gt;0</f>
        <v>0</v>
      </c>
      <c r="D813" s="1454" t="b">
        <f>OR(AND(Page5_BUI_VE!$K47&gt;0,Page5_BUI_VE!$M47=0),AND(Page5_BUI_VE!$M47&lt;&gt;0,Page5_BUI_VE!$K47=0))</f>
        <v>0</v>
      </c>
      <c r="E813" s="1454"/>
      <c r="F813" s="1454"/>
      <c r="G813" s="1444" t="str">
        <f t="shared" si="101"/>
        <v/>
      </c>
      <c r="H813" s="1447" t="str">
        <f>IF(C813=TRUE,Comments!$B$26,"")</f>
        <v/>
      </c>
      <c r="I813" s="1446" t="str">
        <f>IF(D813=TRUE,Comments!$B$21,"")</f>
        <v/>
      </c>
      <c r="J813" s="1446"/>
      <c r="K813" s="1452"/>
      <c r="N813" s="611" t="str">
        <f>"CPTE # "&amp;Page5_BUI_VE!$E$47&amp;"  "&amp;Page5_BUI_VE!$C$47&amp;" - UNITÉS - AAD"</f>
        <v>CPTE # 441C  TOTAL IINTERNE - CAMIONS  - UNITÉS - AAD</v>
      </c>
      <c r="O813" s="611" t="str">
        <f t="shared" ref="O813:O839" si="109">IF(A813=A812,"TRUE","")</f>
        <v/>
      </c>
      <c r="P813" s="611" t="str">
        <f t="shared" si="102"/>
        <v>Page5_BUI_VE!K</v>
      </c>
      <c r="Q813" s="611">
        <f t="shared" si="103"/>
        <v>47</v>
      </c>
      <c r="R813" s="1447">
        <f t="shared" ca="1" si="104"/>
        <v>0</v>
      </c>
      <c r="S813" s="1447">
        <f t="shared" ca="1" si="105"/>
        <v>0</v>
      </c>
      <c r="V813" s="2557" t="str">
        <f t="shared" ca="1" si="106"/>
        <v/>
      </c>
      <c r="W813" s="611" t="str">
        <f t="shared" ca="1" si="107"/>
        <v>Page5_BUI_VE, Ligne 44 [Page5_BUI_VE!K47]  -</v>
      </c>
    </row>
    <row r="814" spans="1:23">
      <c r="A814" s="1443" t="str">
        <f>celladdr(Page5_BUI_VE!K48)</f>
        <v>Page5_BUI_VE!K48</v>
      </c>
      <c r="B814" s="1444" t="s">
        <v>1086</v>
      </c>
      <c r="C814" s="1451"/>
      <c r="D814" s="1454"/>
      <c r="E814" s="1454"/>
      <c r="F814" s="1454"/>
      <c r="G814" s="1444" t="str">
        <f t="shared" si="101"/>
        <v/>
      </c>
      <c r="H814" s="1447" t="str">
        <f>IF(C814=TRUE,Comments!$B$26,"")</f>
        <v/>
      </c>
      <c r="I814" s="1446" t="str">
        <f>IF(D814=TRUE,Comments!$B$21,"")</f>
        <v/>
      </c>
      <c r="J814" s="1446"/>
      <c r="K814" s="1452"/>
      <c r="O814" s="611" t="str">
        <f t="shared" si="109"/>
        <v/>
      </c>
      <c r="P814" s="611" t="str">
        <f t="shared" si="102"/>
        <v>Page5_BUI_VE!K</v>
      </c>
      <c r="Q814" s="611">
        <f t="shared" si="103"/>
        <v>48</v>
      </c>
      <c r="R814" s="1447">
        <f t="shared" ca="1" si="104"/>
        <v>0</v>
      </c>
      <c r="S814" s="1447">
        <f t="shared" ca="1" si="105"/>
        <v>0</v>
      </c>
      <c r="V814" s="2557" t="str">
        <f t="shared" ca="1" si="106"/>
        <v/>
      </c>
      <c r="W814" s="611" t="str">
        <f t="shared" ca="1" si="107"/>
        <v>Page5_BUI_VE, Ligne 45 [Page5_BUI_VE!K48]  -</v>
      </c>
    </row>
    <row r="815" spans="1:23">
      <c r="A815" s="1443" t="str">
        <f>celladdr(Page5_BUI_VE!K49)</f>
        <v>Page5_BUI_VE!K49</v>
      </c>
      <c r="B815" s="1464" t="s">
        <v>1086</v>
      </c>
      <c r="C815" s="1451"/>
      <c r="D815" s="1454" t="b">
        <f>OR(AND(Page5_BUI_VE!$K49&gt;0,Page5_BUI_VE!$M49=0),AND(Page5_BUI_VE!$M49&lt;&gt;0,Page5_BUI_VE!$K49=0))</f>
        <v>0</v>
      </c>
      <c r="E815" s="1454"/>
      <c r="F815" s="1454"/>
      <c r="G815" s="1444" t="str">
        <f t="shared" si="101"/>
        <v/>
      </c>
      <c r="I815" s="1446" t="str">
        <f>IF(D815=TRUE,Comments!$B$24,"")</f>
        <v/>
      </c>
      <c r="J815" s="1446"/>
      <c r="K815" s="1452"/>
      <c r="N815" s="611" t="str">
        <f>"CPTE # "&amp;Page5_BUI_VE!$E$49&amp;"  "&amp;Page5_BUI_VE!$C$49&amp;" - UNITÉS - AAD"</f>
        <v>CPTE #      - UNITÉS - AAD</v>
      </c>
      <c r="O815" s="611" t="str">
        <f t="shared" si="109"/>
        <v/>
      </c>
      <c r="P815" s="611" t="str">
        <f t="shared" si="102"/>
        <v>Page5_BUI_VE!K</v>
      </c>
      <c r="Q815" s="611">
        <f t="shared" si="103"/>
        <v>49</v>
      </c>
      <c r="R815" s="1447">
        <f t="shared" ca="1" si="104"/>
        <v>0</v>
      </c>
      <c r="S815" s="1447">
        <f t="shared" ca="1" si="105"/>
        <v>0</v>
      </c>
      <c r="V815" s="2557" t="str">
        <f t="shared" ca="1" si="106"/>
        <v/>
      </c>
      <c r="W815" s="611" t="str">
        <f t="shared" ca="1" si="107"/>
        <v>Page5_BUI_VE, Ligne 46 [Page5_BUI_VE!K49]  -</v>
      </c>
    </row>
    <row r="816" spans="1:23">
      <c r="A816" s="1443" t="str">
        <f>celladdr(Page5_BUI_VE!K50)</f>
        <v>Page5_BUI_VE!K50</v>
      </c>
      <c r="B816" s="1464" t="s">
        <v>1086</v>
      </c>
      <c r="C816" s="1451"/>
      <c r="D816" s="1454" t="b">
        <f>OR(AND(Page5_BUI_VE!$K50&gt;0,Page5_BUI_VE!$M50=0),AND(Page5_BUI_VE!$M50&lt;&gt;0,Page5_BUI_VE!$K50=0))</f>
        <v>0</v>
      </c>
      <c r="E816" s="1454"/>
      <c r="F816" s="1454"/>
      <c r="G816" s="1444" t="str">
        <f t="shared" si="101"/>
        <v/>
      </c>
      <c r="I816" s="1446" t="str">
        <f>IF(D816=TRUE,Comments!$B$21,"")</f>
        <v/>
      </c>
      <c r="J816" s="1446"/>
      <c r="K816" s="1452"/>
      <c r="N816" s="611" t="str">
        <f>"CPTE # "&amp;Page5_BUI_VE!$E$50&amp;"  "&amp;Page5_BUI_VE!$C$50&amp;" - UNITÉS - AAD"</f>
        <v>CPTE # 457C  ACCESSOIRES - UNITÉS - AAD</v>
      </c>
      <c r="O816" s="611" t="str">
        <f t="shared" si="109"/>
        <v/>
      </c>
      <c r="P816" s="611" t="str">
        <f t="shared" si="102"/>
        <v>Page5_BUI_VE!K</v>
      </c>
      <c r="Q816" s="611">
        <f t="shared" si="103"/>
        <v>50</v>
      </c>
      <c r="R816" s="1447">
        <f t="shared" ca="1" si="104"/>
        <v>0</v>
      </c>
      <c r="S816" s="1447">
        <f t="shared" ca="1" si="105"/>
        <v>0</v>
      </c>
      <c r="V816" s="2557" t="str">
        <f t="shared" ca="1" si="106"/>
        <v/>
      </c>
      <c r="W816" s="611" t="str">
        <f t="shared" ca="1" si="107"/>
        <v>Page5_BUI_VE, Ligne 47 [Page5_BUI_VE!K50]  -</v>
      </c>
    </row>
    <row r="817" spans="1:23">
      <c r="A817" s="1443" t="str">
        <f>celladdr(Page5_BUI_VE!K51)</f>
        <v>Page5_BUI_VE!K51</v>
      </c>
      <c r="B817" s="1453" t="s">
        <v>1086</v>
      </c>
      <c r="C817" s="1445" t="b">
        <f>Page5_BUI_VE!$K$51&lt;&gt;Page5_BUI_VE!$K$48+Page5_BUI_VE!$K$27</f>
        <v>0</v>
      </c>
      <c r="D817" s="1454"/>
      <c r="F817" s="1454"/>
      <c r="G817" s="1444" t="str">
        <f t="shared" si="101"/>
        <v/>
      </c>
      <c r="H817" s="1446" t="str">
        <f>IF(C817=TRUE,Comments!$B$38&amp;Page5_BUI_VE!$K$51-(Page5_BUI_VE!$K$48+Page5_BUI_VE!$K$27),"")</f>
        <v/>
      </c>
      <c r="I817" s="1452"/>
      <c r="J817" s="1452"/>
      <c r="K817" s="1452"/>
      <c r="N817" s="611" t="str">
        <f>Page5_BUI_VE!$B$1&amp;" TOTAL VÉHICULES NEUFS  - UNITÉS - AAD"</f>
        <v>BUICK - VE TOTAL VÉHICULES NEUFS  - UNITÉS - AAD</v>
      </c>
      <c r="O817" s="611" t="str">
        <f t="shared" si="109"/>
        <v/>
      </c>
      <c r="P817" s="611" t="str">
        <f t="shared" si="102"/>
        <v>Page5_BUI_VE!K</v>
      </c>
      <c r="Q817" s="611">
        <f t="shared" si="103"/>
        <v>51</v>
      </c>
      <c r="R817" s="1447">
        <f t="shared" ca="1" si="104"/>
        <v>0</v>
      </c>
      <c r="S817" s="1447">
        <f t="shared" ca="1" si="105"/>
        <v>0</v>
      </c>
      <c r="V817" s="2557" t="str">
        <f t="shared" ca="1" si="106"/>
        <v/>
      </c>
      <c r="W817" s="611" t="str">
        <f t="shared" ca="1" si="107"/>
        <v>Page5_BUI_VE, Ligne 48 [Page5_BUI_VE!K51]  -</v>
      </c>
    </row>
    <row r="818" spans="1:23">
      <c r="A818" s="1443" t="str">
        <f>celladdr(Page5_BUI_VE!L4)</f>
        <v>Page5_BUI_VE!L4</v>
      </c>
      <c r="B818" s="1456" t="s">
        <v>1086</v>
      </c>
      <c r="C818" s="1451" t="b">
        <f>Page5_BUI_VE!$L$4&lt;&gt;0</f>
        <v>0</v>
      </c>
      <c r="D818" s="1454" t="b">
        <f>OR(AND(Page5_BUI_VE!$L4&lt;&gt;0,Page5_BUI_VE!$M4=0),AND(Page5_BUI_VE!$M4&lt;&gt;0,Page5_BUI_VE!$L4=0))</f>
        <v>0</v>
      </c>
      <c r="E818" s="1454"/>
      <c r="F818" s="1454"/>
      <c r="G818" s="1444" t="str">
        <f t="shared" si="101"/>
        <v/>
      </c>
      <c r="H818" s="1447" t="str">
        <f>IF(C818=TRUE,Comments!$B$23,"")</f>
        <v/>
      </c>
      <c r="I818" s="1446" t="str">
        <f>IF(D818=TRUE,Comments!$B$24,"")</f>
        <v/>
      </c>
      <c r="J818" s="1446"/>
      <c r="K818" s="1452"/>
      <c r="N818" s="611" t="str">
        <f>"CPTE # "&amp;Page5_BUI_VE!$E$4&amp;"  "&amp;Page5_BUI_VE!$C$4&amp;" - CHIFFRE D'AFFAIRES RÉALISÉ - AAD"</f>
        <v>CPTE # 400C  NE PAS UTILISER - CHIFFRE D'AFFAIRES RÉALISÉ - AAD</v>
      </c>
      <c r="O818" s="611" t="str">
        <f t="shared" si="109"/>
        <v/>
      </c>
      <c r="P818" s="611" t="str">
        <f t="shared" si="102"/>
        <v>Page5_BUI_VE!L</v>
      </c>
      <c r="Q818" s="611">
        <f t="shared" si="103"/>
        <v>4</v>
      </c>
      <c r="R818" s="1447">
        <f t="shared" ca="1" si="104"/>
        <v>0</v>
      </c>
      <c r="S818" s="1447">
        <f t="shared" ca="1" si="105"/>
        <v>0</v>
      </c>
      <c r="V818" s="2557" t="str">
        <f t="shared" ca="1" si="106"/>
        <v/>
      </c>
      <c r="W818" s="611" t="str">
        <f t="shared" ca="1" si="107"/>
        <v>Page5_BUI_VE, Ligne 1 [Page5_BUI_VE!L4]  -</v>
      </c>
    </row>
    <row r="819" spans="1:23">
      <c r="A819" s="1443" t="str">
        <f>celladdr(Page5_BUI_VE!L5)</f>
        <v>Page5_BUI_VE!L5</v>
      </c>
      <c r="B819" s="1456" t="s">
        <v>1086</v>
      </c>
      <c r="C819" s="1451" t="b">
        <f>Page5_BUI_VE!$L$5&lt;&gt;0</f>
        <v>0</v>
      </c>
      <c r="D819" s="1454" t="b">
        <f>OR(AND(Page5_BUI_VE!$L5&lt;&gt;0,Page5_BUI_VE!$M5=0),AND(Page5_BUI_VE!$M5&lt;&gt;0,Page5_BUI_VE!$L5=0))</f>
        <v>0</v>
      </c>
      <c r="E819" s="1454"/>
      <c r="F819" s="1454"/>
      <c r="G819" s="1444" t="str">
        <f t="shared" si="101"/>
        <v/>
      </c>
      <c r="H819" s="1447" t="str">
        <f>IF(C819=TRUE,Comments!$B$23,"")</f>
        <v/>
      </c>
      <c r="I819" s="1446" t="str">
        <f>IF(D819=TRUE,Comments!$B$24,"")</f>
        <v/>
      </c>
      <c r="J819" s="1446"/>
      <c r="K819" s="1452"/>
      <c r="N819" s="611" t="str">
        <f>"CPTE # "&amp;Page5_BUI_VE!$E$5&amp;"  "&amp;Page5_BUI_VE!$C$5&amp;" - CHIFFRE D'AFFAIRES RÉALISÉ - AAD"</f>
        <v>CPTE # 401C  NE PAS UTILISER - CHIFFRE D'AFFAIRES RÉALISÉ - AAD</v>
      </c>
      <c r="O819" s="611" t="str">
        <f t="shared" si="109"/>
        <v/>
      </c>
      <c r="P819" s="611" t="str">
        <f t="shared" si="102"/>
        <v>Page5_BUI_VE!L</v>
      </c>
      <c r="Q819" s="611">
        <f t="shared" si="103"/>
        <v>5</v>
      </c>
      <c r="R819" s="1447">
        <f t="shared" ca="1" si="104"/>
        <v>0</v>
      </c>
      <c r="S819" s="1447">
        <f t="shared" ca="1" si="105"/>
        <v>0</v>
      </c>
      <c r="V819" s="2557" t="str">
        <f t="shared" ca="1" si="106"/>
        <v/>
      </c>
      <c r="W819" s="611" t="str">
        <f t="shared" ca="1" si="107"/>
        <v>Page5_BUI_VE, Ligne 2 [Page5_BUI_VE!L5]  -</v>
      </c>
    </row>
    <row r="820" spans="1:23">
      <c r="A820" s="1443" t="str">
        <f>celladdr(Page5_BUI_VE!L6)</f>
        <v>Page5_BUI_VE!L6</v>
      </c>
      <c r="B820" s="1456" t="s">
        <v>1086</v>
      </c>
      <c r="C820" s="1451" t="b">
        <f>Page5_BUI_VE!$L$6&lt;&gt;0</f>
        <v>0</v>
      </c>
      <c r="D820" s="1454" t="b">
        <f>OR(AND(Page5_BUI_VE!$L6&lt;&gt;0,Page5_BUI_VE!$M6=0),AND(Page5_BUI_VE!$M6&lt;&gt;0,Page5_BUI_VE!$L6=0))</f>
        <v>0</v>
      </c>
      <c r="E820" s="1454"/>
      <c r="F820" s="1454"/>
      <c r="G820" s="1444" t="str">
        <f t="shared" si="101"/>
        <v/>
      </c>
      <c r="H820" s="1447" t="str">
        <f>IF(C820=TRUE,Comments!$B$23,"")</f>
        <v/>
      </c>
      <c r="I820" s="1446" t="str">
        <f>IF(D820=TRUE,Comments!$B$24,"")</f>
        <v/>
      </c>
      <c r="J820" s="1446"/>
      <c r="K820" s="1452"/>
      <c r="N820" s="611" t="str">
        <f>"CPTE # "&amp;Page5_BUI_VE!$E$6&amp;"  "&amp;Page5_BUI_VE!$C$6&amp;" - CHIFFRE D'AFFAIRES RÉALISÉ - AAD"</f>
        <v>CPTE # 402C  NE PAS UTILISER - CHIFFRE D'AFFAIRES RÉALISÉ - AAD</v>
      </c>
      <c r="O820" s="611" t="str">
        <f t="shared" si="109"/>
        <v/>
      </c>
      <c r="P820" s="611" t="str">
        <f t="shared" si="102"/>
        <v>Page5_BUI_VE!L</v>
      </c>
      <c r="Q820" s="611">
        <f t="shared" si="103"/>
        <v>6</v>
      </c>
      <c r="R820" s="1447">
        <f t="shared" ca="1" si="104"/>
        <v>0</v>
      </c>
      <c r="S820" s="1447">
        <f t="shared" ca="1" si="105"/>
        <v>0</v>
      </c>
      <c r="V820" s="2557" t="str">
        <f t="shared" ca="1" si="106"/>
        <v/>
      </c>
      <c r="W820" s="611" t="str">
        <f t="shared" ca="1" si="107"/>
        <v>Page5_BUI_VE, Ligne 3 [Page5_BUI_VE!L6]  -</v>
      </c>
    </row>
    <row r="821" spans="1:23">
      <c r="A821" s="1443" t="str">
        <f>celladdr(Page5_BUI_VE!L7)</f>
        <v>Page5_BUI_VE!L7</v>
      </c>
      <c r="B821" s="1456" t="s">
        <v>1086</v>
      </c>
      <c r="C821" s="1451" t="b">
        <f>Page5_BUI_VE!$L$7&lt;&gt;0</f>
        <v>0</v>
      </c>
      <c r="D821" s="1454" t="b">
        <f>OR(AND(Page5_BUI_VE!$L7&lt;&gt;0,Page5_BUI_VE!$M7=0),AND(Page5_BUI_VE!$M7&lt;&gt;0,Page5_BUI_VE!$L7=0))</f>
        <v>0</v>
      </c>
      <c r="E821" s="1454"/>
      <c r="F821" s="1454"/>
      <c r="G821" s="1444" t="str">
        <f t="shared" si="101"/>
        <v/>
      </c>
      <c r="H821" s="1447" t="str">
        <f>IF(C821=TRUE,Comments!$B$23,"")</f>
        <v/>
      </c>
      <c r="I821" s="1446" t="str">
        <f>IF(D821=TRUE,Comments!$B$24,"")</f>
        <v/>
      </c>
      <c r="J821" s="1446"/>
      <c r="K821" s="1452"/>
      <c r="N821" s="611" t="str">
        <f>"CPTE # "&amp;Page5_BUI_VE!$E$7&amp;"  "&amp;Page5_BUI_VE!$C$7&amp;" - CHIFFRE D'AFFAIRES RÉALISÉ - AAD"</f>
        <v>CPTE # 403C  NE PAS UTILISER - CHIFFRE D'AFFAIRES RÉALISÉ - AAD</v>
      </c>
      <c r="O821" s="611" t="str">
        <f t="shared" si="109"/>
        <v/>
      </c>
      <c r="P821" s="611" t="str">
        <f t="shared" si="102"/>
        <v>Page5_BUI_VE!L</v>
      </c>
      <c r="Q821" s="611">
        <f t="shared" si="103"/>
        <v>7</v>
      </c>
      <c r="R821" s="1447">
        <f t="shared" ca="1" si="104"/>
        <v>0</v>
      </c>
      <c r="S821" s="1447">
        <f t="shared" ca="1" si="105"/>
        <v>0</v>
      </c>
      <c r="V821" s="2557" t="str">
        <f t="shared" ca="1" si="106"/>
        <v/>
      </c>
      <c r="W821" s="611" t="str">
        <f t="shared" ca="1" si="107"/>
        <v>Page5_BUI_VE, Ligne 4 [Page5_BUI_VE!L7]  -</v>
      </c>
    </row>
    <row r="822" spans="1:23">
      <c r="A822" s="1443" t="str">
        <f>celladdr(Page5_BUI_VE!L8)</f>
        <v>Page5_BUI_VE!L8</v>
      </c>
      <c r="B822" s="1456" t="s">
        <v>1086</v>
      </c>
      <c r="C822" s="1451" t="b">
        <f>Page5_BUI_VE!$L$8&lt;&gt;0</f>
        <v>0</v>
      </c>
      <c r="D822" s="1454" t="b">
        <f>OR(AND(Page5_BUI_VE!$L8&lt;&gt;0,Page5_BUI_VE!$M8=0),AND(Page5_BUI_VE!$M8&lt;&gt;0,Page5_BUI_VE!$L8=0))</f>
        <v>0</v>
      </c>
      <c r="E822" s="1454"/>
      <c r="F822" s="1454"/>
      <c r="G822" s="1444" t="str">
        <f t="shared" si="101"/>
        <v/>
      </c>
      <c r="H822" s="1447" t="str">
        <f>IF(C822=TRUE,Comments!$B$23,"")</f>
        <v/>
      </c>
      <c r="I822" s="1446" t="str">
        <f>IF(D822=TRUE,Comments!$B$24,"")</f>
        <v/>
      </c>
      <c r="J822" s="1446"/>
      <c r="K822" s="1452"/>
      <c r="N822" s="611" t="str">
        <f>"CPTE # "&amp;Page5_BUI_VE!$E$8&amp;"  "&amp;Page5_BUI_VE!$C$8&amp;" - CHIFFRE D'AFFAIRES RÉALISÉ - AAD"</f>
        <v>CPTE # 404C  NE PAS UTILISER - CHIFFRE D'AFFAIRES RÉALISÉ - AAD</v>
      </c>
      <c r="O822" s="611" t="str">
        <f t="shared" si="109"/>
        <v/>
      </c>
      <c r="P822" s="611" t="str">
        <f t="shared" si="102"/>
        <v>Page5_BUI_VE!L</v>
      </c>
      <c r="Q822" s="611">
        <f t="shared" si="103"/>
        <v>8</v>
      </c>
      <c r="R822" s="1447">
        <f t="shared" ca="1" si="104"/>
        <v>0</v>
      </c>
      <c r="S822" s="1447">
        <f t="shared" ca="1" si="105"/>
        <v>0</v>
      </c>
      <c r="V822" s="2557" t="str">
        <f t="shared" ca="1" si="106"/>
        <v/>
      </c>
      <c r="W822" s="611" t="str">
        <f t="shared" ca="1" si="107"/>
        <v>Page5_BUI_VE, Ligne 5 [Page5_BUI_VE!L8]  -</v>
      </c>
    </row>
    <row r="823" spans="1:23">
      <c r="A823" s="1443" t="str">
        <f>celladdr(Page5_BUI_VE!L9)</f>
        <v>Page5_BUI_VE!L9</v>
      </c>
      <c r="B823" s="1456" t="s">
        <v>1086</v>
      </c>
      <c r="C823" s="1451" t="b">
        <f>Page5_BUI_VE!$L$9&lt;&gt;0</f>
        <v>0</v>
      </c>
      <c r="D823" s="1454" t="b">
        <f>OR(AND(Page5_BUI_VE!$L9&lt;&gt;0,Page5_BUI_VE!$M9=0),AND(Page5_BUI_VE!$M9&lt;&gt;0,Page5_BUI_VE!$L9=0))</f>
        <v>0</v>
      </c>
      <c r="E823" s="1454"/>
      <c r="F823" s="1454"/>
      <c r="G823" s="1444" t="str">
        <f t="shared" si="101"/>
        <v/>
      </c>
      <c r="H823" s="1447" t="str">
        <f>IF(C823=TRUE,Comments!$B$23,"")</f>
        <v/>
      </c>
      <c r="I823" s="1446" t="str">
        <f>IF(D823=TRUE,Comments!$B$24,"")</f>
        <v/>
      </c>
      <c r="J823" s="1446"/>
      <c r="K823" s="1452"/>
      <c r="N823" s="611" t="str">
        <f>"CPTE # "&amp;Page5_BUI_VE!$E$9&amp;"  "&amp;Page5_BUI_VE!$C$9&amp;" - CHIFFRE D'AFFAIRES RÉALISÉ - AAD"</f>
        <v>CPTE # 405C  NE PAS UTILISER - CHIFFRE D'AFFAIRES RÉALISÉ - AAD</v>
      </c>
      <c r="O823" s="611" t="str">
        <f t="shared" si="109"/>
        <v/>
      </c>
      <c r="P823" s="611" t="str">
        <f t="shared" si="102"/>
        <v>Page5_BUI_VE!L</v>
      </c>
      <c r="Q823" s="611">
        <f t="shared" si="103"/>
        <v>9</v>
      </c>
      <c r="R823" s="1447">
        <f t="shared" ca="1" si="104"/>
        <v>0</v>
      </c>
      <c r="S823" s="1447">
        <f t="shared" ca="1" si="105"/>
        <v>0</v>
      </c>
      <c r="V823" s="2557" t="str">
        <f t="shared" ca="1" si="106"/>
        <v/>
      </c>
      <c r="W823" s="611" t="str">
        <f t="shared" ca="1" si="107"/>
        <v>Page5_BUI_VE, Ligne 6 [Page5_BUI_VE!L9]  -</v>
      </c>
    </row>
    <row r="824" spans="1:23">
      <c r="A824" s="1443" t="str">
        <f>celladdr(Page5_BUI_VE!L10)</f>
        <v>Page5_BUI_VE!L10</v>
      </c>
      <c r="B824" s="1456" t="s">
        <v>1086</v>
      </c>
      <c r="C824" s="1451" t="b">
        <f>Page5_BUI_VE!$L$10&lt;&gt;0</f>
        <v>0</v>
      </c>
      <c r="D824" s="1454" t="b">
        <f>OR(AND(Page5_BUI_VE!$L10&lt;&gt;0,Page5_BUI_VE!$M10=0),AND(Page5_BUI_VE!$M10&lt;&gt;0,Page5_BUI_VE!$L10=0))</f>
        <v>0</v>
      </c>
      <c r="E824" s="1454"/>
      <c r="F824" s="1454"/>
      <c r="G824" s="1444" t="str">
        <f t="shared" si="101"/>
        <v/>
      </c>
      <c r="H824" s="1447" t="str">
        <f>IF(C824=TRUE,Comments!$B$23,"")</f>
        <v/>
      </c>
      <c r="I824" s="1446" t="str">
        <f>IF(D824=TRUE,Comments!$B$24,"")</f>
        <v/>
      </c>
      <c r="J824" s="1446"/>
      <c r="K824" s="1452"/>
      <c r="N824" s="611" t="str">
        <f>"CPTE # "&amp;Page5_BUI_VE!$E$10&amp;"  "&amp;Page5_BUI_VE!$C$10&amp;" - CHIFFRE D'AFFAIRES RÉALISÉ - AAD"</f>
        <v>CPTE # 406C  NE PAS UTILISER - CHIFFRE D'AFFAIRES RÉALISÉ - AAD</v>
      </c>
      <c r="O824" s="611" t="str">
        <f t="shared" si="109"/>
        <v/>
      </c>
      <c r="P824" s="611" t="str">
        <f t="shared" si="102"/>
        <v>Page5_BUI_VE!L</v>
      </c>
      <c r="Q824" s="611">
        <f t="shared" si="103"/>
        <v>10</v>
      </c>
      <c r="R824" s="1447">
        <f t="shared" ca="1" si="104"/>
        <v>0</v>
      </c>
      <c r="S824" s="1447">
        <f t="shared" ca="1" si="105"/>
        <v>0</v>
      </c>
      <c r="V824" s="2557" t="str">
        <f t="shared" ca="1" si="106"/>
        <v/>
      </c>
      <c r="W824" s="611" t="str">
        <f t="shared" ca="1" si="107"/>
        <v>Page5_BUI_VE, Ligne 7 [Page5_BUI_VE!L10]  -</v>
      </c>
    </row>
    <row r="825" spans="1:23">
      <c r="A825" s="1443" t="str">
        <f>celladdr(Page5_BUI_VE!L11)</f>
        <v>Page5_BUI_VE!L11</v>
      </c>
      <c r="B825" s="1456" t="s">
        <v>1086</v>
      </c>
      <c r="C825" s="1451" t="b">
        <f>Page5_BUI_VE!$L$11&lt;&gt;0</f>
        <v>0</v>
      </c>
      <c r="D825" s="1454" t="b">
        <f>OR(AND(Page5_BUI_VE!$L11&lt;&gt;0,Page5_BUI_VE!$M11=0),AND(Page5_BUI_VE!$M11&lt;&gt;0,Page5_BUI_VE!$L11=0))</f>
        <v>0</v>
      </c>
      <c r="E825" s="1454"/>
      <c r="F825" s="1454"/>
      <c r="G825" s="1444" t="str">
        <f t="shared" si="101"/>
        <v/>
      </c>
      <c r="H825" s="1447" t="str">
        <f>IF(C825=TRUE,Comments!$B$23,"")</f>
        <v/>
      </c>
      <c r="I825" s="1446" t="str">
        <f>IF(D825=TRUE,Comments!$B$24,"")</f>
        <v/>
      </c>
      <c r="J825" s="1446"/>
      <c r="K825" s="1452"/>
      <c r="N825" s="611" t="str">
        <f>"CPTE # "&amp;Page5_BUI_VE!$E$11&amp;"  "&amp;Page5_BUI_VE!$C$11&amp;" - CHIFFRE D'AFFAIRES RÉALISÉ - AAD"</f>
        <v>CPTE # 407C  NE PAS UTILISER - CHIFFRE D'AFFAIRES RÉALISÉ - AAD</v>
      </c>
      <c r="O825" s="611" t="str">
        <f t="shared" si="109"/>
        <v/>
      </c>
      <c r="P825" s="611" t="str">
        <f t="shared" si="102"/>
        <v>Page5_BUI_VE!L</v>
      </c>
      <c r="Q825" s="611">
        <f t="shared" si="103"/>
        <v>11</v>
      </c>
      <c r="R825" s="1447">
        <f t="shared" ca="1" si="104"/>
        <v>0</v>
      </c>
      <c r="S825" s="1447">
        <f t="shared" ca="1" si="105"/>
        <v>0</v>
      </c>
      <c r="V825" s="2557" t="str">
        <f t="shared" ca="1" si="106"/>
        <v/>
      </c>
      <c r="W825" s="611" t="str">
        <f t="shared" ca="1" si="107"/>
        <v>Page5_BUI_VE, Ligne 8 [Page5_BUI_VE!L11]  -</v>
      </c>
    </row>
    <row r="826" spans="1:23">
      <c r="A826" s="1443" t="str">
        <f>celladdr(Page5_BUI_VE!L12)</f>
        <v>Page5_BUI_VE!L12</v>
      </c>
      <c r="B826" s="1456" t="s">
        <v>1086</v>
      </c>
      <c r="C826" s="1451" t="b">
        <f>Page5_BUI_VE!$L$12&lt;&gt;0</f>
        <v>0</v>
      </c>
      <c r="D826" s="1454" t="b">
        <f>OR(AND(Page5_BUI_VE!$L12&lt;&gt;0,Page5_BUI_VE!$M12=0),AND(Page5_BUI_VE!$M12&lt;&gt;0,Page5_BUI_VE!$L12=0))</f>
        <v>0</v>
      </c>
      <c r="E826" s="1454"/>
      <c r="F826" s="1454"/>
      <c r="G826" s="1444" t="str">
        <f t="shared" si="101"/>
        <v/>
      </c>
      <c r="H826" s="1447" t="str">
        <f>IF(C826=TRUE,Comments!$B$23,"")</f>
        <v/>
      </c>
      <c r="I826" s="1446" t="str">
        <f>IF(D826=TRUE,Comments!$B$24,"")</f>
        <v/>
      </c>
      <c r="J826" s="1446"/>
      <c r="K826" s="1452"/>
      <c r="N826" s="611" t="str">
        <f>"CPTE # "&amp;Page5_BUI_VE!$E$12&amp;"  "&amp;Page5_BUI_VE!$C$12&amp;" - CHIFFRE D'AFFAIRES RÉALISÉ - AAD"</f>
        <v>CPTE # 408C  NE PAS UTILISER - CHIFFRE D'AFFAIRES RÉALISÉ - AAD</v>
      </c>
      <c r="O826" s="611" t="str">
        <f t="shared" si="109"/>
        <v/>
      </c>
      <c r="P826" s="611" t="str">
        <f t="shared" si="102"/>
        <v>Page5_BUI_VE!L</v>
      </c>
      <c r="Q826" s="611">
        <f t="shared" si="103"/>
        <v>12</v>
      </c>
      <c r="R826" s="1447">
        <f t="shared" ca="1" si="104"/>
        <v>0</v>
      </c>
      <c r="S826" s="1447">
        <f t="shared" ca="1" si="105"/>
        <v>0</v>
      </c>
      <c r="V826" s="2557" t="str">
        <f t="shared" ca="1" si="106"/>
        <v/>
      </c>
      <c r="W826" s="611" t="str">
        <f t="shared" ca="1" si="107"/>
        <v>Page5_BUI_VE, Ligne 9 [Page5_BUI_VE!L12]  -</v>
      </c>
    </row>
    <row r="827" spans="1:23">
      <c r="A827" s="1443" t="str">
        <f>celladdr(Page5_BUI_VE!L13)</f>
        <v>Page5_BUI_VE!L13</v>
      </c>
      <c r="B827" s="1456" t="s">
        <v>1086</v>
      </c>
      <c r="C827" s="1451" t="b">
        <f>Page5_BUI_VE!$L$13&lt;&gt;0</f>
        <v>0</v>
      </c>
      <c r="D827" s="1454" t="b">
        <f>OR(AND(Page5_BUI_VE!$L13&lt;&gt;0,Page5_BUI_VE!$M13=0),AND(Page5_BUI_VE!$M13&lt;&gt;0,Page5_BUI_VE!$L13=0))</f>
        <v>0</v>
      </c>
      <c r="E827" s="1454"/>
      <c r="F827" s="1454"/>
      <c r="G827" s="1444" t="str">
        <f t="shared" si="101"/>
        <v/>
      </c>
      <c r="H827" s="1447" t="str">
        <f>IF(C827=TRUE,Comments!$B$23,"")</f>
        <v/>
      </c>
      <c r="I827" s="1446" t="str">
        <f>IF(D827=TRUE,Comments!$B$24,"")</f>
        <v/>
      </c>
      <c r="J827" s="1446"/>
      <c r="K827" s="1452"/>
      <c r="N827" s="611" t="str">
        <f>"CPTE # "&amp;Page5_BUI_VE!$E$13&amp;"  "&amp;Page5_BUI_VE!$C$13&amp;" - CHIFFRE D'AFFAIRES RÉALISÉ - AAD"</f>
        <v>CPTE # 409C  NE PAS UTILISER - CHIFFRE D'AFFAIRES RÉALISÉ - AAD</v>
      </c>
      <c r="O827" s="611" t="str">
        <f t="shared" si="109"/>
        <v/>
      </c>
      <c r="P827" s="611" t="str">
        <f t="shared" si="102"/>
        <v>Page5_BUI_VE!L</v>
      </c>
      <c r="Q827" s="611">
        <f t="shared" si="103"/>
        <v>13</v>
      </c>
      <c r="R827" s="1447">
        <f t="shared" ca="1" si="104"/>
        <v>0</v>
      </c>
      <c r="S827" s="1447">
        <f t="shared" ca="1" si="105"/>
        <v>0</v>
      </c>
      <c r="V827" s="2557" t="str">
        <f t="shared" ca="1" si="106"/>
        <v/>
      </c>
      <c r="W827" s="611" t="str">
        <f t="shared" ca="1" si="107"/>
        <v>Page5_BUI_VE, Ligne 10 [Page5_BUI_VE!L13]  -</v>
      </c>
    </row>
    <row r="828" spans="1:23">
      <c r="A828" s="1443" t="str">
        <f>celladdr(Page5_BUI_VE!L14)</f>
        <v>Page5_BUI_VE!L14</v>
      </c>
      <c r="B828" s="1456" t="s">
        <v>1086</v>
      </c>
      <c r="C828" s="1451" t="b">
        <f>Page5_BUI_VE!$L$14&lt;&gt;0</f>
        <v>0</v>
      </c>
      <c r="D828" s="1454" t="b">
        <f>OR(AND(Page5_BUI_VE!$L14&lt;&gt;0,Page5_BUI_VE!$M14=0),AND(Page5_BUI_VE!$M14&lt;&gt;0,Page5_BUI_VE!$L14=0))</f>
        <v>0</v>
      </c>
      <c r="E828" s="1454"/>
      <c r="F828" s="1454"/>
      <c r="G828" s="1444" t="str">
        <f t="shared" si="101"/>
        <v/>
      </c>
      <c r="H828" s="1447" t="str">
        <f>IF(C828=TRUE,Comments!$B$23,"")</f>
        <v/>
      </c>
      <c r="I828" s="1446" t="str">
        <f>IF(D831=TRUE,Comments!$B$24,"")</f>
        <v/>
      </c>
      <c r="J828" s="1446"/>
      <c r="K828" s="1452"/>
      <c r="N828" s="611" t="str">
        <f>"CPTE # "&amp;Page5_BUI_VE!$E$14&amp;"  "&amp;Page5_BUI_VE!$C$14&amp;" - CHIFFRE D'AFFAIRES RÉALISÉ - AAD"</f>
        <v>CPTE # 410C  NE PAS UTILISER - CHIFFRE D'AFFAIRES RÉALISÉ - AAD</v>
      </c>
      <c r="O828" s="611" t="str">
        <f t="shared" si="109"/>
        <v/>
      </c>
      <c r="P828" s="611" t="str">
        <f t="shared" si="102"/>
        <v>Page5_BUI_VE!L</v>
      </c>
      <c r="Q828" s="611">
        <f t="shared" si="103"/>
        <v>14</v>
      </c>
      <c r="R828" s="1447">
        <f t="shared" ca="1" si="104"/>
        <v>0</v>
      </c>
      <c r="S828" s="1447">
        <f t="shared" ca="1" si="105"/>
        <v>0</v>
      </c>
      <c r="V828" s="2557" t="str">
        <f t="shared" ca="1" si="106"/>
        <v/>
      </c>
      <c r="W828" s="611" t="str">
        <f t="shared" ca="1" si="107"/>
        <v>Page5_BUI_VE, Ligne 11 [Page5_BUI_VE!L14]  -</v>
      </c>
    </row>
    <row r="829" spans="1:23">
      <c r="A829" s="1443" t="str">
        <f>celladdr(Page5_BUI_VE!L15)</f>
        <v>Page5_BUI_VE!L15</v>
      </c>
      <c r="B829" s="1456" t="s">
        <v>1086</v>
      </c>
      <c r="C829" s="1451" t="b">
        <f>Page5_BUI_VE!$L$15&lt;&gt;0</f>
        <v>0</v>
      </c>
      <c r="D829" s="1454" t="b">
        <f>OR(AND(Page5_BUI_VE!$L15&lt;&gt;0,Page5_BUI_VE!$M15=0),AND(Page5_BUI_VE!$M15&lt;&gt;0,Page5_BUI_VE!$L15=0))</f>
        <v>0</v>
      </c>
      <c r="E829" s="1454"/>
      <c r="F829" s="1454"/>
      <c r="G829" s="1444" t="str">
        <f t="shared" si="101"/>
        <v/>
      </c>
      <c r="H829" s="1447" t="str">
        <f>IF(C829=TRUE,Comments!$B$23,"")</f>
        <v/>
      </c>
      <c r="I829" s="1446" t="str">
        <f>IF(D829=TRUE,Comments!$B$24,"")</f>
        <v/>
      </c>
      <c r="J829" s="1446"/>
      <c r="K829" s="1452"/>
      <c r="N829" s="611" t="str">
        <f>"CPTE # "&amp;Page5_BUI_VE!$E$15&amp;"  "&amp;Page5_BUI_VE!$C$15&amp;" - CHIFFRE D'AFFAIRES RÉALISÉ - AAD"</f>
        <v>CPTE # 411C  NE PAS UTILISER - CHIFFRE D'AFFAIRES RÉALISÉ - AAD</v>
      </c>
      <c r="O829" s="611" t="str">
        <f t="shared" si="109"/>
        <v/>
      </c>
      <c r="P829" s="611" t="str">
        <f t="shared" si="102"/>
        <v>Page5_BUI_VE!L</v>
      </c>
      <c r="Q829" s="611">
        <f t="shared" si="103"/>
        <v>15</v>
      </c>
      <c r="R829" s="1447">
        <f t="shared" ca="1" si="104"/>
        <v>0</v>
      </c>
      <c r="S829" s="1447">
        <f t="shared" ca="1" si="105"/>
        <v>0</v>
      </c>
      <c r="V829" s="2557" t="str">
        <f t="shared" ca="1" si="106"/>
        <v/>
      </c>
      <c r="W829" s="611" t="str">
        <f t="shared" ca="1" si="107"/>
        <v>Page5_BUI_VE, Ligne 12 [Page5_BUI_VE!L15]  -</v>
      </c>
    </row>
    <row r="830" spans="1:23">
      <c r="A830" s="1443" t="str">
        <f>celladdr(Page5_BUI_VE!L16)</f>
        <v>Page5_BUI_VE!L16</v>
      </c>
      <c r="B830" s="1456" t="s">
        <v>1086</v>
      </c>
      <c r="C830" s="1451" t="b">
        <f>Page5_BUI_VE!$L$16&lt;&gt;0</f>
        <v>0</v>
      </c>
      <c r="D830" s="1454" t="b">
        <f>OR(AND(Page5_BUI_VE!$L16&lt;&gt;0,Page5_BUI_VE!$M16=0),AND(Page5_BUI_VE!$M16&lt;&gt;0,Page5_BUI_VE!$L16=0))</f>
        <v>0</v>
      </c>
      <c r="E830" s="1454"/>
      <c r="F830" s="1454"/>
      <c r="G830" s="1444" t="str">
        <f t="shared" si="101"/>
        <v/>
      </c>
      <c r="H830" s="1447" t="str">
        <f>IF(C830=TRUE,Comments!$B$23,"")</f>
        <v/>
      </c>
      <c r="I830" s="1446" t="str">
        <f>IF(D830=TRUE,Comments!$B$24,"")</f>
        <v/>
      </c>
      <c r="J830" s="1446"/>
      <c r="K830" s="1452"/>
      <c r="N830" s="611" t="str">
        <f>"CPTE # "&amp;Page5_BUI_VE!$E$16&amp;"  "&amp;Page5_BUI_VE!$C$16&amp;" - CHIFFRE D'AFFAIRES RÉALISÉ - AAD"</f>
        <v>CPTE # 412C  NE PAS UTILISER - CHIFFRE D'AFFAIRES RÉALISÉ - AAD</v>
      </c>
      <c r="O830" s="611" t="str">
        <f t="shared" si="109"/>
        <v/>
      </c>
      <c r="P830" s="611" t="str">
        <f t="shared" si="102"/>
        <v>Page5_BUI_VE!L</v>
      </c>
      <c r="Q830" s="611">
        <f t="shared" si="103"/>
        <v>16</v>
      </c>
      <c r="R830" s="1447">
        <f t="shared" ca="1" si="104"/>
        <v>0</v>
      </c>
      <c r="S830" s="1447">
        <f t="shared" ca="1" si="105"/>
        <v>0</v>
      </c>
      <c r="V830" s="2557" t="str">
        <f t="shared" ca="1" si="106"/>
        <v/>
      </c>
      <c r="W830" s="611" t="str">
        <f t="shared" ca="1" si="107"/>
        <v>Page5_BUI_VE, Ligne 13 [Page5_BUI_VE!L16]  -</v>
      </c>
    </row>
    <row r="831" spans="1:23">
      <c r="A831" s="1443" t="str">
        <f>celladdr(Page5_BUI_VE!L17)</f>
        <v>Page5_BUI_VE!L17</v>
      </c>
      <c r="B831" s="1456" t="s">
        <v>1086</v>
      </c>
      <c r="C831" s="1451" t="b">
        <f>Page5_BUI_VE!$L$17&lt;&gt;0</f>
        <v>0</v>
      </c>
      <c r="D831" s="1454" t="b">
        <f>OR(AND(Page5_BUI_VE!$L17&lt;&gt;0,Page5_BUI_VE!$M17=0),AND(Page5_BUI_VE!$M17&lt;&gt;0,Page5_BUI_VE!$L17=0))</f>
        <v>0</v>
      </c>
      <c r="E831" s="1454"/>
      <c r="F831" s="1454"/>
      <c r="G831" s="1444" t="str">
        <f t="shared" si="101"/>
        <v/>
      </c>
      <c r="H831" s="1447" t="str">
        <f>IF(C831=TRUE,Comments!$B$23,"")</f>
        <v/>
      </c>
      <c r="I831" s="1446" t="str">
        <f>IF(D831=TRUE,Comments!$B$24,"")</f>
        <v/>
      </c>
      <c r="J831" s="1446"/>
      <c r="K831" s="1452"/>
      <c r="N831" s="611" t="str">
        <f>"CPTE # "&amp;Page5_BUI_VE!$E$17&amp;"  "&amp;Page5_BUI_VE!$C$17&amp;" - CHIFFRE D'AFFAIRES RÉALISÉ - AAD"</f>
        <v>CPTE # 413C  NE PAS UTILISER - CHIFFRE D'AFFAIRES RÉALISÉ - AAD</v>
      </c>
      <c r="O831" s="611" t="str">
        <f t="shared" si="109"/>
        <v/>
      </c>
      <c r="P831" s="611" t="str">
        <f t="shared" si="102"/>
        <v>Page5_BUI_VE!L</v>
      </c>
      <c r="Q831" s="611">
        <f t="shared" si="103"/>
        <v>17</v>
      </c>
      <c r="R831" s="1447">
        <f t="shared" ca="1" si="104"/>
        <v>0</v>
      </c>
      <c r="S831" s="1447">
        <f t="shared" ca="1" si="105"/>
        <v>0</v>
      </c>
      <c r="V831" s="2557" t="str">
        <f t="shared" ca="1" si="106"/>
        <v/>
      </c>
      <c r="W831" s="611" t="str">
        <f t="shared" ca="1" si="107"/>
        <v>Page5_BUI_VE, Ligne 14 [Page5_BUI_VE!L17]  -</v>
      </c>
    </row>
    <row r="832" spans="1:23">
      <c r="A832" s="1443" t="str">
        <f>celladdr(Page5_BUI_VE!L18)</f>
        <v>Page5_BUI_VE!L18</v>
      </c>
      <c r="B832" s="1456" t="s">
        <v>1086</v>
      </c>
      <c r="C832" s="1451" t="b">
        <f>Page5_BUI_VE!$L$18&lt;&gt;0</f>
        <v>0</v>
      </c>
      <c r="D832" s="1454" t="b">
        <f>OR(AND(Page5_BUI_VE!$L18&lt;&gt;0,Page5_BUI_VE!$M18=0),AND(Page5_BUI_VE!$M18&lt;&gt;0,Page5_BUI_VE!$L18=0))</f>
        <v>0</v>
      </c>
      <c r="E832" s="1454"/>
      <c r="F832" s="1454"/>
      <c r="G832" s="1444" t="str">
        <f t="shared" si="101"/>
        <v/>
      </c>
      <c r="H832" s="1447" t="str">
        <f>IF(C832=TRUE,Comments!$B$23,"")</f>
        <v/>
      </c>
      <c r="I832" s="1446" t="str">
        <f>IF(D832=TRUE,Comments!$B$24,"")</f>
        <v/>
      </c>
      <c r="J832" s="1446"/>
      <c r="K832" s="1452"/>
      <c r="N832" s="611" t="str">
        <f>"CPTE # "&amp;Page5_BUI_VE!$E$18&amp;"  "&amp;Page5_BUI_VE!$C$18&amp;" - CHIFFRE D'AFFAIRES RÉALISÉ - AAD"</f>
        <v>CPTE # 414C  NE PAS UTILISER - CHIFFRE D'AFFAIRES RÉALISÉ - AAD</v>
      </c>
      <c r="O832" s="611" t="str">
        <f t="shared" si="109"/>
        <v/>
      </c>
      <c r="P832" s="611" t="str">
        <f t="shared" si="102"/>
        <v>Page5_BUI_VE!L</v>
      </c>
      <c r="Q832" s="611">
        <f t="shared" si="103"/>
        <v>18</v>
      </c>
      <c r="R832" s="1447">
        <f t="shared" ca="1" si="104"/>
        <v>0</v>
      </c>
      <c r="S832" s="1447">
        <f t="shared" ca="1" si="105"/>
        <v>0</v>
      </c>
      <c r="V832" s="2557" t="str">
        <f t="shared" ca="1" si="106"/>
        <v/>
      </c>
      <c r="W832" s="611" t="str">
        <f t="shared" ca="1" si="107"/>
        <v>Page5_BUI_VE, Ligne 15 [Page5_BUI_VE!L18]  -</v>
      </c>
    </row>
    <row r="833" spans="1:23">
      <c r="A833" s="1443" t="str">
        <f>celladdr(Page5_BUI_VE!L19)</f>
        <v>Page5_BUI_VE!L19</v>
      </c>
      <c r="B833" s="1456" t="s">
        <v>1086</v>
      </c>
      <c r="C833" s="1451" t="b">
        <f>Page5_BUI_VE!$L$19&lt;&gt;0</f>
        <v>0</v>
      </c>
      <c r="D833" s="1454" t="b">
        <f>OR(AND(Page5_BUI_VE!$L19&lt;&gt;0,Page5_BUI_VE!$M19=0),AND(Page5_BUI_VE!$M19&lt;&gt;0,Page5_BUI_VE!$L19=0))</f>
        <v>0</v>
      </c>
      <c r="E833" s="1454"/>
      <c r="F833" s="1454"/>
      <c r="G833" s="1444" t="str">
        <f t="shared" si="101"/>
        <v/>
      </c>
      <c r="H833" s="1447" t="str">
        <f>IF(C833=TRUE,Comments!$B$23,"")</f>
        <v/>
      </c>
      <c r="I833" s="1446" t="str">
        <f>IF(D833=TRUE,Comments!$B$24,"")</f>
        <v/>
      </c>
      <c r="J833" s="1446"/>
      <c r="K833" s="1452"/>
      <c r="N833" s="611" t="str">
        <f>"CPTE # "&amp;Page5_BUI_VE!$E$19&amp;"  "&amp;Page5_BUI_VE!$C$19&amp;" - CHIFFRE D'AFFAIRES RÉALISÉ - AAD"</f>
        <v>CPTE # 415C  NE PAS UTILISER - CHIFFRE D'AFFAIRES RÉALISÉ - AAD</v>
      </c>
      <c r="O833" s="611" t="str">
        <f t="shared" si="109"/>
        <v/>
      </c>
      <c r="P833" s="611" t="str">
        <f t="shared" si="102"/>
        <v>Page5_BUI_VE!L</v>
      </c>
      <c r="Q833" s="611">
        <f t="shared" si="103"/>
        <v>19</v>
      </c>
      <c r="R833" s="1447">
        <f t="shared" ca="1" si="104"/>
        <v>0</v>
      </c>
      <c r="S833" s="1447">
        <f t="shared" ca="1" si="105"/>
        <v>0</v>
      </c>
      <c r="V833" s="2557" t="str">
        <f t="shared" ca="1" si="106"/>
        <v/>
      </c>
      <c r="W833" s="611" t="str">
        <f t="shared" ca="1" si="107"/>
        <v>Page5_BUI_VE, Ligne 16 [Page5_BUI_VE!L19]  -</v>
      </c>
    </row>
    <row r="834" spans="1:23">
      <c r="A834" s="1443" t="str">
        <f>celladdr(Page5_BUI_VE!L20)</f>
        <v>Page5_BUI_VE!L20</v>
      </c>
      <c r="B834" s="1456" t="s">
        <v>1086</v>
      </c>
      <c r="C834" s="1451" t="b">
        <f>Page5_BUI_VE!$L$20&lt;&gt;0</f>
        <v>0</v>
      </c>
      <c r="D834" s="1454"/>
      <c r="E834" s="1454"/>
      <c r="F834" s="1454"/>
      <c r="G834" s="1444" t="str">
        <f t="shared" ref="G834:G897" si="110">IF(H834&amp;I834&amp;J834&amp;K834&lt;&gt;"","No.de ref. du commentaire.: "&amp;W834&amp;" "&amp;N834&amp;" "&amp;H834&amp;I834&amp;IF(OR(C834=TRUE,D834=TRUE),"",J834&amp;K834&amp;V834),"")</f>
        <v/>
      </c>
      <c r="H834" s="1447" t="str">
        <f>IF(C834=TRUE,Comments!$B$23,"")</f>
        <v/>
      </c>
      <c r="I834" s="1446"/>
      <c r="J834" s="1446"/>
      <c r="K834" s="1452"/>
      <c r="N834" s="611" t="str">
        <f>"CPTE # "&amp;Page5_BUI_VE!$E$20&amp;"  "&amp;Page5_BUI_VE!$C$20&amp;" - CHIFFRE D'AFFAIRES RÉALISÉ - AAD"</f>
        <v>CPTE # 416C  NE PAS UTILISER - CHIFFRE D'AFFAIRES RÉALISÉ - AAD</v>
      </c>
      <c r="O834" s="611" t="str">
        <f t="shared" si="109"/>
        <v/>
      </c>
      <c r="P834" s="611" t="str">
        <f t="shared" ref="P834:P897" si="111">LEFT(A834,FIND("!",A834)+1)</f>
        <v>Page5_BUI_VE!L</v>
      </c>
      <c r="Q834" s="611">
        <f t="shared" ref="Q834:Q897" si="112">VALUE(RIGHT(A834,LEN(A834)-FIND("!",A834)-1))</f>
        <v>20</v>
      </c>
      <c r="R834" s="1447">
        <f t="shared" ref="R834:R897" ca="1" si="113">IF(E834=TRUE,INDIRECT("Comments!$D$"&amp;T834),0)</f>
        <v>0</v>
      </c>
      <c r="S834" s="1447">
        <f t="shared" ref="S834:S897" ca="1" si="114">IF(F834=TRUE,INDIRECT("Comments!$D$"&amp;U834),0)</f>
        <v>0</v>
      </c>
      <c r="V834" s="2557" t="str">
        <f t="shared" ref="V834:V897" ca="1" si="115">IF(SUM(R834+S834)=0,"","
*** "&amp;TEXT(SUM(R834+S834),"0,0")&amp;" Points de précision seront déduits suite à cette(ces) erreur(s) !")</f>
        <v/>
      </c>
      <c r="W834" s="611" t="str">
        <f t="shared" ref="W834:W897" ca="1" si="116">LEFT(A834,FIND("!",A834,1)-1)&amp;", Ligne "&amp;INDIRECT(ADDRESS(ROW(INDIRECT(A834)),IF(INDIRECT(ADDRESS(ROW(INDIRECT(A834)),1,,,LEFT(A834,FIND("!",A834,1)-1)))="",2,1),,,LEFT(A834,FIND("!",A834,1)-1)))&amp;" ["&amp;A834&amp;"] "&amp;" -"</f>
        <v>Page5_BUI_VE, Ligne 17 [Page5_BUI_VE!L20]  -</v>
      </c>
    </row>
    <row r="835" spans="1:23">
      <c r="A835" s="1443" t="str">
        <f>celladdr(Page5_BUI_VE!L21)</f>
        <v>Page5_BUI_VE!L21</v>
      </c>
      <c r="B835" s="1456" t="s">
        <v>1086</v>
      </c>
      <c r="C835" s="1451" t="b">
        <f>Page5_BUI_VE!$L$21&lt;&gt;0</f>
        <v>0</v>
      </c>
      <c r="D835" s="1454" t="b">
        <f>OR(AND(Page5_BUI_VE!$L21&lt;&gt;0,Page5_BUI_VE!$M21=0),AND(Page5_BUI_VE!$M21&lt;&gt;0,Page5_BUI_VE!$L21=0))</f>
        <v>0</v>
      </c>
      <c r="E835" s="1454"/>
      <c r="F835" s="1454"/>
      <c r="G835" s="1444" t="str">
        <f t="shared" si="110"/>
        <v/>
      </c>
      <c r="H835" s="1447" t="str">
        <f>IF(C835=TRUE,Comments!$B$23,"")</f>
        <v/>
      </c>
      <c r="I835" s="1446" t="str">
        <f>IF(D835=TRUE,Comments!$B$24,"")</f>
        <v/>
      </c>
      <c r="J835" s="1446"/>
      <c r="K835" s="1452"/>
      <c r="N835" s="611" t="str">
        <f>"CPTE # "&amp;Page5_BUI_VE!$E$21&amp;"  "&amp;Page5_BUI_VE!$C$21&amp;" - CHIFFRE D'AFFAIRES RÉALISÉ - AAD"</f>
        <v>CPTE # 417C  NE PAS UTILISER - CHIFFRE D'AFFAIRES RÉALISÉ - AAD</v>
      </c>
      <c r="O835" s="611" t="str">
        <f t="shared" si="109"/>
        <v/>
      </c>
      <c r="P835" s="611" t="str">
        <f t="shared" si="111"/>
        <v>Page5_BUI_VE!L</v>
      </c>
      <c r="Q835" s="611">
        <f t="shared" si="112"/>
        <v>21</v>
      </c>
      <c r="R835" s="1447">
        <f t="shared" ca="1" si="113"/>
        <v>0</v>
      </c>
      <c r="S835" s="1447">
        <f t="shared" ca="1" si="114"/>
        <v>0</v>
      </c>
      <c r="V835" s="2557" t="str">
        <f t="shared" ca="1" si="115"/>
        <v/>
      </c>
      <c r="W835" s="611" t="str">
        <f t="shared" ca="1" si="116"/>
        <v>Page5_BUI_VE, Ligne 18 [Page5_BUI_VE!L21]  -</v>
      </c>
    </row>
    <row r="836" spans="1:23">
      <c r="A836" s="1443" t="str">
        <f>celladdr(Page5_BUI_VE!L22)</f>
        <v>Page5_BUI_VE!L22</v>
      </c>
      <c r="B836" s="1456" t="s">
        <v>1086</v>
      </c>
      <c r="C836" s="1451" t="b">
        <f>Page5_BUI_VE!$L$22&lt;&gt;0</f>
        <v>0</v>
      </c>
      <c r="D836" s="1454" t="b">
        <f>OR(AND(Page5_BUI_VE!$L22&lt;&gt;0,Page5_BUI_VE!$M22=0),AND(Page5_BUI_VE!$M22&lt;&gt;0,Page5_BUI_VE!$L22=0))</f>
        <v>0</v>
      </c>
      <c r="E836" s="1454"/>
      <c r="F836" s="1454"/>
      <c r="G836" s="1444" t="str">
        <f t="shared" si="110"/>
        <v/>
      </c>
      <c r="H836" s="1447" t="str">
        <f>IF(C836=TRUE,Comments!$B$23,"")</f>
        <v/>
      </c>
      <c r="I836" s="1446" t="str">
        <f>IF(D836=TRUE,Comments!$B$24,"")</f>
        <v/>
      </c>
      <c r="J836" s="1446"/>
      <c r="K836" s="1452"/>
      <c r="N836" s="611" t="str">
        <f>"CPTE # "&amp;Page5_BUI_VE!$E$22&amp;"  "&amp;Page5_BUI_VE!$C$22&amp;" - CHIFFRE D'AFFAIRES RÉALISÉ - AAD"</f>
        <v>CPTE # 418C  NE PAS UTILISER - CHIFFRE D'AFFAIRES RÉALISÉ - AAD</v>
      </c>
      <c r="O836" s="611" t="str">
        <f t="shared" si="109"/>
        <v/>
      </c>
      <c r="P836" s="611" t="str">
        <f t="shared" si="111"/>
        <v>Page5_BUI_VE!L</v>
      </c>
      <c r="Q836" s="611">
        <f t="shared" si="112"/>
        <v>22</v>
      </c>
      <c r="R836" s="1447">
        <f t="shared" ca="1" si="113"/>
        <v>0</v>
      </c>
      <c r="S836" s="1447">
        <f t="shared" ca="1" si="114"/>
        <v>0</v>
      </c>
      <c r="V836" s="2557" t="str">
        <f t="shared" ca="1" si="115"/>
        <v/>
      </c>
      <c r="W836" s="611" t="str">
        <f t="shared" ca="1" si="116"/>
        <v>Page5_BUI_VE, Ligne 19 [Page5_BUI_VE!L22]  -</v>
      </c>
    </row>
    <row r="837" spans="1:23">
      <c r="A837" s="1443" t="str">
        <f>celladdr(Page5_BUI_VE!L23)</f>
        <v>Page5_BUI_VE!L23</v>
      </c>
      <c r="B837" s="1444" t="s">
        <v>1086</v>
      </c>
      <c r="C837" s="1451"/>
      <c r="D837" s="1454"/>
      <c r="E837" s="1454"/>
      <c r="F837" s="1454"/>
      <c r="G837" s="1444" t="str">
        <f t="shared" si="110"/>
        <v/>
      </c>
      <c r="H837" s="1447" t="str">
        <f>IF(C837=TRUE,Comments!$B$26,"")</f>
        <v/>
      </c>
      <c r="I837" s="1446" t="str">
        <f>IF(D837=TRUE,Comments!$B$24,"")</f>
        <v/>
      </c>
      <c r="J837" s="1446"/>
      <c r="K837" s="1452"/>
      <c r="O837" s="611" t="str">
        <f t="shared" si="109"/>
        <v/>
      </c>
      <c r="P837" s="611" t="str">
        <f t="shared" si="111"/>
        <v>Page5_BUI_VE!L</v>
      </c>
      <c r="Q837" s="611">
        <f t="shared" si="112"/>
        <v>23</v>
      </c>
      <c r="R837" s="1447">
        <f t="shared" ca="1" si="113"/>
        <v>0</v>
      </c>
      <c r="S837" s="1447">
        <f t="shared" ca="1" si="114"/>
        <v>0</v>
      </c>
      <c r="V837" s="2557" t="str">
        <f t="shared" ca="1" si="115"/>
        <v/>
      </c>
      <c r="W837" s="611" t="str">
        <f t="shared" ca="1" si="116"/>
        <v>Page5_BUI_VE, Ligne 20 [Page5_BUI_VE!L23]  -</v>
      </c>
    </row>
    <row r="838" spans="1:23">
      <c r="A838" s="1443" t="str">
        <f>celladdr(Page5_BUI_VE!L24)</f>
        <v>Page5_BUI_VE!L24</v>
      </c>
      <c r="B838" s="1456" t="s">
        <v>1086</v>
      </c>
      <c r="C838" s="1451" t="b">
        <f>Page5_BUI_VE!$L$24&lt;&gt;0</f>
        <v>0</v>
      </c>
      <c r="D838" s="1454" t="b">
        <f>OR(AND(Page5_BUI_VE!$L24&lt;&gt;0,Page5_BUI_VE!$M24=0),AND(Page5_BUI_VE!$M24&lt;&gt;0,Page5_BUI_VE!$L24=0))</f>
        <v>0</v>
      </c>
      <c r="E838" s="1454"/>
      <c r="F838" s="1454"/>
      <c r="G838" s="1444" t="str">
        <f t="shared" si="110"/>
        <v/>
      </c>
      <c r="H838" s="1447" t="str">
        <f>IF(C838=TRUE,Comments!$B$23,"")</f>
        <v/>
      </c>
      <c r="I838" s="1446" t="str">
        <f>IF(D838=TRUE,Comments!$B$24,"")</f>
        <v/>
      </c>
      <c r="J838" s="1446"/>
      <c r="K838" s="1452"/>
      <c r="N838" s="611" t="str">
        <f>"CPTE # "&amp;Page5_BUI_VE!$E$24&amp;"  "&amp;Page5_BUI_VE!$C$24&amp;" - CHIFFRE D'AFFAIRES RÉALISÉ - AAD"</f>
        <v>CPTE # 419C  MÉMO* VENTES INTERNET VOITURES - CHIFFRE D'AFFAIRES RÉALISÉ - AAD</v>
      </c>
      <c r="O838" s="611" t="str">
        <f t="shared" si="109"/>
        <v/>
      </c>
      <c r="P838" s="611" t="str">
        <f t="shared" si="111"/>
        <v>Page5_BUI_VE!L</v>
      </c>
      <c r="Q838" s="611">
        <f t="shared" si="112"/>
        <v>24</v>
      </c>
      <c r="R838" s="1447">
        <f t="shared" ca="1" si="113"/>
        <v>0</v>
      </c>
      <c r="S838" s="1447">
        <f t="shared" ca="1" si="114"/>
        <v>0</v>
      </c>
      <c r="V838" s="2557" t="str">
        <f t="shared" ca="1" si="115"/>
        <v/>
      </c>
      <c r="W838" s="611" t="str">
        <f t="shared" ca="1" si="116"/>
        <v>Page5_BUI_VE, Ligne 21 [Page5_BUI_VE!L24]  -</v>
      </c>
    </row>
    <row r="839" spans="1:23">
      <c r="A839" s="1443" t="str">
        <f>celladdr(Page5_BUI_VE!L25)</f>
        <v>Page5_BUI_VE!L25</v>
      </c>
      <c r="B839" s="1456" t="s">
        <v>1086</v>
      </c>
      <c r="C839" s="1451" t="b">
        <f>Page5_BUI_VE!$L$25&lt;&gt;0</f>
        <v>0</v>
      </c>
      <c r="D839" s="1454" t="b">
        <f>OR(AND(Page5_BUI_VE!$L25&lt;&gt;0,Page5_BUI_VE!$M25=0),AND(Page5_BUI_VE!$M25&lt;&gt;0,Page5_BUI_VE!$L25=0))</f>
        <v>0</v>
      </c>
      <c r="E839" s="1454" t="b">
        <f>ROUND(Page5_BUI_VE!L25,2)&lt;&gt;ROUND(Page5_PARCS_GOUV!L7 + Page5_PARCS_GOUV!L43,2)</f>
        <v>0</v>
      </c>
      <c r="F839" s="1454"/>
      <c r="G839" s="1444" t="str">
        <f t="shared" si="110"/>
        <v/>
      </c>
      <c r="H839" s="1447" t="str">
        <f>IF(C839=TRUE,Comments!$B$23,"")</f>
        <v/>
      </c>
      <c r="I839" s="1446" t="str">
        <f>IF(D839=TRUE,Comments!$B$24,"")</f>
        <v/>
      </c>
      <c r="J839" s="1446" t="str">
        <f>IF(E839=TRUE, Comments!$B$101,"")</f>
        <v/>
      </c>
      <c r="K839" s="1452"/>
      <c r="N839" s="611" t="str">
        <f>"CPTE # "&amp;Page5_BUI_VE!$E$25&amp;"  "&amp;Page5_BUI_VE!$C$25&amp;" - CHIFFRE D'AFFAIRES RÉALISÉ - AAD"</f>
        <v>CPTE # DE PG PARCS  TOTAL PARCS - VOITURES - CHIFFRE D'AFFAIRES RÉALISÉ - AAD</v>
      </c>
      <c r="O839" s="611" t="str">
        <f t="shared" si="109"/>
        <v/>
      </c>
      <c r="P839" s="611" t="str">
        <f t="shared" si="111"/>
        <v>Page5_BUI_VE!L</v>
      </c>
      <c r="Q839" s="611">
        <f t="shared" si="112"/>
        <v>25</v>
      </c>
      <c r="R839" s="1447">
        <f t="shared" ca="1" si="113"/>
        <v>0</v>
      </c>
      <c r="S839" s="1447">
        <f t="shared" ca="1" si="114"/>
        <v>0</v>
      </c>
      <c r="T839" s="611">
        <v>101</v>
      </c>
      <c r="V839" s="2557" t="str">
        <f t="shared" ca="1" si="115"/>
        <v/>
      </c>
      <c r="W839" s="611" t="str">
        <f t="shared" ca="1" si="116"/>
        <v>Page5_BUI_VE, Ligne 22 [Page5_BUI_VE!L25]  -</v>
      </c>
    </row>
    <row r="840" spans="1:23">
      <c r="A840" s="1443" t="str">
        <f>celladdr(Page5_BUI_VE!N25)</f>
        <v>Page5_BUI_VE!N25</v>
      </c>
      <c r="B840" s="1456" t="s">
        <v>1086</v>
      </c>
      <c r="C840" s="1451"/>
      <c r="D840" s="1454"/>
      <c r="E840" s="1454" t="b">
        <f>ROUND(Page5_BUI_VE!N25,2)&lt;&gt;ROUND(Page5_PARCS_GOUV!N7 + Page5_PARCS_GOUV!N43,2)</f>
        <v>0</v>
      </c>
      <c r="F840" s="1454"/>
      <c r="G840" s="1444" t="str">
        <f t="shared" si="110"/>
        <v/>
      </c>
      <c r="I840" s="1446"/>
      <c r="J840" s="1446" t="str">
        <f>IF(E840=TRUE, Comments!$B$102,"")</f>
        <v/>
      </c>
      <c r="K840" s="1452"/>
      <c r="N840" s="611" t="str">
        <f>"CPTE # "&amp;Page5_BUI_VE!$E$25&amp;"  "&amp;Page5_BUI_VE!$C$25&amp;" - PROFIT BRUT - AAD"</f>
        <v>CPTE # DE PG PARCS  TOTAL PARCS - VOITURES - PROFIT BRUT - AAD</v>
      </c>
      <c r="P840" s="611" t="str">
        <f t="shared" si="111"/>
        <v>Page5_BUI_VE!N</v>
      </c>
      <c r="Q840" s="611">
        <f t="shared" si="112"/>
        <v>25</v>
      </c>
      <c r="R840" s="1447">
        <f t="shared" ca="1" si="113"/>
        <v>0</v>
      </c>
      <c r="S840" s="1447">
        <f t="shared" ca="1" si="114"/>
        <v>0</v>
      </c>
      <c r="T840" s="611">
        <v>102</v>
      </c>
      <c r="V840" s="2557" t="str">
        <f t="shared" ca="1" si="115"/>
        <v/>
      </c>
      <c r="W840" s="611" t="str">
        <f t="shared" ca="1" si="116"/>
        <v>Page5_BUI_VE, Ligne 22 [Page5_BUI_VE!N25]  -</v>
      </c>
    </row>
    <row r="841" spans="1:23">
      <c r="A841" s="1443" t="str">
        <f>celladdr(Page5_BUI_VE!L26)</f>
        <v>Page5_BUI_VE!L26</v>
      </c>
      <c r="B841" s="1456" t="s">
        <v>1086</v>
      </c>
      <c r="C841" s="1451" t="b">
        <f>Page5_BUI_VE!$L$26&lt;&gt;0</f>
        <v>0</v>
      </c>
      <c r="D841" s="1454" t="b">
        <f>OR(AND(Page5_BUI_VE!$L26&lt;&gt;0,Page5_BUI_VE!$M26=0),AND(Page5_BUI_VE!$M26&lt;&gt;0,Page5_BUI_VE!$L26=0))</f>
        <v>0</v>
      </c>
      <c r="E841" s="1454"/>
      <c r="F841" s="1454"/>
      <c r="G841" s="1444" t="str">
        <f t="shared" si="110"/>
        <v/>
      </c>
      <c r="H841" s="1447" t="str">
        <f>IF(C841=TRUE,Comments!$B$23,"")</f>
        <v/>
      </c>
      <c r="I841" s="1446" t="str">
        <f>IF(D841=TRUE,Comments!$B$24,"")</f>
        <v/>
      </c>
      <c r="J841" s="1446"/>
      <c r="K841" s="1452"/>
      <c r="N841" s="611" t="str">
        <f>"CPTE # "&amp;Page5_BUI_VE!$E$26&amp;"  "&amp;Page5_BUI_VE!$C$26&amp;" - CHIFFRE D'AFFAIRES RÉALISÉ - AAD"</f>
        <v>CPTE # 421C  TOTAL INTERNE - VOITURES - CHIFFRE D'AFFAIRES RÉALISÉ - AAD</v>
      </c>
      <c r="O841" s="611" t="str">
        <f>IF(A841=A839,"TRUE","")</f>
        <v/>
      </c>
      <c r="P841" s="611" t="str">
        <f t="shared" si="111"/>
        <v>Page5_BUI_VE!L</v>
      </c>
      <c r="Q841" s="611">
        <f t="shared" si="112"/>
        <v>26</v>
      </c>
      <c r="R841" s="1447">
        <f t="shared" ca="1" si="113"/>
        <v>0</v>
      </c>
      <c r="S841" s="1447">
        <f t="shared" ca="1" si="114"/>
        <v>0</v>
      </c>
      <c r="V841" s="2557" t="str">
        <f t="shared" ca="1" si="115"/>
        <v/>
      </c>
      <c r="W841" s="611" t="str">
        <f t="shared" ca="1" si="116"/>
        <v>Page5_BUI_VE, Ligne 23 [Page5_BUI_VE!L26]  -</v>
      </c>
    </row>
    <row r="842" spans="1:23">
      <c r="A842" s="1443" t="str">
        <f>celladdr(Page5_BUI_VE!L27)</f>
        <v>Page5_BUI_VE!L27</v>
      </c>
      <c r="B842" s="1444" t="s">
        <v>1086</v>
      </c>
      <c r="C842" s="1451"/>
      <c r="D842" s="1454"/>
      <c r="E842" s="1454"/>
      <c r="F842" s="1454"/>
      <c r="G842" s="1444" t="str">
        <f t="shared" si="110"/>
        <v/>
      </c>
      <c r="H842" s="1447" t="str">
        <f>IF(C842=TRUE,Comments!$B$26,"")</f>
        <v/>
      </c>
      <c r="I842" s="1446" t="str">
        <f>IF(D842=TRUE,Comments!$B$24,"")</f>
        <v/>
      </c>
      <c r="J842" s="1446"/>
      <c r="K842" s="1452"/>
      <c r="O842" s="611" t="str">
        <f t="shared" ref="O842:O862" si="117">IF(A842=A841,"TRUE","")</f>
        <v/>
      </c>
      <c r="P842" s="611" t="str">
        <f t="shared" si="111"/>
        <v>Page5_BUI_VE!L</v>
      </c>
      <c r="Q842" s="611">
        <f t="shared" si="112"/>
        <v>27</v>
      </c>
      <c r="R842" s="1447">
        <f t="shared" ca="1" si="113"/>
        <v>0</v>
      </c>
      <c r="S842" s="1447">
        <f t="shared" ca="1" si="114"/>
        <v>0</v>
      </c>
      <c r="V842" s="2557" t="str">
        <f t="shared" ca="1" si="115"/>
        <v/>
      </c>
      <c r="W842" s="611" t="str">
        <f t="shared" ca="1" si="116"/>
        <v>Page5_BUI_VE, Ligne 24 [Page5_BUI_VE!L27]  -</v>
      </c>
    </row>
    <row r="843" spans="1:23">
      <c r="A843" s="1443" t="str">
        <f>celladdr(Page5_BUI_VE!L28)</f>
        <v>Page5_BUI_VE!L28</v>
      </c>
      <c r="B843" s="1456" t="s">
        <v>1086</v>
      </c>
      <c r="C843" s="1451" t="b">
        <f>Page5_BUI_VE!$L$28&lt;&gt;0</f>
        <v>0</v>
      </c>
      <c r="D843" s="1454" t="b">
        <f>OR(AND(Page5_BUI_VE!$L28&lt;&gt;0,Page5_BUI_VE!$M28=0),AND(Page5_BUI_VE!$M28&lt;&gt;0,Page5_BUI_VE!$L28=0))</f>
        <v>0</v>
      </c>
      <c r="E843" s="1454"/>
      <c r="F843" s="1454"/>
      <c r="G843" s="1444" t="str">
        <f t="shared" si="110"/>
        <v/>
      </c>
      <c r="H843" s="1447" t="str">
        <f>IF(C843=TRUE,Comments!$B$23,"")</f>
        <v/>
      </c>
      <c r="I843" s="1446" t="str">
        <f>IF(D843=TRUE,Comments!$B$24,"")</f>
        <v/>
      </c>
      <c r="J843" s="1446"/>
      <c r="K843" s="1452"/>
      <c r="N843" s="611" t="str">
        <f>"CPTE # "&amp;Page5_BUI_VE!$E$28&amp;"  "&amp;Page5_BUI_VE!$C$28&amp;" - CHIFFRE D'AFFAIRES RÉALISÉ - AAD"</f>
        <v>CPTE # 423C  NE PAS UTILISER - CHIFFRE D'AFFAIRES RÉALISÉ - AAD</v>
      </c>
      <c r="O843" s="611" t="str">
        <f t="shared" si="117"/>
        <v/>
      </c>
      <c r="P843" s="611" t="str">
        <f t="shared" si="111"/>
        <v>Page5_BUI_VE!L</v>
      </c>
      <c r="Q843" s="611">
        <f t="shared" si="112"/>
        <v>28</v>
      </c>
      <c r="R843" s="1447">
        <f t="shared" ca="1" si="113"/>
        <v>0</v>
      </c>
      <c r="S843" s="1447">
        <f t="shared" ca="1" si="114"/>
        <v>0</v>
      </c>
      <c r="V843" s="2557" t="str">
        <f t="shared" ca="1" si="115"/>
        <v/>
      </c>
      <c r="W843" s="611" t="str">
        <f t="shared" ca="1" si="116"/>
        <v>Page5_BUI_VE, Ligne 25 [Page5_BUI_VE!L28]  -</v>
      </c>
    </row>
    <row r="844" spans="1:23">
      <c r="A844" s="1443" t="str">
        <f>celladdr(Page5_BUI_VE!L29)</f>
        <v>Page5_BUI_VE!L29</v>
      </c>
      <c r="B844" s="1456" t="s">
        <v>1086</v>
      </c>
      <c r="C844" s="1451" t="b">
        <f>Page5_BUI_VE!$L$29&lt;&gt;0</f>
        <v>0</v>
      </c>
      <c r="D844" s="1454" t="b">
        <f>OR(AND(Page5_BUI_VE!$L29&lt;&gt;0,Page5_BUI_VE!$M29=0),AND(Page5_BUI_VE!$M29&lt;&gt;0,Page5_BUI_VE!$L29=0))</f>
        <v>0</v>
      </c>
      <c r="E844" s="1454"/>
      <c r="F844" s="1454"/>
      <c r="G844" s="1444" t="str">
        <f t="shared" si="110"/>
        <v/>
      </c>
      <c r="H844" s="1447" t="str">
        <f>IF(C844=TRUE,Comments!$B$23,"")</f>
        <v/>
      </c>
      <c r="I844" s="1446" t="str">
        <f>IF(D844=TRUE,Comments!$B$24,"")</f>
        <v/>
      </c>
      <c r="J844" s="1446"/>
      <c r="K844" s="1452"/>
      <c r="N844" s="611" t="str">
        <f>"CPTE # "&amp;Page5_BUI_VE!$E$29&amp;"  "&amp;Page5_BUI_VE!$C$29&amp;" - CHIFFRE D'AFFAIRES RÉALISÉ - AAD"</f>
        <v>CPTE # 424C  NE PAS UTILISER - CHIFFRE D'AFFAIRES RÉALISÉ - AAD</v>
      </c>
      <c r="O844" s="611" t="str">
        <f t="shared" si="117"/>
        <v/>
      </c>
      <c r="P844" s="611" t="str">
        <f t="shared" si="111"/>
        <v>Page5_BUI_VE!L</v>
      </c>
      <c r="Q844" s="611">
        <f t="shared" si="112"/>
        <v>29</v>
      </c>
      <c r="R844" s="1447">
        <f t="shared" ca="1" si="113"/>
        <v>0</v>
      </c>
      <c r="S844" s="1447">
        <f t="shared" ca="1" si="114"/>
        <v>0</v>
      </c>
      <c r="V844" s="2557" t="str">
        <f t="shared" ca="1" si="115"/>
        <v/>
      </c>
      <c r="W844" s="611" t="str">
        <f t="shared" ca="1" si="116"/>
        <v>Page5_BUI_VE, Ligne 26 [Page5_BUI_VE!L29]  -</v>
      </c>
    </row>
    <row r="845" spans="1:23">
      <c r="A845" s="1443" t="str">
        <f>celladdr(Page5_BUI_VE!L30)</f>
        <v>Page5_BUI_VE!L30</v>
      </c>
      <c r="B845" s="1456" t="s">
        <v>1086</v>
      </c>
      <c r="C845" s="1451" t="b">
        <f>Page5_BUI_VE!$L$30&lt;&gt;0</f>
        <v>0</v>
      </c>
      <c r="D845" s="1454" t="b">
        <f>OR(AND(Page5_BUI_VE!$L30&lt;&gt;0,Page5_BUI_VE!$M30=0),AND(Page5_BUI_VE!$M30&lt;&gt;0,Page5_BUI_VE!$L30=0))</f>
        <v>0</v>
      </c>
      <c r="E845" s="1454"/>
      <c r="F845" s="1454"/>
      <c r="G845" s="1444" t="str">
        <f t="shared" si="110"/>
        <v/>
      </c>
      <c r="H845" s="1447" t="str">
        <f>IF(C845=TRUE,Comments!$B$23,"")</f>
        <v/>
      </c>
      <c r="I845" s="1446" t="str">
        <f>IF(D845=TRUE,Comments!$B$24,"")</f>
        <v/>
      </c>
      <c r="J845" s="1446"/>
      <c r="K845" s="1452"/>
      <c r="N845" s="611" t="str">
        <f>"CPTE # "&amp;Page5_BUI_VE!$E$30&amp;"  "&amp;Page5_BUI_VE!$C$30&amp;" - CHIFFRE D'AFFAIRES RÉALISÉ - AAD"</f>
        <v>CPTE # 425C  NE PAS UTILISER - CHIFFRE D'AFFAIRES RÉALISÉ - AAD</v>
      </c>
      <c r="O845" s="611" t="str">
        <f t="shared" si="117"/>
        <v/>
      </c>
      <c r="P845" s="611" t="str">
        <f t="shared" si="111"/>
        <v>Page5_BUI_VE!L</v>
      </c>
      <c r="Q845" s="611">
        <f t="shared" si="112"/>
        <v>30</v>
      </c>
      <c r="R845" s="1447">
        <f t="shared" ca="1" si="113"/>
        <v>0</v>
      </c>
      <c r="S845" s="1447">
        <f t="shared" ca="1" si="114"/>
        <v>0</v>
      </c>
      <c r="V845" s="2557" t="str">
        <f t="shared" ca="1" si="115"/>
        <v/>
      </c>
      <c r="W845" s="611" t="str">
        <f t="shared" ca="1" si="116"/>
        <v>Page5_BUI_VE, Ligne 27 [Page5_BUI_VE!L30]  -</v>
      </c>
    </row>
    <row r="846" spans="1:23">
      <c r="A846" s="1443" t="str">
        <f>celladdr(Page5_BUI_VE!L31)</f>
        <v>Page5_BUI_VE!L31</v>
      </c>
      <c r="B846" s="1456" t="s">
        <v>1086</v>
      </c>
      <c r="C846" s="1451" t="b">
        <f>Page5_BUI_VE!$L$31&lt;&gt;0</f>
        <v>0</v>
      </c>
      <c r="D846" s="1454" t="b">
        <f>OR(AND(Page5_BUI_VE!$L31&lt;&gt;0,Page5_BUI_VE!$M31=0),AND(Page5_BUI_VE!$M31&lt;&gt;0,Page5_BUI_VE!$L31=0))</f>
        <v>0</v>
      </c>
      <c r="E846" s="1454"/>
      <c r="F846" s="1454"/>
      <c r="G846" s="1444" t="str">
        <f t="shared" si="110"/>
        <v/>
      </c>
      <c r="H846" s="1447" t="str">
        <f>IF(C846=TRUE,Comments!$B$23,"")</f>
        <v/>
      </c>
      <c r="I846" s="1446" t="str">
        <f>IF(D846=TRUE,Comments!$B$24,"")</f>
        <v/>
      </c>
      <c r="J846" s="1446"/>
      <c r="K846" s="1452"/>
      <c r="N846" s="611" t="str">
        <f>"CPTE # "&amp;Page5_BUI_VE!$E$31&amp;"  "&amp;Page5_BUI_VE!$C$31&amp;" - CHIFFRE D'AFFAIRES RÉALISÉ - AAD"</f>
        <v>CPTE # 426C  NE PAS UTILISER - CHIFFRE D'AFFAIRES RÉALISÉ - AAD</v>
      </c>
      <c r="O846" s="611" t="str">
        <f t="shared" si="117"/>
        <v/>
      </c>
      <c r="P846" s="611" t="str">
        <f t="shared" si="111"/>
        <v>Page5_BUI_VE!L</v>
      </c>
      <c r="Q846" s="611">
        <f t="shared" si="112"/>
        <v>31</v>
      </c>
      <c r="R846" s="1447">
        <f t="shared" ca="1" si="113"/>
        <v>0</v>
      </c>
      <c r="S846" s="1447">
        <f t="shared" ca="1" si="114"/>
        <v>0</v>
      </c>
      <c r="V846" s="2557" t="str">
        <f t="shared" ca="1" si="115"/>
        <v/>
      </c>
      <c r="W846" s="611" t="str">
        <f t="shared" ca="1" si="116"/>
        <v>Page5_BUI_VE, Ligne 28 [Page5_BUI_VE!L31]  -</v>
      </c>
    </row>
    <row r="847" spans="1:23">
      <c r="A847" s="1443" t="str">
        <f>celladdr(Page5_BUI_VE!L32)</f>
        <v>Page5_BUI_VE!L32</v>
      </c>
      <c r="B847" s="1456" t="s">
        <v>1086</v>
      </c>
      <c r="C847" s="1451" t="b">
        <f>Page5_BUI_VE!$L$32&lt;&gt;0</f>
        <v>0</v>
      </c>
      <c r="D847" s="1454" t="b">
        <f>OR(AND(Page5_BUI_VE!$L32&lt;&gt;0,Page5_BUI_VE!$M32=0),AND(Page5_BUI_VE!$M32&lt;&gt;0,Page5_BUI_VE!$L32=0))</f>
        <v>0</v>
      </c>
      <c r="E847" s="1454"/>
      <c r="F847" s="1454"/>
      <c r="G847" s="1444" t="str">
        <f t="shared" si="110"/>
        <v/>
      </c>
      <c r="H847" s="1447" t="str">
        <f>IF(C847=TRUE,Comments!$B$23,"")</f>
        <v/>
      </c>
      <c r="I847" s="1446" t="str">
        <f>IF(D847=TRUE,Comments!$B$24,"")</f>
        <v/>
      </c>
      <c r="J847" s="1446"/>
      <c r="K847" s="1452"/>
      <c r="N847" s="611" t="str">
        <f>"CPTE # "&amp;Page5_BUI_VE!$E$32&amp;"  "&amp;Page5_BUI_VE!$C$32&amp;" - CHIFFRE D'AFFAIRES RÉALISÉ - AAD"</f>
        <v>CPTE # 427C  NE PAS UTILISER - CHIFFRE D'AFFAIRES RÉALISÉ - AAD</v>
      </c>
      <c r="O847" s="611" t="str">
        <f t="shared" si="117"/>
        <v/>
      </c>
      <c r="P847" s="611" t="str">
        <f t="shared" si="111"/>
        <v>Page5_BUI_VE!L</v>
      </c>
      <c r="Q847" s="611">
        <f t="shared" si="112"/>
        <v>32</v>
      </c>
      <c r="R847" s="1447">
        <f t="shared" ca="1" si="113"/>
        <v>0</v>
      </c>
      <c r="S847" s="1447">
        <f t="shared" ca="1" si="114"/>
        <v>0</v>
      </c>
      <c r="V847" s="2557" t="str">
        <f t="shared" ca="1" si="115"/>
        <v/>
      </c>
      <c r="W847" s="611" t="str">
        <f t="shared" ca="1" si="116"/>
        <v>Page5_BUI_VE, Ligne 29 [Page5_BUI_VE!L32]  -</v>
      </c>
    </row>
    <row r="848" spans="1:23">
      <c r="A848" s="1443" t="str">
        <f>celladdr(Page5_BUI_VE!L33)</f>
        <v>Page5_BUI_VE!L33</v>
      </c>
      <c r="B848" s="1456" t="s">
        <v>1086</v>
      </c>
      <c r="C848" s="1451" t="b">
        <f>Page5_BUI_VE!$L$33&lt;&gt;0</f>
        <v>0</v>
      </c>
      <c r="D848" s="1454" t="b">
        <f>OR(AND(Page5_BUI_VE!$L33&lt;&gt;0,Page5_BUI_VE!$M33=0),AND(Page5_BUI_VE!$M33&lt;&gt;0,Page5_BUI_VE!$L33=0))</f>
        <v>0</v>
      </c>
      <c r="E848" s="1454"/>
      <c r="F848" s="1454"/>
      <c r="G848" s="1444" t="str">
        <f t="shared" si="110"/>
        <v/>
      </c>
      <c r="H848" s="1447" t="str">
        <f>IF(C848=TRUE,Comments!$B$23,"")</f>
        <v/>
      </c>
      <c r="I848" s="1446" t="str">
        <f>IF(D848=TRUE,Comments!$B$24,"")</f>
        <v/>
      </c>
      <c r="J848" s="1446"/>
      <c r="K848" s="1452"/>
      <c r="N848" s="611" t="str">
        <f>"CPTE # "&amp;Page5_BUI_VE!$E$33&amp;"  "&amp;Page5_BUI_VE!$C$33&amp;" - CHIFFRE D'AFFAIRES RÉALISÉ - AAD"</f>
        <v>CPTE # 428C  NE PAS UTILISER - CHIFFRE D'AFFAIRES RÉALISÉ - AAD</v>
      </c>
      <c r="O848" s="611" t="str">
        <f t="shared" si="117"/>
        <v/>
      </c>
      <c r="P848" s="611" t="str">
        <f t="shared" si="111"/>
        <v>Page5_BUI_VE!L</v>
      </c>
      <c r="Q848" s="611">
        <f t="shared" si="112"/>
        <v>33</v>
      </c>
      <c r="R848" s="1447">
        <f t="shared" ca="1" si="113"/>
        <v>0</v>
      </c>
      <c r="S848" s="1447">
        <f t="shared" ca="1" si="114"/>
        <v>0</v>
      </c>
      <c r="V848" s="2557" t="str">
        <f t="shared" ca="1" si="115"/>
        <v/>
      </c>
      <c r="W848" s="611" t="str">
        <f t="shared" ca="1" si="116"/>
        <v>Page5_BUI_VE, Ligne 30 [Page5_BUI_VE!L33]  -</v>
      </c>
    </row>
    <row r="849" spans="1:23">
      <c r="A849" s="1443" t="str">
        <f>celladdr(Page5_BUI_VE!L34)</f>
        <v>Page5_BUI_VE!L34</v>
      </c>
      <c r="B849" s="1456" t="s">
        <v>1086</v>
      </c>
      <c r="C849" s="1451" t="b">
        <f>Page5_BUI_VE!$L$34&lt;&gt;0</f>
        <v>0</v>
      </c>
      <c r="D849" s="1454" t="b">
        <f>OR(AND(Page5_BUI_VE!$L34&lt;&gt;0,Page5_BUI_VE!$M34=0),AND(Page5_BUI_VE!$M34&lt;&gt;0,Page5_BUI_VE!$L34=0))</f>
        <v>0</v>
      </c>
      <c r="E849" s="1454"/>
      <c r="F849" s="1454"/>
      <c r="G849" s="1444" t="str">
        <f t="shared" si="110"/>
        <v/>
      </c>
      <c r="H849" s="1447" t="str">
        <f>IF(C849=TRUE,Comments!$B$23,"")</f>
        <v/>
      </c>
      <c r="I849" s="1446" t="str">
        <f>IF(D849=TRUE,Comments!$B$24,"")</f>
        <v/>
      </c>
      <c r="J849" s="1446"/>
      <c r="K849" s="1452"/>
      <c r="N849" s="611" t="str">
        <f>"CPTE # "&amp;Page5_BUI_VE!$E$34&amp;"  "&amp;Page5_BUI_VE!$C$34&amp;" - CHIFFRE D'AFFAIRES RÉALISÉ - AAD"</f>
        <v>CPTE # 429C  NE PAS UTILISER - CHIFFRE D'AFFAIRES RÉALISÉ - AAD</v>
      </c>
      <c r="O849" s="611" t="str">
        <f t="shared" si="117"/>
        <v/>
      </c>
      <c r="P849" s="611" t="str">
        <f t="shared" si="111"/>
        <v>Page5_BUI_VE!L</v>
      </c>
      <c r="Q849" s="611">
        <f t="shared" si="112"/>
        <v>34</v>
      </c>
      <c r="R849" s="1447">
        <f t="shared" ca="1" si="113"/>
        <v>0</v>
      </c>
      <c r="S849" s="1447">
        <f t="shared" ca="1" si="114"/>
        <v>0</v>
      </c>
      <c r="V849" s="2557" t="str">
        <f t="shared" ca="1" si="115"/>
        <v/>
      </c>
      <c r="W849" s="611" t="str">
        <f t="shared" ca="1" si="116"/>
        <v>Page5_BUI_VE, Ligne 31 [Page5_BUI_VE!L34]  -</v>
      </c>
    </row>
    <row r="850" spans="1:23">
      <c r="A850" s="1443" t="str">
        <f>celladdr(Page5_BUI_VE!L35)</f>
        <v>Page5_BUI_VE!L35</v>
      </c>
      <c r="B850" s="1456" t="s">
        <v>1086</v>
      </c>
      <c r="C850" s="1451" t="b">
        <f>Page5_BUI_VE!$L$35&lt;&gt;0</f>
        <v>0</v>
      </c>
      <c r="D850" s="1454" t="b">
        <f>OR(AND(Page5_BUI_VE!$L35&lt;&gt;0,Page5_BUI_VE!$M35=0),AND(Page5_BUI_VE!$M35&lt;&gt;0,Page5_BUI_VE!$L35=0))</f>
        <v>0</v>
      </c>
      <c r="E850" s="1454"/>
      <c r="F850" s="1454"/>
      <c r="G850" s="1444" t="str">
        <f t="shared" si="110"/>
        <v/>
      </c>
      <c r="H850" s="1447" t="str">
        <f>IF(C850=TRUE,Comments!$B$23,"")</f>
        <v/>
      </c>
      <c r="I850" s="1446" t="str">
        <f>IF(D850=TRUE,Comments!$B$24,"")</f>
        <v/>
      </c>
      <c r="J850" s="1446"/>
      <c r="K850" s="1452"/>
      <c r="N850" s="611" t="str">
        <f>"CPTE # "&amp;Page5_BUI_VE!$E$35&amp;"  "&amp;Page5_BUI_VE!$C$35&amp;" - CHIFFRE D'AFFAIRES RÉALISÉ - AAD"</f>
        <v>CPTE # 430C  NE PAS UTILISER - CHIFFRE D'AFFAIRES RÉALISÉ - AAD</v>
      </c>
      <c r="O850" s="611" t="str">
        <f t="shared" si="117"/>
        <v/>
      </c>
      <c r="P850" s="611" t="str">
        <f t="shared" si="111"/>
        <v>Page5_BUI_VE!L</v>
      </c>
      <c r="Q850" s="611">
        <f t="shared" si="112"/>
        <v>35</v>
      </c>
      <c r="R850" s="1447">
        <f t="shared" ca="1" si="113"/>
        <v>0</v>
      </c>
      <c r="S850" s="1447">
        <f t="shared" ca="1" si="114"/>
        <v>0</v>
      </c>
      <c r="V850" s="2557" t="str">
        <f t="shared" ca="1" si="115"/>
        <v/>
      </c>
      <c r="W850" s="611" t="str">
        <f t="shared" ca="1" si="116"/>
        <v>Page5_BUI_VE, Ligne 32 [Page5_BUI_VE!L35]  -</v>
      </c>
    </row>
    <row r="851" spans="1:23">
      <c r="A851" s="1443" t="str">
        <f>celladdr(Page5_BUI_VE!L36)</f>
        <v>Page5_BUI_VE!L36</v>
      </c>
      <c r="B851" s="1456" t="s">
        <v>1086</v>
      </c>
      <c r="C851" s="1451" t="b">
        <f>Page5_BUI_VE!$L$36&lt;&gt;0</f>
        <v>0</v>
      </c>
      <c r="D851" s="1454" t="b">
        <f>OR(AND(Page5_BUI_VE!$L36&lt;&gt;0,Page5_BUI_VE!$M36=0),AND(Page5_BUI_VE!$M36&lt;&gt;0,Page5_BUI_VE!$L36=0))</f>
        <v>0</v>
      </c>
      <c r="E851" s="1454"/>
      <c r="F851" s="1454"/>
      <c r="G851" s="1444" t="str">
        <f t="shared" si="110"/>
        <v/>
      </c>
      <c r="H851" s="1447" t="str">
        <f>IF(C851=TRUE,Comments!$B$23,"")</f>
        <v/>
      </c>
      <c r="I851" s="1446" t="str">
        <f>IF(D851=TRUE,Comments!$B$24,"")</f>
        <v/>
      </c>
      <c r="J851" s="1446"/>
      <c r="K851" s="1452"/>
      <c r="N851" s="611" t="str">
        <f>"CPTE # "&amp;Page5_BUI_VE!$E$36&amp;"  "&amp;Page5_BUI_VE!$C$36&amp;" - CHIFFRE D'AFFAIRES RÉALISÉ - AAD"</f>
        <v>CPTE # 431C  NE PAS UTILISER - CHIFFRE D'AFFAIRES RÉALISÉ - AAD</v>
      </c>
      <c r="O851" s="611" t="str">
        <f t="shared" si="117"/>
        <v/>
      </c>
      <c r="P851" s="611" t="str">
        <f t="shared" si="111"/>
        <v>Page5_BUI_VE!L</v>
      </c>
      <c r="Q851" s="611">
        <f t="shared" si="112"/>
        <v>36</v>
      </c>
      <c r="R851" s="1447">
        <f t="shared" ca="1" si="113"/>
        <v>0</v>
      </c>
      <c r="S851" s="1447">
        <f t="shared" ca="1" si="114"/>
        <v>0</v>
      </c>
      <c r="V851" s="2557" t="str">
        <f t="shared" ca="1" si="115"/>
        <v/>
      </c>
      <c r="W851" s="611" t="str">
        <f t="shared" ca="1" si="116"/>
        <v>Page5_BUI_VE, Ligne 33 [Page5_BUI_VE!L36]  -</v>
      </c>
    </row>
    <row r="852" spans="1:23">
      <c r="A852" s="1443" t="str">
        <f>celladdr(Page5_BUI_VE!L37)</f>
        <v>Page5_BUI_VE!L37</v>
      </c>
      <c r="B852" s="1456" t="s">
        <v>1086</v>
      </c>
      <c r="C852" s="1451" t="b">
        <f>Page5_BUI_VE!$L$37&lt;&gt;0</f>
        <v>0</v>
      </c>
      <c r="D852" s="1454" t="b">
        <f>OR(AND(Page5_BUI_VE!$L37&lt;&gt;0,Page5_BUI_VE!$M37=0),AND(Page5_BUI_VE!$M37&lt;&gt;0,Page5_BUI_VE!$L37=0))</f>
        <v>0</v>
      </c>
      <c r="E852" s="1454"/>
      <c r="F852" s="1454"/>
      <c r="G852" s="1444" t="str">
        <f t="shared" si="110"/>
        <v/>
      </c>
      <c r="H852" s="1447" t="str">
        <f>IF(C852=TRUE,Comments!$B$23,"")</f>
        <v/>
      </c>
      <c r="I852" s="1446" t="str">
        <f>IF(D852=TRUE,Comments!$B$24,"")</f>
        <v/>
      </c>
      <c r="J852" s="1446"/>
      <c r="K852" s="1452"/>
      <c r="N852" s="611" t="str">
        <f>"CPTE # "&amp;Page5_BUI_VE!$E$37&amp;"  "&amp;Page5_BUI_VE!$C$37&amp;" - CHIFFRE D'AFFAIRES RÉALISÉ - AAD"</f>
        <v>CPTE # 432C  NE PAS UTILISER - CHIFFRE D'AFFAIRES RÉALISÉ - AAD</v>
      </c>
      <c r="O852" s="611" t="str">
        <f t="shared" si="117"/>
        <v/>
      </c>
      <c r="P852" s="611" t="str">
        <f t="shared" si="111"/>
        <v>Page5_BUI_VE!L</v>
      </c>
      <c r="Q852" s="611">
        <f t="shared" si="112"/>
        <v>37</v>
      </c>
      <c r="R852" s="1447">
        <f t="shared" ca="1" si="113"/>
        <v>0</v>
      </c>
      <c r="S852" s="1447">
        <f t="shared" ca="1" si="114"/>
        <v>0</v>
      </c>
      <c r="V852" s="2557" t="str">
        <f t="shared" ca="1" si="115"/>
        <v/>
      </c>
      <c r="W852" s="611" t="str">
        <f t="shared" ca="1" si="116"/>
        <v>Page5_BUI_VE, Ligne 34 [Page5_BUI_VE!L37]  -</v>
      </c>
    </row>
    <row r="853" spans="1:23">
      <c r="A853" s="1443" t="str">
        <f>celladdr(Page5_BUI_VE!L38)</f>
        <v>Page5_BUI_VE!L38</v>
      </c>
      <c r="B853" s="1456" t="s">
        <v>1086</v>
      </c>
      <c r="C853" s="1451" t="b">
        <f>Page5_BUI_VE!$L$38&lt;&gt;0</f>
        <v>0</v>
      </c>
      <c r="D853" s="1454" t="b">
        <f>OR(AND(Page5_BUI_VE!$L38&lt;&gt;0,Page5_BUI_VE!$M38=0),AND(Page5_BUI_VE!$M38&lt;&gt;0,Page5_BUI_VE!$L38=0))</f>
        <v>0</v>
      </c>
      <c r="E853" s="1454"/>
      <c r="F853" s="1454"/>
      <c r="G853" s="1444" t="str">
        <f t="shared" si="110"/>
        <v/>
      </c>
      <c r="H853" s="1447" t="str">
        <f>IF(C853=TRUE,Comments!$B$23,"")</f>
        <v/>
      </c>
      <c r="I853" s="1446" t="str">
        <f>IF(D853=TRUE,Comments!$B$24,"")</f>
        <v/>
      </c>
      <c r="J853" s="1446"/>
      <c r="K853" s="1452"/>
      <c r="N853" s="611" t="str">
        <f>"CPTE # "&amp;Page5_BUI_VE!$E$38&amp;"  "&amp;Page5_BUI_VE!$C$38&amp;" - CHIFFRE D'AFFAIRES RÉALISÉ - AAD"</f>
        <v>CPTE # 433C  NE PAS UTILISER - CHIFFRE D'AFFAIRES RÉALISÉ - AAD</v>
      </c>
      <c r="O853" s="611" t="str">
        <f t="shared" si="117"/>
        <v/>
      </c>
      <c r="P853" s="611" t="str">
        <f t="shared" si="111"/>
        <v>Page5_BUI_VE!L</v>
      </c>
      <c r="Q853" s="611">
        <f t="shared" si="112"/>
        <v>38</v>
      </c>
      <c r="R853" s="1447">
        <f t="shared" ca="1" si="113"/>
        <v>0</v>
      </c>
      <c r="S853" s="1447">
        <f t="shared" ca="1" si="114"/>
        <v>0</v>
      </c>
      <c r="V853" s="2557" t="str">
        <f t="shared" ca="1" si="115"/>
        <v/>
      </c>
      <c r="W853" s="611" t="str">
        <f t="shared" ca="1" si="116"/>
        <v>Page5_BUI_VE, Ligne 35 [Page5_BUI_VE!L38]  -</v>
      </c>
    </row>
    <row r="854" spans="1:23">
      <c r="A854" s="1443" t="str">
        <f>celladdr(Page5_BUI_VE!L39)</f>
        <v>Page5_BUI_VE!L39</v>
      </c>
      <c r="B854" s="1456" t="s">
        <v>1086</v>
      </c>
      <c r="C854" s="1451" t="b">
        <f>Page5_BUI_VE!$L$39&lt;&gt;0</f>
        <v>0</v>
      </c>
      <c r="D854" s="1454" t="b">
        <f>OR(AND(Page5_BUI_VE!$L39&lt;&gt;0,Page5_BUI_VE!$M39=0),AND(Page5_BUI_VE!$M39&lt;&gt;0,Page5_BUI_VE!$L39=0))</f>
        <v>0</v>
      </c>
      <c r="E854" s="1454"/>
      <c r="F854" s="1454"/>
      <c r="G854" s="1444" t="str">
        <f t="shared" si="110"/>
        <v/>
      </c>
      <c r="H854" s="1447" t="str">
        <f>IF(C854=TRUE,Comments!$B$23,"")</f>
        <v/>
      </c>
      <c r="I854" s="1446" t="str">
        <f>IF(D854=TRUE,Comments!$B$24,"")</f>
        <v/>
      </c>
      <c r="J854" s="1446"/>
      <c r="K854" s="1452"/>
      <c r="N854" s="611" t="str">
        <f>"CPTE # "&amp;Page5_BUI_VE!$E$39&amp;"  "&amp;Page5_BUI_VE!$C$39&amp;" - CHIFFRE D'AFFAIRES RÉALISÉ - AAD"</f>
        <v>CPTE # 434C  NE PAS UTILISER - CHIFFRE D'AFFAIRES RÉALISÉ - AAD</v>
      </c>
      <c r="O854" s="611" t="str">
        <f t="shared" si="117"/>
        <v/>
      </c>
      <c r="P854" s="611" t="str">
        <f t="shared" si="111"/>
        <v>Page5_BUI_VE!L</v>
      </c>
      <c r="Q854" s="611">
        <f t="shared" si="112"/>
        <v>39</v>
      </c>
      <c r="R854" s="1447">
        <f t="shared" ca="1" si="113"/>
        <v>0</v>
      </c>
      <c r="S854" s="1447">
        <f t="shared" ca="1" si="114"/>
        <v>0</v>
      </c>
      <c r="V854" s="2557" t="str">
        <f t="shared" ca="1" si="115"/>
        <v/>
      </c>
      <c r="W854" s="611" t="str">
        <f t="shared" ca="1" si="116"/>
        <v>Page5_BUI_VE, Ligne 36 [Page5_BUI_VE!L39]  -</v>
      </c>
    </row>
    <row r="855" spans="1:23">
      <c r="A855" s="1443" t="str">
        <f>celladdr(Page5_BUI_VE!L40)</f>
        <v>Page5_BUI_VE!L40</v>
      </c>
      <c r="B855" s="1456" t="s">
        <v>1086</v>
      </c>
      <c r="C855" s="1451" t="b">
        <f>Page5_BUI_VE!$L$40&lt;&gt;0</f>
        <v>0</v>
      </c>
      <c r="D855" s="1454" t="b">
        <f>OR(AND(Page5_BUI_VE!$L40&lt;&gt;0,Page5_BUI_VE!$M40=0),AND(Page5_BUI_VE!$M40&lt;&gt;0,Page5_BUI_VE!$L40=0))</f>
        <v>0</v>
      </c>
      <c r="E855" s="1454"/>
      <c r="F855" s="1454"/>
      <c r="G855" s="1444" t="str">
        <f t="shared" si="110"/>
        <v/>
      </c>
      <c r="H855" s="1447" t="str">
        <f>IF(C855=TRUE,Comments!$B$23,"")</f>
        <v/>
      </c>
      <c r="I855" s="1446" t="str">
        <f>IF(D855=TRUE,Comments!$B$24,"")</f>
        <v/>
      </c>
      <c r="J855" s="1446"/>
      <c r="K855" s="1452"/>
      <c r="N855" s="611" t="str">
        <f>"CPTE # "&amp;Page5_BUI_VE!$E$40&amp;"  "&amp;Page5_BUI_VE!$C$40&amp;" - CHIFFRE D'AFFAIRES RÉALISÉ - AAD"</f>
        <v>CPTE # 435C  NE PAS UTILISER - CHIFFRE D'AFFAIRES RÉALISÉ - AAD</v>
      </c>
      <c r="O855" s="611" t="str">
        <f t="shared" si="117"/>
        <v/>
      </c>
      <c r="P855" s="611" t="str">
        <f t="shared" si="111"/>
        <v>Page5_BUI_VE!L</v>
      </c>
      <c r="Q855" s="611">
        <f t="shared" si="112"/>
        <v>40</v>
      </c>
      <c r="R855" s="1447">
        <f t="shared" ca="1" si="113"/>
        <v>0</v>
      </c>
      <c r="S855" s="1447">
        <f t="shared" ca="1" si="114"/>
        <v>0</v>
      </c>
      <c r="V855" s="2557" t="str">
        <f t="shared" ca="1" si="115"/>
        <v/>
      </c>
      <c r="W855" s="611" t="str">
        <f t="shared" ca="1" si="116"/>
        <v>Page5_BUI_VE, Ligne 37 [Page5_BUI_VE!L40]  -</v>
      </c>
    </row>
    <row r="856" spans="1:23">
      <c r="A856" s="1443" t="str">
        <f>celladdr(Page5_BUI_VE!L41)</f>
        <v>Page5_BUI_VE!L41</v>
      </c>
      <c r="B856" s="1456" t="s">
        <v>1086</v>
      </c>
      <c r="C856" s="1451" t="b">
        <f>Page5_BUI_VE!$L$41&lt;&gt;0</f>
        <v>0</v>
      </c>
      <c r="D856" s="1454" t="b">
        <f>OR(AND(Page5_BUI_VE!$L41&lt;&gt;0,Page5_BUI_VE!$M41=0),AND(Page5_BUI_VE!$M41&lt;&gt;0,Page5_BUI_VE!$L41=0))</f>
        <v>0</v>
      </c>
      <c r="E856" s="1454"/>
      <c r="F856" s="1454"/>
      <c r="G856" s="1444" t="str">
        <f t="shared" si="110"/>
        <v/>
      </c>
      <c r="H856" s="1447" t="str">
        <f>IF(C856=TRUE,Comments!$B$23,"")</f>
        <v/>
      </c>
      <c r="I856" s="1446" t="str">
        <f>IF(D856=TRUE,Comments!$B$24,"")</f>
        <v/>
      </c>
      <c r="J856" s="1446"/>
      <c r="K856" s="1452"/>
      <c r="N856" s="611" t="str">
        <f>"CPTE # "&amp;Page5_BUI_VE!$E$41&amp;"  "&amp;Page5_BUI_VE!$C$41&amp;" - CHIFFRE D'AFFAIRES RÉALISÉ - AAD"</f>
        <v>CPTE # 436C  NE PAS UTILISER - CHIFFRE D'AFFAIRES RÉALISÉ - AAD</v>
      </c>
      <c r="O856" s="611" t="str">
        <f t="shared" si="117"/>
        <v/>
      </c>
      <c r="P856" s="611" t="str">
        <f t="shared" si="111"/>
        <v>Page5_BUI_VE!L</v>
      </c>
      <c r="Q856" s="611">
        <f t="shared" si="112"/>
        <v>41</v>
      </c>
      <c r="R856" s="1447">
        <f t="shared" ca="1" si="113"/>
        <v>0</v>
      </c>
      <c r="S856" s="1447">
        <f t="shared" ca="1" si="114"/>
        <v>0</v>
      </c>
      <c r="V856" s="2557" t="str">
        <f t="shared" ca="1" si="115"/>
        <v/>
      </c>
      <c r="W856" s="611" t="str">
        <f t="shared" ca="1" si="116"/>
        <v>Page5_BUI_VE, Ligne 38 [Page5_BUI_VE!L41]  -</v>
      </c>
    </row>
    <row r="857" spans="1:23">
      <c r="A857" s="1443" t="str">
        <f>celladdr(Page5_BUI_VE!L42)</f>
        <v>Page5_BUI_VE!L42</v>
      </c>
      <c r="B857" s="1456" t="s">
        <v>1086</v>
      </c>
      <c r="C857" s="1451" t="b">
        <f>Page5_BUI_VE!$L$42&lt;&gt;0</f>
        <v>0</v>
      </c>
      <c r="D857" s="1454"/>
      <c r="E857" s="1454"/>
      <c r="F857" s="1454"/>
      <c r="G857" s="1444" t="str">
        <f t="shared" si="110"/>
        <v/>
      </c>
      <c r="H857" s="1447" t="str">
        <f>IF(C857=TRUE,Comments!$B$23,"")</f>
        <v/>
      </c>
      <c r="I857" s="1446"/>
      <c r="J857" s="1446"/>
      <c r="K857" s="1452"/>
      <c r="N857" s="611" t="str">
        <f>"CPTE # "&amp;Page5_BUI_VE!$E$42&amp;"  "&amp;Page5_BUI_VE!$C$42&amp;" - CHIFFRE D'AFFAIRES RÉALISÉ - AAD"</f>
        <v>CPTE # 437C  NE PAS UTILISER - CHIFFRE D'AFFAIRES RÉALISÉ - AAD</v>
      </c>
      <c r="O857" s="611" t="str">
        <f t="shared" si="117"/>
        <v/>
      </c>
      <c r="P857" s="611" t="str">
        <f t="shared" si="111"/>
        <v>Page5_BUI_VE!L</v>
      </c>
      <c r="Q857" s="611">
        <f t="shared" si="112"/>
        <v>42</v>
      </c>
      <c r="R857" s="1447">
        <f t="shared" ca="1" si="113"/>
        <v>0</v>
      </c>
      <c r="S857" s="1447">
        <f t="shared" ca="1" si="114"/>
        <v>0</v>
      </c>
      <c r="V857" s="2557" t="str">
        <f t="shared" ca="1" si="115"/>
        <v/>
      </c>
      <c r="W857" s="611" t="str">
        <f t="shared" ca="1" si="116"/>
        <v>Page5_BUI_VE, Ligne 39 [Page5_BUI_VE!L42]  -</v>
      </c>
    </row>
    <row r="858" spans="1:23">
      <c r="A858" s="1443" t="str">
        <f>celladdr(Page5_BUI_VE!L43)</f>
        <v>Page5_BUI_VE!L43</v>
      </c>
      <c r="B858" s="1456" t="s">
        <v>1086</v>
      </c>
      <c r="C858" s="1451" t="b">
        <f>Page5_BUI_VE!$L$43&lt;&gt;0</f>
        <v>0</v>
      </c>
      <c r="D858" s="1454" t="b">
        <f>OR(AND(Page5_BUI_VE!$L43&lt;&gt;0,Page5_BUI_VE!$M43=0),AND(Page5_BUI_VE!$M43&lt;&gt;0,Page5_BUI_VE!$L43=0))</f>
        <v>0</v>
      </c>
      <c r="E858" s="1454"/>
      <c r="F858" s="1454"/>
      <c r="G858" s="1444" t="str">
        <f t="shared" si="110"/>
        <v/>
      </c>
      <c r="H858" s="1447" t="str">
        <f>IF(C858=TRUE,Comments!$B$23,"")</f>
        <v/>
      </c>
      <c r="I858" s="1446" t="str">
        <f>IF(D858=TRUE,Comments!$B$24,"")</f>
        <v/>
      </c>
      <c r="J858" s="1446"/>
      <c r="K858" s="1452"/>
      <c r="N858" s="611" t="str">
        <f>"CPTE # "&amp;Page5_BUI_VE!$E$43&amp;"  "&amp;Page5_BUI_VE!$C$43&amp;" - CHIFFRE D'AFFAIRES RÉALISÉ - AAD"</f>
        <v>CPTE # 438C  NE PAS UTILISER - CHIFFRE D'AFFAIRES RÉALISÉ - AAD</v>
      </c>
      <c r="O858" s="611" t="str">
        <f t="shared" si="117"/>
        <v/>
      </c>
      <c r="P858" s="611" t="str">
        <f t="shared" si="111"/>
        <v>Page5_BUI_VE!L</v>
      </c>
      <c r="Q858" s="611">
        <f t="shared" si="112"/>
        <v>43</v>
      </c>
      <c r="R858" s="1447">
        <f t="shared" ca="1" si="113"/>
        <v>0</v>
      </c>
      <c r="S858" s="1447">
        <f t="shared" ca="1" si="114"/>
        <v>0</v>
      </c>
      <c r="V858" s="2557" t="str">
        <f t="shared" ca="1" si="115"/>
        <v/>
      </c>
      <c r="W858" s="611" t="str">
        <f t="shared" ca="1" si="116"/>
        <v>Page5_BUI_VE, Ligne 40 [Page5_BUI_VE!L43]  -</v>
      </c>
    </row>
    <row r="859" spans="1:23">
      <c r="A859" s="1443" t="str">
        <f>celladdr(Page5_BUI_VE!L44)</f>
        <v>Page5_BUI_VE!L44</v>
      </c>
      <c r="B859" s="1444" t="s">
        <v>1086</v>
      </c>
      <c r="C859" s="1451"/>
      <c r="D859" s="1454"/>
      <c r="E859" s="1454"/>
      <c r="F859" s="1454"/>
      <c r="G859" s="1444" t="str">
        <f t="shared" si="110"/>
        <v/>
      </c>
      <c r="H859" s="1447" t="str">
        <f>IF(C859=TRUE,Comments!$B$26,"")</f>
        <v/>
      </c>
      <c r="I859" s="1446" t="str">
        <f>IF(D859=TRUE,Comments!$B$24,"")</f>
        <v/>
      </c>
      <c r="J859" s="1446"/>
      <c r="K859" s="1452"/>
      <c r="O859" s="611" t="str">
        <f t="shared" si="117"/>
        <v/>
      </c>
      <c r="P859" s="611" t="str">
        <f t="shared" si="111"/>
        <v>Page5_BUI_VE!L</v>
      </c>
      <c r="Q859" s="611">
        <f t="shared" si="112"/>
        <v>44</v>
      </c>
      <c r="R859" s="1447">
        <f t="shared" ca="1" si="113"/>
        <v>0</v>
      </c>
      <c r="S859" s="1447">
        <f t="shared" ca="1" si="114"/>
        <v>0</v>
      </c>
      <c r="V859" s="2557" t="str">
        <f t="shared" ca="1" si="115"/>
        <v/>
      </c>
      <c r="W859" s="611" t="str">
        <f t="shared" ca="1" si="116"/>
        <v>Page5_BUI_VE, Ligne 41 [Page5_BUI_VE!L44]  -</v>
      </c>
    </row>
    <row r="860" spans="1:23">
      <c r="A860" s="1443" t="str">
        <f>celladdr(Page5_BUI_VE!L45)</f>
        <v>Page5_BUI_VE!L45</v>
      </c>
      <c r="B860" s="1456" t="s">
        <v>1086</v>
      </c>
      <c r="C860" s="1451" t="b">
        <f>Page5_BUI_VE!$L$45&lt;&gt;0</f>
        <v>0</v>
      </c>
      <c r="D860" s="1454" t="b">
        <f>OR(AND(Page5_BUI_VE!$L45&lt;&gt;0,Page5_BUI_VE!$M45=0),AND(Page5_BUI_VE!$M45&lt;&gt;0,Page5_BUI_VE!$L45=0))</f>
        <v>0</v>
      </c>
      <c r="E860" s="1454"/>
      <c r="F860" s="1454"/>
      <c r="G860" s="1444" t="str">
        <f t="shared" si="110"/>
        <v/>
      </c>
      <c r="H860" s="1447" t="str">
        <f>IF(C860=TRUE,Comments!$B$23,"")</f>
        <v/>
      </c>
      <c r="I860" s="1446" t="str">
        <f>IF(D860=TRUE,Comments!$B$24,"")</f>
        <v/>
      </c>
      <c r="J860" s="1446"/>
      <c r="K860" s="1452"/>
      <c r="N860" s="611" t="str">
        <f>"CPTE # "&amp;Page5_BUI_VE!$E$45&amp;"  "&amp;Page5_BUI_VE!$C$45&amp;" - CHIFFRE D'AFFAIRES RÉALISÉ - AAD"</f>
        <v>CPTE # 439C  MÉMO* VENTES INTERNET CAMIONS - CHIFFRE D'AFFAIRES RÉALISÉ - AAD</v>
      </c>
      <c r="O860" s="611" t="str">
        <f t="shared" si="117"/>
        <v/>
      </c>
      <c r="P860" s="611" t="str">
        <f t="shared" si="111"/>
        <v>Page5_BUI_VE!L</v>
      </c>
      <c r="Q860" s="611">
        <f t="shared" si="112"/>
        <v>45</v>
      </c>
      <c r="R860" s="1447">
        <f t="shared" ca="1" si="113"/>
        <v>0</v>
      </c>
      <c r="S860" s="1447">
        <f t="shared" ca="1" si="114"/>
        <v>0</v>
      </c>
      <c r="V860" s="2557" t="str">
        <f t="shared" ca="1" si="115"/>
        <v/>
      </c>
      <c r="W860" s="611" t="str">
        <f t="shared" ca="1" si="116"/>
        <v>Page5_BUI_VE, Ligne 42 [Page5_BUI_VE!L45]  -</v>
      </c>
    </row>
    <row r="861" spans="1:23">
      <c r="A861" s="1443" t="str">
        <f>celladdr(Page5_BUI_VE!L46)</f>
        <v>Page5_BUI_VE!L46</v>
      </c>
      <c r="B861" s="1456" t="s">
        <v>1086</v>
      </c>
      <c r="C861" s="1451" t="b">
        <f>Page5_BUI_VE!$L$46&lt;&gt;0</f>
        <v>0</v>
      </c>
      <c r="D861" s="1454" t="b">
        <f>OR(AND(Page5_BUI_VE!$L46&lt;&gt;0,Page5_BUI_VE!$M46=0),AND(Page5_BUI_VE!$M46&lt;&gt;0,Page5_BUI_VE!$L46=0))</f>
        <v>0</v>
      </c>
      <c r="E861" s="1454" t="b">
        <f>ROUND(Page5_BUI_VE!L46+ Page5_CAD_VE!L46,2)&lt;&gt;ROUND(Page5_PARCS_GOUV!L13+Page5_PARCS_GOUV!L15+Page5_PARCS_GOUV!L17+Page5_PARCS_GOUV!L49+Page5_PARCS_GOUV!L51+Page5_PARCS_GOUV!L53,2)</f>
        <v>0</v>
      </c>
      <c r="F861" s="1454"/>
      <c r="G861" s="1444" t="str">
        <f t="shared" si="110"/>
        <v/>
      </c>
      <c r="H861" s="1447" t="str">
        <f>IF(C861=TRUE,Comments!$B$23,"")</f>
        <v/>
      </c>
      <c r="I861" s="1446" t="str">
        <f>IF(D861=TRUE,Comments!$B$24,"")</f>
        <v/>
      </c>
      <c r="J861" s="1446" t="str">
        <f>IF(E861=TRUE, Comments!$B$101,"")</f>
        <v/>
      </c>
      <c r="K861" s="1452"/>
      <c r="N861" s="611" t="str">
        <f>"CPTE # "&amp;Page5_BUI_VE!$E$46&amp;"  "&amp;Page5_BUI_VE!$C$46&amp;" - CHIFFRE D'AFFAIRES RÉALISÉ - AAD"</f>
        <v>CPTE # DE PG PARCS  TOTAL PARCS - CAMIONS - CHIFFRE D'AFFAIRES RÉALISÉ - AAD</v>
      </c>
      <c r="O861" s="611" t="str">
        <f t="shared" si="117"/>
        <v/>
      </c>
      <c r="P861" s="611" t="str">
        <f t="shared" si="111"/>
        <v>Page5_BUI_VE!L</v>
      </c>
      <c r="Q861" s="611">
        <f t="shared" si="112"/>
        <v>46</v>
      </c>
      <c r="R861" s="1447">
        <f t="shared" ca="1" si="113"/>
        <v>0</v>
      </c>
      <c r="S861" s="1447">
        <f t="shared" ca="1" si="114"/>
        <v>0</v>
      </c>
      <c r="T861" s="611">
        <v>101</v>
      </c>
      <c r="V861" s="2557" t="str">
        <f t="shared" ca="1" si="115"/>
        <v/>
      </c>
      <c r="W861" s="611" t="str">
        <f t="shared" ca="1" si="116"/>
        <v>Page5_BUI_VE, Ligne 43 [Page5_BUI_VE!L46]  -</v>
      </c>
    </row>
    <row r="862" spans="1:23">
      <c r="A862" s="1443" t="str">
        <f>celladdr(Page5_BUI_VE!N46)</f>
        <v>Page5_BUI_VE!N46</v>
      </c>
      <c r="B862" s="1456" t="s">
        <v>1086</v>
      </c>
      <c r="C862" s="1451"/>
      <c r="D862" s="1454"/>
      <c r="E862" s="1454" t="b">
        <f>ROUND(Page5_BUI_VE!N46+ Page5_CAD_VE!N46,2)&lt;&gt;ROUND(Page5_PARCS_GOUV!N13+Page5_PARCS_GOUV!N15+Page5_PARCS_GOUV!N17+Page5_PARCS_GOUV!N49+Page5_PARCS_GOUV!N51+Page5_PARCS_GOUV!N53,2)</f>
        <v>0</v>
      </c>
      <c r="F862" s="1454"/>
      <c r="G862" s="1444" t="str">
        <f t="shared" si="110"/>
        <v/>
      </c>
      <c r="I862" s="1446"/>
      <c r="J862" s="1446" t="str">
        <f>IF(E862=TRUE, Comments!$B$102,"")</f>
        <v/>
      </c>
      <c r="K862" s="1452"/>
      <c r="N862" s="611" t="str">
        <f>"CPTE # "&amp;Page5_BUI_VE!$E$46&amp;"  "&amp;Page5_BUI_VE!$C$46&amp;" - PROFIT BRUT - AAD"</f>
        <v>CPTE # DE PG PARCS  TOTAL PARCS - CAMIONS - PROFIT BRUT - AAD</v>
      </c>
      <c r="O862" s="611" t="str">
        <f t="shared" si="117"/>
        <v/>
      </c>
      <c r="P862" s="611" t="str">
        <f t="shared" si="111"/>
        <v>Page5_BUI_VE!N</v>
      </c>
      <c r="Q862" s="611">
        <f t="shared" si="112"/>
        <v>46</v>
      </c>
      <c r="R862" s="1447">
        <f t="shared" ca="1" si="113"/>
        <v>0</v>
      </c>
      <c r="S862" s="1447">
        <f t="shared" ca="1" si="114"/>
        <v>0</v>
      </c>
      <c r="T862" s="611">
        <v>102</v>
      </c>
      <c r="V862" s="2557" t="str">
        <f t="shared" ca="1" si="115"/>
        <v/>
      </c>
      <c r="W862" s="611" t="str">
        <f t="shared" ca="1" si="116"/>
        <v>Page5_BUI_VE, Ligne 43 [Page5_BUI_VE!N46]  -</v>
      </c>
    </row>
    <row r="863" spans="1:23">
      <c r="A863" s="1443" t="str">
        <f>celladdr(Page5_BUI_VE!L47)</f>
        <v>Page5_BUI_VE!L47</v>
      </c>
      <c r="B863" s="1456" t="s">
        <v>1086</v>
      </c>
      <c r="C863" s="1451" t="b">
        <f>Page5_BUI_VE!$L$47&lt;&gt;0</f>
        <v>0</v>
      </c>
      <c r="D863" s="1454" t="b">
        <f>OR(AND(Page5_BUI_VE!$L47&lt;&gt;0,Page5_BUI_VE!$M47=0),AND(Page5_BUI_VE!$M47&lt;&gt;0,Page5_BUI_VE!$L47=0))</f>
        <v>0</v>
      </c>
      <c r="E863" s="1454"/>
      <c r="F863" s="1454"/>
      <c r="G863" s="1444" t="str">
        <f t="shared" si="110"/>
        <v/>
      </c>
      <c r="H863" s="1447" t="str">
        <f>IF(C863=TRUE,Comments!$B$23,"")</f>
        <v/>
      </c>
      <c r="I863" s="1446" t="str">
        <f>IF(D863=TRUE,Comments!$B$24,"")</f>
        <v/>
      </c>
      <c r="J863" s="1446"/>
      <c r="K863" s="1452"/>
      <c r="N863" s="611" t="str">
        <f>"CPTE # "&amp;Page5_BUI_VE!$E$47&amp;"  "&amp;Page5_BUI_VE!$C$47&amp;" - CHIFFRE D'AFFAIRES RÉALISÉ - AAD"</f>
        <v>CPTE # 441C  TOTAL IINTERNE - CAMIONS  - CHIFFRE D'AFFAIRES RÉALISÉ - AAD</v>
      </c>
      <c r="O863" s="611" t="str">
        <f>IF(A863=A861,"TRUE","")</f>
        <v/>
      </c>
      <c r="P863" s="611" t="str">
        <f t="shared" si="111"/>
        <v>Page5_BUI_VE!L</v>
      </c>
      <c r="Q863" s="611">
        <f t="shared" si="112"/>
        <v>47</v>
      </c>
      <c r="R863" s="1447">
        <f t="shared" ca="1" si="113"/>
        <v>0</v>
      </c>
      <c r="S863" s="1447">
        <f t="shared" ca="1" si="114"/>
        <v>0</v>
      </c>
      <c r="V863" s="2557" t="str">
        <f t="shared" ca="1" si="115"/>
        <v/>
      </c>
      <c r="W863" s="611" t="str">
        <f t="shared" ca="1" si="116"/>
        <v>Page5_BUI_VE, Ligne 44 [Page5_BUI_VE!L47]  -</v>
      </c>
    </row>
    <row r="864" spans="1:23">
      <c r="A864" s="1443" t="str">
        <f>celladdr(Page5_BUI_VE!L48)</f>
        <v>Page5_BUI_VE!L48</v>
      </c>
      <c r="B864" s="1444" t="s">
        <v>1086</v>
      </c>
      <c r="C864" s="1451"/>
      <c r="D864" s="1454"/>
      <c r="E864" s="1454"/>
      <c r="F864" s="1454"/>
      <c r="G864" s="1444" t="str">
        <f t="shared" si="110"/>
        <v/>
      </c>
      <c r="H864" s="1447" t="str">
        <f>IF(C864=TRUE,Comments!$B$23,"")</f>
        <v/>
      </c>
      <c r="I864" s="1446" t="str">
        <f>IF(D864=TRUE,Comments!$B$24,"")</f>
        <v/>
      </c>
      <c r="J864" s="1446"/>
      <c r="K864" s="1452"/>
      <c r="O864" s="611" t="str">
        <f t="shared" ref="O864:O895" si="118">IF(A864=A863,"TRUE","")</f>
        <v/>
      </c>
      <c r="P864" s="611" t="str">
        <f t="shared" si="111"/>
        <v>Page5_BUI_VE!L</v>
      </c>
      <c r="Q864" s="611">
        <f t="shared" si="112"/>
        <v>48</v>
      </c>
      <c r="R864" s="1447">
        <f t="shared" ca="1" si="113"/>
        <v>0</v>
      </c>
      <c r="S864" s="1447">
        <f t="shared" ca="1" si="114"/>
        <v>0</v>
      </c>
      <c r="V864" s="2557" t="str">
        <f t="shared" ca="1" si="115"/>
        <v/>
      </c>
      <c r="W864" s="611" t="str">
        <f t="shared" ca="1" si="116"/>
        <v>Page5_BUI_VE, Ligne 45 [Page5_BUI_VE!L48]  -</v>
      </c>
    </row>
    <row r="865" spans="1:23">
      <c r="A865" s="1443" t="str">
        <f>celladdr(Page5_BUI_VE!L49)</f>
        <v>Page5_BUI_VE!L49</v>
      </c>
      <c r="B865" s="1456" t="s">
        <v>1086</v>
      </c>
      <c r="C865" s="1451" t="b">
        <f>Page5_BUI_VE!$L$49&lt;&gt;0</f>
        <v>0</v>
      </c>
      <c r="D865" s="1454" t="b">
        <f>OR(AND(Page5_BUI_VE!$L49&lt;&gt;0,Page5_BUI_VE!$M49=0),AND(Page5_BUI_VE!$M49&lt;&gt;0,Page5_BUI_VE!$L49=0))</f>
        <v>0</v>
      </c>
      <c r="E865" s="1454"/>
      <c r="F865" s="1454"/>
      <c r="G865" s="1444" t="str">
        <f t="shared" si="110"/>
        <v/>
      </c>
      <c r="H865" s="1447" t="str">
        <f>IF(C865=TRUE,Comments!$B$23,"")</f>
        <v/>
      </c>
      <c r="I865" s="1446" t="str">
        <f>IF(D865=TRUE,Comments!$B$24,"")</f>
        <v/>
      </c>
      <c r="J865" s="1446"/>
      <c r="K865" s="1452"/>
      <c r="N865" s="611" t="str">
        <f>"CPTE # "&amp;Page5_BUI_VE!$E$49&amp;"  "&amp;Page5_BUI_VE!$C$49&amp;" - CHIFFRE D'AFFAIRES RÉALISÉ - AAD"</f>
        <v>CPTE #      - CHIFFRE D'AFFAIRES RÉALISÉ - AAD</v>
      </c>
      <c r="O865" s="611" t="str">
        <f t="shared" si="118"/>
        <v/>
      </c>
      <c r="P865" s="611" t="str">
        <f t="shared" si="111"/>
        <v>Page5_BUI_VE!L</v>
      </c>
      <c r="Q865" s="611">
        <f t="shared" si="112"/>
        <v>49</v>
      </c>
      <c r="R865" s="1447">
        <f t="shared" ca="1" si="113"/>
        <v>0</v>
      </c>
      <c r="S865" s="1447">
        <f t="shared" ca="1" si="114"/>
        <v>0</v>
      </c>
      <c r="V865" s="2557" t="str">
        <f t="shared" ca="1" si="115"/>
        <v/>
      </c>
      <c r="W865" s="611" t="str">
        <f t="shared" ca="1" si="116"/>
        <v>Page5_BUI_VE, Ligne 46 [Page5_BUI_VE!L49]  -</v>
      </c>
    </row>
    <row r="866" spans="1:23">
      <c r="A866" s="1443" t="str">
        <f>celladdr(Page5_BUI_VE!L50)</f>
        <v>Page5_BUI_VE!L50</v>
      </c>
      <c r="B866" s="1456" t="s">
        <v>1086</v>
      </c>
      <c r="C866" s="1451" t="b">
        <f>Page5_BUI_VE!$L$50&lt;&gt;0</f>
        <v>0</v>
      </c>
      <c r="D866" s="1454" t="b">
        <f>OR(AND(Page5_BUI_VE!$L50&lt;&gt;0,Page5_BUI_VE!$M50=0),AND(Page5_BUI_VE!$M50&lt;&gt;0,Page5_BUI_VE!$L50=0))</f>
        <v>0</v>
      </c>
      <c r="E866" s="1454"/>
      <c r="F866" s="1454"/>
      <c r="G866" s="1444" t="str">
        <f t="shared" si="110"/>
        <v/>
      </c>
      <c r="H866" s="1447" t="str">
        <f>IF(C866=TRUE,Comments!$B$23,"")</f>
        <v/>
      </c>
      <c r="I866" s="1446" t="str">
        <f>IF(D866=TRUE,Comments!$B$24,"")</f>
        <v/>
      </c>
      <c r="J866" s="1446"/>
      <c r="K866" s="1452"/>
      <c r="N866" s="611" t="str">
        <f>"CPTE # "&amp;Page5_BUI_VE!$E$50&amp;"  "&amp;Page5_BUI_VE!$C$50&amp;" - CHIFFRE D'AFFAIRES RÉALISÉ - AAD"</f>
        <v>CPTE # 457C  ACCESSOIRES - CHIFFRE D'AFFAIRES RÉALISÉ - AAD</v>
      </c>
      <c r="O866" s="611" t="str">
        <f t="shared" si="118"/>
        <v/>
      </c>
      <c r="P866" s="611" t="str">
        <f t="shared" si="111"/>
        <v>Page5_BUI_VE!L</v>
      </c>
      <c r="Q866" s="611">
        <f t="shared" si="112"/>
        <v>50</v>
      </c>
      <c r="R866" s="1447">
        <f t="shared" ca="1" si="113"/>
        <v>0</v>
      </c>
      <c r="S866" s="1447">
        <f t="shared" ca="1" si="114"/>
        <v>0</v>
      </c>
      <c r="V866" s="2557" t="str">
        <f t="shared" ca="1" si="115"/>
        <v/>
      </c>
      <c r="W866" s="611" t="str">
        <f t="shared" ca="1" si="116"/>
        <v>Page5_BUI_VE, Ligne 47 [Page5_BUI_VE!L50]  -</v>
      </c>
    </row>
    <row r="867" spans="1:23">
      <c r="A867" s="1443" t="str">
        <f>celladdr(Page5_BUI_VE!M4)</f>
        <v>Page5_BUI_VE!M4</v>
      </c>
      <c r="B867" s="1456" t="s">
        <v>1086</v>
      </c>
      <c r="C867" s="1451" t="b">
        <f>IF(Page5_BUI_VE!$K$4=0,FALSE,OR(Page5_BUI_VE!$M$4/Page5_BUI_VE!$K$4&lt;INDEX(Min_Table,L867),Page5_BUI_VE!$M$4/Page5_BUI_VE!$K$4&gt;INDEX(Max_Table,L867)))</f>
        <v>0</v>
      </c>
      <c r="D867" s="1454" t="b">
        <f>OR(AND(Page5_BUI_VE!$L4&lt;&gt;0,Page5_BUI_VE!$M4=0),AND(Page5_BUI_VE!$M4&lt;&gt;0,Page5_BUI_VE!$L4=0))</f>
        <v>0</v>
      </c>
      <c r="E867" s="1454" t="b">
        <f>IF(Page5_BUI_VE!$K$4=0,FALSE,OR(Page5_BUI_VE!$M$4/Page5_BUI_VE!$K$4&lt;INDEX(Min_Table,M867),Page5_BUI_VE!$M$4/Page5_BUI_VE!$K$4&gt;INDEX(Max_Table,M867)))</f>
        <v>0</v>
      </c>
      <c r="F867" s="1454"/>
      <c r="G867" s="1444" t="str">
        <f t="shared" si="110"/>
        <v/>
      </c>
      <c r="H867" s="1447" t="str">
        <f>IF(C867=TRUE,Comments!$B$20&amp;DOLLAR(INDEX(Min_Table,L867),0)&amp;Comments!$B$18&amp;DOLLAR(INDEX(Max_Table,L867),0)&amp;Comments!$B$19&amp;DOLLAR(IFERROR(Page5_BUI_VE!$M$4/Page5_BUI_VE!$K$4,0),0),"")</f>
        <v/>
      </c>
      <c r="I867" s="1446" t="str">
        <f>IF(D867=TRUE,Comments!$B$24,"")</f>
        <v/>
      </c>
      <c r="J867" s="1446" t="str">
        <f>IF(E867=TRUE,Comments!$B$22&amp;DOLLAR(INDEX(Min_Table,M867),0)&amp;Comments!$B$18&amp;DOLLAR(INDEX(Max_Table,M867),0)&amp;Comments!$B$19&amp;IFERROR(DOLLAR(Page5_BUI_VE!$M$4/Page5_BUI_VE!$K$4,0),0),"")</f>
        <v/>
      </c>
      <c r="K867" s="1452"/>
      <c r="L867" s="611">
        <f>ROW(OR_VEH!$A$667)</f>
        <v>667</v>
      </c>
      <c r="M867" s="611">
        <f>ROW(OR_VEH!$A$103)</f>
        <v>103</v>
      </c>
      <c r="N867" s="611" t="str">
        <f>"CPTE # "&amp;Page5_BUI_VE!$E$4&amp;"  "&amp;Page5_BUI_VE!$C$4&amp;" - COÛT DES VENTES - AAD"</f>
        <v>CPTE # 400C  NE PAS UTILISER - COÛT DES VENTES - AAD</v>
      </c>
      <c r="O867" s="611" t="str">
        <f t="shared" si="118"/>
        <v/>
      </c>
      <c r="P867" s="611" t="str">
        <f t="shared" si="111"/>
        <v>Page5_BUI_VE!M</v>
      </c>
      <c r="Q867" s="611">
        <f t="shared" si="112"/>
        <v>4</v>
      </c>
      <c r="R867" s="1447">
        <f t="shared" ca="1" si="113"/>
        <v>0</v>
      </c>
      <c r="S867" s="1447">
        <f t="shared" ca="1" si="114"/>
        <v>0</v>
      </c>
      <c r="T867" s="611">
        <v>22</v>
      </c>
      <c r="V867" s="2557" t="str">
        <f t="shared" ca="1" si="115"/>
        <v/>
      </c>
      <c r="W867" s="611" t="str">
        <f t="shared" ca="1" si="116"/>
        <v>Page5_BUI_VE, Ligne 1 [Page5_BUI_VE!M4]  -</v>
      </c>
    </row>
    <row r="868" spans="1:23">
      <c r="A868" s="1443" t="str">
        <f>celladdr(Page5_BUI_VE!M5)</f>
        <v>Page5_BUI_VE!M5</v>
      </c>
      <c r="B868" s="1456" t="s">
        <v>1086</v>
      </c>
      <c r="C868" s="1451" t="b">
        <f>IF(Page5_BUI_VE!$K$5=0,FALSE,OR(Page5_BUI_VE!$M$5/Page5_BUI_VE!$K$5&lt;INDEX(Min_Table,L868),Page5_BUI_VE!$M$5/Page5_BUI_VE!$K$5&gt;INDEX(Max_Table,L868)))</f>
        <v>0</v>
      </c>
      <c r="D868" s="1454" t="b">
        <f>OR(AND(Page5_BUI_VE!$L5&lt;&gt;0,Page5_BUI_VE!$M5=0),AND(Page5_BUI_VE!$M5&lt;&gt;0,Page5_BUI_VE!$L5=0))</f>
        <v>0</v>
      </c>
      <c r="E868" s="1454" t="b">
        <f>IF(Page5_BUI_VE!$K$5=0,FALSE,OR(Page5_BUI_VE!$M$5/Page5_BUI_VE!$K$5&lt;INDEX(Min_Table,M868),Page5_BUI_VE!$M$5/Page5_BUI_VE!$K$5&gt;INDEX(Max_Table,M868)))</f>
        <v>0</v>
      </c>
      <c r="F868" s="1454"/>
      <c r="G868" s="1444" t="str">
        <f t="shared" si="110"/>
        <v/>
      </c>
      <c r="H868" s="1447" t="str">
        <f>IF(C868=TRUE,Comments!$B$20&amp;DOLLAR(INDEX(Min_Table,L868),0)&amp;Comments!$B$18&amp;DOLLAR(INDEX(Max_Table,L868),0)&amp;Comments!$B$19&amp;DOLLAR(Page5_BUI_VE!$M$5/Page5_BUI_VE!$K$5,0),"")</f>
        <v/>
      </c>
      <c r="I868" s="1446" t="str">
        <f>IF(D868=TRUE,Comments!$B$24,"")</f>
        <v/>
      </c>
      <c r="J868" s="1446" t="str">
        <f>IF(E868=TRUE,Comments!$B$22&amp;DOLLAR(INDEX(Min_Table,M868),0)&amp;Comments!$B$18&amp;DOLLAR(INDEX(Max_Table,M868),0)&amp;Comments!$B$19&amp;IFERROR(DOLLAR(Page5_BUI_VE!$M$5/Page5_BUI_VE!$K$5,0),0),"")</f>
        <v/>
      </c>
      <c r="K868" s="1452"/>
      <c r="L868" s="611">
        <f>ROW(OR_VEH!$A$667)</f>
        <v>667</v>
      </c>
      <c r="M868" s="611">
        <f>ROW(OR_VEH!$A$104)</f>
        <v>104</v>
      </c>
      <c r="N868" s="611" t="str">
        <f>"CPTE # "&amp;Page5_BUI_VE!$E$5&amp;"  "&amp;Page5_BUI_VE!$C$5&amp;" - COÛT DES VENTES - AAD"</f>
        <v>CPTE # 401C  NE PAS UTILISER - COÛT DES VENTES - AAD</v>
      </c>
      <c r="O868" s="611" t="str">
        <f t="shared" si="118"/>
        <v/>
      </c>
      <c r="P868" s="611" t="str">
        <f t="shared" si="111"/>
        <v>Page5_BUI_VE!M</v>
      </c>
      <c r="Q868" s="611">
        <f t="shared" si="112"/>
        <v>5</v>
      </c>
      <c r="R868" s="1447">
        <f t="shared" ca="1" si="113"/>
        <v>0</v>
      </c>
      <c r="S868" s="1447">
        <f t="shared" ca="1" si="114"/>
        <v>0</v>
      </c>
      <c r="T868" s="611">
        <v>22</v>
      </c>
      <c r="V868" s="2557" t="str">
        <f t="shared" ca="1" si="115"/>
        <v/>
      </c>
      <c r="W868" s="611" t="str">
        <f t="shared" ca="1" si="116"/>
        <v>Page5_BUI_VE, Ligne 2 [Page5_BUI_VE!M5]  -</v>
      </c>
    </row>
    <row r="869" spans="1:23">
      <c r="A869" s="1443" t="str">
        <f>celladdr(Page5_BUI_VE!M6)</f>
        <v>Page5_BUI_VE!M6</v>
      </c>
      <c r="B869" s="1456" t="s">
        <v>1086</v>
      </c>
      <c r="C869" s="1451" t="b">
        <f>IF(Page5_BUI_VE!$K$6=0,FALSE,OR(Page5_BUI_VE!$M$6/Page5_BUI_VE!$K$6&lt;INDEX(Min_Table,L869),Page5_BUI_VE!$M$6/Page5_BUI_VE!$K$6&gt;INDEX(Max_Table,L869)))</f>
        <v>0</v>
      </c>
      <c r="D869" s="1454" t="b">
        <f>OR(AND(Page5_BUI_VE!$L6&lt;&gt;0,Page5_BUI_VE!$M6=0),AND(Page5_BUI_VE!$M6&lt;&gt;0,Page5_BUI_VE!$L6=0))</f>
        <v>0</v>
      </c>
      <c r="E869" s="1454" t="b">
        <f>IF(Page5_BUI_VE!$K$6=0,FALSE,OR(Page5_BUI_VE!$M$6/Page5_BUI_VE!$K$6&lt;INDEX(Min_Table,M869),Page5_BUI_VE!$M$6/Page5_BUI_VE!$K$6&gt;INDEX(Max_Table,M869)))</f>
        <v>0</v>
      </c>
      <c r="F869" s="1454"/>
      <c r="G869" s="1444" t="str">
        <f t="shared" si="110"/>
        <v/>
      </c>
      <c r="H869" s="1447" t="str">
        <f>IF(C869=TRUE,Comments!$B$20&amp;DOLLAR(INDEX(Min_Table,L869),0)&amp;Comments!$B$18&amp;DOLLAR(INDEX(Max_Table,L869),0)&amp;Comments!$B$19&amp;DOLLAR(Page5_BUI_VE!$M$6/Page5_BUI_VE!$K$6,0),"")</f>
        <v/>
      </c>
      <c r="I869" s="1446" t="str">
        <f>IF(D869=TRUE,Comments!$B$24,"")</f>
        <v/>
      </c>
      <c r="J869" s="1446" t="str">
        <f>IF(E869=TRUE,Comments!$B$22&amp;DOLLAR(INDEX(Min_Table,M869),0)&amp;Comments!$B$18&amp;DOLLAR(INDEX(Max_Table,M869),0)&amp;Comments!$B$19&amp;IFERROR(DOLLAR(Page5_BUI_VE!$M$6/Page5_BUI_VE!$K$6,0),0),"")</f>
        <v/>
      </c>
      <c r="K869" s="1452"/>
      <c r="L869" s="611">
        <f>ROW(OR_VEH!$A$667)</f>
        <v>667</v>
      </c>
      <c r="M869" s="611">
        <f>ROW(OR_VEH!$A$105)</f>
        <v>105</v>
      </c>
      <c r="N869" s="611" t="str">
        <f>"CPTE # "&amp;Page5_BUI_VE!$E$6&amp;"  "&amp;Page5_BUI_VE!$C$6&amp;" - COÛT DES VENTES - AAD"</f>
        <v>CPTE # 402C  NE PAS UTILISER - COÛT DES VENTES - AAD</v>
      </c>
      <c r="O869" s="611" t="str">
        <f t="shared" si="118"/>
        <v/>
      </c>
      <c r="P869" s="611" t="str">
        <f t="shared" si="111"/>
        <v>Page5_BUI_VE!M</v>
      </c>
      <c r="Q869" s="611">
        <f t="shared" si="112"/>
        <v>6</v>
      </c>
      <c r="R869" s="1447">
        <f t="shared" ca="1" si="113"/>
        <v>0</v>
      </c>
      <c r="S869" s="1447">
        <f t="shared" ca="1" si="114"/>
        <v>0</v>
      </c>
      <c r="T869" s="611">
        <v>22</v>
      </c>
      <c r="V869" s="2557" t="str">
        <f t="shared" ca="1" si="115"/>
        <v/>
      </c>
      <c r="W869" s="611" t="str">
        <f t="shared" ca="1" si="116"/>
        <v>Page5_BUI_VE, Ligne 3 [Page5_BUI_VE!M6]  -</v>
      </c>
    </row>
    <row r="870" spans="1:23">
      <c r="A870" s="1443" t="str">
        <f>celladdr(Page5_BUI_VE!M7)</f>
        <v>Page5_BUI_VE!M7</v>
      </c>
      <c r="B870" s="1456" t="s">
        <v>1086</v>
      </c>
      <c r="C870" s="1451" t="b">
        <f>IF(Page5_BUI_VE!$K$7=0,FALSE,OR(Page5_BUI_VE!$M$7/Page5_BUI_VE!$K$7&lt;INDEX(Min_Table,L870),Page5_BUI_VE!$M$7/Page5_BUI_VE!$K$7&gt;INDEX(Max_Table,L870)))</f>
        <v>0</v>
      </c>
      <c r="D870" s="1454" t="b">
        <f>OR(AND(Page5_BUI_VE!$L7&lt;&gt;0,Page5_BUI_VE!$M7=0),AND(Page5_BUI_VE!$M7&lt;&gt;0,Page5_BUI_VE!$L7=0))</f>
        <v>0</v>
      </c>
      <c r="E870" s="1454" t="b">
        <f>IF(Page5_BUI_VE!$K$7=0,FALSE,OR(Page5_BUI_VE!$M$7/Page5_BUI_VE!$K$7&lt;INDEX(Min_Table,M870),Page5_BUI_VE!$M$7/Page5_BUI_VE!$K$7&gt;INDEX(Max_Table,M870)))</f>
        <v>0</v>
      </c>
      <c r="F870" s="1454"/>
      <c r="G870" s="1444" t="str">
        <f t="shared" si="110"/>
        <v/>
      </c>
      <c r="H870" s="1447" t="str">
        <f>IF(C870=TRUE,Comments!$B$20&amp;DOLLAR(INDEX(Min_Table,L870),0)&amp;Comments!$B$18&amp;DOLLAR(INDEX(Max_Table,L870),0)&amp;Comments!$B$19&amp;DOLLAR(Page5_BUI_VE!$M$7/Page5_BUI_VE!$K$7,0),"")</f>
        <v/>
      </c>
      <c r="I870" s="1446" t="str">
        <f>IF(D870=TRUE,Comments!$B$24,"")</f>
        <v/>
      </c>
      <c r="J870" s="1446" t="str">
        <f>IF(E870=TRUE,Comments!$B$22&amp;DOLLAR(INDEX(Min_Table,M870),0)&amp;Comments!$B$18&amp;DOLLAR(INDEX(Max_Table,M870),0)&amp;Comments!$B$19&amp;IFERROR(DOLLAR(Page5_BUI_VE!$M$7/Page5_BUI_VE!$K$7,0),0),"")</f>
        <v/>
      </c>
      <c r="K870" s="1452"/>
      <c r="L870" s="611">
        <f>ROW(OR_VEH!$A$667)</f>
        <v>667</v>
      </c>
      <c r="M870" s="611">
        <f>ROW(OR_VEH!$A$106)</f>
        <v>106</v>
      </c>
      <c r="N870" s="611" t="str">
        <f>"CPTE # "&amp;Page5_BUI_VE!$E$7&amp;"  "&amp;Page5_BUI_VE!$C$7&amp;" - COÛT DES VENTES - AAD"</f>
        <v>CPTE # 403C  NE PAS UTILISER - COÛT DES VENTES - AAD</v>
      </c>
      <c r="O870" s="611" t="str">
        <f t="shared" si="118"/>
        <v/>
      </c>
      <c r="P870" s="611" t="str">
        <f t="shared" si="111"/>
        <v>Page5_BUI_VE!M</v>
      </c>
      <c r="Q870" s="611">
        <f t="shared" si="112"/>
        <v>7</v>
      </c>
      <c r="R870" s="1447">
        <f t="shared" ca="1" si="113"/>
        <v>0</v>
      </c>
      <c r="S870" s="1447">
        <f t="shared" ca="1" si="114"/>
        <v>0</v>
      </c>
      <c r="T870" s="611">
        <v>22</v>
      </c>
      <c r="V870" s="2557" t="str">
        <f t="shared" ca="1" si="115"/>
        <v/>
      </c>
      <c r="W870" s="611" t="str">
        <f t="shared" ca="1" si="116"/>
        <v>Page5_BUI_VE, Ligne 4 [Page5_BUI_VE!M7]  -</v>
      </c>
    </row>
    <row r="871" spans="1:23">
      <c r="A871" s="1443" t="str">
        <f>celladdr(Page5_BUI_VE!M8)</f>
        <v>Page5_BUI_VE!M8</v>
      </c>
      <c r="B871" s="1456" t="s">
        <v>1086</v>
      </c>
      <c r="C871" s="1451" t="b">
        <f>IF(Page5_BUI_VE!$K$8=0,FALSE,OR(Page5_BUI_VE!$M$8/Page5_BUI_VE!$K$8&lt;INDEX(Min_Table,L871),Page5_BUI_VE!$M$8/Page5_BUI_VE!$K$8&gt;INDEX(Max_Table,L871)))</f>
        <v>0</v>
      </c>
      <c r="D871" s="1454" t="b">
        <f>OR(AND(Page5_BUI_VE!$L8&lt;&gt;0,Page5_BUI_VE!$M8=0),AND(Page5_BUI_VE!$M8&lt;&gt;0,Page5_BUI_VE!$L8=0))</f>
        <v>0</v>
      </c>
      <c r="E871" s="1454" t="b">
        <f>IF(Page5_BUI_VE!$K$8=0,FALSE,OR(Page5_BUI_VE!$M$8/Page5_BUI_VE!$K$8&lt;INDEX(Min_Table,M871),Page5_BUI_VE!$M$8/Page5_BUI_VE!$K$8&gt;INDEX(Max_Table,M871)))</f>
        <v>0</v>
      </c>
      <c r="F871" s="1454"/>
      <c r="G871" s="1444" t="str">
        <f t="shared" si="110"/>
        <v/>
      </c>
      <c r="H871" s="1447" t="str">
        <f>IF(C871=TRUE,Comments!$B$20&amp;DOLLAR(INDEX(Min_Table,L871),0)&amp;Comments!$B$18&amp;DOLLAR(INDEX(Max_Table,L871),0)&amp;Comments!$B$19&amp;DOLLAR(Page5_BUI_VE!$M$8/Page5_BUI_VE!$K$8,0),"")</f>
        <v/>
      </c>
      <c r="I871" s="1446" t="str">
        <f>IF(D871=TRUE,Comments!$B$24,"")</f>
        <v/>
      </c>
      <c r="J871" s="1446" t="str">
        <f>IF(E871=TRUE,Comments!$B$22&amp;DOLLAR(INDEX(Min_Table,M871),0)&amp;Comments!$B$18&amp;DOLLAR(INDEX(Max_Table,M871),0)&amp;Comments!$B$19&amp;IFERROR(DOLLAR(Page5_BUI_VE!$M$8/Page5_BUI_VE!$K$8,0),0),"")</f>
        <v/>
      </c>
      <c r="K871" s="1452"/>
      <c r="L871" s="611">
        <f>ROW(OR_VEH!$A$667)</f>
        <v>667</v>
      </c>
      <c r="M871" s="611">
        <f>ROW(OR_VEH!$A$107)</f>
        <v>107</v>
      </c>
      <c r="N871" s="611" t="str">
        <f>"CPTE # "&amp;Page5_BUI_VE!$E$8&amp;"  "&amp;Page5_BUI_VE!$C$8&amp;" - COÛT DES VENTES - AAD"</f>
        <v>CPTE # 404C  NE PAS UTILISER - COÛT DES VENTES - AAD</v>
      </c>
      <c r="O871" s="611" t="str">
        <f t="shared" si="118"/>
        <v/>
      </c>
      <c r="P871" s="611" t="str">
        <f t="shared" si="111"/>
        <v>Page5_BUI_VE!M</v>
      </c>
      <c r="Q871" s="611">
        <f t="shared" si="112"/>
        <v>8</v>
      </c>
      <c r="R871" s="1447">
        <f t="shared" ca="1" si="113"/>
        <v>0</v>
      </c>
      <c r="S871" s="1447">
        <f t="shared" ca="1" si="114"/>
        <v>0</v>
      </c>
      <c r="T871" s="611">
        <v>22</v>
      </c>
      <c r="V871" s="2557" t="str">
        <f t="shared" ca="1" si="115"/>
        <v/>
      </c>
      <c r="W871" s="611" t="str">
        <f t="shared" ca="1" si="116"/>
        <v>Page5_BUI_VE, Ligne 5 [Page5_BUI_VE!M8]  -</v>
      </c>
    </row>
    <row r="872" spans="1:23">
      <c r="A872" s="1443" t="str">
        <f>celladdr(Page5_BUI_VE!M9)</f>
        <v>Page5_BUI_VE!M9</v>
      </c>
      <c r="B872" s="1456" t="s">
        <v>1086</v>
      </c>
      <c r="C872" s="1451" t="b">
        <f>IF(Page5_BUI_VE!$K$9=0,FALSE,OR(Page5_BUI_VE!$M$9/Page5_BUI_VE!$K$9&lt;INDEX(Min_Table,L872),Page5_BUI_VE!$M$9/Page5_BUI_VE!$K$9&gt;INDEX(Max_Table,L872)))</f>
        <v>0</v>
      </c>
      <c r="D872" s="1454" t="b">
        <f>OR(AND(Page5_BUI_VE!$L9&lt;&gt;0,Page5_BUI_VE!$M9=0),AND(Page5_BUI_VE!$M9&lt;&gt;0,Page5_BUI_VE!$L9=0))</f>
        <v>0</v>
      </c>
      <c r="E872" s="1454" t="b">
        <f>IF(Page5_BUI_VE!$K$9=0,FALSE,OR(Page5_BUI_VE!$M$9/Page5_BUI_VE!$K$9&lt;INDEX(Min_Table,M872),Page5_BUI_VE!$M$9/Page5_BUI_VE!$K$9&gt;INDEX(Max_Table,M872)))</f>
        <v>0</v>
      </c>
      <c r="F872" s="1454"/>
      <c r="G872" s="1444" t="str">
        <f t="shared" si="110"/>
        <v/>
      </c>
      <c r="H872" s="1447" t="str">
        <f>IF(C872=TRUE,Comments!$B$20&amp;DOLLAR(INDEX(Min_Table,L872),0)&amp;Comments!$B$18&amp;DOLLAR(INDEX(Max_Table,L872),0)&amp;Comments!$B$19&amp;DOLLAR(Page5_BUI_VE!$M$9/Page5_BUI_VE!$K$9,0),"")</f>
        <v/>
      </c>
      <c r="I872" s="1446" t="str">
        <f>IF(D872=TRUE,Comments!$B$24,"")</f>
        <v/>
      </c>
      <c r="J872" s="1446" t="str">
        <f>IF(E872=TRUE,Comments!$B$22&amp;DOLLAR(INDEX(Min_Table,M872),0)&amp;Comments!$B$18&amp;DOLLAR(INDEX(Max_Table,M872),0)&amp;Comments!$B$19&amp;IFERROR(DOLLAR(Page5_BUI_VE!$M$9/Page5_BUI_VE!$K$9,0),0),"")</f>
        <v/>
      </c>
      <c r="K872" s="1452"/>
      <c r="L872" s="611">
        <f>ROW(OR_VEH!$A$667)</f>
        <v>667</v>
      </c>
      <c r="M872" s="611">
        <f>ROW(OR_VEH!$A$108)</f>
        <v>108</v>
      </c>
      <c r="N872" s="611" t="str">
        <f>"CPTE # "&amp;Page5_BUI_VE!$E$9&amp;"  "&amp;Page5_BUI_VE!$C$9&amp;" - COÛT DES VENTES - AAD"</f>
        <v>CPTE # 405C  NE PAS UTILISER - COÛT DES VENTES - AAD</v>
      </c>
      <c r="O872" s="611" t="str">
        <f t="shared" si="118"/>
        <v/>
      </c>
      <c r="P872" s="611" t="str">
        <f t="shared" si="111"/>
        <v>Page5_BUI_VE!M</v>
      </c>
      <c r="Q872" s="611">
        <f t="shared" si="112"/>
        <v>9</v>
      </c>
      <c r="R872" s="1447">
        <f t="shared" ca="1" si="113"/>
        <v>0</v>
      </c>
      <c r="S872" s="1447">
        <f t="shared" ca="1" si="114"/>
        <v>0</v>
      </c>
      <c r="T872" s="611">
        <v>22</v>
      </c>
      <c r="V872" s="2557" t="str">
        <f t="shared" ca="1" si="115"/>
        <v/>
      </c>
      <c r="W872" s="611" t="str">
        <f t="shared" ca="1" si="116"/>
        <v>Page5_BUI_VE, Ligne 6 [Page5_BUI_VE!M9]  -</v>
      </c>
    </row>
    <row r="873" spans="1:23">
      <c r="A873" s="1443" t="str">
        <f>celladdr(Page5_BUI_VE!M10)</f>
        <v>Page5_BUI_VE!M10</v>
      </c>
      <c r="B873" s="1456" t="s">
        <v>1086</v>
      </c>
      <c r="C873" s="1451" t="b">
        <f>IF(Page5_BUI_VE!$K$10=0,FALSE,OR(Page5_BUI_VE!$M$10/Page5_BUI_VE!$K$10&lt;INDEX(Min_Table,L873),Page5_BUI_VE!$M$10/Page5_BUI_VE!$K$10&gt;INDEX(Max_Table,L873)))</f>
        <v>0</v>
      </c>
      <c r="D873" s="1454" t="b">
        <f>OR(AND(Page5_BUI_VE!$L10&lt;&gt;0,Page5_BUI_VE!$M10=0),AND(Page5_BUI_VE!$M10&lt;&gt;0,Page5_BUI_VE!$L10=0))</f>
        <v>0</v>
      </c>
      <c r="E873" s="1454" t="b">
        <f>IF(Page5_BUI_VE!$K$10=0,FALSE,OR(Page5_BUI_VE!$M$10/Page5_BUI_VE!$K$10&lt;INDEX(Min_Table,M873),Page5_BUI_VE!$M$10/Page5_BUI_VE!$K$10&gt;INDEX(Max_Table,M873)))</f>
        <v>0</v>
      </c>
      <c r="F873" s="1454"/>
      <c r="G873" s="1444" t="str">
        <f t="shared" si="110"/>
        <v/>
      </c>
      <c r="H873" s="1447" t="str">
        <f>IF(C873=TRUE,Comments!$B$20&amp;DOLLAR(INDEX(Min_Table,L873),0)&amp;Comments!$B$18&amp;DOLLAR(INDEX(Max_Table,L873),0)&amp;Comments!$B$19&amp;DOLLAR(Page5_BUI_VE!$M$10/Page5_BUI_VE!$K$10,0),"")</f>
        <v/>
      </c>
      <c r="I873" s="1446" t="str">
        <f>IF(D873=TRUE,Comments!$B$24,"")</f>
        <v/>
      </c>
      <c r="J873" s="1446" t="str">
        <f>IF(E873=TRUE,Comments!$B$22&amp;DOLLAR(INDEX(Min_Table,M873),0)&amp;Comments!$B$18&amp;DOLLAR(INDEX(Max_Table,M873),0)&amp;Comments!$B$19&amp;IFERROR(DOLLAR(Page5_BUI_VE!$M$10/Page5_BUI_VE!$K$10,0),0),"")</f>
        <v/>
      </c>
      <c r="K873" s="1452"/>
      <c r="L873" s="611">
        <f>ROW(OR_VEH!$A$667)</f>
        <v>667</v>
      </c>
      <c r="M873" s="611">
        <f>ROW(OR_VEH!$A$109)</f>
        <v>109</v>
      </c>
      <c r="N873" s="611" t="str">
        <f>"CPTE # "&amp;Page5_BUI_VE!$E$10&amp;"  "&amp;Page5_BUI_VE!$C$10&amp;" - COÛT DES VENTES - AAD"</f>
        <v>CPTE # 406C  NE PAS UTILISER - COÛT DES VENTES - AAD</v>
      </c>
      <c r="O873" s="611" t="str">
        <f t="shared" si="118"/>
        <v/>
      </c>
      <c r="P873" s="611" t="str">
        <f t="shared" si="111"/>
        <v>Page5_BUI_VE!M</v>
      </c>
      <c r="Q873" s="611">
        <f t="shared" si="112"/>
        <v>10</v>
      </c>
      <c r="R873" s="1447">
        <f t="shared" ca="1" si="113"/>
        <v>0</v>
      </c>
      <c r="S873" s="1447">
        <f t="shared" ca="1" si="114"/>
        <v>0</v>
      </c>
      <c r="T873" s="611">
        <v>22</v>
      </c>
      <c r="V873" s="2557" t="str">
        <f t="shared" ca="1" si="115"/>
        <v/>
      </c>
      <c r="W873" s="611" t="str">
        <f t="shared" ca="1" si="116"/>
        <v>Page5_BUI_VE, Ligne 7 [Page5_BUI_VE!M10]  -</v>
      </c>
    </row>
    <row r="874" spans="1:23">
      <c r="A874" s="1443" t="str">
        <f>celladdr(Page5_BUI_VE!M11)</f>
        <v>Page5_BUI_VE!M11</v>
      </c>
      <c r="B874" s="1456" t="s">
        <v>1086</v>
      </c>
      <c r="C874" s="1451" t="b">
        <f>IF(Page5_BUI_VE!$K$11=0,FALSE,OR(Page5_BUI_VE!$M$11/Page5_BUI_VE!$K$11&lt;INDEX(Min_Table,L874),Page5_BUI_VE!$M$11/Page5_BUI_VE!$K$11&gt;INDEX(Max_Table,L874)))</f>
        <v>0</v>
      </c>
      <c r="D874" s="1454" t="b">
        <f>OR(AND(Page5_BUI_VE!$L11&lt;&gt;0,Page5_BUI_VE!$M11=0),AND(Page5_BUI_VE!$M11&lt;&gt;0,Page5_BUI_VE!$L11=0))</f>
        <v>0</v>
      </c>
      <c r="E874" s="1454" t="b">
        <f>IF(Page5_BUI_VE!$K$11=0,FALSE,OR(Page5_BUI_VE!$M$11/Page5_BUI_VE!$K$11&lt;INDEX(Min_Table,M874),Page5_BUI_VE!$M$11/Page5_BUI_VE!$K$11&gt;INDEX(Max_Table,M874)))</f>
        <v>0</v>
      </c>
      <c r="F874" s="1454"/>
      <c r="G874" s="1444" t="str">
        <f t="shared" si="110"/>
        <v/>
      </c>
      <c r="H874" s="1447" t="str">
        <f>IF(C874=TRUE,Comments!$B$20&amp;DOLLAR(INDEX(Min_Table,L874),0)&amp;Comments!$B$18&amp;DOLLAR(INDEX(Max_Table,L874),0)&amp;Comments!$B$19&amp;DOLLAR(Page5_BUI_VE!$M$11/Page5_BUI_VE!$K$11,0),"")</f>
        <v/>
      </c>
      <c r="I874" s="1446" t="str">
        <f>IF(D874=TRUE,Comments!$B$24,"")</f>
        <v/>
      </c>
      <c r="J874" s="1446" t="str">
        <f>IF(E874=TRUE,Comments!$B$22&amp;DOLLAR(INDEX(Min_Table,M874),0)&amp;Comments!$B$18&amp;DOLLAR(INDEX(Max_Table,M874),0)&amp;Comments!$B$19&amp;IFERROR(DOLLAR(Page5_BUI_VE!$M$11/Page5_BUI_VE!$K$11,0),0),"")</f>
        <v/>
      </c>
      <c r="K874" s="1452"/>
      <c r="L874" s="611">
        <f>ROW(OR_VEH!$A$667)</f>
        <v>667</v>
      </c>
      <c r="M874" s="611">
        <f>ROW(OR_VEH!$A$110)</f>
        <v>110</v>
      </c>
      <c r="N874" s="611" t="str">
        <f>"CPTE # "&amp;Page5_BUI_VE!$E$11&amp;"  "&amp;Page5_BUI_VE!$C$11&amp;" - COÛT DES VENTES - AAD"</f>
        <v>CPTE # 407C  NE PAS UTILISER - COÛT DES VENTES - AAD</v>
      </c>
      <c r="O874" s="611" t="str">
        <f t="shared" si="118"/>
        <v/>
      </c>
      <c r="P874" s="611" t="str">
        <f t="shared" si="111"/>
        <v>Page5_BUI_VE!M</v>
      </c>
      <c r="Q874" s="611">
        <f t="shared" si="112"/>
        <v>11</v>
      </c>
      <c r="R874" s="1447">
        <f t="shared" ca="1" si="113"/>
        <v>0</v>
      </c>
      <c r="S874" s="1447">
        <f t="shared" ca="1" si="114"/>
        <v>0</v>
      </c>
      <c r="T874" s="611">
        <v>22</v>
      </c>
      <c r="V874" s="2557" t="str">
        <f t="shared" ca="1" si="115"/>
        <v/>
      </c>
      <c r="W874" s="611" t="str">
        <f t="shared" ca="1" si="116"/>
        <v>Page5_BUI_VE, Ligne 8 [Page5_BUI_VE!M11]  -</v>
      </c>
    </row>
    <row r="875" spans="1:23">
      <c r="A875" s="1443" t="str">
        <f>celladdr(Page5_BUI_VE!M12)</f>
        <v>Page5_BUI_VE!M12</v>
      </c>
      <c r="B875" s="1456" t="s">
        <v>1086</v>
      </c>
      <c r="C875" s="1451" t="b">
        <f>IF(Page5_BUI_VE!$K$12=0,FALSE,OR(Page5_BUI_VE!$M$12/Page5_BUI_VE!$K$12&lt;INDEX(Min_Table,L875),Page5_BUI_VE!$M$12/Page5_BUI_VE!$K$12&gt;INDEX(Max_Table,L875)))</f>
        <v>0</v>
      </c>
      <c r="D875" s="1454" t="b">
        <f>OR(AND(Page5_BUI_VE!$L12&lt;&gt;0,Page5_BUI_VE!$M12=0),AND(Page5_BUI_VE!$M12&lt;&gt;0,Page5_BUI_VE!$L12=0))</f>
        <v>0</v>
      </c>
      <c r="E875" s="1454" t="b">
        <f>IF(Page5_BUI_VE!$K$12=0,FALSE,OR(Page5_BUI_VE!$M$12/Page5_BUI_VE!$K$12&lt;INDEX(Min_Table,M875),Page5_BUI_VE!$M$12/Page5_BUI_VE!$K$12&gt;INDEX(Max_Table,M875)))</f>
        <v>0</v>
      </c>
      <c r="F875" s="1454"/>
      <c r="G875" s="1444" t="str">
        <f t="shared" si="110"/>
        <v/>
      </c>
      <c r="H875" s="1447" t="str">
        <f>IF(C875=TRUE,Comments!$B$20&amp;DOLLAR(INDEX(Min_Table,L875),0)&amp;Comments!$B$18&amp;DOLLAR(INDEX(Max_Table,L875),0)&amp;Comments!$B$19&amp;DOLLAR(Page5_BUI_VE!$M$12/Page5_BUI_VE!$K$12,0),"")</f>
        <v/>
      </c>
      <c r="I875" s="1446" t="str">
        <f>IF(D875=TRUE,Comments!$B$24,"")</f>
        <v/>
      </c>
      <c r="J875" s="1446" t="str">
        <f>IF(E875=TRUE,Comments!$B$22&amp;DOLLAR(INDEX(Min_Table,M875),0)&amp;Comments!$B$18&amp;DOLLAR(INDEX(Max_Table,M875),0)&amp;Comments!$B$19&amp;IFERROR(DOLLAR(Page5_BUI_VE!$M$12/Page5_BUI_VE!$K$12,0),0),"")</f>
        <v/>
      </c>
      <c r="K875" s="1452"/>
      <c r="L875" s="611">
        <f>ROW(OR_VEH!$A$667)</f>
        <v>667</v>
      </c>
      <c r="M875" s="611">
        <f>ROW(OR_VEH!$A$111)</f>
        <v>111</v>
      </c>
      <c r="N875" s="611" t="str">
        <f>"CPTE # "&amp;Page5_BUI_VE!$E$12&amp;"  "&amp;Page5_BUI_VE!$C$12&amp;" - COÛT DES VENTES - AAD"</f>
        <v>CPTE # 408C  NE PAS UTILISER - COÛT DES VENTES - AAD</v>
      </c>
      <c r="O875" s="611" t="str">
        <f t="shared" si="118"/>
        <v/>
      </c>
      <c r="P875" s="611" t="str">
        <f t="shared" si="111"/>
        <v>Page5_BUI_VE!M</v>
      </c>
      <c r="Q875" s="611">
        <f t="shared" si="112"/>
        <v>12</v>
      </c>
      <c r="R875" s="1447">
        <f t="shared" ca="1" si="113"/>
        <v>0</v>
      </c>
      <c r="S875" s="1447">
        <f t="shared" ca="1" si="114"/>
        <v>0</v>
      </c>
      <c r="T875" s="611">
        <v>22</v>
      </c>
      <c r="V875" s="2557" t="str">
        <f t="shared" ca="1" si="115"/>
        <v/>
      </c>
      <c r="W875" s="611" t="str">
        <f t="shared" ca="1" si="116"/>
        <v>Page5_BUI_VE, Ligne 9 [Page5_BUI_VE!M12]  -</v>
      </c>
    </row>
    <row r="876" spans="1:23">
      <c r="A876" s="1443" t="str">
        <f>celladdr(Page5_BUI_VE!M13)</f>
        <v>Page5_BUI_VE!M13</v>
      </c>
      <c r="B876" s="1456" t="s">
        <v>1086</v>
      </c>
      <c r="C876" s="1451" t="b">
        <f>IF(Page5_BUI_VE!$K$13=0,FALSE,OR(Page5_BUI_VE!$M$13/Page5_BUI_VE!$K$13&lt;INDEX(Min_Table,L876),Page5_BUI_VE!$M$13/Page5_BUI_VE!$K$13&gt;INDEX(Max_Table,L876)))</f>
        <v>0</v>
      </c>
      <c r="D876" s="1454" t="b">
        <f>OR(AND(Page5_BUI_VE!$L13&lt;&gt;0,Page5_BUI_VE!$M13=0),AND(Page5_BUI_VE!$M13&lt;&gt;0,Page5_BUI_VE!$L13=0))</f>
        <v>0</v>
      </c>
      <c r="E876" s="1454" t="b">
        <f>IF(Page5_BUI_VE!$K$13=0,FALSE,OR(Page5_BUI_VE!$M$13/Page5_BUI_VE!$K$13&lt;INDEX(Min_Table,M876),Page5_BUI_VE!$M$13/Page5_BUI_VE!$K$13&gt;INDEX(Max_Table,M876)))</f>
        <v>0</v>
      </c>
      <c r="F876" s="1454"/>
      <c r="G876" s="1444" t="str">
        <f t="shared" si="110"/>
        <v/>
      </c>
      <c r="H876" s="1447" t="str">
        <f>IF(C876=TRUE,Comments!$B$20&amp;DOLLAR(INDEX(Min_Table,L876),0)&amp;Comments!$B$18&amp;DOLLAR(INDEX(Max_Table,L876),0)&amp;Comments!$B$19&amp;DOLLAR(Page5_BUI_VE!$M$13/Page5_BUI_VE!$K$13,0),"")</f>
        <v/>
      </c>
      <c r="I876" s="1446" t="str">
        <f>IF(D876=TRUE,Comments!$B$24,"")</f>
        <v/>
      </c>
      <c r="J876" s="1446" t="str">
        <f>IF(E876=TRUE,Comments!$B$22&amp;DOLLAR(INDEX(Min_Table,M876),0)&amp;Comments!$B$18&amp;DOLLAR(INDEX(Max_Table,M876),0)&amp;Comments!$B$19&amp;IFERROR(DOLLAR(Page5_BUI_VE!$M$13/Page5_BUI_VE!$K$13,0),0),"")</f>
        <v/>
      </c>
      <c r="K876" s="1452"/>
      <c r="L876" s="611">
        <f>ROW(OR_VEH!$A$667)</f>
        <v>667</v>
      </c>
      <c r="M876" s="611">
        <f>ROW(OR_VEH!$A$112)</f>
        <v>112</v>
      </c>
      <c r="N876" s="611" t="str">
        <f>"CPTE # "&amp;Page5_BUI_VE!$E$13&amp;"  "&amp;Page5_BUI_VE!$C$13&amp;" - COÛT DES VENTES - AAD"</f>
        <v>CPTE # 409C  NE PAS UTILISER - COÛT DES VENTES - AAD</v>
      </c>
      <c r="O876" s="611" t="str">
        <f t="shared" si="118"/>
        <v/>
      </c>
      <c r="P876" s="611" t="str">
        <f t="shared" si="111"/>
        <v>Page5_BUI_VE!M</v>
      </c>
      <c r="Q876" s="611">
        <f t="shared" si="112"/>
        <v>13</v>
      </c>
      <c r="R876" s="1447">
        <f t="shared" ca="1" si="113"/>
        <v>0</v>
      </c>
      <c r="S876" s="1447">
        <f t="shared" ca="1" si="114"/>
        <v>0</v>
      </c>
      <c r="T876" s="611">
        <v>22</v>
      </c>
      <c r="V876" s="2557" t="str">
        <f t="shared" ca="1" si="115"/>
        <v/>
      </c>
      <c r="W876" s="611" t="str">
        <f t="shared" ca="1" si="116"/>
        <v>Page5_BUI_VE, Ligne 10 [Page5_BUI_VE!M13]  -</v>
      </c>
    </row>
    <row r="877" spans="1:23">
      <c r="A877" s="1443" t="str">
        <f>celladdr(Page5_BUI_VE!M14)</f>
        <v>Page5_BUI_VE!M14</v>
      </c>
      <c r="B877" s="1456" t="s">
        <v>1086</v>
      </c>
      <c r="C877" s="1451" t="b">
        <f>IF(Page5_BUI_VE!$K$14=0,FALSE,OR(Page5_BUI_VE!$M$14/Page5_BUI_VE!$K$14&lt;INDEX(Min_Table,L877),Page5_BUI_VE!$M$14/Page5_BUI_VE!$K$14&gt;INDEX(Max_Table,L877)))</f>
        <v>0</v>
      </c>
      <c r="D877" s="1454" t="b">
        <f>OR(AND(Page5_BUI_VE!$L14&lt;&gt;0,Page5_BUI_VE!$M14=0),AND(Page5_BUI_VE!$M14&lt;&gt;0,Page5_BUI_VE!$L14=0))</f>
        <v>0</v>
      </c>
      <c r="E877" s="1454" t="b">
        <f>IF(Page5_BUI_VE!$K$14=0,FALSE,OR(Page5_BUI_VE!$M$14/Page5_BUI_VE!$K$14&lt;INDEX(Min_Table,M877),Page5_BUI_VE!$M$14/Page5_BUI_VE!$K$14&gt;INDEX(Max_Table,M877)))</f>
        <v>0</v>
      </c>
      <c r="F877" s="1454"/>
      <c r="G877" s="1444" t="str">
        <f t="shared" si="110"/>
        <v/>
      </c>
      <c r="H877" s="1447" t="str">
        <f>IF(C877=TRUE,Comments!$B$20&amp;DOLLAR(INDEX(Min_Table,L877),0)&amp;Comments!$B$18&amp;DOLLAR(INDEX(Max_Table,L877),0)&amp;Comments!$B$19&amp;DOLLAR(Page5_BUI_VE!$M$14/Page5_BUI_VE!$K$14,0),"")</f>
        <v/>
      </c>
      <c r="I877" s="1446" t="str">
        <f>IF(D877=TRUE,Comments!$B$24,"")</f>
        <v/>
      </c>
      <c r="J877" s="1446" t="str">
        <f>IF(E877=TRUE,Comments!$B$22&amp;DOLLAR(INDEX(Min_Table,M877),0)&amp;Comments!$B$18&amp;DOLLAR(INDEX(Max_Table,M877),0)&amp;Comments!$B$19&amp;IFERROR(DOLLAR(Page5_BUI_VE!$M$14/Page5_BUI_VE!$K$14,0),0),"")</f>
        <v/>
      </c>
      <c r="K877" s="1452"/>
      <c r="L877" s="611">
        <f>ROW(OR_VEH!$A$667)</f>
        <v>667</v>
      </c>
      <c r="M877" s="611">
        <f>ROW(OR_VEH!$A$113)</f>
        <v>113</v>
      </c>
      <c r="N877" s="611" t="str">
        <f>"CPTE # "&amp;Page5_BUI_VE!$E$14&amp;"  "&amp;Page5_BUI_VE!$C$14&amp;" - COÛT DES VENTES - AAD"</f>
        <v>CPTE # 410C  NE PAS UTILISER - COÛT DES VENTES - AAD</v>
      </c>
      <c r="O877" s="611" t="str">
        <f t="shared" si="118"/>
        <v/>
      </c>
      <c r="P877" s="611" t="str">
        <f t="shared" si="111"/>
        <v>Page5_BUI_VE!M</v>
      </c>
      <c r="Q877" s="611">
        <f t="shared" si="112"/>
        <v>14</v>
      </c>
      <c r="R877" s="1447">
        <f t="shared" ca="1" si="113"/>
        <v>0</v>
      </c>
      <c r="S877" s="1447">
        <f t="shared" ca="1" si="114"/>
        <v>0</v>
      </c>
      <c r="T877" s="611">
        <v>22</v>
      </c>
      <c r="V877" s="2557" t="str">
        <f t="shared" ca="1" si="115"/>
        <v/>
      </c>
      <c r="W877" s="611" t="str">
        <f t="shared" ca="1" si="116"/>
        <v>Page5_BUI_VE, Ligne 11 [Page5_BUI_VE!M14]  -</v>
      </c>
    </row>
    <row r="878" spans="1:23">
      <c r="A878" s="1443" t="str">
        <f>celladdr(Page5_BUI_VE!M15)</f>
        <v>Page5_BUI_VE!M15</v>
      </c>
      <c r="B878" s="1456" t="s">
        <v>1086</v>
      </c>
      <c r="C878" s="1451" t="b">
        <f>IF(Page5_BUI_VE!$K$15=0,FALSE,OR(Page5_BUI_VE!$M$15/Page5_BUI_VE!$K$15&lt;INDEX(Min_Table,L878),Page5_BUI_VE!$M$15/Page5_BUI_VE!$K$15&gt;INDEX(Max_Table,L878)))</f>
        <v>0</v>
      </c>
      <c r="D878" s="1454" t="b">
        <f>OR(AND(Page5_BUI_VE!$L15&lt;&gt;0,Page5_BUI_VE!$M15=0),AND(Page5_BUI_VE!$M15&lt;&gt;0,Page5_BUI_VE!$L15=0))</f>
        <v>0</v>
      </c>
      <c r="E878" s="1454" t="b">
        <f>IF(Page5_BUI_VE!$K$15=0,FALSE,OR(Page5_BUI_VE!$M$15/Page5_BUI_VE!$K$15&lt;INDEX(Min_Table,M878),Page5_BUI_VE!$M$15/Page5_BUI_VE!$K$15&gt;INDEX(Max_Table,M878)))</f>
        <v>0</v>
      </c>
      <c r="F878" s="1454"/>
      <c r="G878" s="1444" t="str">
        <f t="shared" si="110"/>
        <v/>
      </c>
      <c r="H878" s="1447" t="str">
        <f>IF(C878=TRUE,Comments!$B$20&amp;DOLLAR(INDEX(Min_Table,L878),0)&amp;Comments!$B$18&amp;DOLLAR(INDEX(Max_Table,L878),0)&amp;Comments!$B$19&amp;DOLLAR(Page5_BUI_VE!$M$15/Page5_BUI_VE!$K$15,0),"")</f>
        <v/>
      </c>
      <c r="I878" s="1446" t="str">
        <f>IF(D878=TRUE,Comments!$B$24,"")</f>
        <v/>
      </c>
      <c r="J878" s="1446" t="str">
        <f>IF(E878=TRUE,Comments!$B$22&amp;DOLLAR(INDEX(Min_Table,M878),0)&amp;Comments!$B$18&amp;DOLLAR(INDEX(Max_Table,M878),0)&amp;Comments!$B$19&amp;IFERROR(DOLLAR(Page5_BUI_VE!$M$15/Page5_BUI_VE!$K$15,0),0),"")</f>
        <v/>
      </c>
      <c r="K878" s="1452"/>
      <c r="L878" s="611">
        <f>ROW(OR_VEH!$A$667)</f>
        <v>667</v>
      </c>
      <c r="M878" s="611">
        <f>ROW(OR_VEH!$A$114)</f>
        <v>114</v>
      </c>
      <c r="N878" s="611" t="str">
        <f>"CPTE # "&amp;Page5_BUI_VE!$E$15&amp;"  "&amp;Page5_BUI_VE!$C$15&amp;" - COÛT DES VENTES - AAD"</f>
        <v>CPTE # 411C  NE PAS UTILISER - COÛT DES VENTES - AAD</v>
      </c>
      <c r="O878" s="611" t="str">
        <f t="shared" si="118"/>
        <v/>
      </c>
      <c r="P878" s="611" t="str">
        <f t="shared" si="111"/>
        <v>Page5_BUI_VE!M</v>
      </c>
      <c r="Q878" s="611">
        <f t="shared" si="112"/>
        <v>15</v>
      </c>
      <c r="R878" s="1447">
        <f t="shared" ca="1" si="113"/>
        <v>0</v>
      </c>
      <c r="S878" s="1447">
        <f t="shared" ca="1" si="114"/>
        <v>0</v>
      </c>
      <c r="T878" s="611">
        <v>22</v>
      </c>
      <c r="V878" s="2557" t="str">
        <f t="shared" ca="1" si="115"/>
        <v/>
      </c>
      <c r="W878" s="611" t="str">
        <f t="shared" ca="1" si="116"/>
        <v>Page5_BUI_VE, Ligne 12 [Page5_BUI_VE!M15]  -</v>
      </c>
    </row>
    <row r="879" spans="1:23">
      <c r="A879" s="1443" t="str">
        <f>celladdr(Page5_BUI_VE!M16)</f>
        <v>Page5_BUI_VE!M16</v>
      </c>
      <c r="B879" s="1456" t="s">
        <v>1086</v>
      </c>
      <c r="C879" s="1451" t="b">
        <f>IF(Page5_BUI_VE!$K$16=0,FALSE,OR(Page5_BUI_VE!$M$16/Page5_BUI_VE!$K$16&lt;INDEX(Min_Table,L879),Page5_BUI_VE!$M$16/Page5_BUI_VE!$K$16&gt;INDEX(Max_Table,L879)))</f>
        <v>0</v>
      </c>
      <c r="D879" s="1454" t="b">
        <f>OR(AND(Page5_BUI_VE!$L16&lt;&gt;0,Page5_BUI_VE!$M16=0),AND(Page5_BUI_VE!$M16&lt;&gt;0,Page5_BUI_VE!$L16=0))</f>
        <v>0</v>
      </c>
      <c r="E879" s="1454" t="b">
        <f>IF(Page5_BUI_VE!$K$16=0,FALSE,OR(Page5_BUI_VE!$M$16/Page5_BUI_VE!$K$16&lt;INDEX(Min_Table,M879),Page5_BUI_VE!$M$16/Page5_BUI_VE!$K$16&gt;INDEX(Max_Table,M879)))</f>
        <v>0</v>
      </c>
      <c r="F879" s="1454"/>
      <c r="G879" s="1444" t="str">
        <f t="shared" si="110"/>
        <v/>
      </c>
      <c r="H879" s="1447" t="str">
        <f>IF(C879=TRUE,Comments!$B$20&amp;DOLLAR(INDEX(Min_Table,L879),0)&amp;Comments!$B$18&amp;DOLLAR(INDEX(Max_Table,L879),0)&amp;Comments!$B$19&amp;DOLLAR(Page5_BUI_VE!$M$16/Page5_BUI_VE!$K$16,0),"")</f>
        <v/>
      </c>
      <c r="I879" s="1446" t="str">
        <f>IF(D879=TRUE,Comments!$B$24,"")</f>
        <v/>
      </c>
      <c r="J879" s="1446" t="str">
        <f>IF(E879=TRUE,Comments!$B$22&amp;DOLLAR(INDEX(Min_Table,M879),0)&amp;Comments!$B$18&amp;DOLLAR(INDEX(Max_Table,M879),0)&amp;Comments!$B$19&amp;IFERROR(DOLLAR(Page5_BUI_VE!$M$16/Page5_BUI_VE!$K$16,0),0),"")</f>
        <v/>
      </c>
      <c r="K879" s="1452"/>
      <c r="L879" s="611">
        <f>ROW(OR_VEH!$A$667)</f>
        <v>667</v>
      </c>
      <c r="M879" s="611">
        <f>ROW(OR_VEH!$A$115)</f>
        <v>115</v>
      </c>
      <c r="N879" s="611" t="str">
        <f>"CPTE # "&amp;Page5_BUI_VE!$E$16&amp;"  "&amp;Page5_BUI_VE!$C$16&amp;" - COÛT DES VENTES - AAD"</f>
        <v>CPTE # 412C  NE PAS UTILISER - COÛT DES VENTES - AAD</v>
      </c>
      <c r="O879" s="611" t="str">
        <f t="shared" si="118"/>
        <v/>
      </c>
      <c r="P879" s="611" t="str">
        <f t="shared" si="111"/>
        <v>Page5_BUI_VE!M</v>
      </c>
      <c r="Q879" s="611">
        <f t="shared" si="112"/>
        <v>16</v>
      </c>
      <c r="R879" s="1447">
        <f t="shared" ca="1" si="113"/>
        <v>0</v>
      </c>
      <c r="S879" s="1447">
        <f t="shared" ca="1" si="114"/>
        <v>0</v>
      </c>
      <c r="T879" s="611">
        <v>22</v>
      </c>
      <c r="V879" s="2557" t="str">
        <f t="shared" ca="1" si="115"/>
        <v/>
      </c>
      <c r="W879" s="611" t="str">
        <f t="shared" ca="1" si="116"/>
        <v>Page5_BUI_VE, Ligne 13 [Page5_BUI_VE!M16]  -</v>
      </c>
    </row>
    <row r="880" spans="1:23">
      <c r="A880" s="1443" t="str">
        <f>celladdr(Page5_BUI_VE!M17)</f>
        <v>Page5_BUI_VE!M17</v>
      </c>
      <c r="B880" s="1456" t="s">
        <v>1086</v>
      </c>
      <c r="C880" s="1451" t="b">
        <f>IF(Page5_BUI_VE!$K$17=0,FALSE,OR(Page5_BUI_VE!$M$17/Page5_BUI_VE!$K$17&lt;INDEX(Min_Table,L880),Page5_BUI_VE!$M$17/Page5_BUI_VE!$K$17&gt;INDEX(Max_Table,L880)))</f>
        <v>0</v>
      </c>
      <c r="D880" s="1454" t="b">
        <f>OR(AND(Page5_BUI_VE!$L17&lt;&gt;0,Page5_BUI_VE!$M17=0),AND(Page5_BUI_VE!$M17&lt;&gt;0,Page5_BUI_VE!$L17=0))</f>
        <v>0</v>
      </c>
      <c r="E880" s="1454" t="b">
        <f>IF(Page5_BUI_VE!$K$17=0,FALSE,OR(Page5_BUI_VE!$M$17/Page5_BUI_VE!$K$17&lt;INDEX(Min_Table,M880),Page5_BUI_VE!$M$17/Page5_BUI_VE!$K$17&gt;INDEX(Max_Table,M880)))</f>
        <v>0</v>
      </c>
      <c r="F880" s="1454"/>
      <c r="G880" s="1444" t="str">
        <f t="shared" si="110"/>
        <v/>
      </c>
      <c r="H880" s="1447" t="str">
        <f>IF(C880=TRUE,Comments!$B$20&amp;DOLLAR(INDEX(Min_Table,L880),0)&amp;Comments!$B$18&amp;DOLLAR(INDEX(Max_Table,L880),0)&amp;Comments!$B$19&amp;DOLLAR(Page5_BUI_VE!$M$17/Page5_BUI_VE!$K$17,0),"")</f>
        <v/>
      </c>
      <c r="I880" s="1446" t="str">
        <f>IF(D880=TRUE,Comments!$B$24,"")</f>
        <v/>
      </c>
      <c r="J880" s="1446" t="str">
        <f>IF(E880=TRUE,Comments!$B$22&amp;DOLLAR(INDEX(Min_Table,M880),0)&amp;Comments!$B$18&amp;DOLLAR(INDEX(Max_Table,M880),0)&amp;Comments!$B$19&amp;IFERROR(DOLLAR(Page5_BUI_VE!$M$17/Page5_BUI_VE!$K$17,0),0),"")</f>
        <v/>
      </c>
      <c r="K880" s="1452"/>
      <c r="L880" s="611">
        <f>ROW(OR_VEH!$A$667)</f>
        <v>667</v>
      </c>
      <c r="M880" s="611">
        <f>ROW(OR_VEH!$A$116)</f>
        <v>116</v>
      </c>
      <c r="N880" s="611" t="str">
        <f>"CPTE # "&amp;Page5_BUI_VE!$E$17&amp;"  "&amp;Page5_BUI_VE!$C$17&amp;" - COÛT DES VENTES - AAD"</f>
        <v>CPTE # 413C  NE PAS UTILISER - COÛT DES VENTES - AAD</v>
      </c>
      <c r="O880" s="611" t="str">
        <f t="shared" si="118"/>
        <v/>
      </c>
      <c r="P880" s="611" t="str">
        <f t="shared" si="111"/>
        <v>Page5_BUI_VE!M</v>
      </c>
      <c r="Q880" s="611">
        <f t="shared" si="112"/>
        <v>17</v>
      </c>
      <c r="R880" s="1447">
        <f t="shared" ca="1" si="113"/>
        <v>0</v>
      </c>
      <c r="S880" s="1447">
        <f t="shared" ca="1" si="114"/>
        <v>0</v>
      </c>
      <c r="T880" s="611">
        <v>22</v>
      </c>
      <c r="V880" s="2557" t="str">
        <f t="shared" ca="1" si="115"/>
        <v/>
      </c>
      <c r="W880" s="611" t="str">
        <f t="shared" ca="1" si="116"/>
        <v>Page5_BUI_VE, Ligne 14 [Page5_BUI_VE!M17]  -</v>
      </c>
    </row>
    <row r="881" spans="1:23">
      <c r="A881" s="1443" t="str">
        <f>celladdr(Page5_BUI_VE!M18)</f>
        <v>Page5_BUI_VE!M18</v>
      </c>
      <c r="B881" s="1456" t="s">
        <v>1086</v>
      </c>
      <c r="C881" s="1451" t="b">
        <f>IF(Page5_BUI_VE!$K$18=0,FALSE,OR(Page5_BUI_VE!$M$18/Page5_BUI_VE!$K$18&lt;INDEX(Min_Table,L881),Page5_BUI_VE!$M$18/Page5_BUI_VE!$K$18&gt;INDEX(Max_Table,L881)))</f>
        <v>0</v>
      </c>
      <c r="D881" s="1454" t="b">
        <f>OR(AND(Page5_BUI_VE!$L18&lt;&gt;0,Page5_BUI_VE!$M18=0),AND(Page5_BUI_VE!$M18&lt;&gt;0,Page5_BUI_VE!$L18=0))</f>
        <v>0</v>
      </c>
      <c r="E881" s="1454" t="b">
        <f>IF(Page5_BUI_VE!$K$18=0,FALSE,OR(Page5_BUI_VE!$M$18/Page5_BUI_VE!$K$18&lt;INDEX(Min_Table,M881),Page5_BUI_VE!$M$18/Page5_BUI_VE!$K$18&gt;INDEX(Max_Table,M881)))</f>
        <v>0</v>
      </c>
      <c r="F881" s="1454"/>
      <c r="G881" s="1444" t="str">
        <f t="shared" si="110"/>
        <v/>
      </c>
      <c r="H881" s="1447" t="str">
        <f>IF(C881=TRUE,Comments!$B$20&amp;DOLLAR(INDEX(Min_Table,L881),0)&amp;Comments!$B$18&amp;DOLLAR(INDEX(Max_Table,L881),0)&amp;Comments!$B$19&amp;DOLLAR(Page5_BUI_VE!$M$18/Page5_BUI_VE!$K$18,0),"")</f>
        <v/>
      </c>
      <c r="I881" s="1446" t="str">
        <f>IF(D881=TRUE,Comments!$B$24,"")</f>
        <v/>
      </c>
      <c r="J881" s="1446" t="str">
        <f>IF(E881=TRUE,Comments!$B$22&amp;DOLLAR(INDEX(Min_Table,M881),0)&amp;Comments!$B$18&amp;DOLLAR(INDEX(Max_Table,M881),0)&amp;Comments!$B$19&amp;IFERROR(DOLLAR(Page5_BUI_VE!$M$18/Page5_BUI_VE!$K$18,0),0),"")</f>
        <v/>
      </c>
      <c r="K881" s="1452"/>
      <c r="L881" s="611">
        <f>ROW(OR_VEH!$A$667)</f>
        <v>667</v>
      </c>
      <c r="M881" s="611">
        <f>ROW(OR_VEH!$A$117)</f>
        <v>117</v>
      </c>
      <c r="N881" s="611" t="str">
        <f>"CPTE # "&amp;Page5_BUI_VE!$E$18&amp;"  "&amp;Page5_BUI_VE!$C$18&amp;" - COÛT DES VENTES - AAD"</f>
        <v>CPTE # 414C  NE PAS UTILISER - COÛT DES VENTES - AAD</v>
      </c>
      <c r="O881" s="611" t="str">
        <f t="shared" si="118"/>
        <v/>
      </c>
      <c r="P881" s="611" t="str">
        <f t="shared" si="111"/>
        <v>Page5_BUI_VE!M</v>
      </c>
      <c r="Q881" s="611">
        <f t="shared" si="112"/>
        <v>18</v>
      </c>
      <c r="R881" s="1447">
        <f t="shared" ca="1" si="113"/>
        <v>0</v>
      </c>
      <c r="S881" s="1447">
        <f t="shared" ca="1" si="114"/>
        <v>0</v>
      </c>
      <c r="T881" s="611">
        <v>22</v>
      </c>
      <c r="V881" s="2557" t="str">
        <f t="shared" ca="1" si="115"/>
        <v/>
      </c>
      <c r="W881" s="611" t="str">
        <f t="shared" ca="1" si="116"/>
        <v>Page5_BUI_VE, Ligne 15 [Page5_BUI_VE!M18]  -</v>
      </c>
    </row>
    <row r="882" spans="1:23">
      <c r="A882" s="1443" t="str">
        <f>celladdr(Page5_BUI_VE!M19)</f>
        <v>Page5_BUI_VE!M19</v>
      </c>
      <c r="B882" s="1456" t="s">
        <v>1086</v>
      </c>
      <c r="C882" s="1451" t="b">
        <f>IF(Page5_BUI_VE!$K$19=0,FALSE,OR(Page5_BUI_VE!$M$19/Page5_BUI_VE!$K$19&lt;INDEX(Min_Table,L882),Page5_BUI_VE!$M$19/Page5_BUI_VE!$K$19&gt;INDEX(Max_Table,L882)))</f>
        <v>0</v>
      </c>
      <c r="D882" s="1454" t="b">
        <f>OR(AND(Page5_BUI_VE!$L19&lt;&gt;0,Page5_BUI_VE!$M19=0),AND(Page5_BUI_VE!$M19&lt;&gt;0,Page5_BUI_VE!$L19=0))</f>
        <v>0</v>
      </c>
      <c r="E882" s="1454" t="b">
        <f>IF(Page5_BUI_VE!$K$19=0,FALSE,OR(Page5_BUI_VE!$M$19/Page5_BUI_VE!$K$19&lt;INDEX(Min_Table,M882),Page5_BUI_VE!$M$19/Page5_BUI_VE!$K$19&gt;INDEX(Max_Table,M882)))</f>
        <v>0</v>
      </c>
      <c r="F882" s="1454"/>
      <c r="G882" s="1444" t="str">
        <f t="shared" si="110"/>
        <v/>
      </c>
      <c r="H882" s="1447" t="str">
        <f>IF(C882=TRUE,Comments!$B$20&amp;DOLLAR(INDEX(Min_Table,L882),0)&amp;Comments!$B$18&amp;DOLLAR(INDEX(Max_Table,L882),0)&amp;Comments!$B$19&amp;DOLLAR(Page5_BUI_VE!$M$19/Page5_BUI_VE!$K$19,0),"")</f>
        <v/>
      </c>
      <c r="I882" s="1446" t="str">
        <f>IF(D882=TRUE,Comments!$B$24,"")</f>
        <v/>
      </c>
      <c r="J882" s="1446" t="str">
        <f>IF(E882=TRUE,Comments!$B$22&amp;DOLLAR(INDEX(Min_Table,M882),0)&amp;Comments!$B$18&amp;DOLLAR(INDEX(Max_Table,M882),0)&amp;Comments!$B$19&amp;IFERROR(DOLLAR(Page5_BUI_VE!$M$19/Page5_BUI_VE!$K$19,0),0),"")</f>
        <v/>
      </c>
      <c r="K882" s="1452"/>
      <c r="L882" s="611">
        <f>ROW(OR_VEH!$A$667)</f>
        <v>667</v>
      </c>
      <c r="M882" s="611">
        <f>ROW(OR_VEH!$A$118)</f>
        <v>118</v>
      </c>
      <c r="N882" s="611" t="str">
        <f>"CPTE # "&amp;Page5_BUI_VE!$E$19&amp;"  "&amp;Page5_BUI_VE!$C$19&amp;" - COÛT DES VENTES - AAD"</f>
        <v>CPTE # 415C  NE PAS UTILISER - COÛT DES VENTES - AAD</v>
      </c>
      <c r="O882" s="611" t="str">
        <f t="shared" si="118"/>
        <v/>
      </c>
      <c r="P882" s="611" t="str">
        <f t="shared" si="111"/>
        <v>Page5_BUI_VE!M</v>
      </c>
      <c r="Q882" s="611">
        <f t="shared" si="112"/>
        <v>19</v>
      </c>
      <c r="R882" s="1447">
        <f t="shared" ca="1" si="113"/>
        <v>0</v>
      </c>
      <c r="S882" s="1447">
        <f t="shared" ca="1" si="114"/>
        <v>0</v>
      </c>
      <c r="T882" s="611">
        <v>22</v>
      </c>
      <c r="V882" s="2557" t="str">
        <f t="shared" ca="1" si="115"/>
        <v/>
      </c>
      <c r="W882" s="611" t="str">
        <f t="shared" ca="1" si="116"/>
        <v>Page5_BUI_VE, Ligne 16 [Page5_BUI_VE!M19]  -</v>
      </c>
    </row>
    <row r="883" spans="1:23">
      <c r="A883" s="1443" t="str">
        <f>celladdr(Page5_BUI_VE!M20)</f>
        <v>Page5_BUI_VE!M20</v>
      </c>
      <c r="B883" s="1456" t="s">
        <v>1086</v>
      </c>
      <c r="C883" s="1451"/>
      <c r="D883" s="1454"/>
      <c r="E883" s="1454"/>
      <c r="F883" s="1454"/>
      <c r="G883" s="1444" t="str">
        <f t="shared" si="110"/>
        <v/>
      </c>
      <c r="I883" s="1446"/>
      <c r="J883" s="1446"/>
      <c r="K883" s="1452"/>
      <c r="L883" s="611">
        <f>ROW(OR_VEH!$A$667)</f>
        <v>667</v>
      </c>
      <c r="M883" s="611">
        <f>ROW(OR_VEH!$A$119)</f>
        <v>119</v>
      </c>
      <c r="N883" s="611" t="str">
        <f>"CPTE # "&amp;Page5_BUI_VE!$E$20&amp;"  "&amp;Page5_BUI_VE!$C$20&amp;" - COÛT DES VENTES - AAD"</f>
        <v>CPTE # 416C  NE PAS UTILISER - COÛT DES VENTES - AAD</v>
      </c>
      <c r="O883" s="611" t="str">
        <f t="shared" si="118"/>
        <v/>
      </c>
      <c r="P883" s="611" t="str">
        <f t="shared" si="111"/>
        <v>Page5_BUI_VE!M</v>
      </c>
      <c r="Q883" s="611">
        <f t="shared" si="112"/>
        <v>20</v>
      </c>
      <c r="R883" s="1447">
        <f t="shared" ca="1" si="113"/>
        <v>0</v>
      </c>
      <c r="S883" s="1447">
        <f t="shared" ca="1" si="114"/>
        <v>0</v>
      </c>
      <c r="T883" s="611">
        <v>22</v>
      </c>
      <c r="V883" s="2557" t="str">
        <f t="shared" ca="1" si="115"/>
        <v/>
      </c>
      <c r="W883" s="611" t="str">
        <f t="shared" ca="1" si="116"/>
        <v>Page5_BUI_VE, Ligne 17 [Page5_BUI_VE!M20]  -</v>
      </c>
    </row>
    <row r="884" spans="1:23">
      <c r="A884" s="1443" t="str">
        <f>celladdr(Page5_BUI_VE!M21)</f>
        <v>Page5_BUI_VE!M21</v>
      </c>
      <c r="B884" s="1456" t="s">
        <v>1086</v>
      </c>
      <c r="C884" s="1451" t="b">
        <f>IF(Page5_BUI_VE!$K$21=0,FALSE,OR(Page5_BUI_VE!$M$21/Page5_BUI_VE!$K$21&lt;INDEX(Min_Table,L884),Page5_BUI_VE!$M$21/Page5_BUI_VE!$K$21&gt;INDEX(Max_Table,L884)))</f>
        <v>0</v>
      </c>
      <c r="D884" s="1454" t="b">
        <f>OR(AND(Page5_BUI_VE!$L21&lt;&gt;0,Page5_BUI_VE!$M21=0),AND(Page5_BUI_VE!$M21&lt;&gt;0,Page5_BUI_VE!$L21=0))</f>
        <v>0</v>
      </c>
      <c r="E884" s="1454" t="b">
        <f>IF(Page5_BUI_VE!$K$21=0,FALSE,OR(Page5_BUI_VE!$M$21/Page5_BUI_VE!$K$21&lt;INDEX(Min_Table,M884),Page5_BUI_VE!$M$21/Page5_BUI_VE!$K$21&gt;INDEX(Max_Table,M884)))</f>
        <v>0</v>
      </c>
      <c r="F884" s="1454"/>
      <c r="G884" s="1444" t="str">
        <f t="shared" si="110"/>
        <v/>
      </c>
      <c r="H884" s="1447" t="str">
        <f>IF(C884=TRUE,Comments!$B$20&amp;DOLLAR(INDEX(Min_Table,L884),0)&amp;Comments!$B$18&amp;DOLLAR(INDEX(Max_Table,L884),0)&amp;Comments!$B$19&amp;DOLLAR(Page5_BUI_VE!$M$21/Page5_BUI_VE!$K$21,0),"")</f>
        <v/>
      </c>
      <c r="I884" s="1446" t="str">
        <f>IF(D884=TRUE,Comments!$B$24,"")</f>
        <v/>
      </c>
      <c r="J884" s="1446" t="str">
        <f>IF(E884=TRUE,Comments!$B$22&amp;DOLLAR(INDEX(Min_Table,M884),0)&amp;Comments!$B$18&amp;DOLLAR(INDEX(Max_Table,M884),0)&amp;Comments!$B$19&amp;IFERROR(DOLLAR(Page5_BUI_VE!$M$21/Page5_BUI_VE!$K$21,0),0),"")</f>
        <v/>
      </c>
      <c r="K884" s="1452"/>
      <c r="L884" s="611">
        <f>ROW(OR_VEH!$A$667)</f>
        <v>667</v>
      </c>
      <c r="M884" s="611">
        <f>ROW(OR_VEH!$A$120)</f>
        <v>120</v>
      </c>
      <c r="N884" s="611" t="str">
        <f>"CPTE # "&amp;Page5_BUI_VE!$E$21&amp;"  "&amp;Page5_BUI_VE!$C$21&amp;" - COÛT DES VENTES - AAD"</f>
        <v>CPTE # 417C  NE PAS UTILISER - COÛT DES VENTES - AAD</v>
      </c>
      <c r="O884" s="611" t="str">
        <f t="shared" si="118"/>
        <v/>
      </c>
      <c r="P884" s="611" t="str">
        <f t="shared" si="111"/>
        <v>Page5_BUI_VE!M</v>
      </c>
      <c r="Q884" s="611">
        <f t="shared" si="112"/>
        <v>21</v>
      </c>
      <c r="R884" s="1447">
        <f t="shared" ca="1" si="113"/>
        <v>0</v>
      </c>
      <c r="S884" s="1447">
        <f t="shared" ca="1" si="114"/>
        <v>0</v>
      </c>
      <c r="T884" s="611">
        <v>22</v>
      </c>
      <c r="V884" s="2557" t="str">
        <f t="shared" ca="1" si="115"/>
        <v/>
      </c>
      <c r="W884" s="611" t="str">
        <f t="shared" ca="1" si="116"/>
        <v>Page5_BUI_VE, Ligne 18 [Page5_BUI_VE!M21]  -</v>
      </c>
    </row>
    <row r="885" spans="1:23">
      <c r="A885" s="1443" t="str">
        <f>celladdr(Page5_BUI_VE!M22)</f>
        <v>Page5_BUI_VE!M22</v>
      </c>
      <c r="B885" s="1456" t="s">
        <v>1086</v>
      </c>
      <c r="C885" s="1451" t="b">
        <f>IF(Page5_BUI_VE!$K$22=0,FALSE,OR(Page5_BUI_VE!$M$22/Page5_BUI_VE!$K$22&lt;INDEX(Min_Table,L885),Page5_BUI_VE!$M$22/Page5_BUI_VE!$K$22&gt;INDEX(Max_Table,L885)))</f>
        <v>0</v>
      </c>
      <c r="D885" s="1454" t="b">
        <f>OR(AND(Page5_BUI_VE!$L22&lt;&gt;0,Page5_BUI_VE!$M22=0),AND(Page5_BUI_VE!$M22&lt;&gt;0,Page5_BUI_VE!$L22=0))</f>
        <v>0</v>
      </c>
      <c r="E885" s="1454" t="b">
        <f>IF(Page5_BUI_VE!$K$22=0,FALSE,OR(Page5_BUI_VE!$M$22/Page5_BUI_VE!$K$22&lt;INDEX(Min_Table,M885),Page5_BUI_VE!$M$22/Page5_BUI_VE!$K$22&gt;INDEX(Max_Table,M885)))</f>
        <v>0</v>
      </c>
      <c r="F885" s="1454"/>
      <c r="G885" s="1444" t="str">
        <f t="shared" si="110"/>
        <v/>
      </c>
      <c r="H885" s="1447" t="str">
        <f>IF(C885=TRUE,Comments!$B$20&amp;DOLLAR(INDEX(Min_Table,L885),0)&amp;Comments!$B$18&amp;DOLLAR(INDEX(Max_Table,L885),0)&amp;Comments!$B$19&amp;DOLLAR(Page5_BUI_VE!$M$22/Page5_BUI_VE!$K$22,0),"")</f>
        <v/>
      </c>
      <c r="I885" s="1446" t="str">
        <f>IF(D885=TRUE,Comments!$B$24,"")</f>
        <v/>
      </c>
      <c r="J885" s="1446" t="str">
        <f>IF(E885=TRUE,Comments!$B$22&amp;DOLLAR(INDEX(Min_Table,M885),0)&amp;Comments!$B$18&amp;DOLLAR(INDEX(Max_Table,M885),0)&amp;Comments!$B$19&amp;IFERROR(DOLLAR(Page5_BUI_VE!$M$22/Page5_BUI_VE!$K$22,0),0),"")</f>
        <v/>
      </c>
      <c r="K885" s="1452"/>
      <c r="L885" s="611">
        <f>ROW(OR_VEH!$A$667)</f>
        <v>667</v>
      </c>
      <c r="M885" s="611">
        <f>ROW(OR_VEH!$A$121)</f>
        <v>121</v>
      </c>
      <c r="N885" s="611" t="str">
        <f>"CPTE # "&amp;Page5_BUI_VE!$E$22&amp;"  "&amp;Page5_BUI_VE!$C$22&amp;" - COÛT DES VENTES - AAD"</f>
        <v>CPTE # 418C  NE PAS UTILISER - COÛT DES VENTES - AAD</v>
      </c>
      <c r="O885" s="611" t="str">
        <f t="shared" si="118"/>
        <v/>
      </c>
      <c r="P885" s="611" t="str">
        <f t="shared" si="111"/>
        <v>Page5_BUI_VE!M</v>
      </c>
      <c r="Q885" s="611">
        <f t="shared" si="112"/>
        <v>22</v>
      </c>
      <c r="R885" s="1447">
        <f t="shared" ca="1" si="113"/>
        <v>0</v>
      </c>
      <c r="S885" s="1447">
        <f t="shared" ca="1" si="114"/>
        <v>0</v>
      </c>
      <c r="T885" s="611">
        <v>22</v>
      </c>
      <c r="V885" s="2557" t="str">
        <f t="shared" ca="1" si="115"/>
        <v/>
      </c>
      <c r="W885" s="611" t="str">
        <f t="shared" ca="1" si="116"/>
        <v>Page5_BUI_VE, Ligne 19 [Page5_BUI_VE!M22]  -</v>
      </c>
    </row>
    <row r="886" spans="1:23">
      <c r="A886" s="1443" t="str">
        <f>celladdr(Page5_BUI_VE!M23)</f>
        <v>Page5_BUI_VE!M23</v>
      </c>
      <c r="B886" s="1444" t="s">
        <v>1086</v>
      </c>
      <c r="C886" s="1451"/>
      <c r="D886" s="1454"/>
      <c r="E886" s="1454"/>
      <c r="F886" s="1454"/>
      <c r="G886" s="1444" t="str">
        <f t="shared" si="110"/>
        <v/>
      </c>
      <c r="H886" s="1447" t="str">
        <f>IF(C886=TRUE,Comments!$B$26,"")</f>
        <v/>
      </c>
      <c r="I886" s="1446" t="str">
        <f>IF(D886=TRUE,Comments!$B$24,"")</f>
        <v/>
      </c>
      <c r="J886" s="1446"/>
      <c r="K886" s="1452"/>
      <c r="O886" s="611" t="str">
        <f t="shared" si="118"/>
        <v/>
      </c>
      <c r="P886" s="611" t="str">
        <f t="shared" si="111"/>
        <v>Page5_BUI_VE!M</v>
      </c>
      <c r="Q886" s="611">
        <f t="shared" si="112"/>
        <v>23</v>
      </c>
      <c r="R886" s="1447">
        <f t="shared" ca="1" si="113"/>
        <v>0</v>
      </c>
      <c r="S886" s="1447">
        <f t="shared" ca="1" si="114"/>
        <v>0</v>
      </c>
      <c r="V886" s="2557" t="str">
        <f t="shared" ca="1" si="115"/>
        <v/>
      </c>
      <c r="W886" s="611" t="str">
        <f t="shared" ca="1" si="116"/>
        <v>Page5_BUI_VE, Ligne 20 [Page5_BUI_VE!M23]  -</v>
      </c>
    </row>
    <row r="887" spans="1:23">
      <c r="A887" s="1443" t="str">
        <f>celladdr(Page5_BUI_VE!M24)</f>
        <v>Page5_BUI_VE!M24</v>
      </c>
      <c r="B887" s="1456" t="s">
        <v>1086</v>
      </c>
      <c r="C887" s="1451" t="b">
        <f>IF(Page5_BUI_VE!$K$24=0,FALSE,OR(Page5_BUI_VE!$M$24/Page5_BUI_VE!$K$24&lt;INDEX(Min_Table,L887),Page5_BUI_VE!$M$24/Page5_BUI_VE!$K$24&gt;INDEX(Max_Table,L887)))</f>
        <v>0</v>
      </c>
      <c r="D887" s="1454" t="b">
        <f>OR(AND(Page5_BUI_VE!$L24&lt;&gt;0,Page5_BUI_VE!$M24=0),AND(Page5_BUI_VE!$M24&lt;&gt;0,Page5_BUI_VE!$L24=0))</f>
        <v>0</v>
      </c>
      <c r="E887" s="1454" t="b">
        <f>IF(Page5_BUI_VE!$K$24=0,FALSE,OR(Page5_BUI_VE!$M$24/Page5_BUI_VE!$K$24&lt;INDEX(Min_Table,M887),Page5_BUI_VE!$M$24/Page5_BUI_VE!$K$24&gt;INDEX(Max_Table,M887)))</f>
        <v>0</v>
      </c>
      <c r="F887" s="1454"/>
      <c r="G887" s="1444" t="str">
        <f t="shared" si="110"/>
        <v/>
      </c>
      <c r="H887" s="1447" t="str">
        <f>IF(C887=TRUE,Comments!$B$20&amp;DOLLAR(INDEX(Min_Table,L887),0)&amp;Comments!$B$18&amp;DOLLAR(INDEX(Max_Table,L887),0)&amp;Comments!$B$19&amp;DOLLAR(Page5_BUI_VE!$M$24/Page5_BUI_VE!$K$24,0),"")</f>
        <v/>
      </c>
      <c r="I887" s="1446" t="str">
        <f>IF(D887=TRUE,Comments!$B$24,"")</f>
        <v/>
      </c>
      <c r="J887" s="1446" t="str">
        <f>IF(E887=TRUE,Comments!$B$22&amp;DOLLAR(INDEX(Min_Table,M887),0)&amp;Comments!$B$18&amp;DOLLAR(INDEX(Max_Table,M887),0)&amp;Comments!$B$19&amp;IFERROR(DOLLAR(Page5_BUI_VE!$M$24/Page5_BUI_VE!$K$24,0),0),"")</f>
        <v/>
      </c>
      <c r="K887" s="1452"/>
      <c r="L887" s="611">
        <f>ROW(OR_VEH!$A$667)</f>
        <v>667</v>
      </c>
      <c r="M887" s="611">
        <f>ROW(OR_VEH!$A$123)</f>
        <v>123</v>
      </c>
      <c r="N887" s="611" t="str">
        <f>"CPTE # "&amp;Page5_BUI_VE!$E$24&amp;"  "&amp;Page5_BUI_VE!$C$24&amp;" - COÛT DES VENTES - AAD"</f>
        <v>CPTE # 419C  MÉMO* VENTES INTERNET VOITURES - COÛT DES VENTES - AAD</v>
      </c>
      <c r="O887" s="611" t="str">
        <f t="shared" si="118"/>
        <v/>
      </c>
      <c r="P887" s="611" t="str">
        <f t="shared" si="111"/>
        <v>Page5_BUI_VE!M</v>
      </c>
      <c r="Q887" s="611">
        <f t="shared" si="112"/>
        <v>24</v>
      </c>
      <c r="R887" s="1447">
        <f t="shared" ca="1" si="113"/>
        <v>0</v>
      </c>
      <c r="S887" s="1447">
        <f t="shared" ca="1" si="114"/>
        <v>0</v>
      </c>
      <c r="T887" s="611">
        <v>22</v>
      </c>
      <c r="V887" s="2557" t="str">
        <f t="shared" ca="1" si="115"/>
        <v/>
      </c>
      <c r="W887" s="611" t="str">
        <f t="shared" ca="1" si="116"/>
        <v>Page5_BUI_VE, Ligne 21 [Page5_BUI_VE!M24]  -</v>
      </c>
    </row>
    <row r="888" spans="1:23">
      <c r="A888" s="1443" t="str">
        <f>celladdr(Page5_BUI_VE!M25)</f>
        <v>Page5_BUI_VE!M25</v>
      </c>
      <c r="B888" s="1456" t="s">
        <v>1086</v>
      </c>
      <c r="C888" s="1451" t="b">
        <f>IF(Page5_BUI_VE!$K$25=0,FALSE,OR(Page5_BUI_VE!$M$25/Page5_BUI_VE!$K$25&lt;INDEX(Min_Table,L888),Page5_BUI_VE!$M$25/Page5_BUI_VE!$K$25&gt;INDEX(Max_Table,L888)))</f>
        <v>0</v>
      </c>
      <c r="D888" s="1454" t="b">
        <f>OR(AND(Page5_BUI_VE!$L25&lt;&gt;0,Page5_BUI_VE!$M25=0),AND(Page5_BUI_VE!$M25&lt;&gt;0,Page5_BUI_VE!$L25=0))</f>
        <v>0</v>
      </c>
      <c r="E888" s="1454" t="b">
        <f>IF(Page5_BUI_VE!$K$25=0,FALSE,OR(Page5_BUI_VE!$M$25/Page5_BUI_VE!$K$25&lt;INDEX(Min_Table,M888),Page5_BUI_VE!$M$25/Page5_BUI_VE!$K$25&gt;INDEX(Max_Table,M888)))</f>
        <v>0</v>
      </c>
      <c r="F888" s="1454"/>
      <c r="G888" s="1444" t="str">
        <f t="shared" si="110"/>
        <v/>
      </c>
      <c r="H888" s="1447" t="str">
        <f>IF(C888=TRUE,Comments!$B$20&amp;DOLLAR(INDEX(Min_Table,L888),0)&amp;Comments!$B$18&amp;DOLLAR(INDEX(Max_Table,L888),0)&amp;Comments!$B$19&amp;DOLLAR(Page5_BUI_VE!$M$25/Page5_BUI_VE!$K$25,0),"")</f>
        <v/>
      </c>
      <c r="I888" s="1446" t="str">
        <f>IF(D888=TRUE,Comments!$B$24,"")</f>
        <v/>
      </c>
      <c r="J888" s="1446" t="str">
        <f>IF(E888=TRUE,Comments!$B$22&amp;DOLLAR(INDEX(Min_Table,M888),0)&amp;Comments!$B$18&amp;DOLLAR(INDEX(Max_Table,M888),0)&amp;Comments!$B$19&amp;IFERROR(DOLLAR(Page5_BUI_VE!$M$25/Page5_BUI_VE!$K$25,0),0),"")</f>
        <v/>
      </c>
      <c r="K888" s="1452"/>
      <c r="L888" s="611">
        <f>ROW(OR_VEH!$A$667)</f>
        <v>667</v>
      </c>
      <c r="M888" s="611">
        <f>ROW(OR_VEH!$A$124)</f>
        <v>124</v>
      </c>
      <c r="N888" s="611" t="str">
        <f>"CPTE # "&amp;Page5_BUI_VE!$E$25&amp;"  "&amp;Page5_BUI_VE!$C$25&amp;" - COÛT DES VENTES - AAD"</f>
        <v>CPTE # DE PG PARCS  TOTAL PARCS - VOITURES - COÛT DES VENTES - AAD</v>
      </c>
      <c r="O888" s="611" t="str">
        <f t="shared" si="118"/>
        <v/>
      </c>
      <c r="P888" s="611" t="str">
        <f t="shared" si="111"/>
        <v>Page5_BUI_VE!M</v>
      </c>
      <c r="Q888" s="611">
        <f t="shared" si="112"/>
        <v>25</v>
      </c>
      <c r="R888" s="1447">
        <f t="shared" ca="1" si="113"/>
        <v>0</v>
      </c>
      <c r="S888" s="1447">
        <f t="shared" ca="1" si="114"/>
        <v>0</v>
      </c>
      <c r="T888" s="611">
        <v>22</v>
      </c>
      <c r="V888" s="2557" t="str">
        <f t="shared" ca="1" si="115"/>
        <v/>
      </c>
      <c r="W888" s="611" t="str">
        <f t="shared" ca="1" si="116"/>
        <v>Page5_BUI_VE, Ligne 22 [Page5_BUI_VE!M25]  -</v>
      </c>
    </row>
    <row r="889" spans="1:23">
      <c r="A889" s="1443" t="str">
        <f>celladdr(Page5_BUI_VE!M26)</f>
        <v>Page5_BUI_VE!M26</v>
      </c>
      <c r="B889" s="1456" t="s">
        <v>1086</v>
      </c>
      <c r="C889" s="1451" t="b">
        <f>IF(Page5_BUI_VE!$K$26=0,FALSE,OR(Page5_BUI_VE!$M$26/Page5_BUI_VE!$K$26&lt;INDEX(Min_Table,L889),Page5_BUI_VE!$M$26/Page5_BUI_VE!$K$26&gt;INDEX(Max_Table,L889)))</f>
        <v>0</v>
      </c>
      <c r="D889" s="1454" t="b">
        <f>OR(AND(Page5_BUI_VE!$L26&lt;&gt;0,Page5_BUI_VE!$M26=0),AND(Page5_BUI_VE!$M26&lt;&gt;0,Page5_BUI_VE!$L26=0))</f>
        <v>0</v>
      </c>
      <c r="E889" s="1454" t="b">
        <f>IF(Page5_BUI_VE!$K$26=0,FALSE,OR(Page5_BUI_VE!$M$26/Page5_BUI_VE!$K$26&lt;INDEX(Min_Table,M889),Page5_BUI_VE!$M$26/Page5_BUI_VE!$K$26&gt;INDEX(Max_Table,M889)))</f>
        <v>0</v>
      </c>
      <c r="F889" s="1454"/>
      <c r="G889" s="1444" t="str">
        <f t="shared" si="110"/>
        <v/>
      </c>
      <c r="H889" s="1447" t="str">
        <f>IF(C889=TRUE,Comments!$B$20&amp;DOLLAR(INDEX(Min_Table,L889),0)&amp;Comments!$B$18&amp;DOLLAR(INDEX(Max_Table,L889),0)&amp;Comments!$B$19&amp;DOLLAR(Page5_BUI_VE!$M$26/Page5_BUI_VE!$K$26,0),"")</f>
        <v/>
      </c>
      <c r="I889" s="1446" t="str">
        <f>IF(D889=TRUE,Comments!$B$24,"")</f>
        <v/>
      </c>
      <c r="J889" s="1446" t="str">
        <f>IF(E889=TRUE,Comments!$B$22&amp;DOLLAR(INDEX(Min_Table,M889),0)&amp;Comments!$B$18&amp;DOLLAR(INDEX(Max_Table,M889),0)&amp;Comments!$B$19&amp;IFERROR(DOLLAR(Page5_BUI_VE!$M$26/Page5_BUI_VE!$K$26,0),0),"")</f>
        <v/>
      </c>
      <c r="K889" s="1452"/>
      <c r="L889" s="611">
        <f>ROW(OR_VEH!$A$667)</f>
        <v>667</v>
      </c>
      <c r="M889" s="611">
        <f>ROW(OR_VEH!$A$125)</f>
        <v>125</v>
      </c>
      <c r="N889" s="611" t="str">
        <f>"CPTE # "&amp;Page5_BUI_VE!$E$26&amp;"  "&amp;Page5_BUI_VE!$C$26&amp;" - COÛT DES VENTES - AAD"</f>
        <v>CPTE # 421C  TOTAL INTERNE - VOITURES - COÛT DES VENTES - AAD</v>
      </c>
      <c r="O889" s="611" t="str">
        <f t="shared" si="118"/>
        <v/>
      </c>
      <c r="P889" s="611" t="str">
        <f t="shared" si="111"/>
        <v>Page5_BUI_VE!M</v>
      </c>
      <c r="Q889" s="611">
        <f t="shared" si="112"/>
        <v>26</v>
      </c>
      <c r="R889" s="1447">
        <f t="shared" ca="1" si="113"/>
        <v>0</v>
      </c>
      <c r="S889" s="1447">
        <f t="shared" ca="1" si="114"/>
        <v>0</v>
      </c>
      <c r="T889" s="611">
        <v>22</v>
      </c>
      <c r="V889" s="2557" t="str">
        <f t="shared" ca="1" si="115"/>
        <v/>
      </c>
      <c r="W889" s="611" t="str">
        <f t="shared" ca="1" si="116"/>
        <v>Page5_BUI_VE, Ligne 23 [Page5_BUI_VE!M26]  -</v>
      </c>
    </row>
    <row r="890" spans="1:23">
      <c r="A890" s="1443" t="str">
        <f>celladdr(Page5_BUI_VE!M27)</f>
        <v>Page5_BUI_VE!M27</v>
      </c>
      <c r="B890" s="1444" t="s">
        <v>1086</v>
      </c>
      <c r="C890" s="1451"/>
      <c r="D890" s="1454"/>
      <c r="E890" s="1454"/>
      <c r="F890" s="1454"/>
      <c r="G890" s="1444" t="str">
        <f t="shared" si="110"/>
        <v/>
      </c>
      <c r="H890" s="1447" t="str">
        <f>IF(C890=TRUE,Comments!$B$26,"")</f>
        <v/>
      </c>
      <c r="I890" s="1446" t="str">
        <f>IF(D890=TRUE,Comments!$B$24,"")</f>
        <v/>
      </c>
      <c r="J890" s="1446"/>
      <c r="K890" s="1452"/>
      <c r="O890" s="611" t="str">
        <f t="shared" si="118"/>
        <v/>
      </c>
      <c r="P890" s="611" t="str">
        <f t="shared" si="111"/>
        <v>Page5_BUI_VE!M</v>
      </c>
      <c r="Q890" s="611">
        <f t="shared" si="112"/>
        <v>27</v>
      </c>
      <c r="R890" s="1447">
        <f t="shared" ca="1" si="113"/>
        <v>0</v>
      </c>
      <c r="S890" s="1447">
        <f t="shared" ca="1" si="114"/>
        <v>0</v>
      </c>
      <c r="V890" s="2557" t="str">
        <f t="shared" ca="1" si="115"/>
        <v/>
      </c>
      <c r="W890" s="611" t="str">
        <f t="shared" ca="1" si="116"/>
        <v>Page5_BUI_VE, Ligne 24 [Page5_BUI_VE!M27]  -</v>
      </c>
    </row>
    <row r="891" spans="1:23">
      <c r="A891" s="1443" t="str">
        <f>celladdr(Page5_BUI_VE!M28)</f>
        <v>Page5_BUI_VE!M28</v>
      </c>
      <c r="B891" s="1456" t="s">
        <v>1086</v>
      </c>
      <c r="C891" s="1451" t="b">
        <f>IF(Page5_BUI_VE!$K$28=0,FALSE,OR(Page5_BUI_VE!$M$28/Page5_BUI_VE!$K$28&lt;INDEX(Min_Table,L891),Page5_BUI_VE!$M$28/Page5_BUI_VE!$K$28&gt;INDEX(Max_Table,L891)))</f>
        <v>0</v>
      </c>
      <c r="D891" s="1454" t="b">
        <f>OR(AND(Page5_BUI_VE!$L28&lt;&gt;0,Page5_BUI_VE!$M28=0),AND(Page5_BUI_VE!$M28&lt;&gt;0,Page5_BUI_VE!$L28=0))</f>
        <v>0</v>
      </c>
      <c r="E891" s="1454" t="b">
        <f>IF(Page5_BUI_VE!$K$28=0,FALSE,OR(Page5_BUI_VE!$M$28/Page5_BUI_VE!$K$28&lt;INDEX(Min_Table,M891),Page5_BUI_VE!$M$28/Page5_BUI_VE!$K$28&gt;INDEX(Max_Table,M891)))</f>
        <v>0</v>
      </c>
      <c r="F891" s="1454"/>
      <c r="G891" s="1444" t="str">
        <f t="shared" si="110"/>
        <v/>
      </c>
      <c r="H891" s="1447" t="str">
        <f>IF(C891=TRUE,Comments!$B$20&amp;DOLLAR(INDEX(Min_Table,L891),0)&amp;Comments!$B$18&amp;DOLLAR(INDEX(Max_Table,L891),0)&amp;Comments!$B$19&amp;DOLLAR(Page5_BUI_VE!$M$28/Page5_BUI_VE!$K$28,0),"")</f>
        <v/>
      </c>
      <c r="I891" s="1446" t="str">
        <f>IF(D891=TRUE,Comments!$B$24,"")</f>
        <v/>
      </c>
      <c r="J891" s="1446" t="str">
        <f>IF(E891=TRUE,Comments!$B$22&amp;DOLLAR(INDEX(Min_Table,M891),0)&amp;Comments!$B$18&amp;DOLLAR(INDEX(Max_Table,M891),0)&amp;Comments!$B$19&amp;IFERROR(DOLLAR(Page5_BUI_VE!$M$28/Page5_BUI_VE!$K$28,0),0),"")</f>
        <v/>
      </c>
      <c r="K891" s="1452"/>
      <c r="L891" s="611">
        <f>ROW(OR_VEH!$A$667)</f>
        <v>667</v>
      </c>
      <c r="M891" s="611">
        <f>ROW(OR_VEH!$A$127)</f>
        <v>127</v>
      </c>
      <c r="N891" s="611" t="str">
        <f>"CPTE # "&amp;Page5_BUI_VE!$E$28&amp;"  "&amp;Page5_BUI_VE!$C$28&amp;" - COÛT DES VENTES - AAD"</f>
        <v>CPTE # 423C  NE PAS UTILISER - COÛT DES VENTES - AAD</v>
      </c>
      <c r="O891" s="611" t="str">
        <f t="shared" si="118"/>
        <v/>
      </c>
      <c r="P891" s="611" t="str">
        <f t="shared" si="111"/>
        <v>Page5_BUI_VE!M</v>
      </c>
      <c r="Q891" s="611">
        <f t="shared" si="112"/>
        <v>28</v>
      </c>
      <c r="R891" s="1447">
        <f t="shared" ca="1" si="113"/>
        <v>0</v>
      </c>
      <c r="S891" s="1447">
        <f t="shared" ca="1" si="114"/>
        <v>0</v>
      </c>
      <c r="T891" s="611">
        <v>22</v>
      </c>
      <c r="V891" s="2557" t="str">
        <f t="shared" ca="1" si="115"/>
        <v/>
      </c>
      <c r="W891" s="611" t="str">
        <f t="shared" ca="1" si="116"/>
        <v>Page5_BUI_VE, Ligne 25 [Page5_BUI_VE!M28]  -</v>
      </c>
    </row>
    <row r="892" spans="1:23">
      <c r="A892" s="1443" t="str">
        <f>celladdr(Page5_BUI_VE!M29)</f>
        <v>Page5_BUI_VE!M29</v>
      </c>
      <c r="B892" s="1456" t="s">
        <v>1086</v>
      </c>
      <c r="C892" s="1451" t="b">
        <f>IF(Page5_BUI_VE!$K$29=0,FALSE,OR(Page5_BUI_VE!$M$29/Page5_BUI_VE!$K$29&lt;INDEX(Min_Table,L892),Page5_BUI_VE!$M$29/Page5_BUI_VE!$K$29&gt;INDEX(Max_Table,L892)))</f>
        <v>0</v>
      </c>
      <c r="D892" s="1454" t="b">
        <f>OR(AND(Page5_BUI_VE!$L29&lt;&gt;0,Page5_BUI_VE!$M29=0),AND(Page5_BUI_VE!$M29&lt;&gt;0,Page5_BUI_VE!$L29=0))</f>
        <v>0</v>
      </c>
      <c r="E892" s="1454" t="b">
        <f>IF(Page5_BUI_VE!$K$29=0,FALSE,OR(Page5_BUI_VE!$M$29/Page5_BUI_VE!$K$29&lt;INDEX(Min_Table,M892),Page5_BUI_VE!$M$29/Page5_BUI_VE!$K$29&gt;INDEX(Max_Table,M892)))</f>
        <v>0</v>
      </c>
      <c r="F892" s="1454"/>
      <c r="G892" s="1444" t="str">
        <f t="shared" si="110"/>
        <v/>
      </c>
      <c r="H892" s="1447" t="str">
        <f>IF(C892=TRUE,Comments!$B$20&amp;DOLLAR(INDEX(Min_Table,L892),0)&amp;Comments!$B$18&amp;DOLLAR(INDEX(Max_Table,L892),0)&amp;Comments!$B$19&amp;DOLLAR(Page5_BUI_VE!$M$29/Page5_BUI_VE!$K$29,0),"")</f>
        <v/>
      </c>
      <c r="I892" s="1446" t="str">
        <f>IF(D892=TRUE,Comments!$B$24,"")</f>
        <v/>
      </c>
      <c r="J892" s="1446" t="str">
        <f>IF(E892=TRUE,Comments!$B$22&amp;DOLLAR(INDEX(Min_Table,M892),0)&amp;Comments!$B$18&amp;DOLLAR(INDEX(Max_Table,M892),0)&amp;Comments!$B$19&amp;IFERROR(DOLLAR(Page5_BUI_VE!$M$29/Page5_BUI_VE!$K$29,0),0),"")</f>
        <v/>
      </c>
      <c r="K892" s="1452"/>
      <c r="L892" s="611">
        <f>ROW(OR_VEH!$A$667)</f>
        <v>667</v>
      </c>
      <c r="M892" s="611">
        <f>ROW(OR_VEH!$A$128)</f>
        <v>128</v>
      </c>
      <c r="N892" s="611" t="str">
        <f>"CPTE # "&amp;Page5_BUI_VE!$E$29&amp;"  "&amp;Page5_BUI_VE!$C$29&amp;" - COÛT DES VENTES - AAD"</f>
        <v>CPTE # 424C  NE PAS UTILISER - COÛT DES VENTES - AAD</v>
      </c>
      <c r="O892" s="611" t="str">
        <f t="shared" si="118"/>
        <v/>
      </c>
      <c r="P892" s="611" t="str">
        <f t="shared" si="111"/>
        <v>Page5_BUI_VE!M</v>
      </c>
      <c r="Q892" s="611">
        <f t="shared" si="112"/>
        <v>29</v>
      </c>
      <c r="R892" s="1447">
        <f t="shared" ca="1" si="113"/>
        <v>0</v>
      </c>
      <c r="S892" s="1447">
        <f t="shared" ca="1" si="114"/>
        <v>0</v>
      </c>
      <c r="T892" s="611">
        <v>22</v>
      </c>
      <c r="V892" s="2557" t="str">
        <f t="shared" ca="1" si="115"/>
        <v/>
      </c>
      <c r="W892" s="611" t="str">
        <f t="shared" ca="1" si="116"/>
        <v>Page5_BUI_VE, Ligne 26 [Page5_BUI_VE!M29]  -</v>
      </c>
    </row>
    <row r="893" spans="1:23">
      <c r="A893" s="1443" t="str">
        <f>celladdr(Page5_BUI_VE!M30)</f>
        <v>Page5_BUI_VE!M30</v>
      </c>
      <c r="B893" s="1456" t="s">
        <v>1086</v>
      </c>
      <c r="C893" s="1451" t="b">
        <f>IF(Page5_BUI_VE!$K$30=0,FALSE,OR(Page5_BUI_VE!$M$30/Page5_BUI_VE!$K$30&lt;INDEX(Min_Table,L893),Page5_BUI_VE!$M$30/Page5_BUI_VE!$K$30&gt;INDEX(Max_Table,L893)))</f>
        <v>0</v>
      </c>
      <c r="D893" s="1454" t="b">
        <f>OR(AND(Page5_BUI_VE!$L30&lt;&gt;0,Page5_BUI_VE!$M30=0),AND(Page5_BUI_VE!$M30&lt;&gt;0,Page5_BUI_VE!$L30=0))</f>
        <v>0</v>
      </c>
      <c r="E893" s="1454" t="b">
        <f>IF(Page5_BUI_VE!$K$30=0,FALSE,OR(Page5_BUI_VE!$M$30/Page5_BUI_VE!$K$30&lt;INDEX(Min_Table,M893),Page5_BUI_VE!$M$30/Page5_BUI_VE!$K$30&gt;INDEX(Max_Table,M893)))</f>
        <v>0</v>
      </c>
      <c r="F893" s="1454"/>
      <c r="G893" s="1444" t="str">
        <f t="shared" si="110"/>
        <v/>
      </c>
      <c r="H893" s="1447" t="str">
        <f>IF(C893=TRUE,Comments!$B$20&amp;DOLLAR(INDEX(Min_Table,L893),0)&amp;Comments!$B$18&amp;DOLLAR(INDEX(Max_Table,L893),0)&amp;Comments!$B$19&amp;DOLLAR(Page5_BUI_VE!$M$30/Page5_BUI_VE!$K$30,0),"")</f>
        <v/>
      </c>
      <c r="I893" s="1446" t="str">
        <f>IF(D893=TRUE,Comments!$B$24,"")</f>
        <v/>
      </c>
      <c r="J893" s="1446" t="str">
        <f>IF(E893=TRUE,Comments!$B$22&amp;DOLLAR(INDEX(Min_Table,M893),0)&amp;Comments!$B$18&amp;DOLLAR(INDEX(Max_Table,M893),0)&amp;Comments!$B$19&amp;IFERROR(DOLLAR(Page5_BUI_VE!$M$30/Page5_BUI_VE!$K$30,0),0),"")</f>
        <v/>
      </c>
      <c r="K893" s="1452"/>
      <c r="L893" s="611">
        <f>ROW(OR_VEH!$A$667)</f>
        <v>667</v>
      </c>
      <c r="M893" s="611">
        <f>ROW(OR_VEH!$A$129)</f>
        <v>129</v>
      </c>
      <c r="N893" s="611" t="str">
        <f>"CPTE # "&amp;Page5_BUI_VE!$E$30&amp;"  "&amp;Page5_BUI_VE!$C$30&amp;" - COÛT DES VENTES - AAD"</f>
        <v>CPTE # 425C  NE PAS UTILISER - COÛT DES VENTES - AAD</v>
      </c>
      <c r="O893" s="611" t="str">
        <f t="shared" si="118"/>
        <v/>
      </c>
      <c r="P893" s="611" t="str">
        <f t="shared" si="111"/>
        <v>Page5_BUI_VE!M</v>
      </c>
      <c r="Q893" s="611">
        <f t="shared" si="112"/>
        <v>30</v>
      </c>
      <c r="R893" s="1447">
        <f t="shared" ca="1" si="113"/>
        <v>0</v>
      </c>
      <c r="S893" s="1447">
        <f t="shared" ca="1" si="114"/>
        <v>0</v>
      </c>
      <c r="T893" s="611">
        <v>22</v>
      </c>
      <c r="V893" s="2557" t="str">
        <f t="shared" ca="1" si="115"/>
        <v/>
      </c>
      <c r="W893" s="611" t="str">
        <f t="shared" ca="1" si="116"/>
        <v>Page5_BUI_VE, Ligne 27 [Page5_BUI_VE!M30]  -</v>
      </c>
    </row>
    <row r="894" spans="1:23">
      <c r="A894" s="1443" t="str">
        <f>celladdr(Page5_BUI_VE!M31)</f>
        <v>Page5_BUI_VE!M31</v>
      </c>
      <c r="B894" s="1456" t="s">
        <v>1086</v>
      </c>
      <c r="C894" s="1451" t="b">
        <f>IF(Page5_BUI_VE!$K$31=0,FALSE,OR(Page5_BUI_VE!$M$31/Page5_BUI_VE!$K$31&lt;INDEX(Min_Table,L894),Page5_BUI_VE!$M$31/Page5_BUI_VE!$K$31&gt;INDEX(Max_Table,L894)))</f>
        <v>0</v>
      </c>
      <c r="D894" s="1454" t="b">
        <f>OR(AND(Page5_BUI_VE!$L31&lt;&gt;0,Page5_BUI_VE!$M31=0),AND(Page5_BUI_VE!$M31&lt;&gt;0,Page5_BUI_VE!$L31=0))</f>
        <v>0</v>
      </c>
      <c r="E894" s="1454" t="b">
        <f>IF(Page5_BUI_VE!$K$31=0,FALSE,OR(Page5_BUI_VE!$M$31/Page5_BUI_VE!$K$31&lt;INDEX(Min_Table,M894),Page5_BUI_VE!$M$31/Page5_BUI_VE!$K$31&gt;INDEX(Max_Table,M894)))</f>
        <v>0</v>
      </c>
      <c r="F894" s="1454"/>
      <c r="G894" s="1444" t="str">
        <f t="shared" si="110"/>
        <v/>
      </c>
      <c r="H894" s="1447" t="str">
        <f>IF(C894=TRUE,Comments!$B$20&amp;DOLLAR(INDEX(Min_Table,L894),0)&amp;Comments!$B$18&amp;DOLLAR(INDEX(Max_Table,L894),0)&amp;Comments!$B$19&amp;DOLLAR(Page5_BUI_VE!$M$31/Page5_BUI_VE!$K$31,0),"")</f>
        <v/>
      </c>
      <c r="I894" s="1446" t="str">
        <f>IF(D894=TRUE,Comments!$B$24,"")</f>
        <v/>
      </c>
      <c r="J894" s="1446" t="str">
        <f>IF(E894=TRUE,Comments!$B$22&amp;DOLLAR(INDEX(Min_Table,M894),0)&amp;Comments!$B$18&amp;DOLLAR(INDEX(Max_Table,M894),0)&amp;Comments!$B$19&amp;IFERROR(DOLLAR(Page5_BUI_VE!$M$31/Page5_BUI_VE!$K$31,0),0),"")</f>
        <v/>
      </c>
      <c r="K894" s="1452"/>
      <c r="L894" s="611">
        <f>ROW(OR_VEH!$A$667)</f>
        <v>667</v>
      </c>
      <c r="M894" s="611">
        <f>ROW(OR_VEH!$A$130)</f>
        <v>130</v>
      </c>
      <c r="N894" s="611" t="str">
        <f>"CPTE # "&amp;Page5_BUI_VE!$E$31&amp;"  "&amp;Page5_BUI_VE!$C$31&amp;" - COÛT DES VENTES - AAD"</f>
        <v>CPTE # 426C  NE PAS UTILISER - COÛT DES VENTES - AAD</v>
      </c>
      <c r="O894" s="611" t="str">
        <f t="shared" si="118"/>
        <v/>
      </c>
      <c r="P894" s="611" t="str">
        <f t="shared" si="111"/>
        <v>Page5_BUI_VE!M</v>
      </c>
      <c r="Q894" s="611">
        <f t="shared" si="112"/>
        <v>31</v>
      </c>
      <c r="R894" s="1447">
        <f t="shared" ca="1" si="113"/>
        <v>0</v>
      </c>
      <c r="S894" s="1447">
        <f t="shared" ca="1" si="114"/>
        <v>0</v>
      </c>
      <c r="T894" s="611">
        <v>22</v>
      </c>
      <c r="V894" s="2557" t="str">
        <f t="shared" ca="1" si="115"/>
        <v/>
      </c>
      <c r="W894" s="611" t="str">
        <f t="shared" ca="1" si="116"/>
        <v>Page5_BUI_VE, Ligne 28 [Page5_BUI_VE!M31]  -</v>
      </c>
    </row>
    <row r="895" spans="1:23">
      <c r="A895" s="1443" t="str">
        <f>celladdr(Page5_BUI_VE!M32)</f>
        <v>Page5_BUI_VE!M32</v>
      </c>
      <c r="B895" s="1456" t="s">
        <v>1086</v>
      </c>
      <c r="C895" s="1451" t="b">
        <f>IF(Page5_BUI_VE!$K$32=0,FALSE,OR(Page5_BUI_VE!$M$32/Page5_BUI_VE!$K$32&lt;INDEX(Min_Table,L895),Page5_BUI_VE!$M$32/Page5_BUI_VE!$K$32&gt;INDEX(Max_Table,L895)))</f>
        <v>0</v>
      </c>
      <c r="D895" s="1454" t="b">
        <f>OR(AND(Page5_BUI_VE!$L32&lt;&gt;0,Page5_BUI_VE!$M32=0),AND(Page5_BUI_VE!$M32&lt;&gt;0,Page5_BUI_VE!$L32=0))</f>
        <v>0</v>
      </c>
      <c r="E895" s="1454" t="b">
        <f>IF(Page5_BUI_VE!$K$32=0,FALSE,OR(Page5_BUI_VE!$M$32/Page5_BUI_VE!$K$32&lt;INDEX(Min_Table,M895),Page5_BUI_VE!$M$32/Page5_BUI_VE!$K$32&gt;INDEX(Max_Table,M895)))</f>
        <v>0</v>
      </c>
      <c r="F895" s="1454"/>
      <c r="G895" s="1444" t="str">
        <f t="shared" si="110"/>
        <v/>
      </c>
      <c r="H895" s="1447" t="str">
        <f>IF(C895=TRUE,Comments!$B$20&amp;DOLLAR(INDEX(Min_Table,L895),0)&amp;Comments!$B$18&amp;DOLLAR(INDEX(Max_Table,L895),0)&amp;Comments!$B$19&amp;DOLLAR(Page5_BUI_VE!$M$32/Page5_BUI_VE!$K$32,0),"")</f>
        <v/>
      </c>
      <c r="I895" s="1446" t="str">
        <f>IF(D895=TRUE,Comments!$B$24,"")</f>
        <v/>
      </c>
      <c r="J895" s="1446" t="str">
        <f>IF(E895=TRUE,Comments!$B$22&amp;DOLLAR(INDEX(Min_Table,M895),0)&amp;Comments!$B$18&amp;DOLLAR(INDEX(Max_Table,M895),0)&amp;Comments!$B$19&amp;IFERROR(DOLLAR(Page5_BUI_VE!$M$32/Page5_BUI_VE!$K$32,0),0),"")</f>
        <v/>
      </c>
      <c r="K895" s="1452"/>
      <c r="L895" s="611">
        <f>ROW(OR_VEH!$A$667)</f>
        <v>667</v>
      </c>
      <c r="M895" s="611">
        <f>ROW(OR_VEH!$A$131)</f>
        <v>131</v>
      </c>
      <c r="N895" s="611" t="str">
        <f>"CPTE # "&amp;Page5_BUI_VE!$E$32&amp;"  "&amp;Page5_BUI_VE!$C$32&amp;" - COÛT DES VENTES - AAD"</f>
        <v>CPTE # 427C  NE PAS UTILISER - COÛT DES VENTES - AAD</v>
      </c>
      <c r="O895" s="611" t="str">
        <f t="shared" si="118"/>
        <v/>
      </c>
      <c r="P895" s="611" t="str">
        <f t="shared" si="111"/>
        <v>Page5_BUI_VE!M</v>
      </c>
      <c r="Q895" s="611">
        <f t="shared" si="112"/>
        <v>32</v>
      </c>
      <c r="R895" s="1447">
        <f t="shared" ca="1" si="113"/>
        <v>0</v>
      </c>
      <c r="S895" s="1447">
        <f t="shared" ca="1" si="114"/>
        <v>0</v>
      </c>
      <c r="T895" s="611">
        <v>22</v>
      </c>
      <c r="V895" s="2557" t="str">
        <f t="shared" ca="1" si="115"/>
        <v/>
      </c>
      <c r="W895" s="611" t="str">
        <f t="shared" ca="1" si="116"/>
        <v>Page5_BUI_VE, Ligne 29 [Page5_BUI_VE!M32]  -</v>
      </c>
    </row>
    <row r="896" spans="1:23">
      <c r="A896" s="1443" t="str">
        <f>celladdr(Page5_BUI_VE!M33)</f>
        <v>Page5_BUI_VE!M33</v>
      </c>
      <c r="B896" s="1456" t="s">
        <v>1086</v>
      </c>
      <c r="C896" s="1451" t="b">
        <f>IF(Page5_BUI_VE!$K$33=0,FALSE,OR(Page5_BUI_VE!$M$33/Page5_BUI_VE!$K$33&lt;INDEX(Min_Table,L896),Page5_BUI_VE!$M$33/Page5_BUI_VE!$K$33&gt;INDEX(Max_Table,L896)))</f>
        <v>0</v>
      </c>
      <c r="D896" s="1454" t="b">
        <f>OR(AND(Page5_BUI_VE!$L33&lt;&gt;0,Page5_BUI_VE!$M33=0),AND(Page5_BUI_VE!$M33&lt;&gt;0,Page5_BUI_VE!$L33=0))</f>
        <v>0</v>
      </c>
      <c r="E896" s="1454" t="b">
        <f>IF(Page5_BUI_VE!$K$33=0,FALSE,OR(Page5_BUI_VE!$M$33/Page5_BUI_VE!$K$33&lt;INDEX(Min_Table,M896),Page5_BUI_VE!$M$33/Page5_BUI_VE!$K$33&gt;INDEX(Max_Table,M896)))</f>
        <v>0</v>
      </c>
      <c r="F896" s="1454"/>
      <c r="G896" s="1444" t="str">
        <f t="shared" si="110"/>
        <v/>
      </c>
      <c r="H896" s="1447" t="str">
        <f>IF(C896=TRUE,Comments!$B$20&amp;DOLLAR(INDEX(Min_Table,L896),0)&amp;Comments!$B$18&amp;DOLLAR(INDEX(Max_Table,L896),0)&amp;Comments!$B$19&amp;DOLLAR(Page5_BUI_VE!$M$33/Page5_BUI_VE!$K$33,0),"")</f>
        <v/>
      </c>
      <c r="I896" s="1446" t="str">
        <f>IF(D896=TRUE,Comments!$B$24,"")</f>
        <v/>
      </c>
      <c r="J896" s="1446" t="str">
        <f>IF(E896=TRUE,Comments!$B$22&amp;DOLLAR(INDEX(Min_Table,M896),0)&amp;Comments!$B$18&amp;DOLLAR(INDEX(Max_Table,M896),0)&amp;Comments!$B$19&amp;IFERROR(DOLLAR(Page5_BUI_VE!$M$33/Page5_BUI_VE!$K$33,0),0),"")</f>
        <v/>
      </c>
      <c r="K896" s="1452"/>
      <c r="L896" s="611">
        <f>ROW(OR_VEH!$A$667)</f>
        <v>667</v>
      </c>
      <c r="M896" s="611">
        <f>ROW(OR_VEH!$A$132)</f>
        <v>132</v>
      </c>
      <c r="N896" s="611" t="str">
        <f>"CPTE # "&amp;Page5_BUI_VE!$E$33&amp;"  "&amp;Page5_BUI_VE!$C$33&amp;" - COÛT DES VENTES - AAD"</f>
        <v>CPTE # 428C  NE PAS UTILISER - COÛT DES VENTES - AAD</v>
      </c>
      <c r="O896" s="611" t="str">
        <f t="shared" ref="O896:O927" si="119">IF(A896=A895,"TRUE","")</f>
        <v/>
      </c>
      <c r="P896" s="611" t="str">
        <f t="shared" si="111"/>
        <v>Page5_BUI_VE!M</v>
      </c>
      <c r="Q896" s="611">
        <f t="shared" si="112"/>
        <v>33</v>
      </c>
      <c r="R896" s="1447">
        <f t="shared" ca="1" si="113"/>
        <v>0</v>
      </c>
      <c r="S896" s="1447">
        <f t="shared" ca="1" si="114"/>
        <v>0</v>
      </c>
      <c r="T896" s="611">
        <v>22</v>
      </c>
      <c r="V896" s="2557" t="str">
        <f t="shared" ca="1" si="115"/>
        <v/>
      </c>
      <c r="W896" s="611" t="str">
        <f t="shared" ca="1" si="116"/>
        <v>Page5_BUI_VE, Ligne 30 [Page5_BUI_VE!M33]  -</v>
      </c>
    </row>
    <row r="897" spans="1:23">
      <c r="A897" s="1443" t="str">
        <f>celladdr(Page5_BUI_VE!M34)</f>
        <v>Page5_BUI_VE!M34</v>
      </c>
      <c r="B897" s="1456" t="s">
        <v>1086</v>
      </c>
      <c r="C897" s="1451" t="b">
        <f>IF(Page5_BUI_VE!$K$34=0,FALSE,OR(Page5_BUI_VE!$M$34/Page5_BUI_VE!$K$34&lt;INDEX(Min_Table,L897),Page5_BUI_VE!$M$34/Page5_BUI_VE!$K$34&gt;INDEX(Max_Table,L897)))</f>
        <v>0</v>
      </c>
      <c r="D897" s="1454" t="b">
        <f>OR(AND(Page5_BUI_VE!$L34&lt;&gt;0,Page5_BUI_VE!$M34=0),AND(Page5_BUI_VE!$M34&lt;&gt;0,Page5_BUI_VE!$L34=0))</f>
        <v>0</v>
      </c>
      <c r="E897" s="1454" t="b">
        <f>IF(Page5_BUI_VE!$K$34=0,FALSE,OR(Page5_BUI_VE!$M$34/Page5_BUI_VE!$K$34&lt;INDEX(Min_Table,M897),Page5_BUI_VE!$M$34/Page5_BUI_VE!$K$34&gt;INDEX(Max_Table,M897)))</f>
        <v>0</v>
      </c>
      <c r="F897" s="1454"/>
      <c r="G897" s="1444" t="str">
        <f t="shared" si="110"/>
        <v/>
      </c>
      <c r="H897" s="1447" t="str">
        <f>IF(C897=TRUE,Comments!$B$20&amp;DOLLAR(INDEX(Min_Table,L897),0)&amp;Comments!$B$18&amp;DOLLAR(INDEX(Max_Table,L897),0)&amp;Comments!$B$19&amp;DOLLAR(Page5_BUI_VE!$M$34/Page5_BUI_VE!$K$34,0),"")</f>
        <v/>
      </c>
      <c r="I897" s="1446" t="str">
        <f>IF(D897=TRUE,Comments!$B$24,"")</f>
        <v/>
      </c>
      <c r="J897" s="1446" t="str">
        <f>IF(E897=TRUE,Comments!$B$22&amp;DOLLAR(INDEX(Min_Table,M897),0)&amp;Comments!$B$18&amp;DOLLAR(INDEX(Max_Table,M897),0)&amp;Comments!$B$19&amp;IFERROR(DOLLAR(Page5_BUI_VE!$M$34/Page5_BUI_VE!$K$34,0),0),"")</f>
        <v/>
      </c>
      <c r="K897" s="1452"/>
      <c r="L897" s="611">
        <f>ROW(OR_VEH!$A$667)</f>
        <v>667</v>
      </c>
      <c r="M897" s="611">
        <f>ROW(OR_VEH!$A$133)</f>
        <v>133</v>
      </c>
      <c r="N897" s="611" t="str">
        <f>"CPTE # "&amp;Page5_BUI_VE!$E$34&amp;"  "&amp;Page5_BUI_VE!$C$34&amp;" - COÛT DES VENTES - AAD"</f>
        <v>CPTE # 429C  NE PAS UTILISER - COÛT DES VENTES - AAD</v>
      </c>
      <c r="O897" s="611" t="str">
        <f t="shared" si="119"/>
        <v/>
      </c>
      <c r="P897" s="611" t="str">
        <f t="shared" si="111"/>
        <v>Page5_BUI_VE!M</v>
      </c>
      <c r="Q897" s="611">
        <f t="shared" si="112"/>
        <v>34</v>
      </c>
      <c r="R897" s="1447">
        <f t="shared" ca="1" si="113"/>
        <v>0</v>
      </c>
      <c r="S897" s="1447">
        <f t="shared" ca="1" si="114"/>
        <v>0</v>
      </c>
      <c r="T897" s="611">
        <v>22</v>
      </c>
      <c r="V897" s="2557" t="str">
        <f t="shared" ca="1" si="115"/>
        <v/>
      </c>
      <c r="W897" s="611" t="str">
        <f t="shared" ca="1" si="116"/>
        <v>Page5_BUI_VE, Ligne 31 [Page5_BUI_VE!M34]  -</v>
      </c>
    </row>
    <row r="898" spans="1:23">
      <c r="A898" s="1443" t="str">
        <f>celladdr(Page5_BUI_VE!M35)</f>
        <v>Page5_BUI_VE!M35</v>
      </c>
      <c r="B898" s="1456" t="s">
        <v>1086</v>
      </c>
      <c r="C898" s="1451" t="b">
        <f>IF(Page5_BUI_VE!$K$35=0,FALSE,OR(Page5_BUI_VE!$M$35/Page5_BUI_VE!$K$35&lt;INDEX(Min_Table,L898),Page5_BUI_VE!$M$35/Page5_BUI_VE!$K$35&gt;INDEX(Max_Table,L898)))</f>
        <v>0</v>
      </c>
      <c r="D898" s="1454" t="b">
        <f>OR(AND(Page5_BUI_VE!$L35&lt;&gt;0,Page5_BUI_VE!$M35=0),AND(Page5_BUI_VE!$M35&lt;&gt;0,Page5_BUI_VE!$L35=0))</f>
        <v>0</v>
      </c>
      <c r="E898" s="1454" t="b">
        <f>IF(Page5_BUI_VE!$K$35=0,FALSE,OR(Page5_BUI_VE!$M$35/Page5_BUI_VE!$K$35&lt;INDEX(Min_Table,M898),Page5_BUI_VE!$M$35/Page5_BUI_VE!$K$35&gt;INDEX(Max_Table,M898)))</f>
        <v>0</v>
      </c>
      <c r="F898" s="1454"/>
      <c r="G898" s="1444" t="str">
        <f t="shared" ref="G898:G961" si="120">IF(H898&amp;I898&amp;J898&amp;K898&lt;&gt;"","No.de ref. du commentaire.: "&amp;W898&amp;" "&amp;N898&amp;" "&amp;H898&amp;I898&amp;IF(OR(C898=TRUE,D898=TRUE),"",J898&amp;K898&amp;V898),"")</f>
        <v/>
      </c>
      <c r="H898" s="1447" t="str">
        <f>IF(C898=TRUE,Comments!$B$20&amp;DOLLAR(INDEX(Min_Table,L898),0)&amp;Comments!$B$18&amp;DOLLAR(INDEX(Max_Table,L898),0)&amp;Comments!$B$19&amp;DOLLAR(Page5_BUI_VE!$M$35/Page5_BUI_VE!$K$35,0),"")</f>
        <v/>
      </c>
      <c r="I898" s="1446" t="str">
        <f>IF(D898=TRUE,Comments!$B$24,"")</f>
        <v/>
      </c>
      <c r="J898" s="1446" t="str">
        <f>IF(E898=TRUE,Comments!$B$22&amp;DOLLAR(INDEX(Min_Table,M898),0)&amp;Comments!$B$18&amp;DOLLAR(INDEX(Max_Table,M898),0)&amp;Comments!$B$19&amp;IFERROR(DOLLAR(Page5_BUI_VE!$M$35/Page5_BUI_VE!$K$35,0),0),"")</f>
        <v/>
      </c>
      <c r="K898" s="1452"/>
      <c r="L898" s="611">
        <f>ROW(OR_VEH!$A$667)</f>
        <v>667</v>
      </c>
      <c r="M898" s="611">
        <f>ROW(OR_VEH!$A$134)</f>
        <v>134</v>
      </c>
      <c r="N898" s="611" t="str">
        <f>"CPTE # "&amp;Page5_BUI_VE!$E$35&amp;"  "&amp;Page5_BUI_VE!$C$35&amp;" - COÛT DES VENTES - AAD"</f>
        <v>CPTE # 430C  NE PAS UTILISER - COÛT DES VENTES - AAD</v>
      </c>
      <c r="O898" s="611" t="str">
        <f t="shared" si="119"/>
        <v/>
      </c>
      <c r="P898" s="611" t="str">
        <f t="shared" ref="P898:P961" si="121">LEFT(A898,FIND("!",A898)+1)</f>
        <v>Page5_BUI_VE!M</v>
      </c>
      <c r="Q898" s="611">
        <f t="shared" ref="Q898:Q961" si="122">VALUE(RIGHT(A898,LEN(A898)-FIND("!",A898)-1))</f>
        <v>35</v>
      </c>
      <c r="R898" s="1447">
        <f t="shared" ref="R898:R961" ca="1" si="123">IF(E898=TRUE,INDIRECT("Comments!$D$"&amp;T898),0)</f>
        <v>0</v>
      </c>
      <c r="S898" s="1447">
        <f t="shared" ref="S898:S961" ca="1" si="124">IF(F898=TRUE,INDIRECT("Comments!$D$"&amp;U898),0)</f>
        <v>0</v>
      </c>
      <c r="T898" s="611">
        <v>22</v>
      </c>
      <c r="V898" s="2557" t="str">
        <f t="shared" ref="V898:V961" ca="1" si="125">IF(SUM(R898+S898)=0,"","
*** "&amp;TEXT(SUM(R898+S898),"0,0")&amp;" Points de précision seront déduits suite à cette(ces) erreur(s) !")</f>
        <v/>
      </c>
      <c r="W898" s="611" t="str">
        <f t="shared" ref="W898:W961" ca="1" si="126">LEFT(A898,FIND("!",A898,1)-1)&amp;", Ligne "&amp;INDIRECT(ADDRESS(ROW(INDIRECT(A898)),IF(INDIRECT(ADDRESS(ROW(INDIRECT(A898)),1,,,LEFT(A898,FIND("!",A898,1)-1)))="",2,1),,,LEFT(A898,FIND("!",A898,1)-1)))&amp;" ["&amp;A898&amp;"] "&amp;" -"</f>
        <v>Page5_BUI_VE, Ligne 32 [Page5_BUI_VE!M35]  -</v>
      </c>
    </row>
    <row r="899" spans="1:23">
      <c r="A899" s="1443" t="str">
        <f>celladdr(Page5_BUI_VE!M36)</f>
        <v>Page5_BUI_VE!M36</v>
      </c>
      <c r="B899" s="1456" t="s">
        <v>1086</v>
      </c>
      <c r="C899" s="1451" t="b">
        <f>IF(Page5_BUI_VE!$K$36=0,FALSE,OR(Page5_BUI_VE!$M$36/Page5_BUI_VE!$K$36&lt;INDEX(Min_Table,L899),Page5_BUI_VE!$M$36/Page5_BUI_VE!$K$36&gt;INDEX(Max_Table,L899)))</f>
        <v>0</v>
      </c>
      <c r="D899" s="1454" t="b">
        <f>OR(AND(Page5_BUI_VE!$L36&lt;&gt;0,Page5_BUI_VE!$M36=0),AND(Page5_BUI_VE!$M36&lt;&gt;0,Page5_BUI_VE!$L36=0))</f>
        <v>0</v>
      </c>
      <c r="E899" s="1454" t="b">
        <f>IF(Page5_BUI_VE!$K$36=0,FALSE,OR(Page5_BUI_VE!$M$36/Page5_BUI_VE!$K$36&lt;INDEX(Min_Table,M899),Page5_BUI_VE!$M$36/Page5_BUI_VE!$K$36&gt;INDEX(Max_Table,M899)))</f>
        <v>0</v>
      </c>
      <c r="F899" s="1454"/>
      <c r="G899" s="1444" t="str">
        <f t="shared" si="120"/>
        <v/>
      </c>
      <c r="H899" s="1447" t="str">
        <f>IF(C899=TRUE,Comments!$B$20&amp;DOLLAR(INDEX(Min_Table,L899),0)&amp;Comments!$B$18&amp;DOLLAR(INDEX(Max_Table,L899),0)&amp;Comments!$B$19&amp;DOLLAR(Page5_BUI_VE!$M$36/Page5_BUI_VE!$K$36,0),"")</f>
        <v/>
      </c>
      <c r="I899" s="1446" t="str">
        <f>IF(D899=TRUE,Comments!$B$24,"")</f>
        <v/>
      </c>
      <c r="J899" s="1446" t="str">
        <f>IF(E899=TRUE,Comments!$B$22&amp;DOLLAR(INDEX(Min_Table,M899),0)&amp;Comments!$B$18&amp;DOLLAR(INDEX(Max_Table,M899),0)&amp;Comments!$B$19&amp;IFERROR(DOLLAR(Page5_BUI_VE!$M$36/Page5_BUI_VE!$K$36,0),0),"")</f>
        <v/>
      </c>
      <c r="K899" s="1452"/>
      <c r="L899" s="611">
        <f>ROW(OR_VEH!$A$667)</f>
        <v>667</v>
      </c>
      <c r="M899" s="611">
        <f>ROW(OR_VEH!$A$135)</f>
        <v>135</v>
      </c>
      <c r="N899" s="611" t="str">
        <f>"CPTE # "&amp;Page5_BUI_VE!$E$36&amp;"  "&amp;Page5_BUI_VE!$C$36&amp;" - COÛT DES VENTES - AAD"</f>
        <v>CPTE # 431C  NE PAS UTILISER - COÛT DES VENTES - AAD</v>
      </c>
      <c r="O899" s="611" t="str">
        <f t="shared" si="119"/>
        <v/>
      </c>
      <c r="P899" s="611" t="str">
        <f t="shared" si="121"/>
        <v>Page5_BUI_VE!M</v>
      </c>
      <c r="Q899" s="611">
        <f t="shared" si="122"/>
        <v>36</v>
      </c>
      <c r="R899" s="1447">
        <f t="shared" ca="1" si="123"/>
        <v>0</v>
      </c>
      <c r="S899" s="1447">
        <f t="shared" ca="1" si="124"/>
        <v>0</v>
      </c>
      <c r="T899" s="611">
        <v>22</v>
      </c>
      <c r="V899" s="2557" t="str">
        <f t="shared" ca="1" si="125"/>
        <v/>
      </c>
      <c r="W899" s="611" t="str">
        <f t="shared" ca="1" si="126"/>
        <v>Page5_BUI_VE, Ligne 33 [Page5_BUI_VE!M36]  -</v>
      </c>
    </row>
    <row r="900" spans="1:23">
      <c r="A900" s="1443" t="str">
        <f>celladdr(Page5_BUI_VE!M37)</f>
        <v>Page5_BUI_VE!M37</v>
      </c>
      <c r="B900" s="1456" t="s">
        <v>1086</v>
      </c>
      <c r="C900" s="1451" t="b">
        <f>IF(Page5_BUI_VE!$K$37=0,FALSE,OR(Page5_BUI_VE!$M$37/Page5_BUI_VE!$K$37&lt;INDEX(Min_Table,L900),Page5_BUI_VE!$M$37/Page5_BUI_VE!$K$37&gt;INDEX(Max_Table,L900)))</f>
        <v>0</v>
      </c>
      <c r="D900" s="1454" t="b">
        <f>OR(AND(Page5_BUI_VE!$L37&lt;&gt;0,Page5_BUI_VE!$M37=0),AND(Page5_BUI_VE!$M37&lt;&gt;0,Page5_BUI_VE!$L37=0))</f>
        <v>0</v>
      </c>
      <c r="E900" s="1454" t="b">
        <f>IF(Page5_BUI_VE!$K$37=0,FALSE,OR(Page5_BUI_VE!$M$37/Page5_BUI_VE!$K$37&lt;INDEX(Min_Table,M900),Page5_BUI_VE!$M$37/Page5_BUI_VE!$K$37&gt;INDEX(Max_Table,M900)))</f>
        <v>0</v>
      </c>
      <c r="F900" s="1454"/>
      <c r="G900" s="1444" t="str">
        <f t="shared" si="120"/>
        <v/>
      </c>
      <c r="H900" s="1447" t="str">
        <f>IF(C900=TRUE,Comments!$B$20&amp;DOLLAR(INDEX(Min_Table,L900),0)&amp;Comments!$B$18&amp;DOLLAR(INDEX(Max_Table,L900),0)&amp;Comments!$B$19&amp;DOLLAR(Page5_BUI_VE!$M$37/Page5_BUI_VE!$K$37,0),"")</f>
        <v/>
      </c>
      <c r="I900" s="1446" t="str">
        <f>IF(D900=TRUE,Comments!$B$24,"")</f>
        <v/>
      </c>
      <c r="J900" s="1446" t="str">
        <f>IF(E900=TRUE,Comments!$B$22&amp;DOLLAR(INDEX(Min_Table,M900),0)&amp;Comments!$B$18&amp;DOLLAR(INDEX(Max_Table,M900),0)&amp;Comments!$B$19&amp;IFERROR(DOLLAR(Page5_BUI_VE!$M$37/Page5_BUI_VE!$K$37,0),0),"")</f>
        <v/>
      </c>
      <c r="K900" s="1452"/>
      <c r="L900" s="611">
        <f>ROW(OR_VEH!$A$667)</f>
        <v>667</v>
      </c>
      <c r="M900" s="611">
        <f>ROW(OR_VEH!$A$136)</f>
        <v>136</v>
      </c>
      <c r="N900" s="611" t="str">
        <f>"CPTE # "&amp;Page5_BUI_VE!$E$37&amp;"  "&amp;Page5_BUI_VE!$C$37&amp;" - COÛT DES VENTES - AAD"</f>
        <v>CPTE # 432C  NE PAS UTILISER - COÛT DES VENTES - AAD</v>
      </c>
      <c r="O900" s="611" t="str">
        <f t="shared" si="119"/>
        <v/>
      </c>
      <c r="P900" s="611" t="str">
        <f t="shared" si="121"/>
        <v>Page5_BUI_VE!M</v>
      </c>
      <c r="Q900" s="611">
        <f t="shared" si="122"/>
        <v>37</v>
      </c>
      <c r="R900" s="1447">
        <f t="shared" ca="1" si="123"/>
        <v>0</v>
      </c>
      <c r="S900" s="1447">
        <f t="shared" ca="1" si="124"/>
        <v>0</v>
      </c>
      <c r="T900" s="611">
        <v>22</v>
      </c>
      <c r="V900" s="2557" t="str">
        <f t="shared" ca="1" si="125"/>
        <v/>
      </c>
      <c r="W900" s="611" t="str">
        <f t="shared" ca="1" si="126"/>
        <v>Page5_BUI_VE, Ligne 34 [Page5_BUI_VE!M37]  -</v>
      </c>
    </row>
    <row r="901" spans="1:23">
      <c r="A901" s="1443" t="str">
        <f>celladdr(Page5_BUI_VE!M38)</f>
        <v>Page5_BUI_VE!M38</v>
      </c>
      <c r="B901" s="1456" t="s">
        <v>1086</v>
      </c>
      <c r="C901" s="1451" t="b">
        <f>IF(Page5_BUI_VE!$K$38=0,FALSE,OR(Page5_BUI_VE!$M$38/Page5_BUI_VE!$K$38&lt;INDEX(Min_Table,L901),Page5_BUI_VE!$M$38/Page5_BUI_VE!$K$38&gt;INDEX(Max_Table,L901)))</f>
        <v>0</v>
      </c>
      <c r="D901" s="1454" t="b">
        <f>OR(AND(Page5_BUI_VE!$L38&lt;&gt;0,Page5_BUI_VE!$M38=0),AND(Page5_BUI_VE!$M38&lt;&gt;0,Page5_BUI_VE!$L38=0))</f>
        <v>0</v>
      </c>
      <c r="E901" s="1454" t="b">
        <f>IF(Page5_BUI_VE!$K$38=0,FALSE,OR(Page5_BUI_VE!$M$38/Page5_BUI_VE!$K$38&lt;INDEX(Min_Table,M901),Page5_BUI_VE!$M$38/Page5_BUI_VE!$K$38&gt;INDEX(Max_Table,M901)))</f>
        <v>0</v>
      </c>
      <c r="F901" s="1454"/>
      <c r="G901" s="1444" t="str">
        <f t="shared" si="120"/>
        <v/>
      </c>
      <c r="H901" s="1447" t="str">
        <f>IF(C901=TRUE,Comments!$B$20&amp;DOLLAR(INDEX(Min_Table,L901),0)&amp;Comments!$B$18&amp;DOLLAR(INDEX(Max_Table,L901),0)&amp;Comments!$B$19&amp;DOLLAR(Page5_BUI_VE!$M$38/Page5_BUI_VE!$K$38,0),"")</f>
        <v/>
      </c>
      <c r="I901" s="1446" t="str">
        <f>IF(D901=TRUE,Comments!$B$24,"")</f>
        <v/>
      </c>
      <c r="J901" s="1446" t="str">
        <f>IF(E901=TRUE,Comments!$B$22&amp;DOLLAR(INDEX(Min_Table,M901),0)&amp;Comments!$B$18&amp;DOLLAR(INDEX(Max_Table,M901),0)&amp;Comments!$B$19&amp;IFERROR(DOLLAR(Page5_BUI_VE!$M$38/Page5_BUI_VE!$K$38,0),0),"")</f>
        <v/>
      </c>
      <c r="K901" s="1452"/>
      <c r="L901" s="611">
        <f>ROW(OR_VEH!$A$667)</f>
        <v>667</v>
      </c>
      <c r="M901" s="611">
        <f>ROW(OR_VEH!$A$137)</f>
        <v>137</v>
      </c>
      <c r="N901" s="611" t="str">
        <f>"CPTE # "&amp;Page5_BUI_VE!$E$38&amp;"  "&amp;Page5_BUI_VE!$C$38&amp;" - COÛT DES VENTES - AAD"</f>
        <v>CPTE # 433C  NE PAS UTILISER - COÛT DES VENTES - AAD</v>
      </c>
      <c r="O901" s="611" t="str">
        <f t="shared" si="119"/>
        <v/>
      </c>
      <c r="P901" s="611" t="str">
        <f t="shared" si="121"/>
        <v>Page5_BUI_VE!M</v>
      </c>
      <c r="Q901" s="611">
        <f t="shared" si="122"/>
        <v>38</v>
      </c>
      <c r="R901" s="1447">
        <f t="shared" ca="1" si="123"/>
        <v>0</v>
      </c>
      <c r="S901" s="1447">
        <f t="shared" ca="1" si="124"/>
        <v>0</v>
      </c>
      <c r="T901" s="611">
        <v>22</v>
      </c>
      <c r="V901" s="2557" t="str">
        <f t="shared" ca="1" si="125"/>
        <v/>
      </c>
      <c r="W901" s="611" t="str">
        <f t="shared" ca="1" si="126"/>
        <v>Page5_BUI_VE, Ligne 35 [Page5_BUI_VE!M38]  -</v>
      </c>
    </row>
    <row r="902" spans="1:23">
      <c r="A902" s="1443" t="str">
        <f>celladdr(Page5_BUI_VE!M39)</f>
        <v>Page5_BUI_VE!M39</v>
      </c>
      <c r="B902" s="1456" t="s">
        <v>1086</v>
      </c>
      <c r="C902" s="1451" t="b">
        <f>IF(Page5_BUI_VE!$K$39=0,FALSE,OR(Page5_BUI_VE!$M$39/Page5_BUI_VE!$K$39&lt;INDEX(Min_Table,L902),Page5_BUI_VE!$M$39/Page5_BUI_VE!$K$39&gt;INDEX(Max_Table,L902)))</f>
        <v>0</v>
      </c>
      <c r="D902" s="1454" t="b">
        <f>OR(AND(Page5_BUI_VE!$L39&lt;&gt;0,Page5_BUI_VE!$M39=0),AND(Page5_BUI_VE!$M39&lt;&gt;0,Page5_BUI_VE!$L39=0))</f>
        <v>0</v>
      </c>
      <c r="E902" s="1454" t="b">
        <f>IF(Page5_BUI_VE!$K$39=0,FALSE,OR(Page5_BUI_VE!$M$39/Page5_BUI_VE!$K$39&lt;INDEX(Min_Table,M902),Page5_BUI_VE!$M$39/Page5_BUI_VE!$K$39&gt;INDEX(Max_Table,M902)))</f>
        <v>0</v>
      </c>
      <c r="F902" s="1454"/>
      <c r="G902" s="1444" t="str">
        <f t="shared" si="120"/>
        <v/>
      </c>
      <c r="H902" s="1447" t="str">
        <f>IF(C902=TRUE,Comments!$B$20&amp;DOLLAR(INDEX(Min_Table,L902),0)&amp;Comments!$B$18&amp;DOLLAR(INDEX(Max_Table,L902),0)&amp;Comments!$B$19&amp;DOLLAR(Page5_BUI_VE!$M$39/Page5_BUI_VE!$K$39,0),"")</f>
        <v/>
      </c>
      <c r="I902" s="1446" t="str">
        <f>IF(D902=TRUE,Comments!$B$24,"")</f>
        <v/>
      </c>
      <c r="J902" s="1446" t="str">
        <f>IF(E902=TRUE,Comments!$B$22&amp;DOLLAR(INDEX(Min_Table,M902),0)&amp;Comments!$B$18&amp;DOLLAR(INDEX(Max_Table,M902),0)&amp;Comments!$B$19&amp;IFERROR(DOLLAR(Page5_BUI_VE!$M$39/Page5_BUI_VE!$K$39,0),0),"")</f>
        <v/>
      </c>
      <c r="K902" s="1452"/>
      <c r="L902" s="611">
        <f>ROW(OR_VEH!$A$667)</f>
        <v>667</v>
      </c>
      <c r="M902" s="611">
        <f>ROW(OR_VEH!$A$138)</f>
        <v>138</v>
      </c>
      <c r="N902" s="611" t="str">
        <f>"CPTE # "&amp;Page5_BUI_VE!$E$39&amp;"  "&amp;Page5_BUI_VE!$C$39&amp;" - COÛT DES VENTES - AAD"</f>
        <v>CPTE # 434C  NE PAS UTILISER - COÛT DES VENTES - AAD</v>
      </c>
      <c r="O902" s="611" t="str">
        <f t="shared" si="119"/>
        <v/>
      </c>
      <c r="P902" s="611" t="str">
        <f t="shared" si="121"/>
        <v>Page5_BUI_VE!M</v>
      </c>
      <c r="Q902" s="611">
        <f t="shared" si="122"/>
        <v>39</v>
      </c>
      <c r="R902" s="1447">
        <f t="shared" ca="1" si="123"/>
        <v>0</v>
      </c>
      <c r="S902" s="1447">
        <f t="shared" ca="1" si="124"/>
        <v>0</v>
      </c>
      <c r="T902" s="611">
        <v>22</v>
      </c>
      <c r="V902" s="2557" t="str">
        <f t="shared" ca="1" si="125"/>
        <v/>
      </c>
      <c r="W902" s="611" t="str">
        <f t="shared" ca="1" si="126"/>
        <v>Page5_BUI_VE, Ligne 36 [Page5_BUI_VE!M39]  -</v>
      </c>
    </row>
    <row r="903" spans="1:23">
      <c r="A903" s="1443" t="str">
        <f>celladdr(Page5_BUI_VE!M40)</f>
        <v>Page5_BUI_VE!M40</v>
      </c>
      <c r="B903" s="1456" t="s">
        <v>1086</v>
      </c>
      <c r="C903" s="1451" t="b">
        <f>IF(Page5_BUI_VE!$K$40=0,FALSE,OR(Page5_BUI_VE!$M$40/Page5_BUI_VE!$K$40&lt;INDEX(Min_Table,L903),Page5_BUI_VE!$M$40/Page5_BUI_VE!$K$40&gt;INDEX(Max_Table,L903)))</f>
        <v>0</v>
      </c>
      <c r="D903" s="1454" t="b">
        <f>OR(AND(Page5_BUI_VE!$L40&lt;&gt;0,Page5_BUI_VE!$M40=0),AND(Page5_BUI_VE!$M40&lt;&gt;0,Page5_BUI_VE!$L40=0))</f>
        <v>0</v>
      </c>
      <c r="E903" s="1454" t="b">
        <f>IF(Page5_BUI_VE!$K$40=0,FALSE,OR(Page5_BUI_VE!$M$40/Page5_BUI_VE!$K$40&lt;INDEX(Min_Table,M903),Page5_BUI_VE!$M$40/Page5_BUI_VE!$K$40&gt;INDEX(Max_Table,M903)))</f>
        <v>0</v>
      </c>
      <c r="F903" s="1454"/>
      <c r="G903" s="1444" t="str">
        <f t="shared" si="120"/>
        <v/>
      </c>
      <c r="H903" s="1447" t="str">
        <f>IF(C903=TRUE,Comments!$B$20&amp;DOLLAR(INDEX(Min_Table,L903),0)&amp;Comments!$B$18&amp;DOLLAR(INDEX(Max_Table,L903),0)&amp;Comments!$B$19&amp;DOLLAR(Page5_BUI_VE!$M$40/Page5_BUI_VE!$K$40,0),"")</f>
        <v/>
      </c>
      <c r="I903" s="1446" t="str">
        <f>IF(D903=TRUE,Comments!$B$24,"")</f>
        <v/>
      </c>
      <c r="J903" s="1446" t="str">
        <f>IF(E903=TRUE,Comments!$B$22&amp;DOLLAR(INDEX(Min_Table,M903),0)&amp;Comments!$B$18&amp;DOLLAR(INDEX(Max_Table,M903),0)&amp;Comments!$B$19&amp;IFERROR(DOLLAR(Page5_BUI_VE!$M$40/Page5_BUI_VE!$K$40,0),0),"")</f>
        <v/>
      </c>
      <c r="K903" s="1452"/>
      <c r="L903" s="611">
        <f>ROW(OR_VEH!$A$667)</f>
        <v>667</v>
      </c>
      <c r="M903" s="611">
        <f>ROW(OR_VEH!$A$139)</f>
        <v>139</v>
      </c>
      <c r="N903" s="611" t="str">
        <f>"CPTE # "&amp;Page5_BUI_VE!$E$40&amp;"  "&amp;Page5_BUI_VE!$C$40&amp;" - COÛT DES VENTES - AAD"</f>
        <v>CPTE # 435C  NE PAS UTILISER - COÛT DES VENTES - AAD</v>
      </c>
      <c r="O903" s="611" t="str">
        <f t="shared" si="119"/>
        <v/>
      </c>
      <c r="P903" s="611" t="str">
        <f t="shared" si="121"/>
        <v>Page5_BUI_VE!M</v>
      </c>
      <c r="Q903" s="611">
        <f t="shared" si="122"/>
        <v>40</v>
      </c>
      <c r="R903" s="1447">
        <f t="shared" ca="1" si="123"/>
        <v>0</v>
      </c>
      <c r="S903" s="1447">
        <f t="shared" ca="1" si="124"/>
        <v>0</v>
      </c>
      <c r="T903" s="611">
        <v>22</v>
      </c>
      <c r="V903" s="2557" t="str">
        <f t="shared" ca="1" si="125"/>
        <v/>
      </c>
      <c r="W903" s="611" t="str">
        <f t="shared" ca="1" si="126"/>
        <v>Page5_BUI_VE, Ligne 37 [Page5_BUI_VE!M40]  -</v>
      </c>
    </row>
    <row r="904" spans="1:23">
      <c r="A904" s="1443" t="str">
        <f>celladdr(Page5_BUI_VE!M41)</f>
        <v>Page5_BUI_VE!M41</v>
      </c>
      <c r="B904" s="1456" t="s">
        <v>1086</v>
      </c>
      <c r="C904" s="1451" t="b">
        <f>IF(Page5_BUI_VE!$K$41=0,FALSE,OR(Page5_BUI_VE!$M$41/Page5_BUI_VE!$K$41&lt;INDEX(Min_Table,L904),Page5_BUI_VE!$M$41/Page5_BUI_VE!$K$41&gt;INDEX(Max_Table,L904)))</f>
        <v>0</v>
      </c>
      <c r="D904" s="1454" t="b">
        <f>OR(AND(Page5_BUI_VE!$L41&lt;&gt;0,Page5_BUI_VE!$M41=0),AND(Page5_BUI_VE!$M41&lt;&gt;0,Page5_BUI_VE!$L41=0))</f>
        <v>0</v>
      </c>
      <c r="E904" s="1454" t="b">
        <f>IF(Page5_BUI_VE!$K$41=0,FALSE,OR(Page5_BUI_VE!$M$41/Page5_BUI_VE!$K$41&lt;INDEX(Min_Table,M904),Page5_BUI_VE!$M$41/Page5_BUI_VE!$K$41&gt;INDEX(Max_Table,M904)))</f>
        <v>0</v>
      </c>
      <c r="F904" s="1454"/>
      <c r="G904" s="1444" t="str">
        <f t="shared" si="120"/>
        <v/>
      </c>
      <c r="H904" s="1447" t="str">
        <f>IF(C904=TRUE,Comments!$B$20&amp;DOLLAR(INDEX(Min_Table,L904),0)&amp;Comments!$B$18&amp;DOLLAR(INDEX(Max_Table,L904),0)&amp;Comments!$B$19&amp;DOLLAR(Page5_BUI_VE!$M$41/Page5_BUI_VE!$K$41,0),"")</f>
        <v/>
      </c>
      <c r="I904" s="1446" t="str">
        <f>IF(D904=TRUE,Comments!$B$24,"")</f>
        <v/>
      </c>
      <c r="J904" s="1446" t="str">
        <f>IF(E904=TRUE,Comments!$B$22&amp;DOLLAR(INDEX(Min_Table,M904),0)&amp;Comments!$B$18&amp;DOLLAR(INDEX(Max_Table,M904),0)&amp;Comments!$B$19&amp;IFERROR(DOLLAR(Page5_BUI_VE!$M$41/Page5_BUI_VE!$K$41,0),0),"")</f>
        <v/>
      </c>
      <c r="K904" s="1452"/>
      <c r="L904" s="611">
        <f>ROW(OR_VEH!$A$667)</f>
        <v>667</v>
      </c>
      <c r="M904" s="611">
        <f>ROW(OR_VEH!$A$140)</f>
        <v>140</v>
      </c>
      <c r="N904" s="611" t="str">
        <f>"CPTE # "&amp;Page5_BUI_VE!$E$41&amp;"  "&amp;Page5_BUI_VE!$C$41&amp;" - COÛT DES VENTES - AAD"</f>
        <v>CPTE # 436C  NE PAS UTILISER - COÛT DES VENTES - AAD</v>
      </c>
      <c r="O904" s="611" t="str">
        <f t="shared" si="119"/>
        <v/>
      </c>
      <c r="P904" s="611" t="str">
        <f t="shared" si="121"/>
        <v>Page5_BUI_VE!M</v>
      </c>
      <c r="Q904" s="611">
        <f t="shared" si="122"/>
        <v>41</v>
      </c>
      <c r="R904" s="1447">
        <f t="shared" ca="1" si="123"/>
        <v>0</v>
      </c>
      <c r="S904" s="1447">
        <f t="shared" ca="1" si="124"/>
        <v>0</v>
      </c>
      <c r="T904" s="611">
        <v>22</v>
      </c>
      <c r="V904" s="2557" t="str">
        <f t="shared" ca="1" si="125"/>
        <v/>
      </c>
      <c r="W904" s="611" t="str">
        <f t="shared" ca="1" si="126"/>
        <v>Page5_BUI_VE, Ligne 38 [Page5_BUI_VE!M41]  -</v>
      </c>
    </row>
    <row r="905" spans="1:23">
      <c r="A905" s="1443" t="str">
        <f>celladdr(Page5_BUI_VE!M42)</f>
        <v>Page5_BUI_VE!M42</v>
      </c>
      <c r="B905" s="1456" t="s">
        <v>1086</v>
      </c>
      <c r="C905" s="1451"/>
      <c r="D905" s="1454"/>
      <c r="E905" s="1454"/>
      <c r="F905" s="1454"/>
      <c r="G905" s="1444" t="str">
        <f t="shared" si="120"/>
        <v/>
      </c>
      <c r="I905" s="1446"/>
      <c r="J905" s="1446"/>
      <c r="K905" s="1452"/>
      <c r="L905" s="611">
        <f>ROW(OR_VEH!$A$667)</f>
        <v>667</v>
      </c>
      <c r="M905" s="611">
        <f>ROW(OR_VEH!$A$141)</f>
        <v>141</v>
      </c>
      <c r="N905" s="611" t="str">
        <f>"CPTE # "&amp;Page5_BUI_VE!$E$42&amp;"  "&amp;Page5_BUI_VE!$C$42&amp;" - COÛT DES VENTES - AAD"</f>
        <v>CPTE # 437C  NE PAS UTILISER - COÛT DES VENTES - AAD</v>
      </c>
      <c r="O905" s="611" t="str">
        <f t="shared" si="119"/>
        <v/>
      </c>
      <c r="P905" s="611" t="str">
        <f t="shared" si="121"/>
        <v>Page5_BUI_VE!M</v>
      </c>
      <c r="Q905" s="611">
        <f t="shared" si="122"/>
        <v>42</v>
      </c>
      <c r="R905" s="1447">
        <f t="shared" ca="1" si="123"/>
        <v>0</v>
      </c>
      <c r="S905" s="1447">
        <f t="shared" ca="1" si="124"/>
        <v>0</v>
      </c>
      <c r="T905" s="611">
        <v>22</v>
      </c>
      <c r="V905" s="2557" t="str">
        <f t="shared" ca="1" si="125"/>
        <v/>
      </c>
      <c r="W905" s="611" t="str">
        <f t="shared" ca="1" si="126"/>
        <v>Page5_BUI_VE, Ligne 39 [Page5_BUI_VE!M42]  -</v>
      </c>
    </row>
    <row r="906" spans="1:23">
      <c r="A906" s="1443" t="str">
        <f>celladdr(Page5_BUI_VE!M43)</f>
        <v>Page5_BUI_VE!M43</v>
      </c>
      <c r="B906" s="1456" t="s">
        <v>1086</v>
      </c>
      <c r="C906" s="1451" t="b">
        <f>IF(Page5_BUI_VE!$K$43=0,FALSE,OR(Page5_BUI_VE!$M$43/Page5_BUI_VE!$K$43&lt;INDEX(Min_Table,L906),Page5_BUI_VE!$M$43/Page5_BUI_VE!$K$43&gt;INDEX(Max_Table,L906)))</f>
        <v>0</v>
      </c>
      <c r="D906" s="1454" t="b">
        <f>OR(AND(Page5_BUI_VE!$L43&lt;&gt;0,Page5_BUI_VE!$M43=0),AND(Page5_BUI_VE!$M43&lt;&gt;0,Page5_BUI_VE!$L43=0))</f>
        <v>0</v>
      </c>
      <c r="E906" s="1454" t="b">
        <f>IF(Page5_BUI_VE!$K$43=0,FALSE,OR(Page5_BUI_VE!$M$43/Page5_BUI_VE!$K$43&lt;INDEX(Min_Table,M906),Page5_BUI_VE!$M$43/Page5_BUI_VE!$K$43&gt;INDEX(Max_Table,M906)))</f>
        <v>0</v>
      </c>
      <c r="F906" s="1454"/>
      <c r="G906" s="1444" t="str">
        <f t="shared" si="120"/>
        <v/>
      </c>
      <c r="H906" s="1447" t="str">
        <f>IF(C906=TRUE,Comments!$B$20&amp;DOLLAR(INDEX(Min_Table,L906),0)&amp;Comments!$B$18&amp;DOLLAR(INDEX(Max_Table,L906),0)&amp;Comments!$B$19&amp;DOLLAR(Page5_BUI_VE!$M$43/Page5_BUI_VE!$K$43,0),"")</f>
        <v/>
      </c>
      <c r="I906" s="1446" t="str">
        <f>IF(D906=TRUE,Comments!$B$24,"")</f>
        <v/>
      </c>
      <c r="J906" s="1446" t="str">
        <f>IF(E906=TRUE,Comments!$B$22&amp;DOLLAR(INDEX(Min_Table,M906),0)&amp;Comments!$B$18&amp;DOLLAR(INDEX(Max_Table,M906),0)&amp;Comments!$B$19&amp;IFERROR(DOLLAR(Page5_BUI_VE!$M$43/Page5_BUI_VE!$K$43,0),0),"")</f>
        <v/>
      </c>
      <c r="K906" s="1452"/>
      <c r="L906" s="611">
        <f>ROW(OR_VEH!$A$667)</f>
        <v>667</v>
      </c>
      <c r="M906" s="611">
        <f>ROW(OR_VEH!$A$142)</f>
        <v>142</v>
      </c>
      <c r="N906" s="611" t="str">
        <f>"CPTE # "&amp;Page5_BUI_VE!$E$43&amp;"  "&amp;Page5_BUI_VE!$C$43&amp;" - COÛT DES VENTES - AAD"</f>
        <v>CPTE # 438C  NE PAS UTILISER - COÛT DES VENTES - AAD</v>
      </c>
      <c r="O906" s="611" t="str">
        <f t="shared" si="119"/>
        <v/>
      </c>
      <c r="P906" s="611" t="str">
        <f t="shared" si="121"/>
        <v>Page5_BUI_VE!M</v>
      </c>
      <c r="Q906" s="611">
        <f t="shared" si="122"/>
        <v>43</v>
      </c>
      <c r="R906" s="1447">
        <f t="shared" ca="1" si="123"/>
        <v>0</v>
      </c>
      <c r="S906" s="1447">
        <f t="shared" ca="1" si="124"/>
        <v>0</v>
      </c>
      <c r="T906" s="611">
        <v>22</v>
      </c>
      <c r="V906" s="2557" t="str">
        <f t="shared" ca="1" si="125"/>
        <v/>
      </c>
      <c r="W906" s="611" t="str">
        <f t="shared" ca="1" si="126"/>
        <v>Page5_BUI_VE, Ligne 40 [Page5_BUI_VE!M43]  -</v>
      </c>
    </row>
    <row r="907" spans="1:23">
      <c r="A907" s="1443" t="str">
        <f>celladdr(Page5_BUI_VE!M44)</f>
        <v>Page5_BUI_VE!M44</v>
      </c>
      <c r="B907" s="1444" t="s">
        <v>1086</v>
      </c>
      <c r="C907" s="1451"/>
      <c r="D907" s="1454"/>
      <c r="E907" s="1454"/>
      <c r="F907" s="1454"/>
      <c r="G907" s="1444" t="str">
        <f t="shared" si="120"/>
        <v/>
      </c>
      <c r="H907" s="1447" t="str">
        <f>IF(C907=TRUE,Comments!$B$26,"")</f>
        <v/>
      </c>
      <c r="I907" s="1446" t="str">
        <f>IF(D907=TRUE,Comments!$B$24,"")</f>
        <v/>
      </c>
      <c r="J907" s="1446"/>
      <c r="K907" s="1452"/>
      <c r="O907" s="611" t="str">
        <f t="shared" si="119"/>
        <v/>
      </c>
      <c r="P907" s="611" t="str">
        <f t="shared" si="121"/>
        <v>Page5_BUI_VE!M</v>
      </c>
      <c r="Q907" s="611">
        <f t="shared" si="122"/>
        <v>44</v>
      </c>
      <c r="R907" s="1447">
        <f t="shared" ca="1" si="123"/>
        <v>0</v>
      </c>
      <c r="S907" s="1447">
        <f t="shared" ca="1" si="124"/>
        <v>0</v>
      </c>
      <c r="V907" s="2557" t="str">
        <f t="shared" ca="1" si="125"/>
        <v/>
      </c>
      <c r="W907" s="611" t="str">
        <f t="shared" ca="1" si="126"/>
        <v>Page5_BUI_VE, Ligne 41 [Page5_BUI_VE!M44]  -</v>
      </c>
    </row>
    <row r="908" spans="1:23">
      <c r="A908" s="1443" t="str">
        <f>celladdr(Page5_BUI_VE!M45)</f>
        <v>Page5_BUI_VE!M45</v>
      </c>
      <c r="B908" s="1456" t="s">
        <v>1086</v>
      </c>
      <c r="C908" s="1451" t="b">
        <f>IF(Page5_BUI_VE!$K$45=0,FALSE,OR(Page5_BUI_VE!$M$45/Page5_BUI_VE!$K$45&lt;INDEX(Min_Table,L908),Page5_BUI_VE!$M$45/Page5_BUI_VE!$K$45&gt;INDEX(Max_Table,L908)))</f>
        <v>0</v>
      </c>
      <c r="D908" s="1454" t="b">
        <f>OR(AND(Page5_BUI_VE!$L45&lt;&gt;0,Page5_BUI_VE!$M45=0),AND(Page5_BUI_VE!$M45&lt;&gt;0,Page5_BUI_VE!$L45=0))</f>
        <v>0</v>
      </c>
      <c r="E908" s="1454" t="b">
        <f>IF(Page5_BUI_VE!$K$45=0,FALSE,OR(Page5_BUI_VE!$M$45/Page5_BUI_VE!$K$45&lt;INDEX(Min_Table,M908),Page5_BUI_VE!$M$45/Page5_BUI_VE!$K$45&gt;INDEX(Max_Table,M908)))</f>
        <v>0</v>
      </c>
      <c r="F908" s="1454"/>
      <c r="G908" s="1444" t="str">
        <f t="shared" si="120"/>
        <v/>
      </c>
      <c r="H908" s="1447" t="str">
        <f>IF(C908=TRUE,Comments!$B$20&amp;DOLLAR(INDEX(Min_Table,L908),0)&amp;Comments!$B$18&amp;DOLLAR(INDEX(Max_Table,L908),0)&amp;Comments!$B$19&amp;DOLLAR(Page5_BUI_VE!$M$45/Page5_BUI_VE!$K$45,0),"")</f>
        <v/>
      </c>
      <c r="I908" s="1446" t="str">
        <f>IF(D908=TRUE,Comments!$B$24,"")</f>
        <v/>
      </c>
      <c r="J908" s="1446" t="str">
        <f>IF(E908=TRUE,Comments!$B$22&amp;DOLLAR(INDEX(Min_Table,M908),0)&amp;Comments!$B$18&amp;DOLLAR(INDEX(Max_Table,M908),0)&amp;Comments!$B$19&amp;IFERROR(DOLLAR(Page5_BUI_VE!$M$45/Page5_BUI_VE!$K$45,0),0),"")</f>
        <v/>
      </c>
      <c r="K908" s="1452"/>
      <c r="L908" s="611">
        <f>ROW(OR_VEH!$A$667)</f>
        <v>667</v>
      </c>
      <c r="M908" s="611">
        <f>ROW(OR_VEH!$A$144)</f>
        <v>144</v>
      </c>
      <c r="N908" s="611" t="str">
        <f>"CPTE # "&amp;Page5_BUI_VE!$E$45&amp;"  "&amp;Page5_BUI_VE!$C$45&amp;" - COÛT DES VENTES - AAD"</f>
        <v>CPTE # 439C  MÉMO* VENTES INTERNET CAMIONS - COÛT DES VENTES - AAD</v>
      </c>
      <c r="O908" s="611" t="str">
        <f t="shared" si="119"/>
        <v/>
      </c>
      <c r="P908" s="611" t="str">
        <f t="shared" si="121"/>
        <v>Page5_BUI_VE!M</v>
      </c>
      <c r="Q908" s="611">
        <f t="shared" si="122"/>
        <v>45</v>
      </c>
      <c r="R908" s="1447">
        <f t="shared" ca="1" si="123"/>
        <v>0</v>
      </c>
      <c r="S908" s="1447">
        <f t="shared" ca="1" si="124"/>
        <v>0</v>
      </c>
      <c r="T908" s="611">
        <v>22</v>
      </c>
      <c r="V908" s="2557" t="str">
        <f t="shared" ca="1" si="125"/>
        <v/>
      </c>
      <c r="W908" s="611" t="str">
        <f t="shared" ca="1" si="126"/>
        <v>Page5_BUI_VE, Ligne 42 [Page5_BUI_VE!M45]  -</v>
      </c>
    </row>
    <row r="909" spans="1:23">
      <c r="A909" s="1443" t="str">
        <f>celladdr(Page5_BUI_VE!M46)</f>
        <v>Page5_BUI_VE!M46</v>
      </c>
      <c r="B909" s="1456" t="s">
        <v>1086</v>
      </c>
      <c r="C909" s="1451" t="b">
        <f>IF(Page5_BUI_VE!$K$46=0,FALSE,OR(Page5_BUI_VE!$M$46/Page5_BUI_VE!$K$46&lt;INDEX(Min_Table,L909),Page5_BUI_VE!$M$46/Page5_BUI_VE!$K$46&gt;INDEX(Max_Table,L909)))</f>
        <v>0</v>
      </c>
      <c r="D909" s="1454" t="b">
        <f>OR(AND(Page5_BUI_VE!$L46&lt;&gt;0,Page5_BUI_VE!$M46=0),AND(Page5_BUI_VE!$M46&lt;&gt;0,Page5_BUI_VE!$L46=0))</f>
        <v>0</v>
      </c>
      <c r="E909" s="1454" t="b">
        <f>IF(Page5_BUI_VE!$K$46=0,FALSE,OR(Page5_BUI_VE!$M$46/Page5_BUI_VE!$K$46&lt;INDEX(Min_Table,M909),Page5_BUI_VE!$M$46/Page5_BUI_VE!$K$46&gt;INDEX(Max_Table,M909)))</f>
        <v>0</v>
      </c>
      <c r="F909" s="1454"/>
      <c r="G909" s="1444" t="str">
        <f t="shared" si="120"/>
        <v/>
      </c>
      <c r="H909" s="1447" t="str">
        <f>IF(C909=TRUE,Comments!$B$20&amp;DOLLAR(INDEX(Min_Table,L909),0)&amp;Comments!$B$18&amp;DOLLAR(INDEX(Max_Table,L909),0)&amp;Comments!$B$19&amp;DOLLAR(Page5_BUI_VE!$M$46/Page5_BUI_VE!$K$46,0),"")</f>
        <v/>
      </c>
      <c r="I909" s="1446" t="str">
        <f>IF(D909=TRUE,Comments!$B$24,"")</f>
        <v/>
      </c>
      <c r="J909" s="1446" t="str">
        <f>IF(E909=TRUE,Comments!$B$22&amp;DOLLAR(INDEX(Min_Table,M909),0)&amp;Comments!$B$18&amp;DOLLAR(INDEX(Max_Table,M909),0)&amp;Comments!$B$19&amp;IFERROR(DOLLAR(Page5_BUI_VE!$M$46/Page5_BUI_VE!$K$46,0),0),"")</f>
        <v/>
      </c>
      <c r="K909" s="1452"/>
      <c r="L909" s="611">
        <f>ROW(OR_VEH!$A$667)</f>
        <v>667</v>
      </c>
      <c r="M909" s="611">
        <f>ROW(OR_VEH!$A$145)</f>
        <v>145</v>
      </c>
      <c r="N909" s="611" t="str">
        <f>"CPTE # "&amp;Page5_BUI_VE!$E$46&amp;"  "&amp;Page5_BUI_VE!$C$46&amp;" - COÛT DES VENTES - AAD"</f>
        <v>CPTE # DE PG PARCS  TOTAL PARCS - CAMIONS - COÛT DES VENTES - AAD</v>
      </c>
      <c r="O909" s="611" t="str">
        <f t="shared" si="119"/>
        <v/>
      </c>
      <c r="P909" s="611" t="str">
        <f t="shared" si="121"/>
        <v>Page5_BUI_VE!M</v>
      </c>
      <c r="Q909" s="611">
        <f t="shared" si="122"/>
        <v>46</v>
      </c>
      <c r="R909" s="1447">
        <f t="shared" ca="1" si="123"/>
        <v>0</v>
      </c>
      <c r="S909" s="1447">
        <f t="shared" ca="1" si="124"/>
        <v>0</v>
      </c>
      <c r="T909" s="611">
        <v>22</v>
      </c>
      <c r="V909" s="2557" t="str">
        <f t="shared" ca="1" si="125"/>
        <v/>
      </c>
      <c r="W909" s="611" t="str">
        <f t="shared" ca="1" si="126"/>
        <v>Page5_BUI_VE, Ligne 43 [Page5_BUI_VE!M46]  -</v>
      </c>
    </row>
    <row r="910" spans="1:23">
      <c r="A910" s="1443" t="str">
        <f>celladdr(Page5_BUI_VE!M47)</f>
        <v>Page5_BUI_VE!M47</v>
      </c>
      <c r="B910" s="1456" t="s">
        <v>1086</v>
      </c>
      <c r="C910" s="1451" t="b">
        <f>IF(Page5_BUI_VE!$K$47=0,FALSE,OR(Page5_BUI_VE!$M$47/Page5_BUI_VE!$K$47&lt;INDEX(Min_Table,L910),Page5_BUI_VE!$M$47/Page5_BUI_VE!$K$47&gt;INDEX(Max_Table,L910)))</f>
        <v>0</v>
      </c>
      <c r="D910" s="1454" t="b">
        <f>OR(AND(Page5_BUI_VE!$L47&lt;&gt;0,Page5_BUI_VE!$M47=0),AND(Page5_BUI_VE!$M47&lt;&gt;0,Page5_BUI_VE!$L47=0))</f>
        <v>0</v>
      </c>
      <c r="E910" s="1454" t="b">
        <f>IF(Page5_BUI_VE!$K$47=0,FALSE,OR(Page5_BUI_VE!$M$47/Page5_BUI_VE!$K$47&lt;INDEX(Min_Table,M910),Page5_BUI_VE!$M$47/Page5_BUI_VE!$K$47&gt;INDEX(Max_Table,M910)))</f>
        <v>0</v>
      </c>
      <c r="F910" s="1454"/>
      <c r="G910" s="1444" t="str">
        <f t="shared" si="120"/>
        <v/>
      </c>
      <c r="H910" s="1447" t="str">
        <f>IF(C910=TRUE,Comments!$B$20&amp;DOLLAR(INDEX(Min_Table,L910),0)&amp;Comments!$B$18&amp;DOLLAR(INDEX(Max_Table,L910),0)&amp;Comments!$B$19&amp;DOLLAR(Page5_BUI_VE!$M$47/Page5_BUI_VE!$K$47,0),"")</f>
        <v/>
      </c>
      <c r="I910" s="1446" t="str">
        <f>IF(D910=TRUE,Comments!$B$24,"")</f>
        <v/>
      </c>
      <c r="J910" s="1446" t="str">
        <f>IF(E910=TRUE,Comments!$B$22&amp;DOLLAR(INDEX(Min_Table,M910),0)&amp;Comments!$B$18&amp;DOLLAR(INDEX(Max_Table,M910),0)&amp;Comments!$B$19&amp;IFERROR(DOLLAR(Page5_BUI_VE!$M$47/Page5_BUI_VE!$K$47,0),0),"")</f>
        <v/>
      </c>
      <c r="K910" s="1452"/>
      <c r="L910" s="611">
        <f>ROW(OR_VEH!$A$667)</f>
        <v>667</v>
      </c>
      <c r="M910" s="611">
        <f>ROW(OR_VEH!$A$146)</f>
        <v>146</v>
      </c>
      <c r="N910" s="611" t="str">
        <f>"CPTE # "&amp;Page5_BUI_VE!$E$47&amp;"  "&amp;Page5_BUI_VE!$C$47&amp;" - COÛT DES VENTES - AAD"</f>
        <v>CPTE # 441C  TOTAL IINTERNE - CAMIONS  - COÛT DES VENTES - AAD</v>
      </c>
      <c r="O910" s="611" t="str">
        <f t="shared" si="119"/>
        <v/>
      </c>
      <c r="P910" s="611" t="str">
        <f t="shared" si="121"/>
        <v>Page5_BUI_VE!M</v>
      </c>
      <c r="Q910" s="611">
        <f t="shared" si="122"/>
        <v>47</v>
      </c>
      <c r="R910" s="1447">
        <f t="shared" ca="1" si="123"/>
        <v>0</v>
      </c>
      <c r="S910" s="1447">
        <f t="shared" ca="1" si="124"/>
        <v>0</v>
      </c>
      <c r="T910" s="611">
        <v>22</v>
      </c>
      <c r="V910" s="2557" t="str">
        <f t="shared" ca="1" si="125"/>
        <v/>
      </c>
      <c r="W910" s="611" t="str">
        <f t="shared" ca="1" si="126"/>
        <v>Page5_BUI_VE, Ligne 44 [Page5_BUI_VE!M47]  -</v>
      </c>
    </row>
    <row r="911" spans="1:23">
      <c r="A911" s="1443" t="str">
        <f>celladdr(Page5_BUI_VE!M48)</f>
        <v>Page5_BUI_VE!M48</v>
      </c>
      <c r="B911" s="1444" t="s">
        <v>1086</v>
      </c>
      <c r="C911" s="1451"/>
      <c r="D911" s="1454"/>
      <c r="E911" s="1454"/>
      <c r="F911" s="1454"/>
      <c r="G911" s="1444" t="str">
        <f t="shared" si="120"/>
        <v/>
      </c>
      <c r="H911" s="1447" t="str">
        <f>IF(C911=TRUE,Comments!$B$26,"")</f>
        <v/>
      </c>
      <c r="I911" s="1446" t="str">
        <f>IF(D911=TRUE,Comments!$B$24,"")</f>
        <v/>
      </c>
      <c r="J911" s="1446"/>
      <c r="K911" s="1452"/>
      <c r="O911" s="611" t="str">
        <f t="shared" si="119"/>
        <v/>
      </c>
      <c r="P911" s="611" t="str">
        <f t="shared" si="121"/>
        <v>Page5_BUI_VE!M</v>
      </c>
      <c r="Q911" s="611">
        <f t="shared" si="122"/>
        <v>48</v>
      </c>
      <c r="R911" s="1447">
        <f t="shared" ca="1" si="123"/>
        <v>0</v>
      </c>
      <c r="S911" s="1447">
        <f t="shared" ca="1" si="124"/>
        <v>0</v>
      </c>
      <c r="V911" s="2557" t="str">
        <f t="shared" ca="1" si="125"/>
        <v/>
      </c>
      <c r="W911" s="611" t="str">
        <f t="shared" ca="1" si="126"/>
        <v>Page5_BUI_VE, Ligne 45 [Page5_BUI_VE!M48]  -</v>
      </c>
    </row>
    <row r="912" spans="1:23">
      <c r="A912" s="1443" t="str">
        <f>celladdr(Page5_BUI_VE!M49)</f>
        <v>Page5_BUI_VE!M49</v>
      </c>
      <c r="B912" s="1456" t="s">
        <v>1086</v>
      </c>
      <c r="C912" s="1451"/>
      <c r="D912" s="1454" t="b">
        <f>OR(AND(Page5_BUI_VE!$L49&lt;&gt;0,Page5_BUI_VE!$M49=0),AND(Page5_BUI_VE!$M49&lt;&gt;0,Page5_BUI_VE!$L49=0))</f>
        <v>0</v>
      </c>
      <c r="E912" s="1454"/>
      <c r="F912" s="1454"/>
      <c r="G912" s="1444" t="str">
        <f t="shared" si="120"/>
        <v/>
      </c>
      <c r="I912" s="1446" t="str">
        <f>IF(D912=TRUE,Comments!$B$24,"")</f>
        <v/>
      </c>
      <c r="J912" s="1446"/>
      <c r="K912" s="1452"/>
      <c r="N912" s="611" t="str">
        <f>"CPTE # "&amp;Page5_BUI_VE!$E$49&amp;"  "&amp;Page5_BUI_VE!$C$49&amp;" - COÛT DES VENTES - AAD"</f>
        <v>CPTE #      - COÛT DES VENTES - AAD</v>
      </c>
      <c r="O912" s="611" t="str">
        <f t="shared" si="119"/>
        <v/>
      </c>
      <c r="P912" s="611" t="str">
        <f t="shared" si="121"/>
        <v>Page5_BUI_VE!M</v>
      </c>
      <c r="Q912" s="611">
        <f t="shared" si="122"/>
        <v>49</v>
      </c>
      <c r="R912" s="1447">
        <f t="shared" ca="1" si="123"/>
        <v>0</v>
      </c>
      <c r="S912" s="1447">
        <f t="shared" ca="1" si="124"/>
        <v>0</v>
      </c>
      <c r="V912" s="2557" t="str">
        <f t="shared" ca="1" si="125"/>
        <v/>
      </c>
      <c r="W912" s="611" t="str">
        <f t="shared" ca="1" si="126"/>
        <v>Page5_BUI_VE, Ligne 46 [Page5_BUI_VE!M49]  -</v>
      </c>
    </row>
    <row r="913" spans="1:23">
      <c r="A913" s="1443" t="str">
        <f>celladdr(Page5_BUI_VE!M50)</f>
        <v>Page5_BUI_VE!M50</v>
      </c>
      <c r="B913" s="1456" t="s">
        <v>1086</v>
      </c>
      <c r="C913" s="1451"/>
      <c r="D913" s="1454" t="b">
        <f>OR(AND(Page5_BUI_VE!$L50&lt;&gt;0,Page5_BUI_VE!$M50=0),AND(Page5_BUI_VE!$M50&lt;&gt;0,Page5_BUI_VE!$L50=0))</f>
        <v>0</v>
      </c>
      <c r="E913" s="1454"/>
      <c r="F913" s="1454"/>
      <c r="G913" s="1444" t="str">
        <f t="shared" si="120"/>
        <v/>
      </c>
      <c r="I913" s="1446" t="str">
        <f>IF(D913=TRUE,Comments!$B$24,"")</f>
        <v/>
      </c>
      <c r="J913" s="1446"/>
      <c r="K913" s="1452"/>
      <c r="N913" s="611" t="str">
        <f>"CPTE # "&amp;Page5_BUI_VE!$E$50&amp;"  "&amp;Page5_BUI_VE!$C$50&amp;" - COÛT DES VENTES - AAD"</f>
        <v>CPTE # 457C  ACCESSOIRES - COÛT DES VENTES - AAD</v>
      </c>
      <c r="O913" s="611" t="str">
        <f t="shared" si="119"/>
        <v/>
      </c>
      <c r="P913" s="611" t="str">
        <f t="shared" si="121"/>
        <v>Page5_BUI_VE!M</v>
      </c>
      <c r="Q913" s="611">
        <f t="shared" si="122"/>
        <v>50</v>
      </c>
      <c r="R913" s="1447">
        <f t="shared" ca="1" si="123"/>
        <v>0</v>
      </c>
      <c r="S913" s="1447">
        <f t="shared" ca="1" si="124"/>
        <v>0</v>
      </c>
      <c r="V913" s="2557" t="str">
        <f t="shared" ca="1" si="125"/>
        <v/>
      </c>
      <c r="W913" s="611" t="str">
        <f t="shared" ca="1" si="126"/>
        <v>Page5_BUI_VE, Ligne 47 [Page5_BUI_VE!M50]  -</v>
      </c>
    </row>
    <row r="914" spans="1:23">
      <c r="A914" s="1443" t="str">
        <f>celladdr(Page5_BUI_VE!N51)</f>
        <v>Page5_BUI_VE!N51</v>
      </c>
      <c r="B914" s="1455" t="s">
        <v>1086</v>
      </c>
      <c r="C914" s="1445" t="b">
        <f>Page5_BUI_VE!$N$51&lt;&gt;Page5_BUI_VE!$N$48+Page5_BUI_VE!$N$49+Page5_BUI_VE!$N$27+Page5_BUI_VE!$N$50</f>
        <v>0</v>
      </c>
      <c r="D914" s="1454"/>
      <c r="F914" s="1454"/>
      <c r="G914" s="1444" t="str">
        <f t="shared" si="120"/>
        <v/>
      </c>
      <c r="H914" s="1446" t="str">
        <f>IF(C914=TRUE,Comments!$B$39&amp;DOLLAR(Page5_BUI_VE!$N$51-(Page5_BUI_VE!$N$48+Page5_BUI_VE!$N$49+Page5_BUI_VE!$N$27+Page5_BUI_VE!$N$50),0),"")</f>
        <v/>
      </c>
      <c r="I914" s="1452"/>
      <c r="J914" s="1452"/>
      <c r="K914" s="1452"/>
      <c r="N914" s="611" t="str">
        <f>Page5_BUI_VE!$B$1&amp;" TOTAL VÉHICULES NEUFS - PROFIT BRUT - AAD"</f>
        <v>BUICK - VE TOTAL VÉHICULES NEUFS - PROFIT BRUT - AAD</v>
      </c>
      <c r="O914" s="611" t="str">
        <f t="shared" si="119"/>
        <v/>
      </c>
      <c r="P914" s="611" t="str">
        <f t="shared" si="121"/>
        <v>Page5_BUI_VE!N</v>
      </c>
      <c r="Q914" s="611">
        <f t="shared" si="122"/>
        <v>51</v>
      </c>
      <c r="R914" s="1447">
        <f t="shared" ca="1" si="123"/>
        <v>0</v>
      </c>
      <c r="S914" s="1447">
        <f t="shared" ca="1" si="124"/>
        <v>0</v>
      </c>
      <c r="V914" s="2557" t="str">
        <f t="shared" ca="1" si="125"/>
        <v/>
      </c>
      <c r="W914" s="611" t="str">
        <f t="shared" ca="1" si="126"/>
        <v>Page5_BUI_VE, Ligne 48 [Page5_BUI_VE!N51]  -</v>
      </c>
    </row>
    <row r="915" spans="1:23">
      <c r="A915" s="1443" t="str">
        <f>celladdr(Page5_BUI_MCI!F51)</f>
        <v>Page5_BUI_MCI!F51</v>
      </c>
      <c r="B915" s="1453" t="s">
        <v>1086</v>
      </c>
      <c r="C915" s="1445" t="b">
        <f>Page5_BUI_MCI!$F$51&lt;&gt;Page5_BUI_MCI!$F$48+Page5_BUI_MCI!$F$27</f>
        <v>0</v>
      </c>
      <c r="D915" s="1454"/>
      <c r="F915" s="1454"/>
      <c r="G915" s="1444" t="str">
        <f t="shared" si="120"/>
        <v/>
      </c>
      <c r="H915" s="1446" t="str">
        <f>IF(C915=TRUE,Comments!$B$38&amp;Page5_BUI_MCI!$F$51-(Page5_BUI_MCI!$F$48+Page5_BUI_MCI!$F$27),"")</f>
        <v/>
      </c>
      <c r="I915" s="1452"/>
      <c r="J915" s="1452"/>
      <c r="K915" s="1452"/>
      <c r="N915" s="611" t="str">
        <f>Page5_BUI_MCI!$B$1&amp;" TOTAL VÉHICULES NEUFS  UNITÉS  - MOIS"</f>
        <v>BUICK TOTAL VÉHICULES NEUFS  UNITÉS  - MOIS</v>
      </c>
      <c r="O915" s="611" t="str">
        <f t="shared" si="119"/>
        <v/>
      </c>
      <c r="P915" s="611" t="str">
        <f t="shared" si="121"/>
        <v>Page5_BUI_MCI!F</v>
      </c>
      <c r="Q915" s="611">
        <f t="shared" si="122"/>
        <v>51</v>
      </c>
      <c r="R915" s="1447">
        <f t="shared" ca="1" si="123"/>
        <v>0</v>
      </c>
      <c r="S915" s="1447">
        <f t="shared" ca="1" si="124"/>
        <v>0</v>
      </c>
      <c r="V915" s="2557" t="str">
        <f t="shared" ca="1" si="125"/>
        <v/>
      </c>
      <c r="W915" s="611" t="str">
        <f t="shared" ca="1" si="126"/>
        <v>Page5_BUI_MCI, Ligne 48 [Page5_BUI_MCI!F51]  -</v>
      </c>
    </row>
    <row r="916" spans="1:23">
      <c r="A916" s="1443" t="str">
        <f>celladdr(Page5_BUI_MCI!I51)</f>
        <v>Page5_BUI_MCI!I51</v>
      </c>
      <c r="B916" s="1455" t="s">
        <v>1086</v>
      </c>
      <c r="C916" s="1445" t="b">
        <f>Page5_BUI_MCI!$I$51&lt;&gt;Page5_BUI_MCI!$I$48+Page5_BUI_MCI!$I$49+Page5_BUI_MCI!$I$27+Page5_BUI_MCI!$I$50</f>
        <v>0</v>
      </c>
      <c r="D916" s="1454"/>
      <c r="F916" s="1454"/>
      <c r="G916" s="1444" t="str">
        <f t="shared" si="120"/>
        <v/>
      </c>
      <c r="H916" s="1446" t="str">
        <f>IF(C916=TRUE,Comments!$B$39&amp;DOLLAR(Page5_BUI_MCI!$I$51-(Page5_BUI_MCI!$I$48+Page5_BUI_MCI!$I$49+Page5_BUI_MCI!$I$27+Page5_BUI_MCI!$I$50),0),"")</f>
        <v/>
      </c>
      <c r="I916" s="1452"/>
      <c r="J916" s="1452"/>
      <c r="K916" s="1452"/>
      <c r="N916" s="611" t="str">
        <f>Page5_BUI_MCI!$B$1&amp;" TOTAL VÉHICULES NEUFS - PROFIT BRUT - MOIS"</f>
        <v>BUICK TOTAL VÉHICULES NEUFS - PROFIT BRUT - MOIS</v>
      </c>
      <c r="O916" s="611" t="str">
        <f t="shared" si="119"/>
        <v/>
      </c>
      <c r="P916" s="611" t="str">
        <f t="shared" si="121"/>
        <v>Page5_BUI_MCI!I</v>
      </c>
      <c r="Q916" s="611">
        <f t="shared" si="122"/>
        <v>51</v>
      </c>
      <c r="R916" s="1447">
        <f t="shared" ca="1" si="123"/>
        <v>0</v>
      </c>
      <c r="S916" s="1447">
        <f t="shared" ca="1" si="124"/>
        <v>0</v>
      </c>
      <c r="V916" s="2557" t="str">
        <f t="shared" ca="1" si="125"/>
        <v/>
      </c>
      <c r="W916" s="611" t="str">
        <f t="shared" ca="1" si="126"/>
        <v>Page5_BUI_MCI, Ligne 48 [Page5_BUI_MCI!I51]  -</v>
      </c>
    </row>
    <row r="917" spans="1:23">
      <c r="A917" s="1443" t="str">
        <f>celladdr(Page5_BUI_MCI!K4)</f>
        <v>Page5_BUI_MCI!K4</v>
      </c>
      <c r="B917" s="1464" t="s">
        <v>1086</v>
      </c>
      <c r="C917" s="1451" t="b">
        <f>Page5_BUI_MCI!$K$4&lt;0</f>
        <v>0</v>
      </c>
      <c r="D917" s="1454" t="b">
        <f>OR(AND(Page5_BUI_MCI!$K4&gt;0,Page5_BUI_MCI!$M4=0),AND(Page5_BUI_MCI!$M4&lt;&gt;0,Page5_BUI_MCI!$K4=0))</f>
        <v>0</v>
      </c>
      <c r="E917" s="1454"/>
      <c r="F917" s="1454"/>
      <c r="G917" s="1444" t="str">
        <f t="shared" si="120"/>
        <v/>
      </c>
      <c r="H917" s="1447" t="str">
        <f>IF(C917=TRUE,Comments!$B$26,"")</f>
        <v/>
      </c>
      <c r="I917" s="1446" t="str">
        <f>IF(D917=TRUE,Comments!$B$21,"")</f>
        <v/>
      </c>
      <c r="J917" s="1446"/>
      <c r="K917" s="1452"/>
      <c r="N917" s="611" t="str">
        <f>"CPTE # "&amp;Page5_BUI_MCI!$E$4&amp;"  "&amp;Page5_BUI_MCI!$C$4&amp;" - UNITÉS - AAD"</f>
        <v>CPTE # 400D  REGAL - UNITÉS - AAD</v>
      </c>
      <c r="O917" s="611" t="str">
        <f t="shared" si="119"/>
        <v/>
      </c>
      <c r="P917" s="611" t="str">
        <f t="shared" si="121"/>
        <v>Page5_BUI_MCI!K</v>
      </c>
      <c r="Q917" s="611">
        <f t="shared" si="122"/>
        <v>4</v>
      </c>
      <c r="R917" s="1447">
        <f t="shared" ca="1" si="123"/>
        <v>0</v>
      </c>
      <c r="S917" s="1447">
        <f t="shared" ca="1" si="124"/>
        <v>0</v>
      </c>
      <c r="V917" s="2557" t="str">
        <f t="shared" ca="1" si="125"/>
        <v/>
      </c>
      <c r="W917" s="611" t="str">
        <f t="shared" ca="1" si="126"/>
        <v>Page5_BUI_MCI, Ligne 1 [Page5_BUI_MCI!K4]  -</v>
      </c>
    </row>
    <row r="918" spans="1:23">
      <c r="A918" s="1443" t="str">
        <f>celladdr(Page5_BUI_MCI!K5)</f>
        <v>Page5_BUI_MCI!K5</v>
      </c>
      <c r="B918" s="1464" t="s">
        <v>1086</v>
      </c>
      <c r="C918" s="1451" t="b">
        <f>Page5_BUI_MCI!$K$5&lt;0</f>
        <v>0</v>
      </c>
      <c r="D918" s="1454" t="b">
        <f>OR(AND(Page5_BUI_MCI!$K5&gt;0,Page5_BUI_MCI!$M5=0),AND(Page5_BUI_MCI!$M5&lt;&gt;0,Page5_BUI_MCI!$K5=0))</f>
        <v>0</v>
      </c>
      <c r="E918" s="1454"/>
      <c r="F918" s="1454"/>
      <c r="G918" s="1444" t="str">
        <f t="shared" si="120"/>
        <v/>
      </c>
      <c r="H918" s="1447" t="str">
        <f>IF(C918=TRUE,Comments!$B$26,"")</f>
        <v/>
      </c>
      <c r="I918" s="1446" t="str">
        <f>IF(D918=TRUE,Comments!$B$21,"")</f>
        <v/>
      </c>
      <c r="J918" s="1446"/>
      <c r="K918" s="1452"/>
      <c r="N918" s="611" t="str">
        <f>"CPTE # "&amp;Page5_BUI_MCI!$E$5&amp;"  "&amp;Page5_BUI_MCI!$C$5&amp;" - UNITÉS - AAD"</f>
        <v>CPTE # 401D  LACROSSE - UNITÉS - AAD</v>
      </c>
      <c r="O918" s="611" t="str">
        <f t="shared" si="119"/>
        <v/>
      </c>
      <c r="P918" s="611" t="str">
        <f t="shared" si="121"/>
        <v>Page5_BUI_MCI!K</v>
      </c>
      <c r="Q918" s="611">
        <f t="shared" si="122"/>
        <v>5</v>
      </c>
      <c r="R918" s="1447">
        <f t="shared" ca="1" si="123"/>
        <v>0</v>
      </c>
      <c r="S918" s="1447">
        <f t="shared" ca="1" si="124"/>
        <v>0</v>
      </c>
      <c r="V918" s="2557" t="str">
        <f t="shared" ca="1" si="125"/>
        <v/>
      </c>
      <c r="W918" s="611" t="str">
        <f t="shared" ca="1" si="126"/>
        <v>Page5_BUI_MCI, Ligne 2 [Page5_BUI_MCI!K5]  -</v>
      </c>
    </row>
    <row r="919" spans="1:23">
      <c r="A919" s="1443" t="str">
        <f>celladdr(Page5_BUI_MCI!K6)</f>
        <v>Page5_BUI_MCI!K6</v>
      </c>
      <c r="B919" s="1464" t="s">
        <v>1086</v>
      </c>
      <c r="C919" s="1451" t="b">
        <f>Page5_BUI_MCI!$K$6&lt;0</f>
        <v>0</v>
      </c>
      <c r="D919" s="1454" t="b">
        <f>OR(AND(Page5_BUI_MCI!$K6&gt;0,Page5_BUI_MCI!$M6=0),AND(Page5_BUI_MCI!$M6&lt;&gt;0,Page5_BUI_MCI!$K6=0))</f>
        <v>0</v>
      </c>
      <c r="E919" s="1454"/>
      <c r="F919" s="1454"/>
      <c r="G919" s="1444" t="str">
        <f t="shared" si="120"/>
        <v/>
      </c>
      <c r="H919" s="1447" t="str">
        <f>IF(C919=TRUE,Comments!$B$26,"")</f>
        <v/>
      </c>
      <c r="I919" s="1446" t="str">
        <f>IF(D919=TRUE,Comments!$B$21,"")</f>
        <v/>
      </c>
      <c r="J919" s="1446"/>
      <c r="K919" s="1452"/>
      <c r="N919" s="611" t="str">
        <f>"CPTE # "&amp;Page5_BUI_MCI!$E$6&amp;"  "&amp;Page5_BUI_MCI!$C$6&amp;" - UNITÉS - AAD"</f>
        <v>CPTE # 402D  VERANO - UNITÉS - AAD</v>
      </c>
      <c r="O919" s="611" t="str">
        <f t="shared" si="119"/>
        <v/>
      </c>
      <c r="P919" s="611" t="str">
        <f t="shared" si="121"/>
        <v>Page5_BUI_MCI!K</v>
      </c>
      <c r="Q919" s="611">
        <f t="shared" si="122"/>
        <v>6</v>
      </c>
      <c r="R919" s="1447">
        <f t="shared" ca="1" si="123"/>
        <v>0</v>
      </c>
      <c r="S919" s="1447">
        <f t="shared" ca="1" si="124"/>
        <v>0</v>
      </c>
      <c r="V919" s="2557" t="str">
        <f t="shared" ca="1" si="125"/>
        <v/>
      </c>
      <c r="W919" s="611" t="str">
        <f t="shared" ca="1" si="126"/>
        <v>Page5_BUI_MCI, Ligne 3 [Page5_BUI_MCI!K6]  -</v>
      </c>
    </row>
    <row r="920" spans="1:23">
      <c r="A920" s="1443" t="str">
        <f>celladdr(Page5_BUI_MCI!K7)</f>
        <v>Page5_BUI_MCI!K7</v>
      </c>
      <c r="B920" s="1464" t="s">
        <v>1086</v>
      </c>
      <c r="C920" s="1451" t="b">
        <f>Page5_BUI_MCI!$K$7&lt;0</f>
        <v>0</v>
      </c>
      <c r="D920" s="1454" t="b">
        <f>OR(AND(Page5_BUI_MCI!$K7&gt;0,Page5_BUI_MCI!$M7=0),AND(Page5_BUI_MCI!$M7&lt;&gt;0,Page5_BUI_MCI!$K7=0))</f>
        <v>0</v>
      </c>
      <c r="E920" s="1454"/>
      <c r="F920" s="1454"/>
      <c r="G920" s="1444" t="str">
        <f t="shared" si="120"/>
        <v/>
      </c>
      <c r="H920" s="1447" t="str">
        <f>IF(C920=TRUE,Comments!$B$26,"")</f>
        <v/>
      </c>
      <c r="I920" s="1446" t="str">
        <f>IF(D920=TRUE,Comments!$B$21,"")</f>
        <v/>
      </c>
      <c r="J920" s="1446"/>
      <c r="K920" s="1452"/>
      <c r="N920" s="611" t="str">
        <f>"CPTE # "&amp;Page5_BUI_MCI!$E$7&amp;"  "&amp;Page5_BUI_MCI!$C$7&amp;" - UNITÉS - AAD"</f>
        <v>CPTE # 403D  NE PAS UTILISER - UNITÉS - AAD</v>
      </c>
      <c r="O920" s="611" t="str">
        <f t="shared" si="119"/>
        <v/>
      </c>
      <c r="P920" s="611" t="str">
        <f t="shared" si="121"/>
        <v>Page5_BUI_MCI!K</v>
      </c>
      <c r="Q920" s="611">
        <f t="shared" si="122"/>
        <v>7</v>
      </c>
      <c r="R920" s="1447">
        <f t="shared" ca="1" si="123"/>
        <v>0</v>
      </c>
      <c r="S920" s="1447">
        <f t="shared" ca="1" si="124"/>
        <v>0</v>
      </c>
      <c r="V920" s="2557" t="str">
        <f t="shared" ca="1" si="125"/>
        <v/>
      </c>
      <c r="W920" s="611" t="str">
        <f t="shared" ca="1" si="126"/>
        <v>Page5_BUI_MCI, Ligne 4 [Page5_BUI_MCI!K7]  -</v>
      </c>
    </row>
    <row r="921" spans="1:23">
      <c r="A921" s="1443" t="str">
        <f>celladdr(Page5_BUI_MCI!K8)</f>
        <v>Page5_BUI_MCI!K8</v>
      </c>
      <c r="B921" s="1464" t="s">
        <v>1086</v>
      </c>
      <c r="C921" s="1451" t="b">
        <f>Page5_BUI_MCI!$K$8&lt;0</f>
        <v>0</v>
      </c>
      <c r="D921" s="1454" t="b">
        <f>OR(AND(Page5_BUI_MCI!$K8&gt;0,Page5_BUI_MCI!$M8=0),AND(Page5_BUI_MCI!$M8&lt;&gt;0,Page5_BUI_MCI!$K8=0))</f>
        <v>0</v>
      </c>
      <c r="E921" s="1454"/>
      <c r="F921" s="1454"/>
      <c r="G921" s="1444" t="str">
        <f t="shared" si="120"/>
        <v/>
      </c>
      <c r="H921" s="1447" t="str">
        <f>IF(C921=TRUE,Comments!$B$26,"")</f>
        <v/>
      </c>
      <c r="I921" s="1446" t="str">
        <f>IF(D921=TRUE,Comments!$B$21,"")</f>
        <v/>
      </c>
      <c r="J921" s="1446"/>
      <c r="K921" s="1452"/>
      <c r="N921" s="611" t="str">
        <f>"CPTE # "&amp;Page5_BUI_MCI!$E$8&amp;"  "&amp;Page5_BUI_MCI!$C$8&amp;" - UNITÉS - AAD"</f>
        <v>CPTE # 404D  NE PAS UTILISER - UNITÉS - AAD</v>
      </c>
      <c r="O921" s="611" t="str">
        <f t="shared" si="119"/>
        <v/>
      </c>
      <c r="P921" s="611" t="str">
        <f t="shared" si="121"/>
        <v>Page5_BUI_MCI!K</v>
      </c>
      <c r="Q921" s="611">
        <f t="shared" si="122"/>
        <v>8</v>
      </c>
      <c r="R921" s="1447">
        <f t="shared" ca="1" si="123"/>
        <v>0</v>
      </c>
      <c r="S921" s="1447">
        <f t="shared" ca="1" si="124"/>
        <v>0</v>
      </c>
      <c r="V921" s="2557" t="str">
        <f t="shared" ca="1" si="125"/>
        <v/>
      </c>
      <c r="W921" s="611" t="str">
        <f t="shared" ca="1" si="126"/>
        <v>Page5_BUI_MCI, Ligne 5 [Page5_BUI_MCI!K8]  -</v>
      </c>
    </row>
    <row r="922" spans="1:23">
      <c r="A922" s="1443" t="str">
        <f>celladdr(Page5_BUI_MCI!K9)</f>
        <v>Page5_BUI_MCI!K9</v>
      </c>
      <c r="B922" s="1464" t="s">
        <v>1086</v>
      </c>
      <c r="C922" s="1451" t="b">
        <f>Page5_BUI_MCI!$K$9&lt;0</f>
        <v>0</v>
      </c>
      <c r="D922" s="1454" t="b">
        <f>OR(AND(Page5_BUI_MCI!$K9&gt;0,Page5_BUI_MCI!$M9=0),AND(Page5_BUI_MCI!$M9&lt;&gt;0,Page5_BUI_MCI!$K9=0))</f>
        <v>0</v>
      </c>
      <c r="E922" s="1454"/>
      <c r="F922" s="1454"/>
      <c r="G922" s="1444" t="str">
        <f t="shared" si="120"/>
        <v/>
      </c>
      <c r="H922" s="1447" t="str">
        <f>IF(C922=TRUE,Comments!$B$26,"")</f>
        <v/>
      </c>
      <c r="I922" s="1446" t="str">
        <f>IF(D922=TRUE,Comments!$B$21,"")</f>
        <v/>
      </c>
      <c r="J922" s="1446"/>
      <c r="K922" s="1452"/>
      <c r="N922" s="611" t="str">
        <f>"CPTE # "&amp;Page5_BUI_MCI!$E$9&amp;"  "&amp;Page5_BUI_MCI!$C$9&amp;" - UNITÉS - AAD"</f>
        <v>CPTE # 405D  NE PAS UTILISER - UNITÉS - AAD</v>
      </c>
      <c r="O922" s="611" t="str">
        <f t="shared" si="119"/>
        <v/>
      </c>
      <c r="P922" s="611" t="str">
        <f t="shared" si="121"/>
        <v>Page5_BUI_MCI!K</v>
      </c>
      <c r="Q922" s="611">
        <f t="shared" si="122"/>
        <v>9</v>
      </c>
      <c r="R922" s="1447">
        <f t="shared" ca="1" si="123"/>
        <v>0</v>
      </c>
      <c r="S922" s="1447">
        <f t="shared" ca="1" si="124"/>
        <v>0</v>
      </c>
      <c r="V922" s="2557" t="str">
        <f t="shared" ca="1" si="125"/>
        <v/>
      </c>
      <c r="W922" s="611" t="str">
        <f t="shared" ca="1" si="126"/>
        <v>Page5_BUI_MCI, Ligne 6 [Page5_BUI_MCI!K9]  -</v>
      </c>
    </row>
    <row r="923" spans="1:23">
      <c r="A923" s="1443" t="str">
        <f>celladdr(Page5_BUI_MCI!K10)</f>
        <v>Page5_BUI_MCI!K10</v>
      </c>
      <c r="B923" s="1464" t="s">
        <v>1086</v>
      </c>
      <c r="C923" s="1451" t="b">
        <f>Page5_BUI_MCI!$K$10&lt;0</f>
        <v>0</v>
      </c>
      <c r="D923" s="1454" t="b">
        <f>OR(AND(Page5_BUI_MCI!$K10&gt;0,Page5_BUI_MCI!$M10=0),AND(Page5_BUI_MCI!$M10&lt;&gt;0,Page5_BUI_MCI!$K10=0))</f>
        <v>0</v>
      </c>
      <c r="E923" s="1454"/>
      <c r="F923" s="1454"/>
      <c r="G923" s="1444" t="str">
        <f t="shared" si="120"/>
        <v/>
      </c>
      <c r="H923" s="1447" t="str">
        <f>IF(C923=TRUE,Comments!$B$26,"")</f>
        <v/>
      </c>
      <c r="I923" s="1446" t="str">
        <f>IF(D923=TRUE,Comments!$B$21,"")</f>
        <v/>
      </c>
      <c r="J923" s="1446"/>
      <c r="K923" s="1452"/>
      <c r="N923" s="611" t="str">
        <f>"CPTE # "&amp;Page5_BUI_MCI!$E$10&amp;"  "&amp;Page5_BUI_MCI!$C$10&amp;" - UNITÉS - AAD"</f>
        <v>CPTE # 406D  NE PAS UTILISER - UNITÉS - AAD</v>
      </c>
      <c r="O923" s="611" t="str">
        <f t="shared" si="119"/>
        <v/>
      </c>
      <c r="P923" s="611" t="str">
        <f t="shared" si="121"/>
        <v>Page5_BUI_MCI!K</v>
      </c>
      <c r="Q923" s="611">
        <f t="shared" si="122"/>
        <v>10</v>
      </c>
      <c r="R923" s="1447">
        <f t="shared" ca="1" si="123"/>
        <v>0</v>
      </c>
      <c r="S923" s="1447">
        <f t="shared" ca="1" si="124"/>
        <v>0</v>
      </c>
      <c r="V923" s="2557" t="str">
        <f t="shared" ca="1" si="125"/>
        <v/>
      </c>
      <c r="W923" s="611" t="str">
        <f t="shared" ca="1" si="126"/>
        <v>Page5_BUI_MCI, Ligne 7 [Page5_BUI_MCI!K10]  -</v>
      </c>
    </row>
    <row r="924" spans="1:23">
      <c r="A924" s="1443" t="str">
        <f>celladdr(Page5_BUI_MCI!K11)</f>
        <v>Page5_BUI_MCI!K11</v>
      </c>
      <c r="B924" s="1464" t="s">
        <v>1086</v>
      </c>
      <c r="C924" s="1451" t="b">
        <f>Page5_BUI_MCI!$K$11&lt;0</f>
        <v>0</v>
      </c>
      <c r="D924" s="1454" t="b">
        <f>OR(AND(Page5_BUI_MCI!$K11&gt;0,Page5_BUI_MCI!$M11=0),AND(Page5_BUI_MCI!$M11&lt;&gt;0,Page5_BUI_MCI!$K11=0))</f>
        <v>0</v>
      </c>
      <c r="E924" s="1454"/>
      <c r="F924" s="1454"/>
      <c r="G924" s="1444" t="str">
        <f t="shared" si="120"/>
        <v/>
      </c>
      <c r="H924" s="1447" t="str">
        <f>IF(C924=TRUE,Comments!$B$26,"")</f>
        <v/>
      </c>
      <c r="I924" s="1446" t="str">
        <f>IF(D924=TRUE,Comments!$B$21,"")</f>
        <v/>
      </c>
      <c r="J924" s="1446"/>
      <c r="K924" s="1452"/>
      <c r="N924" s="611" t="str">
        <f>"CPTE # "&amp;Page5_BUI_MCI!$E$11&amp;"  "&amp;Page5_BUI_MCI!$C$11&amp;" - UNITÉS - AAD"</f>
        <v>CPTE # 407D  NE PAS UTILISER - UNITÉS - AAD</v>
      </c>
      <c r="O924" s="611" t="str">
        <f t="shared" si="119"/>
        <v/>
      </c>
      <c r="P924" s="611" t="str">
        <f t="shared" si="121"/>
        <v>Page5_BUI_MCI!K</v>
      </c>
      <c r="Q924" s="611">
        <f t="shared" si="122"/>
        <v>11</v>
      </c>
      <c r="R924" s="1447">
        <f t="shared" ca="1" si="123"/>
        <v>0</v>
      </c>
      <c r="S924" s="1447">
        <f t="shared" ca="1" si="124"/>
        <v>0</v>
      </c>
      <c r="V924" s="2557" t="str">
        <f t="shared" ca="1" si="125"/>
        <v/>
      </c>
      <c r="W924" s="611" t="str">
        <f t="shared" ca="1" si="126"/>
        <v>Page5_BUI_MCI, Ligne 8 [Page5_BUI_MCI!K11]  -</v>
      </c>
    </row>
    <row r="925" spans="1:23">
      <c r="A925" s="1443" t="str">
        <f>celladdr(Page5_BUI_MCI!K12)</f>
        <v>Page5_BUI_MCI!K12</v>
      </c>
      <c r="B925" s="1464" t="s">
        <v>1086</v>
      </c>
      <c r="C925" s="1451" t="b">
        <f>Page5_BUI_MCI!$K$12&lt;0</f>
        <v>0</v>
      </c>
      <c r="D925" s="1454" t="b">
        <f>OR(AND(Page5_BUI_MCI!$K12&gt;0,Page5_BUI_MCI!$M12=0),AND(Page5_BUI_MCI!$M12&lt;&gt;0,Page5_BUI_MCI!$K12=0))</f>
        <v>0</v>
      </c>
      <c r="E925" s="1454"/>
      <c r="F925" s="1454"/>
      <c r="G925" s="1444" t="str">
        <f t="shared" si="120"/>
        <v/>
      </c>
      <c r="H925" s="1447" t="str">
        <f>IF(C925=TRUE,Comments!$B$26,"")</f>
        <v/>
      </c>
      <c r="I925" s="1446" t="str">
        <f>IF(D925=TRUE,Comments!$B$21,"")</f>
        <v/>
      </c>
      <c r="J925" s="1446"/>
      <c r="K925" s="1452"/>
      <c r="N925" s="611" t="str">
        <f>"CPTE # "&amp;Page5_BUI_MCI!$E$12&amp;"  "&amp;Page5_BUI_MCI!$C$12&amp;" - UNITÉS - AAD"</f>
        <v>CPTE # 408D  NE PAS UTILISER - UNITÉS - AAD</v>
      </c>
      <c r="O925" s="611" t="str">
        <f t="shared" si="119"/>
        <v/>
      </c>
      <c r="P925" s="611" t="str">
        <f t="shared" si="121"/>
        <v>Page5_BUI_MCI!K</v>
      </c>
      <c r="Q925" s="611">
        <f t="shared" si="122"/>
        <v>12</v>
      </c>
      <c r="R925" s="1447">
        <f t="shared" ca="1" si="123"/>
        <v>0</v>
      </c>
      <c r="S925" s="1447">
        <f t="shared" ca="1" si="124"/>
        <v>0</v>
      </c>
      <c r="V925" s="2557" t="str">
        <f t="shared" ca="1" si="125"/>
        <v/>
      </c>
      <c r="W925" s="611" t="str">
        <f t="shared" ca="1" si="126"/>
        <v>Page5_BUI_MCI, Ligne 9 [Page5_BUI_MCI!K12]  -</v>
      </c>
    </row>
    <row r="926" spans="1:23">
      <c r="A926" s="1443" t="str">
        <f>celladdr(Page5_BUI_MCI!K13)</f>
        <v>Page5_BUI_MCI!K13</v>
      </c>
      <c r="B926" s="1464" t="s">
        <v>1086</v>
      </c>
      <c r="C926" s="1451" t="b">
        <f>Page5_BUI_MCI!$K$13&lt;0</f>
        <v>0</v>
      </c>
      <c r="D926" s="1454" t="b">
        <f>OR(AND(Page5_BUI_MCI!$K13&gt;0,Page5_BUI_MCI!$M13=0),AND(Page5_BUI_MCI!$M13&lt;&gt;0,Page5_BUI_MCI!$K13=0))</f>
        <v>0</v>
      </c>
      <c r="E926" s="1454"/>
      <c r="F926" s="1454"/>
      <c r="G926" s="1444" t="str">
        <f t="shared" si="120"/>
        <v/>
      </c>
      <c r="H926" s="1447" t="str">
        <f>IF(C926=TRUE,Comments!$B$26,"")</f>
        <v/>
      </c>
      <c r="I926" s="1446" t="str">
        <f>IF(D926=TRUE,Comments!$B$21,"")</f>
        <v/>
      </c>
      <c r="J926" s="1446"/>
      <c r="K926" s="1452"/>
      <c r="N926" s="611" t="str">
        <f>"CPTE # "&amp;Page5_BUI_MCI!$E$13&amp;"  "&amp;Page5_BUI_MCI!$C$13&amp;" - UNITÉS - AAD"</f>
        <v>CPTE # 409D  NE PAS UTILISER - UNITÉS - AAD</v>
      </c>
      <c r="O926" s="611" t="str">
        <f t="shared" si="119"/>
        <v/>
      </c>
      <c r="P926" s="611" t="str">
        <f t="shared" si="121"/>
        <v>Page5_BUI_MCI!K</v>
      </c>
      <c r="Q926" s="611">
        <f t="shared" si="122"/>
        <v>13</v>
      </c>
      <c r="R926" s="1447">
        <f t="shared" ca="1" si="123"/>
        <v>0</v>
      </c>
      <c r="S926" s="1447">
        <f t="shared" ca="1" si="124"/>
        <v>0</v>
      </c>
      <c r="V926" s="2557" t="str">
        <f t="shared" ca="1" si="125"/>
        <v/>
      </c>
      <c r="W926" s="611" t="str">
        <f t="shared" ca="1" si="126"/>
        <v>Page5_BUI_MCI, Ligne 10 [Page5_BUI_MCI!K13]  -</v>
      </c>
    </row>
    <row r="927" spans="1:23">
      <c r="A927" s="1443" t="str">
        <f>celladdr(Page5_BUI_MCI!K14)</f>
        <v>Page5_BUI_MCI!K14</v>
      </c>
      <c r="B927" s="1464" t="s">
        <v>1086</v>
      </c>
      <c r="C927" s="1451" t="b">
        <f>Page5_BUI_MCI!$K$14&lt;0</f>
        <v>0</v>
      </c>
      <c r="D927" s="1454" t="b">
        <f>OR(AND(Page5_BUI_MCI!$K14&gt;0,Page5_BUI_MCI!$M14=0),AND(Page5_BUI_MCI!$M14&lt;&gt;0,Page5_BUI_MCI!$K14=0))</f>
        <v>0</v>
      </c>
      <c r="E927" s="1454"/>
      <c r="F927" s="1454"/>
      <c r="G927" s="1444" t="str">
        <f t="shared" si="120"/>
        <v/>
      </c>
      <c r="H927" s="1447" t="str">
        <f>IF(C927=TRUE,Comments!$B$26,"")</f>
        <v/>
      </c>
      <c r="I927" s="1446" t="str">
        <f>IF(D927=TRUE,Comments!$B$21,"")</f>
        <v/>
      </c>
      <c r="J927" s="1446"/>
      <c r="K927" s="1452"/>
      <c r="N927" s="611" t="str">
        <f>"CPTE # "&amp;Page5_BUI_MCI!$E$14&amp;"  "&amp;Page5_BUI_MCI!$C$14&amp;" - UNITÉS - AAD"</f>
        <v>CPTE # 410D  NE PAS UTILISER - UNITÉS - AAD</v>
      </c>
      <c r="O927" s="611" t="str">
        <f t="shared" si="119"/>
        <v/>
      </c>
      <c r="P927" s="611" t="str">
        <f t="shared" si="121"/>
        <v>Page5_BUI_MCI!K</v>
      </c>
      <c r="Q927" s="611">
        <f t="shared" si="122"/>
        <v>14</v>
      </c>
      <c r="R927" s="1447">
        <f t="shared" ca="1" si="123"/>
        <v>0</v>
      </c>
      <c r="S927" s="1447">
        <f t="shared" ca="1" si="124"/>
        <v>0</v>
      </c>
      <c r="V927" s="2557" t="str">
        <f t="shared" ca="1" si="125"/>
        <v/>
      </c>
      <c r="W927" s="611" t="str">
        <f t="shared" ca="1" si="126"/>
        <v>Page5_BUI_MCI, Ligne 11 [Page5_BUI_MCI!K14]  -</v>
      </c>
    </row>
    <row r="928" spans="1:23">
      <c r="A928" s="1443" t="str">
        <f>celladdr(Page5_BUI_MCI!K15)</f>
        <v>Page5_BUI_MCI!K15</v>
      </c>
      <c r="B928" s="1464" t="s">
        <v>1086</v>
      </c>
      <c r="C928" s="1451" t="b">
        <f>Page5_BUI_MCI!$K$15&lt;0</f>
        <v>0</v>
      </c>
      <c r="D928" s="1454" t="b">
        <f>OR(AND(Page5_BUI_MCI!$K15&gt;0,Page5_BUI_MCI!$M15=0),AND(Page5_BUI_MCI!$M15&lt;&gt;0,Page5_BUI_MCI!$K15=0))</f>
        <v>0</v>
      </c>
      <c r="E928" s="1454"/>
      <c r="F928" s="1454"/>
      <c r="G928" s="1444" t="str">
        <f t="shared" si="120"/>
        <v/>
      </c>
      <c r="H928" s="1447" t="str">
        <f>IF(C928=TRUE,Comments!$B$26,"")</f>
        <v/>
      </c>
      <c r="I928" s="1446" t="str">
        <f>IF(D928=TRUE,Comments!$B$21,"")</f>
        <v/>
      </c>
      <c r="J928" s="1446"/>
      <c r="K928" s="1452"/>
      <c r="N928" s="611" t="str">
        <f>"CPTE # "&amp;Page5_BUI_MCI!$E$15&amp;"  "&amp;Page5_BUI_MCI!$C$15&amp;" - UNITÉS - AAD"</f>
        <v>CPTE # 411D  NE PAS UTILISER - UNITÉS - AAD</v>
      </c>
      <c r="O928" s="611" t="str">
        <f t="shared" ref="O928:O959" si="127">IF(A928=A927,"TRUE","")</f>
        <v/>
      </c>
      <c r="P928" s="611" t="str">
        <f t="shared" si="121"/>
        <v>Page5_BUI_MCI!K</v>
      </c>
      <c r="Q928" s="611">
        <f t="shared" si="122"/>
        <v>15</v>
      </c>
      <c r="R928" s="1447">
        <f t="shared" ca="1" si="123"/>
        <v>0</v>
      </c>
      <c r="S928" s="1447">
        <f t="shared" ca="1" si="124"/>
        <v>0</v>
      </c>
      <c r="V928" s="2557" t="str">
        <f t="shared" ca="1" si="125"/>
        <v/>
      </c>
      <c r="W928" s="611" t="str">
        <f t="shared" ca="1" si="126"/>
        <v>Page5_BUI_MCI, Ligne 12 [Page5_BUI_MCI!K15]  -</v>
      </c>
    </row>
    <row r="929" spans="1:23">
      <c r="A929" s="1443" t="str">
        <f>celladdr(Page5_BUI_MCI!K16)</f>
        <v>Page5_BUI_MCI!K16</v>
      </c>
      <c r="B929" s="1464" t="s">
        <v>1086</v>
      </c>
      <c r="C929" s="1451" t="b">
        <f>Page5_BUI_MCI!$K$16&lt;0</f>
        <v>0</v>
      </c>
      <c r="D929" s="1454" t="b">
        <f>OR(AND(Page5_BUI_MCI!$K16&gt;0,Page5_BUI_MCI!$M16=0),AND(Page5_BUI_MCI!$M16&lt;&gt;0,Page5_BUI_MCI!$K16=0))</f>
        <v>0</v>
      </c>
      <c r="E929" s="1454"/>
      <c r="F929" s="1454"/>
      <c r="G929" s="1444" t="str">
        <f t="shared" si="120"/>
        <v/>
      </c>
      <c r="H929" s="1447" t="str">
        <f>IF(C929=TRUE,Comments!$B$26,"")</f>
        <v/>
      </c>
      <c r="I929" s="1446" t="str">
        <f>IF(D929=TRUE,Comments!$B$21,"")</f>
        <v/>
      </c>
      <c r="J929" s="1446"/>
      <c r="K929" s="1452"/>
      <c r="N929" s="611" t="str">
        <f>"CPTE # "&amp;Page5_BUI_MCI!$E$16&amp;"  "&amp;Page5_BUI_MCI!$C$16&amp;" - UNITÉS - AAD"</f>
        <v>CPTE # 412D  NE PAS UTILISER - UNITÉS - AAD</v>
      </c>
      <c r="O929" s="611" t="str">
        <f t="shared" si="127"/>
        <v/>
      </c>
      <c r="P929" s="611" t="str">
        <f t="shared" si="121"/>
        <v>Page5_BUI_MCI!K</v>
      </c>
      <c r="Q929" s="611">
        <f t="shared" si="122"/>
        <v>16</v>
      </c>
      <c r="R929" s="1447">
        <f t="shared" ca="1" si="123"/>
        <v>0</v>
      </c>
      <c r="S929" s="1447">
        <f t="shared" ca="1" si="124"/>
        <v>0</v>
      </c>
      <c r="V929" s="2557" t="str">
        <f t="shared" ca="1" si="125"/>
        <v/>
      </c>
      <c r="W929" s="611" t="str">
        <f t="shared" ca="1" si="126"/>
        <v>Page5_BUI_MCI, Ligne 13 [Page5_BUI_MCI!K16]  -</v>
      </c>
    </row>
    <row r="930" spans="1:23">
      <c r="A930" s="1443" t="str">
        <f>celladdr(Page5_BUI_MCI!K17)</f>
        <v>Page5_BUI_MCI!K17</v>
      </c>
      <c r="B930" s="1464" t="s">
        <v>1086</v>
      </c>
      <c r="C930" s="1451" t="b">
        <f>Page5_BUI_MCI!$K$17&lt;0</f>
        <v>0</v>
      </c>
      <c r="D930" s="1454" t="b">
        <f>OR(AND(Page5_BUI_MCI!$K17&gt;0,Page5_BUI_MCI!$M17=0),AND(Page5_BUI_MCI!$M17&lt;&gt;0,Page5_BUI_MCI!$K17=0))</f>
        <v>0</v>
      </c>
      <c r="E930" s="1454"/>
      <c r="F930" s="1454"/>
      <c r="G930" s="1444" t="str">
        <f t="shared" si="120"/>
        <v/>
      </c>
      <c r="H930" s="1447" t="str">
        <f>IF(C930=TRUE,Comments!$B$26,"")</f>
        <v/>
      </c>
      <c r="I930" s="1446" t="str">
        <f>IF(D930=TRUE,Comments!$B$21,"")</f>
        <v/>
      </c>
      <c r="J930" s="1446"/>
      <c r="K930" s="1452"/>
      <c r="N930" s="611" t="str">
        <f>"CPTE # "&amp;Page5_BUI_MCI!$E$17&amp;"  "&amp;Page5_BUI_MCI!$C$17&amp;" - UNITÉS - AAD"</f>
        <v>CPTE # 413D  NE PAS UTILISER - UNITÉS - AAD</v>
      </c>
      <c r="O930" s="611" t="str">
        <f t="shared" si="127"/>
        <v/>
      </c>
      <c r="P930" s="611" t="str">
        <f t="shared" si="121"/>
        <v>Page5_BUI_MCI!K</v>
      </c>
      <c r="Q930" s="611">
        <f t="shared" si="122"/>
        <v>17</v>
      </c>
      <c r="R930" s="1447">
        <f t="shared" ca="1" si="123"/>
        <v>0</v>
      </c>
      <c r="S930" s="1447">
        <f t="shared" ca="1" si="124"/>
        <v>0</v>
      </c>
      <c r="V930" s="2557" t="str">
        <f t="shared" ca="1" si="125"/>
        <v/>
      </c>
      <c r="W930" s="611" t="str">
        <f t="shared" ca="1" si="126"/>
        <v>Page5_BUI_MCI, Ligne 14 [Page5_BUI_MCI!K17]  -</v>
      </c>
    </row>
    <row r="931" spans="1:23">
      <c r="A931" s="1443" t="str">
        <f>celladdr(Page5_BUI_MCI!K18)</f>
        <v>Page5_BUI_MCI!K18</v>
      </c>
      <c r="B931" s="1464" t="s">
        <v>1086</v>
      </c>
      <c r="C931" s="1451" t="b">
        <f>Page5_BUI_MCI!$K$18&lt;0</f>
        <v>0</v>
      </c>
      <c r="D931" s="1454" t="b">
        <f>OR(AND(Page5_BUI_MCI!$K18&gt;0,Page5_BUI_MCI!$M18=0),AND(Page5_BUI_MCI!$M18&lt;&gt;0,Page5_BUI_MCI!$K18=0))</f>
        <v>0</v>
      </c>
      <c r="E931" s="1454"/>
      <c r="F931" s="1454"/>
      <c r="G931" s="1444" t="str">
        <f t="shared" si="120"/>
        <v/>
      </c>
      <c r="H931" s="1447" t="str">
        <f>IF(C931=TRUE,Comments!$B$26,"")</f>
        <v/>
      </c>
      <c r="I931" s="1446" t="str">
        <f>IF(D931=TRUE,Comments!$B$21,"")</f>
        <v/>
      </c>
      <c r="J931" s="1446"/>
      <c r="K931" s="1452"/>
      <c r="N931" s="611" t="str">
        <f>"CPTE # "&amp;Page5_BUI_MCI!$E$18&amp;"  "&amp;Page5_BUI_MCI!$C$18&amp;" - UNITÉS - AAD"</f>
        <v>CPTE # 414D  NE PAS UTILISER - UNITÉS - AAD</v>
      </c>
      <c r="O931" s="611" t="str">
        <f t="shared" si="127"/>
        <v/>
      </c>
      <c r="P931" s="611" t="str">
        <f t="shared" si="121"/>
        <v>Page5_BUI_MCI!K</v>
      </c>
      <c r="Q931" s="611">
        <f t="shared" si="122"/>
        <v>18</v>
      </c>
      <c r="R931" s="1447">
        <f t="shared" ca="1" si="123"/>
        <v>0</v>
      </c>
      <c r="S931" s="1447">
        <f t="shared" ca="1" si="124"/>
        <v>0</v>
      </c>
      <c r="V931" s="2557" t="str">
        <f t="shared" ca="1" si="125"/>
        <v/>
      </c>
      <c r="W931" s="611" t="str">
        <f t="shared" ca="1" si="126"/>
        <v>Page5_BUI_MCI, Ligne 15 [Page5_BUI_MCI!K18]  -</v>
      </c>
    </row>
    <row r="932" spans="1:23">
      <c r="A932" s="1443" t="str">
        <f>celladdr(Page5_BUI_MCI!K19)</f>
        <v>Page5_BUI_MCI!K19</v>
      </c>
      <c r="B932" s="1464" t="s">
        <v>1086</v>
      </c>
      <c r="C932" s="1451" t="b">
        <f>Page5_BUI_MCI!$K$19&lt;0</f>
        <v>0</v>
      </c>
      <c r="D932" s="1454" t="b">
        <f>OR(AND(Page5_BUI_MCI!$K19&gt;0,Page5_BUI_MCI!$M19=0),AND(Page5_BUI_MCI!$M19&lt;&gt;0,Page5_BUI_MCI!$K19=0))</f>
        <v>0</v>
      </c>
      <c r="E932" s="1454"/>
      <c r="F932" s="1454"/>
      <c r="G932" s="1444" t="str">
        <f t="shared" si="120"/>
        <v/>
      </c>
      <c r="H932" s="1447" t="str">
        <f>IF(C932=TRUE,Comments!$B$26,"")</f>
        <v/>
      </c>
      <c r="I932" s="1446" t="str">
        <f>IF(D932=TRUE,Comments!$B$21,"")</f>
        <v/>
      </c>
      <c r="J932" s="1446"/>
      <c r="K932" s="1452"/>
      <c r="N932" s="611" t="str">
        <f>"CPTE # "&amp;Page5_BUI_MCI!$E$19&amp;"  "&amp;Page5_BUI_MCI!$C$19&amp;" - UNITÉS - AAD"</f>
        <v>CPTE # 415D  NE PAS UTILISER - UNITÉS - AAD</v>
      </c>
      <c r="O932" s="611" t="str">
        <f t="shared" si="127"/>
        <v/>
      </c>
      <c r="P932" s="611" t="str">
        <f t="shared" si="121"/>
        <v>Page5_BUI_MCI!K</v>
      </c>
      <c r="Q932" s="611">
        <f t="shared" si="122"/>
        <v>19</v>
      </c>
      <c r="R932" s="1447">
        <f t="shared" ca="1" si="123"/>
        <v>0</v>
      </c>
      <c r="S932" s="1447">
        <f t="shared" ca="1" si="124"/>
        <v>0</v>
      </c>
      <c r="V932" s="2557" t="str">
        <f t="shared" ca="1" si="125"/>
        <v/>
      </c>
      <c r="W932" s="611" t="str">
        <f t="shared" ca="1" si="126"/>
        <v>Page5_BUI_MCI, Ligne 16 [Page5_BUI_MCI!K19]  -</v>
      </c>
    </row>
    <row r="933" spans="1:23">
      <c r="A933" s="1443" t="str">
        <f>celladdr(Page5_BUI_MCI!K20)</f>
        <v>Page5_BUI_MCI!K20</v>
      </c>
      <c r="B933" s="1464" t="s">
        <v>1086</v>
      </c>
      <c r="C933" s="1451" t="b">
        <f>Page5_BUI_MCI!$K$20&lt;0</f>
        <v>0</v>
      </c>
      <c r="D933" s="1454"/>
      <c r="E933" s="1454"/>
      <c r="F933" s="1454"/>
      <c r="G933" s="1444" t="str">
        <f t="shared" si="120"/>
        <v/>
      </c>
      <c r="H933" s="1447" t="str">
        <f>IF(C933=TRUE,Comments!$B$26,"")</f>
        <v/>
      </c>
      <c r="I933" s="1446"/>
      <c r="J933" s="1446"/>
      <c r="K933" s="1452"/>
      <c r="N933" s="611" t="str">
        <f>"CPTE # "&amp;Page5_BUI_MCI!$E$20&amp;"  "&amp;Page5_BUI_MCI!$C$20&amp;" - UNITÉS - AAD"</f>
        <v>CPTE # 416D  POUR USAGE FUTUR - UNITÉS - AAD</v>
      </c>
      <c r="O933" s="611" t="str">
        <f t="shared" si="127"/>
        <v/>
      </c>
      <c r="P933" s="611" t="str">
        <f t="shared" si="121"/>
        <v>Page5_BUI_MCI!K</v>
      </c>
      <c r="Q933" s="611">
        <f t="shared" si="122"/>
        <v>20</v>
      </c>
      <c r="R933" s="1447">
        <f t="shared" ca="1" si="123"/>
        <v>0</v>
      </c>
      <c r="S933" s="1447">
        <f t="shared" ca="1" si="124"/>
        <v>0</v>
      </c>
      <c r="V933" s="2557" t="str">
        <f t="shared" ca="1" si="125"/>
        <v/>
      </c>
      <c r="W933" s="611" t="str">
        <f t="shared" ca="1" si="126"/>
        <v>Page5_BUI_MCI, Ligne 17 [Page5_BUI_MCI!K20]  -</v>
      </c>
    </row>
    <row r="934" spans="1:23">
      <c r="A934" s="1443" t="str">
        <f>celladdr(Page5_BUI_MCI!K21)</f>
        <v>Page5_BUI_MCI!K21</v>
      </c>
      <c r="B934" s="1464" t="s">
        <v>1086</v>
      </c>
      <c r="C934" s="1451" t="b">
        <f>Page5_BUI_MCI!$K$21&lt;0</f>
        <v>0</v>
      </c>
      <c r="D934" s="1454" t="b">
        <f>OR(AND(Page5_BUI_MCI!$K21&gt;0,Page5_BUI_MCI!$M21=0),AND(Page5_BUI_MCI!$M21&lt;&gt;0,Page5_BUI_MCI!$K21=0))</f>
        <v>0</v>
      </c>
      <c r="E934" s="1454"/>
      <c r="F934" s="1454"/>
      <c r="G934" s="1444" t="str">
        <f t="shared" si="120"/>
        <v/>
      </c>
      <c r="H934" s="1447" t="str">
        <f>IF(C934=TRUE,Comments!$B$26,"")</f>
        <v/>
      </c>
      <c r="I934" s="1446" t="str">
        <f>IF(D934=TRUE,Comments!$B$21,"")</f>
        <v/>
      </c>
      <c r="J934" s="1446"/>
      <c r="K934" s="1452"/>
      <c r="N934" s="611" t="str">
        <f>"CPTE # "&amp;Page5_BUI_MCI!$E$21&amp;"  "&amp;Page5_BUI_MCI!$C$21&amp;" - UNITÉS - AAD"</f>
        <v>CPTE # 417D  NE PAS UTILISER - UNITÉS - AAD</v>
      </c>
      <c r="O934" s="611" t="str">
        <f t="shared" si="127"/>
        <v/>
      </c>
      <c r="P934" s="611" t="str">
        <f t="shared" si="121"/>
        <v>Page5_BUI_MCI!K</v>
      </c>
      <c r="Q934" s="611">
        <f t="shared" si="122"/>
        <v>21</v>
      </c>
      <c r="R934" s="1447">
        <f t="shared" ca="1" si="123"/>
        <v>0</v>
      </c>
      <c r="S934" s="1447">
        <f t="shared" ca="1" si="124"/>
        <v>0</v>
      </c>
      <c r="V934" s="2557" t="str">
        <f t="shared" ca="1" si="125"/>
        <v/>
      </c>
      <c r="W934" s="611" t="str">
        <f t="shared" ca="1" si="126"/>
        <v>Page5_BUI_MCI, Ligne 18 [Page5_BUI_MCI!K21]  -</v>
      </c>
    </row>
    <row r="935" spans="1:23">
      <c r="A935" s="1443" t="str">
        <f>celladdr(Page5_BUI_MCI!K22)</f>
        <v>Page5_BUI_MCI!K22</v>
      </c>
      <c r="B935" s="1464" t="s">
        <v>1086</v>
      </c>
      <c r="C935" s="1451" t="b">
        <f>Page5_BUI_MCI!$K$22&lt;0</f>
        <v>0</v>
      </c>
      <c r="D935" s="1454" t="b">
        <f>OR(AND(Page5_BUI_MCI!$K22&gt;0,Page5_BUI_MCI!$M22=0),AND(Page5_BUI_MCI!$M22&lt;&gt;0,Page5_BUI_MCI!$K22=0))</f>
        <v>0</v>
      </c>
      <c r="E935" s="1454"/>
      <c r="F935" s="1454"/>
      <c r="G935" s="1444" t="str">
        <f t="shared" si="120"/>
        <v/>
      </c>
      <c r="H935" s="1447" t="str">
        <f>IF(C935=TRUE,Comments!$B$26,"")</f>
        <v/>
      </c>
      <c r="I935" s="1446" t="str">
        <f>IF(D935=TRUE,Comments!$B$21,"")</f>
        <v/>
      </c>
      <c r="J935" s="1446"/>
      <c r="K935" s="1452"/>
      <c r="N935" s="611" t="str">
        <f>"CPTE # "&amp;Page5_BUI_MCI!$E$22&amp;"  "&amp;Page5_BUI_MCI!$C$22&amp;" - UNITÉS - AAD"</f>
        <v>CPTE # 418D  AUTRES BUICK - UNITÉS - AAD</v>
      </c>
      <c r="O935" s="611" t="str">
        <f t="shared" si="127"/>
        <v/>
      </c>
      <c r="P935" s="611" t="str">
        <f t="shared" si="121"/>
        <v>Page5_BUI_MCI!K</v>
      </c>
      <c r="Q935" s="611">
        <f t="shared" si="122"/>
        <v>22</v>
      </c>
      <c r="R935" s="1447">
        <f t="shared" ca="1" si="123"/>
        <v>0</v>
      </c>
      <c r="S935" s="1447">
        <f t="shared" ca="1" si="124"/>
        <v>0</v>
      </c>
      <c r="V935" s="2557" t="str">
        <f t="shared" ca="1" si="125"/>
        <v/>
      </c>
      <c r="W935" s="611" t="str">
        <f t="shared" ca="1" si="126"/>
        <v>Page5_BUI_MCI, Ligne 19 [Page5_BUI_MCI!K22]  -</v>
      </c>
    </row>
    <row r="936" spans="1:23">
      <c r="A936" s="1443" t="str">
        <f>celladdr(Page5_BUI_MCI!K23)</f>
        <v>Page5_BUI_MCI!K23</v>
      </c>
      <c r="B936" s="1444" t="s">
        <v>1086</v>
      </c>
      <c r="C936" s="1451"/>
      <c r="D936" s="1454"/>
      <c r="E936" s="1454"/>
      <c r="F936" s="1454"/>
      <c r="G936" s="1444" t="str">
        <f t="shared" si="120"/>
        <v/>
      </c>
      <c r="H936" s="1447" t="str">
        <f>IF(C936=TRUE,Comments!$B$26,"")</f>
        <v/>
      </c>
      <c r="I936" s="1446" t="str">
        <f>IF(D936=TRUE,Comments!$B$21,"")</f>
        <v/>
      </c>
      <c r="J936" s="1446"/>
      <c r="K936" s="1452"/>
      <c r="O936" s="611" t="str">
        <f t="shared" si="127"/>
        <v/>
      </c>
      <c r="P936" s="611" t="str">
        <f t="shared" si="121"/>
        <v>Page5_BUI_MCI!K</v>
      </c>
      <c r="Q936" s="611">
        <f t="shared" si="122"/>
        <v>23</v>
      </c>
      <c r="R936" s="1447">
        <f t="shared" ca="1" si="123"/>
        <v>0</v>
      </c>
      <c r="S936" s="1447">
        <f t="shared" ca="1" si="124"/>
        <v>0</v>
      </c>
      <c r="V936" s="2557" t="str">
        <f t="shared" ca="1" si="125"/>
        <v/>
      </c>
      <c r="W936" s="611" t="str">
        <f t="shared" ca="1" si="126"/>
        <v>Page5_BUI_MCI, Ligne 20 [Page5_BUI_MCI!K23]  -</v>
      </c>
    </row>
    <row r="937" spans="1:23">
      <c r="A937" s="1443" t="str">
        <f>celladdr(Page5_BUI_MCI!K24)</f>
        <v>Page5_BUI_MCI!K24</v>
      </c>
      <c r="B937" s="1464" t="s">
        <v>1086</v>
      </c>
      <c r="C937" s="1451" t="b">
        <f>Page5_BUI_MCI!$K$24&lt;0</f>
        <v>0</v>
      </c>
      <c r="D937" s="1454" t="b">
        <f>OR(AND(Page5_BUI_MCI!$K24&gt;0,Page5_BUI_MCI!$M24=0),AND(Page5_BUI_MCI!$M24&lt;&gt;0,Page5_BUI_MCI!$K24=0))</f>
        <v>0</v>
      </c>
      <c r="E937" s="1454"/>
      <c r="F937" s="1454"/>
      <c r="G937" s="1444" t="str">
        <f t="shared" si="120"/>
        <v/>
      </c>
      <c r="H937" s="1447" t="str">
        <f>IF(C937=TRUE,Comments!$B$26,"")</f>
        <v/>
      </c>
      <c r="I937" s="1446" t="str">
        <f>IF(D937=TRUE,Comments!$B$21,"")</f>
        <v/>
      </c>
      <c r="J937" s="1446"/>
      <c r="K937" s="1452"/>
      <c r="N937" s="611" t="str">
        <f>"CPTE # "&amp;Page5_BUI_MCI!$E$24&amp;"  "&amp;Page5_BUI_MCI!$C$24&amp;" - UNITÉS - AAD"</f>
        <v>CPTE # 419D  MÉMO* VENTES INTERNET VOITURES - UNITÉS - AAD</v>
      </c>
      <c r="O937" s="611" t="str">
        <f t="shared" si="127"/>
        <v/>
      </c>
      <c r="P937" s="611" t="str">
        <f t="shared" si="121"/>
        <v>Page5_BUI_MCI!K</v>
      </c>
      <c r="Q937" s="611">
        <f t="shared" si="122"/>
        <v>24</v>
      </c>
      <c r="R937" s="1447">
        <f t="shared" ca="1" si="123"/>
        <v>0</v>
      </c>
      <c r="S937" s="1447">
        <f t="shared" ca="1" si="124"/>
        <v>0</v>
      </c>
      <c r="V937" s="2557" t="str">
        <f t="shared" ca="1" si="125"/>
        <v/>
      </c>
      <c r="W937" s="611" t="str">
        <f t="shared" ca="1" si="126"/>
        <v>Page5_BUI_MCI, Ligne 21 [Page5_BUI_MCI!K24]  -</v>
      </c>
    </row>
    <row r="938" spans="1:23">
      <c r="A938" s="1443" t="str">
        <f>celladdr(Page5_BUI_MCI!K25)</f>
        <v>Page5_BUI_MCI!K25</v>
      </c>
      <c r="B938" s="1464" t="s">
        <v>1086</v>
      </c>
      <c r="C938" s="1451" t="b">
        <f>Page5_BUI_MCI!$K$25&lt;0</f>
        <v>0</v>
      </c>
      <c r="D938" s="1454" t="b">
        <f>OR(AND(Page5_BUI_MCI!$K25&gt;0,Page5_BUI_MCI!$M25=0),AND(Page5_BUI_MCI!$M25&lt;&gt;0,Page5_BUI_MCI!$K25=0))</f>
        <v>0</v>
      </c>
      <c r="E938" s="1454" t="b">
        <f>ROUND(Page5_BUI_MCI!K25,2) &lt;&gt;ROUND(Page5_PARCS_GOUV!K6 + Page5_PARCS_GOUV!K42,2)</f>
        <v>0</v>
      </c>
      <c r="F938" s="1454"/>
      <c r="G938" s="1444" t="str">
        <f t="shared" si="120"/>
        <v/>
      </c>
      <c r="H938" s="1447" t="str">
        <f>IF(C938=TRUE,Comments!$B$26,"")</f>
        <v/>
      </c>
      <c r="I938" s="1446" t="str">
        <f>IF(D938=TRUE,Comments!$B$21,"")</f>
        <v/>
      </c>
      <c r="J938" s="1446" t="str">
        <f>IF(E938=TRUE, Comments!$B$100,"")</f>
        <v/>
      </c>
      <c r="K938" s="1452"/>
      <c r="N938" s="611" t="str">
        <f>"CPTE # "&amp;Page5_BUI_MCI!$E$25&amp;"  "&amp;Page5_BUI_MCI!$C$25&amp;" - UNITÉS - AAD"</f>
        <v>CPTE # DE PG PARCS  TOTAL PARCS - VOITURES - UNITÉS - AAD</v>
      </c>
      <c r="O938" s="611" t="str">
        <f t="shared" si="127"/>
        <v/>
      </c>
      <c r="P938" s="611" t="str">
        <f t="shared" si="121"/>
        <v>Page5_BUI_MCI!K</v>
      </c>
      <c r="Q938" s="611">
        <f t="shared" si="122"/>
        <v>25</v>
      </c>
      <c r="R938" s="1447">
        <f t="shared" ca="1" si="123"/>
        <v>0</v>
      </c>
      <c r="S938" s="1447">
        <f t="shared" ca="1" si="124"/>
        <v>0</v>
      </c>
      <c r="T938" s="611">
        <v>100</v>
      </c>
      <c r="V938" s="2557" t="str">
        <f t="shared" ca="1" si="125"/>
        <v/>
      </c>
      <c r="W938" s="611" t="str">
        <f t="shared" ca="1" si="126"/>
        <v>Page5_BUI_MCI, Ligne 22 [Page5_BUI_MCI!K25]  -</v>
      </c>
    </row>
    <row r="939" spans="1:23">
      <c r="A939" s="1443" t="str">
        <f>celladdr(Page5_BUI_MCI!K26)</f>
        <v>Page5_BUI_MCI!K26</v>
      </c>
      <c r="B939" s="1464" t="s">
        <v>1086</v>
      </c>
      <c r="C939" s="1451" t="b">
        <f>Page5_BUI_MCI!$K$26&lt;0</f>
        <v>0</v>
      </c>
      <c r="D939" s="1454" t="b">
        <f>OR(AND(Page5_BUI_MCI!$K26&gt;0,Page5_BUI_MCI!$M26=0),AND(Page5_BUI_MCI!$M26&lt;&gt;0,Page5_BUI_MCI!$K26=0))</f>
        <v>0</v>
      </c>
      <c r="E939" s="1454"/>
      <c r="F939" s="1454"/>
      <c r="G939" s="1444" t="str">
        <f t="shared" si="120"/>
        <v/>
      </c>
      <c r="H939" s="1447" t="str">
        <f>IF(C939=TRUE,Comments!$B$26,"")</f>
        <v/>
      </c>
      <c r="I939" s="1446" t="str">
        <f>IF(D939=TRUE,Comments!$B$21,"")</f>
        <v/>
      </c>
      <c r="J939" s="1446"/>
      <c r="K939" s="1452"/>
      <c r="N939" s="611" t="str">
        <f>"CPTE # "&amp;Page5_BUI_MCI!$E$26&amp;"  "&amp;Page5_BUI_MCI!$C$26&amp;" - UNITÉS - AAD"</f>
        <v>CPTE # 421D  TOTAL INTERNE - VOITURES - UNITÉS - AAD</v>
      </c>
      <c r="O939" s="611" t="str">
        <f t="shared" si="127"/>
        <v/>
      </c>
      <c r="P939" s="611" t="str">
        <f t="shared" si="121"/>
        <v>Page5_BUI_MCI!K</v>
      </c>
      <c r="Q939" s="611">
        <f t="shared" si="122"/>
        <v>26</v>
      </c>
      <c r="R939" s="1447">
        <f t="shared" ca="1" si="123"/>
        <v>0</v>
      </c>
      <c r="S939" s="1447">
        <f t="shared" ca="1" si="124"/>
        <v>0</v>
      </c>
      <c r="V939" s="2557" t="str">
        <f t="shared" ca="1" si="125"/>
        <v/>
      </c>
      <c r="W939" s="611" t="str">
        <f t="shared" ca="1" si="126"/>
        <v>Page5_BUI_MCI, Ligne 23 [Page5_BUI_MCI!K26]  -</v>
      </c>
    </row>
    <row r="940" spans="1:23">
      <c r="A940" s="1443" t="str">
        <f>celladdr(Page5_BUI_MCI!K27)</f>
        <v>Page5_BUI_MCI!K27</v>
      </c>
      <c r="B940" s="1444" t="s">
        <v>1086</v>
      </c>
      <c r="C940" s="1451"/>
      <c r="D940" s="1454"/>
      <c r="E940" s="1454"/>
      <c r="F940" s="1454"/>
      <c r="G940" s="1444" t="str">
        <f t="shared" si="120"/>
        <v/>
      </c>
      <c r="H940" s="1447" t="str">
        <f>IF(C940=TRUE,Comments!$B$26,"")</f>
        <v/>
      </c>
      <c r="I940" s="1446" t="str">
        <f>IF(D940=TRUE,Comments!$B$21,"")</f>
        <v/>
      </c>
      <c r="J940" s="1446"/>
      <c r="K940" s="1452"/>
      <c r="O940" s="611" t="str">
        <f t="shared" si="127"/>
        <v/>
      </c>
      <c r="P940" s="611" t="str">
        <f t="shared" si="121"/>
        <v>Page5_BUI_MCI!K</v>
      </c>
      <c r="Q940" s="611">
        <f t="shared" si="122"/>
        <v>27</v>
      </c>
      <c r="R940" s="1447">
        <f t="shared" ca="1" si="123"/>
        <v>0</v>
      </c>
      <c r="S940" s="1447">
        <f t="shared" ca="1" si="124"/>
        <v>0</v>
      </c>
      <c r="V940" s="2557" t="str">
        <f t="shared" ca="1" si="125"/>
        <v/>
      </c>
      <c r="W940" s="611" t="str">
        <f t="shared" ca="1" si="126"/>
        <v>Page5_BUI_MCI, Ligne 24 [Page5_BUI_MCI!K27]  -</v>
      </c>
    </row>
    <row r="941" spans="1:23">
      <c r="A941" s="1443" t="str">
        <f>celladdr(Page5_BUI_MCI!K28)</f>
        <v>Page5_BUI_MCI!K28</v>
      </c>
      <c r="B941" s="1464" t="s">
        <v>1086</v>
      </c>
      <c r="C941" s="1451" t="b">
        <f>Page5_BUI_MCI!$K$28&lt;0</f>
        <v>0</v>
      </c>
      <c r="D941" s="1454" t="b">
        <f>OR(AND(Page5_BUI_MCI!$K28&gt;0,Page5_BUI_MCI!$M28=0),AND(Page5_BUI_MCI!$M28&lt;&gt;0,Page5_BUI_MCI!$K28=0))</f>
        <v>0</v>
      </c>
      <c r="E941" s="1454"/>
      <c r="F941" s="1454"/>
      <c r="G941" s="1444" t="str">
        <f t="shared" si="120"/>
        <v/>
      </c>
      <c r="H941" s="1447" t="str">
        <f>IF(C941=TRUE,Comments!$B$26,"")</f>
        <v/>
      </c>
      <c r="I941" s="1446" t="str">
        <f>IF(D941=TRUE,Comments!$B$21,"")</f>
        <v/>
      </c>
      <c r="J941" s="1446"/>
      <c r="K941" s="1452"/>
      <c r="N941" s="611" t="str">
        <f>"CPTE # "&amp;Page5_BUI_MCI!$E$28&amp;"  "&amp;Page5_BUI_MCI!$C$28&amp;" - UNITÉS - AAD"</f>
        <v>CPTE # 423D  NE PAS UTILISER - UNITÉS - AAD</v>
      </c>
      <c r="O941" s="611" t="str">
        <f t="shared" si="127"/>
        <v/>
      </c>
      <c r="P941" s="611" t="str">
        <f t="shared" si="121"/>
        <v>Page5_BUI_MCI!K</v>
      </c>
      <c r="Q941" s="611">
        <f t="shared" si="122"/>
        <v>28</v>
      </c>
      <c r="R941" s="1447">
        <f t="shared" ca="1" si="123"/>
        <v>0</v>
      </c>
      <c r="S941" s="1447">
        <f t="shared" ca="1" si="124"/>
        <v>0</v>
      </c>
      <c r="V941" s="2557" t="str">
        <f t="shared" ca="1" si="125"/>
        <v/>
      </c>
      <c r="W941" s="611" t="str">
        <f t="shared" ca="1" si="126"/>
        <v>Page5_BUI_MCI, Ligne 25 [Page5_BUI_MCI!K28]  -</v>
      </c>
    </row>
    <row r="942" spans="1:23">
      <c r="A942" s="1443" t="str">
        <f>celladdr(Page5_BUI_MCI!K29)</f>
        <v>Page5_BUI_MCI!K29</v>
      </c>
      <c r="B942" s="1464" t="s">
        <v>1086</v>
      </c>
      <c r="C942" s="1451" t="b">
        <f>Page5_BUI_MCI!$K$29&lt;0</f>
        <v>0</v>
      </c>
      <c r="D942" s="1454" t="b">
        <f>OR(AND(Page5_BUI_MCI!$K29&gt;0,Page5_BUI_MCI!$M29=0),AND(Page5_BUI_MCI!$M29&lt;&gt;0,Page5_BUI_MCI!$K29=0))</f>
        <v>0</v>
      </c>
      <c r="E942" s="1454"/>
      <c r="F942" s="1454"/>
      <c r="G942" s="1444" t="str">
        <f t="shared" si="120"/>
        <v/>
      </c>
      <c r="H942" s="1447" t="str">
        <f>IF(C942=TRUE,Comments!$B$26,"")</f>
        <v/>
      </c>
      <c r="I942" s="1446" t="str">
        <f>IF(D942=TRUE,Comments!$B$21,"")</f>
        <v/>
      </c>
      <c r="J942" s="1446"/>
      <c r="K942" s="1452"/>
      <c r="N942" s="611" t="str">
        <f>"CPTE # "&amp;Page5_BUI_MCI!$E$29&amp;"  "&amp;Page5_BUI_MCI!$C$29&amp;" - UNITÉS - AAD"</f>
        <v>CPTE # 424D  ENVISTA - UNITÉS - AAD</v>
      </c>
      <c r="O942" s="611" t="str">
        <f t="shared" si="127"/>
        <v/>
      </c>
      <c r="P942" s="611" t="str">
        <f t="shared" si="121"/>
        <v>Page5_BUI_MCI!K</v>
      </c>
      <c r="Q942" s="611">
        <f t="shared" si="122"/>
        <v>29</v>
      </c>
      <c r="R942" s="1447">
        <f t="shared" ca="1" si="123"/>
        <v>0</v>
      </c>
      <c r="S942" s="1447">
        <f t="shared" ca="1" si="124"/>
        <v>0</v>
      </c>
      <c r="V942" s="2557" t="str">
        <f t="shared" ca="1" si="125"/>
        <v/>
      </c>
      <c r="W942" s="611" t="str">
        <f t="shared" ca="1" si="126"/>
        <v>Page5_BUI_MCI, Ligne 26 [Page5_BUI_MCI!K29]  -</v>
      </c>
    </row>
    <row r="943" spans="1:23">
      <c r="A943" s="1443" t="str">
        <f>celladdr(Page5_BUI_MCI!K30)</f>
        <v>Page5_BUI_MCI!K30</v>
      </c>
      <c r="B943" s="1464" t="s">
        <v>1086</v>
      </c>
      <c r="C943" s="1451" t="b">
        <f>Page5_BUI_MCI!$K$30&lt;0</f>
        <v>0</v>
      </c>
      <c r="D943" s="1454" t="b">
        <f>OR(AND(Page5_BUI_MCI!$K30&gt;0,Page5_BUI_MCI!$M30=0),AND(Page5_BUI_MCI!$M30&lt;&gt;0,Page5_BUI_MCI!$K30=0))</f>
        <v>0</v>
      </c>
      <c r="E943" s="1454"/>
      <c r="F943" s="1454"/>
      <c r="G943" s="1444" t="str">
        <f t="shared" si="120"/>
        <v/>
      </c>
      <c r="H943" s="1447" t="str">
        <f>IF(C943=TRUE,Comments!$B$26,"")</f>
        <v/>
      </c>
      <c r="I943" s="1446" t="str">
        <f>IF(D943=TRUE,Comments!$B$21,"")</f>
        <v/>
      </c>
      <c r="J943" s="1446"/>
      <c r="K943" s="1452"/>
      <c r="N943" s="611" t="str">
        <f>"CPTE # "&amp;Page5_BUI_MCI!$E$30&amp;"  "&amp;Page5_BUI_MCI!$C$30&amp;" - UNITÉS - AAD"</f>
        <v>CPTE # 425D  NE PAS UTILISER - UNITÉS - AAD</v>
      </c>
      <c r="O943" s="611" t="str">
        <f t="shared" si="127"/>
        <v/>
      </c>
      <c r="P943" s="611" t="str">
        <f t="shared" si="121"/>
        <v>Page5_BUI_MCI!K</v>
      </c>
      <c r="Q943" s="611">
        <f t="shared" si="122"/>
        <v>30</v>
      </c>
      <c r="R943" s="1447">
        <f t="shared" ca="1" si="123"/>
        <v>0</v>
      </c>
      <c r="S943" s="1447">
        <f t="shared" ca="1" si="124"/>
        <v>0</v>
      </c>
      <c r="V943" s="2557" t="str">
        <f t="shared" ca="1" si="125"/>
        <v/>
      </c>
      <c r="W943" s="611" t="str">
        <f t="shared" ca="1" si="126"/>
        <v>Page5_BUI_MCI, Ligne 27 [Page5_BUI_MCI!K30]  -</v>
      </c>
    </row>
    <row r="944" spans="1:23">
      <c r="A944" s="1443" t="str">
        <f>celladdr(Page5_BUI_MCI!K31)</f>
        <v>Page5_BUI_MCI!K31</v>
      </c>
      <c r="B944" s="1464" t="s">
        <v>1086</v>
      </c>
      <c r="C944" s="1451" t="b">
        <f>Page5_BUI_MCI!$K$31&lt;0</f>
        <v>0</v>
      </c>
      <c r="D944" s="1454" t="b">
        <f>OR(AND(Page5_BUI_MCI!$K31&gt;0,Page5_BUI_MCI!$M31=0),AND(Page5_BUI_MCI!$M31&lt;&gt;0,Page5_BUI_MCI!$K31=0))</f>
        <v>0</v>
      </c>
      <c r="E944" s="1454"/>
      <c r="F944" s="1454"/>
      <c r="G944" s="1444" t="str">
        <f t="shared" si="120"/>
        <v/>
      </c>
      <c r="H944" s="1447" t="str">
        <f>IF(C944=TRUE,Comments!$B$26,"")</f>
        <v/>
      </c>
      <c r="I944" s="1446" t="str">
        <f>IF(D944=TRUE,Comments!$B$21,"")</f>
        <v/>
      </c>
      <c r="J944" s="1446"/>
      <c r="K944" s="1452"/>
      <c r="N944" s="611" t="str">
        <f>"CPTE # "&amp;Page5_BUI_MCI!$E$31&amp;"  "&amp;Page5_BUI_MCI!$C$31&amp;" - UNITÉS - AAD"</f>
        <v>CPTE # 426D  ENCLAVE - UNITÉS - AAD</v>
      </c>
      <c r="O944" s="611" t="str">
        <f t="shared" si="127"/>
        <v/>
      </c>
      <c r="P944" s="611" t="str">
        <f t="shared" si="121"/>
        <v>Page5_BUI_MCI!K</v>
      </c>
      <c r="Q944" s="611">
        <f t="shared" si="122"/>
        <v>31</v>
      </c>
      <c r="R944" s="1447">
        <f t="shared" ca="1" si="123"/>
        <v>0</v>
      </c>
      <c r="S944" s="1447">
        <f t="shared" ca="1" si="124"/>
        <v>0</v>
      </c>
      <c r="V944" s="2557" t="str">
        <f t="shared" ca="1" si="125"/>
        <v/>
      </c>
      <c r="W944" s="611" t="str">
        <f t="shared" ca="1" si="126"/>
        <v>Page5_BUI_MCI, Ligne 28 [Page5_BUI_MCI!K31]  -</v>
      </c>
    </row>
    <row r="945" spans="1:23">
      <c r="A945" s="1443" t="str">
        <f>celladdr(Page5_BUI_MCI!K32)</f>
        <v>Page5_BUI_MCI!K32</v>
      </c>
      <c r="B945" s="1464" t="s">
        <v>1086</v>
      </c>
      <c r="C945" s="1451" t="b">
        <f>Page5_BUI_MCI!$K$32&lt;0</f>
        <v>0</v>
      </c>
      <c r="D945" s="1454" t="b">
        <f>OR(AND(Page5_BUI_MCI!$K32&gt;0,Page5_BUI_MCI!$M32=0),AND(Page5_BUI_MCI!$M32&lt;&gt;0,Page5_BUI_MCI!$K32=0))</f>
        <v>0</v>
      </c>
      <c r="E945" s="1454"/>
      <c r="F945" s="1454"/>
      <c r="G945" s="1444" t="str">
        <f t="shared" si="120"/>
        <v/>
      </c>
      <c r="H945" s="1447" t="str">
        <f>IF(C945=TRUE,Comments!$B$26,"")</f>
        <v/>
      </c>
      <c r="I945" s="1446" t="str">
        <f>IF(D945=TRUE,Comments!$B$21,"")</f>
        <v/>
      </c>
      <c r="J945" s="1446"/>
      <c r="K945" s="1452"/>
      <c r="N945" s="611" t="str">
        <f>"CPTE # "&amp;Page5_BUI_MCI!$E$32&amp;"  "&amp;Page5_BUI_MCI!$C$32&amp;" - UNITÉS - AAD"</f>
        <v>CPTE # 427D  ENCORE GX - UNITÉS - AAD</v>
      </c>
      <c r="O945" s="611" t="str">
        <f t="shared" si="127"/>
        <v/>
      </c>
      <c r="P945" s="611" t="str">
        <f t="shared" si="121"/>
        <v>Page5_BUI_MCI!K</v>
      </c>
      <c r="Q945" s="611">
        <f t="shared" si="122"/>
        <v>32</v>
      </c>
      <c r="R945" s="1447">
        <f t="shared" ca="1" si="123"/>
        <v>0</v>
      </c>
      <c r="S945" s="1447">
        <f t="shared" ca="1" si="124"/>
        <v>0</v>
      </c>
      <c r="V945" s="2557" t="str">
        <f t="shared" ca="1" si="125"/>
        <v/>
      </c>
      <c r="W945" s="611" t="str">
        <f t="shared" ca="1" si="126"/>
        <v>Page5_BUI_MCI, Ligne 29 [Page5_BUI_MCI!K32]  -</v>
      </c>
    </row>
    <row r="946" spans="1:23">
      <c r="A946" s="1443" t="str">
        <f>celladdr(Page5_BUI_MCI!K33)</f>
        <v>Page5_BUI_MCI!K33</v>
      </c>
      <c r="B946" s="1464" t="s">
        <v>1086</v>
      </c>
      <c r="C946" s="1451" t="b">
        <f>Page5_BUI_MCI!$K$33&lt;0</f>
        <v>0</v>
      </c>
      <c r="D946" s="1454" t="b">
        <f>OR(AND(Page5_BUI_MCI!$K33&gt;0,Page5_BUI_MCI!$M33=0),AND(Page5_BUI_MCI!$M33&lt;&gt;0,Page5_BUI_MCI!$K33=0))</f>
        <v>0</v>
      </c>
      <c r="E946" s="1454"/>
      <c r="F946" s="1454"/>
      <c r="G946" s="1444" t="str">
        <f t="shared" si="120"/>
        <v/>
      </c>
      <c r="H946" s="1447" t="str">
        <f>IF(C946=TRUE,Comments!$B$26,"")</f>
        <v/>
      </c>
      <c r="I946" s="1446" t="str">
        <f>IF(D946=TRUE,Comments!$B$21,"")</f>
        <v/>
      </c>
      <c r="J946" s="1446"/>
      <c r="K946" s="1452"/>
      <c r="N946" s="611" t="str">
        <f>"CPTE # "&amp;Page5_BUI_MCI!$E$33&amp;"  "&amp;Page5_BUI_MCI!$C$33&amp;" - UNITÉS - AAD"</f>
        <v>CPTE # 428D  ENCORE - UNITÉS - AAD</v>
      </c>
      <c r="O946" s="611" t="str">
        <f t="shared" si="127"/>
        <v/>
      </c>
      <c r="P946" s="611" t="str">
        <f t="shared" si="121"/>
        <v>Page5_BUI_MCI!K</v>
      </c>
      <c r="Q946" s="611">
        <f t="shared" si="122"/>
        <v>33</v>
      </c>
      <c r="R946" s="1447">
        <f t="shared" ca="1" si="123"/>
        <v>0</v>
      </c>
      <c r="S946" s="1447">
        <f t="shared" ca="1" si="124"/>
        <v>0</v>
      </c>
      <c r="V946" s="2557" t="str">
        <f t="shared" ca="1" si="125"/>
        <v/>
      </c>
      <c r="W946" s="611" t="str">
        <f t="shared" ca="1" si="126"/>
        <v>Page5_BUI_MCI, Ligne 30 [Page5_BUI_MCI!K33]  -</v>
      </c>
    </row>
    <row r="947" spans="1:23">
      <c r="A947" s="1443" t="str">
        <f>celladdr(Page5_BUI_MCI!K34)</f>
        <v>Page5_BUI_MCI!K34</v>
      </c>
      <c r="B947" s="1464" t="s">
        <v>1086</v>
      </c>
      <c r="C947" s="1451" t="b">
        <f>Page5_BUI_MCI!$K$34&lt;0</f>
        <v>0</v>
      </c>
      <c r="D947" s="1454" t="b">
        <f>OR(AND(Page5_BUI_MCI!$K34&gt;0,Page5_BUI_MCI!$M34=0),AND(Page5_BUI_MCI!$M34&lt;&gt;0,Page5_BUI_MCI!$K34=0))</f>
        <v>0</v>
      </c>
      <c r="E947" s="1454"/>
      <c r="F947" s="1454"/>
      <c r="G947" s="1444" t="str">
        <f t="shared" si="120"/>
        <v/>
      </c>
      <c r="H947" s="1447" t="str">
        <f>IF(C947=TRUE,Comments!$B$26,"")</f>
        <v/>
      </c>
      <c r="I947" s="1446" t="str">
        <f>IF(D947=TRUE,Comments!$B$21,"")</f>
        <v/>
      </c>
      <c r="J947" s="1446"/>
      <c r="K947" s="1452"/>
      <c r="N947" s="611" t="str">
        <f>"CPTE # "&amp;Page5_BUI_MCI!$E$34&amp;"  "&amp;Page5_BUI_MCI!$C$34&amp;" - UNITÉS - AAD"</f>
        <v>CPTE # 429D  ENVISION - UNITÉS - AAD</v>
      </c>
      <c r="O947" s="611" t="str">
        <f t="shared" si="127"/>
        <v/>
      </c>
      <c r="P947" s="611" t="str">
        <f t="shared" si="121"/>
        <v>Page5_BUI_MCI!K</v>
      </c>
      <c r="Q947" s="611">
        <f t="shared" si="122"/>
        <v>34</v>
      </c>
      <c r="R947" s="1447">
        <f t="shared" ca="1" si="123"/>
        <v>0</v>
      </c>
      <c r="S947" s="1447">
        <f t="shared" ca="1" si="124"/>
        <v>0</v>
      </c>
      <c r="V947" s="2557" t="str">
        <f t="shared" ca="1" si="125"/>
        <v/>
      </c>
      <c r="W947" s="611" t="str">
        <f t="shared" ca="1" si="126"/>
        <v>Page5_BUI_MCI, Ligne 31 [Page5_BUI_MCI!K34]  -</v>
      </c>
    </row>
    <row r="948" spans="1:23">
      <c r="A948" s="1443" t="str">
        <f>celladdr(Page5_BUI_MCI!K35)</f>
        <v>Page5_BUI_MCI!K35</v>
      </c>
      <c r="B948" s="1464" t="s">
        <v>1086</v>
      </c>
      <c r="C948" s="1451" t="b">
        <f>Page5_BUI_MCI!$K$35&lt;0</f>
        <v>0</v>
      </c>
      <c r="D948" s="1454" t="b">
        <f>OR(AND(Page5_BUI_MCI!$K35&gt;0,Page5_BUI_MCI!$M35=0),AND(Page5_BUI_MCI!$M35&lt;&gt;0,Page5_BUI_MCI!$K35=0))</f>
        <v>0</v>
      </c>
      <c r="E948" s="1454"/>
      <c r="F948" s="1454"/>
      <c r="G948" s="1444" t="str">
        <f t="shared" si="120"/>
        <v/>
      </c>
      <c r="H948" s="1447" t="str">
        <f>IF(C948=TRUE,Comments!$B$26,"")</f>
        <v/>
      </c>
      <c r="I948" s="1446" t="str">
        <f>IF(D948=TRUE,Comments!$B$21,"")</f>
        <v/>
      </c>
      <c r="J948" s="1446"/>
      <c r="K948" s="1452"/>
      <c r="N948" s="611" t="str">
        <f>"CPTE # "&amp;Page5_BUI_MCI!$E$35&amp;"  "&amp;Page5_BUI_MCI!$C$35&amp;" - UNITÉS - AAD"</f>
        <v>CPTE # 430D  NE PAS UTILISER - UNITÉS - AAD</v>
      </c>
      <c r="O948" s="611" t="str">
        <f t="shared" si="127"/>
        <v/>
      </c>
      <c r="P948" s="611" t="str">
        <f t="shared" si="121"/>
        <v>Page5_BUI_MCI!K</v>
      </c>
      <c r="Q948" s="611">
        <f t="shared" si="122"/>
        <v>35</v>
      </c>
      <c r="R948" s="1447">
        <f t="shared" ca="1" si="123"/>
        <v>0</v>
      </c>
      <c r="S948" s="1447">
        <f t="shared" ca="1" si="124"/>
        <v>0</v>
      </c>
      <c r="V948" s="2557" t="str">
        <f t="shared" ca="1" si="125"/>
        <v/>
      </c>
      <c r="W948" s="611" t="str">
        <f t="shared" ca="1" si="126"/>
        <v>Page5_BUI_MCI, Ligne 32 [Page5_BUI_MCI!K35]  -</v>
      </c>
    </row>
    <row r="949" spans="1:23">
      <c r="A949" s="1443" t="str">
        <f>celladdr(Page5_BUI_MCI!K36)</f>
        <v>Page5_BUI_MCI!K36</v>
      </c>
      <c r="B949" s="1464" t="s">
        <v>1086</v>
      </c>
      <c r="C949" s="1451" t="b">
        <f>Page5_BUI_MCI!$K$36&lt;0</f>
        <v>0</v>
      </c>
      <c r="D949" s="1454" t="b">
        <f>OR(AND(Page5_BUI_MCI!$K36&gt;0,Page5_BUI_MCI!$M36=0),AND(Page5_BUI_MCI!$M36&lt;&gt;0,Page5_BUI_MCI!$K36=0))</f>
        <v>0</v>
      </c>
      <c r="E949" s="1454"/>
      <c r="F949" s="1454"/>
      <c r="G949" s="1444" t="str">
        <f t="shared" si="120"/>
        <v/>
      </c>
      <c r="H949" s="1447" t="str">
        <f>IF(C949=TRUE,Comments!$B$26,"")</f>
        <v/>
      </c>
      <c r="I949" s="1446" t="str">
        <f>IF(D949=TRUE,Comments!$B$21,"")</f>
        <v/>
      </c>
      <c r="J949" s="1446"/>
      <c r="K949" s="1452"/>
      <c r="N949" s="611" t="str">
        <f>"CPTE # "&amp;Page5_BUI_MCI!$E$36&amp;"  "&amp;Page5_BUI_MCI!$C$36&amp;" - UNITÉS - AAD"</f>
        <v>CPTE # 431D  NE PAS UTILISER - UNITÉS - AAD</v>
      </c>
      <c r="O949" s="611" t="str">
        <f t="shared" si="127"/>
        <v/>
      </c>
      <c r="P949" s="611" t="str">
        <f t="shared" si="121"/>
        <v>Page5_BUI_MCI!K</v>
      </c>
      <c r="Q949" s="611">
        <f t="shared" si="122"/>
        <v>36</v>
      </c>
      <c r="R949" s="1447">
        <f t="shared" ca="1" si="123"/>
        <v>0</v>
      </c>
      <c r="S949" s="1447">
        <f t="shared" ca="1" si="124"/>
        <v>0</v>
      </c>
      <c r="V949" s="2557" t="str">
        <f t="shared" ca="1" si="125"/>
        <v/>
      </c>
      <c r="W949" s="611" t="str">
        <f t="shared" ca="1" si="126"/>
        <v>Page5_BUI_MCI, Ligne 33 [Page5_BUI_MCI!K36]  -</v>
      </c>
    </row>
    <row r="950" spans="1:23">
      <c r="A950" s="1443" t="str">
        <f>celladdr(Page5_BUI_MCI!K37)</f>
        <v>Page5_BUI_MCI!K37</v>
      </c>
      <c r="B950" s="1464" t="s">
        <v>1086</v>
      </c>
      <c r="C950" s="1451" t="b">
        <f>Page5_BUI_MCI!$K$37&lt;0</f>
        <v>0</v>
      </c>
      <c r="D950" s="1454" t="b">
        <f>OR(AND(Page5_BUI_MCI!$K37&gt;0,Page5_BUI_MCI!$M37=0),AND(Page5_BUI_MCI!$M37&lt;&gt;0,Page5_BUI_MCI!$K37=0))</f>
        <v>0</v>
      </c>
      <c r="E950" s="1454"/>
      <c r="F950" s="1454"/>
      <c r="G950" s="1444" t="str">
        <f t="shared" si="120"/>
        <v/>
      </c>
      <c r="H950" s="1447" t="str">
        <f>IF(C950=TRUE,Comments!$B$26,"")</f>
        <v/>
      </c>
      <c r="I950" s="1446" t="str">
        <f>IF(D950=TRUE,Comments!$B$21,"")</f>
        <v/>
      </c>
      <c r="J950" s="1446"/>
      <c r="K950" s="1452"/>
      <c r="N950" s="611" t="str">
        <f>"CPTE # "&amp;Page5_BUI_MCI!$E$37&amp;"  "&amp;Page5_BUI_MCI!$C$37&amp;" - UNITÉS - AAD"</f>
        <v>CPTE # 432D  NE PAS UTILISER - UNITÉS - AAD</v>
      </c>
      <c r="O950" s="611" t="str">
        <f t="shared" si="127"/>
        <v/>
      </c>
      <c r="P950" s="611" t="str">
        <f t="shared" si="121"/>
        <v>Page5_BUI_MCI!K</v>
      </c>
      <c r="Q950" s="611">
        <f t="shared" si="122"/>
        <v>37</v>
      </c>
      <c r="R950" s="1447">
        <f t="shared" ca="1" si="123"/>
        <v>0</v>
      </c>
      <c r="S950" s="1447">
        <f t="shared" ca="1" si="124"/>
        <v>0</v>
      </c>
      <c r="V950" s="2557" t="str">
        <f t="shared" ca="1" si="125"/>
        <v/>
      </c>
      <c r="W950" s="611" t="str">
        <f t="shared" ca="1" si="126"/>
        <v>Page5_BUI_MCI, Ligne 34 [Page5_BUI_MCI!K37]  -</v>
      </c>
    </row>
    <row r="951" spans="1:23">
      <c r="A951" s="1443" t="str">
        <f>celladdr(Page5_BUI_MCI!K38)</f>
        <v>Page5_BUI_MCI!K38</v>
      </c>
      <c r="B951" s="1464" t="s">
        <v>1086</v>
      </c>
      <c r="C951" s="1451" t="b">
        <f>Page5_BUI_MCI!$K$38&lt;0</f>
        <v>0</v>
      </c>
      <c r="D951" s="1454" t="b">
        <f>OR(AND(Page5_BUI_MCI!$K38&gt;0,Page5_BUI_MCI!$M38=0),AND(Page5_BUI_MCI!$M38&lt;&gt;0,Page5_BUI_MCI!$K38=0))</f>
        <v>0</v>
      </c>
      <c r="E951" s="1454"/>
      <c r="F951" s="1454"/>
      <c r="G951" s="1444" t="str">
        <f t="shared" si="120"/>
        <v/>
      </c>
      <c r="H951" s="1447" t="str">
        <f>IF(C951=TRUE,Comments!$B$26,"")</f>
        <v/>
      </c>
      <c r="I951" s="1446" t="str">
        <f>IF(D951=TRUE,Comments!$B$21,"")</f>
        <v/>
      </c>
      <c r="J951" s="1446"/>
      <c r="K951" s="1452"/>
      <c r="N951" s="611" t="str">
        <f>"CPTE # "&amp;Page5_BUI_MCI!$E$38&amp;"  "&amp;Page5_BUI_MCI!$C$38&amp;" - UNITÉS - AAD"</f>
        <v>CPTE # 433D  NE PAS UTILISER - UNITÉS - AAD</v>
      </c>
      <c r="O951" s="611" t="str">
        <f t="shared" si="127"/>
        <v/>
      </c>
      <c r="P951" s="611" t="str">
        <f t="shared" si="121"/>
        <v>Page5_BUI_MCI!K</v>
      </c>
      <c r="Q951" s="611">
        <f t="shared" si="122"/>
        <v>38</v>
      </c>
      <c r="R951" s="1447">
        <f t="shared" ca="1" si="123"/>
        <v>0</v>
      </c>
      <c r="S951" s="1447">
        <f t="shared" ca="1" si="124"/>
        <v>0</v>
      </c>
      <c r="V951" s="2557" t="str">
        <f t="shared" ca="1" si="125"/>
        <v/>
      </c>
      <c r="W951" s="611" t="str">
        <f t="shared" ca="1" si="126"/>
        <v>Page5_BUI_MCI, Ligne 35 [Page5_BUI_MCI!K38]  -</v>
      </c>
    </row>
    <row r="952" spans="1:23">
      <c r="A952" s="1443" t="str">
        <f>celladdr(Page5_BUI_MCI!K39)</f>
        <v>Page5_BUI_MCI!K39</v>
      </c>
      <c r="B952" s="1464" t="s">
        <v>1086</v>
      </c>
      <c r="C952" s="1451" t="b">
        <f>Page5_BUI_MCI!$K$39&lt;0</f>
        <v>0</v>
      </c>
      <c r="D952" s="1454" t="b">
        <f>OR(AND(Page5_BUI_MCI!$K39&gt;0,Page5_BUI_MCI!$M39=0),AND(Page5_BUI_MCI!$M39&lt;&gt;0,Page5_BUI_MCI!$K39=0))</f>
        <v>0</v>
      </c>
      <c r="E952" s="1454"/>
      <c r="F952" s="1454"/>
      <c r="G952" s="1444" t="str">
        <f t="shared" si="120"/>
        <v/>
      </c>
      <c r="H952" s="1447" t="str">
        <f>IF(C952=TRUE,Comments!$B$26,"")</f>
        <v/>
      </c>
      <c r="I952" s="1446" t="str">
        <f>IF(D952=TRUE,Comments!$B$21,"")</f>
        <v/>
      </c>
      <c r="J952" s="1446"/>
      <c r="K952" s="1452"/>
      <c r="N952" s="611" t="str">
        <f>"CPTE # "&amp;Page5_BUI_MCI!$E$39&amp;"  "&amp;Page5_BUI_MCI!$C$39&amp;" - UNITÉS - AAD"</f>
        <v>CPTE # 434D  NE PAS UTILISER - UNITÉS - AAD</v>
      </c>
      <c r="O952" s="611" t="str">
        <f t="shared" si="127"/>
        <v/>
      </c>
      <c r="P952" s="611" t="str">
        <f t="shared" si="121"/>
        <v>Page5_BUI_MCI!K</v>
      </c>
      <c r="Q952" s="611">
        <f t="shared" si="122"/>
        <v>39</v>
      </c>
      <c r="R952" s="1447">
        <f t="shared" ca="1" si="123"/>
        <v>0</v>
      </c>
      <c r="S952" s="1447">
        <f t="shared" ca="1" si="124"/>
        <v>0</v>
      </c>
      <c r="V952" s="2557" t="str">
        <f t="shared" ca="1" si="125"/>
        <v/>
      </c>
      <c r="W952" s="611" t="str">
        <f t="shared" ca="1" si="126"/>
        <v>Page5_BUI_MCI, Ligne 36 [Page5_BUI_MCI!K39]  -</v>
      </c>
    </row>
    <row r="953" spans="1:23">
      <c r="A953" s="1443" t="str">
        <f>celladdr(Page5_BUI_MCI!K40)</f>
        <v>Page5_BUI_MCI!K40</v>
      </c>
      <c r="B953" s="1464" t="s">
        <v>1086</v>
      </c>
      <c r="C953" s="1451" t="b">
        <f>Page5_BUI_MCI!$K$40&lt;0</f>
        <v>0</v>
      </c>
      <c r="D953" s="1454" t="b">
        <f>OR(AND(Page5_BUI_MCI!$K40&gt;0,Page5_BUI_MCI!$M40=0),AND(Page5_BUI_MCI!$M40&lt;&gt;0,Page5_BUI_MCI!$K40=0))</f>
        <v>0</v>
      </c>
      <c r="E953" s="1454"/>
      <c r="F953" s="1454"/>
      <c r="G953" s="1444" t="str">
        <f t="shared" si="120"/>
        <v/>
      </c>
      <c r="H953" s="1447" t="str">
        <f>IF(C953=TRUE,Comments!$B$26,"")</f>
        <v/>
      </c>
      <c r="I953" s="1446" t="str">
        <f>IF(D953=TRUE,Comments!$B$21,"")</f>
        <v/>
      </c>
      <c r="J953" s="1446"/>
      <c r="K953" s="1452"/>
      <c r="N953" s="611" t="str">
        <f>"CPTE # "&amp;Page5_BUI_MCI!$E$40&amp;"  "&amp;Page5_BUI_MCI!$C$40&amp;" - UNITÉS - AAD"</f>
        <v>CPTE # 435D  NE PAS UTILISER - UNITÉS - AAD</v>
      </c>
      <c r="O953" s="611" t="str">
        <f t="shared" si="127"/>
        <v/>
      </c>
      <c r="P953" s="611" t="str">
        <f t="shared" si="121"/>
        <v>Page5_BUI_MCI!K</v>
      </c>
      <c r="Q953" s="611">
        <f t="shared" si="122"/>
        <v>40</v>
      </c>
      <c r="R953" s="1447">
        <f t="shared" ca="1" si="123"/>
        <v>0</v>
      </c>
      <c r="S953" s="1447">
        <f t="shared" ca="1" si="124"/>
        <v>0</v>
      </c>
      <c r="V953" s="2557" t="str">
        <f t="shared" ca="1" si="125"/>
        <v/>
      </c>
      <c r="W953" s="611" t="str">
        <f t="shared" ca="1" si="126"/>
        <v>Page5_BUI_MCI, Ligne 37 [Page5_BUI_MCI!K40]  -</v>
      </c>
    </row>
    <row r="954" spans="1:23">
      <c r="A954" s="1443" t="str">
        <f>celladdr(Page5_BUI_MCI!K41)</f>
        <v>Page5_BUI_MCI!K41</v>
      </c>
      <c r="B954" s="1464" t="s">
        <v>1086</v>
      </c>
      <c r="C954" s="1451" t="b">
        <f>Page5_BUI_MCI!$K$41&lt;0</f>
        <v>0</v>
      </c>
      <c r="D954" s="1454" t="b">
        <f>OR(AND(Page5_BUI_MCI!$K41&gt;0,Page5_BUI_MCI!$M41=0),AND(Page5_BUI_MCI!$M41&lt;&gt;0,Page5_BUI_MCI!$K41=0))</f>
        <v>0</v>
      </c>
      <c r="E954" s="1454"/>
      <c r="F954" s="1454"/>
      <c r="G954" s="1444" t="str">
        <f t="shared" si="120"/>
        <v/>
      </c>
      <c r="H954" s="1447" t="str">
        <f>IF(C954=TRUE,Comments!$B$26,"")</f>
        <v/>
      </c>
      <c r="I954" s="1446" t="str">
        <f>IF(D954=TRUE,Comments!$B$21,"")</f>
        <v/>
      </c>
      <c r="J954" s="1446"/>
      <c r="K954" s="1452"/>
      <c r="N954" s="611" t="str">
        <f>"CPTE # "&amp;Page5_BUI_MCI!$E$41&amp;"  "&amp;Page5_BUI_MCI!$C$41&amp;" - UNITÉS - AAD"</f>
        <v>CPTE # 436D  NE PAS UTILISER - UNITÉS - AAD</v>
      </c>
      <c r="O954" s="611" t="str">
        <f t="shared" si="127"/>
        <v/>
      </c>
      <c r="P954" s="611" t="str">
        <f t="shared" si="121"/>
        <v>Page5_BUI_MCI!K</v>
      </c>
      <c r="Q954" s="611">
        <f t="shared" si="122"/>
        <v>41</v>
      </c>
      <c r="R954" s="1447">
        <f t="shared" ca="1" si="123"/>
        <v>0</v>
      </c>
      <c r="S954" s="1447">
        <f t="shared" ca="1" si="124"/>
        <v>0</v>
      </c>
      <c r="V954" s="2557" t="str">
        <f t="shared" ca="1" si="125"/>
        <v/>
      </c>
      <c r="W954" s="611" t="str">
        <f t="shared" ca="1" si="126"/>
        <v>Page5_BUI_MCI, Ligne 38 [Page5_BUI_MCI!K41]  -</v>
      </c>
    </row>
    <row r="955" spans="1:23">
      <c r="A955" s="1443" t="str">
        <f>celladdr(Page5_BUI_MCI!K42)</f>
        <v>Page5_BUI_MCI!K42</v>
      </c>
      <c r="B955" s="1464" t="s">
        <v>1086</v>
      </c>
      <c r="C955" s="1451" t="b">
        <f>Page5_BUI_MCI!$K$42&lt;0</f>
        <v>0</v>
      </c>
      <c r="D955" s="1454"/>
      <c r="E955" s="1454"/>
      <c r="F955" s="1454"/>
      <c r="G955" s="1444" t="str">
        <f t="shared" si="120"/>
        <v/>
      </c>
      <c r="H955" s="1447" t="str">
        <f>IF(C955=TRUE,Comments!$B$26,"")</f>
        <v/>
      </c>
      <c r="I955" s="1446"/>
      <c r="J955" s="1446"/>
      <c r="K955" s="1452"/>
      <c r="N955" s="611" t="str">
        <f>"CPTE # "&amp;Page5_BUI_MCI!$E$42&amp;"  "&amp;Page5_BUI_MCI!$C$42&amp;" - UNITÉS - AAD"</f>
        <v>CPTE # 437D  POUR USAGE FUTUR - UNITÉS - AAD</v>
      </c>
      <c r="O955" s="611" t="str">
        <f t="shared" si="127"/>
        <v/>
      </c>
      <c r="P955" s="611" t="str">
        <f t="shared" si="121"/>
        <v>Page5_BUI_MCI!K</v>
      </c>
      <c r="Q955" s="611">
        <f t="shared" si="122"/>
        <v>42</v>
      </c>
      <c r="R955" s="1447">
        <f t="shared" ca="1" si="123"/>
        <v>0</v>
      </c>
      <c r="S955" s="1447">
        <f t="shared" ca="1" si="124"/>
        <v>0</v>
      </c>
      <c r="V955" s="2557" t="str">
        <f t="shared" ca="1" si="125"/>
        <v/>
      </c>
      <c r="W955" s="611" t="str">
        <f t="shared" ca="1" si="126"/>
        <v>Page5_BUI_MCI, Ligne 39 [Page5_BUI_MCI!K42]  -</v>
      </c>
    </row>
    <row r="956" spans="1:23">
      <c r="A956" s="1443" t="str">
        <f>celladdr(Page5_BUI_MCI!K43)</f>
        <v>Page5_BUI_MCI!K43</v>
      </c>
      <c r="B956" s="1464" t="s">
        <v>1086</v>
      </c>
      <c r="C956" s="1451" t="b">
        <f>Page5_BUI_MCI!$K$43&lt;0</f>
        <v>0</v>
      </c>
      <c r="D956" s="1454" t="b">
        <f>OR(AND(Page5_BUI_MCI!$K43&gt;0,Page5_BUI_MCI!$M43=0),AND(Page5_BUI_MCI!$M43&lt;&gt;0,Page5_BUI_MCI!$K43=0))</f>
        <v>0</v>
      </c>
      <c r="E956" s="1454"/>
      <c r="F956" s="1454"/>
      <c r="G956" s="1444" t="str">
        <f t="shared" si="120"/>
        <v/>
      </c>
      <c r="H956" s="1447" t="str">
        <f>IF(C956=TRUE,Comments!$B$26,"")</f>
        <v/>
      </c>
      <c r="I956" s="1446" t="str">
        <f>IF(D956=TRUE,Comments!$B$21,"")</f>
        <v/>
      </c>
      <c r="J956" s="1446"/>
      <c r="K956" s="1452"/>
      <c r="N956" s="611" t="str">
        <f>"CPTE # "&amp;Page5_BUI_MCI!$E$43&amp;"  "&amp;Page5_BUI_MCI!$C$43&amp;" - UNITÉS - AAD"</f>
        <v>CPTE # 438D  AUTRES CAMIONS GM - UNITÉS - AAD</v>
      </c>
      <c r="O956" s="611" t="str">
        <f t="shared" si="127"/>
        <v/>
      </c>
      <c r="P956" s="611" t="str">
        <f t="shared" si="121"/>
        <v>Page5_BUI_MCI!K</v>
      </c>
      <c r="Q956" s="611">
        <f t="shared" si="122"/>
        <v>43</v>
      </c>
      <c r="R956" s="1447">
        <f t="shared" ca="1" si="123"/>
        <v>0</v>
      </c>
      <c r="S956" s="1447">
        <f t="shared" ca="1" si="124"/>
        <v>0</v>
      </c>
      <c r="V956" s="2557" t="str">
        <f t="shared" ca="1" si="125"/>
        <v/>
      </c>
      <c r="W956" s="611" t="str">
        <f t="shared" ca="1" si="126"/>
        <v>Page5_BUI_MCI, Ligne 40 [Page5_BUI_MCI!K43]  -</v>
      </c>
    </row>
    <row r="957" spans="1:23">
      <c r="A957" s="1443" t="str">
        <f>celladdr(Page5_BUI_MCI!K44)</f>
        <v>Page5_BUI_MCI!K44</v>
      </c>
      <c r="B957" s="1444" t="s">
        <v>1086</v>
      </c>
      <c r="C957" s="1451"/>
      <c r="D957" s="1454"/>
      <c r="E957" s="1454"/>
      <c r="F957" s="1454"/>
      <c r="G957" s="1444" t="str">
        <f t="shared" si="120"/>
        <v/>
      </c>
      <c r="H957" s="1447" t="str">
        <f>IF(C957=TRUE,Comments!$B$26,"")</f>
        <v/>
      </c>
      <c r="I957" s="1446" t="str">
        <f>IF(D957=TRUE,Comments!$B$21,"")</f>
        <v/>
      </c>
      <c r="J957" s="1446"/>
      <c r="K957" s="1452"/>
      <c r="O957" s="611" t="str">
        <f t="shared" si="127"/>
        <v/>
      </c>
      <c r="P957" s="611" t="str">
        <f t="shared" si="121"/>
        <v>Page5_BUI_MCI!K</v>
      </c>
      <c r="Q957" s="611">
        <f t="shared" si="122"/>
        <v>44</v>
      </c>
      <c r="R957" s="1447">
        <f t="shared" ca="1" si="123"/>
        <v>0</v>
      </c>
      <c r="S957" s="1447">
        <f t="shared" ca="1" si="124"/>
        <v>0</v>
      </c>
      <c r="V957" s="2557" t="str">
        <f t="shared" ca="1" si="125"/>
        <v/>
      </c>
      <c r="W957" s="611" t="str">
        <f t="shared" ca="1" si="126"/>
        <v>Page5_BUI_MCI, Ligne 41 [Page5_BUI_MCI!K44]  -</v>
      </c>
    </row>
    <row r="958" spans="1:23">
      <c r="A958" s="1443" t="str">
        <f>celladdr(Page5_BUI_MCI!K45)</f>
        <v>Page5_BUI_MCI!K45</v>
      </c>
      <c r="B958" s="1464" t="s">
        <v>1086</v>
      </c>
      <c r="C958" s="1451" t="b">
        <f>Page5_BUI_MCI!$K$45&lt;0</f>
        <v>0</v>
      </c>
      <c r="D958" s="1454" t="b">
        <f>OR(AND(Page5_BUI_MCI!$K45&gt;0,Page5_BUI_MCI!$M45=0),AND(Page5_BUI_MCI!$M45&lt;&gt;0,Page5_BUI_MCI!$K45=0))</f>
        <v>0</v>
      </c>
      <c r="E958" s="1454"/>
      <c r="F958" s="1454"/>
      <c r="G958" s="1444" t="str">
        <f t="shared" si="120"/>
        <v/>
      </c>
      <c r="H958" s="1447" t="str">
        <f>IF(C958=TRUE,Comments!$B$26,"")</f>
        <v/>
      </c>
      <c r="I958" s="1446" t="str">
        <f>IF(D958=TRUE,Comments!$B$21,"")</f>
        <v/>
      </c>
      <c r="J958" s="1446"/>
      <c r="K958" s="1452"/>
      <c r="N958" s="611" t="str">
        <f>"CPTE # "&amp;Page5_BUI_MCI!$E$45&amp;"  "&amp;Page5_BUI_MCI!$C$45&amp;" - UNITÉS - AAD"</f>
        <v>CPTE # 439D  MÉMO* VENTES INTERNET CAMIONS - UNITÉS - AAD</v>
      </c>
      <c r="O958" s="611" t="str">
        <f t="shared" si="127"/>
        <v/>
      </c>
      <c r="P958" s="611" t="str">
        <f t="shared" si="121"/>
        <v>Page5_BUI_MCI!K</v>
      </c>
      <c r="Q958" s="611">
        <f t="shared" si="122"/>
        <v>45</v>
      </c>
      <c r="R958" s="1447">
        <f t="shared" ca="1" si="123"/>
        <v>0</v>
      </c>
      <c r="S958" s="1447">
        <f t="shared" ca="1" si="124"/>
        <v>0</v>
      </c>
      <c r="V958" s="2557" t="str">
        <f t="shared" ca="1" si="125"/>
        <v/>
      </c>
      <c r="W958" s="611" t="str">
        <f t="shared" ca="1" si="126"/>
        <v>Page5_BUI_MCI, Ligne 42 [Page5_BUI_MCI!K45]  -</v>
      </c>
    </row>
    <row r="959" spans="1:23">
      <c r="A959" s="1443" t="str">
        <f>celladdr(Page5_BUI_MCI!K46)</f>
        <v>Page5_BUI_MCI!K46</v>
      </c>
      <c r="B959" s="1464" t="s">
        <v>1086</v>
      </c>
      <c r="C959" s="1451" t="b">
        <f>Page5_BUI_MCI!$K$46&lt;0</f>
        <v>0</v>
      </c>
      <c r="D959" s="1454" t="b">
        <f>OR(AND(Page5_BUI_MCI!$K46&gt;0,Page5_BUI_MCI!$M46=0),AND(Page5_BUI_MCI!$M46&lt;&gt;0,Page5_BUI_MCI!$K46=0))</f>
        <v>0</v>
      </c>
      <c r="E959" s="1454" t="b">
        <f>ROUND(Page5_CAD_MCI!K46 + Page5_BUI_MCI!K46,2)&lt;&gt;ROUND(Page5_PARCS_GOUV!K14+Page5_PARCS_GOUV!K16+Page5_PARCS_GOUV!K18+Page5_PARCS_GOUV!K50+Page5_PARCS_GOUV!K52+Page5_PARCS_GOUV!K54,2)</f>
        <v>0</v>
      </c>
      <c r="F959" s="1454"/>
      <c r="G959" s="1444" t="str">
        <f t="shared" si="120"/>
        <v/>
      </c>
      <c r="H959" s="1447" t="str">
        <f>IF(C959=TRUE,Comments!$B$26,"")</f>
        <v/>
      </c>
      <c r="I959" s="1446" t="str">
        <f>IF(D959=TRUE,Comments!$B$21,"")</f>
        <v/>
      </c>
      <c r="J959" s="1446" t="str">
        <f>IF(E959=TRUE, Comments!$B$100,"")</f>
        <v/>
      </c>
      <c r="K959" s="1452"/>
      <c r="N959" s="611" t="str">
        <f>"CPTE # "&amp;Page5_BUI_MCI!$E$46&amp;"  "&amp;Page5_BUI_MCI!$C$46&amp;" - UNITÉS - AAD"</f>
        <v>CPTE # DE PG PARCS  TOTAL PARCS - CAMIONS - UNITÉS - AAD</v>
      </c>
      <c r="O959" s="611" t="str">
        <f t="shared" si="127"/>
        <v/>
      </c>
      <c r="P959" s="611" t="str">
        <f t="shared" si="121"/>
        <v>Page5_BUI_MCI!K</v>
      </c>
      <c r="Q959" s="611">
        <f t="shared" si="122"/>
        <v>46</v>
      </c>
      <c r="R959" s="1447">
        <f t="shared" ca="1" si="123"/>
        <v>0</v>
      </c>
      <c r="S959" s="1447">
        <f t="shared" ca="1" si="124"/>
        <v>0</v>
      </c>
      <c r="T959" s="611">
        <v>100</v>
      </c>
      <c r="V959" s="2557" t="str">
        <f t="shared" ca="1" si="125"/>
        <v/>
      </c>
      <c r="W959" s="611" t="str">
        <f t="shared" ca="1" si="126"/>
        <v>Page5_BUI_MCI, Ligne 43 [Page5_BUI_MCI!K46]  -</v>
      </c>
    </row>
    <row r="960" spans="1:23">
      <c r="A960" s="1443" t="str">
        <f>celladdr(Page5_BUI_MCI!K47)</f>
        <v>Page5_BUI_MCI!K47</v>
      </c>
      <c r="B960" s="1464" t="s">
        <v>1086</v>
      </c>
      <c r="C960" s="1451" t="b">
        <f>Page5_BUI_MCI!$K$47&lt;0</f>
        <v>0</v>
      </c>
      <c r="D960" s="1454" t="b">
        <f>OR(AND(Page5_BUI_MCI!$K47&gt;0,Page5_BUI_MCI!$M47=0),AND(Page5_BUI_MCI!$M47&lt;&gt;0,Page5_BUI_MCI!$K47=0))</f>
        <v>0</v>
      </c>
      <c r="E960" s="1454"/>
      <c r="F960" s="1454"/>
      <c r="G960" s="1444" t="str">
        <f t="shared" si="120"/>
        <v/>
      </c>
      <c r="H960" s="1447" t="str">
        <f>IF(C960=TRUE,Comments!$B$26,"")</f>
        <v/>
      </c>
      <c r="I960" s="1446" t="str">
        <f>IF(D960=TRUE,Comments!$B$21,"")</f>
        <v/>
      </c>
      <c r="J960" s="1446"/>
      <c r="K960" s="1452"/>
      <c r="N960" s="611" t="str">
        <f>"CPTE # "&amp;Page5_BUI_MCI!$E$47&amp;"  "&amp;Page5_BUI_MCI!$C$47&amp;" - UNITÉS - AAD"</f>
        <v>CPTE # 441D  TOTAL IINTERNE - CAMIONS  - UNITÉS - AAD</v>
      </c>
      <c r="O960" s="611" t="str">
        <f t="shared" ref="O960:O986" si="128">IF(A960=A959,"TRUE","")</f>
        <v/>
      </c>
      <c r="P960" s="611" t="str">
        <f t="shared" si="121"/>
        <v>Page5_BUI_MCI!K</v>
      </c>
      <c r="Q960" s="611">
        <f t="shared" si="122"/>
        <v>47</v>
      </c>
      <c r="R960" s="1447">
        <f t="shared" ca="1" si="123"/>
        <v>0</v>
      </c>
      <c r="S960" s="1447">
        <f t="shared" ca="1" si="124"/>
        <v>0</v>
      </c>
      <c r="V960" s="2557" t="str">
        <f t="shared" ca="1" si="125"/>
        <v/>
      </c>
      <c r="W960" s="611" t="str">
        <f t="shared" ca="1" si="126"/>
        <v>Page5_BUI_MCI, Ligne 44 [Page5_BUI_MCI!K47]  -</v>
      </c>
    </row>
    <row r="961" spans="1:23">
      <c r="A961" s="1443" t="str">
        <f>celladdr(Page5_BUI_MCI!K48)</f>
        <v>Page5_BUI_MCI!K48</v>
      </c>
      <c r="B961" s="1444" t="s">
        <v>1086</v>
      </c>
      <c r="C961" s="1451"/>
      <c r="D961" s="1454"/>
      <c r="E961" s="1454"/>
      <c r="F961" s="1454"/>
      <c r="G961" s="1444" t="str">
        <f t="shared" si="120"/>
        <v/>
      </c>
      <c r="H961" s="1447" t="str">
        <f>IF(C961=TRUE,Comments!$B$26,"")</f>
        <v/>
      </c>
      <c r="I961" s="1446" t="str">
        <f>IF(D961=TRUE,Comments!$B$21,"")</f>
        <v/>
      </c>
      <c r="J961" s="1446"/>
      <c r="K961" s="1452"/>
      <c r="O961" s="611" t="str">
        <f t="shared" si="128"/>
        <v/>
      </c>
      <c r="P961" s="611" t="str">
        <f t="shared" si="121"/>
        <v>Page5_BUI_MCI!K</v>
      </c>
      <c r="Q961" s="611">
        <f t="shared" si="122"/>
        <v>48</v>
      </c>
      <c r="R961" s="1447">
        <f t="shared" ca="1" si="123"/>
        <v>0</v>
      </c>
      <c r="S961" s="1447">
        <f t="shared" ca="1" si="124"/>
        <v>0</v>
      </c>
      <c r="V961" s="2557" t="str">
        <f t="shared" ca="1" si="125"/>
        <v/>
      </c>
      <c r="W961" s="611" t="str">
        <f t="shared" ca="1" si="126"/>
        <v>Page5_BUI_MCI, Ligne 45 [Page5_BUI_MCI!K48]  -</v>
      </c>
    </row>
    <row r="962" spans="1:23">
      <c r="A962" s="1443" t="str">
        <f>celladdr(Page5_BUI_MCI!K49)</f>
        <v>Page5_BUI_MCI!K49</v>
      </c>
      <c r="B962" s="1464" t="s">
        <v>1086</v>
      </c>
      <c r="C962" s="1451"/>
      <c r="D962" s="1454" t="b">
        <f>OR(AND(Page5_BUI_MCI!$K49&gt;0,Page5_BUI_MCI!$M49=0),AND(Page5_BUI_MCI!$M49&lt;&gt;0,Page5_BUI_MCI!$K49=0))</f>
        <v>0</v>
      </c>
      <c r="E962" s="1454"/>
      <c r="F962" s="1454"/>
      <c r="G962" s="1444" t="str">
        <f t="shared" ref="G962:G1025" si="129">IF(H962&amp;I962&amp;J962&amp;K962&lt;&gt;"","No.de ref. du commentaire.: "&amp;W962&amp;" "&amp;N962&amp;" "&amp;H962&amp;I962&amp;IF(OR(C962=TRUE,D962=TRUE),"",J962&amp;K962&amp;V962),"")</f>
        <v/>
      </c>
      <c r="I962" s="1446" t="str">
        <f>IF(D962=TRUE,Comments!$B$24,"")</f>
        <v/>
      </c>
      <c r="J962" s="1446"/>
      <c r="K962" s="1452"/>
      <c r="N962" s="611" t="str">
        <f>"CPTE # "&amp;Page5_BUI_MCI!$E$49&amp;"  "&amp;Page5_BUI_MCI!$C$49&amp;" - UNITÉS - AAD"</f>
        <v>CPTE #      - UNITÉS - AAD</v>
      </c>
      <c r="O962" s="611" t="str">
        <f t="shared" si="128"/>
        <v/>
      </c>
      <c r="P962" s="611" t="str">
        <f t="shared" ref="P962:P1025" si="130">LEFT(A962,FIND("!",A962)+1)</f>
        <v>Page5_BUI_MCI!K</v>
      </c>
      <c r="Q962" s="611">
        <f t="shared" ref="Q962:Q1025" si="131">VALUE(RIGHT(A962,LEN(A962)-FIND("!",A962)-1))</f>
        <v>49</v>
      </c>
      <c r="R962" s="1447">
        <f t="shared" ref="R962:R1025" ca="1" si="132">IF(E962=TRUE,INDIRECT("Comments!$D$"&amp;T962),0)</f>
        <v>0</v>
      </c>
      <c r="S962" s="1447">
        <f t="shared" ref="S962:S1025" ca="1" si="133">IF(F962=TRUE,INDIRECT("Comments!$D$"&amp;U962),0)</f>
        <v>0</v>
      </c>
      <c r="V962" s="2557" t="str">
        <f t="shared" ref="V962:V1025" ca="1" si="134">IF(SUM(R962+S962)=0,"","
*** "&amp;TEXT(SUM(R962+S962),"0,0")&amp;" Points de précision seront déduits suite à cette(ces) erreur(s) !")</f>
        <v/>
      </c>
      <c r="W962" s="611" t="str">
        <f t="shared" ref="W962:W1025" ca="1" si="135">LEFT(A962,FIND("!",A962,1)-1)&amp;", Ligne "&amp;INDIRECT(ADDRESS(ROW(INDIRECT(A962)),IF(INDIRECT(ADDRESS(ROW(INDIRECT(A962)),1,,,LEFT(A962,FIND("!",A962,1)-1)))="",2,1),,,LEFT(A962,FIND("!",A962,1)-1)))&amp;" ["&amp;A962&amp;"] "&amp;" -"</f>
        <v>Page5_BUI_MCI, Ligne 46 [Page5_BUI_MCI!K49]  -</v>
      </c>
    </row>
    <row r="963" spans="1:23">
      <c r="A963" s="1443" t="str">
        <f>celladdr(Page5_BUI_MCI!K50)</f>
        <v>Page5_BUI_MCI!K50</v>
      </c>
      <c r="B963" s="1464" t="s">
        <v>1086</v>
      </c>
      <c r="C963" s="1451"/>
      <c r="D963" s="1454" t="b">
        <f>OR(AND(Page5_BUI_MCI!$K50&gt;0,Page5_BUI_MCI!$M50=0),AND(Page5_BUI_MCI!$M50&lt;&gt;0,Page5_BUI_MCI!$K50=0))</f>
        <v>0</v>
      </c>
      <c r="E963" s="1454"/>
      <c r="F963" s="1454"/>
      <c r="G963" s="1444" t="str">
        <f t="shared" si="129"/>
        <v/>
      </c>
      <c r="I963" s="1446" t="str">
        <f>IF(D963=TRUE,Comments!$B$21,"")</f>
        <v/>
      </c>
      <c r="J963" s="1446"/>
      <c r="K963" s="1452"/>
      <c r="N963" s="611" t="str">
        <f>"CPTE # "&amp;Page5_BUI_MCI!$E$50&amp;"  "&amp;Page5_BUI_MCI!$C$50&amp;" - UNITÉS - AAD"</f>
        <v>CPTE # 457D  ACCESSOIRES - UNITÉS - AAD</v>
      </c>
      <c r="O963" s="611" t="str">
        <f t="shared" si="128"/>
        <v/>
      </c>
      <c r="P963" s="611" t="str">
        <f t="shared" si="130"/>
        <v>Page5_BUI_MCI!K</v>
      </c>
      <c r="Q963" s="611">
        <f t="shared" si="131"/>
        <v>50</v>
      </c>
      <c r="R963" s="1447">
        <f t="shared" ca="1" si="132"/>
        <v>0</v>
      </c>
      <c r="S963" s="1447">
        <f t="shared" ca="1" si="133"/>
        <v>0</v>
      </c>
      <c r="V963" s="2557" t="str">
        <f t="shared" ca="1" si="134"/>
        <v/>
      </c>
      <c r="W963" s="611" t="str">
        <f t="shared" ca="1" si="135"/>
        <v>Page5_BUI_MCI, Ligne 47 [Page5_BUI_MCI!K50]  -</v>
      </c>
    </row>
    <row r="964" spans="1:23">
      <c r="A964" s="1443" t="str">
        <f>celladdr(Page5_BUI_MCI!K51)</f>
        <v>Page5_BUI_MCI!K51</v>
      </c>
      <c r="B964" s="1453" t="s">
        <v>1086</v>
      </c>
      <c r="C964" s="1445" t="b">
        <f>Page5_BUI_MCI!$K$51&lt;&gt;Page5_BUI_MCI!$K$48+Page5_BUI_MCI!$K$27</f>
        <v>0</v>
      </c>
      <c r="D964" s="1454"/>
      <c r="F964" s="1454"/>
      <c r="G964" s="1444" t="str">
        <f t="shared" si="129"/>
        <v/>
      </c>
      <c r="H964" s="1446" t="str">
        <f>IF(C964=TRUE,Comments!$B$38&amp;Page5_BUI_MCI!$K$51-(Page5_BUI_MCI!$K$48+Page5_BUI_MCI!$K$27),"")</f>
        <v/>
      </c>
      <c r="I964" s="1452"/>
      <c r="J964" s="1452"/>
      <c r="K964" s="1452"/>
      <c r="N964" s="611" t="str">
        <f>Page5_BUI_MCI!$B$1&amp;" TOTAL VÉHICULES NEUFS  - UNITÉS - AAD"</f>
        <v>BUICK TOTAL VÉHICULES NEUFS  - UNITÉS - AAD</v>
      </c>
      <c r="O964" s="611" t="str">
        <f t="shared" si="128"/>
        <v/>
      </c>
      <c r="P964" s="611" t="str">
        <f t="shared" si="130"/>
        <v>Page5_BUI_MCI!K</v>
      </c>
      <c r="Q964" s="611">
        <f t="shared" si="131"/>
        <v>51</v>
      </c>
      <c r="R964" s="1447">
        <f t="shared" ca="1" si="132"/>
        <v>0</v>
      </c>
      <c r="S964" s="1447">
        <f t="shared" ca="1" si="133"/>
        <v>0</v>
      </c>
      <c r="V964" s="2557" t="str">
        <f t="shared" ca="1" si="134"/>
        <v/>
      </c>
      <c r="W964" s="611" t="str">
        <f t="shared" ca="1" si="135"/>
        <v>Page5_BUI_MCI, Ligne 48 [Page5_BUI_MCI!K51]  -</v>
      </c>
    </row>
    <row r="965" spans="1:23">
      <c r="A965" s="1443" t="str">
        <f>celladdr(Page5_BUI_MCI!L4)</f>
        <v>Page5_BUI_MCI!L4</v>
      </c>
      <c r="B965" s="1456" t="s">
        <v>1086</v>
      </c>
      <c r="C965" s="1451" t="b">
        <f>Page5_BUI_MCI!$L$4&lt;0</f>
        <v>0</v>
      </c>
      <c r="D965" s="1454" t="b">
        <f>OR(AND(Page5_BUI_MCI!$L4&lt;&gt;0,Page5_BUI_MCI!$M4=0),AND(Page5_BUI_MCI!$M4&lt;&gt;0,Page5_BUI_MCI!$L4=0))</f>
        <v>0</v>
      </c>
      <c r="E965" s="1454"/>
      <c r="F965" s="1454"/>
      <c r="G965" s="1444" t="str">
        <f t="shared" si="129"/>
        <v/>
      </c>
      <c r="H965" s="1447" t="str">
        <f>IF(C965=TRUE,Comments!$B$23,"")</f>
        <v/>
      </c>
      <c r="I965" s="1446" t="str">
        <f>IF(D965=TRUE,Comments!$B$24,"")</f>
        <v/>
      </c>
      <c r="J965" s="1446"/>
      <c r="K965" s="1452"/>
      <c r="N965" s="611" t="str">
        <f>"CPTE # "&amp;Page5_BUI_MCI!$E$4&amp;"  "&amp;Page5_BUI_MCI!$C$4&amp;" - CHIFFRE D'AFFAIRES RÉALISÉ - AAD"</f>
        <v>CPTE # 400D  REGAL - CHIFFRE D'AFFAIRES RÉALISÉ - AAD</v>
      </c>
      <c r="O965" s="611" t="str">
        <f t="shared" si="128"/>
        <v/>
      </c>
      <c r="P965" s="611" t="str">
        <f t="shared" si="130"/>
        <v>Page5_BUI_MCI!L</v>
      </c>
      <c r="Q965" s="611">
        <f t="shared" si="131"/>
        <v>4</v>
      </c>
      <c r="R965" s="1447">
        <f t="shared" ca="1" si="132"/>
        <v>0</v>
      </c>
      <c r="S965" s="1447">
        <f t="shared" ca="1" si="133"/>
        <v>0</v>
      </c>
      <c r="V965" s="2557" t="str">
        <f t="shared" ca="1" si="134"/>
        <v/>
      </c>
      <c r="W965" s="611" t="str">
        <f t="shared" ca="1" si="135"/>
        <v>Page5_BUI_MCI, Ligne 1 [Page5_BUI_MCI!L4]  -</v>
      </c>
    </row>
    <row r="966" spans="1:23">
      <c r="A966" s="1443" t="str">
        <f>celladdr(Page5_BUI_MCI!L5)</f>
        <v>Page5_BUI_MCI!L5</v>
      </c>
      <c r="B966" s="1456" t="s">
        <v>1086</v>
      </c>
      <c r="C966" s="1451" t="b">
        <f>Page5_BUI_MCI!$L$5&lt;0</f>
        <v>0</v>
      </c>
      <c r="D966" s="1454" t="b">
        <f>OR(AND(Page5_BUI_MCI!$L5&lt;&gt;0,Page5_BUI_MCI!$M5=0),AND(Page5_BUI_MCI!$M5&lt;&gt;0,Page5_BUI_MCI!$L5=0))</f>
        <v>0</v>
      </c>
      <c r="E966" s="1454"/>
      <c r="F966" s="1454"/>
      <c r="G966" s="1444" t="str">
        <f t="shared" si="129"/>
        <v/>
      </c>
      <c r="H966" s="1447" t="str">
        <f>IF(C966=TRUE,Comments!$B$23,"")</f>
        <v/>
      </c>
      <c r="I966" s="1446" t="str">
        <f>IF(D966=TRUE,Comments!$B$24,"")</f>
        <v/>
      </c>
      <c r="J966" s="1446"/>
      <c r="K966" s="1452"/>
      <c r="N966" s="611" t="str">
        <f>"CPTE # "&amp;Page5_BUI_MCI!$E$5&amp;"  "&amp;Page5_BUI_MCI!$C$5&amp;" - CHIFFRE D'AFFAIRES RÉALISÉ - AAD"</f>
        <v>CPTE # 401D  LACROSSE - CHIFFRE D'AFFAIRES RÉALISÉ - AAD</v>
      </c>
      <c r="O966" s="611" t="str">
        <f t="shared" si="128"/>
        <v/>
      </c>
      <c r="P966" s="611" t="str">
        <f t="shared" si="130"/>
        <v>Page5_BUI_MCI!L</v>
      </c>
      <c r="Q966" s="611">
        <f t="shared" si="131"/>
        <v>5</v>
      </c>
      <c r="R966" s="1447">
        <f t="shared" ca="1" si="132"/>
        <v>0</v>
      </c>
      <c r="S966" s="1447">
        <f t="shared" ca="1" si="133"/>
        <v>0</v>
      </c>
      <c r="V966" s="2557" t="str">
        <f t="shared" ca="1" si="134"/>
        <v/>
      </c>
      <c r="W966" s="611" t="str">
        <f t="shared" ca="1" si="135"/>
        <v>Page5_BUI_MCI, Ligne 2 [Page5_BUI_MCI!L5]  -</v>
      </c>
    </row>
    <row r="967" spans="1:23">
      <c r="A967" s="1443" t="str">
        <f>celladdr(Page5_BUI_MCI!L6)</f>
        <v>Page5_BUI_MCI!L6</v>
      </c>
      <c r="B967" s="1456" t="s">
        <v>1086</v>
      </c>
      <c r="C967" s="1451" t="b">
        <f>Page5_BUI_MCI!$L$6&lt;0</f>
        <v>0</v>
      </c>
      <c r="D967" s="1454" t="b">
        <f>OR(AND(Page5_BUI_MCI!$L6&lt;&gt;0,Page5_BUI_MCI!$M6=0),AND(Page5_BUI_MCI!$M6&lt;&gt;0,Page5_BUI_MCI!$L6=0))</f>
        <v>0</v>
      </c>
      <c r="E967" s="1454"/>
      <c r="F967" s="1454"/>
      <c r="G967" s="1444" t="str">
        <f t="shared" si="129"/>
        <v/>
      </c>
      <c r="H967" s="1447" t="str">
        <f>IF(C967=TRUE,Comments!$B$23,"")</f>
        <v/>
      </c>
      <c r="I967" s="1446" t="str">
        <f>IF(D967=TRUE,Comments!$B$24,"")</f>
        <v/>
      </c>
      <c r="J967" s="1446"/>
      <c r="K967" s="1452"/>
      <c r="N967" s="611" t="str">
        <f>"CPTE # "&amp;Page5_BUI_MCI!$E$6&amp;"  "&amp;Page5_BUI_MCI!$C$6&amp;" - CHIFFRE D'AFFAIRES RÉALISÉ - AAD"</f>
        <v>CPTE # 402D  VERANO - CHIFFRE D'AFFAIRES RÉALISÉ - AAD</v>
      </c>
      <c r="O967" s="611" t="str">
        <f t="shared" si="128"/>
        <v/>
      </c>
      <c r="P967" s="611" t="str">
        <f t="shared" si="130"/>
        <v>Page5_BUI_MCI!L</v>
      </c>
      <c r="Q967" s="611">
        <f t="shared" si="131"/>
        <v>6</v>
      </c>
      <c r="R967" s="1447">
        <f t="shared" ca="1" si="132"/>
        <v>0</v>
      </c>
      <c r="S967" s="1447">
        <f t="shared" ca="1" si="133"/>
        <v>0</v>
      </c>
      <c r="V967" s="2557" t="str">
        <f t="shared" ca="1" si="134"/>
        <v/>
      </c>
      <c r="W967" s="611" t="str">
        <f t="shared" ca="1" si="135"/>
        <v>Page5_BUI_MCI, Ligne 3 [Page5_BUI_MCI!L6]  -</v>
      </c>
    </row>
    <row r="968" spans="1:23">
      <c r="A968" s="1443" t="str">
        <f>celladdr(Page5_BUI_MCI!L7)</f>
        <v>Page5_BUI_MCI!L7</v>
      </c>
      <c r="B968" s="1456" t="s">
        <v>1086</v>
      </c>
      <c r="C968" s="1451" t="b">
        <f>Page5_BUI_MCI!$L$7&lt;0</f>
        <v>0</v>
      </c>
      <c r="D968" s="1454" t="b">
        <f>OR(AND(Page5_BUI_MCI!$L7&lt;&gt;0,Page5_BUI_MCI!$M7=0),AND(Page5_BUI_MCI!$M7&lt;&gt;0,Page5_BUI_MCI!$L7=0))</f>
        <v>0</v>
      </c>
      <c r="E968" s="1454"/>
      <c r="F968" s="1454"/>
      <c r="G968" s="1444" t="str">
        <f t="shared" si="129"/>
        <v/>
      </c>
      <c r="H968" s="1447" t="str">
        <f>IF(C968=TRUE,Comments!$B$23,"")</f>
        <v/>
      </c>
      <c r="I968" s="1446" t="str">
        <f>IF(D968=TRUE,Comments!$B$24,"")</f>
        <v/>
      </c>
      <c r="J968" s="1446"/>
      <c r="K968" s="1452"/>
      <c r="N968" s="611" t="str">
        <f>"CPTE # "&amp;Page5_BUI_MCI!$E$7&amp;"  "&amp;Page5_BUI_MCI!$C$7&amp;" - CHIFFRE D'AFFAIRES RÉALISÉ - AAD"</f>
        <v>CPTE # 403D  NE PAS UTILISER - CHIFFRE D'AFFAIRES RÉALISÉ - AAD</v>
      </c>
      <c r="O968" s="611" t="str">
        <f t="shared" si="128"/>
        <v/>
      </c>
      <c r="P968" s="611" t="str">
        <f t="shared" si="130"/>
        <v>Page5_BUI_MCI!L</v>
      </c>
      <c r="Q968" s="611">
        <f t="shared" si="131"/>
        <v>7</v>
      </c>
      <c r="R968" s="1447">
        <f t="shared" ca="1" si="132"/>
        <v>0</v>
      </c>
      <c r="S968" s="1447">
        <f t="shared" ca="1" si="133"/>
        <v>0</v>
      </c>
      <c r="V968" s="2557" t="str">
        <f t="shared" ca="1" si="134"/>
        <v/>
      </c>
      <c r="W968" s="611" t="str">
        <f t="shared" ca="1" si="135"/>
        <v>Page5_BUI_MCI, Ligne 4 [Page5_BUI_MCI!L7]  -</v>
      </c>
    </row>
    <row r="969" spans="1:23">
      <c r="A969" s="1443" t="str">
        <f>celladdr(Page5_BUI_MCI!L8)</f>
        <v>Page5_BUI_MCI!L8</v>
      </c>
      <c r="B969" s="1456" t="s">
        <v>1086</v>
      </c>
      <c r="C969" s="1451" t="b">
        <f>Page5_BUI_MCI!$L$8&lt;0</f>
        <v>0</v>
      </c>
      <c r="D969" s="1454" t="b">
        <f>OR(AND(Page5_BUI_MCI!$L8&lt;&gt;0,Page5_BUI_MCI!$M8=0),AND(Page5_BUI_MCI!$M8&lt;&gt;0,Page5_BUI_MCI!$L8=0))</f>
        <v>0</v>
      </c>
      <c r="E969" s="1454"/>
      <c r="F969" s="1454"/>
      <c r="G969" s="1444" t="str">
        <f t="shared" si="129"/>
        <v/>
      </c>
      <c r="H969" s="1447" t="str">
        <f>IF(C969=TRUE,Comments!$B$23,"")</f>
        <v/>
      </c>
      <c r="I969" s="1446" t="str">
        <f>IF(D969=TRUE,Comments!$B$24,"")</f>
        <v/>
      </c>
      <c r="J969" s="1446"/>
      <c r="K969" s="1452"/>
      <c r="N969" s="611" t="str">
        <f>"CPTE # "&amp;Page5_BUI_MCI!$E$8&amp;"  "&amp;Page5_BUI_MCI!$C$8&amp;" - CHIFFRE D'AFFAIRES RÉALISÉ - AAD"</f>
        <v>CPTE # 404D  NE PAS UTILISER - CHIFFRE D'AFFAIRES RÉALISÉ - AAD</v>
      </c>
      <c r="O969" s="611" t="str">
        <f t="shared" si="128"/>
        <v/>
      </c>
      <c r="P969" s="611" t="str">
        <f t="shared" si="130"/>
        <v>Page5_BUI_MCI!L</v>
      </c>
      <c r="Q969" s="611">
        <f t="shared" si="131"/>
        <v>8</v>
      </c>
      <c r="R969" s="1447">
        <f t="shared" ca="1" si="132"/>
        <v>0</v>
      </c>
      <c r="S969" s="1447">
        <f t="shared" ca="1" si="133"/>
        <v>0</v>
      </c>
      <c r="V969" s="2557" t="str">
        <f t="shared" ca="1" si="134"/>
        <v/>
      </c>
      <c r="W969" s="611" t="str">
        <f t="shared" ca="1" si="135"/>
        <v>Page5_BUI_MCI, Ligne 5 [Page5_BUI_MCI!L8]  -</v>
      </c>
    </row>
    <row r="970" spans="1:23">
      <c r="A970" s="1443" t="str">
        <f>celladdr(Page5_BUI_MCI!L9)</f>
        <v>Page5_BUI_MCI!L9</v>
      </c>
      <c r="B970" s="1456" t="s">
        <v>1086</v>
      </c>
      <c r="C970" s="1451" t="b">
        <f>Page5_BUI_MCI!$L$9&lt;0</f>
        <v>0</v>
      </c>
      <c r="D970" s="1454" t="b">
        <f>OR(AND(Page5_BUI_MCI!$L9&lt;&gt;0,Page5_BUI_MCI!$M9=0),AND(Page5_BUI_MCI!$M9&lt;&gt;0,Page5_BUI_MCI!$L9=0))</f>
        <v>0</v>
      </c>
      <c r="E970" s="1454"/>
      <c r="F970" s="1454"/>
      <c r="G970" s="1444" t="str">
        <f t="shared" si="129"/>
        <v/>
      </c>
      <c r="H970" s="1447" t="str">
        <f>IF(C970=TRUE,Comments!$B$23,"")</f>
        <v/>
      </c>
      <c r="I970" s="1446" t="str">
        <f>IF(D970=TRUE,Comments!$B$24,"")</f>
        <v/>
      </c>
      <c r="J970" s="1446"/>
      <c r="K970" s="1452"/>
      <c r="N970" s="611" t="str">
        <f>"CPTE # "&amp;Page5_BUI_MCI!$E$9&amp;"  "&amp;Page5_BUI_MCI!$C$9&amp;" - CHIFFRE D'AFFAIRES RÉALISÉ - AAD"</f>
        <v>CPTE # 405D  NE PAS UTILISER - CHIFFRE D'AFFAIRES RÉALISÉ - AAD</v>
      </c>
      <c r="O970" s="611" t="str">
        <f t="shared" si="128"/>
        <v/>
      </c>
      <c r="P970" s="611" t="str">
        <f t="shared" si="130"/>
        <v>Page5_BUI_MCI!L</v>
      </c>
      <c r="Q970" s="611">
        <f t="shared" si="131"/>
        <v>9</v>
      </c>
      <c r="R970" s="1447">
        <f t="shared" ca="1" si="132"/>
        <v>0</v>
      </c>
      <c r="S970" s="1447">
        <f t="shared" ca="1" si="133"/>
        <v>0</v>
      </c>
      <c r="V970" s="2557" t="str">
        <f t="shared" ca="1" si="134"/>
        <v/>
      </c>
      <c r="W970" s="611" t="str">
        <f t="shared" ca="1" si="135"/>
        <v>Page5_BUI_MCI, Ligne 6 [Page5_BUI_MCI!L9]  -</v>
      </c>
    </row>
    <row r="971" spans="1:23">
      <c r="A971" s="1443" t="str">
        <f>celladdr(Page5_BUI_MCI!L10)</f>
        <v>Page5_BUI_MCI!L10</v>
      </c>
      <c r="B971" s="1456" t="s">
        <v>1086</v>
      </c>
      <c r="C971" s="1451" t="b">
        <f>Page5_BUI_MCI!$L$10&lt;0</f>
        <v>0</v>
      </c>
      <c r="D971" s="1454" t="b">
        <f>OR(AND(Page5_BUI_MCI!$L10&lt;&gt;0,Page5_BUI_MCI!$M10=0),AND(Page5_BUI_MCI!$M10&lt;&gt;0,Page5_BUI_MCI!$L10=0))</f>
        <v>0</v>
      </c>
      <c r="E971" s="1454"/>
      <c r="F971" s="1454"/>
      <c r="G971" s="1444" t="str">
        <f t="shared" si="129"/>
        <v/>
      </c>
      <c r="H971" s="1447" t="str">
        <f>IF(C971=TRUE,Comments!$B$23,"")</f>
        <v/>
      </c>
      <c r="I971" s="1446" t="str">
        <f>IF(D971=TRUE,Comments!$B$24,"")</f>
        <v/>
      </c>
      <c r="J971" s="1446"/>
      <c r="K971" s="1452"/>
      <c r="N971" s="611" t="str">
        <f>"CPTE # "&amp;Page5_BUI_MCI!$E$10&amp;"  "&amp;Page5_BUI_MCI!$C$10&amp;" - CHIFFRE D'AFFAIRES RÉALISÉ - AAD"</f>
        <v>CPTE # 406D  NE PAS UTILISER - CHIFFRE D'AFFAIRES RÉALISÉ - AAD</v>
      </c>
      <c r="O971" s="611" t="str">
        <f t="shared" si="128"/>
        <v/>
      </c>
      <c r="P971" s="611" t="str">
        <f t="shared" si="130"/>
        <v>Page5_BUI_MCI!L</v>
      </c>
      <c r="Q971" s="611">
        <f t="shared" si="131"/>
        <v>10</v>
      </c>
      <c r="R971" s="1447">
        <f t="shared" ca="1" si="132"/>
        <v>0</v>
      </c>
      <c r="S971" s="1447">
        <f t="shared" ca="1" si="133"/>
        <v>0</v>
      </c>
      <c r="V971" s="2557" t="str">
        <f t="shared" ca="1" si="134"/>
        <v/>
      </c>
      <c r="W971" s="611" t="str">
        <f t="shared" ca="1" si="135"/>
        <v>Page5_BUI_MCI, Ligne 7 [Page5_BUI_MCI!L10]  -</v>
      </c>
    </row>
    <row r="972" spans="1:23">
      <c r="A972" s="1443" t="str">
        <f>celladdr(Page5_BUI_MCI!L11)</f>
        <v>Page5_BUI_MCI!L11</v>
      </c>
      <c r="B972" s="1456" t="s">
        <v>1086</v>
      </c>
      <c r="C972" s="1451" t="b">
        <f>Page5_BUI_MCI!$L$11&lt;0</f>
        <v>0</v>
      </c>
      <c r="D972" s="1454" t="b">
        <f>OR(AND(Page5_BUI_MCI!$L11&lt;&gt;0,Page5_BUI_MCI!$M11=0),AND(Page5_BUI_MCI!$M11&lt;&gt;0,Page5_BUI_MCI!$L11=0))</f>
        <v>0</v>
      </c>
      <c r="E972" s="1454"/>
      <c r="F972" s="1454"/>
      <c r="G972" s="1444" t="str">
        <f t="shared" si="129"/>
        <v/>
      </c>
      <c r="H972" s="1447" t="str">
        <f>IF(C972=TRUE,Comments!$B$23,"")</f>
        <v/>
      </c>
      <c r="I972" s="1446" t="str">
        <f>IF(D972=TRUE,Comments!$B$24,"")</f>
        <v/>
      </c>
      <c r="J972" s="1446"/>
      <c r="K972" s="1452"/>
      <c r="N972" s="611" t="str">
        <f>"CPTE # "&amp;Page5_BUI_MCI!$E$11&amp;"  "&amp;Page5_BUI_MCI!$C$11&amp;" - CHIFFRE D'AFFAIRES RÉALISÉ - AAD"</f>
        <v>CPTE # 407D  NE PAS UTILISER - CHIFFRE D'AFFAIRES RÉALISÉ - AAD</v>
      </c>
      <c r="O972" s="611" t="str">
        <f t="shared" si="128"/>
        <v/>
      </c>
      <c r="P972" s="611" t="str">
        <f t="shared" si="130"/>
        <v>Page5_BUI_MCI!L</v>
      </c>
      <c r="Q972" s="611">
        <f t="shared" si="131"/>
        <v>11</v>
      </c>
      <c r="R972" s="1447">
        <f t="shared" ca="1" si="132"/>
        <v>0</v>
      </c>
      <c r="S972" s="1447">
        <f t="shared" ca="1" si="133"/>
        <v>0</v>
      </c>
      <c r="V972" s="2557" t="str">
        <f t="shared" ca="1" si="134"/>
        <v/>
      </c>
      <c r="W972" s="611" t="str">
        <f t="shared" ca="1" si="135"/>
        <v>Page5_BUI_MCI, Ligne 8 [Page5_BUI_MCI!L11]  -</v>
      </c>
    </row>
    <row r="973" spans="1:23">
      <c r="A973" s="1443" t="str">
        <f>celladdr(Page5_BUI_MCI!L12)</f>
        <v>Page5_BUI_MCI!L12</v>
      </c>
      <c r="B973" s="1456" t="s">
        <v>1086</v>
      </c>
      <c r="C973" s="1451" t="b">
        <f>Page5_BUI_MCI!$L$12&lt;0</f>
        <v>0</v>
      </c>
      <c r="D973" s="1454" t="b">
        <f>OR(AND(Page5_BUI_MCI!$L12&lt;&gt;0,Page5_BUI_MCI!$M12=0),AND(Page5_BUI_MCI!$M12&lt;&gt;0,Page5_BUI_MCI!$L12=0))</f>
        <v>0</v>
      </c>
      <c r="E973" s="1454"/>
      <c r="F973" s="1454"/>
      <c r="G973" s="1444" t="str">
        <f t="shared" si="129"/>
        <v/>
      </c>
      <c r="H973" s="1447" t="str">
        <f>IF(C973=TRUE,Comments!$B$23,"")</f>
        <v/>
      </c>
      <c r="I973" s="1446" t="str">
        <f>IF(D973=TRUE,Comments!$B$24,"")</f>
        <v/>
      </c>
      <c r="J973" s="1446"/>
      <c r="K973" s="1452"/>
      <c r="N973" s="611" t="str">
        <f>"CPTE # "&amp;Page5_BUI_MCI!$E$12&amp;"  "&amp;Page5_BUI_MCI!$C$12&amp;" - CHIFFRE D'AFFAIRES RÉALISÉ - AAD"</f>
        <v>CPTE # 408D  NE PAS UTILISER - CHIFFRE D'AFFAIRES RÉALISÉ - AAD</v>
      </c>
      <c r="O973" s="611" t="str">
        <f t="shared" si="128"/>
        <v/>
      </c>
      <c r="P973" s="611" t="str">
        <f t="shared" si="130"/>
        <v>Page5_BUI_MCI!L</v>
      </c>
      <c r="Q973" s="611">
        <f t="shared" si="131"/>
        <v>12</v>
      </c>
      <c r="R973" s="1447">
        <f t="shared" ca="1" si="132"/>
        <v>0</v>
      </c>
      <c r="S973" s="1447">
        <f t="shared" ca="1" si="133"/>
        <v>0</v>
      </c>
      <c r="V973" s="2557" t="str">
        <f t="shared" ca="1" si="134"/>
        <v/>
      </c>
      <c r="W973" s="611" t="str">
        <f t="shared" ca="1" si="135"/>
        <v>Page5_BUI_MCI, Ligne 9 [Page5_BUI_MCI!L12]  -</v>
      </c>
    </row>
    <row r="974" spans="1:23">
      <c r="A974" s="1443" t="str">
        <f>celladdr(Page5_BUI_MCI!L13)</f>
        <v>Page5_BUI_MCI!L13</v>
      </c>
      <c r="B974" s="1456" t="s">
        <v>1086</v>
      </c>
      <c r="C974" s="1451" t="b">
        <f>Page5_BUI_MCI!$L$13&lt;0</f>
        <v>0</v>
      </c>
      <c r="D974" s="1454" t="b">
        <f>OR(AND(Page5_BUI_MCI!$L13&lt;&gt;0,Page5_BUI_MCI!$M13=0),AND(Page5_BUI_MCI!$M13&lt;&gt;0,Page5_BUI_MCI!$L13=0))</f>
        <v>0</v>
      </c>
      <c r="E974" s="1454"/>
      <c r="F974" s="1454"/>
      <c r="G974" s="1444" t="str">
        <f t="shared" si="129"/>
        <v/>
      </c>
      <c r="H974" s="1447" t="str">
        <f>IF(C974=TRUE,Comments!$B$23,"")</f>
        <v/>
      </c>
      <c r="I974" s="1446" t="str">
        <f>IF(D974=TRUE,Comments!$B$24,"")</f>
        <v/>
      </c>
      <c r="J974" s="1446"/>
      <c r="K974" s="1452"/>
      <c r="N974" s="611" t="str">
        <f>"CPTE # "&amp;Page5_BUI_MCI!$E$13&amp;"  "&amp;Page5_BUI_MCI!$C$13&amp;" - CHIFFRE D'AFFAIRES RÉALISÉ - AAD"</f>
        <v>CPTE # 409D  NE PAS UTILISER - CHIFFRE D'AFFAIRES RÉALISÉ - AAD</v>
      </c>
      <c r="O974" s="611" t="str">
        <f t="shared" si="128"/>
        <v/>
      </c>
      <c r="P974" s="611" t="str">
        <f t="shared" si="130"/>
        <v>Page5_BUI_MCI!L</v>
      </c>
      <c r="Q974" s="611">
        <f t="shared" si="131"/>
        <v>13</v>
      </c>
      <c r="R974" s="1447">
        <f t="shared" ca="1" si="132"/>
        <v>0</v>
      </c>
      <c r="S974" s="1447">
        <f t="shared" ca="1" si="133"/>
        <v>0</v>
      </c>
      <c r="V974" s="2557" t="str">
        <f t="shared" ca="1" si="134"/>
        <v/>
      </c>
      <c r="W974" s="611" t="str">
        <f t="shared" ca="1" si="135"/>
        <v>Page5_BUI_MCI, Ligne 10 [Page5_BUI_MCI!L13]  -</v>
      </c>
    </row>
    <row r="975" spans="1:23">
      <c r="A975" s="1443" t="str">
        <f>celladdr(Page5_BUI_MCI!L14)</f>
        <v>Page5_BUI_MCI!L14</v>
      </c>
      <c r="B975" s="1456" t="s">
        <v>1086</v>
      </c>
      <c r="C975" s="1451" t="b">
        <f>Page5_BUI_MCI!$L$14&lt;0</f>
        <v>0</v>
      </c>
      <c r="D975" s="1454" t="b">
        <f>OR(AND(Page5_BUI_MCI!$L14&lt;&gt;0,Page5_BUI_MCI!$M14=0),AND(Page5_BUI_MCI!$M14&lt;&gt;0,Page5_BUI_MCI!$L14=0))</f>
        <v>0</v>
      </c>
      <c r="E975" s="1454"/>
      <c r="F975" s="1454"/>
      <c r="G975" s="1444" t="str">
        <f t="shared" si="129"/>
        <v/>
      </c>
      <c r="H975" s="1447" t="str">
        <f>IF(C975=TRUE,Comments!$B$23,"")</f>
        <v/>
      </c>
      <c r="I975" s="1446" t="str">
        <f>IF(D975=TRUE,Comments!$B$24,"")</f>
        <v/>
      </c>
      <c r="J975" s="1446"/>
      <c r="K975" s="1452"/>
      <c r="N975" s="611" t="str">
        <f>"CPTE # "&amp;Page5_BUI_MCI!$E$14&amp;"  "&amp;Page5_BUI_MCI!$C$14&amp;" - CHIFFRE D'AFFAIRES RÉALISÉ - AAD"</f>
        <v>CPTE # 410D  NE PAS UTILISER - CHIFFRE D'AFFAIRES RÉALISÉ - AAD</v>
      </c>
      <c r="O975" s="611" t="str">
        <f t="shared" si="128"/>
        <v/>
      </c>
      <c r="P975" s="611" t="str">
        <f t="shared" si="130"/>
        <v>Page5_BUI_MCI!L</v>
      </c>
      <c r="Q975" s="611">
        <f t="shared" si="131"/>
        <v>14</v>
      </c>
      <c r="R975" s="1447">
        <f t="shared" ca="1" si="132"/>
        <v>0</v>
      </c>
      <c r="S975" s="1447">
        <f t="shared" ca="1" si="133"/>
        <v>0</v>
      </c>
      <c r="V975" s="2557" t="str">
        <f t="shared" ca="1" si="134"/>
        <v/>
      </c>
      <c r="W975" s="611" t="str">
        <f t="shared" ca="1" si="135"/>
        <v>Page5_BUI_MCI, Ligne 11 [Page5_BUI_MCI!L14]  -</v>
      </c>
    </row>
    <row r="976" spans="1:23">
      <c r="A976" s="1443" t="str">
        <f>celladdr(Page5_BUI_MCI!L15)</f>
        <v>Page5_BUI_MCI!L15</v>
      </c>
      <c r="B976" s="1456" t="s">
        <v>1086</v>
      </c>
      <c r="C976" s="1451" t="b">
        <f>Page5_BUI_MCI!$L$15&lt;0</f>
        <v>0</v>
      </c>
      <c r="D976" s="1454" t="b">
        <f>OR(AND(Page5_BUI_MCI!$L15&lt;&gt;0,Page5_BUI_MCI!$M15=0),AND(Page5_BUI_MCI!$M15&lt;&gt;0,Page5_BUI_MCI!$L15=0))</f>
        <v>0</v>
      </c>
      <c r="E976" s="1454"/>
      <c r="F976" s="1454"/>
      <c r="G976" s="1444" t="str">
        <f t="shared" si="129"/>
        <v/>
      </c>
      <c r="H976" s="1447" t="str">
        <f>IF(C976=TRUE,Comments!$B$23,"")</f>
        <v/>
      </c>
      <c r="I976" s="1446" t="str">
        <f>IF(D976=TRUE,Comments!$B$24,"")</f>
        <v/>
      </c>
      <c r="J976" s="1446"/>
      <c r="K976" s="1452"/>
      <c r="N976" s="611" t="str">
        <f>"CPTE # "&amp;Page5_BUI_MCI!$E$15&amp;"  "&amp;Page5_BUI_MCI!$C$15&amp;" - CHIFFRE D'AFFAIRES RÉALISÉ - AAD"</f>
        <v>CPTE # 411D  NE PAS UTILISER - CHIFFRE D'AFFAIRES RÉALISÉ - AAD</v>
      </c>
      <c r="O976" s="611" t="str">
        <f t="shared" si="128"/>
        <v/>
      </c>
      <c r="P976" s="611" t="str">
        <f t="shared" si="130"/>
        <v>Page5_BUI_MCI!L</v>
      </c>
      <c r="Q976" s="611">
        <f t="shared" si="131"/>
        <v>15</v>
      </c>
      <c r="R976" s="1447">
        <f t="shared" ca="1" si="132"/>
        <v>0</v>
      </c>
      <c r="S976" s="1447">
        <f t="shared" ca="1" si="133"/>
        <v>0</v>
      </c>
      <c r="V976" s="2557" t="str">
        <f t="shared" ca="1" si="134"/>
        <v/>
      </c>
      <c r="W976" s="611" t="str">
        <f t="shared" ca="1" si="135"/>
        <v>Page5_BUI_MCI, Ligne 12 [Page5_BUI_MCI!L15]  -</v>
      </c>
    </row>
    <row r="977" spans="1:23">
      <c r="A977" s="1443" t="str">
        <f>celladdr(Page5_BUI_MCI!L16)</f>
        <v>Page5_BUI_MCI!L16</v>
      </c>
      <c r="B977" s="1456" t="s">
        <v>1086</v>
      </c>
      <c r="C977" s="1451" t="b">
        <f>Page5_BUI_MCI!$L$16&lt;0</f>
        <v>0</v>
      </c>
      <c r="D977" s="1454" t="b">
        <f>OR(AND(Page5_BUI_MCI!$L16&lt;&gt;0,Page5_BUI_MCI!$M16=0),AND(Page5_BUI_MCI!$M16&lt;&gt;0,Page5_BUI_MCI!$L16=0))</f>
        <v>0</v>
      </c>
      <c r="E977" s="1454"/>
      <c r="F977" s="1454"/>
      <c r="G977" s="1444" t="str">
        <f t="shared" si="129"/>
        <v/>
      </c>
      <c r="H977" s="1447" t="str">
        <f>IF(C977=TRUE,Comments!$B$23,"")</f>
        <v/>
      </c>
      <c r="I977" s="1446" t="str">
        <f>IF(D977=TRUE,Comments!$B$24,"")</f>
        <v/>
      </c>
      <c r="J977" s="1446"/>
      <c r="K977" s="1452"/>
      <c r="N977" s="611" t="str">
        <f>"CPTE # "&amp;Page5_BUI_MCI!$E$16&amp;"  "&amp;Page5_BUI_MCI!$C$16&amp;" - CHIFFRE D'AFFAIRES RÉALISÉ - AAD"</f>
        <v>CPTE # 412D  NE PAS UTILISER - CHIFFRE D'AFFAIRES RÉALISÉ - AAD</v>
      </c>
      <c r="O977" s="611" t="str">
        <f t="shared" si="128"/>
        <v/>
      </c>
      <c r="P977" s="611" t="str">
        <f t="shared" si="130"/>
        <v>Page5_BUI_MCI!L</v>
      </c>
      <c r="Q977" s="611">
        <f t="shared" si="131"/>
        <v>16</v>
      </c>
      <c r="R977" s="1447">
        <f t="shared" ca="1" si="132"/>
        <v>0</v>
      </c>
      <c r="S977" s="1447">
        <f t="shared" ca="1" si="133"/>
        <v>0</v>
      </c>
      <c r="V977" s="2557" t="str">
        <f t="shared" ca="1" si="134"/>
        <v/>
      </c>
      <c r="W977" s="611" t="str">
        <f t="shared" ca="1" si="135"/>
        <v>Page5_BUI_MCI, Ligne 13 [Page5_BUI_MCI!L16]  -</v>
      </c>
    </row>
    <row r="978" spans="1:23">
      <c r="A978" s="1443" t="str">
        <f>celladdr(Page5_BUI_MCI!L17)</f>
        <v>Page5_BUI_MCI!L17</v>
      </c>
      <c r="B978" s="1456" t="s">
        <v>1086</v>
      </c>
      <c r="C978" s="1451" t="b">
        <f>Page5_BUI_MCI!$L$17&lt;0</f>
        <v>0</v>
      </c>
      <c r="D978" s="1454" t="b">
        <f>OR(AND(Page5_BUI_MCI!$L17&lt;&gt;0,Page5_BUI_MCI!$M17=0),AND(Page5_BUI_MCI!$M17&lt;&gt;0,Page5_BUI_MCI!$L17=0))</f>
        <v>0</v>
      </c>
      <c r="E978" s="1454"/>
      <c r="F978" s="1454"/>
      <c r="G978" s="1444" t="str">
        <f t="shared" si="129"/>
        <v/>
      </c>
      <c r="H978" s="1447" t="str">
        <f>IF(C978=TRUE,Comments!$B$23,"")</f>
        <v/>
      </c>
      <c r="I978" s="1446" t="str">
        <f>IF(D978=TRUE,Comments!$B$24,"")</f>
        <v/>
      </c>
      <c r="J978" s="1446"/>
      <c r="K978" s="1452"/>
      <c r="N978" s="611" t="str">
        <f>"CPTE # "&amp;Page5_BUI_MCI!$E$17&amp;"  "&amp;Page5_BUI_MCI!$C$17&amp;" - CHIFFRE D'AFFAIRES RÉALISÉ - AAD"</f>
        <v>CPTE # 413D  NE PAS UTILISER - CHIFFRE D'AFFAIRES RÉALISÉ - AAD</v>
      </c>
      <c r="O978" s="611" t="str">
        <f t="shared" si="128"/>
        <v/>
      </c>
      <c r="P978" s="611" t="str">
        <f t="shared" si="130"/>
        <v>Page5_BUI_MCI!L</v>
      </c>
      <c r="Q978" s="611">
        <f t="shared" si="131"/>
        <v>17</v>
      </c>
      <c r="R978" s="1447">
        <f t="shared" ca="1" si="132"/>
        <v>0</v>
      </c>
      <c r="S978" s="1447">
        <f t="shared" ca="1" si="133"/>
        <v>0</v>
      </c>
      <c r="V978" s="2557" t="str">
        <f t="shared" ca="1" si="134"/>
        <v/>
      </c>
      <c r="W978" s="611" t="str">
        <f t="shared" ca="1" si="135"/>
        <v>Page5_BUI_MCI, Ligne 14 [Page5_BUI_MCI!L17]  -</v>
      </c>
    </row>
    <row r="979" spans="1:23">
      <c r="A979" s="1443" t="str">
        <f>celladdr(Page5_BUI_MCI!L18)</f>
        <v>Page5_BUI_MCI!L18</v>
      </c>
      <c r="B979" s="1456" t="s">
        <v>1086</v>
      </c>
      <c r="C979" s="1451" t="b">
        <f>Page5_BUI_MCI!$L$18&lt;0</f>
        <v>0</v>
      </c>
      <c r="D979" s="1454" t="b">
        <f>OR(AND(Page5_BUI_MCI!$L18&lt;&gt;0,Page5_BUI_MCI!$M18=0),AND(Page5_BUI_MCI!$M18&lt;&gt;0,Page5_BUI_MCI!$L18=0))</f>
        <v>0</v>
      </c>
      <c r="E979" s="1454"/>
      <c r="F979" s="1454"/>
      <c r="G979" s="1444" t="str">
        <f t="shared" si="129"/>
        <v/>
      </c>
      <c r="H979" s="1447" t="str">
        <f>IF(C979=TRUE,Comments!$B$23,"")</f>
        <v/>
      </c>
      <c r="I979" s="1446" t="str">
        <f>IF(D979=TRUE,Comments!$B$24,"")</f>
        <v/>
      </c>
      <c r="J979" s="1446"/>
      <c r="K979" s="1452"/>
      <c r="N979" s="611" t="str">
        <f>"CPTE # "&amp;Page5_BUI_MCI!$E$18&amp;"  "&amp;Page5_BUI_MCI!$C$18&amp;" - CHIFFRE D'AFFAIRES RÉALISÉ - AAD"</f>
        <v>CPTE # 414D  NE PAS UTILISER - CHIFFRE D'AFFAIRES RÉALISÉ - AAD</v>
      </c>
      <c r="O979" s="611" t="str">
        <f t="shared" si="128"/>
        <v/>
      </c>
      <c r="P979" s="611" t="str">
        <f t="shared" si="130"/>
        <v>Page5_BUI_MCI!L</v>
      </c>
      <c r="Q979" s="611">
        <f t="shared" si="131"/>
        <v>18</v>
      </c>
      <c r="R979" s="1447">
        <f t="shared" ca="1" si="132"/>
        <v>0</v>
      </c>
      <c r="S979" s="1447">
        <f t="shared" ca="1" si="133"/>
        <v>0</v>
      </c>
      <c r="V979" s="2557" t="str">
        <f t="shared" ca="1" si="134"/>
        <v/>
      </c>
      <c r="W979" s="611" t="str">
        <f t="shared" ca="1" si="135"/>
        <v>Page5_BUI_MCI, Ligne 15 [Page5_BUI_MCI!L18]  -</v>
      </c>
    </row>
    <row r="980" spans="1:23">
      <c r="A980" s="1443" t="str">
        <f>celladdr(Page5_BUI_MCI!L19)</f>
        <v>Page5_BUI_MCI!L19</v>
      </c>
      <c r="B980" s="1456" t="s">
        <v>1086</v>
      </c>
      <c r="C980" s="1451" t="b">
        <f>Page5_BUI_MCI!$L$19&lt;0</f>
        <v>0</v>
      </c>
      <c r="D980" s="1454" t="b">
        <f>OR(AND(Page5_BUI_MCI!$L19&lt;&gt;0,Page5_BUI_MCI!$M19=0),AND(Page5_BUI_MCI!$M19&lt;&gt;0,Page5_BUI_MCI!$L19=0))</f>
        <v>0</v>
      </c>
      <c r="E980" s="1454"/>
      <c r="F980" s="1454"/>
      <c r="G980" s="1444" t="str">
        <f t="shared" si="129"/>
        <v/>
      </c>
      <c r="H980" s="1447" t="str">
        <f>IF(C980=TRUE,Comments!$B$23,"")</f>
        <v/>
      </c>
      <c r="I980" s="1446" t="str">
        <f>IF(D980=TRUE,Comments!$B$24,"")</f>
        <v/>
      </c>
      <c r="J980" s="1446"/>
      <c r="K980" s="1452"/>
      <c r="N980" s="611" t="str">
        <f>"CPTE # "&amp;Page5_BUI_MCI!$E$19&amp;"  "&amp;Page5_BUI_MCI!$C$19&amp;" - CHIFFRE D'AFFAIRES RÉALISÉ - AAD"</f>
        <v>CPTE # 415D  NE PAS UTILISER - CHIFFRE D'AFFAIRES RÉALISÉ - AAD</v>
      </c>
      <c r="O980" s="611" t="str">
        <f t="shared" si="128"/>
        <v/>
      </c>
      <c r="P980" s="611" t="str">
        <f t="shared" si="130"/>
        <v>Page5_BUI_MCI!L</v>
      </c>
      <c r="Q980" s="611">
        <f t="shared" si="131"/>
        <v>19</v>
      </c>
      <c r="R980" s="1447">
        <f t="shared" ca="1" si="132"/>
        <v>0</v>
      </c>
      <c r="S980" s="1447">
        <f t="shared" ca="1" si="133"/>
        <v>0</v>
      </c>
      <c r="V980" s="2557" t="str">
        <f t="shared" ca="1" si="134"/>
        <v/>
      </c>
      <c r="W980" s="611" t="str">
        <f t="shared" ca="1" si="135"/>
        <v>Page5_BUI_MCI, Ligne 16 [Page5_BUI_MCI!L19]  -</v>
      </c>
    </row>
    <row r="981" spans="1:23">
      <c r="A981" s="1443" t="str">
        <f>celladdr(Page5_BUI_MCI!L20)</f>
        <v>Page5_BUI_MCI!L20</v>
      </c>
      <c r="B981" s="1456" t="s">
        <v>1086</v>
      </c>
      <c r="C981" s="1451" t="b">
        <f>Page5_BUI_MCI!$L$20&lt;0</f>
        <v>0</v>
      </c>
      <c r="D981" s="1454"/>
      <c r="E981" s="1454"/>
      <c r="F981" s="1454"/>
      <c r="G981" s="1444" t="str">
        <f t="shared" si="129"/>
        <v/>
      </c>
      <c r="H981" s="1447" t="str">
        <f>IF(C981=TRUE,Comments!$B$23,"")</f>
        <v/>
      </c>
      <c r="I981" s="1446"/>
      <c r="J981" s="1446"/>
      <c r="K981" s="1452"/>
      <c r="N981" s="611" t="str">
        <f>"CPTE # "&amp;Page5_BUI_MCI!$E$20&amp;"  "&amp;Page5_BUI_MCI!$C$20&amp;" - CHIFFRE D'AFFAIRES RÉALISÉ - AAD"</f>
        <v>CPTE # 416D  POUR USAGE FUTUR - CHIFFRE D'AFFAIRES RÉALISÉ - AAD</v>
      </c>
      <c r="O981" s="611" t="str">
        <f t="shared" si="128"/>
        <v/>
      </c>
      <c r="P981" s="611" t="str">
        <f t="shared" si="130"/>
        <v>Page5_BUI_MCI!L</v>
      </c>
      <c r="Q981" s="611">
        <f t="shared" si="131"/>
        <v>20</v>
      </c>
      <c r="R981" s="1447">
        <f t="shared" ca="1" si="132"/>
        <v>0</v>
      </c>
      <c r="S981" s="1447">
        <f t="shared" ca="1" si="133"/>
        <v>0</v>
      </c>
      <c r="V981" s="2557" t="str">
        <f t="shared" ca="1" si="134"/>
        <v/>
      </c>
      <c r="W981" s="611" t="str">
        <f t="shared" ca="1" si="135"/>
        <v>Page5_BUI_MCI, Ligne 17 [Page5_BUI_MCI!L20]  -</v>
      </c>
    </row>
    <row r="982" spans="1:23">
      <c r="A982" s="1443" t="str">
        <f>celladdr(Page5_BUI_MCI!L21)</f>
        <v>Page5_BUI_MCI!L21</v>
      </c>
      <c r="B982" s="1456" t="s">
        <v>1086</v>
      </c>
      <c r="C982" s="1451" t="b">
        <f>Page5_BUI_MCI!$L$21&lt;0</f>
        <v>0</v>
      </c>
      <c r="D982" s="1454" t="b">
        <f>OR(AND(Page5_BUI_MCI!$L21&lt;&gt;0,Page5_BUI_MCI!$M21=0),AND(Page5_BUI_MCI!$M21&lt;&gt;0,Page5_BUI_MCI!$L21=0))</f>
        <v>0</v>
      </c>
      <c r="E982" s="1454"/>
      <c r="F982" s="1454"/>
      <c r="G982" s="1444" t="str">
        <f t="shared" si="129"/>
        <v/>
      </c>
      <c r="H982" s="1447" t="str">
        <f>IF(C982=TRUE,Comments!$B$23,"")</f>
        <v/>
      </c>
      <c r="I982" s="1446" t="str">
        <f>IF(D982=TRUE,Comments!$B$24,"")</f>
        <v/>
      </c>
      <c r="J982" s="1446"/>
      <c r="K982" s="1452"/>
      <c r="N982" s="611" t="str">
        <f>"CPTE # "&amp;Page5_BUI_MCI!$E$21&amp;"  "&amp;Page5_BUI_MCI!$C$21&amp;" - CHIFFRE D'AFFAIRES RÉALISÉ - AAD"</f>
        <v>CPTE # 417D  NE PAS UTILISER - CHIFFRE D'AFFAIRES RÉALISÉ - AAD</v>
      </c>
      <c r="O982" s="611" t="str">
        <f t="shared" si="128"/>
        <v/>
      </c>
      <c r="P982" s="611" t="str">
        <f t="shared" si="130"/>
        <v>Page5_BUI_MCI!L</v>
      </c>
      <c r="Q982" s="611">
        <f t="shared" si="131"/>
        <v>21</v>
      </c>
      <c r="R982" s="1447">
        <f t="shared" ca="1" si="132"/>
        <v>0</v>
      </c>
      <c r="S982" s="1447">
        <f t="shared" ca="1" si="133"/>
        <v>0</v>
      </c>
      <c r="V982" s="2557" t="str">
        <f t="shared" ca="1" si="134"/>
        <v/>
      </c>
      <c r="W982" s="611" t="str">
        <f t="shared" ca="1" si="135"/>
        <v>Page5_BUI_MCI, Ligne 18 [Page5_BUI_MCI!L21]  -</v>
      </c>
    </row>
    <row r="983" spans="1:23">
      <c r="A983" s="1443" t="str">
        <f>celladdr(Page5_BUI_MCI!L22)</f>
        <v>Page5_BUI_MCI!L22</v>
      </c>
      <c r="B983" s="1456" t="s">
        <v>1086</v>
      </c>
      <c r="C983" s="1451" t="b">
        <f>Page5_BUI_MCI!$L$22&lt;0</f>
        <v>0</v>
      </c>
      <c r="D983" s="1454" t="b">
        <f>OR(AND(Page5_BUI_MCI!$L22&lt;&gt;0,Page5_BUI_MCI!$M22=0),AND(Page5_BUI_MCI!$M22&lt;&gt;0,Page5_BUI_MCI!$L22=0))</f>
        <v>0</v>
      </c>
      <c r="E983" s="1454"/>
      <c r="F983" s="1454"/>
      <c r="G983" s="1444" t="str">
        <f t="shared" si="129"/>
        <v/>
      </c>
      <c r="H983" s="1447" t="str">
        <f>IF(C983=TRUE,Comments!$B$23,"")</f>
        <v/>
      </c>
      <c r="I983" s="1446" t="str">
        <f>IF(D983=TRUE,Comments!$B$24,"")</f>
        <v/>
      </c>
      <c r="J983" s="1446"/>
      <c r="K983" s="1452"/>
      <c r="N983" s="611" t="str">
        <f>"CPTE # "&amp;Page5_BUI_MCI!$E$22&amp;"  "&amp;Page5_BUI_MCI!$C$22&amp;" - CHIFFRE D'AFFAIRES RÉALISÉ - AAD"</f>
        <v>CPTE # 418D  AUTRES BUICK - CHIFFRE D'AFFAIRES RÉALISÉ - AAD</v>
      </c>
      <c r="O983" s="611" t="str">
        <f t="shared" si="128"/>
        <v/>
      </c>
      <c r="P983" s="611" t="str">
        <f t="shared" si="130"/>
        <v>Page5_BUI_MCI!L</v>
      </c>
      <c r="Q983" s="611">
        <f t="shared" si="131"/>
        <v>22</v>
      </c>
      <c r="R983" s="1447">
        <f t="shared" ca="1" si="132"/>
        <v>0</v>
      </c>
      <c r="S983" s="1447">
        <f t="shared" ca="1" si="133"/>
        <v>0</v>
      </c>
      <c r="V983" s="2557" t="str">
        <f t="shared" ca="1" si="134"/>
        <v/>
      </c>
      <c r="W983" s="611" t="str">
        <f t="shared" ca="1" si="135"/>
        <v>Page5_BUI_MCI, Ligne 19 [Page5_BUI_MCI!L22]  -</v>
      </c>
    </row>
    <row r="984" spans="1:23">
      <c r="A984" s="1443" t="str">
        <f>celladdr(Page5_BUI_MCI!L23)</f>
        <v>Page5_BUI_MCI!L23</v>
      </c>
      <c r="B984" s="1444" t="s">
        <v>1086</v>
      </c>
      <c r="C984" s="1451"/>
      <c r="D984" s="1454"/>
      <c r="E984" s="1454"/>
      <c r="F984" s="1454"/>
      <c r="G984" s="1444" t="str">
        <f t="shared" si="129"/>
        <v/>
      </c>
      <c r="H984" s="1447" t="str">
        <f>IF(C984=TRUE,Comments!$B$26,"")</f>
        <v/>
      </c>
      <c r="I984" s="1446" t="str">
        <f>IF(D984=TRUE,Comments!$B$24,"")</f>
        <v/>
      </c>
      <c r="J984" s="1446"/>
      <c r="K984" s="1452"/>
      <c r="O984" s="611" t="str">
        <f t="shared" si="128"/>
        <v/>
      </c>
      <c r="P984" s="611" t="str">
        <f t="shared" si="130"/>
        <v>Page5_BUI_MCI!L</v>
      </c>
      <c r="Q984" s="611">
        <f t="shared" si="131"/>
        <v>23</v>
      </c>
      <c r="R984" s="1447">
        <f t="shared" ca="1" si="132"/>
        <v>0</v>
      </c>
      <c r="S984" s="1447">
        <f t="shared" ca="1" si="133"/>
        <v>0</v>
      </c>
      <c r="V984" s="2557" t="str">
        <f t="shared" ca="1" si="134"/>
        <v/>
      </c>
      <c r="W984" s="611" t="str">
        <f t="shared" ca="1" si="135"/>
        <v>Page5_BUI_MCI, Ligne 20 [Page5_BUI_MCI!L23]  -</v>
      </c>
    </row>
    <row r="985" spans="1:23">
      <c r="A985" s="1443" t="str">
        <f>celladdr(Page5_BUI_MCI!L24)</f>
        <v>Page5_BUI_MCI!L24</v>
      </c>
      <c r="B985" s="1456" t="s">
        <v>1086</v>
      </c>
      <c r="C985" s="1451" t="b">
        <f>Page5_BUI_MCI!$L$24&lt;0</f>
        <v>0</v>
      </c>
      <c r="D985" s="1454" t="b">
        <f>OR(AND(Page5_BUI_MCI!$L24&lt;&gt;0,Page5_BUI_MCI!$M24=0),AND(Page5_BUI_MCI!$M24&lt;&gt;0,Page5_BUI_MCI!$L24=0))</f>
        <v>0</v>
      </c>
      <c r="E985" s="1454"/>
      <c r="F985" s="1454"/>
      <c r="G985" s="1444" t="str">
        <f t="shared" si="129"/>
        <v/>
      </c>
      <c r="H985" s="1447" t="str">
        <f>IF(C985=TRUE,Comments!$B$23,"")</f>
        <v/>
      </c>
      <c r="I985" s="1446" t="str">
        <f>IF(D985=TRUE,Comments!$B$24,"")</f>
        <v/>
      </c>
      <c r="J985" s="1446"/>
      <c r="K985" s="1452"/>
      <c r="N985" s="611" t="str">
        <f>"CPTE # "&amp;Page5_BUI_MCI!$E$24&amp;"  "&amp;Page5_BUI_MCI!$C$24&amp;" - CHIFFRE D'AFFAIRES RÉALISÉ - AAD"</f>
        <v>CPTE # 419D  MÉMO* VENTES INTERNET VOITURES - CHIFFRE D'AFFAIRES RÉALISÉ - AAD</v>
      </c>
      <c r="O985" s="611" t="str">
        <f t="shared" si="128"/>
        <v/>
      </c>
      <c r="P985" s="611" t="str">
        <f t="shared" si="130"/>
        <v>Page5_BUI_MCI!L</v>
      </c>
      <c r="Q985" s="611">
        <f t="shared" si="131"/>
        <v>24</v>
      </c>
      <c r="R985" s="1447">
        <f t="shared" ca="1" si="132"/>
        <v>0</v>
      </c>
      <c r="S985" s="1447">
        <f t="shared" ca="1" si="133"/>
        <v>0</v>
      </c>
      <c r="V985" s="2557" t="str">
        <f t="shared" ca="1" si="134"/>
        <v/>
      </c>
      <c r="W985" s="611" t="str">
        <f t="shared" ca="1" si="135"/>
        <v>Page5_BUI_MCI, Ligne 21 [Page5_BUI_MCI!L24]  -</v>
      </c>
    </row>
    <row r="986" spans="1:23">
      <c r="A986" s="1443" t="str">
        <f>celladdr(Page5_BUI_MCI!L25)</f>
        <v>Page5_BUI_MCI!L25</v>
      </c>
      <c r="B986" s="1456" t="s">
        <v>1086</v>
      </c>
      <c r="C986" s="1451" t="b">
        <f>Page5_BUI_MCI!$L$25&lt;0</f>
        <v>0</v>
      </c>
      <c r="D986" s="1454" t="b">
        <f>OR(AND(Page5_BUI_MCI!$L25&lt;&gt;0,Page5_BUI_MCI!$M25=0),AND(Page5_BUI_MCI!$M25&lt;&gt;0,Page5_BUI_MCI!$L25=0))</f>
        <v>0</v>
      </c>
      <c r="E986" s="1454" t="b">
        <f>ROUND(Page5_BUI_MCI!L25,2) &lt;&gt; ROUND(Page5_PARCS_GOUV!L6 + Page5_PARCS_GOUV!L42,2)</f>
        <v>0</v>
      </c>
      <c r="F986" s="1454"/>
      <c r="G986" s="1444" t="str">
        <f t="shared" si="129"/>
        <v/>
      </c>
      <c r="H986" s="1447" t="str">
        <f>IF(C986=TRUE,Comments!$B$23,"")</f>
        <v/>
      </c>
      <c r="I986" s="1446" t="str">
        <f>IF(D986=TRUE,Comments!$B$24,"")</f>
        <v/>
      </c>
      <c r="J986" s="1446" t="str">
        <f>IF(E986=TRUE, Comments!$B$101,"")</f>
        <v/>
      </c>
      <c r="K986" s="1452"/>
      <c r="N986" s="611" t="str">
        <f>"CPTE # "&amp;Page5_BUI_MCI!$E$25&amp;"  "&amp;Page5_BUI_MCI!$C$25&amp;" - CHIFFRE D'AFFAIRES RÉALISÉ - AAD"</f>
        <v>CPTE # DE PG PARCS  TOTAL PARCS - VOITURES - CHIFFRE D'AFFAIRES RÉALISÉ - AAD</v>
      </c>
      <c r="O986" s="611" t="str">
        <f t="shared" si="128"/>
        <v/>
      </c>
      <c r="P986" s="611" t="str">
        <f t="shared" si="130"/>
        <v>Page5_BUI_MCI!L</v>
      </c>
      <c r="Q986" s="611">
        <f t="shared" si="131"/>
        <v>25</v>
      </c>
      <c r="R986" s="1447">
        <f t="shared" ca="1" si="132"/>
        <v>0</v>
      </c>
      <c r="S986" s="1447">
        <f t="shared" ca="1" si="133"/>
        <v>0</v>
      </c>
      <c r="T986" s="611">
        <v>101</v>
      </c>
      <c r="V986" s="2557" t="str">
        <f t="shared" ca="1" si="134"/>
        <v/>
      </c>
      <c r="W986" s="611" t="str">
        <f t="shared" ca="1" si="135"/>
        <v>Page5_BUI_MCI, Ligne 22 [Page5_BUI_MCI!L25]  -</v>
      </c>
    </row>
    <row r="987" spans="1:23">
      <c r="A987" s="1443" t="str">
        <f>celladdr(Page5_BUI_MCI!N25)</f>
        <v>Page5_BUI_MCI!N25</v>
      </c>
      <c r="B987" s="1456" t="s">
        <v>1086</v>
      </c>
      <c r="C987" s="1451"/>
      <c r="D987" s="1454"/>
      <c r="E987" s="1454" t="b">
        <f>ROUND(Page5_BUI_MCI!N25,2) &lt;&gt; ROUND(Page5_PARCS_GOUV!N6 + Page5_PARCS_GOUV!N42,2)</f>
        <v>0</v>
      </c>
      <c r="F987" s="1454"/>
      <c r="G987" s="1444" t="str">
        <f t="shared" si="129"/>
        <v/>
      </c>
      <c r="I987" s="1446"/>
      <c r="J987" s="1446" t="str">
        <f>IF(E987=TRUE, Comments!$B$102,"")</f>
        <v/>
      </c>
      <c r="K987" s="1452"/>
      <c r="N987" s="611" t="str">
        <f>"CPTE # "&amp;Page5_BUI_MCI!$E$25&amp;"  "&amp;Page5_BUI_MCI!$C$25&amp;" - PROFIT BRUT - AAD"</f>
        <v>CPTE # DE PG PARCS  TOTAL PARCS - VOITURES - PROFIT BRUT - AAD</v>
      </c>
      <c r="P987" s="611" t="str">
        <f t="shared" si="130"/>
        <v>Page5_BUI_MCI!N</v>
      </c>
      <c r="Q987" s="611">
        <f t="shared" si="131"/>
        <v>25</v>
      </c>
      <c r="R987" s="1447">
        <f t="shared" ca="1" si="132"/>
        <v>0</v>
      </c>
      <c r="S987" s="1447">
        <f t="shared" ca="1" si="133"/>
        <v>0</v>
      </c>
      <c r="T987" s="611">
        <v>102</v>
      </c>
      <c r="V987" s="2557" t="str">
        <f t="shared" ca="1" si="134"/>
        <v/>
      </c>
      <c r="W987" s="611" t="str">
        <f t="shared" ca="1" si="135"/>
        <v>Page5_BUI_MCI, Ligne 22 [Page5_BUI_MCI!N25]  -</v>
      </c>
    </row>
    <row r="988" spans="1:23">
      <c r="A988" s="1443" t="str">
        <f>celladdr(Page5_BUI_MCI!L26)</f>
        <v>Page5_BUI_MCI!L26</v>
      </c>
      <c r="B988" s="1456" t="s">
        <v>1086</v>
      </c>
      <c r="C988" s="1451" t="b">
        <f>Page5_BUI_MCI!$L$26&lt;0</f>
        <v>0</v>
      </c>
      <c r="D988" s="1454" t="b">
        <f>OR(AND(Page5_BUI_MCI!$L26&lt;&gt;0,Page5_BUI_MCI!$M26=0),AND(Page5_BUI_MCI!$M26&lt;&gt;0,Page5_BUI_MCI!$L26=0))</f>
        <v>0</v>
      </c>
      <c r="E988" s="1454"/>
      <c r="F988" s="1454"/>
      <c r="G988" s="1444" t="str">
        <f t="shared" si="129"/>
        <v/>
      </c>
      <c r="H988" s="1447" t="str">
        <f>IF(C988=TRUE,Comments!$B$23,"")</f>
        <v/>
      </c>
      <c r="I988" s="1446" t="str">
        <f>IF(D988=TRUE,Comments!$B$24,"")</f>
        <v/>
      </c>
      <c r="J988" s="1446"/>
      <c r="K988" s="1452"/>
      <c r="N988" s="611" t="str">
        <f>"CPTE # "&amp;Page5_BUI_MCI!$E$26&amp;"  "&amp;Page5_BUI_MCI!$C$26&amp;" - CHIFFRE D'AFFAIRES RÉALISÉ - AAD"</f>
        <v>CPTE # 421D  TOTAL INTERNE - VOITURES - CHIFFRE D'AFFAIRES RÉALISÉ - AAD</v>
      </c>
      <c r="O988" s="611" t="str">
        <f>IF(A988=A986,"TRUE","")</f>
        <v/>
      </c>
      <c r="P988" s="611" t="str">
        <f t="shared" si="130"/>
        <v>Page5_BUI_MCI!L</v>
      </c>
      <c r="Q988" s="611">
        <f t="shared" si="131"/>
        <v>26</v>
      </c>
      <c r="R988" s="1447">
        <f t="shared" ca="1" si="132"/>
        <v>0</v>
      </c>
      <c r="S988" s="1447">
        <f t="shared" ca="1" si="133"/>
        <v>0</v>
      </c>
      <c r="V988" s="2557" t="str">
        <f t="shared" ca="1" si="134"/>
        <v/>
      </c>
      <c r="W988" s="611" t="str">
        <f t="shared" ca="1" si="135"/>
        <v>Page5_BUI_MCI, Ligne 23 [Page5_BUI_MCI!L26]  -</v>
      </c>
    </row>
    <row r="989" spans="1:23">
      <c r="A989" s="1443" t="str">
        <f>celladdr(Page5_BUI_MCI!L27)</f>
        <v>Page5_BUI_MCI!L27</v>
      </c>
      <c r="B989" s="1444" t="s">
        <v>1086</v>
      </c>
      <c r="C989" s="1451"/>
      <c r="D989" s="1454"/>
      <c r="E989" s="1454"/>
      <c r="F989" s="1454"/>
      <c r="G989" s="1444" t="str">
        <f t="shared" si="129"/>
        <v/>
      </c>
      <c r="H989" s="1447" t="str">
        <f>IF(C989=TRUE,Comments!$B$26,"")</f>
        <v/>
      </c>
      <c r="I989" s="1446" t="str">
        <f>IF(D989=TRUE,Comments!$B$24,"")</f>
        <v/>
      </c>
      <c r="J989" s="1446"/>
      <c r="K989" s="1452"/>
      <c r="O989" s="611" t="str">
        <f t="shared" ref="O989:O1009" si="136">IF(A989=A988,"TRUE","")</f>
        <v/>
      </c>
      <c r="P989" s="611" t="str">
        <f t="shared" si="130"/>
        <v>Page5_BUI_MCI!L</v>
      </c>
      <c r="Q989" s="611">
        <f t="shared" si="131"/>
        <v>27</v>
      </c>
      <c r="R989" s="1447">
        <f t="shared" ca="1" si="132"/>
        <v>0</v>
      </c>
      <c r="S989" s="1447">
        <f t="shared" ca="1" si="133"/>
        <v>0</v>
      </c>
      <c r="V989" s="2557" t="str">
        <f t="shared" ca="1" si="134"/>
        <v/>
      </c>
      <c r="W989" s="611" t="str">
        <f t="shared" ca="1" si="135"/>
        <v>Page5_BUI_MCI, Ligne 24 [Page5_BUI_MCI!L27]  -</v>
      </c>
    </row>
    <row r="990" spans="1:23">
      <c r="A990" s="1443" t="str">
        <f>celladdr(Page5_BUI_MCI!L28)</f>
        <v>Page5_BUI_MCI!L28</v>
      </c>
      <c r="B990" s="1456" t="s">
        <v>1086</v>
      </c>
      <c r="C990" s="1451" t="b">
        <f>Page5_BUI_MCI!$L$28&lt;0</f>
        <v>0</v>
      </c>
      <c r="D990" s="1454" t="b">
        <f>OR(AND(Page5_BUI_MCI!$L28&lt;&gt;0,Page5_BUI_MCI!$M28=0),AND(Page5_BUI_MCI!$M28&lt;&gt;0,Page5_BUI_MCI!$L28=0))</f>
        <v>0</v>
      </c>
      <c r="E990" s="1454"/>
      <c r="F990" s="1454"/>
      <c r="G990" s="1444" t="str">
        <f t="shared" si="129"/>
        <v/>
      </c>
      <c r="H990" s="1447" t="str">
        <f>IF(C990=TRUE,Comments!$B$23,"")</f>
        <v/>
      </c>
      <c r="I990" s="1446" t="str">
        <f>IF(D990=TRUE,Comments!$B$24,"")</f>
        <v/>
      </c>
      <c r="J990" s="1446"/>
      <c r="K990" s="1452"/>
      <c r="N990" s="611" t="str">
        <f>"CPTE # "&amp;Page5_BUI_MCI!$E$28&amp;"  "&amp;Page5_BUI_MCI!$C$28&amp;" - CHIFFRE D'AFFAIRES RÉALISÉ - AAD"</f>
        <v>CPTE # 423D  NE PAS UTILISER - CHIFFRE D'AFFAIRES RÉALISÉ - AAD</v>
      </c>
      <c r="O990" s="611" t="str">
        <f t="shared" si="136"/>
        <v/>
      </c>
      <c r="P990" s="611" t="str">
        <f t="shared" si="130"/>
        <v>Page5_BUI_MCI!L</v>
      </c>
      <c r="Q990" s="611">
        <f t="shared" si="131"/>
        <v>28</v>
      </c>
      <c r="R990" s="1447">
        <f t="shared" ca="1" si="132"/>
        <v>0</v>
      </c>
      <c r="S990" s="1447">
        <f t="shared" ca="1" si="133"/>
        <v>0</v>
      </c>
      <c r="V990" s="2557" t="str">
        <f t="shared" ca="1" si="134"/>
        <v/>
      </c>
      <c r="W990" s="611" t="str">
        <f t="shared" ca="1" si="135"/>
        <v>Page5_BUI_MCI, Ligne 25 [Page5_BUI_MCI!L28]  -</v>
      </c>
    </row>
    <row r="991" spans="1:23">
      <c r="A991" s="1443" t="str">
        <f>celladdr(Page5_BUI_MCI!L29)</f>
        <v>Page5_BUI_MCI!L29</v>
      </c>
      <c r="B991" s="1456" t="s">
        <v>1086</v>
      </c>
      <c r="C991" s="1451" t="b">
        <f>Page5_BUI_MCI!$L$29&lt;0</f>
        <v>0</v>
      </c>
      <c r="D991" s="1454" t="b">
        <f>OR(AND(Page5_BUI_MCI!$L29&lt;&gt;0,Page5_BUI_MCI!$M29=0),AND(Page5_BUI_MCI!$M29&lt;&gt;0,Page5_BUI_MCI!$L29=0))</f>
        <v>0</v>
      </c>
      <c r="E991" s="1454"/>
      <c r="F991" s="1454"/>
      <c r="G991" s="1444" t="str">
        <f t="shared" si="129"/>
        <v/>
      </c>
      <c r="H991" s="1447" t="str">
        <f>IF(C991=TRUE,Comments!$B$23,"")</f>
        <v/>
      </c>
      <c r="I991" s="1446" t="str">
        <f>IF(D991=TRUE,Comments!$B$24,"")</f>
        <v/>
      </c>
      <c r="J991" s="1446"/>
      <c r="K991" s="1452"/>
      <c r="N991" s="611" t="str">
        <f>"CPTE # "&amp;Page5_BUI_MCI!$E$29&amp;"  "&amp;Page5_BUI_MCI!$C$29&amp;" - CHIFFRE D'AFFAIRES RÉALISÉ - AAD"</f>
        <v>CPTE # 424D  ENVISTA - CHIFFRE D'AFFAIRES RÉALISÉ - AAD</v>
      </c>
      <c r="O991" s="611" t="str">
        <f t="shared" si="136"/>
        <v/>
      </c>
      <c r="P991" s="611" t="str">
        <f t="shared" si="130"/>
        <v>Page5_BUI_MCI!L</v>
      </c>
      <c r="Q991" s="611">
        <f t="shared" si="131"/>
        <v>29</v>
      </c>
      <c r="R991" s="1447">
        <f t="shared" ca="1" si="132"/>
        <v>0</v>
      </c>
      <c r="S991" s="1447">
        <f t="shared" ca="1" si="133"/>
        <v>0</v>
      </c>
      <c r="V991" s="2557" t="str">
        <f t="shared" ca="1" si="134"/>
        <v/>
      </c>
      <c r="W991" s="611" t="str">
        <f t="shared" ca="1" si="135"/>
        <v>Page5_BUI_MCI, Ligne 26 [Page5_BUI_MCI!L29]  -</v>
      </c>
    </row>
    <row r="992" spans="1:23">
      <c r="A992" s="1443" t="str">
        <f>celladdr(Page5_BUI_MCI!L30)</f>
        <v>Page5_BUI_MCI!L30</v>
      </c>
      <c r="B992" s="1456" t="s">
        <v>1086</v>
      </c>
      <c r="C992" s="1451" t="b">
        <f>Page5_BUI_MCI!$L$30&lt;0</f>
        <v>0</v>
      </c>
      <c r="D992" s="1454" t="b">
        <f>OR(AND(Page5_BUI_MCI!$L30&lt;&gt;0,Page5_BUI_MCI!$M30=0),AND(Page5_BUI_MCI!$M30&lt;&gt;0,Page5_BUI_MCI!$L30=0))</f>
        <v>0</v>
      </c>
      <c r="E992" s="1454"/>
      <c r="F992" s="1454"/>
      <c r="G992" s="1444" t="str">
        <f t="shared" si="129"/>
        <v/>
      </c>
      <c r="H992" s="1447" t="str">
        <f>IF(C992=TRUE,Comments!$B$23,"")</f>
        <v/>
      </c>
      <c r="I992" s="1446" t="str">
        <f>IF(D992=TRUE,Comments!$B$24,"")</f>
        <v/>
      </c>
      <c r="J992" s="1446"/>
      <c r="K992" s="1452"/>
      <c r="N992" s="611" t="str">
        <f>"CPTE # "&amp;Page5_BUI_MCI!$E$30&amp;"  "&amp;Page5_BUI_MCI!$C$30&amp;" - CHIFFRE D'AFFAIRES RÉALISÉ - AAD"</f>
        <v>CPTE # 425D  NE PAS UTILISER - CHIFFRE D'AFFAIRES RÉALISÉ - AAD</v>
      </c>
      <c r="O992" s="611" t="str">
        <f t="shared" si="136"/>
        <v/>
      </c>
      <c r="P992" s="611" t="str">
        <f t="shared" si="130"/>
        <v>Page5_BUI_MCI!L</v>
      </c>
      <c r="Q992" s="611">
        <f t="shared" si="131"/>
        <v>30</v>
      </c>
      <c r="R992" s="1447">
        <f t="shared" ca="1" si="132"/>
        <v>0</v>
      </c>
      <c r="S992" s="1447">
        <f t="shared" ca="1" si="133"/>
        <v>0</v>
      </c>
      <c r="V992" s="2557" t="str">
        <f t="shared" ca="1" si="134"/>
        <v/>
      </c>
      <c r="W992" s="611" t="str">
        <f t="shared" ca="1" si="135"/>
        <v>Page5_BUI_MCI, Ligne 27 [Page5_BUI_MCI!L30]  -</v>
      </c>
    </row>
    <row r="993" spans="1:23">
      <c r="A993" s="1443" t="str">
        <f>celladdr(Page5_BUI_MCI!L31)</f>
        <v>Page5_BUI_MCI!L31</v>
      </c>
      <c r="B993" s="1456" t="s">
        <v>1086</v>
      </c>
      <c r="C993" s="1451" t="b">
        <f>Page5_BUI_MCI!$L$31&lt;0</f>
        <v>0</v>
      </c>
      <c r="D993" s="1454" t="b">
        <f>OR(AND(Page5_BUI_MCI!$L31&lt;&gt;0,Page5_BUI_MCI!$M31=0),AND(Page5_BUI_MCI!$M31&lt;&gt;0,Page5_BUI_MCI!$L31=0))</f>
        <v>0</v>
      </c>
      <c r="E993" s="1454"/>
      <c r="F993" s="1454"/>
      <c r="G993" s="1444" t="str">
        <f t="shared" si="129"/>
        <v/>
      </c>
      <c r="H993" s="1447" t="str">
        <f>IF(C993=TRUE,Comments!$B$23,"")</f>
        <v/>
      </c>
      <c r="I993" s="1446" t="str">
        <f>IF(D993=TRUE,Comments!$B$24,"")</f>
        <v/>
      </c>
      <c r="J993" s="1446"/>
      <c r="K993" s="1452"/>
      <c r="N993" s="611" t="str">
        <f>"CPTE # "&amp;Page5_BUI_MCI!$E$31&amp;"  "&amp;Page5_BUI_MCI!$C$31&amp;" - CHIFFRE D'AFFAIRES RÉALISÉ - AAD"</f>
        <v>CPTE # 426D  ENCLAVE - CHIFFRE D'AFFAIRES RÉALISÉ - AAD</v>
      </c>
      <c r="O993" s="611" t="str">
        <f t="shared" si="136"/>
        <v/>
      </c>
      <c r="P993" s="611" t="str">
        <f t="shared" si="130"/>
        <v>Page5_BUI_MCI!L</v>
      </c>
      <c r="Q993" s="611">
        <f t="shared" si="131"/>
        <v>31</v>
      </c>
      <c r="R993" s="1447">
        <f t="shared" ca="1" si="132"/>
        <v>0</v>
      </c>
      <c r="S993" s="1447">
        <f t="shared" ca="1" si="133"/>
        <v>0</v>
      </c>
      <c r="V993" s="2557" t="str">
        <f t="shared" ca="1" si="134"/>
        <v/>
      </c>
      <c r="W993" s="611" t="str">
        <f t="shared" ca="1" si="135"/>
        <v>Page5_BUI_MCI, Ligne 28 [Page5_BUI_MCI!L31]  -</v>
      </c>
    </row>
    <row r="994" spans="1:23">
      <c r="A994" s="1443" t="str">
        <f>celladdr(Page5_BUI_MCI!L32)</f>
        <v>Page5_BUI_MCI!L32</v>
      </c>
      <c r="B994" s="1456" t="s">
        <v>1086</v>
      </c>
      <c r="C994" s="1451" t="b">
        <f>Page5_BUI_MCI!$L$32&lt;0</f>
        <v>0</v>
      </c>
      <c r="D994" s="1454" t="b">
        <f>OR(AND(Page5_BUI_MCI!$L32&lt;&gt;0,Page5_BUI_MCI!$M32=0),AND(Page5_BUI_MCI!$M32&lt;&gt;0,Page5_BUI_MCI!$L32=0))</f>
        <v>0</v>
      </c>
      <c r="E994" s="1454"/>
      <c r="F994" s="1454"/>
      <c r="G994" s="1444" t="str">
        <f t="shared" si="129"/>
        <v/>
      </c>
      <c r="H994" s="1447" t="str">
        <f>IF(C994=TRUE,Comments!$B$23,"")</f>
        <v/>
      </c>
      <c r="I994" s="1446" t="str">
        <f>IF(D994=TRUE,Comments!$B$24,"")</f>
        <v/>
      </c>
      <c r="J994" s="1446"/>
      <c r="K994" s="1452"/>
      <c r="N994" s="611" t="str">
        <f>"CPTE # "&amp;Page5_BUI_MCI!$E$32&amp;"  "&amp;Page5_BUI_MCI!$C$32&amp;" - CHIFFRE D'AFFAIRES RÉALISÉ - AAD"</f>
        <v>CPTE # 427D  ENCORE GX - CHIFFRE D'AFFAIRES RÉALISÉ - AAD</v>
      </c>
      <c r="O994" s="611" t="str">
        <f t="shared" si="136"/>
        <v/>
      </c>
      <c r="P994" s="611" t="str">
        <f t="shared" si="130"/>
        <v>Page5_BUI_MCI!L</v>
      </c>
      <c r="Q994" s="611">
        <f t="shared" si="131"/>
        <v>32</v>
      </c>
      <c r="R994" s="1447">
        <f t="shared" ca="1" si="132"/>
        <v>0</v>
      </c>
      <c r="S994" s="1447">
        <f t="shared" ca="1" si="133"/>
        <v>0</v>
      </c>
      <c r="V994" s="2557" t="str">
        <f t="shared" ca="1" si="134"/>
        <v/>
      </c>
      <c r="W994" s="611" t="str">
        <f t="shared" ca="1" si="135"/>
        <v>Page5_BUI_MCI, Ligne 29 [Page5_BUI_MCI!L32]  -</v>
      </c>
    </row>
    <row r="995" spans="1:23">
      <c r="A995" s="1443" t="str">
        <f>celladdr(Page5_BUI_MCI!L33)</f>
        <v>Page5_BUI_MCI!L33</v>
      </c>
      <c r="B995" s="1456" t="s">
        <v>1086</v>
      </c>
      <c r="C995" s="1451" t="b">
        <f>Page5_BUI_MCI!$L$33&lt;0</f>
        <v>0</v>
      </c>
      <c r="D995" s="1454" t="b">
        <f>OR(AND(Page5_BUI_MCI!$L33&lt;&gt;0,Page5_BUI_MCI!$M33=0),AND(Page5_BUI_MCI!$M33&lt;&gt;0,Page5_BUI_MCI!$L33=0))</f>
        <v>0</v>
      </c>
      <c r="E995" s="1454"/>
      <c r="F995" s="1454"/>
      <c r="G995" s="1444" t="str">
        <f t="shared" si="129"/>
        <v/>
      </c>
      <c r="H995" s="1447" t="str">
        <f>IF(C995=TRUE,Comments!$B$23,"")</f>
        <v/>
      </c>
      <c r="I995" s="1446" t="str">
        <f>IF(D995=TRUE,Comments!$B$24,"")</f>
        <v/>
      </c>
      <c r="J995" s="1446"/>
      <c r="K995" s="1452"/>
      <c r="N995" s="611" t="str">
        <f>"CPTE # "&amp;Page5_BUI_MCI!$E$33&amp;"  "&amp;Page5_BUI_MCI!$C$33&amp;" - CHIFFRE D'AFFAIRES RÉALISÉ - AAD"</f>
        <v>CPTE # 428D  ENCORE - CHIFFRE D'AFFAIRES RÉALISÉ - AAD</v>
      </c>
      <c r="O995" s="611" t="str">
        <f t="shared" si="136"/>
        <v/>
      </c>
      <c r="P995" s="611" t="str">
        <f t="shared" si="130"/>
        <v>Page5_BUI_MCI!L</v>
      </c>
      <c r="Q995" s="611">
        <f t="shared" si="131"/>
        <v>33</v>
      </c>
      <c r="R995" s="1447">
        <f t="shared" ca="1" si="132"/>
        <v>0</v>
      </c>
      <c r="S995" s="1447">
        <f t="shared" ca="1" si="133"/>
        <v>0</v>
      </c>
      <c r="V995" s="2557" t="str">
        <f t="shared" ca="1" si="134"/>
        <v/>
      </c>
      <c r="W995" s="611" t="str">
        <f t="shared" ca="1" si="135"/>
        <v>Page5_BUI_MCI, Ligne 30 [Page5_BUI_MCI!L33]  -</v>
      </c>
    </row>
    <row r="996" spans="1:23">
      <c r="A996" s="1443" t="str">
        <f>celladdr(Page5_BUI_MCI!L34)</f>
        <v>Page5_BUI_MCI!L34</v>
      </c>
      <c r="B996" s="1456" t="s">
        <v>1086</v>
      </c>
      <c r="C996" s="1451" t="b">
        <f>Page5_BUI_MCI!$L$34&lt;0</f>
        <v>0</v>
      </c>
      <c r="D996" s="1454" t="b">
        <f>OR(AND(Page5_BUI_MCI!$L34&lt;&gt;0,Page5_BUI_MCI!$M34=0),AND(Page5_BUI_MCI!$M34&lt;&gt;0,Page5_BUI_MCI!$L34=0))</f>
        <v>0</v>
      </c>
      <c r="E996" s="1454"/>
      <c r="F996" s="1454"/>
      <c r="G996" s="1444" t="str">
        <f t="shared" si="129"/>
        <v/>
      </c>
      <c r="H996" s="1447" t="str">
        <f>IF(C996=TRUE,Comments!$B$23,"")</f>
        <v/>
      </c>
      <c r="I996" s="1446" t="str">
        <f>IF(D996=TRUE,Comments!$B$24,"")</f>
        <v/>
      </c>
      <c r="J996" s="1446"/>
      <c r="K996" s="1452"/>
      <c r="N996" s="611" t="str">
        <f>"CPTE # "&amp;Page5_BUI_MCI!$E$34&amp;"  "&amp;Page5_BUI_MCI!$C$34&amp;" - CHIFFRE D'AFFAIRES RÉALISÉ - AAD"</f>
        <v>CPTE # 429D  ENVISION - CHIFFRE D'AFFAIRES RÉALISÉ - AAD</v>
      </c>
      <c r="O996" s="611" t="str">
        <f t="shared" si="136"/>
        <v/>
      </c>
      <c r="P996" s="611" t="str">
        <f t="shared" si="130"/>
        <v>Page5_BUI_MCI!L</v>
      </c>
      <c r="Q996" s="611">
        <f t="shared" si="131"/>
        <v>34</v>
      </c>
      <c r="R996" s="1447">
        <f t="shared" ca="1" si="132"/>
        <v>0</v>
      </c>
      <c r="S996" s="1447">
        <f t="shared" ca="1" si="133"/>
        <v>0</v>
      </c>
      <c r="V996" s="2557" t="str">
        <f t="shared" ca="1" si="134"/>
        <v/>
      </c>
      <c r="W996" s="611" t="str">
        <f t="shared" ca="1" si="135"/>
        <v>Page5_BUI_MCI, Ligne 31 [Page5_BUI_MCI!L34]  -</v>
      </c>
    </row>
    <row r="997" spans="1:23">
      <c r="A997" s="1443" t="str">
        <f>celladdr(Page5_BUI_MCI!L35)</f>
        <v>Page5_BUI_MCI!L35</v>
      </c>
      <c r="B997" s="1456" t="s">
        <v>1086</v>
      </c>
      <c r="C997" s="1451" t="b">
        <f>Page5_BUI_MCI!$L$35&lt;0</f>
        <v>0</v>
      </c>
      <c r="D997" s="1454" t="b">
        <f>OR(AND(Page5_BUI_MCI!$L35&lt;&gt;0,Page5_BUI_MCI!$M35=0),AND(Page5_BUI_MCI!$M35&lt;&gt;0,Page5_BUI_MCI!$L35=0))</f>
        <v>0</v>
      </c>
      <c r="E997" s="1454"/>
      <c r="F997" s="1454"/>
      <c r="G997" s="1444" t="str">
        <f t="shared" si="129"/>
        <v/>
      </c>
      <c r="H997" s="1447" t="str">
        <f>IF(C997=TRUE,Comments!$B$23,"")</f>
        <v/>
      </c>
      <c r="I997" s="1446" t="str">
        <f>IF(D997=TRUE,Comments!$B$24,"")</f>
        <v/>
      </c>
      <c r="J997" s="1446"/>
      <c r="K997" s="1452"/>
      <c r="N997" s="611" t="str">
        <f>"CPTE # "&amp;Page5_BUI_MCI!$E$35&amp;"  "&amp;Page5_BUI_MCI!$C$35&amp;" - CHIFFRE D'AFFAIRES RÉALISÉ - AAD"</f>
        <v>CPTE # 430D  NE PAS UTILISER - CHIFFRE D'AFFAIRES RÉALISÉ - AAD</v>
      </c>
      <c r="O997" s="611" t="str">
        <f t="shared" si="136"/>
        <v/>
      </c>
      <c r="P997" s="611" t="str">
        <f t="shared" si="130"/>
        <v>Page5_BUI_MCI!L</v>
      </c>
      <c r="Q997" s="611">
        <f t="shared" si="131"/>
        <v>35</v>
      </c>
      <c r="R997" s="1447">
        <f t="shared" ca="1" si="132"/>
        <v>0</v>
      </c>
      <c r="S997" s="1447">
        <f t="shared" ca="1" si="133"/>
        <v>0</v>
      </c>
      <c r="V997" s="2557" t="str">
        <f t="shared" ca="1" si="134"/>
        <v/>
      </c>
      <c r="W997" s="611" t="str">
        <f t="shared" ca="1" si="135"/>
        <v>Page5_BUI_MCI, Ligne 32 [Page5_BUI_MCI!L35]  -</v>
      </c>
    </row>
    <row r="998" spans="1:23">
      <c r="A998" s="1443" t="str">
        <f>celladdr(Page5_BUI_MCI!L36)</f>
        <v>Page5_BUI_MCI!L36</v>
      </c>
      <c r="B998" s="1456" t="s">
        <v>1086</v>
      </c>
      <c r="C998" s="1451" t="b">
        <f>Page5_BUI_MCI!$L$36&lt;0</f>
        <v>0</v>
      </c>
      <c r="D998" s="1454" t="b">
        <f>OR(AND(Page5_BUI_MCI!$L36&lt;&gt;0,Page5_BUI_MCI!$M36=0),AND(Page5_BUI_MCI!$M36&lt;&gt;0,Page5_BUI_MCI!$L36=0))</f>
        <v>0</v>
      </c>
      <c r="E998" s="1454"/>
      <c r="F998" s="1454"/>
      <c r="G998" s="1444" t="str">
        <f t="shared" si="129"/>
        <v/>
      </c>
      <c r="H998" s="1447" t="str">
        <f>IF(C998=TRUE,Comments!$B$23,"")</f>
        <v/>
      </c>
      <c r="I998" s="1446" t="str">
        <f>IF(D998=TRUE,Comments!$B$24,"")</f>
        <v/>
      </c>
      <c r="J998" s="1446"/>
      <c r="K998" s="1452"/>
      <c r="N998" s="611" t="str">
        <f>"CPTE # "&amp;Page5_BUI_MCI!$E$36&amp;"  "&amp;Page5_BUI_MCI!$C$36&amp;" - CHIFFRE D'AFFAIRES RÉALISÉ - AAD"</f>
        <v>CPTE # 431D  NE PAS UTILISER - CHIFFRE D'AFFAIRES RÉALISÉ - AAD</v>
      </c>
      <c r="O998" s="611" t="str">
        <f t="shared" si="136"/>
        <v/>
      </c>
      <c r="P998" s="611" t="str">
        <f t="shared" si="130"/>
        <v>Page5_BUI_MCI!L</v>
      </c>
      <c r="Q998" s="611">
        <f t="shared" si="131"/>
        <v>36</v>
      </c>
      <c r="R998" s="1447">
        <f t="shared" ca="1" si="132"/>
        <v>0</v>
      </c>
      <c r="S998" s="1447">
        <f t="shared" ca="1" si="133"/>
        <v>0</v>
      </c>
      <c r="V998" s="2557" t="str">
        <f t="shared" ca="1" si="134"/>
        <v/>
      </c>
      <c r="W998" s="611" t="str">
        <f t="shared" ca="1" si="135"/>
        <v>Page5_BUI_MCI, Ligne 33 [Page5_BUI_MCI!L36]  -</v>
      </c>
    </row>
    <row r="999" spans="1:23">
      <c r="A999" s="1443" t="str">
        <f>celladdr(Page5_BUI_MCI!L37)</f>
        <v>Page5_BUI_MCI!L37</v>
      </c>
      <c r="B999" s="1456" t="s">
        <v>1086</v>
      </c>
      <c r="C999" s="1451" t="b">
        <f>Page5_BUI_MCI!$L$37&lt;0</f>
        <v>0</v>
      </c>
      <c r="D999" s="1454" t="b">
        <f>OR(AND(Page5_BUI_MCI!$L37&lt;&gt;0,Page5_BUI_MCI!$M37=0),AND(Page5_BUI_MCI!$M37&lt;&gt;0,Page5_BUI_MCI!$L37=0))</f>
        <v>0</v>
      </c>
      <c r="E999" s="1454"/>
      <c r="F999" s="1454"/>
      <c r="G999" s="1444" t="str">
        <f t="shared" si="129"/>
        <v/>
      </c>
      <c r="H999" s="1447" t="str">
        <f>IF(C999=TRUE,Comments!$B$23,"")</f>
        <v/>
      </c>
      <c r="I999" s="1446" t="str">
        <f>IF(D999=TRUE,Comments!$B$24,"")</f>
        <v/>
      </c>
      <c r="J999" s="1446"/>
      <c r="K999" s="1452"/>
      <c r="N999" s="611" t="str">
        <f>"CPTE # "&amp;Page5_BUI_MCI!$E$37&amp;"  "&amp;Page5_BUI_MCI!$C$37&amp;" - CHIFFRE D'AFFAIRES RÉALISÉ - AAD"</f>
        <v>CPTE # 432D  NE PAS UTILISER - CHIFFRE D'AFFAIRES RÉALISÉ - AAD</v>
      </c>
      <c r="O999" s="611" t="str">
        <f t="shared" si="136"/>
        <v/>
      </c>
      <c r="P999" s="611" t="str">
        <f t="shared" si="130"/>
        <v>Page5_BUI_MCI!L</v>
      </c>
      <c r="Q999" s="611">
        <f t="shared" si="131"/>
        <v>37</v>
      </c>
      <c r="R999" s="1447">
        <f t="shared" ca="1" si="132"/>
        <v>0</v>
      </c>
      <c r="S999" s="1447">
        <f t="shared" ca="1" si="133"/>
        <v>0</v>
      </c>
      <c r="V999" s="2557" t="str">
        <f t="shared" ca="1" si="134"/>
        <v/>
      </c>
      <c r="W999" s="611" t="str">
        <f t="shared" ca="1" si="135"/>
        <v>Page5_BUI_MCI, Ligne 34 [Page5_BUI_MCI!L37]  -</v>
      </c>
    </row>
    <row r="1000" spans="1:23">
      <c r="A1000" s="1443" t="str">
        <f>celladdr(Page5_BUI_MCI!L38)</f>
        <v>Page5_BUI_MCI!L38</v>
      </c>
      <c r="B1000" s="1456" t="s">
        <v>1086</v>
      </c>
      <c r="C1000" s="1451" t="b">
        <f>Page5_BUI_MCI!$L$38&lt;0</f>
        <v>0</v>
      </c>
      <c r="D1000" s="1454" t="b">
        <f>OR(AND(Page5_BUI_MCI!$L38&lt;&gt;0,Page5_BUI_MCI!$M38=0),AND(Page5_BUI_MCI!$M38&lt;&gt;0,Page5_BUI_MCI!$L38=0))</f>
        <v>0</v>
      </c>
      <c r="E1000" s="1454"/>
      <c r="F1000" s="1454"/>
      <c r="G1000" s="1444" t="str">
        <f t="shared" si="129"/>
        <v/>
      </c>
      <c r="H1000" s="1447" t="str">
        <f>IF(C1000=TRUE,Comments!$B$23,"")</f>
        <v/>
      </c>
      <c r="I1000" s="1446" t="str">
        <f>IF(D1000=TRUE,Comments!$B$24,"")</f>
        <v/>
      </c>
      <c r="J1000" s="1446"/>
      <c r="K1000" s="1452"/>
      <c r="N1000" s="611" t="str">
        <f>"CPTE # "&amp;Page5_BUI_MCI!$E$38&amp;"  "&amp;Page5_BUI_MCI!$C$38&amp;" - CHIFFRE D'AFFAIRES RÉALISÉ - AAD"</f>
        <v>CPTE # 433D  NE PAS UTILISER - CHIFFRE D'AFFAIRES RÉALISÉ - AAD</v>
      </c>
      <c r="O1000" s="611" t="str">
        <f t="shared" si="136"/>
        <v/>
      </c>
      <c r="P1000" s="611" t="str">
        <f t="shared" si="130"/>
        <v>Page5_BUI_MCI!L</v>
      </c>
      <c r="Q1000" s="611">
        <f t="shared" si="131"/>
        <v>38</v>
      </c>
      <c r="R1000" s="1447">
        <f t="shared" ca="1" si="132"/>
        <v>0</v>
      </c>
      <c r="S1000" s="1447">
        <f t="shared" ca="1" si="133"/>
        <v>0</v>
      </c>
      <c r="V1000" s="2557" t="str">
        <f t="shared" ca="1" si="134"/>
        <v/>
      </c>
      <c r="W1000" s="611" t="str">
        <f t="shared" ca="1" si="135"/>
        <v>Page5_BUI_MCI, Ligne 35 [Page5_BUI_MCI!L38]  -</v>
      </c>
    </row>
    <row r="1001" spans="1:23">
      <c r="A1001" s="1443" t="str">
        <f>celladdr(Page5_BUI_MCI!L39)</f>
        <v>Page5_BUI_MCI!L39</v>
      </c>
      <c r="B1001" s="1456" t="s">
        <v>1086</v>
      </c>
      <c r="C1001" s="1451" t="b">
        <f>Page5_BUI_MCI!$L$39&lt;0</f>
        <v>0</v>
      </c>
      <c r="D1001" s="1454" t="b">
        <f>OR(AND(Page5_BUI_MCI!$L39&lt;&gt;0,Page5_BUI_MCI!$M39=0),AND(Page5_BUI_MCI!$M39&lt;&gt;0,Page5_BUI_MCI!$L39=0))</f>
        <v>0</v>
      </c>
      <c r="E1001" s="1454"/>
      <c r="F1001" s="1454"/>
      <c r="G1001" s="1444" t="str">
        <f t="shared" si="129"/>
        <v/>
      </c>
      <c r="H1001" s="1447" t="str">
        <f>IF(C1001=TRUE,Comments!$B$23,"")</f>
        <v/>
      </c>
      <c r="I1001" s="1446" t="str">
        <f>IF(D1001=TRUE,Comments!$B$24,"")</f>
        <v/>
      </c>
      <c r="J1001" s="1446"/>
      <c r="K1001" s="1452"/>
      <c r="N1001" s="611" t="str">
        <f>"CPTE # "&amp;Page5_BUI_MCI!$E$39&amp;"  "&amp;Page5_BUI_MCI!$C$39&amp;" - CHIFFRE D'AFFAIRES RÉALISÉ - AAD"</f>
        <v>CPTE # 434D  NE PAS UTILISER - CHIFFRE D'AFFAIRES RÉALISÉ - AAD</v>
      </c>
      <c r="O1001" s="611" t="str">
        <f t="shared" si="136"/>
        <v/>
      </c>
      <c r="P1001" s="611" t="str">
        <f t="shared" si="130"/>
        <v>Page5_BUI_MCI!L</v>
      </c>
      <c r="Q1001" s="611">
        <f t="shared" si="131"/>
        <v>39</v>
      </c>
      <c r="R1001" s="1447">
        <f t="shared" ca="1" si="132"/>
        <v>0</v>
      </c>
      <c r="S1001" s="1447">
        <f t="shared" ca="1" si="133"/>
        <v>0</v>
      </c>
      <c r="V1001" s="2557" t="str">
        <f t="shared" ca="1" si="134"/>
        <v/>
      </c>
      <c r="W1001" s="611" t="str">
        <f t="shared" ca="1" si="135"/>
        <v>Page5_BUI_MCI, Ligne 36 [Page5_BUI_MCI!L39]  -</v>
      </c>
    </row>
    <row r="1002" spans="1:23">
      <c r="A1002" s="1443" t="str">
        <f>celladdr(Page5_BUI_MCI!L40)</f>
        <v>Page5_BUI_MCI!L40</v>
      </c>
      <c r="B1002" s="1456" t="s">
        <v>1086</v>
      </c>
      <c r="C1002" s="1451" t="b">
        <f>Page5_BUI_MCI!$L$40&lt;0</f>
        <v>0</v>
      </c>
      <c r="D1002" s="1454" t="b">
        <f>OR(AND(Page5_BUI_MCI!$L40&lt;&gt;0,Page5_BUI_MCI!$M40=0),AND(Page5_BUI_MCI!$M40&lt;&gt;0,Page5_BUI_MCI!$L40=0))</f>
        <v>0</v>
      </c>
      <c r="E1002" s="1454"/>
      <c r="F1002" s="1454"/>
      <c r="G1002" s="1444" t="str">
        <f t="shared" si="129"/>
        <v/>
      </c>
      <c r="H1002" s="1447" t="str">
        <f>IF(C1002=TRUE,Comments!$B$23,"")</f>
        <v/>
      </c>
      <c r="I1002" s="1446" t="str">
        <f>IF(D1002=TRUE,Comments!$B$24,"")</f>
        <v/>
      </c>
      <c r="J1002" s="1446"/>
      <c r="K1002" s="1452"/>
      <c r="N1002" s="611" t="str">
        <f>"CPTE # "&amp;Page5_BUI_MCI!$E$40&amp;"  "&amp;Page5_BUI_MCI!$C$40&amp;" - CHIFFRE D'AFFAIRES RÉALISÉ - AAD"</f>
        <v>CPTE # 435D  NE PAS UTILISER - CHIFFRE D'AFFAIRES RÉALISÉ - AAD</v>
      </c>
      <c r="O1002" s="611" t="str">
        <f t="shared" si="136"/>
        <v/>
      </c>
      <c r="P1002" s="611" t="str">
        <f t="shared" si="130"/>
        <v>Page5_BUI_MCI!L</v>
      </c>
      <c r="Q1002" s="611">
        <f t="shared" si="131"/>
        <v>40</v>
      </c>
      <c r="R1002" s="1447">
        <f t="shared" ca="1" si="132"/>
        <v>0</v>
      </c>
      <c r="S1002" s="1447">
        <f t="shared" ca="1" si="133"/>
        <v>0</v>
      </c>
      <c r="V1002" s="2557" t="str">
        <f t="shared" ca="1" si="134"/>
        <v/>
      </c>
      <c r="W1002" s="611" t="str">
        <f t="shared" ca="1" si="135"/>
        <v>Page5_BUI_MCI, Ligne 37 [Page5_BUI_MCI!L40]  -</v>
      </c>
    </row>
    <row r="1003" spans="1:23">
      <c r="A1003" s="1443" t="str">
        <f>celladdr(Page5_BUI_MCI!L41)</f>
        <v>Page5_BUI_MCI!L41</v>
      </c>
      <c r="B1003" s="1456" t="s">
        <v>1086</v>
      </c>
      <c r="C1003" s="1451" t="b">
        <f>Page5_BUI_MCI!$L$41&lt;0</f>
        <v>0</v>
      </c>
      <c r="D1003" s="1454" t="b">
        <f>OR(AND(Page5_BUI_MCI!$L41&lt;&gt;0,Page5_BUI_MCI!$M41=0),AND(Page5_BUI_MCI!$M41&lt;&gt;0,Page5_BUI_MCI!$L41=0))</f>
        <v>0</v>
      </c>
      <c r="E1003" s="1454"/>
      <c r="F1003" s="1454"/>
      <c r="G1003" s="1444" t="str">
        <f t="shared" si="129"/>
        <v/>
      </c>
      <c r="H1003" s="1447" t="str">
        <f>IF(C1003=TRUE,Comments!$B$23,"")</f>
        <v/>
      </c>
      <c r="I1003" s="1446" t="str">
        <f>IF(D1003=TRUE,Comments!$B$24,"")</f>
        <v/>
      </c>
      <c r="J1003" s="1446"/>
      <c r="K1003" s="1452"/>
      <c r="N1003" s="611" t="str">
        <f>"CPTE # "&amp;Page5_BUI_MCI!$E$41&amp;"  "&amp;Page5_BUI_MCI!$C$41&amp;" - CHIFFRE D'AFFAIRES RÉALISÉ - AAD"</f>
        <v>CPTE # 436D  NE PAS UTILISER - CHIFFRE D'AFFAIRES RÉALISÉ - AAD</v>
      </c>
      <c r="O1003" s="611" t="str">
        <f t="shared" si="136"/>
        <v/>
      </c>
      <c r="P1003" s="611" t="str">
        <f t="shared" si="130"/>
        <v>Page5_BUI_MCI!L</v>
      </c>
      <c r="Q1003" s="611">
        <f t="shared" si="131"/>
        <v>41</v>
      </c>
      <c r="R1003" s="1447">
        <f t="shared" ca="1" si="132"/>
        <v>0</v>
      </c>
      <c r="S1003" s="1447">
        <f t="shared" ca="1" si="133"/>
        <v>0</v>
      </c>
      <c r="V1003" s="2557" t="str">
        <f t="shared" ca="1" si="134"/>
        <v/>
      </c>
      <c r="W1003" s="611" t="str">
        <f t="shared" ca="1" si="135"/>
        <v>Page5_BUI_MCI, Ligne 38 [Page5_BUI_MCI!L41]  -</v>
      </c>
    </row>
    <row r="1004" spans="1:23">
      <c r="A1004" s="1443" t="str">
        <f>celladdr(Page5_BUI_MCI!L42)</f>
        <v>Page5_BUI_MCI!L42</v>
      </c>
      <c r="B1004" s="1456" t="s">
        <v>1086</v>
      </c>
      <c r="C1004" s="1451" t="b">
        <f>Page5_BUI_MCI!$L$42&lt;0</f>
        <v>0</v>
      </c>
      <c r="D1004" s="1454"/>
      <c r="E1004" s="1454"/>
      <c r="F1004" s="1454"/>
      <c r="G1004" s="1444" t="str">
        <f t="shared" si="129"/>
        <v/>
      </c>
      <c r="H1004" s="1447" t="str">
        <f>IF(C1004=TRUE,Comments!$B$23,"")</f>
        <v/>
      </c>
      <c r="I1004" s="1446"/>
      <c r="J1004" s="1446"/>
      <c r="K1004" s="1452"/>
      <c r="N1004" s="611" t="str">
        <f>"CPTE # "&amp;Page5_BUI_MCI!$E$42&amp;"  "&amp;Page5_BUI_MCI!$C$42&amp;" - CHIFFRE D'AFFAIRES RÉALISÉ - AAD"</f>
        <v>CPTE # 437D  POUR USAGE FUTUR - CHIFFRE D'AFFAIRES RÉALISÉ - AAD</v>
      </c>
      <c r="O1004" s="611" t="str">
        <f t="shared" si="136"/>
        <v/>
      </c>
      <c r="P1004" s="611" t="str">
        <f t="shared" si="130"/>
        <v>Page5_BUI_MCI!L</v>
      </c>
      <c r="Q1004" s="611">
        <f t="shared" si="131"/>
        <v>42</v>
      </c>
      <c r="R1004" s="1447">
        <f t="shared" ca="1" si="132"/>
        <v>0</v>
      </c>
      <c r="S1004" s="1447">
        <f t="shared" ca="1" si="133"/>
        <v>0</v>
      </c>
      <c r="V1004" s="2557" t="str">
        <f t="shared" ca="1" si="134"/>
        <v/>
      </c>
      <c r="W1004" s="611" t="str">
        <f t="shared" ca="1" si="135"/>
        <v>Page5_BUI_MCI, Ligne 39 [Page5_BUI_MCI!L42]  -</v>
      </c>
    </row>
    <row r="1005" spans="1:23">
      <c r="A1005" s="1443" t="str">
        <f>celladdr(Page5_BUI_MCI!L43)</f>
        <v>Page5_BUI_MCI!L43</v>
      </c>
      <c r="B1005" s="1456" t="s">
        <v>1086</v>
      </c>
      <c r="C1005" s="1451" t="b">
        <f>Page5_BUI_MCI!$L$43&lt;0</f>
        <v>0</v>
      </c>
      <c r="D1005" s="1454" t="b">
        <f>OR(AND(Page5_BUI_MCI!$L43&lt;&gt;0,Page5_BUI_MCI!$M43=0),AND(Page5_BUI_MCI!$M43&lt;&gt;0,Page5_BUI_MCI!$L43=0))</f>
        <v>0</v>
      </c>
      <c r="E1005" s="1454"/>
      <c r="F1005" s="1454"/>
      <c r="G1005" s="1444" t="str">
        <f t="shared" si="129"/>
        <v/>
      </c>
      <c r="H1005" s="1447" t="str">
        <f>IF(C1005=TRUE,Comments!$B$23,"")</f>
        <v/>
      </c>
      <c r="I1005" s="1446" t="str">
        <f>IF(D1005=TRUE,Comments!$B$24,"")</f>
        <v/>
      </c>
      <c r="J1005" s="1446"/>
      <c r="K1005" s="1452"/>
      <c r="N1005" s="611" t="str">
        <f>"CPTE # "&amp;Page5_BUI_MCI!$E$43&amp;"  "&amp;Page5_BUI_MCI!$C$43&amp;" - CHIFFRE D'AFFAIRES RÉALISÉ - AAD"</f>
        <v>CPTE # 438D  AUTRES CAMIONS GM - CHIFFRE D'AFFAIRES RÉALISÉ - AAD</v>
      </c>
      <c r="O1005" s="611" t="str">
        <f t="shared" si="136"/>
        <v/>
      </c>
      <c r="P1005" s="611" t="str">
        <f t="shared" si="130"/>
        <v>Page5_BUI_MCI!L</v>
      </c>
      <c r="Q1005" s="611">
        <f t="shared" si="131"/>
        <v>43</v>
      </c>
      <c r="R1005" s="1447">
        <f t="shared" ca="1" si="132"/>
        <v>0</v>
      </c>
      <c r="S1005" s="1447">
        <f t="shared" ca="1" si="133"/>
        <v>0</v>
      </c>
      <c r="V1005" s="2557" t="str">
        <f t="shared" ca="1" si="134"/>
        <v/>
      </c>
      <c r="W1005" s="611" t="str">
        <f t="shared" ca="1" si="135"/>
        <v>Page5_BUI_MCI, Ligne 40 [Page5_BUI_MCI!L43]  -</v>
      </c>
    </row>
    <row r="1006" spans="1:23">
      <c r="A1006" s="1443" t="str">
        <f>celladdr(Page5_BUI_MCI!L44)</f>
        <v>Page5_BUI_MCI!L44</v>
      </c>
      <c r="B1006" s="1444" t="s">
        <v>1086</v>
      </c>
      <c r="C1006" s="1451"/>
      <c r="D1006" s="1454"/>
      <c r="E1006" s="1454"/>
      <c r="F1006" s="1454"/>
      <c r="G1006" s="1444" t="str">
        <f t="shared" si="129"/>
        <v/>
      </c>
      <c r="H1006" s="1447" t="str">
        <f>IF(C1006=TRUE,Comments!$B$26,"")</f>
        <v/>
      </c>
      <c r="I1006" s="1446" t="str">
        <f>IF(D1006=TRUE,Comments!$B$24,"")</f>
        <v/>
      </c>
      <c r="J1006" s="1446"/>
      <c r="K1006" s="1452"/>
      <c r="O1006" s="611" t="str">
        <f t="shared" si="136"/>
        <v/>
      </c>
      <c r="P1006" s="611" t="str">
        <f t="shared" si="130"/>
        <v>Page5_BUI_MCI!L</v>
      </c>
      <c r="Q1006" s="611">
        <f t="shared" si="131"/>
        <v>44</v>
      </c>
      <c r="R1006" s="1447">
        <f t="shared" ca="1" si="132"/>
        <v>0</v>
      </c>
      <c r="S1006" s="1447">
        <f t="shared" ca="1" si="133"/>
        <v>0</v>
      </c>
      <c r="V1006" s="2557" t="str">
        <f t="shared" ca="1" si="134"/>
        <v/>
      </c>
      <c r="W1006" s="611" t="str">
        <f t="shared" ca="1" si="135"/>
        <v>Page5_BUI_MCI, Ligne 41 [Page5_BUI_MCI!L44]  -</v>
      </c>
    </row>
    <row r="1007" spans="1:23">
      <c r="A1007" s="1443" t="str">
        <f>celladdr(Page5_BUI_MCI!L45)</f>
        <v>Page5_BUI_MCI!L45</v>
      </c>
      <c r="B1007" s="1456" t="s">
        <v>1086</v>
      </c>
      <c r="C1007" s="1451" t="b">
        <f>Page5_BUI_MCI!$L$45&lt;0</f>
        <v>0</v>
      </c>
      <c r="D1007" s="1454" t="b">
        <f>OR(AND(Page5_BUI_MCI!$L45&lt;&gt;0,Page5_BUI_MCI!$M45=0),AND(Page5_BUI_MCI!$M45&lt;&gt;0,Page5_BUI_MCI!$L45=0))</f>
        <v>0</v>
      </c>
      <c r="E1007" s="1454"/>
      <c r="F1007" s="1454"/>
      <c r="G1007" s="1444" t="str">
        <f t="shared" si="129"/>
        <v/>
      </c>
      <c r="H1007" s="1447" t="str">
        <f>IF(C1007=TRUE,Comments!$B$23,"")</f>
        <v/>
      </c>
      <c r="I1007" s="1446" t="str">
        <f>IF(D1007=TRUE,Comments!$B$24,"")</f>
        <v/>
      </c>
      <c r="J1007" s="1446"/>
      <c r="K1007" s="1452"/>
      <c r="N1007" s="611" t="str">
        <f>"CPTE # "&amp;Page5_BUI_MCI!$E$45&amp;"  "&amp;Page5_BUI_MCI!$C$45&amp;" - CHIFFRE D'AFFAIRES RÉALISÉ - AAD"</f>
        <v>CPTE # 439D  MÉMO* VENTES INTERNET CAMIONS - CHIFFRE D'AFFAIRES RÉALISÉ - AAD</v>
      </c>
      <c r="O1007" s="611" t="str">
        <f t="shared" si="136"/>
        <v/>
      </c>
      <c r="P1007" s="611" t="str">
        <f t="shared" si="130"/>
        <v>Page5_BUI_MCI!L</v>
      </c>
      <c r="Q1007" s="611">
        <f t="shared" si="131"/>
        <v>45</v>
      </c>
      <c r="R1007" s="1447">
        <f t="shared" ca="1" si="132"/>
        <v>0</v>
      </c>
      <c r="S1007" s="1447">
        <f t="shared" ca="1" si="133"/>
        <v>0</v>
      </c>
      <c r="V1007" s="2557" t="str">
        <f t="shared" ca="1" si="134"/>
        <v/>
      </c>
      <c r="W1007" s="611" t="str">
        <f t="shared" ca="1" si="135"/>
        <v>Page5_BUI_MCI, Ligne 42 [Page5_BUI_MCI!L45]  -</v>
      </c>
    </row>
    <row r="1008" spans="1:23">
      <c r="A1008" s="1443" t="str">
        <f>celladdr(Page5_BUI_MCI!L46)</f>
        <v>Page5_BUI_MCI!L46</v>
      </c>
      <c r="B1008" s="1456" t="s">
        <v>1086</v>
      </c>
      <c r="C1008" s="1451" t="b">
        <f>Page5_BUI_MCI!$L$46&lt;0</f>
        <v>0</v>
      </c>
      <c r="D1008" s="1454" t="b">
        <f>OR(AND(Page5_BUI_MCI!$L46&lt;&gt;0,Page5_BUI_MCI!$M46=0),AND(Page5_BUI_MCI!$M46&lt;&gt;0,Page5_BUI_MCI!$L46=0))</f>
        <v>0</v>
      </c>
      <c r="E1008" s="1454" t="b">
        <f>ROUND(Page5_CAD_MCI!L46 + Page5_BUI_MCI!L46,2)&lt;&gt;ROUND(Page5_PARCS_GOUV!L14+Page5_PARCS_GOUV!L16+Page5_PARCS_GOUV!L18+Page5_PARCS_GOUV!L50+Page5_PARCS_GOUV!L52+Page5_PARCS_GOUV!L54,2)</f>
        <v>0</v>
      </c>
      <c r="F1008" s="1454"/>
      <c r="G1008" s="1444" t="str">
        <f t="shared" si="129"/>
        <v/>
      </c>
      <c r="H1008" s="1447" t="str">
        <f>IF(C1008=TRUE,Comments!$B$23,"")</f>
        <v/>
      </c>
      <c r="I1008" s="1446" t="str">
        <f>IF(D1008=TRUE,Comments!$B$24,"")</f>
        <v/>
      </c>
      <c r="J1008" s="1446" t="str">
        <f>IF(E1008=TRUE, Comments!$B$101,"")</f>
        <v/>
      </c>
      <c r="K1008" s="1452"/>
      <c r="N1008" s="611" t="str">
        <f>"CPTE # "&amp;Page5_BUI_MCI!$E$46&amp;"  "&amp;Page5_BUI_MCI!$C$46&amp;" - CHIFFRE D'AFFAIRES RÉALISÉ - AAD"</f>
        <v>CPTE # DE PG PARCS  TOTAL PARCS - CAMIONS - CHIFFRE D'AFFAIRES RÉALISÉ - AAD</v>
      </c>
      <c r="O1008" s="611" t="str">
        <f t="shared" si="136"/>
        <v/>
      </c>
      <c r="P1008" s="611" t="str">
        <f t="shared" si="130"/>
        <v>Page5_BUI_MCI!L</v>
      </c>
      <c r="Q1008" s="611">
        <f t="shared" si="131"/>
        <v>46</v>
      </c>
      <c r="R1008" s="1447">
        <f t="shared" ca="1" si="132"/>
        <v>0</v>
      </c>
      <c r="S1008" s="1447">
        <f t="shared" ca="1" si="133"/>
        <v>0</v>
      </c>
      <c r="T1008" s="611">
        <v>101</v>
      </c>
      <c r="V1008" s="2557" t="str">
        <f t="shared" ca="1" si="134"/>
        <v/>
      </c>
      <c r="W1008" s="611" t="str">
        <f t="shared" ca="1" si="135"/>
        <v>Page5_BUI_MCI, Ligne 43 [Page5_BUI_MCI!L46]  -</v>
      </c>
    </row>
    <row r="1009" spans="1:23">
      <c r="A1009" s="1443" t="str">
        <f>celladdr(Page5_BUI_MCI!N46)</f>
        <v>Page5_BUI_MCI!N46</v>
      </c>
      <c r="B1009" s="1456" t="s">
        <v>1086</v>
      </c>
      <c r="C1009" s="1451"/>
      <c r="D1009" s="1454"/>
      <c r="E1009" s="1454" t="b">
        <f>ROUND(Page5_CAD_MCI!N46 + Page5_BUI_MCI!N46,2)&lt;&gt;ROUND(Page5_PARCS_GOUV!N14+Page5_PARCS_GOUV!N16+Page5_PARCS_GOUV!N18+Page5_PARCS_GOUV!N50+Page5_PARCS_GOUV!N52+Page5_PARCS_GOUV!N54,2)</f>
        <v>0</v>
      </c>
      <c r="F1009" s="1454"/>
      <c r="G1009" s="1444" t="str">
        <f t="shared" si="129"/>
        <v/>
      </c>
      <c r="I1009" s="1446"/>
      <c r="J1009" s="1446" t="str">
        <f>IF(E1009=TRUE, Comments!$B$102,"")</f>
        <v/>
      </c>
      <c r="K1009" s="1452"/>
      <c r="N1009" s="611" t="str">
        <f>"CPTE # "&amp;Page5_BUI_MCI!$E$46&amp;"  "&amp;Page5_BUI_MCI!$C$46&amp;" - PROFIT BRUT - AAD"</f>
        <v>CPTE # DE PG PARCS  TOTAL PARCS - CAMIONS - PROFIT BRUT - AAD</v>
      </c>
      <c r="O1009" s="611" t="str">
        <f t="shared" si="136"/>
        <v/>
      </c>
      <c r="P1009" s="611" t="str">
        <f t="shared" si="130"/>
        <v>Page5_BUI_MCI!N</v>
      </c>
      <c r="Q1009" s="611">
        <f t="shared" si="131"/>
        <v>46</v>
      </c>
      <c r="R1009" s="1447">
        <f t="shared" ca="1" si="132"/>
        <v>0</v>
      </c>
      <c r="S1009" s="1447">
        <f t="shared" ca="1" si="133"/>
        <v>0</v>
      </c>
      <c r="T1009" s="611">
        <v>102</v>
      </c>
      <c r="V1009" s="2557" t="str">
        <f t="shared" ca="1" si="134"/>
        <v/>
      </c>
      <c r="W1009" s="611" t="str">
        <f t="shared" ca="1" si="135"/>
        <v>Page5_BUI_MCI, Ligne 43 [Page5_BUI_MCI!N46]  -</v>
      </c>
    </row>
    <row r="1010" spans="1:23">
      <c r="A1010" s="1443" t="str">
        <f>celladdr(Page5_BUI_MCI!L47)</f>
        <v>Page5_BUI_MCI!L47</v>
      </c>
      <c r="B1010" s="1456" t="s">
        <v>1086</v>
      </c>
      <c r="C1010" s="1451" t="b">
        <f>Page5_BUI_MCI!$L$47&lt;0</f>
        <v>0</v>
      </c>
      <c r="D1010" s="1454" t="b">
        <f>OR(AND(Page5_BUI_MCI!$L47&lt;&gt;0,Page5_BUI_MCI!$M47=0),AND(Page5_BUI_MCI!$M47&lt;&gt;0,Page5_BUI_MCI!$L47=0))</f>
        <v>0</v>
      </c>
      <c r="E1010" s="1454"/>
      <c r="F1010" s="1454"/>
      <c r="G1010" s="1444" t="str">
        <f t="shared" si="129"/>
        <v/>
      </c>
      <c r="H1010" s="1447" t="str">
        <f>IF(C1010=TRUE,Comments!$B$23,"")</f>
        <v/>
      </c>
      <c r="I1010" s="1446" t="str">
        <f>IF(D1010=TRUE,Comments!$B$24,"")</f>
        <v/>
      </c>
      <c r="J1010" s="1446"/>
      <c r="K1010" s="1452"/>
      <c r="N1010" s="611" t="str">
        <f>"CPTE # "&amp;Page5_BUI_MCI!$E$47&amp;"  "&amp;Page5_BUI_MCI!$C$47&amp;" - CHIFFRE D'AFFAIRES RÉALISÉ - AAD"</f>
        <v>CPTE # 441D  TOTAL IINTERNE - CAMIONS  - CHIFFRE D'AFFAIRES RÉALISÉ - AAD</v>
      </c>
      <c r="O1010" s="611" t="str">
        <f>IF(A1010=A1008,"TRUE","")</f>
        <v/>
      </c>
      <c r="P1010" s="611" t="str">
        <f t="shared" si="130"/>
        <v>Page5_BUI_MCI!L</v>
      </c>
      <c r="Q1010" s="611">
        <f t="shared" si="131"/>
        <v>47</v>
      </c>
      <c r="R1010" s="1447">
        <f t="shared" ca="1" si="132"/>
        <v>0</v>
      </c>
      <c r="S1010" s="1447">
        <f t="shared" ca="1" si="133"/>
        <v>0</v>
      </c>
      <c r="V1010" s="2557" t="str">
        <f t="shared" ca="1" si="134"/>
        <v/>
      </c>
      <c r="W1010" s="611" t="str">
        <f t="shared" ca="1" si="135"/>
        <v>Page5_BUI_MCI, Ligne 44 [Page5_BUI_MCI!L47]  -</v>
      </c>
    </row>
    <row r="1011" spans="1:23">
      <c r="A1011" s="1443" t="str">
        <f>celladdr(Page5_BUI_MCI!L48)</f>
        <v>Page5_BUI_MCI!L48</v>
      </c>
      <c r="B1011" s="1444" t="s">
        <v>1086</v>
      </c>
      <c r="C1011" s="1451"/>
      <c r="D1011" s="1454"/>
      <c r="E1011" s="1454"/>
      <c r="F1011" s="1454"/>
      <c r="G1011" s="1444" t="str">
        <f t="shared" si="129"/>
        <v/>
      </c>
      <c r="H1011" s="1447" t="str">
        <f>IF(C1011=TRUE,Comments!$B$26,"")</f>
        <v/>
      </c>
      <c r="I1011" s="1446" t="str">
        <f>IF(D1011=TRUE,Comments!$B$24,"")</f>
        <v/>
      </c>
      <c r="J1011" s="1446"/>
      <c r="K1011" s="1452"/>
      <c r="O1011" s="611" t="str">
        <f t="shared" ref="O1011:O1042" si="137">IF(A1011=A1010,"TRUE","")</f>
        <v/>
      </c>
      <c r="P1011" s="611" t="str">
        <f t="shared" si="130"/>
        <v>Page5_BUI_MCI!L</v>
      </c>
      <c r="Q1011" s="611">
        <f t="shared" si="131"/>
        <v>48</v>
      </c>
      <c r="R1011" s="1447">
        <f t="shared" ca="1" si="132"/>
        <v>0</v>
      </c>
      <c r="S1011" s="1447">
        <f t="shared" ca="1" si="133"/>
        <v>0</v>
      </c>
      <c r="V1011" s="2557" t="str">
        <f t="shared" ca="1" si="134"/>
        <v/>
      </c>
      <c r="W1011" s="611" t="str">
        <f t="shared" ca="1" si="135"/>
        <v>Page5_BUI_MCI, Ligne 45 [Page5_BUI_MCI!L48]  -</v>
      </c>
    </row>
    <row r="1012" spans="1:23">
      <c r="A1012" s="1443" t="str">
        <f>celladdr(Page5_BUI_MCI!L49)</f>
        <v>Page5_BUI_MCI!L49</v>
      </c>
      <c r="B1012" s="1456" t="s">
        <v>1086</v>
      </c>
      <c r="C1012" s="1451" t="b">
        <f>Page5_BUI_MCI!$L$49&lt;0</f>
        <v>0</v>
      </c>
      <c r="D1012" s="1454" t="b">
        <f>OR(AND(Page5_BUI_MCI!$L49&lt;&gt;0,Page5_BUI_MCI!$M49=0),AND(Page5_BUI_MCI!$M49&lt;&gt;0,Page5_BUI_MCI!$L49=0))</f>
        <v>0</v>
      </c>
      <c r="E1012" s="1454"/>
      <c r="F1012" s="1454"/>
      <c r="G1012" s="1444" t="str">
        <f t="shared" si="129"/>
        <v/>
      </c>
      <c r="H1012" s="1447" t="str">
        <f>IF(C1012=TRUE,Comments!$B$23,"")</f>
        <v/>
      </c>
      <c r="I1012" s="1446" t="str">
        <f>IF(D1012=TRUE,Comments!$B$24,"")</f>
        <v/>
      </c>
      <c r="J1012" s="1446"/>
      <c r="K1012" s="1452"/>
      <c r="N1012" s="611" t="str">
        <f>"CPTE # "&amp;Page5_BUI_MCI!$E$49&amp;"  "&amp;Page5_BUI_MCI!$C$49&amp;" - CHIFFRE D'AFFAIRES RÉALISÉ - AAD"</f>
        <v>CPTE #      - CHIFFRE D'AFFAIRES RÉALISÉ - AAD</v>
      </c>
      <c r="O1012" s="611" t="str">
        <f t="shared" si="137"/>
        <v/>
      </c>
      <c r="P1012" s="611" t="str">
        <f t="shared" si="130"/>
        <v>Page5_BUI_MCI!L</v>
      </c>
      <c r="Q1012" s="611">
        <f t="shared" si="131"/>
        <v>49</v>
      </c>
      <c r="R1012" s="1447">
        <f t="shared" ca="1" si="132"/>
        <v>0</v>
      </c>
      <c r="S1012" s="1447">
        <f t="shared" ca="1" si="133"/>
        <v>0</v>
      </c>
      <c r="V1012" s="2557" t="str">
        <f t="shared" ca="1" si="134"/>
        <v/>
      </c>
      <c r="W1012" s="611" t="str">
        <f t="shared" ca="1" si="135"/>
        <v>Page5_BUI_MCI, Ligne 46 [Page5_BUI_MCI!L49]  -</v>
      </c>
    </row>
    <row r="1013" spans="1:23">
      <c r="A1013" s="1443" t="str">
        <f>celladdr(Page5_BUI_MCI!L50)</f>
        <v>Page5_BUI_MCI!L50</v>
      </c>
      <c r="B1013" s="1456" t="s">
        <v>1086</v>
      </c>
      <c r="C1013" s="1451" t="b">
        <f>Page5_BUI_MCI!$L$50&lt;0</f>
        <v>0</v>
      </c>
      <c r="D1013" s="1454" t="b">
        <f>OR(AND(Page5_BUI_MCI!$L50&lt;&gt;0,Page5_BUI_MCI!$M50=0),AND(Page5_BUI_MCI!$M50&lt;&gt;0,Page5_BUI_MCI!$L50=0))</f>
        <v>0</v>
      </c>
      <c r="E1013" s="1454"/>
      <c r="F1013" s="1454"/>
      <c r="G1013" s="1444" t="str">
        <f t="shared" si="129"/>
        <v/>
      </c>
      <c r="H1013" s="1447" t="str">
        <f>IF(C1013=TRUE,Comments!$B$23,"")</f>
        <v/>
      </c>
      <c r="I1013" s="1446" t="str">
        <f>IF(D1013=TRUE,Comments!$B$24,"")</f>
        <v/>
      </c>
      <c r="J1013" s="1446"/>
      <c r="K1013" s="1452"/>
      <c r="N1013" s="611" t="str">
        <f>"CPTE # "&amp;Page5_BUI_MCI!$E$50&amp;"  "&amp;Page5_BUI_MCI!$C$50&amp;" - CHIFFRE D'AFFAIRES RÉALISÉ - AAD"</f>
        <v>CPTE # 457D  ACCESSOIRES - CHIFFRE D'AFFAIRES RÉALISÉ - AAD</v>
      </c>
      <c r="O1013" s="611" t="str">
        <f t="shared" si="137"/>
        <v/>
      </c>
      <c r="P1013" s="611" t="str">
        <f t="shared" si="130"/>
        <v>Page5_BUI_MCI!L</v>
      </c>
      <c r="Q1013" s="611">
        <f t="shared" si="131"/>
        <v>50</v>
      </c>
      <c r="R1013" s="1447">
        <f t="shared" ca="1" si="132"/>
        <v>0</v>
      </c>
      <c r="S1013" s="1447">
        <f t="shared" ca="1" si="133"/>
        <v>0</v>
      </c>
      <c r="V1013" s="2557" t="str">
        <f t="shared" ca="1" si="134"/>
        <v/>
      </c>
      <c r="W1013" s="611" t="str">
        <f t="shared" ca="1" si="135"/>
        <v>Page5_BUI_MCI, Ligne 47 [Page5_BUI_MCI!L50]  -</v>
      </c>
    </row>
    <row r="1014" spans="1:23">
      <c r="A1014" s="1443" t="str">
        <f>celladdr(Page5_BUI_MCI!M4)</f>
        <v>Page5_BUI_MCI!M4</v>
      </c>
      <c r="B1014" s="1456" t="s">
        <v>1086</v>
      </c>
      <c r="C1014" s="1451" t="b">
        <f>IF(Page5_BUI_MCI!$K$4=0,FALSE,OR(Page5_BUI_MCI!$M$4/Page5_BUI_MCI!$K$4&lt;INDEX(Min_Table,L1014),Page5_BUI_MCI!$M$4/Page5_BUI_MCI!$K$4&gt;INDEX(Max_Table,L1014)))</f>
        <v>0</v>
      </c>
      <c r="D1014" s="1454" t="b">
        <f>OR(AND(Page5_BUI_MCI!$L4&lt;&gt;0,Page5_BUI_MCI!$M4=0),AND(Page5_BUI_MCI!$M4&lt;&gt;0,Page5_BUI_MCI!$L4=0))</f>
        <v>0</v>
      </c>
      <c r="E1014" s="1454" t="b">
        <f>IF(Page5_BUI_MCI!$K$4=0,FALSE,OR(Page5_BUI_MCI!$M$4/Page5_BUI_MCI!$K$4&lt;INDEX(Min_Table,M1014),Page5_BUI_MCI!$M$4/Page5_BUI_MCI!$K$4&gt;INDEX(Max_Table,M1014)))</f>
        <v>0</v>
      </c>
      <c r="F1014" s="1454"/>
      <c r="G1014" s="1444" t="str">
        <f t="shared" si="129"/>
        <v/>
      </c>
      <c r="H1014" s="1447" t="str">
        <f>IF(C1014=TRUE,Comments!$B$20&amp;DOLLAR(INDEX(Min_Table,L1014),0)&amp;Comments!$B$18&amp;DOLLAR(INDEX(Max_Table,L1014),0)&amp;Comments!$B$19&amp;DOLLAR(Page5_BUI_MCI!$M$4/Page5_BUI_MCI!$K$4,0),"")</f>
        <v/>
      </c>
      <c r="I1014" s="1446" t="str">
        <f>IF(D1014=TRUE,Comments!$B$24,"")</f>
        <v/>
      </c>
      <c r="J1014" s="1446" t="str">
        <f>IF(E1014=TRUE,Comments!$B$22&amp;DOLLAR(INDEX(Min_Table,M1014),0)&amp;Comments!$B$18&amp;DOLLAR(INDEX(Max_Table,M1014),0)&amp;Comments!$B$19&amp;IFERROR(DOLLAR(Page5_BUI_MCI!$M$4/Page5_BUI_MCI!$K$4,0),0),"")</f>
        <v/>
      </c>
      <c r="K1014" s="1452"/>
      <c r="L1014" s="611">
        <f>ROW(OR_VEH!$A$667)</f>
        <v>667</v>
      </c>
      <c r="M1014" s="611">
        <f>ROW(OR_VEH!$A$153)</f>
        <v>153</v>
      </c>
      <c r="N1014" s="611" t="str">
        <f>"CPTE # "&amp;Page5_BUI_MCI!$E$4&amp;"  "&amp;Page5_BUI_MCI!$C$4&amp;" - COÛT DES VENTES - AAD"</f>
        <v>CPTE # 400D  REGAL - COÛT DES VENTES - AAD</v>
      </c>
      <c r="O1014" s="611" t="str">
        <f t="shared" si="137"/>
        <v/>
      </c>
      <c r="P1014" s="611" t="str">
        <f t="shared" si="130"/>
        <v>Page5_BUI_MCI!M</v>
      </c>
      <c r="Q1014" s="611">
        <f t="shared" si="131"/>
        <v>4</v>
      </c>
      <c r="R1014" s="1447">
        <f t="shared" ca="1" si="132"/>
        <v>0</v>
      </c>
      <c r="S1014" s="1447">
        <f t="shared" ca="1" si="133"/>
        <v>0</v>
      </c>
      <c r="T1014" s="611">
        <v>22</v>
      </c>
      <c r="V1014" s="2557" t="str">
        <f t="shared" ca="1" si="134"/>
        <v/>
      </c>
      <c r="W1014" s="611" t="str">
        <f t="shared" ca="1" si="135"/>
        <v>Page5_BUI_MCI, Ligne 1 [Page5_BUI_MCI!M4]  -</v>
      </c>
    </row>
    <row r="1015" spans="1:23">
      <c r="A1015" s="1443" t="str">
        <f>celladdr(Page5_BUI_MCI!M5)</f>
        <v>Page5_BUI_MCI!M5</v>
      </c>
      <c r="B1015" s="1456" t="s">
        <v>1086</v>
      </c>
      <c r="C1015" s="1451" t="b">
        <f>IF(Page5_BUI_MCI!$K$5=0,FALSE,OR(Page5_BUI_MCI!$M$5/Page5_BUI_MCI!$K$5&lt;INDEX(Min_Table,L1015),Page5_BUI_MCI!$M$5/Page5_BUI_MCI!$K$5&gt;INDEX(Max_Table,L1015)))</f>
        <v>0</v>
      </c>
      <c r="D1015" s="1454" t="b">
        <f>OR(AND(Page5_BUI_MCI!$L5&lt;&gt;0,Page5_BUI_MCI!$M5=0),AND(Page5_BUI_MCI!$M5&lt;&gt;0,Page5_BUI_MCI!$L5=0))</f>
        <v>0</v>
      </c>
      <c r="E1015" s="1454" t="b">
        <f>IF(Page5_BUI_MCI!$K$5=0,FALSE,OR(Page5_BUI_MCI!$M$5/Page5_BUI_MCI!$K$5&lt;INDEX(Min_Table,M1015),Page5_BUI_MCI!$M$5/Page5_BUI_MCI!$K$5&gt;INDEX(Max_Table,M1015)))</f>
        <v>0</v>
      </c>
      <c r="F1015" s="1454"/>
      <c r="G1015" s="1444" t="str">
        <f t="shared" si="129"/>
        <v/>
      </c>
      <c r="H1015" s="1447" t="str">
        <f>IF(C1015=TRUE,Comments!$B$20&amp;DOLLAR(INDEX(Min_Table,L1015),0)&amp;Comments!$B$18&amp;DOLLAR(INDEX(Max_Table,L1015),0)&amp;Comments!$B$19&amp;DOLLAR(Page5_BUI_MCI!$M$5/Page5_BUI_MCI!$K$5,0),"")</f>
        <v/>
      </c>
      <c r="I1015" s="1446" t="str">
        <f>IF(D1015=TRUE,Comments!$B$24,"")</f>
        <v/>
      </c>
      <c r="J1015" s="1446" t="str">
        <f>IF(E1015=TRUE,Comments!$B$22&amp;DOLLAR(INDEX(Min_Table,M1015),0)&amp;Comments!$B$18&amp;DOLLAR(INDEX(Max_Table,M1015),0)&amp;Comments!$B$19&amp;IFERROR(DOLLAR(Page5_BUI_MCI!$M$5/Page5_BUI_MCI!$K$5,0),0),"")</f>
        <v/>
      </c>
      <c r="K1015" s="1452"/>
      <c r="L1015" s="611">
        <f>ROW(OR_VEH!$A$667)</f>
        <v>667</v>
      </c>
      <c r="M1015" s="611">
        <f>ROW(OR_VEH!$A$154)</f>
        <v>154</v>
      </c>
      <c r="N1015" s="611" t="str">
        <f>"CPTE # "&amp;Page5_BUI_MCI!$E$5&amp;"  "&amp;Page5_BUI_MCI!$C$5&amp;" - COÛT DES VENTES - AAD"</f>
        <v>CPTE # 401D  LACROSSE - COÛT DES VENTES - AAD</v>
      </c>
      <c r="O1015" s="611" t="str">
        <f t="shared" si="137"/>
        <v/>
      </c>
      <c r="P1015" s="611" t="str">
        <f t="shared" si="130"/>
        <v>Page5_BUI_MCI!M</v>
      </c>
      <c r="Q1015" s="611">
        <f t="shared" si="131"/>
        <v>5</v>
      </c>
      <c r="R1015" s="1447">
        <f t="shared" ca="1" si="132"/>
        <v>0</v>
      </c>
      <c r="S1015" s="1447">
        <f t="shared" ca="1" si="133"/>
        <v>0</v>
      </c>
      <c r="T1015" s="611">
        <v>22</v>
      </c>
      <c r="V1015" s="2557" t="str">
        <f t="shared" ca="1" si="134"/>
        <v/>
      </c>
      <c r="W1015" s="611" t="str">
        <f t="shared" ca="1" si="135"/>
        <v>Page5_BUI_MCI, Ligne 2 [Page5_BUI_MCI!M5]  -</v>
      </c>
    </row>
    <row r="1016" spans="1:23">
      <c r="A1016" s="1443" t="str">
        <f>celladdr(Page5_BUI_MCI!M6)</f>
        <v>Page5_BUI_MCI!M6</v>
      </c>
      <c r="B1016" s="1456" t="s">
        <v>1086</v>
      </c>
      <c r="C1016" s="1451" t="b">
        <f>IF(Page5_BUI_MCI!$K$6=0,FALSE,OR(Page5_BUI_MCI!$M$6/Page5_BUI_MCI!$K$6&lt;INDEX(Min_Table,L1016),Page5_BUI_MCI!$M$6/Page5_BUI_MCI!$K$6&gt;INDEX(Max_Table,L1016)))</f>
        <v>0</v>
      </c>
      <c r="D1016" s="1454" t="b">
        <f>OR(AND(Page5_BUI_MCI!$L6&lt;&gt;0,Page5_BUI_MCI!$M6=0),AND(Page5_BUI_MCI!$M6&lt;&gt;0,Page5_BUI_MCI!$L6=0))</f>
        <v>0</v>
      </c>
      <c r="E1016" s="1454" t="b">
        <f>IF(Page5_BUI_MCI!$K$6=0,FALSE,OR(Page5_BUI_MCI!$M$6/Page5_BUI_MCI!$K$6&lt;INDEX(Min_Table,M1016),Page5_BUI_MCI!$M$6/Page5_BUI_MCI!$K$6&gt;INDEX(Max_Table,M1016)))</f>
        <v>0</v>
      </c>
      <c r="F1016" s="1454"/>
      <c r="G1016" s="1444" t="str">
        <f t="shared" si="129"/>
        <v/>
      </c>
      <c r="H1016" s="1447" t="str">
        <f>IF(C1016=TRUE,Comments!$B$20&amp;DOLLAR(INDEX(Min_Table,L1016),0)&amp;Comments!$B$18&amp;DOLLAR(INDEX(Max_Table,L1016),0)&amp;Comments!$B$19&amp;DOLLAR(Page5_BUI_MCI!$M$6/Page5_BUI_MCI!$K$6,0),"")</f>
        <v/>
      </c>
      <c r="I1016" s="1446" t="str">
        <f>IF(D1016=TRUE,Comments!$B$24,"")</f>
        <v/>
      </c>
      <c r="J1016" s="1446" t="str">
        <f>IF(E1016=TRUE,Comments!$B$22&amp;DOLLAR(INDEX(Min_Table,M1016),0)&amp;Comments!$B$18&amp;DOLLAR(INDEX(Max_Table,M1016),0)&amp;Comments!$B$19&amp;IFERROR(DOLLAR(Page5_BUI_MCI!$M$6/Page5_BUI_MCI!$K$6,0),0),"")</f>
        <v/>
      </c>
      <c r="K1016" s="1452"/>
      <c r="L1016" s="611">
        <f>ROW(OR_VEH!$A$667)</f>
        <v>667</v>
      </c>
      <c r="M1016" s="611">
        <f>ROW(OR_VEH!$A$155)</f>
        <v>155</v>
      </c>
      <c r="N1016" s="611" t="str">
        <f>"CPTE # "&amp;Page5_BUI_MCI!$E$6&amp;"  "&amp;Page5_BUI_MCI!$C$6&amp;" - COÛT DES VENTES - AAD"</f>
        <v>CPTE # 402D  VERANO - COÛT DES VENTES - AAD</v>
      </c>
      <c r="O1016" s="611" t="str">
        <f t="shared" si="137"/>
        <v/>
      </c>
      <c r="P1016" s="611" t="str">
        <f t="shared" si="130"/>
        <v>Page5_BUI_MCI!M</v>
      </c>
      <c r="Q1016" s="611">
        <f t="shared" si="131"/>
        <v>6</v>
      </c>
      <c r="R1016" s="1447">
        <f t="shared" ca="1" si="132"/>
        <v>0</v>
      </c>
      <c r="S1016" s="1447">
        <f t="shared" ca="1" si="133"/>
        <v>0</v>
      </c>
      <c r="T1016" s="611">
        <v>22</v>
      </c>
      <c r="V1016" s="2557" t="str">
        <f t="shared" ca="1" si="134"/>
        <v/>
      </c>
      <c r="W1016" s="611" t="str">
        <f t="shared" ca="1" si="135"/>
        <v>Page5_BUI_MCI, Ligne 3 [Page5_BUI_MCI!M6]  -</v>
      </c>
    </row>
    <row r="1017" spans="1:23">
      <c r="A1017" s="1443" t="str">
        <f>celladdr(Page5_BUI_MCI!M7)</f>
        <v>Page5_BUI_MCI!M7</v>
      </c>
      <c r="B1017" s="1456" t="s">
        <v>1086</v>
      </c>
      <c r="C1017" s="1451" t="b">
        <f>IF(Page5_BUI_MCI!$K$7=0,FALSE,OR(Page5_BUI_MCI!$M$7/Page5_BUI_MCI!$K$7&lt;INDEX(Min_Table,L1017),Page5_BUI_MCI!$M$7/Page5_BUI_MCI!$K$7&gt;INDEX(Max_Table,L1017)))</f>
        <v>0</v>
      </c>
      <c r="D1017" s="1454" t="b">
        <f>OR(AND(Page5_BUI_MCI!$L7&lt;&gt;0,Page5_BUI_MCI!$M7=0),AND(Page5_BUI_MCI!$M7&lt;&gt;0,Page5_BUI_MCI!$L7=0))</f>
        <v>0</v>
      </c>
      <c r="E1017" s="1454" t="b">
        <f>IF(Page5_BUI_MCI!$K$7=0,FALSE,OR(Page5_BUI_MCI!$M$7/Page5_BUI_MCI!$K$7&lt;INDEX(Min_Table,M1017),Page5_BUI_MCI!$M$7/Page5_BUI_MCI!$K$7&gt;INDEX(Max_Table,M1017)))</f>
        <v>0</v>
      </c>
      <c r="F1017" s="1454"/>
      <c r="G1017" s="1444" t="str">
        <f t="shared" si="129"/>
        <v/>
      </c>
      <c r="H1017" s="1447" t="str">
        <f>IF(C1017=TRUE,Comments!$B$20&amp;DOLLAR(INDEX(Min_Table,L1017),0)&amp;Comments!$B$18&amp;DOLLAR(INDEX(Max_Table,L1017),0)&amp;Comments!$B$19&amp;DOLLAR(Page5_BUI_MCI!$M$7/Page5_BUI_MCI!$K$7,0),"")</f>
        <v/>
      </c>
      <c r="I1017" s="1446" t="str">
        <f>IF(D1017=TRUE,Comments!$B$24,"")</f>
        <v/>
      </c>
      <c r="J1017" s="1446" t="str">
        <f>IF(E1017=TRUE,Comments!$B$22&amp;DOLLAR(INDEX(Min_Table,M1017),0)&amp;Comments!$B$18&amp;DOLLAR(INDEX(Max_Table,M1017),0)&amp;Comments!$B$19&amp;IFERROR(DOLLAR(Page5_BUI_MCI!$M$7/Page5_BUI_MCI!$K$7,0),0),"")</f>
        <v/>
      </c>
      <c r="K1017" s="1452"/>
      <c r="L1017" s="611">
        <f>ROW(OR_VEH!$A$667)</f>
        <v>667</v>
      </c>
      <c r="M1017" s="611">
        <f>ROW(OR_VEH!$A$156)</f>
        <v>156</v>
      </c>
      <c r="N1017" s="611" t="str">
        <f>"CPTE # "&amp;Page5_BUI_MCI!$E$7&amp;"  "&amp;Page5_BUI_MCI!$C$7&amp;" - COÛT DES VENTES - AAD"</f>
        <v>CPTE # 403D  NE PAS UTILISER - COÛT DES VENTES - AAD</v>
      </c>
      <c r="O1017" s="611" t="str">
        <f t="shared" si="137"/>
        <v/>
      </c>
      <c r="P1017" s="611" t="str">
        <f t="shared" si="130"/>
        <v>Page5_BUI_MCI!M</v>
      </c>
      <c r="Q1017" s="611">
        <f t="shared" si="131"/>
        <v>7</v>
      </c>
      <c r="R1017" s="1447">
        <f t="shared" ca="1" si="132"/>
        <v>0</v>
      </c>
      <c r="S1017" s="1447">
        <f t="shared" ca="1" si="133"/>
        <v>0</v>
      </c>
      <c r="T1017" s="611">
        <v>22</v>
      </c>
      <c r="V1017" s="2557" t="str">
        <f t="shared" ca="1" si="134"/>
        <v/>
      </c>
      <c r="W1017" s="611" t="str">
        <f t="shared" ca="1" si="135"/>
        <v>Page5_BUI_MCI, Ligne 4 [Page5_BUI_MCI!M7]  -</v>
      </c>
    </row>
    <row r="1018" spans="1:23">
      <c r="A1018" s="1443" t="str">
        <f>celladdr(Page5_BUI_MCI!M8)</f>
        <v>Page5_BUI_MCI!M8</v>
      </c>
      <c r="B1018" s="1456" t="s">
        <v>1086</v>
      </c>
      <c r="C1018" s="1451" t="b">
        <f>IF(Page5_BUI_MCI!$K$8=0,FALSE,OR(Page5_BUI_MCI!$M$8/Page5_BUI_MCI!$K$8&lt;INDEX(Min_Table,L1018),Page5_BUI_MCI!$M$8/Page5_BUI_MCI!$K$8&gt;INDEX(Max_Table,L1018)))</f>
        <v>0</v>
      </c>
      <c r="D1018" s="1454" t="b">
        <f>OR(AND(Page5_BUI_MCI!$L8&lt;&gt;0,Page5_BUI_MCI!$M8=0),AND(Page5_BUI_MCI!$M8&lt;&gt;0,Page5_BUI_MCI!$L8=0))</f>
        <v>0</v>
      </c>
      <c r="E1018" s="1454" t="b">
        <f>IF(Page5_BUI_MCI!$K$8=0,FALSE,OR(Page5_BUI_MCI!$M$8/Page5_BUI_MCI!$K$8&lt;INDEX(Min_Table,M1018),Page5_BUI_MCI!$M$8/Page5_BUI_MCI!$K$8&gt;INDEX(Max_Table,M1018)))</f>
        <v>0</v>
      </c>
      <c r="F1018" s="1454"/>
      <c r="G1018" s="1444" t="str">
        <f t="shared" si="129"/>
        <v/>
      </c>
      <c r="H1018" s="1447" t="str">
        <f>IF(C1018=TRUE,Comments!$B$20&amp;DOLLAR(INDEX(Min_Table,L1018),0)&amp;Comments!$B$18&amp;DOLLAR(INDEX(Max_Table,L1018),0)&amp;Comments!$B$19&amp;DOLLAR(Page5_BUI_MCI!$M$8/Page5_BUI_MCI!$K$8,0),"")</f>
        <v/>
      </c>
      <c r="I1018" s="1446" t="str">
        <f>IF(D1018=TRUE,Comments!$B$24,"")</f>
        <v/>
      </c>
      <c r="J1018" s="1446" t="str">
        <f>IF(E1018=TRUE,Comments!$B$22&amp;DOLLAR(INDEX(Min_Table,M1018),0)&amp;Comments!$B$18&amp;DOLLAR(INDEX(Max_Table,M1018),0)&amp;Comments!$B$19&amp;IFERROR(DOLLAR(Page5_BUI_MCI!$M$8/Page5_BUI_MCI!$K$8,0),0),"")</f>
        <v/>
      </c>
      <c r="K1018" s="1452"/>
      <c r="L1018" s="611">
        <f>ROW(OR_VEH!$A$667)</f>
        <v>667</v>
      </c>
      <c r="M1018" s="611">
        <f>ROW(OR_VEH!$A$157)</f>
        <v>157</v>
      </c>
      <c r="N1018" s="611" t="str">
        <f>"CPTE # "&amp;Page5_BUI_MCI!$E$8&amp;"  "&amp;Page5_BUI_MCI!$C$8&amp;" - COÛT DES VENTES - AAD"</f>
        <v>CPTE # 404D  NE PAS UTILISER - COÛT DES VENTES - AAD</v>
      </c>
      <c r="O1018" s="611" t="str">
        <f t="shared" si="137"/>
        <v/>
      </c>
      <c r="P1018" s="611" t="str">
        <f t="shared" si="130"/>
        <v>Page5_BUI_MCI!M</v>
      </c>
      <c r="Q1018" s="611">
        <f t="shared" si="131"/>
        <v>8</v>
      </c>
      <c r="R1018" s="1447">
        <f t="shared" ca="1" si="132"/>
        <v>0</v>
      </c>
      <c r="S1018" s="1447">
        <f t="shared" ca="1" si="133"/>
        <v>0</v>
      </c>
      <c r="T1018" s="611">
        <v>22</v>
      </c>
      <c r="V1018" s="2557" t="str">
        <f t="shared" ca="1" si="134"/>
        <v/>
      </c>
      <c r="W1018" s="611" t="str">
        <f t="shared" ca="1" si="135"/>
        <v>Page5_BUI_MCI, Ligne 5 [Page5_BUI_MCI!M8]  -</v>
      </c>
    </row>
    <row r="1019" spans="1:23">
      <c r="A1019" s="1443" t="str">
        <f>celladdr(Page5_BUI_MCI!M9)</f>
        <v>Page5_BUI_MCI!M9</v>
      </c>
      <c r="B1019" s="1456" t="s">
        <v>1086</v>
      </c>
      <c r="C1019" s="1451" t="b">
        <f>IF(Page5_BUI_MCI!$K$9=0,FALSE,OR(Page5_BUI_MCI!$M$9/Page5_BUI_MCI!$K$9&lt;INDEX(Min_Table,L1019),Page5_BUI_MCI!$M$9/Page5_BUI_MCI!$K$9&gt;INDEX(Max_Table,L1019)))</f>
        <v>0</v>
      </c>
      <c r="D1019" s="1454" t="b">
        <f>OR(AND(Page5_BUI_MCI!$L9&lt;&gt;0,Page5_BUI_MCI!$M9=0),AND(Page5_BUI_MCI!$M9&lt;&gt;0,Page5_BUI_MCI!$L9=0))</f>
        <v>0</v>
      </c>
      <c r="E1019" s="1454" t="b">
        <f>IF(Page5_BUI_MCI!$K$9=0,FALSE,OR(Page5_BUI_MCI!$M$9/Page5_BUI_MCI!$K$9&lt;INDEX(Min_Table,M1019),Page5_BUI_MCI!$M$9/Page5_BUI_MCI!$K$9&gt;INDEX(Max_Table,M1019)))</f>
        <v>0</v>
      </c>
      <c r="F1019" s="1454"/>
      <c r="G1019" s="1444" t="str">
        <f t="shared" si="129"/>
        <v/>
      </c>
      <c r="H1019" s="1447" t="str">
        <f>IF(C1019=TRUE,Comments!$B$20&amp;DOLLAR(INDEX(Min_Table,L1019),0)&amp;Comments!$B$18&amp;DOLLAR(INDEX(Max_Table,L1019),0)&amp;Comments!$B$19&amp;DOLLAR(Page5_BUI_MCI!$M$9/Page5_BUI_MCI!$K$9,0),"")</f>
        <v/>
      </c>
      <c r="I1019" s="1446" t="str">
        <f>IF(D1019=TRUE,Comments!$B$24,"")</f>
        <v/>
      </c>
      <c r="J1019" s="1446" t="str">
        <f>IF(E1019=TRUE,Comments!$B$22&amp;DOLLAR(INDEX(Min_Table,M1019),0)&amp;Comments!$B$18&amp;DOLLAR(INDEX(Max_Table,M1019),0)&amp;Comments!$B$19&amp;IFERROR(DOLLAR(Page5_BUI_MCI!$M$9/Page5_BUI_MCI!$K$9,0),0),"")</f>
        <v/>
      </c>
      <c r="K1019" s="1452"/>
      <c r="L1019" s="611">
        <f>ROW(OR_VEH!$A$667)</f>
        <v>667</v>
      </c>
      <c r="M1019" s="611">
        <f>ROW(OR_VEH!$A$158)</f>
        <v>158</v>
      </c>
      <c r="N1019" s="611" t="str">
        <f>"CPTE # "&amp;Page5_BUI_MCI!$E$9&amp;"  "&amp;Page5_BUI_MCI!$C$9&amp;" - COÛT DES VENTES - AAD"</f>
        <v>CPTE # 405D  NE PAS UTILISER - COÛT DES VENTES - AAD</v>
      </c>
      <c r="O1019" s="611" t="str">
        <f t="shared" si="137"/>
        <v/>
      </c>
      <c r="P1019" s="611" t="str">
        <f t="shared" si="130"/>
        <v>Page5_BUI_MCI!M</v>
      </c>
      <c r="Q1019" s="611">
        <f t="shared" si="131"/>
        <v>9</v>
      </c>
      <c r="R1019" s="1447">
        <f t="shared" ca="1" si="132"/>
        <v>0</v>
      </c>
      <c r="S1019" s="1447">
        <f t="shared" ca="1" si="133"/>
        <v>0</v>
      </c>
      <c r="T1019" s="611">
        <v>22</v>
      </c>
      <c r="V1019" s="2557" t="str">
        <f t="shared" ca="1" si="134"/>
        <v/>
      </c>
      <c r="W1019" s="611" t="str">
        <f t="shared" ca="1" si="135"/>
        <v>Page5_BUI_MCI, Ligne 6 [Page5_BUI_MCI!M9]  -</v>
      </c>
    </row>
    <row r="1020" spans="1:23">
      <c r="A1020" s="1443" t="str">
        <f>celladdr(Page5_BUI_MCI!M10)</f>
        <v>Page5_BUI_MCI!M10</v>
      </c>
      <c r="B1020" s="1456" t="s">
        <v>1086</v>
      </c>
      <c r="C1020" s="1451" t="b">
        <f>IF(Page5_BUI_MCI!$K$10=0,FALSE,OR(Page5_BUI_MCI!$M$10/Page5_BUI_MCI!$K$10&lt;INDEX(Min_Table,L1020),Page5_BUI_MCI!$M$10/Page5_BUI_MCI!$K$10&gt;INDEX(Max_Table,L1020)))</f>
        <v>0</v>
      </c>
      <c r="D1020" s="1454" t="b">
        <f>OR(AND(Page5_BUI_MCI!$L10&lt;&gt;0,Page5_BUI_MCI!$M10=0),AND(Page5_BUI_MCI!$M10&lt;&gt;0,Page5_BUI_MCI!$L10=0))</f>
        <v>0</v>
      </c>
      <c r="E1020" s="1454" t="b">
        <f>IF(Page5_BUI_MCI!$K$10=0,FALSE,OR(Page5_BUI_MCI!$M$10/Page5_BUI_MCI!$K$10&lt;INDEX(Min_Table,M1020),Page5_BUI_MCI!$M$10/Page5_BUI_MCI!$K$10&gt;INDEX(Max_Table,M1020)))</f>
        <v>0</v>
      </c>
      <c r="F1020" s="1454"/>
      <c r="G1020" s="1444" t="str">
        <f t="shared" si="129"/>
        <v/>
      </c>
      <c r="H1020" s="1447" t="str">
        <f>IF(C1020=TRUE,Comments!$B$20&amp;DOLLAR(INDEX(Min_Table,L1020),0)&amp;Comments!$B$18&amp;DOLLAR(INDEX(Max_Table,L1020),0)&amp;Comments!$B$19&amp;DOLLAR(Page5_BUI_MCI!$M$10/Page5_BUI_MCI!$K$10,0),"")</f>
        <v/>
      </c>
      <c r="I1020" s="1446" t="str">
        <f>IF(D1020=TRUE,Comments!$B$24,"")</f>
        <v/>
      </c>
      <c r="J1020" s="1446" t="str">
        <f>IF(E1020=TRUE,Comments!$B$22&amp;DOLLAR(INDEX(Min_Table,M1020),0)&amp;Comments!$B$18&amp;DOLLAR(INDEX(Max_Table,M1020),0)&amp;Comments!$B$19&amp;IFERROR(DOLLAR(Page5_BUI_MCI!$M$10/Page5_BUI_MCI!$K$10,0),0),"")</f>
        <v/>
      </c>
      <c r="K1020" s="1452"/>
      <c r="L1020" s="611">
        <f>ROW(OR_VEH!$A$667)</f>
        <v>667</v>
      </c>
      <c r="M1020" s="611">
        <f>ROW(OR_VEH!$A$159)</f>
        <v>159</v>
      </c>
      <c r="N1020" s="611" t="str">
        <f>"CPTE # "&amp;Page5_BUI_MCI!$E$10&amp;"  "&amp;Page5_BUI_MCI!$C$10&amp;" - COÛT DES VENTES - AAD"</f>
        <v>CPTE # 406D  NE PAS UTILISER - COÛT DES VENTES - AAD</v>
      </c>
      <c r="O1020" s="611" t="str">
        <f t="shared" si="137"/>
        <v/>
      </c>
      <c r="P1020" s="611" t="str">
        <f t="shared" si="130"/>
        <v>Page5_BUI_MCI!M</v>
      </c>
      <c r="Q1020" s="611">
        <f t="shared" si="131"/>
        <v>10</v>
      </c>
      <c r="R1020" s="1447">
        <f t="shared" ca="1" si="132"/>
        <v>0</v>
      </c>
      <c r="S1020" s="1447">
        <f t="shared" ca="1" si="133"/>
        <v>0</v>
      </c>
      <c r="T1020" s="611">
        <v>22</v>
      </c>
      <c r="V1020" s="2557" t="str">
        <f t="shared" ca="1" si="134"/>
        <v/>
      </c>
      <c r="W1020" s="611" t="str">
        <f t="shared" ca="1" si="135"/>
        <v>Page5_BUI_MCI, Ligne 7 [Page5_BUI_MCI!M10]  -</v>
      </c>
    </row>
    <row r="1021" spans="1:23">
      <c r="A1021" s="1443" t="str">
        <f>celladdr(Page5_BUI_MCI!M11)</f>
        <v>Page5_BUI_MCI!M11</v>
      </c>
      <c r="B1021" s="1456" t="s">
        <v>1086</v>
      </c>
      <c r="C1021" s="1451" t="b">
        <f>IF(Page5_BUI_MCI!$K$11=0,FALSE,OR(Page5_BUI_MCI!$M$11/Page5_BUI_MCI!$K$11&lt;INDEX(Min_Table,L1021),Page5_BUI_MCI!$M$11/Page5_BUI_MCI!$K$11&gt;INDEX(Max_Table,L1021)))</f>
        <v>0</v>
      </c>
      <c r="D1021" s="1454" t="b">
        <f>OR(AND(Page5_BUI_MCI!$L11&lt;&gt;0,Page5_BUI_MCI!$M11=0),AND(Page5_BUI_MCI!$M11&lt;&gt;0,Page5_BUI_MCI!$L11=0))</f>
        <v>0</v>
      </c>
      <c r="E1021" s="1454" t="b">
        <f>IF(Page5_BUI_MCI!$K$11=0,FALSE,OR(Page5_BUI_MCI!$M$11/Page5_BUI_MCI!$K$11&lt;INDEX(Min_Table,M1021),Page5_BUI_MCI!$M$11/Page5_BUI_MCI!$K$11&gt;INDEX(Max_Table,M1021)))</f>
        <v>0</v>
      </c>
      <c r="F1021" s="1454"/>
      <c r="G1021" s="1444" t="str">
        <f t="shared" si="129"/>
        <v/>
      </c>
      <c r="H1021" s="1447" t="str">
        <f>IF(C1021=TRUE,Comments!$B$20&amp;DOLLAR(INDEX(Min_Table,L1021),0)&amp;Comments!$B$18&amp;DOLLAR(INDEX(Max_Table,L1021),0)&amp;Comments!$B$19&amp;DOLLAR(Page5_BUI_MCI!$M$11/Page5_BUI_MCI!$K$11,0),"")</f>
        <v/>
      </c>
      <c r="I1021" s="1446" t="str">
        <f>IF(D1021=TRUE,Comments!$B$24,"")</f>
        <v/>
      </c>
      <c r="J1021" s="1446" t="str">
        <f>IF(E1021=TRUE,Comments!$B$22&amp;DOLLAR(INDEX(Min_Table,M1021),0)&amp;Comments!$B$18&amp;DOLLAR(INDEX(Max_Table,M1021),0)&amp;Comments!$B$19&amp;IFERROR(DOLLAR(Page5_BUI_MCI!$M$11/Page5_BUI_MCI!$K$11,0),0),"")</f>
        <v/>
      </c>
      <c r="K1021" s="1452"/>
      <c r="L1021" s="611">
        <f>ROW(OR_VEH!$A$667)</f>
        <v>667</v>
      </c>
      <c r="M1021" s="611">
        <f>ROW(OR_VEH!$A$160)</f>
        <v>160</v>
      </c>
      <c r="N1021" s="611" t="str">
        <f>"CPTE # "&amp;Page5_BUI_MCI!$E$11&amp;"  "&amp;Page5_BUI_MCI!$C$11&amp;" - COÛT DES VENTES - AAD"</f>
        <v>CPTE # 407D  NE PAS UTILISER - COÛT DES VENTES - AAD</v>
      </c>
      <c r="O1021" s="611" t="str">
        <f t="shared" si="137"/>
        <v/>
      </c>
      <c r="P1021" s="611" t="str">
        <f t="shared" si="130"/>
        <v>Page5_BUI_MCI!M</v>
      </c>
      <c r="Q1021" s="611">
        <f t="shared" si="131"/>
        <v>11</v>
      </c>
      <c r="R1021" s="1447">
        <f t="shared" ca="1" si="132"/>
        <v>0</v>
      </c>
      <c r="S1021" s="1447">
        <f t="shared" ca="1" si="133"/>
        <v>0</v>
      </c>
      <c r="T1021" s="611">
        <v>22</v>
      </c>
      <c r="V1021" s="2557" t="str">
        <f t="shared" ca="1" si="134"/>
        <v/>
      </c>
      <c r="W1021" s="611" t="str">
        <f t="shared" ca="1" si="135"/>
        <v>Page5_BUI_MCI, Ligne 8 [Page5_BUI_MCI!M11]  -</v>
      </c>
    </row>
    <row r="1022" spans="1:23">
      <c r="A1022" s="1443" t="str">
        <f>celladdr(Page5_BUI_MCI!M12)</f>
        <v>Page5_BUI_MCI!M12</v>
      </c>
      <c r="B1022" s="1456" t="s">
        <v>1086</v>
      </c>
      <c r="C1022" s="1451" t="b">
        <f>IF(Page5_BUI_MCI!$K$12=0,FALSE,OR(Page5_BUI_MCI!$M$12/Page5_BUI_MCI!$K$12&lt;INDEX(Min_Table,L1022),Page5_BUI_MCI!$M$12/Page5_BUI_MCI!$K$12&gt;INDEX(Max_Table,L1022)))</f>
        <v>0</v>
      </c>
      <c r="D1022" s="1454" t="b">
        <f>OR(AND(Page5_BUI_MCI!$L12&lt;&gt;0,Page5_BUI_MCI!$M12=0),AND(Page5_BUI_MCI!$M12&lt;&gt;0,Page5_BUI_MCI!$L12=0))</f>
        <v>0</v>
      </c>
      <c r="E1022" s="1454" t="b">
        <f>IF(Page5_BUI_MCI!$K$12=0,FALSE,OR(Page5_BUI_MCI!$M$12/Page5_BUI_MCI!$K$12&lt;INDEX(Min_Table,M1022),Page5_BUI_MCI!$M$12/Page5_BUI_MCI!$K$12&gt;INDEX(Max_Table,M1022)))</f>
        <v>0</v>
      </c>
      <c r="F1022" s="1454"/>
      <c r="G1022" s="1444" t="str">
        <f t="shared" si="129"/>
        <v/>
      </c>
      <c r="H1022" s="1447" t="str">
        <f>IF(C1022=TRUE,Comments!$B$20&amp;DOLLAR(INDEX(Min_Table,L1022),0)&amp;Comments!$B$18&amp;DOLLAR(INDEX(Max_Table,L1022),0)&amp;Comments!$B$19&amp;DOLLAR(Page5_BUI_MCI!$M$12/Page5_BUI_MCI!$K$12,0),"")</f>
        <v/>
      </c>
      <c r="I1022" s="1446" t="str">
        <f>IF(D1022=TRUE,Comments!$B$24,"")</f>
        <v/>
      </c>
      <c r="J1022" s="1446" t="str">
        <f>IF(E1022=TRUE,Comments!$B$22&amp;DOLLAR(INDEX(Min_Table,M1022),0)&amp;Comments!$B$18&amp;DOLLAR(INDEX(Max_Table,M1022),0)&amp;Comments!$B$19&amp;IFERROR(DOLLAR(Page5_BUI_MCI!$M$12/Page5_BUI_MCI!$K$12,0),0),"")</f>
        <v/>
      </c>
      <c r="K1022" s="1452"/>
      <c r="L1022" s="611">
        <f>ROW(OR_VEH!$A$667)</f>
        <v>667</v>
      </c>
      <c r="M1022" s="611">
        <f>ROW(OR_VEH!$A$161)</f>
        <v>161</v>
      </c>
      <c r="N1022" s="611" t="str">
        <f>"CPTE # "&amp;Page5_BUI_MCI!$E$12&amp;"  "&amp;Page5_BUI_MCI!$C$12&amp;" - COÛT DES VENTES - AAD"</f>
        <v>CPTE # 408D  NE PAS UTILISER - COÛT DES VENTES - AAD</v>
      </c>
      <c r="O1022" s="611" t="str">
        <f t="shared" si="137"/>
        <v/>
      </c>
      <c r="P1022" s="611" t="str">
        <f t="shared" si="130"/>
        <v>Page5_BUI_MCI!M</v>
      </c>
      <c r="Q1022" s="611">
        <f t="shared" si="131"/>
        <v>12</v>
      </c>
      <c r="R1022" s="1447">
        <f t="shared" ca="1" si="132"/>
        <v>0</v>
      </c>
      <c r="S1022" s="1447">
        <f t="shared" ca="1" si="133"/>
        <v>0</v>
      </c>
      <c r="T1022" s="611">
        <v>22</v>
      </c>
      <c r="V1022" s="2557" t="str">
        <f t="shared" ca="1" si="134"/>
        <v/>
      </c>
      <c r="W1022" s="611" t="str">
        <f t="shared" ca="1" si="135"/>
        <v>Page5_BUI_MCI, Ligne 9 [Page5_BUI_MCI!M12]  -</v>
      </c>
    </row>
    <row r="1023" spans="1:23">
      <c r="A1023" s="1443" t="str">
        <f>celladdr(Page5_BUI_MCI!M13)</f>
        <v>Page5_BUI_MCI!M13</v>
      </c>
      <c r="B1023" s="1456" t="s">
        <v>1086</v>
      </c>
      <c r="C1023" s="1451" t="b">
        <f>IF(Page5_BUI_MCI!$K$13=0,FALSE,OR(Page5_BUI_MCI!$M$13/Page5_BUI_MCI!$K$13&lt;INDEX(Min_Table,L1023),Page5_BUI_MCI!$M$13/Page5_BUI_MCI!$K$13&gt;INDEX(Max_Table,L1023)))</f>
        <v>0</v>
      </c>
      <c r="D1023" s="1454" t="b">
        <f>OR(AND(Page5_BUI_MCI!$L13&lt;&gt;0,Page5_BUI_MCI!$M13=0),AND(Page5_BUI_MCI!$M13&lt;&gt;0,Page5_BUI_MCI!$L13=0))</f>
        <v>0</v>
      </c>
      <c r="E1023" s="1454" t="b">
        <f>IF(Page5_BUI_MCI!$K$13=0,FALSE,OR(Page5_BUI_MCI!$M$13/Page5_BUI_MCI!$K$13&lt;INDEX(Min_Table,M1023),Page5_BUI_MCI!$M$13/Page5_BUI_MCI!$K$13&gt;INDEX(Max_Table,M1023)))</f>
        <v>0</v>
      </c>
      <c r="F1023" s="1454"/>
      <c r="G1023" s="1444" t="str">
        <f t="shared" si="129"/>
        <v/>
      </c>
      <c r="H1023" s="1447" t="str">
        <f>IF(C1023=TRUE,Comments!$B$20&amp;DOLLAR(INDEX(Min_Table,L1023),0)&amp;Comments!$B$18&amp;DOLLAR(INDEX(Max_Table,L1023),0)&amp;Comments!$B$19&amp;DOLLAR(Page5_BUI_MCI!$M$13/Page5_BUI_MCI!$K$13,0),"")</f>
        <v/>
      </c>
      <c r="I1023" s="1446" t="str">
        <f>IF(D1023=TRUE,Comments!$B$24,"")</f>
        <v/>
      </c>
      <c r="J1023" s="1446" t="str">
        <f>IF(E1023=TRUE,Comments!$B$22&amp;DOLLAR(INDEX(Min_Table,M1023),0)&amp;Comments!$B$18&amp;DOLLAR(INDEX(Max_Table,M1023),0)&amp;Comments!$B$19&amp;IFERROR(DOLLAR(Page5_BUI_MCI!$M$13/Page5_BUI_MCI!$K$13,0),0),"")</f>
        <v/>
      </c>
      <c r="K1023" s="1452"/>
      <c r="L1023" s="611">
        <f>ROW(OR_VEH!$A$667)</f>
        <v>667</v>
      </c>
      <c r="M1023" s="611">
        <f>ROW(OR_VEH!$A$162)</f>
        <v>162</v>
      </c>
      <c r="N1023" s="611" t="str">
        <f>"CPTE # "&amp;Page5_BUI_MCI!$E$13&amp;"  "&amp;Page5_BUI_MCI!$C$13&amp;" - COÛT DES VENTES - AAD"</f>
        <v>CPTE # 409D  NE PAS UTILISER - COÛT DES VENTES - AAD</v>
      </c>
      <c r="O1023" s="611" t="str">
        <f t="shared" si="137"/>
        <v/>
      </c>
      <c r="P1023" s="611" t="str">
        <f t="shared" si="130"/>
        <v>Page5_BUI_MCI!M</v>
      </c>
      <c r="Q1023" s="611">
        <f t="shared" si="131"/>
        <v>13</v>
      </c>
      <c r="R1023" s="1447">
        <f t="shared" ca="1" si="132"/>
        <v>0</v>
      </c>
      <c r="S1023" s="1447">
        <f t="shared" ca="1" si="133"/>
        <v>0</v>
      </c>
      <c r="T1023" s="611">
        <v>22</v>
      </c>
      <c r="V1023" s="2557" t="str">
        <f t="shared" ca="1" si="134"/>
        <v/>
      </c>
      <c r="W1023" s="611" t="str">
        <f t="shared" ca="1" si="135"/>
        <v>Page5_BUI_MCI, Ligne 10 [Page5_BUI_MCI!M13]  -</v>
      </c>
    </row>
    <row r="1024" spans="1:23">
      <c r="A1024" s="1443" t="str">
        <f>celladdr(Page5_BUI_MCI!M14)</f>
        <v>Page5_BUI_MCI!M14</v>
      </c>
      <c r="B1024" s="1456" t="s">
        <v>1086</v>
      </c>
      <c r="C1024" s="1451" t="b">
        <f>IF(Page5_BUI_MCI!$K$14=0,FALSE,OR(Page5_BUI_MCI!$M$14/Page5_BUI_MCI!$K$14&lt;INDEX(Min_Table,L1024),Page5_BUI_MCI!$M$14/Page5_BUI_MCI!$K$14&gt;INDEX(Max_Table,L1024)))</f>
        <v>0</v>
      </c>
      <c r="D1024" s="1454" t="b">
        <f>OR(AND(Page5_BUI_MCI!$L14&lt;&gt;0,Page5_BUI_MCI!$M14=0),AND(Page5_BUI_MCI!$M14&lt;&gt;0,Page5_BUI_MCI!$L14=0))</f>
        <v>0</v>
      </c>
      <c r="E1024" s="1454" t="b">
        <f>IF(Page5_BUI_MCI!$K$14=0,FALSE,OR(Page5_BUI_MCI!$M$14/Page5_BUI_MCI!$K$14&lt;INDEX(Min_Table,M1024),Page5_BUI_MCI!$M$14/Page5_BUI_MCI!$K$14&gt;INDEX(Max_Table,M1024)))</f>
        <v>0</v>
      </c>
      <c r="F1024" s="1454"/>
      <c r="G1024" s="1444" t="str">
        <f t="shared" si="129"/>
        <v/>
      </c>
      <c r="H1024" s="1447" t="str">
        <f>IF(C1024=TRUE,Comments!$B$20&amp;DOLLAR(INDEX(Min_Table,L1024),0)&amp;Comments!$B$18&amp;DOLLAR(INDEX(Max_Table,L1024),0)&amp;Comments!$B$19&amp;DOLLAR(Page5_BUI_MCI!$M$14/Page5_BUI_MCI!$K$14,0),"")</f>
        <v/>
      </c>
      <c r="I1024" s="1446" t="str">
        <f>IF(D1024=TRUE,Comments!$B$24,"")</f>
        <v/>
      </c>
      <c r="J1024" s="1446" t="str">
        <f>IF(E1024=TRUE,Comments!$B$22&amp;DOLLAR(INDEX(Min_Table,M1024),0)&amp;Comments!$B$18&amp;DOLLAR(INDEX(Max_Table,M1024),0)&amp;Comments!$B$19&amp;IFERROR(DOLLAR(Page5_BUI_MCI!$M$14/Page5_BUI_MCI!$K$14,0),0),"")</f>
        <v/>
      </c>
      <c r="K1024" s="1452"/>
      <c r="L1024" s="611">
        <f>ROW(OR_VEH!$A$667)</f>
        <v>667</v>
      </c>
      <c r="M1024" s="611">
        <f>ROW(OR_VEH!$A$163)</f>
        <v>163</v>
      </c>
      <c r="N1024" s="611" t="str">
        <f>"CPTE # "&amp;Page5_BUI_MCI!$E$14&amp;"  "&amp;Page5_BUI_MCI!$C$14&amp;" - COÛT DES VENTES - AAD"</f>
        <v>CPTE # 410D  NE PAS UTILISER - COÛT DES VENTES - AAD</v>
      </c>
      <c r="O1024" s="611" t="str">
        <f t="shared" si="137"/>
        <v/>
      </c>
      <c r="P1024" s="611" t="str">
        <f t="shared" si="130"/>
        <v>Page5_BUI_MCI!M</v>
      </c>
      <c r="Q1024" s="611">
        <f t="shared" si="131"/>
        <v>14</v>
      </c>
      <c r="R1024" s="1447">
        <f t="shared" ca="1" si="132"/>
        <v>0</v>
      </c>
      <c r="S1024" s="1447">
        <f t="shared" ca="1" si="133"/>
        <v>0</v>
      </c>
      <c r="T1024" s="611">
        <v>22</v>
      </c>
      <c r="V1024" s="2557" t="str">
        <f t="shared" ca="1" si="134"/>
        <v/>
      </c>
      <c r="W1024" s="611" t="str">
        <f t="shared" ca="1" si="135"/>
        <v>Page5_BUI_MCI, Ligne 11 [Page5_BUI_MCI!M14]  -</v>
      </c>
    </row>
    <row r="1025" spans="1:23">
      <c r="A1025" s="1443" t="str">
        <f>celladdr(Page5_BUI_MCI!M15)</f>
        <v>Page5_BUI_MCI!M15</v>
      </c>
      <c r="B1025" s="1456" t="s">
        <v>1086</v>
      </c>
      <c r="C1025" s="1451" t="b">
        <f>IF(Page5_BUI_MCI!$K$15=0,FALSE,OR(Page5_BUI_MCI!$M$15/Page5_BUI_MCI!$K$15&lt;INDEX(Min_Table,L1025),Page5_BUI_MCI!$M$15/Page5_BUI_MCI!$K$15&gt;INDEX(Max_Table,L1025)))</f>
        <v>0</v>
      </c>
      <c r="D1025" s="1454" t="b">
        <f>OR(AND(Page5_BUI_MCI!$L15&lt;&gt;0,Page5_BUI_MCI!$M15=0),AND(Page5_BUI_MCI!$M15&lt;&gt;0,Page5_BUI_MCI!$L15=0))</f>
        <v>0</v>
      </c>
      <c r="E1025" s="1454" t="b">
        <f>IF(Page5_BUI_MCI!$K$15=0,FALSE,OR(Page5_BUI_MCI!$M$15/Page5_BUI_MCI!$K$15&lt;INDEX(Min_Table,M1025),Page5_BUI_MCI!$M$15/Page5_BUI_MCI!$K$15&gt;INDEX(Max_Table,M1025)))</f>
        <v>0</v>
      </c>
      <c r="F1025" s="1454"/>
      <c r="G1025" s="1444" t="str">
        <f t="shared" si="129"/>
        <v/>
      </c>
      <c r="H1025" s="1447" t="str">
        <f>IF(C1025=TRUE,Comments!$B$20&amp;DOLLAR(INDEX(Min_Table,L1025),0)&amp;Comments!$B$18&amp;DOLLAR(INDEX(Max_Table,L1025),0)&amp;Comments!$B$19&amp;DOLLAR(Page5_BUI_MCI!$M$15/Page5_BUI_MCI!$K$15,0),"")</f>
        <v/>
      </c>
      <c r="I1025" s="1446" t="str">
        <f>IF(D1025=TRUE,Comments!$B$24,"")</f>
        <v/>
      </c>
      <c r="J1025" s="1446" t="str">
        <f>IF(E1025=TRUE,Comments!$B$22&amp;DOLLAR(INDEX(Min_Table,M1025),0)&amp;Comments!$B$18&amp;DOLLAR(INDEX(Max_Table,M1025),0)&amp;Comments!$B$19&amp;IFERROR(DOLLAR(Page5_BUI_MCI!$M$15/Page5_BUI_MCI!$K$15,0),0),"")</f>
        <v/>
      </c>
      <c r="K1025" s="1452"/>
      <c r="L1025" s="611">
        <f>ROW(OR_VEH!$A$667)</f>
        <v>667</v>
      </c>
      <c r="M1025" s="611">
        <f>ROW(OR_VEH!$A$164)</f>
        <v>164</v>
      </c>
      <c r="N1025" s="611" t="str">
        <f>"CPTE # "&amp;Page5_BUI_MCI!$E$15&amp;"  "&amp;Page5_BUI_MCI!$C$15&amp;" - COÛT DES VENTES - AAD"</f>
        <v>CPTE # 411D  NE PAS UTILISER - COÛT DES VENTES - AAD</v>
      </c>
      <c r="O1025" s="611" t="str">
        <f t="shared" si="137"/>
        <v/>
      </c>
      <c r="P1025" s="611" t="str">
        <f t="shared" si="130"/>
        <v>Page5_BUI_MCI!M</v>
      </c>
      <c r="Q1025" s="611">
        <f t="shared" si="131"/>
        <v>15</v>
      </c>
      <c r="R1025" s="1447">
        <f t="shared" ca="1" si="132"/>
        <v>0</v>
      </c>
      <c r="S1025" s="1447">
        <f t="shared" ca="1" si="133"/>
        <v>0</v>
      </c>
      <c r="T1025" s="611">
        <v>22</v>
      </c>
      <c r="V1025" s="2557" t="str">
        <f t="shared" ca="1" si="134"/>
        <v/>
      </c>
      <c r="W1025" s="611" t="str">
        <f t="shared" ca="1" si="135"/>
        <v>Page5_BUI_MCI, Ligne 12 [Page5_BUI_MCI!M15]  -</v>
      </c>
    </row>
    <row r="1026" spans="1:23">
      <c r="A1026" s="1443" t="str">
        <f>celladdr(Page5_BUI_MCI!M16)</f>
        <v>Page5_BUI_MCI!M16</v>
      </c>
      <c r="B1026" s="1456" t="s">
        <v>1086</v>
      </c>
      <c r="C1026" s="1451" t="b">
        <f>IF(Page5_BUI_MCI!$K$16=0,FALSE,OR(Page5_BUI_MCI!$M$16/Page5_BUI_MCI!$K$16&lt;INDEX(Min_Table,L1026),Page5_BUI_MCI!$M$16/Page5_BUI_MCI!$K$16&gt;INDEX(Max_Table,L1026)))</f>
        <v>0</v>
      </c>
      <c r="D1026" s="1454" t="b">
        <f>OR(AND(Page5_BUI_MCI!$L16&lt;&gt;0,Page5_BUI_MCI!$M16=0),AND(Page5_BUI_MCI!$M16&lt;&gt;0,Page5_BUI_MCI!$L16=0))</f>
        <v>0</v>
      </c>
      <c r="E1026" s="1454" t="b">
        <f>IF(Page5_BUI_MCI!$K$16=0,FALSE,OR(Page5_BUI_MCI!$M$16/Page5_BUI_MCI!$K$16&lt;INDEX(Min_Table,M1026),Page5_BUI_MCI!$M$16/Page5_BUI_MCI!$K$16&gt;INDEX(Max_Table,M1026)))</f>
        <v>0</v>
      </c>
      <c r="F1026" s="1454"/>
      <c r="G1026" s="1444" t="str">
        <f t="shared" ref="G1026:G1089" si="138">IF(H1026&amp;I1026&amp;J1026&amp;K1026&lt;&gt;"","No.de ref. du commentaire.: "&amp;W1026&amp;" "&amp;N1026&amp;" "&amp;H1026&amp;I1026&amp;IF(OR(C1026=TRUE,D1026=TRUE),"",J1026&amp;K1026&amp;V1026),"")</f>
        <v/>
      </c>
      <c r="H1026" s="1447" t="str">
        <f>IF(C1026=TRUE,Comments!$B$20&amp;DOLLAR(INDEX(Min_Table,L1026),0)&amp;Comments!$B$18&amp;DOLLAR(INDEX(Max_Table,L1026),0)&amp;Comments!$B$19&amp;DOLLAR(Page5_BUI_MCI!$M$16/Page5_BUI_MCI!$K$16,0),"")</f>
        <v/>
      </c>
      <c r="I1026" s="1446" t="str">
        <f>IF(D1026=TRUE,Comments!$B$24,"")</f>
        <v/>
      </c>
      <c r="J1026" s="1446" t="str">
        <f>IF(E1026=TRUE,Comments!$B$22&amp;DOLLAR(INDEX(Min_Table,M1026),0)&amp;Comments!$B$18&amp;DOLLAR(INDEX(Max_Table,M1026),0)&amp;Comments!$B$19&amp;IFERROR(DOLLAR(Page5_BUI_MCI!$M$16/Page5_BUI_MCI!$K$16,0),0),"")</f>
        <v/>
      </c>
      <c r="K1026" s="1452"/>
      <c r="L1026" s="611">
        <f>ROW(OR_VEH!$A$667)</f>
        <v>667</v>
      </c>
      <c r="M1026" s="611">
        <f>ROW(OR_VEH!$A$165)</f>
        <v>165</v>
      </c>
      <c r="N1026" s="611" t="str">
        <f>"CPTE # "&amp;Page5_BUI_MCI!$E$16&amp;"  "&amp;Page5_BUI_MCI!$C$16&amp;" - COÛT DES VENTES - AAD"</f>
        <v>CPTE # 412D  NE PAS UTILISER - COÛT DES VENTES - AAD</v>
      </c>
      <c r="O1026" s="611" t="str">
        <f t="shared" si="137"/>
        <v/>
      </c>
      <c r="P1026" s="611" t="str">
        <f t="shared" ref="P1026:P1089" si="139">LEFT(A1026,FIND("!",A1026)+1)</f>
        <v>Page5_BUI_MCI!M</v>
      </c>
      <c r="Q1026" s="611">
        <f t="shared" ref="Q1026:Q1089" si="140">VALUE(RIGHT(A1026,LEN(A1026)-FIND("!",A1026)-1))</f>
        <v>16</v>
      </c>
      <c r="R1026" s="1447">
        <f t="shared" ref="R1026:R1089" ca="1" si="141">IF(E1026=TRUE,INDIRECT("Comments!$D$"&amp;T1026),0)</f>
        <v>0</v>
      </c>
      <c r="S1026" s="1447">
        <f t="shared" ref="S1026:S1089" ca="1" si="142">IF(F1026=TRUE,INDIRECT("Comments!$D$"&amp;U1026),0)</f>
        <v>0</v>
      </c>
      <c r="T1026" s="611">
        <v>22</v>
      </c>
      <c r="V1026" s="2557" t="str">
        <f t="shared" ref="V1026:V1089" ca="1" si="143">IF(SUM(R1026+S1026)=0,"","
*** "&amp;TEXT(SUM(R1026+S1026),"0,0")&amp;" Points de précision seront déduits suite à cette(ces) erreur(s) !")</f>
        <v/>
      </c>
      <c r="W1026" s="611" t="str">
        <f t="shared" ref="W1026:W1089" ca="1" si="144">LEFT(A1026,FIND("!",A1026,1)-1)&amp;", Ligne "&amp;INDIRECT(ADDRESS(ROW(INDIRECT(A1026)),IF(INDIRECT(ADDRESS(ROW(INDIRECT(A1026)),1,,,LEFT(A1026,FIND("!",A1026,1)-1)))="",2,1),,,LEFT(A1026,FIND("!",A1026,1)-1)))&amp;" ["&amp;A1026&amp;"] "&amp;" -"</f>
        <v>Page5_BUI_MCI, Ligne 13 [Page5_BUI_MCI!M16]  -</v>
      </c>
    </row>
    <row r="1027" spans="1:23">
      <c r="A1027" s="1443" t="str">
        <f>celladdr(Page5_BUI_MCI!M17)</f>
        <v>Page5_BUI_MCI!M17</v>
      </c>
      <c r="B1027" s="1456" t="s">
        <v>1086</v>
      </c>
      <c r="C1027" s="1451" t="b">
        <f>IF(Page5_BUI_MCI!$K$17=0,FALSE,OR(Page5_BUI_MCI!$M$17/Page5_BUI_MCI!$K$17&lt;INDEX(Min_Table,L1027),Page5_BUI_MCI!$M$17/Page5_BUI_MCI!$K$17&gt;INDEX(Max_Table,L1027)))</f>
        <v>0</v>
      </c>
      <c r="D1027" s="1454" t="b">
        <f>OR(AND(Page5_BUI_MCI!$L17&lt;&gt;0,Page5_BUI_MCI!$M17=0),AND(Page5_BUI_MCI!$M17&lt;&gt;0,Page5_BUI_MCI!$L17=0))</f>
        <v>0</v>
      </c>
      <c r="E1027" s="1454" t="b">
        <f>IF(Page5_BUI_MCI!$K$17=0,FALSE,OR(Page5_BUI_MCI!$M$17/Page5_BUI_MCI!$K$17&lt;INDEX(Min_Table,M1027),Page5_BUI_MCI!$M$17/Page5_BUI_MCI!$K$17&gt;INDEX(Max_Table,M1027)))</f>
        <v>0</v>
      </c>
      <c r="F1027" s="1454"/>
      <c r="G1027" s="1444" t="str">
        <f t="shared" si="138"/>
        <v/>
      </c>
      <c r="H1027" s="1447" t="str">
        <f>IF(C1027=TRUE,Comments!$B$20&amp;DOLLAR(INDEX(Min_Table,L1027),0)&amp;Comments!$B$18&amp;DOLLAR(INDEX(Max_Table,L1027),0)&amp;Comments!$B$19&amp;DOLLAR(Page5_BUI_MCI!$M$17/Page5_BUI_MCI!$K$17,0),"")</f>
        <v/>
      </c>
      <c r="I1027" s="1446" t="str">
        <f>IF(D1027=TRUE,Comments!$B$24,"")</f>
        <v/>
      </c>
      <c r="J1027" s="1446" t="str">
        <f>IF(E1027=TRUE,Comments!$B$22&amp;DOLLAR(INDEX(Min_Table,M1027),0)&amp;Comments!$B$18&amp;DOLLAR(INDEX(Max_Table,M1027),0)&amp;Comments!$B$19&amp;IFERROR(DOLLAR(Page5_BUI_MCI!$M$17/Page5_BUI_MCI!$K$17,0),0),"")</f>
        <v/>
      </c>
      <c r="K1027" s="1452"/>
      <c r="L1027" s="611">
        <f>ROW(OR_VEH!$A$667)</f>
        <v>667</v>
      </c>
      <c r="M1027" s="611">
        <f>ROW(OR_VEH!$A$166)</f>
        <v>166</v>
      </c>
      <c r="N1027" s="611" t="str">
        <f>"CPTE # "&amp;Page5_BUI_MCI!$E$17&amp;"  "&amp;Page5_BUI_MCI!$C$17&amp;" - COÛT DES VENTES - AAD"</f>
        <v>CPTE # 413D  NE PAS UTILISER - COÛT DES VENTES - AAD</v>
      </c>
      <c r="O1027" s="611" t="str">
        <f t="shared" si="137"/>
        <v/>
      </c>
      <c r="P1027" s="611" t="str">
        <f t="shared" si="139"/>
        <v>Page5_BUI_MCI!M</v>
      </c>
      <c r="Q1027" s="611">
        <f t="shared" si="140"/>
        <v>17</v>
      </c>
      <c r="R1027" s="1447">
        <f t="shared" ca="1" si="141"/>
        <v>0</v>
      </c>
      <c r="S1027" s="1447">
        <f t="shared" ca="1" si="142"/>
        <v>0</v>
      </c>
      <c r="T1027" s="611">
        <v>22</v>
      </c>
      <c r="V1027" s="2557" t="str">
        <f t="shared" ca="1" si="143"/>
        <v/>
      </c>
      <c r="W1027" s="611" t="str">
        <f t="shared" ca="1" si="144"/>
        <v>Page5_BUI_MCI, Ligne 14 [Page5_BUI_MCI!M17]  -</v>
      </c>
    </row>
    <row r="1028" spans="1:23">
      <c r="A1028" s="1443" t="str">
        <f>celladdr(Page5_BUI_MCI!M18)</f>
        <v>Page5_BUI_MCI!M18</v>
      </c>
      <c r="B1028" s="1456" t="s">
        <v>1086</v>
      </c>
      <c r="C1028" s="1451" t="b">
        <f>IF(Page5_BUI_MCI!$K$18=0,FALSE,OR(Page5_BUI_MCI!$M$18/Page5_BUI_MCI!$K$18&lt;INDEX(Min_Table,L1028),Page5_BUI_MCI!$M$18/Page5_BUI_MCI!$K$18&gt;INDEX(Max_Table,L1028)))</f>
        <v>0</v>
      </c>
      <c r="D1028" s="1454" t="b">
        <f>OR(AND(Page5_BUI_MCI!$L18&lt;&gt;0,Page5_BUI_MCI!$M18=0),AND(Page5_BUI_MCI!$M18&lt;&gt;0,Page5_BUI_MCI!$L18=0))</f>
        <v>0</v>
      </c>
      <c r="E1028" s="1454" t="b">
        <f>IF(Page5_BUI_MCI!$K$18=0,FALSE,OR(Page5_BUI_MCI!$M$18/Page5_BUI_MCI!$K$18&lt;INDEX(Min_Table,M1028),Page5_BUI_MCI!$M$18/Page5_BUI_MCI!$K$18&gt;INDEX(Max_Table,M1028)))</f>
        <v>0</v>
      </c>
      <c r="F1028" s="1454"/>
      <c r="G1028" s="1444" t="str">
        <f t="shared" si="138"/>
        <v/>
      </c>
      <c r="H1028" s="1447" t="str">
        <f>IF(C1028=TRUE,Comments!$B$20&amp;DOLLAR(INDEX(Min_Table,L1028),0)&amp;Comments!$B$18&amp;DOLLAR(INDEX(Max_Table,L1028),0)&amp;Comments!$B$19&amp;DOLLAR(Page5_BUI_MCI!$M$18/Page5_BUI_MCI!$K$18,0),"")</f>
        <v/>
      </c>
      <c r="I1028" s="1446" t="str">
        <f>IF(D1028=TRUE,Comments!$B$24,"")</f>
        <v/>
      </c>
      <c r="J1028" s="1446" t="str">
        <f>IF(E1028=TRUE,Comments!$B$22&amp;DOLLAR(INDEX(Min_Table,M1028),0)&amp;Comments!$B$18&amp;DOLLAR(INDEX(Max_Table,M1028),0)&amp;Comments!$B$19&amp;IFERROR(DOLLAR(Page5_BUI_MCI!$M$18/Page5_BUI_MCI!$K$18,0),0),"")</f>
        <v/>
      </c>
      <c r="K1028" s="1452"/>
      <c r="L1028" s="611">
        <f>ROW(OR_VEH!$A$667)</f>
        <v>667</v>
      </c>
      <c r="M1028" s="611">
        <f>ROW(OR_VEH!$A$167)</f>
        <v>167</v>
      </c>
      <c r="N1028" s="611" t="str">
        <f>"CPTE # "&amp;Page5_BUI_MCI!$E$18&amp;"  "&amp;Page5_BUI_MCI!$C$18&amp;" - COÛT DES VENTES - AAD"</f>
        <v>CPTE # 414D  NE PAS UTILISER - COÛT DES VENTES - AAD</v>
      </c>
      <c r="O1028" s="611" t="str">
        <f t="shared" si="137"/>
        <v/>
      </c>
      <c r="P1028" s="611" t="str">
        <f t="shared" si="139"/>
        <v>Page5_BUI_MCI!M</v>
      </c>
      <c r="Q1028" s="611">
        <f t="shared" si="140"/>
        <v>18</v>
      </c>
      <c r="R1028" s="1447">
        <f t="shared" ca="1" si="141"/>
        <v>0</v>
      </c>
      <c r="S1028" s="1447">
        <f t="shared" ca="1" si="142"/>
        <v>0</v>
      </c>
      <c r="T1028" s="611">
        <v>22</v>
      </c>
      <c r="V1028" s="2557" t="str">
        <f t="shared" ca="1" si="143"/>
        <v/>
      </c>
      <c r="W1028" s="611" t="str">
        <f t="shared" ca="1" si="144"/>
        <v>Page5_BUI_MCI, Ligne 15 [Page5_BUI_MCI!M18]  -</v>
      </c>
    </row>
    <row r="1029" spans="1:23">
      <c r="A1029" s="1443" t="str">
        <f>celladdr(Page5_BUI_MCI!M19)</f>
        <v>Page5_BUI_MCI!M19</v>
      </c>
      <c r="B1029" s="1456" t="s">
        <v>1086</v>
      </c>
      <c r="C1029" s="1451" t="b">
        <f>IF(Page5_BUI_MCI!$K$19=0,FALSE,OR(Page5_BUI_MCI!$M$19/Page5_BUI_MCI!$K$19&lt;INDEX(Min_Table,L1029),Page5_BUI_MCI!$M$19/Page5_BUI_MCI!$K$19&gt;INDEX(Max_Table,L1029)))</f>
        <v>0</v>
      </c>
      <c r="D1029" s="1454" t="b">
        <f>OR(AND(Page5_BUI_MCI!$L19&lt;&gt;0,Page5_BUI_MCI!$M19=0),AND(Page5_BUI_MCI!$M19&lt;&gt;0,Page5_BUI_MCI!$L19=0))</f>
        <v>0</v>
      </c>
      <c r="E1029" s="1454" t="b">
        <f>IF(Page5_BUI_MCI!$K$19=0,FALSE,OR(Page5_BUI_MCI!$M$19/Page5_BUI_MCI!$K$19&lt;INDEX(Min_Table,M1029),Page5_BUI_MCI!$M$19/Page5_BUI_MCI!$K$19&gt;INDEX(Max_Table,M1029)))</f>
        <v>0</v>
      </c>
      <c r="F1029" s="1454"/>
      <c r="G1029" s="1444" t="str">
        <f t="shared" si="138"/>
        <v/>
      </c>
      <c r="H1029" s="1447" t="str">
        <f>IF(C1029=TRUE,Comments!$B$20&amp;DOLLAR(INDEX(Min_Table,L1029),0)&amp;Comments!$B$18&amp;DOLLAR(INDEX(Max_Table,L1029),0)&amp;Comments!$B$19&amp;DOLLAR(Page5_BUI_MCI!$M$19/Page5_BUI_MCI!$K$19,0),"")</f>
        <v/>
      </c>
      <c r="I1029" s="1446" t="str">
        <f>IF(D1029=TRUE,Comments!$B$24,"")</f>
        <v/>
      </c>
      <c r="J1029" s="1446" t="str">
        <f>IF(E1029=TRUE,Comments!$B$22&amp;DOLLAR(INDEX(Min_Table,M1029),0)&amp;Comments!$B$18&amp;DOLLAR(INDEX(Max_Table,M1029),0)&amp;Comments!$B$19&amp;IFERROR(DOLLAR(Page5_BUI_MCI!$M$19/Page5_BUI_MCI!$K$19,0),0),"")</f>
        <v/>
      </c>
      <c r="K1029" s="1452"/>
      <c r="L1029" s="611">
        <f>ROW(OR_VEH!$A$667)</f>
        <v>667</v>
      </c>
      <c r="M1029" s="611">
        <f>ROW(OR_VEH!$A$168)</f>
        <v>168</v>
      </c>
      <c r="N1029" s="611" t="str">
        <f>"CPTE # "&amp;Page5_BUI_MCI!$E$19&amp;"  "&amp;Page5_BUI_MCI!$C$19&amp;" - COÛT DES VENTES - AAD"</f>
        <v>CPTE # 415D  NE PAS UTILISER - COÛT DES VENTES - AAD</v>
      </c>
      <c r="O1029" s="611" t="str">
        <f t="shared" si="137"/>
        <v/>
      </c>
      <c r="P1029" s="611" t="str">
        <f t="shared" si="139"/>
        <v>Page5_BUI_MCI!M</v>
      </c>
      <c r="Q1029" s="611">
        <f t="shared" si="140"/>
        <v>19</v>
      </c>
      <c r="R1029" s="1447">
        <f t="shared" ca="1" si="141"/>
        <v>0</v>
      </c>
      <c r="S1029" s="1447">
        <f t="shared" ca="1" si="142"/>
        <v>0</v>
      </c>
      <c r="T1029" s="611">
        <v>22</v>
      </c>
      <c r="V1029" s="2557" t="str">
        <f t="shared" ca="1" si="143"/>
        <v/>
      </c>
      <c r="W1029" s="611" t="str">
        <f t="shared" ca="1" si="144"/>
        <v>Page5_BUI_MCI, Ligne 16 [Page5_BUI_MCI!M19]  -</v>
      </c>
    </row>
    <row r="1030" spans="1:23">
      <c r="A1030" s="1443" t="str">
        <f>celladdr(Page5_BUI_MCI!M20)</f>
        <v>Page5_BUI_MCI!M20</v>
      </c>
      <c r="B1030" s="1456" t="s">
        <v>1086</v>
      </c>
      <c r="C1030" s="1451"/>
      <c r="D1030" s="1454"/>
      <c r="E1030" s="1454"/>
      <c r="F1030" s="1454"/>
      <c r="G1030" s="1444" t="str">
        <f t="shared" si="138"/>
        <v/>
      </c>
      <c r="I1030" s="1446"/>
      <c r="J1030" s="1446"/>
      <c r="K1030" s="1452"/>
      <c r="L1030" s="611">
        <f>ROW(OR_VEH!$A$667)</f>
        <v>667</v>
      </c>
      <c r="M1030" s="611">
        <f>ROW(OR_VEH!$A$169)</f>
        <v>169</v>
      </c>
      <c r="N1030" s="611" t="str">
        <f>"CPTE # "&amp;Page5_BUI_MCI!$E$20&amp;"  "&amp;Page5_BUI_MCI!$C$20&amp;" - COÛT DES VENTES - AAD"</f>
        <v>CPTE # 416D  POUR USAGE FUTUR - COÛT DES VENTES - AAD</v>
      </c>
      <c r="O1030" s="611" t="str">
        <f t="shared" si="137"/>
        <v/>
      </c>
      <c r="P1030" s="611" t="str">
        <f t="shared" si="139"/>
        <v>Page5_BUI_MCI!M</v>
      </c>
      <c r="Q1030" s="611">
        <f t="shared" si="140"/>
        <v>20</v>
      </c>
      <c r="R1030" s="1447">
        <f t="shared" ca="1" si="141"/>
        <v>0</v>
      </c>
      <c r="S1030" s="1447">
        <f t="shared" ca="1" si="142"/>
        <v>0</v>
      </c>
      <c r="T1030" s="611">
        <v>22</v>
      </c>
      <c r="V1030" s="2557" t="str">
        <f t="shared" ca="1" si="143"/>
        <v/>
      </c>
      <c r="W1030" s="611" t="str">
        <f t="shared" ca="1" si="144"/>
        <v>Page5_BUI_MCI, Ligne 17 [Page5_BUI_MCI!M20]  -</v>
      </c>
    </row>
    <row r="1031" spans="1:23">
      <c r="A1031" s="1443" t="str">
        <f>celladdr(Page5_BUI_MCI!M21)</f>
        <v>Page5_BUI_MCI!M21</v>
      </c>
      <c r="B1031" s="1456" t="s">
        <v>1086</v>
      </c>
      <c r="C1031" s="1451" t="b">
        <f>IF(Page5_BUI_MCI!$K$21=0,FALSE,OR(Page5_BUI_MCI!$M$21/Page5_BUI_MCI!$K$21&lt;INDEX(Min_Table,L1031),Page5_BUI_MCI!$M$21/Page5_BUI_MCI!$K$21&gt;INDEX(Max_Table,L1031)))</f>
        <v>0</v>
      </c>
      <c r="D1031" s="1454" t="b">
        <f>OR(AND(Page5_BUI_MCI!$L21&lt;&gt;0,Page5_BUI_MCI!$M21=0),AND(Page5_BUI_MCI!$M21&lt;&gt;0,Page5_BUI_MCI!$L21=0))</f>
        <v>0</v>
      </c>
      <c r="E1031" s="1454" t="b">
        <f>IF(Page5_BUI_MCI!$K$21=0,FALSE,OR(Page5_BUI_MCI!$M$21/Page5_BUI_MCI!$K$21&lt;INDEX(Min_Table,M1031),Page5_BUI_MCI!$M$21/Page5_BUI_MCI!$K$21&gt;INDEX(Max_Table,M1031)))</f>
        <v>0</v>
      </c>
      <c r="F1031" s="1454"/>
      <c r="G1031" s="1444" t="str">
        <f t="shared" si="138"/>
        <v/>
      </c>
      <c r="H1031" s="1447" t="str">
        <f>IF(C1031=TRUE,Comments!$B$20&amp;DOLLAR(INDEX(Min_Table,L1031),0)&amp;Comments!$B$18&amp;DOLLAR(INDEX(Max_Table,L1031),0)&amp;Comments!$B$19&amp;DOLLAR(Page5_BUI_MCI!$M$21/Page5_BUI_MCI!$K$21,0),"")</f>
        <v/>
      </c>
      <c r="I1031" s="1446" t="str">
        <f>IF(D1031=TRUE,Comments!$B$24,"")</f>
        <v/>
      </c>
      <c r="J1031" s="1446" t="str">
        <f>IF(E1031=TRUE,Comments!$B$22&amp;DOLLAR(INDEX(Min_Table,M1031),0)&amp;Comments!$B$18&amp;DOLLAR(INDEX(Max_Table,M1031),0)&amp;Comments!$B$19&amp;IFERROR(DOLLAR(Page5_BUI_MCI!$M$21/Page5_BUI_MCI!$K$21,0),0),"")</f>
        <v/>
      </c>
      <c r="K1031" s="1452"/>
      <c r="L1031" s="611">
        <f>ROW(OR_VEH!$A$667)</f>
        <v>667</v>
      </c>
      <c r="M1031" s="611">
        <f>ROW(OR_VEH!$A$170)</f>
        <v>170</v>
      </c>
      <c r="N1031" s="611" t="str">
        <f>"CPTE # "&amp;Page5_BUI_MCI!$E$21&amp;"  "&amp;Page5_BUI_MCI!$C$21&amp;" - COÛT DES VENTES - AAD"</f>
        <v>CPTE # 417D  NE PAS UTILISER - COÛT DES VENTES - AAD</v>
      </c>
      <c r="O1031" s="611" t="str">
        <f t="shared" si="137"/>
        <v/>
      </c>
      <c r="P1031" s="611" t="str">
        <f t="shared" si="139"/>
        <v>Page5_BUI_MCI!M</v>
      </c>
      <c r="Q1031" s="611">
        <f t="shared" si="140"/>
        <v>21</v>
      </c>
      <c r="R1031" s="1447">
        <f t="shared" ca="1" si="141"/>
        <v>0</v>
      </c>
      <c r="S1031" s="1447">
        <f t="shared" ca="1" si="142"/>
        <v>0</v>
      </c>
      <c r="T1031" s="611">
        <v>22</v>
      </c>
      <c r="V1031" s="2557" t="str">
        <f t="shared" ca="1" si="143"/>
        <v/>
      </c>
      <c r="W1031" s="611" t="str">
        <f t="shared" ca="1" si="144"/>
        <v>Page5_BUI_MCI, Ligne 18 [Page5_BUI_MCI!M21]  -</v>
      </c>
    </row>
    <row r="1032" spans="1:23">
      <c r="A1032" s="1443" t="str">
        <f>celladdr(Page5_BUI_MCI!M22)</f>
        <v>Page5_BUI_MCI!M22</v>
      </c>
      <c r="B1032" s="1456" t="s">
        <v>1086</v>
      </c>
      <c r="C1032" s="1451" t="b">
        <f>IF(Page5_BUI_MCI!$K$22=0,FALSE,OR(Page5_BUI_MCI!$M$22/Page5_BUI_MCI!$K$22&lt;INDEX(Min_Table,L1032),Page5_BUI_MCI!$M$22/Page5_BUI_MCI!$K$22&gt;INDEX(Max_Table,L1032)))</f>
        <v>0</v>
      </c>
      <c r="D1032" s="1454" t="b">
        <f>OR(AND(Page5_BUI_MCI!$L22&lt;&gt;0,Page5_BUI_MCI!$M22=0),AND(Page5_BUI_MCI!$M22&lt;&gt;0,Page5_BUI_MCI!$L22=0))</f>
        <v>0</v>
      </c>
      <c r="E1032" s="1454" t="b">
        <f>IF(Page5_BUI_MCI!$K$22=0,FALSE,OR(Page5_BUI_MCI!$M$22/Page5_BUI_MCI!$K$22&lt;INDEX(Min_Table,M1032),Page5_BUI_MCI!$M$22/Page5_BUI_MCI!$K$22&gt;INDEX(Max_Table,M1032)))</f>
        <v>0</v>
      </c>
      <c r="F1032" s="1454"/>
      <c r="G1032" s="1444" t="str">
        <f t="shared" si="138"/>
        <v/>
      </c>
      <c r="H1032" s="1447" t="str">
        <f>IF(C1032=TRUE,Comments!$B$20&amp;DOLLAR(INDEX(Min_Table,L1032),0)&amp;Comments!$B$18&amp;DOLLAR(INDEX(Max_Table,L1032),0)&amp;Comments!$B$19&amp;DOLLAR(Page5_BUI_MCI!$M$22/Page5_BUI_MCI!$K$22,0),"")</f>
        <v/>
      </c>
      <c r="I1032" s="1446" t="str">
        <f>IF(D1035=TRUE,Comments!$B$24,"")</f>
        <v/>
      </c>
      <c r="J1032" s="1446" t="str">
        <f>IF(E1032=TRUE,Comments!$B$22&amp;DOLLAR(INDEX(Min_Table,M1032),0)&amp;Comments!$B$18&amp;DOLLAR(INDEX(Max_Table,M1032),0)&amp;Comments!$B$19&amp;IFERROR(DOLLAR(Page5_BUI_MCI!$M$22/Page5_BUI_MCI!$K$22,0),0),"")</f>
        <v/>
      </c>
      <c r="K1032" s="1452"/>
      <c r="L1032" s="611">
        <f>ROW(OR_VEH!$A$667)</f>
        <v>667</v>
      </c>
      <c r="M1032" s="611">
        <f>ROW(OR_VEH!$A$171)</f>
        <v>171</v>
      </c>
      <c r="N1032" s="611" t="str">
        <f>"CPTE # "&amp;Page5_BUI_MCI!$E$22&amp;"  "&amp;Page5_BUI_MCI!$C$22&amp;" - COÛT DES VENTES - AAD"</f>
        <v>CPTE # 418D  AUTRES BUICK - COÛT DES VENTES - AAD</v>
      </c>
      <c r="O1032" s="611" t="str">
        <f t="shared" si="137"/>
        <v/>
      </c>
      <c r="P1032" s="611" t="str">
        <f t="shared" si="139"/>
        <v>Page5_BUI_MCI!M</v>
      </c>
      <c r="Q1032" s="611">
        <f t="shared" si="140"/>
        <v>22</v>
      </c>
      <c r="R1032" s="1447">
        <f t="shared" ca="1" si="141"/>
        <v>0</v>
      </c>
      <c r="S1032" s="1447">
        <f t="shared" ca="1" si="142"/>
        <v>0</v>
      </c>
      <c r="T1032" s="611">
        <v>22</v>
      </c>
      <c r="V1032" s="2557" t="str">
        <f t="shared" ca="1" si="143"/>
        <v/>
      </c>
      <c r="W1032" s="611" t="str">
        <f t="shared" ca="1" si="144"/>
        <v>Page5_BUI_MCI, Ligne 19 [Page5_BUI_MCI!M22]  -</v>
      </c>
    </row>
    <row r="1033" spans="1:23">
      <c r="A1033" s="1443" t="str">
        <f>celladdr(Page5_BUI_MCI!M23)</f>
        <v>Page5_BUI_MCI!M23</v>
      </c>
      <c r="B1033" s="1444" t="s">
        <v>1086</v>
      </c>
      <c r="C1033" s="1451"/>
      <c r="D1033" s="1454"/>
      <c r="E1033" s="1454"/>
      <c r="F1033" s="1454"/>
      <c r="G1033" s="1444" t="str">
        <f t="shared" si="138"/>
        <v/>
      </c>
      <c r="H1033" s="1447" t="str">
        <f>IF(C1033=TRUE,Comments!$B$26,"")</f>
        <v/>
      </c>
      <c r="I1033" s="1446" t="str">
        <f>IF(D1033=TRUE,Comments!$B$24,"")</f>
        <v/>
      </c>
      <c r="J1033" s="1446"/>
      <c r="K1033" s="1452"/>
      <c r="O1033" s="611" t="str">
        <f t="shared" si="137"/>
        <v/>
      </c>
      <c r="P1033" s="611" t="str">
        <f t="shared" si="139"/>
        <v>Page5_BUI_MCI!M</v>
      </c>
      <c r="Q1033" s="611">
        <f t="shared" si="140"/>
        <v>23</v>
      </c>
      <c r="R1033" s="1447">
        <f t="shared" ca="1" si="141"/>
        <v>0</v>
      </c>
      <c r="S1033" s="1447">
        <f t="shared" ca="1" si="142"/>
        <v>0</v>
      </c>
      <c r="V1033" s="2557" t="str">
        <f t="shared" ca="1" si="143"/>
        <v/>
      </c>
      <c r="W1033" s="611" t="str">
        <f t="shared" ca="1" si="144"/>
        <v>Page5_BUI_MCI, Ligne 20 [Page5_BUI_MCI!M23]  -</v>
      </c>
    </row>
    <row r="1034" spans="1:23">
      <c r="A1034" s="1443" t="str">
        <f>celladdr(Page5_BUI_MCI!M24)</f>
        <v>Page5_BUI_MCI!M24</v>
      </c>
      <c r="B1034" s="1456" t="s">
        <v>1086</v>
      </c>
      <c r="C1034" s="1451" t="b">
        <f>IF(Page5_BUI_MCI!$K$24=0,FALSE,OR(Page5_BUI_MCI!$M$24/Page5_BUI_MCI!$K$24&lt;INDEX(Min_Table,L1034),Page5_BUI_MCI!$M$24/Page5_BUI_MCI!$K$24&gt;INDEX(Max_Table,L1034)))</f>
        <v>0</v>
      </c>
      <c r="D1034" s="1454" t="b">
        <f>OR(AND(Page5_BUI_MCI!$L24&lt;&gt;0,Page5_BUI_MCI!$M24=0),AND(Page5_BUI_MCI!$M24&lt;&gt;0,Page5_BUI_MCI!$L24=0))</f>
        <v>0</v>
      </c>
      <c r="E1034" s="1454" t="b">
        <f>IF(Page5_BUI_MCI!$K$24=0,FALSE,OR(Page5_BUI_MCI!$M$24/Page5_BUI_MCI!$K$24&lt;INDEX(Min_Table,M1034),Page5_BUI_MCI!$M$24/Page5_BUI_MCI!$K$24&gt;INDEX(Max_Table,M1034)))</f>
        <v>0</v>
      </c>
      <c r="F1034" s="1454"/>
      <c r="G1034" s="1444" t="str">
        <f t="shared" si="138"/>
        <v/>
      </c>
      <c r="H1034" s="1447" t="str">
        <f>IF(C1034=TRUE,Comments!$B$20&amp;DOLLAR(INDEX(Min_Table,L1034),0)&amp;Comments!$B$18&amp;DOLLAR(INDEX(Max_Table,L1034),0)&amp;Comments!$B$19&amp;DOLLAR(Page5_BUI_MCI!$M$24/Page5_BUI_MCI!$K$24,0),"")</f>
        <v/>
      </c>
      <c r="I1034" s="1446" t="str">
        <f>IF(D1034=TRUE,Comments!$B$24,"")</f>
        <v/>
      </c>
      <c r="J1034" s="1446" t="str">
        <f>IF(E1034=TRUE,Comments!$B$22&amp;DOLLAR(INDEX(Min_Table,M1034),0)&amp;Comments!$B$18&amp;DOLLAR(INDEX(Max_Table,M1034),0)&amp;Comments!$B$19&amp;IFERROR(DOLLAR(Page5_BUI_MCI!$M$24/Page5_BUI_MCI!$K$24,0),0),"")</f>
        <v/>
      </c>
      <c r="K1034" s="1452"/>
      <c r="L1034" s="611">
        <f>ROW(OR_VEH!$A$667)</f>
        <v>667</v>
      </c>
      <c r="M1034" s="611">
        <f>ROW(OR_VEH!$A$173)</f>
        <v>173</v>
      </c>
      <c r="N1034" s="611" t="str">
        <f>"CPTE # "&amp;Page5_BUI_MCI!$E$24&amp;"  "&amp;Page5_BUI_MCI!$C$24&amp;" - COÛT DES VENTES - AAD"</f>
        <v>CPTE # 419D  MÉMO* VENTES INTERNET VOITURES - COÛT DES VENTES - AAD</v>
      </c>
      <c r="O1034" s="611" t="str">
        <f t="shared" si="137"/>
        <v/>
      </c>
      <c r="P1034" s="611" t="str">
        <f t="shared" si="139"/>
        <v>Page5_BUI_MCI!M</v>
      </c>
      <c r="Q1034" s="611">
        <f t="shared" si="140"/>
        <v>24</v>
      </c>
      <c r="R1034" s="1447">
        <f t="shared" ca="1" si="141"/>
        <v>0</v>
      </c>
      <c r="S1034" s="1447">
        <f t="shared" ca="1" si="142"/>
        <v>0</v>
      </c>
      <c r="T1034" s="611">
        <v>22</v>
      </c>
      <c r="V1034" s="2557" t="str">
        <f t="shared" ca="1" si="143"/>
        <v/>
      </c>
      <c r="W1034" s="611" t="str">
        <f t="shared" ca="1" si="144"/>
        <v>Page5_BUI_MCI, Ligne 21 [Page5_BUI_MCI!M24]  -</v>
      </c>
    </row>
    <row r="1035" spans="1:23">
      <c r="A1035" s="1443" t="str">
        <f>celladdr(Page5_BUI_MCI!M25)</f>
        <v>Page5_BUI_MCI!M25</v>
      </c>
      <c r="B1035" s="1456" t="s">
        <v>1086</v>
      </c>
      <c r="C1035" s="1451" t="b">
        <f>IF(Page5_BUI_MCI!$K$25=0,FALSE,OR(Page5_BUI_MCI!$M$25/Page5_BUI_MCI!$K$25&lt;INDEX(Min_Table,L1035),Page5_BUI_MCI!$M$25/Page5_BUI_MCI!$K$25&gt;INDEX(Max_Table,L1035)))</f>
        <v>0</v>
      </c>
      <c r="D1035" s="1454" t="b">
        <f>OR(AND(Page5_BUI_MCI!$L25&lt;&gt;0,Page5_BUI_MCI!$M25=0),AND(Page5_BUI_MCI!$M25&lt;&gt;0,Page5_BUI_MCI!$L25=0))</f>
        <v>0</v>
      </c>
      <c r="E1035" s="1454" t="b">
        <f>IF(Page5_BUI_MCI!$K$25=0,FALSE,OR(Page5_BUI_MCI!$M$25/Page5_BUI_MCI!$K$25&lt;INDEX(Min_Table,M1035),Page5_BUI_MCI!$M$25/Page5_BUI_MCI!$K$25&gt;INDEX(Max_Table,M1035)))</f>
        <v>0</v>
      </c>
      <c r="F1035" s="1454"/>
      <c r="G1035" s="1444" t="str">
        <f t="shared" si="138"/>
        <v/>
      </c>
      <c r="H1035" s="1447" t="str">
        <f>IF(C1035=TRUE,Comments!$B$20&amp;DOLLAR(INDEX(Min_Table,L1035),0)&amp;Comments!$B$18&amp;DOLLAR(INDEX(Max_Table,L1035),0)&amp;Comments!$B$19&amp;DOLLAR(Page5_BUI_MCI!$M$25/Page5_BUI_MCI!$K$25,0),"")</f>
        <v/>
      </c>
      <c r="I1035" s="1446" t="str">
        <f>IF(D1035=TRUE,Comments!$B$24,"")</f>
        <v/>
      </c>
      <c r="J1035" s="1446" t="str">
        <f>IF(E1035=TRUE,Comments!$B$22&amp;DOLLAR(INDEX(Min_Table,M1035),0)&amp;Comments!$B$18&amp;DOLLAR(INDEX(Max_Table,M1035),0)&amp;Comments!$B$19&amp;IFERROR(DOLLAR(Page5_BUI_MCI!$M$25/Page5_BUI_MCI!$K$25,0),0),"")</f>
        <v/>
      </c>
      <c r="K1035" s="1452"/>
      <c r="L1035" s="611">
        <f>ROW(OR_VEH!$A$667)</f>
        <v>667</v>
      </c>
      <c r="M1035" s="611">
        <f>ROW(OR_VEH!$A$174)</f>
        <v>174</v>
      </c>
      <c r="N1035" s="611" t="str">
        <f>"CPTE # "&amp;Page5_BUI_MCI!$E$25&amp;"  "&amp;Page5_BUI_MCI!$C$25&amp;" - COÛT DES VENTES - AAD"</f>
        <v>CPTE # DE PG PARCS  TOTAL PARCS - VOITURES - COÛT DES VENTES - AAD</v>
      </c>
      <c r="O1035" s="611" t="str">
        <f t="shared" si="137"/>
        <v/>
      </c>
      <c r="P1035" s="611" t="str">
        <f t="shared" si="139"/>
        <v>Page5_BUI_MCI!M</v>
      </c>
      <c r="Q1035" s="611">
        <f t="shared" si="140"/>
        <v>25</v>
      </c>
      <c r="R1035" s="1447">
        <f t="shared" ca="1" si="141"/>
        <v>0</v>
      </c>
      <c r="S1035" s="1447">
        <f t="shared" ca="1" si="142"/>
        <v>0</v>
      </c>
      <c r="T1035" s="611">
        <v>22</v>
      </c>
      <c r="V1035" s="2557" t="str">
        <f t="shared" ca="1" si="143"/>
        <v/>
      </c>
      <c r="W1035" s="611" t="str">
        <f t="shared" ca="1" si="144"/>
        <v>Page5_BUI_MCI, Ligne 22 [Page5_BUI_MCI!M25]  -</v>
      </c>
    </row>
    <row r="1036" spans="1:23">
      <c r="A1036" s="1443" t="str">
        <f>celladdr(Page5_BUI_MCI!M26)</f>
        <v>Page5_BUI_MCI!M26</v>
      </c>
      <c r="B1036" s="1456" t="s">
        <v>1086</v>
      </c>
      <c r="C1036" s="1451" t="b">
        <f>IF(Page5_BUI_MCI!$K$26=0,FALSE,OR(Page5_BUI_MCI!$M$26/Page5_BUI_MCI!$K$26&lt;INDEX(Min_Table,L1036),Page5_BUI_MCI!$M$26/Page5_BUI_MCI!$K$26&gt;INDEX(Max_Table,L1036)))</f>
        <v>0</v>
      </c>
      <c r="D1036" s="1454" t="b">
        <f>OR(AND(Page5_BUI_MCI!$L26&lt;&gt;0,Page5_BUI_MCI!$M26=0),AND(Page5_BUI_MCI!$M26&lt;&gt;0,Page5_BUI_MCI!$L26=0))</f>
        <v>0</v>
      </c>
      <c r="E1036" s="1454" t="b">
        <f>IF(Page5_BUI_MCI!$K$26=0,FALSE,OR(Page5_BUI_MCI!$M$26/Page5_BUI_MCI!$K$26&lt;INDEX(Min_Table,M1036),Page5_BUI_MCI!$M$26/Page5_BUI_MCI!$K$26&gt;INDEX(Max_Table,M1036)))</f>
        <v>0</v>
      </c>
      <c r="F1036" s="1454"/>
      <c r="G1036" s="1444" t="str">
        <f t="shared" si="138"/>
        <v/>
      </c>
      <c r="H1036" s="1447" t="str">
        <f>IF(C1036=TRUE,Comments!$B$20&amp;DOLLAR(INDEX(Min_Table,L1036),0)&amp;Comments!$B$18&amp;DOLLAR(INDEX(Max_Table,L1036),0)&amp;Comments!$B$19&amp;DOLLAR(Page5_BUI_MCI!$M$26/Page5_BUI_MCI!$K$26,0),"")</f>
        <v/>
      </c>
      <c r="I1036" s="1446" t="str">
        <f>IF(D1036=TRUE,Comments!$B$24,"")</f>
        <v/>
      </c>
      <c r="J1036" s="1446" t="str">
        <f>IF(E1036=TRUE,Comments!$B$22&amp;DOLLAR(INDEX(Min_Table,M1036),0)&amp;Comments!$B$18&amp;DOLLAR(INDEX(Max_Table,M1036),0)&amp;Comments!$B$19&amp;IFERROR(DOLLAR(Page5_BUI_MCI!$M$26/Page5_BUI_MCI!$K$26,0),0),"")</f>
        <v/>
      </c>
      <c r="K1036" s="1452"/>
      <c r="L1036" s="611">
        <f>ROW(OR_VEH!$A$667)</f>
        <v>667</v>
      </c>
      <c r="M1036" s="611">
        <f>ROW(OR_VEH!$A$175)</f>
        <v>175</v>
      </c>
      <c r="N1036" s="611" t="str">
        <f>"CPTE # "&amp;Page5_BUI_MCI!$E$26&amp;"  "&amp;Page5_BUI_MCI!$C$26&amp;" - COÛT DES VENTES - AAD"</f>
        <v>CPTE # 421D  TOTAL INTERNE - VOITURES - COÛT DES VENTES - AAD</v>
      </c>
      <c r="O1036" s="611" t="str">
        <f t="shared" si="137"/>
        <v/>
      </c>
      <c r="P1036" s="611" t="str">
        <f t="shared" si="139"/>
        <v>Page5_BUI_MCI!M</v>
      </c>
      <c r="Q1036" s="611">
        <f t="shared" si="140"/>
        <v>26</v>
      </c>
      <c r="R1036" s="1447">
        <f t="shared" ca="1" si="141"/>
        <v>0</v>
      </c>
      <c r="S1036" s="1447">
        <f t="shared" ca="1" si="142"/>
        <v>0</v>
      </c>
      <c r="T1036" s="611">
        <v>22</v>
      </c>
      <c r="V1036" s="2557" t="str">
        <f t="shared" ca="1" si="143"/>
        <v/>
      </c>
      <c r="W1036" s="611" t="str">
        <f t="shared" ca="1" si="144"/>
        <v>Page5_BUI_MCI, Ligne 23 [Page5_BUI_MCI!M26]  -</v>
      </c>
    </row>
    <row r="1037" spans="1:23">
      <c r="A1037" s="1443" t="str">
        <f>celladdr(Page5_BUI_MCI!M27)</f>
        <v>Page5_BUI_MCI!M27</v>
      </c>
      <c r="B1037" s="1444" t="s">
        <v>1086</v>
      </c>
      <c r="C1037" s="1451"/>
      <c r="D1037" s="1454"/>
      <c r="E1037" s="1454"/>
      <c r="F1037" s="1454"/>
      <c r="G1037" s="1444" t="str">
        <f t="shared" si="138"/>
        <v/>
      </c>
      <c r="H1037" s="1447" t="str">
        <f>IF(C1037=TRUE,Comments!$B$26,"")</f>
        <v/>
      </c>
      <c r="I1037" s="1446" t="str">
        <f>IF(D1037=TRUE,Comments!$B$24,"")</f>
        <v/>
      </c>
      <c r="J1037" s="1446"/>
      <c r="K1037" s="1452"/>
      <c r="O1037" s="611" t="str">
        <f t="shared" si="137"/>
        <v/>
      </c>
      <c r="P1037" s="611" t="str">
        <f t="shared" si="139"/>
        <v>Page5_BUI_MCI!M</v>
      </c>
      <c r="Q1037" s="611">
        <f t="shared" si="140"/>
        <v>27</v>
      </c>
      <c r="R1037" s="1447">
        <f t="shared" ca="1" si="141"/>
        <v>0</v>
      </c>
      <c r="S1037" s="1447">
        <f t="shared" ca="1" si="142"/>
        <v>0</v>
      </c>
      <c r="V1037" s="2557" t="str">
        <f t="shared" ca="1" si="143"/>
        <v/>
      </c>
      <c r="W1037" s="611" t="str">
        <f t="shared" ca="1" si="144"/>
        <v>Page5_BUI_MCI, Ligne 24 [Page5_BUI_MCI!M27]  -</v>
      </c>
    </row>
    <row r="1038" spans="1:23">
      <c r="A1038" s="1443" t="str">
        <f>celladdr(Page5_BUI_MCI!M28)</f>
        <v>Page5_BUI_MCI!M28</v>
      </c>
      <c r="B1038" s="1456" t="s">
        <v>1086</v>
      </c>
      <c r="C1038" s="1451" t="b">
        <f>IF(Page5_BUI_MCI!$K$28=0,FALSE,OR(Page5_BUI_MCI!$M$28/Page5_BUI_MCI!$K$28&lt;INDEX(Min_Table,L1038),Page5_BUI_MCI!$M$28/Page5_BUI_MCI!$K$28&gt;INDEX(Max_Table,L1038)))</f>
        <v>0</v>
      </c>
      <c r="D1038" s="1454" t="b">
        <f>OR(AND(Page5_BUI_MCI!$L28&lt;&gt;0,Page5_BUI_MCI!$M28=0),AND(Page5_BUI_MCI!$M28&lt;&gt;0,Page5_BUI_MCI!$L28=0))</f>
        <v>0</v>
      </c>
      <c r="E1038" s="1454" t="b">
        <f>IF(Page5_BUI_MCI!$K$28=0,FALSE,OR(Page5_BUI_MCI!$M$28/Page5_BUI_MCI!$K$28&lt;INDEX(Min_Table,M1038),Page5_BUI_MCI!$M$28/Page5_BUI_MCI!$K$28&gt;INDEX(Max_Table,M1038)))</f>
        <v>0</v>
      </c>
      <c r="F1038" s="1454"/>
      <c r="G1038" s="1444" t="str">
        <f t="shared" si="138"/>
        <v/>
      </c>
      <c r="H1038" s="1447" t="str">
        <f>IF(C1038=TRUE,Comments!$B$20&amp;DOLLAR(INDEX(Min_Table,L1038),0)&amp;Comments!$B$18&amp;DOLLAR(INDEX(Max_Table,L1038),0)&amp;Comments!$B$19&amp;DOLLAR(Page5_BUI_MCI!$M$28/Page5_BUI_MCI!$K$28,0),"")</f>
        <v/>
      </c>
      <c r="I1038" s="1446" t="str">
        <f>IF(D1038=TRUE,Comments!$B$24,"")</f>
        <v/>
      </c>
      <c r="J1038" s="1446" t="str">
        <f>IF(E1038=TRUE,Comments!$B$22&amp;DOLLAR(INDEX(Min_Table,M1038),0)&amp;Comments!$B$18&amp;DOLLAR(INDEX(Max_Table,M1038),0)&amp;Comments!$B$19&amp;IFERROR(DOLLAR(Page5_BUI_MCI!$M$28/Page5_BUI_MCI!$K$28,0),0),"")</f>
        <v/>
      </c>
      <c r="K1038" s="1452"/>
      <c r="L1038" s="611">
        <f>ROW(OR_VEH!$A$667)</f>
        <v>667</v>
      </c>
      <c r="M1038" s="611">
        <f>ROW(OR_VEH!$A$177)</f>
        <v>177</v>
      </c>
      <c r="N1038" s="611" t="str">
        <f>"CPTE # "&amp;Page5_BUI_MCI!$E$28&amp;"  "&amp;Page5_BUI_MCI!$C$28&amp;" - COÛT DES VENTES - AAD"</f>
        <v>CPTE # 423D  NE PAS UTILISER - COÛT DES VENTES - AAD</v>
      </c>
      <c r="O1038" s="611" t="str">
        <f t="shared" si="137"/>
        <v/>
      </c>
      <c r="P1038" s="611" t="str">
        <f t="shared" si="139"/>
        <v>Page5_BUI_MCI!M</v>
      </c>
      <c r="Q1038" s="611">
        <f t="shared" si="140"/>
        <v>28</v>
      </c>
      <c r="R1038" s="1447">
        <f t="shared" ca="1" si="141"/>
        <v>0</v>
      </c>
      <c r="S1038" s="1447">
        <f t="shared" ca="1" si="142"/>
        <v>0</v>
      </c>
      <c r="T1038" s="611">
        <v>22</v>
      </c>
      <c r="V1038" s="2557" t="str">
        <f t="shared" ca="1" si="143"/>
        <v/>
      </c>
      <c r="W1038" s="611" t="str">
        <f t="shared" ca="1" si="144"/>
        <v>Page5_BUI_MCI, Ligne 25 [Page5_BUI_MCI!M28]  -</v>
      </c>
    </row>
    <row r="1039" spans="1:23">
      <c r="A1039" s="1443" t="str">
        <f>celladdr(Page5_BUI_MCI!M29)</f>
        <v>Page5_BUI_MCI!M29</v>
      </c>
      <c r="B1039" s="1456" t="s">
        <v>1086</v>
      </c>
      <c r="C1039" s="1451" t="b">
        <f>IF(Page5_BUI_MCI!$K$29=0,FALSE,OR(Page5_BUI_MCI!$M$29/Page5_BUI_MCI!$K$29&lt;INDEX(Min_Table,L1039),Page5_BUI_MCI!$M$29/Page5_BUI_MCI!$K$29&gt;INDEX(Max_Table,L1039)))</f>
        <v>0</v>
      </c>
      <c r="D1039" s="1454" t="b">
        <f>OR(AND(Page5_BUI_MCI!$L29&lt;&gt;0,Page5_BUI_MCI!$M29=0),AND(Page5_BUI_MCI!$M29&lt;&gt;0,Page5_BUI_MCI!$L29=0))</f>
        <v>0</v>
      </c>
      <c r="E1039" s="1454" t="b">
        <f>IF(Page5_BUI_MCI!$K$29=0,FALSE,OR(Page5_BUI_MCI!$M$29/Page5_BUI_MCI!$K$29&lt;INDEX(Min_Table,M1039),Page5_BUI_MCI!$M$29/Page5_BUI_MCI!$K$29&gt;INDEX(Max_Table,M1039)))</f>
        <v>0</v>
      </c>
      <c r="F1039" s="1454"/>
      <c r="G1039" s="1444" t="str">
        <f t="shared" si="138"/>
        <v/>
      </c>
      <c r="H1039" s="1447" t="str">
        <f>IF(C1039=TRUE,Comments!$B$20&amp;DOLLAR(INDEX(Min_Table,L1039),0)&amp;Comments!$B$18&amp;DOLLAR(INDEX(Max_Table,L1039),0)&amp;Comments!$B$19&amp;DOLLAR(Page5_BUI_MCI!$M$29/Page5_BUI_MCI!$K$29,0),"")</f>
        <v/>
      </c>
      <c r="I1039" s="1446" t="str">
        <f>IF(D1039=TRUE,Comments!$B$24,"")</f>
        <v/>
      </c>
      <c r="J1039" s="1446" t="str">
        <f>IF(E1039=TRUE,Comments!$B$22&amp;DOLLAR(INDEX(Min_Table,M1039),0)&amp;Comments!$B$18&amp;DOLLAR(INDEX(Max_Table,M1039),0)&amp;Comments!$B$19&amp;IFERROR(DOLLAR(Page5_BUI_MCI!$M$29/Page5_BUI_MCI!$K$29,0),0),"")</f>
        <v/>
      </c>
      <c r="K1039" s="1452"/>
      <c r="L1039" s="611">
        <f>ROW(OR_VEH!$A$667)</f>
        <v>667</v>
      </c>
      <c r="M1039" s="611">
        <f>ROW(OR_VEH!$A$178)</f>
        <v>178</v>
      </c>
      <c r="N1039" s="611" t="str">
        <f>"CPTE # "&amp;Page5_BUI_MCI!$E$29&amp;"  "&amp;Page5_BUI_MCI!$C$29&amp;" - COÛT DES VENTES - AAD"</f>
        <v>CPTE # 424D  ENVISTA - COÛT DES VENTES - AAD</v>
      </c>
      <c r="O1039" s="611" t="str">
        <f t="shared" si="137"/>
        <v/>
      </c>
      <c r="P1039" s="611" t="str">
        <f t="shared" si="139"/>
        <v>Page5_BUI_MCI!M</v>
      </c>
      <c r="Q1039" s="611">
        <f t="shared" si="140"/>
        <v>29</v>
      </c>
      <c r="R1039" s="1447">
        <f t="shared" ca="1" si="141"/>
        <v>0</v>
      </c>
      <c r="S1039" s="1447">
        <f t="shared" ca="1" si="142"/>
        <v>0</v>
      </c>
      <c r="T1039" s="611">
        <v>22</v>
      </c>
      <c r="V1039" s="2557" t="str">
        <f t="shared" ca="1" si="143"/>
        <v/>
      </c>
      <c r="W1039" s="611" t="str">
        <f t="shared" ca="1" si="144"/>
        <v>Page5_BUI_MCI, Ligne 26 [Page5_BUI_MCI!M29]  -</v>
      </c>
    </row>
    <row r="1040" spans="1:23">
      <c r="A1040" s="1443" t="str">
        <f>celladdr(Page5_BUI_MCI!M30)</f>
        <v>Page5_BUI_MCI!M30</v>
      </c>
      <c r="B1040" s="1456" t="s">
        <v>1086</v>
      </c>
      <c r="C1040" s="1451" t="b">
        <f>IF(Page5_BUI_MCI!$K$30=0,FALSE,OR(Page5_BUI_MCI!$M$30/Page5_BUI_MCI!$K$30&lt;INDEX(Min_Table,L1040),Page5_BUI_MCI!$M$30/Page5_BUI_MCI!$K$30&gt;INDEX(Max_Table,L1040)))</f>
        <v>0</v>
      </c>
      <c r="D1040" s="1454" t="b">
        <f>OR(AND(Page5_BUI_MCI!$L30&lt;&gt;0,Page5_BUI_MCI!$M30=0),AND(Page5_BUI_MCI!$M30&lt;&gt;0,Page5_BUI_MCI!$L30=0))</f>
        <v>0</v>
      </c>
      <c r="E1040" s="1454" t="b">
        <f>IF(Page5_BUI_MCI!$K$30=0,FALSE,OR(Page5_BUI_MCI!$M$30/Page5_BUI_MCI!$K$30&lt;INDEX(Min_Table,M1040),Page5_BUI_MCI!$M$30/Page5_BUI_MCI!$K$30&gt;INDEX(Max_Table,M1040)))</f>
        <v>0</v>
      </c>
      <c r="F1040" s="1454"/>
      <c r="G1040" s="1444" t="str">
        <f t="shared" si="138"/>
        <v/>
      </c>
      <c r="H1040" s="1447" t="str">
        <f>IF(C1040=TRUE,Comments!$B$20&amp;DOLLAR(INDEX(Min_Table,L1040),0)&amp;Comments!$B$18&amp;DOLLAR(INDEX(Max_Table,L1040),0)&amp;Comments!$B$19&amp;DOLLAR(Page5_BUI_MCI!$M$30/Page5_BUI_MCI!$K$30,0),"")</f>
        <v/>
      </c>
      <c r="I1040" s="1446" t="str">
        <f>IF(D1040=TRUE,Comments!$B$24,"")</f>
        <v/>
      </c>
      <c r="J1040" s="1446" t="str">
        <f>IF(E1040=TRUE,Comments!$B$22&amp;DOLLAR(INDEX(Min_Table,M1040),0)&amp;Comments!$B$18&amp;DOLLAR(INDEX(Max_Table,M1040),0)&amp;Comments!$B$19&amp;IFERROR(DOLLAR(Page5_BUI_MCI!$M$30/Page5_BUI_MCI!$K$30,0),0),"")</f>
        <v/>
      </c>
      <c r="K1040" s="1452"/>
      <c r="L1040" s="611">
        <f>ROW(OR_VEH!$A$667)</f>
        <v>667</v>
      </c>
      <c r="M1040" s="611">
        <f>ROW(OR_VEH!$A$179)</f>
        <v>179</v>
      </c>
      <c r="N1040" s="611" t="str">
        <f>"CPTE # "&amp;Page5_BUI_MCI!$E$30&amp;"  "&amp;Page5_BUI_MCI!$C$30&amp;" - COÛT DES VENTES - AAD"</f>
        <v>CPTE # 425D  NE PAS UTILISER - COÛT DES VENTES - AAD</v>
      </c>
      <c r="O1040" s="611" t="str">
        <f t="shared" si="137"/>
        <v/>
      </c>
      <c r="P1040" s="611" t="str">
        <f t="shared" si="139"/>
        <v>Page5_BUI_MCI!M</v>
      </c>
      <c r="Q1040" s="611">
        <f t="shared" si="140"/>
        <v>30</v>
      </c>
      <c r="R1040" s="1447">
        <f t="shared" ca="1" si="141"/>
        <v>0</v>
      </c>
      <c r="S1040" s="1447">
        <f t="shared" ca="1" si="142"/>
        <v>0</v>
      </c>
      <c r="T1040" s="611">
        <v>22</v>
      </c>
      <c r="V1040" s="2557" t="str">
        <f t="shared" ca="1" si="143"/>
        <v/>
      </c>
      <c r="W1040" s="611" t="str">
        <f t="shared" ca="1" si="144"/>
        <v>Page5_BUI_MCI, Ligne 27 [Page5_BUI_MCI!M30]  -</v>
      </c>
    </row>
    <row r="1041" spans="1:23">
      <c r="A1041" s="1443" t="str">
        <f>celladdr(Page5_BUI_MCI!M31)</f>
        <v>Page5_BUI_MCI!M31</v>
      </c>
      <c r="B1041" s="1456" t="s">
        <v>1086</v>
      </c>
      <c r="C1041" s="1451" t="b">
        <f>IF(Page5_BUI_MCI!$K$31=0,FALSE,OR(Page5_BUI_MCI!$M$31/Page5_BUI_MCI!$K$31&lt;INDEX(Min_Table,L1041),Page5_BUI_MCI!$M$31/Page5_BUI_MCI!$K$31&gt;INDEX(Max_Table,L1041)))</f>
        <v>0</v>
      </c>
      <c r="D1041" s="1454" t="b">
        <f>OR(AND(Page5_BUI_MCI!$L31&lt;&gt;0,Page5_BUI_MCI!$M31=0),AND(Page5_BUI_MCI!$M31&lt;&gt;0,Page5_BUI_MCI!$L31=0))</f>
        <v>0</v>
      </c>
      <c r="E1041" s="1454" t="b">
        <f>IF(Page5_BUI_MCI!$K$31=0,FALSE,OR(Page5_BUI_MCI!$M$31/Page5_BUI_MCI!$K$31&lt;INDEX(Min_Table,M1041),Page5_BUI_MCI!$M$31/Page5_BUI_MCI!$K$31&gt;INDEX(Max_Table,M1041)))</f>
        <v>0</v>
      </c>
      <c r="F1041" s="1454"/>
      <c r="G1041" s="1444" t="str">
        <f t="shared" si="138"/>
        <v/>
      </c>
      <c r="H1041" s="1447" t="str">
        <f>IF(C1041=TRUE,Comments!$B$20&amp;DOLLAR(INDEX(Min_Table,L1041),0)&amp;Comments!$B$18&amp;DOLLAR(INDEX(Max_Table,L1041),0)&amp;Comments!$B$19&amp;DOLLAR(Page5_BUI_MCI!$M$31/Page5_BUI_MCI!$K$31,0),"")</f>
        <v/>
      </c>
      <c r="I1041" s="1446" t="str">
        <f>IF(D1041=TRUE,Comments!$B$24,"")</f>
        <v/>
      </c>
      <c r="J1041" s="1446" t="str">
        <f>IF(E1041=TRUE,Comments!$B$22&amp;DOLLAR(INDEX(Min_Table,M1041),0)&amp;Comments!$B$18&amp;DOLLAR(INDEX(Max_Table,M1041),0)&amp;Comments!$B$19&amp;IFERROR(DOLLAR(Page5_BUI_MCI!$M$31/Page5_BUI_MCI!$K$31,0),0),"")</f>
        <v/>
      </c>
      <c r="K1041" s="1452"/>
      <c r="L1041" s="611">
        <f>ROW(OR_VEH!$A$667)</f>
        <v>667</v>
      </c>
      <c r="M1041" s="611">
        <f>ROW(OR_VEH!$A$180)</f>
        <v>180</v>
      </c>
      <c r="N1041" s="611" t="str">
        <f>"CPTE # "&amp;Page5_BUI_MCI!$E$31&amp;"  "&amp;Page5_BUI_MCI!$C$31&amp;" - COÛT DES VENTES - AAD"</f>
        <v>CPTE # 426D  ENCLAVE - COÛT DES VENTES - AAD</v>
      </c>
      <c r="O1041" s="611" t="str">
        <f t="shared" si="137"/>
        <v/>
      </c>
      <c r="P1041" s="611" t="str">
        <f t="shared" si="139"/>
        <v>Page5_BUI_MCI!M</v>
      </c>
      <c r="Q1041" s="611">
        <f t="shared" si="140"/>
        <v>31</v>
      </c>
      <c r="R1041" s="1447">
        <f t="shared" ca="1" si="141"/>
        <v>0</v>
      </c>
      <c r="S1041" s="1447">
        <f t="shared" ca="1" si="142"/>
        <v>0</v>
      </c>
      <c r="T1041" s="611">
        <v>22</v>
      </c>
      <c r="V1041" s="2557" t="str">
        <f t="shared" ca="1" si="143"/>
        <v/>
      </c>
      <c r="W1041" s="611" t="str">
        <f t="shared" ca="1" si="144"/>
        <v>Page5_BUI_MCI, Ligne 28 [Page5_BUI_MCI!M31]  -</v>
      </c>
    </row>
    <row r="1042" spans="1:23">
      <c r="A1042" s="1443" t="str">
        <f>celladdr(Page5_BUI_MCI!M32)</f>
        <v>Page5_BUI_MCI!M32</v>
      </c>
      <c r="B1042" s="1456" t="s">
        <v>1086</v>
      </c>
      <c r="C1042" s="1451" t="b">
        <f>IF(Page5_BUI_MCI!$K$32=0,FALSE,OR(Page5_BUI_MCI!$M$32/Page5_BUI_MCI!$K$32&lt;INDEX(Min_Table,L1042),Page5_BUI_MCI!$M$32/Page5_BUI_MCI!$K$32&gt;INDEX(Max_Table,L1042)))</f>
        <v>0</v>
      </c>
      <c r="D1042" s="1454" t="b">
        <f>OR(AND(Page5_BUI_MCI!$L32&lt;&gt;0,Page5_BUI_MCI!$M32=0),AND(Page5_BUI_MCI!$M32&lt;&gt;0,Page5_BUI_MCI!$L32=0))</f>
        <v>0</v>
      </c>
      <c r="E1042" s="1454" t="b">
        <f>IF(Page5_BUI_MCI!$K$32=0,FALSE,OR(Page5_BUI_MCI!$M$32/Page5_BUI_MCI!$K$32&lt;INDEX(Min_Table,M1042),Page5_BUI_MCI!$M$32/Page5_BUI_MCI!$K$32&gt;INDEX(Max_Table,M1042)))</f>
        <v>0</v>
      </c>
      <c r="F1042" s="1454"/>
      <c r="G1042" s="1444" t="str">
        <f t="shared" si="138"/>
        <v/>
      </c>
      <c r="H1042" s="1447" t="str">
        <f>IF(C1042=TRUE,Comments!$B$20&amp;DOLLAR(INDEX(Min_Table,L1042),0)&amp;Comments!$B$18&amp;DOLLAR(INDEX(Max_Table,L1042),0)&amp;Comments!$B$19&amp;DOLLAR(Page5_BUI_MCI!$M$32/Page5_BUI_MCI!$K$32,0),"")</f>
        <v/>
      </c>
      <c r="I1042" s="1446" t="str">
        <f>IF(D1042=TRUE,Comments!$B$24,"")</f>
        <v/>
      </c>
      <c r="J1042" s="1446" t="str">
        <f>IF(E1042=TRUE,Comments!$B$22&amp;DOLLAR(INDEX(Min_Table,M1042),0)&amp;Comments!$B$18&amp;DOLLAR(INDEX(Max_Table,M1042),0)&amp;Comments!$B$19&amp;IFERROR(DOLLAR(Page5_BUI_MCI!$M$32/Page5_BUI_MCI!$K$32,0),0),"")</f>
        <v/>
      </c>
      <c r="K1042" s="1452"/>
      <c r="L1042" s="611">
        <f>ROW(OR_VEH!$A$667)</f>
        <v>667</v>
      </c>
      <c r="M1042" s="611">
        <f>ROW(OR_VEH!$A$181)</f>
        <v>181</v>
      </c>
      <c r="N1042" s="611" t="str">
        <f>"CPTE # "&amp;Page5_BUI_MCI!$E$32&amp;"  "&amp;Page5_BUI_MCI!$C$32&amp;" - COÛT DES VENTES - AAD"</f>
        <v>CPTE # 427D  ENCORE GX - COÛT DES VENTES - AAD</v>
      </c>
      <c r="O1042" s="611" t="str">
        <f t="shared" si="137"/>
        <v/>
      </c>
      <c r="P1042" s="611" t="str">
        <f t="shared" si="139"/>
        <v>Page5_BUI_MCI!M</v>
      </c>
      <c r="Q1042" s="611">
        <f t="shared" si="140"/>
        <v>32</v>
      </c>
      <c r="R1042" s="1447">
        <f t="shared" ca="1" si="141"/>
        <v>0</v>
      </c>
      <c r="S1042" s="1447">
        <f t="shared" ca="1" si="142"/>
        <v>0</v>
      </c>
      <c r="T1042" s="611">
        <v>22</v>
      </c>
      <c r="V1042" s="2557" t="str">
        <f t="shared" ca="1" si="143"/>
        <v/>
      </c>
      <c r="W1042" s="611" t="str">
        <f t="shared" ca="1" si="144"/>
        <v>Page5_BUI_MCI, Ligne 29 [Page5_BUI_MCI!M32]  -</v>
      </c>
    </row>
    <row r="1043" spans="1:23">
      <c r="A1043" s="1443" t="str">
        <f>celladdr(Page5_BUI_MCI!M33)</f>
        <v>Page5_BUI_MCI!M33</v>
      </c>
      <c r="B1043" s="1456" t="s">
        <v>1086</v>
      </c>
      <c r="C1043" s="1451" t="b">
        <f>IF(Page5_BUI_MCI!$K$33=0,FALSE,OR(Page5_BUI_MCI!$M$33/Page5_BUI_MCI!$K$33&lt;INDEX(Min_Table,L1043),Page5_BUI_MCI!$M$33/Page5_BUI_MCI!$K$33&gt;INDEX(Max_Table,L1043)))</f>
        <v>0</v>
      </c>
      <c r="D1043" s="1454" t="b">
        <f>OR(AND(Page5_BUI_MCI!$L33&lt;&gt;0,Page5_BUI_MCI!$M33=0),AND(Page5_BUI_MCI!$M33&lt;&gt;0,Page5_BUI_MCI!$L33=0))</f>
        <v>0</v>
      </c>
      <c r="E1043" s="1454" t="b">
        <f>IF(Page5_BUI_MCI!$K$33=0,FALSE,OR(Page5_BUI_MCI!$M$33/Page5_BUI_MCI!$K$33&lt;INDEX(Min_Table,M1043),Page5_BUI_MCI!$M$33/Page5_BUI_MCI!$K$33&gt;INDEX(Max_Table,M1043)))</f>
        <v>0</v>
      </c>
      <c r="F1043" s="1454"/>
      <c r="G1043" s="1444" t="str">
        <f t="shared" si="138"/>
        <v/>
      </c>
      <c r="H1043" s="1447" t="str">
        <f>IF(C1043=TRUE,Comments!$B$20&amp;DOLLAR(INDEX(Min_Table,L1043),0)&amp;Comments!$B$18&amp;DOLLAR(INDEX(Max_Table,L1043),0)&amp;Comments!$B$19&amp;DOLLAR(Page5_BUI_MCI!$M$33/Page5_BUI_MCI!$K$33,0),"")</f>
        <v/>
      </c>
      <c r="I1043" s="1446" t="str">
        <f>IF(D1043=TRUE,Comments!$B$24,"")</f>
        <v/>
      </c>
      <c r="J1043" s="1446" t="str">
        <f>IF(E1043=TRUE,Comments!$B$22&amp;DOLLAR(INDEX(Min_Table,M1043),0)&amp;Comments!$B$18&amp;DOLLAR(INDEX(Max_Table,M1043),0)&amp;Comments!$B$19&amp;IFERROR(DOLLAR(Page5_BUI_MCI!$M$33/Page5_BUI_MCI!$K$33,0),0),"")</f>
        <v/>
      </c>
      <c r="K1043" s="1452"/>
      <c r="L1043" s="611">
        <f>ROW(OR_VEH!$A$667)</f>
        <v>667</v>
      </c>
      <c r="M1043" s="611">
        <f>ROW(OR_VEH!$A$182)</f>
        <v>182</v>
      </c>
      <c r="N1043" s="611" t="str">
        <f>"CPTE # "&amp;Page5_BUI_MCI!$E$33&amp;"  "&amp;Page5_BUI_MCI!$C$33&amp;" - COÛT DES VENTES - AAD"</f>
        <v>CPTE # 428D  ENCORE - COÛT DES VENTES - AAD</v>
      </c>
      <c r="O1043" s="611" t="str">
        <f t="shared" ref="O1043:O1074" si="145">IF(A1043=A1042,"TRUE","")</f>
        <v/>
      </c>
      <c r="P1043" s="611" t="str">
        <f t="shared" si="139"/>
        <v>Page5_BUI_MCI!M</v>
      </c>
      <c r="Q1043" s="611">
        <f t="shared" si="140"/>
        <v>33</v>
      </c>
      <c r="R1043" s="1447">
        <f t="shared" ca="1" si="141"/>
        <v>0</v>
      </c>
      <c r="S1043" s="1447">
        <f t="shared" ca="1" si="142"/>
        <v>0</v>
      </c>
      <c r="T1043" s="611">
        <v>22</v>
      </c>
      <c r="V1043" s="2557" t="str">
        <f t="shared" ca="1" si="143"/>
        <v/>
      </c>
      <c r="W1043" s="611" t="str">
        <f t="shared" ca="1" si="144"/>
        <v>Page5_BUI_MCI, Ligne 30 [Page5_BUI_MCI!M33]  -</v>
      </c>
    </row>
    <row r="1044" spans="1:23">
      <c r="A1044" s="1443" t="str">
        <f>celladdr(Page5_BUI_MCI!M34)</f>
        <v>Page5_BUI_MCI!M34</v>
      </c>
      <c r="B1044" s="1456" t="s">
        <v>1086</v>
      </c>
      <c r="C1044" s="1451" t="b">
        <f>IF(Page5_BUI_MCI!$K$34=0,FALSE,OR(Page5_BUI_MCI!$M$34/Page5_BUI_MCI!$K$34&lt;INDEX(Min_Table,L1044),Page5_BUI_MCI!$M$34/Page5_BUI_MCI!$K$34&gt;INDEX(Max_Table,L1044)))</f>
        <v>0</v>
      </c>
      <c r="D1044" s="1454" t="b">
        <f>OR(AND(Page5_BUI_MCI!$L34&lt;&gt;0,Page5_BUI_MCI!$M34=0),AND(Page5_BUI_MCI!$M34&lt;&gt;0,Page5_BUI_MCI!$L34=0))</f>
        <v>0</v>
      </c>
      <c r="E1044" s="1454" t="b">
        <f>IF(Page5_BUI_MCI!$K$34=0,FALSE,OR(Page5_BUI_MCI!$M$34/Page5_BUI_MCI!$K$34&lt;INDEX(Min_Table,M1044),Page5_BUI_MCI!$M$34/Page5_BUI_MCI!$K$34&gt;INDEX(Max_Table,M1044)))</f>
        <v>0</v>
      </c>
      <c r="F1044" s="1454"/>
      <c r="G1044" s="1444" t="str">
        <f t="shared" si="138"/>
        <v/>
      </c>
      <c r="H1044" s="1447" t="str">
        <f>IF(C1044=TRUE,Comments!$B$20&amp;DOLLAR(INDEX(Min_Table,L1044),0)&amp;Comments!$B$18&amp;DOLLAR(INDEX(Max_Table,L1044),0)&amp;Comments!$B$19&amp;DOLLAR(Page5_BUI_MCI!$M$34/Page5_BUI_MCI!$K$34,0),"")</f>
        <v/>
      </c>
      <c r="I1044" s="1446" t="str">
        <f>IF(D1044=TRUE,Comments!$B$24,"")</f>
        <v/>
      </c>
      <c r="J1044" s="1446" t="str">
        <f>IF(E1044=TRUE,Comments!$B$22&amp;DOLLAR(INDEX(Min_Table,M1044),0)&amp;Comments!$B$18&amp;DOLLAR(INDEX(Max_Table,M1044),0)&amp;Comments!$B$19&amp;IFERROR(DOLLAR(Page5_BUI_MCI!$M$34/Page5_BUI_MCI!$K$34,0),0),"")</f>
        <v/>
      </c>
      <c r="K1044" s="1452"/>
      <c r="L1044" s="611">
        <f>ROW(OR_VEH!$A$667)</f>
        <v>667</v>
      </c>
      <c r="M1044" s="611">
        <f>ROW(OR_VEH!$A$183)</f>
        <v>183</v>
      </c>
      <c r="N1044" s="611" t="str">
        <f>"CPTE # "&amp;Page5_BUI_MCI!$E$34&amp;"  "&amp;Page5_BUI_MCI!$C$34&amp;" - COÛT DES VENTES - AAD"</f>
        <v>CPTE # 429D  ENVISION - COÛT DES VENTES - AAD</v>
      </c>
      <c r="O1044" s="611" t="str">
        <f t="shared" si="145"/>
        <v/>
      </c>
      <c r="P1044" s="611" t="str">
        <f t="shared" si="139"/>
        <v>Page5_BUI_MCI!M</v>
      </c>
      <c r="Q1044" s="611">
        <f t="shared" si="140"/>
        <v>34</v>
      </c>
      <c r="R1044" s="1447">
        <f t="shared" ca="1" si="141"/>
        <v>0</v>
      </c>
      <c r="S1044" s="1447">
        <f t="shared" ca="1" si="142"/>
        <v>0</v>
      </c>
      <c r="T1044" s="611">
        <v>22</v>
      </c>
      <c r="V1044" s="2557" t="str">
        <f t="shared" ca="1" si="143"/>
        <v/>
      </c>
      <c r="W1044" s="611" t="str">
        <f t="shared" ca="1" si="144"/>
        <v>Page5_BUI_MCI, Ligne 31 [Page5_BUI_MCI!M34]  -</v>
      </c>
    </row>
    <row r="1045" spans="1:23">
      <c r="A1045" s="1443" t="str">
        <f>celladdr(Page5_BUI_MCI!M35)</f>
        <v>Page5_BUI_MCI!M35</v>
      </c>
      <c r="B1045" s="1456" t="s">
        <v>1086</v>
      </c>
      <c r="C1045" s="1451" t="b">
        <f>IF(Page5_BUI_MCI!$K$35=0,FALSE,OR(Page5_BUI_MCI!$M$35/Page5_BUI_MCI!$K$35&lt;INDEX(Min_Table,L1045),Page5_BUI_MCI!$M$35/Page5_BUI_MCI!$K$35&gt;INDEX(Max_Table,L1045)))</f>
        <v>0</v>
      </c>
      <c r="D1045" s="1454" t="b">
        <f>OR(AND(Page5_BUI_MCI!$L35&lt;&gt;0,Page5_BUI_MCI!$M35=0),AND(Page5_BUI_MCI!$M35&lt;&gt;0,Page5_BUI_MCI!$L35=0))</f>
        <v>0</v>
      </c>
      <c r="E1045" s="1454" t="b">
        <f>IF(Page5_BUI_MCI!$K$35=0,FALSE,OR(Page5_BUI_MCI!$M$35/Page5_BUI_MCI!$K$35&lt;INDEX(Min_Table,M1045),Page5_BUI_MCI!$M$35/Page5_BUI_MCI!$K$35&gt;INDEX(Max_Table,M1045)))</f>
        <v>0</v>
      </c>
      <c r="F1045" s="1454"/>
      <c r="G1045" s="1444" t="str">
        <f t="shared" si="138"/>
        <v/>
      </c>
      <c r="H1045" s="1447" t="str">
        <f>IF(C1045=TRUE,Comments!$B$20&amp;DOLLAR(INDEX(Min_Table,L1045),0)&amp;Comments!$B$18&amp;DOLLAR(INDEX(Max_Table,L1045),0)&amp;Comments!$B$19&amp;DOLLAR(Page5_BUI_MCI!$M$35/Page5_BUI_MCI!$K$35,0),"")</f>
        <v/>
      </c>
      <c r="I1045" s="1446" t="str">
        <f>IF(D1045=TRUE,Comments!$B$24,"")</f>
        <v/>
      </c>
      <c r="J1045" s="1446" t="str">
        <f>IF(E1045=TRUE,Comments!$B$22&amp;DOLLAR(INDEX(Min_Table,M1045),0)&amp;Comments!$B$18&amp;DOLLAR(INDEX(Max_Table,M1045),0)&amp;Comments!$B$19&amp;IFERROR(DOLLAR(Page5_BUI_MCI!$M$35/Page5_BUI_MCI!$K$35,0),0),"")</f>
        <v/>
      </c>
      <c r="K1045" s="1452"/>
      <c r="L1045" s="611">
        <f>ROW(OR_VEH!$A$667)</f>
        <v>667</v>
      </c>
      <c r="M1045" s="611">
        <f>ROW(OR_VEH!$A$184)</f>
        <v>184</v>
      </c>
      <c r="N1045" s="611" t="str">
        <f>"CPTE # "&amp;Page5_BUI_MCI!$E$35&amp;"  "&amp;Page5_BUI_MCI!$C$35&amp;" - COÛT DES VENTES - AAD"</f>
        <v>CPTE # 430D  NE PAS UTILISER - COÛT DES VENTES - AAD</v>
      </c>
      <c r="O1045" s="611" t="str">
        <f t="shared" si="145"/>
        <v/>
      </c>
      <c r="P1045" s="611" t="str">
        <f t="shared" si="139"/>
        <v>Page5_BUI_MCI!M</v>
      </c>
      <c r="Q1045" s="611">
        <f t="shared" si="140"/>
        <v>35</v>
      </c>
      <c r="R1045" s="1447">
        <f t="shared" ca="1" si="141"/>
        <v>0</v>
      </c>
      <c r="S1045" s="1447">
        <f t="shared" ca="1" si="142"/>
        <v>0</v>
      </c>
      <c r="T1045" s="611">
        <v>22</v>
      </c>
      <c r="V1045" s="2557" t="str">
        <f t="shared" ca="1" si="143"/>
        <v/>
      </c>
      <c r="W1045" s="611" t="str">
        <f t="shared" ca="1" si="144"/>
        <v>Page5_BUI_MCI, Ligne 32 [Page5_BUI_MCI!M35]  -</v>
      </c>
    </row>
    <row r="1046" spans="1:23">
      <c r="A1046" s="1443" t="str">
        <f>celladdr(Page5_BUI_MCI!M36)</f>
        <v>Page5_BUI_MCI!M36</v>
      </c>
      <c r="B1046" s="1456" t="s">
        <v>1086</v>
      </c>
      <c r="C1046" s="1451" t="b">
        <f>IF(Page5_BUI_MCI!$K$36=0,FALSE,OR(Page5_BUI_MCI!$M$36/Page5_BUI_MCI!$K$36&lt;INDEX(Min_Table,L1046),Page5_BUI_MCI!$M$36/Page5_BUI_MCI!$K$36&gt;INDEX(Max_Table,L1046)))</f>
        <v>0</v>
      </c>
      <c r="D1046" s="1454" t="b">
        <f>OR(AND(Page5_BUI_MCI!$L36&lt;&gt;0,Page5_BUI_MCI!$M36=0),AND(Page5_BUI_MCI!$M36&lt;&gt;0,Page5_BUI_MCI!$L36=0))</f>
        <v>0</v>
      </c>
      <c r="E1046" s="1454" t="b">
        <f>IF(Page5_BUI_MCI!$K$36=0,FALSE,OR(Page5_BUI_MCI!$M$36/Page5_BUI_MCI!$K$36&lt;INDEX(Min_Table,M1046),Page5_BUI_MCI!$M$36/Page5_BUI_MCI!$K$36&gt;INDEX(Max_Table,M1046)))</f>
        <v>0</v>
      </c>
      <c r="F1046" s="1454"/>
      <c r="G1046" s="1444" t="str">
        <f t="shared" si="138"/>
        <v/>
      </c>
      <c r="H1046" s="1447" t="str">
        <f>IF(C1046=TRUE,Comments!$B$20&amp;DOLLAR(INDEX(Min_Table,L1046),0)&amp;Comments!$B$18&amp;DOLLAR(INDEX(Max_Table,L1046),0)&amp;Comments!$B$19&amp;DOLLAR(Page5_BUI_MCI!$M$36/Page5_BUI_MCI!$K$36,0),"")</f>
        <v/>
      </c>
      <c r="I1046" s="1446" t="str">
        <f>IF(D1046=TRUE,Comments!$B$24,"")</f>
        <v/>
      </c>
      <c r="J1046" s="1446" t="str">
        <f>IF(E1046=TRUE,Comments!$B$22&amp;DOLLAR(INDEX(Min_Table,M1046),0)&amp;Comments!$B$18&amp;DOLLAR(INDEX(Max_Table,M1046),0)&amp;Comments!$B$19&amp;IFERROR(DOLLAR(Page5_BUI_MCI!$M$36/Page5_BUI_MCI!$K$36,0),0),"")</f>
        <v/>
      </c>
      <c r="K1046" s="1452"/>
      <c r="L1046" s="611">
        <f>ROW(OR_VEH!$A$667)</f>
        <v>667</v>
      </c>
      <c r="M1046" s="611">
        <f>ROW(OR_VEH!$A$185)</f>
        <v>185</v>
      </c>
      <c r="N1046" s="611" t="str">
        <f>"CPTE # "&amp;Page5_BUI_MCI!$E$36&amp;"  "&amp;Page5_BUI_MCI!$C$36&amp;" - COÛT DES VENTES - AAD"</f>
        <v>CPTE # 431D  NE PAS UTILISER - COÛT DES VENTES - AAD</v>
      </c>
      <c r="O1046" s="611" t="str">
        <f t="shared" si="145"/>
        <v/>
      </c>
      <c r="P1046" s="611" t="str">
        <f t="shared" si="139"/>
        <v>Page5_BUI_MCI!M</v>
      </c>
      <c r="Q1046" s="611">
        <f t="shared" si="140"/>
        <v>36</v>
      </c>
      <c r="R1046" s="1447">
        <f t="shared" ca="1" si="141"/>
        <v>0</v>
      </c>
      <c r="S1046" s="1447">
        <f t="shared" ca="1" si="142"/>
        <v>0</v>
      </c>
      <c r="T1046" s="611">
        <v>22</v>
      </c>
      <c r="V1046" s="2557" t="str">
        <f t="shared" ca="1" si="143"/>
        <v/>
      </c>
      <c r="W1046" s="611" t="str">
        <f t="shared" ca="1" si="144"/>
        <v>Page5_BUI_MCI, Ligne 33 [Page5_BUI_MCI!M36]  -</v>
      </c>
    </row>
    <row r="1047" spans="1:23">
      <c r="A1047" s="1443" t="str">
        <f>celladdr(Page5_BUI_MCI!M37)</f>
        <v>Page5_BUI_MCI!M37</v>
      </c>
      <c r="B1047" s="1456" t="s">
        <v>1086</v>
      </c>
      <c r="C1047" s="1451" t="b">
        <f>IF(Page5_BUI_MCI!$K$37=0,FALSE,OR(Page5_BUI_MCI!$M$37/Page5_BUI_MCI!$K$37&lt;INDEX(Min_Table,L1047),Page5_BUI_MCI!$M$37/Page5_BUI_MCI!$K$37&gt;INDEX(Max_Table,L1047)))</f>
        <v>0</v>
      </c>
      <c r="D1047" s="1454" t="b">
        <f>OR(AND(Page5_BUI_MCI!$L37&lt;&gt;0,Page5_BUI_MCI!$M37=0),AND(Page5_BUI_MCI!$M37&lt;&gt;0,Page5_BUI_MCI!$L37=0))</f>
        <v>0</v>
      </c>
      <c r="E1047" s="1454" t="b">
        <f>IF(Page5_BUI_MCI!$K$37=0,FALSE,OR(Page5_BUI_MCI!$M$37/Page5_BUI_MCI!$K$37&lt;INDEX(Min_Table,M1047),Page5_BUI_MCI!$M$37/Page5_BUI_MCI!$K$37&gt;INDEX(Max_Table,M1047)))</f>
        <v>0</v>
      </c>
      <c r="F1047" s="1454"/>
      <c r="G1047" s="1444" t="str">
        <f t="shared" si="138"/>
        <v/>
      </c>
      <c r="H1047" s="1447" t="str">
        <f>IF(C1047=TRUE,Comments!$B$20&amp;DOLLAR(INDEX(Min_Table,L1047),0)&amp;Comments!$B$18&amp;DOLLAR(INDEX(Max_Table,L1047),0)&amp;Comments!$B$19&amp;DOLLAR(Page5_BUI_MCI!$M$37/Page5_BUI_MCI!$K$37,0),"")</f>
        <v/>
      </c>
      <c r="I1047" s="1446" t="str">
        <f>IF(D1047=TRUE,Comments!$B$24,"")</f>
        <v/>
      </c>
      <c r="J1047" s="1446" t="str">
        <f>IF(E1047=TRUE,Comments!$B$22&amp;DOLLAR(INDEX(Min_Table,M1047),0)&amp;Comments!$B$18&amp;DOLLAR(INDEX(Max_Table,M1047),0)&amp;Comments!$B$19&amp;IFERROR(DOLLAR(Page5_BUI_MCI!$M$37/Page5_BUI_MCI!$K$37,0),0),"")</f>
        <v/>
      </c>
      <c r="K1047" s="1452"/>
      <c r="L1047" s="611">
        <f>ROW(OR_VEH!$A$667)</f>
        <v>667</v>
      </c>
      <c r="M1047" s="611">
        <f>ROW(OR_VEH!$A$186)</f>
        <v>186</v>
      </c>
      <c r="N1047" s="611" t="str">
        <f>"CPTE # "&amp;Page5_BUI_MCI!$E$37&amp;"  "&amp;Page5_BUI_MCI!$C$37&amp;" - COÛT DES VENTES - AAD"</f>
        <v>CPTE # 432D  NE PAS UTILISER - COÛT DES VENTES - AAD</v>
      </c>
      <c r="O1047" s="611" t="str">
        <f t="shared" si="145"/>
        <v/>
      </c>
      <c r="P1047" s="611" t="str">
        <f t="shared" si="139"/>
        <v>Page5_BUI_MCI!M</v>
      </c>
      <c r="Q1047" s="611">
        <f t="shared" si="140"/>
        <v>37</v>
      </c>
      <c r="R1047" s="1447">
        <f t="shared" ca="1" si="141"/>
        <v>0</v>
      </c>
      <c r="S1047" s="1447">
        <f t="shared" ca="1" si="142"/>
        <v>0</v>
      </c>
      <c r="T1047" s="611">
        <v>22</v>
      </c>
      <c r="V1047" s="2557" t="str">
        <f t="shared" ca="1" si="143"/>
        <v/>
      </c>
      <c r="W1047" s="611" t="str">
        <f t="shared" ca="1" si="144"/>
        <v>Page5_BUI_MCI, Ligne 34 [Page5_BUI_MCI!M37]  -</v>
      </c>
    </row>
    <row r="1048" spans="1:23">
      <c r="A1048" s="1443" t="str">
        <f>celladdr(Page5_BUI_MCI!M38)</f>
        <v>Page5_BUI_MCI!M38</v>
      </c>
      <c r="B1048" s="1456" t="s">
        <v>1086</v>
      </c>
      <c r="C1048" s="1451" t="b">
        <f>IF(Page5_BUI_MCI!$K$38=0,FALSE,OR(Page5_BUI_MCI!$M$38/Page5_BUI_MCI!$K$38&lt;INDEX(Min_Table,L1048),Page5_BUI_MCI!$M$38/Page5_BUI_MCI!$K$38&gt;INDEX(Max_Table,L1048)))</f>
        <v>0</v>
      </c>
      <c r="D1048" s="1454" t="b">
        <f>OR(AND(Page5_BUI_MCI!$L38&lt;&gt;0,Page5_BUI_MCI!$M38=0),AND(Page5_BUI_MCI!$M38&lt;&gt;0,Page5_BUI_MCI!$L38=0))</f>
        <v>0</v>
      </c>
      <c r="E1048" s="1454" t="b">
        <f>IF(Page5_BUI_MCI!$K$38=0,FALSE,OR(Page5_BUI_MCI!$M$38/Page5_BUI_MCI!$K$38&lt;INDEX(Min_Table,M1048),Page5_BUI_MCI!$M$38/Page5_BUI_MCI!$K$38&gt;INDEX(Max_Table,M1048)))</f>
        <v>0</v>
      </c>
      <c r="F1048" s="1454"/>
      <c r="G1048" s="1444" t="str">
        <f t="shared" si="138"/>
        <v/>
      </c>
      <c r="H1048" s="1447" t="str">
        <f>IF(C1048=TRUE,Comments!$B$20&amp;DOLLAR(INDEX(Min_Table,L1048),0)&amp;Comments!$B$18&amp;DOLLAR(INDEX(Max_Table,L1048),0)&amp;Comments!$B$19&amp;DOLLAR(Page5_BUI_MCI!$M$38/Page5_BUI_MCI!$K$38,0),"")</f>
        <v/>
      </c>
      <c r="I1048" s="1446" t="str">
        <f>IF(D1048=TRUE,Comments!$B$24,"")</f>
        <v/>
      </c>
      <c r="J1048" s="1446" t="str">
        <f>IF(E1048=TRUE,Comments!$B$22&amp;DOLLAR(INDEX(Min_Table,M1048),0)&amp;Comments!$B$18&amp;DOLLAR(INDEX(Max_Table,M1048),0)&amp;Comments!$B$19&amp;IFERROR(DOLLAR(Page5_BUI_MCI!$M$38/Page5_BUI_MCI!$K$38,0),0),"")</f>
        <v/>
      </c>
      <c r="K1048" s="1452"/>
      <c r="L1048" s="611">
        <f>ROW(OR_VEH!$A$667)</f>
        <v>667</v>
      </c>
      <c r="M1048" s="611">
        <f>ROW(OR_VEH!$A$187)</f>
        <v>187</v>
      </c>
      <c r="N1048" s="611" t="str">
        <f>"CPTE # "&amp;Page5_BUI_MCI!$E$38&amp;"  "&amp;Page5_BUI_MCI!$C$38&amp;" - COÛT DES VENTES - AAD"</f>
        <v>CPTE # 433D  NE PAS UTILISER - COÛT DES VENTES - AAD</v>
      </c>
      <c r="O1048" s="611" t="str">
        <f t="shared" si="145"/>
        <v/>
      </c>
      <c r="P1048" s="611" t="str">
        <f t="shared" si="139"/>
        <v>Page5_BUI_MCI!M</v>
      </c>
      <c r="Q1048" s="611">
        <f t="shared" si="140"/>
        <v>38</v>
      </c>
      <c r="R1048" s="1447">
        <f t="shared" ca="1" si="141"/>
        <v>0</v>
      </c>
      <c r="S1048" s="1447">
        <f t="shared" ca="1" si="142"/>
        <v>0</v>
      </c>
      <c r="T1048" s="611">
        <v>22</v>
      </c>
      <c r="V1048" s="2557" t="str">
        <f t="shared" ca="1" si="143"/>
        <v/>
      </c>
      <c r="W1048" s="611" t="str">
        <f t="shared" ca="1" si="144"/>
        <v>Page5_BUI_MCI, Ligne 35 [Page5_BUI_MCI!M38]  -</v>
      </c>
    </row>
    <row r="1049" spans="1:23">
      <c r="A1049" s="1443" t="str">
        <f>celladdr(Page5_BUI_MCI!M39)</f>
        <v>Page5_BUI_MCI!M39</v>
      </c>
      <c r="B1049" s="1456" t="s">
        <v>1086</v>
      </c>
      <c r="C1049" s="1451" t="b">
        <f>IF(Page5_BUI_MCI!$K$39=0,FALSE,OR(Page5_BUI_MCI!$M$39/Page5_BUI_MCI!$K$39&lt;INDEX(Min_Table,L1049),Page5_BUI_MCI!$M$39/Page5_BUI_MCI!$K$39&gt;INDEX(Max_Table,L1049)))</f>
        <v>0</v>
      </c>
      <c r="D1049" s="1454" t="b">
        <f>OR(AND(Page5_BUI_MCI!$L39&lt;&gt;0,Page5_BUI_MCI!$M39=0),AND(Page5_BUI_MCI!$M39&lt;&gt;0,Page5_BUI_MCI!$L39=0))</f>
        <v>0</v>
      </c>
      <c r="E1049" s="1454" t="b">
        <f>IF(Page5_BUI_MCI!$K$39=0,FALSE,OR(Page5_BUI_MCI!$M$39/Page5_BUI_MCI!$K$39&lt;INDEX(Min_Table,M1049),Page5_BUI_MCI!$M$39/Page5_BUI_MCI!$K$39&gt;INDEX(Max_Table,M1049)))</f>
        <v>0</v>
      </c>
      <c r="F1049" s="1454"/>
      <c r="G1049" s="1444" t="str">
        <f t="shared" si="138"/>
        <v/>
      </c>
      <c r="H1049" s="1447" t="str">
        <f>IF(C1049=TRUE,Comments!$B$20&amp;DOLLAR(INDEX(Min_Table,L1049),0)&amp;Comments!$B$18&amp;DOLLAR(INDEX(Max_Table,L1049),0)&amp;Comments!$B$19&amp;DOLLAR(Page5_BUI_MCI!$M$39/Page5_BUI_MCI!$K$39,0),"")</f>
        <v/>
      </c>
      <c r="I1049" s="1446" t="str">
        <f>IF(D1049=TRUE,Comments!$B$24,"")</f>
        <v/>
      </c>
      <c r="J1049" s="1446" t="str">
        <f>IF(E1049=TRUE,Comments!$B$22&amp;DOLLAR(INDEX(Min_Table,M1049),0)&amp;Comments!$B$18&amp;DOLLAR(INDEX(Max_Table,M1049),0)&amp;Comments!$B$19&amp;IFERROR(DOLLAR(Page5_BUI_MCI!$M$39/Page5_BUI_MCI!$K$39,0),0),"")</f>
        <v/>
      </c>
      <c r="K1049" s="1452"/>
      <c r="L1049" s="611">
        <f>ROW(OR_VEH!$A$667)</f>
        <v>667</v>
      </c>
      <c r="M1049" s="611">
        <f>ROW(OR_VEH!$A$188)</f>
        <v>188</v>
      </c>
      <c r="N1049" s="611" t="str">
        <f>"CPTE # "&amp;Page5_BUI_MCI!$E$39&amp;"  "&amp;Page5_BUI_MCI!$C$39&amp;" - COÛT DES VENTES - AAD"</f>
        <v>CPTE # 434D  NE PAS UTILISER - COÛT DES VENTES - AAD</v>
      </c>
      <c r="O1049" s="611" t="str">
        <f t="shared" si="145"/>
        <v/>
      </c>
      <c r="P1049" s="611" t="str">
        <f t="shared" si="139"/>
        <v>Page5_BUI_MCI!M</v>
      </c>
      <c r="Q1049" s="611">
        <f t="shared" si="140"/>
        <v>39</v>
      </c>
      <c r="R1049" s="1447">
        <f t="shared" ca="1" si="141"/>
        <v>0</v>
      </c>
      <c r="S1049" s="1447">
        <f t="shared" ca="1" si="142"/>
        <v>0</v>
      </c>
      <c r="T1049" s="611">
        <v>22</v>
      </c>
      <c r="V1049" s="2557" t="str">
        <f t="shared" ca="1" si="143"/>
        <v/>
      </c>
      <c r="W1049" s="611" t="str">
        <f t="shared" ca="1" si="144"/>
        <v>Page5_BUI_MCI, Ligne 36 [Page5_BUI_MCI!M39]  -</v>
      </c>
    </row>
    <row r="1050" spans="1:23">
      <c r="A1050" s="1443" t="str">
        <f>celladdr(Page5_BUI_MCI!M40)</f>
        <v>Page5_BUI_MCI!M40</v>
      </c>
      <c r="B1050" s="1456" t="s">
        <v>1086</v>
      </c>
      <c r="C1050" s="1451" t="b">
        <f>IF(Page5_BUI_MCI!$K$40=0,FALSE,OR(Page5_BUI_MCI!$M$40/Page5_BUI_MCI!$K$40&lt;INDEX(Min_Table,L1050),Page5_BUI_MCI!$M$40/Page5_BUI_MCI!$K$40&gt;INDEX(Max_Table,L1050)))</f>
        <v>0</v>
      </c>
      <c r="D1050" s="1454" t="b">
        <f>OR(AND(Page5_BUI_MCI!$L40&lt;&gt;0,Page5_BUI_MCI!$M40=0),AND(Page5_BUI_MCI!$M40&lt;&gt;0,Page5_BUI_MCI!$L40=0))</f>
        <v>0</v>
      </c>
      <c r="E1050" s="1454" t="b">
        <f>IF(Page5_BUI_MCI!$K$40=0,FALSE,OR(Page5_BUI_MCI!$M$40/Page5_BUI_MCI!$K$40&lt;INDEX(Min_Table,M1050),Page5_BUI_MCI!$M$40/Page5_BUI_MCI!$K$40&gt;INDEX(Max_Table,M1050)))</f>
        <v>0</v>
      </c>
      <c r="F1050" s="1454"/>
      <c r="G1050" s="1444" t="str">
        <f t="shared" si="138"/>
        <v/>
      </c>
      <c r="H1050" s="1447" t="str">
        <f>IF(C1050=TRUE,Comments!$B$20&amp;DOLLAR(INDEX(Min_Table,L1050),0)&amp;Comments!$B$18&amp;DOLLAR(INDEX(Max_Table,L1050),0)&amp;Comments!$B$19&amp;DOLLAR(Page5_BUI_MCI!$M$40/Page5_BUI_MCI!$K$40,0),"")</f>
        <v/>
      </c>
      <c r="I1050" s="1446" t="str">
        <f>IF(D1050=TRUE,Comments!$B$24,"")</f>
        <v/>
      </c>
      <c r="J1050" s="1446" t="str">
        <f>IF(E1050=TRUE,Comments!$B$22&amp;DOLLAR(INDEX(Min_Table,M1050),0)&amp;Comments!$B$18&amp;DOLLAR(INDEX(Max_Table,M1050),0)&amp;Comments!$B$19&amp;IFERROR(DOLLAR(Page5_BUI_MCI!$M$40/Page5_BUI_MCI!$K$40,0),0),"")</f>
        <v/>
      </c>
      <c r="K1050" s="1452"/>
      <c r="L1050" s="611">
        <f>ROW(OR_VEH!$A$667)</f>
        <v>667</v>
      </c>
      <c r="M1050" s="611">
        <f>ROW(OR_VEH!$A$189)</f>
        <v>189</v>
      </c>
      <c r="N1050" s="611" t="str">
        <f>"CPTE # "&amp;Page5_BUI_MCI!$E$40&amp;"  "&amp;Page5_BUI_MCI!$C$40&amp;" - COÛT DES VENTES - AAD"</f>
        <v>CPTE # 435D  NE PAS UTILISER - COÛT DES VENTES - AAD</v>
      </c>
      <c r="O1050" s="611" t="str">
        <f t="shared" si="145"/>
        <v/>
      </c>
      <c r="P1050" s="611" t="str">
        <f t="shared" si="139"/>
        <v>Page5_BUI_MCI!M</v>
      </c>
      <c r="Q1050" s="611">
        <f t="shared" si="140"/>
        <v>40</v>
      </c>
      <c r="R1050" s="1447">
        <f t="shared" ca="1" si="141"/>
        <v>0</v>
      </c>
      <c r="S1050" s="1447">
        <f t="shared" ca="1" si="142"/>
        <v>0</v>
      </c>
      <c r="T1050" s="611">
        <v>22</v>
      </c>
      <c r="V1050" s="2557" t="str">
        <f t="shared" ca="1" si="143"/>
        <v/>
      </c>
      <c r="W1050" s="611" t="str">
        <f t="shared" ca="1" si="144"/>
        <v>Page5_BUI_MCI, Ligne 37 [Page5_BUI_MCI!M40]  -</v>
      </c>
    </row>
    <row r="1051" spans="1:23">
      <c r="A1051" s="1443" t="str">
        <f>celladdr(Page5_BUI_MCI!M41)</f>
        <v>Page5_BUI_MCI!M41</v>
      </c>
      <c r="B1051" s="1456" t="s">
        <v>1086</v>
      </c>
      <c r="C1051" s="1451" t="b">
        <f>IF(Page5_BUI_MCI!$K$41=0,FALSE,OR(Page5_BUI_MCI!$M$41/Page5_BUI_MCI!$K$41&lt;INDEX(Min_Table,L1051),Page5_BUI_MCI!$M$41/Page5_BUI_MCI!$K$41&gt;INDEX(Max_Table,L1051)))</f>
        <v>0</v>
      </c>
      <c r="D1051" s="1454" t="b">
        <f>OR(AND(Page5_BUI_MCI!$L41&lt;&gt;0,Page5_BUI_MCI!$M41=0),AND(Page5_BUI_MCI!$M41&lt;&gt;0,Page5_BUI_MCI!$L41=0))</f>
        <v>0</v>
      </c>
      <c r="E1051" s="1454" t="b">
        <f>IF(Page5_BUI_MCI!$K$41=0,FALSE,OR(Page5_BUI_MCI!$M$41/Page5_BUI_MCI!$K$41&lt;INDEX(Min_Table,M1051),Page5_BUI_MCI!$M$41/Page5_BUI_MCI!$K$41&gt;INDEX(Max_Table,M1051)))</f>
        <v>0</v>
      </c>
      <c r="F1051" s="1454"/>
      <c r="G1051" s="1444" t="str">
        <f t="shared" si="138"/>
        <v/>
      </c>
      <c r="H1051" s="1447" t="str">
        <f>IF(C1051=TRUE,Comments!$B$20&amp;DOLLAR(INDEX(Min_Table,L1051),0)&amp;Comments!$B$18&amp;DOLLAR(INDEX(Max_Table,L1051),0)&amp;Comments!$B$19&amp;DOLLAR(Page5_BUI_MCI!$M$41/Page5_BUI_MCI!$K$41,0),"")</f>
        <v/>
      </c>
      <c r="I1051" s="1446" t="str">
        <f>IF(D1051=TRUE,Comments!$B$24,"")</f>
        <v/>
      </c>
      <c r="J1051" s="1446" t="str">
        <f>IF(E1051=TRUE,Comments!$B$22&amp;DOLLAR(INDEX(Min_Table,M1051),0)&amp;Comments!$B$18&amp;DOLLAR(INDEX(Max_Table,M1051),0)&amp;Comments!$B$19&amp;IFERROR(DOLLAR(Page5_BUI_MCI!$M$41/Page5_BUI_MCI!$K$41,0),0),"")</f>
        <v/>
      </c>
      <c r="K1051" s="1452"/>
      <c r="L1051" s="611">
        <f>ROW(OR_VEH!$A$667)</f>
        <v>667</v>
      </c>
      <c r="M1051" s="611">
        <f>ROW(OR_VEH!$A$190)</f>
        <v>190</v>
      </c>
      <c r="N1051" s="611" t="str">
        <f>"CPTE # "&amp;Page5_BUI_MCI!$E$41&amp;"  "&amp;Page5_BUI_MCI!$C$41&amp;" - COÛT DES VENTES - AAD"</f>
        <v>CPTE # 436D  NE PAS UTILISER - COÛT DES VENTES - AAD</v>
      </c>
      <c r="O1051" s="611" t="str">
        <f t="shared" si="145"/>
        <v/>
      </c>
      <c r="P1051" s="611" t="str">
        <f t="shared" si="139"/>
        <v>Page5_BUI_MCI!M</v>
      </c>
      <c r="Q1051" s="611">
        <f t="shared" si="140"/>
        <v>41</v>
      </c>
      <c r="R1051" s="1447">
        <f t="shared" ca="1" si="141"/>
        <v>0</v>
      </c>
      <c r="S1051" s="1447">
        <f t="shared" ca="1" si="142"/>
        <v>0</v>
      </c>
      <c r="T1051" s="611">
        <v>22</v>
      </c>
      <c r="V1051" s="2557" t="str">
        <f t="shared" ca="1" si="143"/>
        <v/>
      </c>
      <c r="W1051" s="611" t="str">
        <f t="shared" ca="1" si="144"/>
        <v>Page5_BUI_MCI, Ligne 38 [Page5_BUI_MCI!M41]  -</v>
      </c>
    </row>
    <row r="1052" spans="1:23">
      <c r="A1052" s="1443" t="str">
        <f>celladdr(Page5_BUI_MCI!M42)</f>
        <v>Page5_BUI_MCI!M42</v>
      </c>
      <c r="B1052" s="1456" t="s">
        <v>1086</v>
      </c>
      <c r="C1052" s="1451"/>
      <c r="D1052" s="1454"/>
      <c r="E1052" s="1454"/>
      <c r="F1052" s="1454"/>
      <c r="G1052" s="1444" t="str">
        <f t="shared" si="138"/>
        <v/>
      </c>
      <c r="I1052" s="1446"/>
      <c r="J1052" s="1446"/>
      <c r="K1052" s="1452"/>
      <c r="L1052" s="611">
        <f>ROW(OR_VEH!$A$667)</f>
        <v>667</v>
      </c>
      <c r="M1052" s="611">
        <f>ROW(OR_VEH!$A$191)</f>
        <v>191</v>
      </c>
      <c r="N1052" s="611" t="str">
        <f>"CPTE # "&amp;Page5_BUI_MCI!$E$42&amp;"  "&amp;Page5_BUI_MCI!$C$42&amp;" - COÛT DES VENTES - AAD"</f>
        <v>CPTE # 437D  POUR USAGE FUTUR - COÛT DES VENTES - AAD</v>
      </c>
      <c r="O1052" s="611" t="str">
        <f t="shared" si="145"/>
        <v/>
      </c>
      <c r="P1052" s="611" t="str">
        <f t="shared" si="139"/>
        <v>Page5_BUI_MCI!M</v>
      </c>
      <c r="Q1052" s="611">
        <f t="shared" si="140"/>
        <v>42</v>
      </c>
      <c r="R1052" s="1447">
        <f t="shared" ca="1" si="141"/>
        <v>0</v>
      </c>
      <c r="S1052" s="1447">
        <f t="shared" ca="1" si="142"/>
        <v>0</v>
      </c>
      <c r="T1052" s="611">
        <v>22</v>
      </c>
      <c r="V1052" s="2557" t="str">
        <f t="shared" ca="1" si="143"/>
        <v/>
      </c>
      <c r="W1052" s="611" t="str">
        <f t="shared" ca="1" si="144"/>
        <v>Page5_BUI_MCI, Ligne 39 [Page5_BUI_MCI!M42]  -</v>
      </c>
    </row>
    <row r="1053" spans="1:23">
      <c r="A1053" s="1443" t="str">
        <f>celladdr(Page5_BUI_MCI!M43)</f>
        <v>Page5_BUI_MCI!M43</v>
      </c>
      <c r="B1053" s="1456" t="s">
        <v>1086</v>
      </c>
      <c r="C1053" s="1451" t="b">
        <f>IF(Page5_BUI_MCI!$K$43=0,FALSE,OR(Page5_BUI_MCI!$M$43/Page5_BUI_MCI!$K$43&lt;INDEX(Min_Table,L1053),Page5_BUI_MCI!$M$43/Page5_BUI_MCI!$K$43&gt;INDEX(Max_Table,L1053)))</f>
        <v>0</v>
      </c>
      <c r="D1053" s="1454" t="b">
        <f>OR(AND(Page5_BUI_MCI!$L43&lt;&gt;0,Page5_BUI_MCI!$M43=0),AND(Page5_BUI_MCI!$M43&lt;&gt;0,Page5_BUI_MCI!$L43=0))</f>
        <v>0</v>
      </c>
      <c r="E1053" s="1454" t="b">
        <f>IF(Page5_BUI_MCI!$K$43=0,FALSE,OR(Page5_BUI_MCI!$M$43/Page5_BUI_MCI!$K$43&lt;INDEX(Min_Table,M1053),Page5_BUI_MCI!$M$43/Page5_BUI_MCI!$K$43&gt;INDEX(Max_Table,M1053)))</f>
        <v>0</v>
      </c>
      <c r="F1053" s="1454"/>
      <c r="G1053" s="1444" t="str">
        <f t="shared" si="138"/>
        <v/>
      </c>
      <c r="H1053" s="1447" t="str">
        <f>IF(C1053=TRUE,Comments!$B$20&amp;DOLLAR(INDEX(Min_Table,L1053),0)&amp;Comments!$B$18&amp;DOLLAR(INDEX(Max_Table,L1053),0)&amp;Comments!$B$19&amp;DOLLAR(Page5_BUI_MCI!$M$43/Page5_BUI_MCI!$K$43,0),"")</f>
        <v/>
      </c>
      <c r="I1053" s="1446" t="str">
        <f>IF(D1053=TRUE,Comments!$B$24,"")</f>
        <v/>
      </c>
      <c r="J1053" s="1446" t="str">
        <f>IF(E1053=TRUE,Comments!$B$22&amp;DOLLAR(INDEX(Min_Table,M1053),0)&amp;Comments!$B$18&amp;DOLLAR(INDEX(Max_Table,M1053),0)&amp;Comments!$B$19&amp;IFERROR(DOLLAR(Page5_BUI_MCI!$M$43/Page5_BUI_MCI!$K$43,0),0),"")</f>
        <v/>
      </c>
      <c r="K1053" s="1452"/>
      <c r="L1053" s="611">
        <f>ROW(OR_VEH!$A$667)</f>
        <v>667</v>
      </c>
      <c r="M1053" s="611">
        <f>ROW(OR_VEH!$A$192)</f>
        <v>192</v>
      </c>
      <c r="N1053" s="611" t="str">
        <f>"CPTE # "&amp;Page5_BUI_MCI!$E$43&amp;"  "&amp;Page5_BUI_MCI!$C$43&amp;" - COÛT DES VENTES - AAD"</f>
        <v>CPTE # 438D  AUTRES CAMIONS GM - COÛT DES VENTES - AAD</v>
      </c>
      <c r="O1053" s="611" t="str">
        <f t="shared" si="145"/>
        <v/>
      </c>
      <c r="P1053" s="611" t="str">
        <f t="shared" si="139"/>
        <v>Page5_BUI_MCI!M</v>
      </c>
      <c r="Q1053" s="611">
        <f t="shared" si="140"/>
        <v>43</v>
      </c>
      <c r="R1053" s="1447">
        <f t="shared" ca="1" si="141"/>
        <v>0</v>
      </c>
      <c r="S1053" s="1447">
        <f t="shared" ca="1" si="142"/>
        <v>0</v>
      </c>
      <c r="T1053" s="611">
        <v>22</v>
      </c>
      <c r="V1053" s="2557" t="str">
        <f t="shared" ca="1" si="143"/>
        <v/>
      </c>
      <c r="W1053" s="611" t="str">
        <f t="shared" ca="1" si="144"/>
        <v>Page5_BUI_MCI, Ligne 40 [Page5_BUI_MCI!M43]  -</v>
      </c>
    </row>
    <row r="1054" spans="1:23">
      <c r="A1054" s="1443" t="str">
        <f>celladdr(Page5_BUI_MCI!M44)</f>
        <v>Page5_BUI_MCI!M44</v>
      </c>
      <c r="B1054" s="1444" t="s">
        <v>1086</v>
      </c>
      <c r="C1054" s="1451"/>
      <c r="D1054" s="1454"/>
      <c r="E1054" s="1454"/>
      <c r="F1054" s="1454"/>
      <c r="G1054" s="1444" t="str">
        <f t="shared" si="138"/>
        <v/>
      </c>
      <c r="H1054" s="1447" t="str">
        <f>IF(C1054=TRUE,Comments!$B$26,"")</f>
        <v/>
      </c>
      <c r="I1054" s="1446" t="str">
        <f>IF(D1054=TRUE,Comments!$B$24,"")</f>
        <v/>
      </c>
      <c r="J1054" s="1446"/>
      <c r="K1054" s="1452"/>
      <c r="O1054" s="611" t="str">
        <f t="shared" si="145"/>
        <v/>
      </c>
      <c r="P1054" s="611" t="str">
        <f t="shared" si="139"/>
        <v>Page5_BUI_MCI!M</v>
      </c>
      <c r="Q1054" s="611">
        <f t="shared" si="140"/>
        <v>44</v>
      </c>
      <c r="R1054" s="1447">
        <f t="shared" ca="1" si="141"/>
        <v>0</v>
      </c>
      <c r="S1054" s="1447">
        <f t="shared" ca="1" si="142"/>
        <v>0</v>
      </c>
      <c r="V1054" s="2557" t="str">
        <f t="shared" ca="1" si="143"/>
        <v/>
      </c>
      <c r="W1054" s="611" t="str">
        <f t="shared" ca="1" si="144"/>
        <v>Page5_BUI_MCI, Ligne 41 [Page5_BUI_MCI!M44]  -</v>
      </c>
    </row>
    <row r="1055" spans="1:23">
      <c r="A1055" s="1443" t="str">
        <f>celladdr(Page5_BUI_MCI!M45)</f>
        <v>Page5_BUI_MCI!M45</v>
      </c>
      <c r="B1055" s="1456" t="s">
        <v>1086</v>
      </c>
      <c r="C1055" s="1451" t="b">
        <f>IF(Page5_BUI_MCI!$K$45=0,FALSE,OR(Page5_BUI_MCI!$M$45/Page5_BUI_MCI!$K$45&lt;INDEX(Min_Table,L1055),Page5_BUI_MCI!$M$45/Page5_BUI_MCI!$K$45&gt;INDEX(Max_Table,L1055)))</f>
        <v>0</v>
      </c>
      <c r="D1055" s="1454" t="b">
        <f>OR(AND(Page5_BUI_MCI!$L45&lt;&gt;0,Page5_BUI_MCI!$M45=0),AND(Page5_BUI_MCI!$M45&lt;&gt;0,Page5_BUI_MCI!$L45=0))</f>
        <v>0</v>
      </c>
      <c r="E1055" s="1454" t="b">
        <f>IF(Page5_BUI_MCI!$K$45=0,FALSE,OR(Page5_BUI_MCI!$M$45/Page5_BUI_MCI!$K$45&lt;INDEX(Min_Table,M1055),Page5_BUI_MCI!$M$45/Page5_BUI_MCI!$K$45&gt;INDEX(Max_Table,M1055)))</f>
        <v>0</v>
      </c>
      <c r="F1055" s="1454"/>
      <c r="G1055" s="1444" t="str">
        <f t="shared" si="138"/>
        <v/>
      </c>
      <c r="H1055" s="1447" t="str">
        <f>IF(C1055=TRUE,Comments!$B$20&amp;DOLLAR(INDEX(Min_Table,L1055),0)&amp;Comments!$B$18&amp;DOLLAR(INDEX(Max_Table,L1055),0)&amp;Comments!$B$19&amp;DOLLAR(Page5_BUI_MCI!$M$45/Page5_BUI_MCI!$K$45,0),"")</f>
        <v/>
      </c>
      <c r="I1055" s="1446" t="str">
        <f>IF(D1055=TRUE,Comments!$B$24,"")</f>
        <v/>
      </c>
      <c r="J1055" s="1446" t="str">
        <f>IF(E1055=TRUE,Comments!$B$22&amp;DOLLAR(INDEX(Min_Table,M1055),0)&amp;Comments!$B$18&amp;DOLLAR(INDEX(Max_Table,M1055),0)&amp;Comments!$B$19&amp;IFERROR(DOLLAR(Page5_BUI_MCI!$M$45/Page5_BUI_MCI!$K$45,0),0),"")</f>
        <v/>
      </c>
      <c r="K1055" s="1452"/>
      <c r="L1055" s="611">
        <f>ROW(OR_VEH!$A$667)</f>
        <v>667</v>
      </c>
      <c r="M1055" s="611">
        <f>ROW(OR_VEH!$A$194)</f>
        <v>194</v>
      </c>
      <c r="N1055" s="611" t="str">
        <f>"CPTE # "&amp;Page5_BUI_MCI!$E$45&amp;"  "&amp;Page5_BUI_MCI!$C$45&amp;" - COÛT DES VENTES - AAD"</f>
        <v>CPTE # 439D  MÉMO* VENTES INTERNET CAMIONS - COÛT DES VENTES - AAD</v>
      </c>
      <c r="O1055" s="611" t="str">
        <f t="shared" si="145"/>
        <v/>
      </c>
      <c r="P1055" s="611" t="str">
        <f t="shared" si="139"/>
        <v>Page5_BUI_MCI!M</v>
      </c>
      <c r="Q1055" s="611">
        <f t="shared" si="140"/>
        <v>45</v>
      </c>
      <c r="R1055" s="1447">
        <f t="shared" ca="1" si="141"/>
        <v>0</v>
      </c>
      <c r="S1055" s="1447">
        <f t="shared" ca="1" si="142"/>
        <v>0</v>
      </c>
      <c r="T1055" s="611">
        <v>22</v>
      </c>
      <c r="V1055" s="2557" t="str">
        <f t="shared" ca="1" si="143"/>
        <v/>
      </c>
      <c r="W1055" s="611" t="str">
        <f t="shared" ca="1" si="144"/>
        <v>Page5_BUI_MCI, Ligne 42 [Page5_BUI_MCI!M45]  -</v>
      </c>
    </row>
    <row r="1056" spans="1:23">
      <c r="A1056" s="1443" t="str">
        <f>celladdr(Page5_BUI_MCI!M46)</f>
        <v>Page5_BUI_MCI!M46</v>
      </c>
      <c r="B1056" s="1456" t="s">
        <v>1086</v>
      </c>
      <c r="C1056" s="1451" t="b">
        <f>IF(Page5_BUI_MCI!$K$46=0,FALSE,OR(Page5_BUI_MCI!$M$46/Page5_BUI_MCI!$K$46&lt;INDEX(Min_Table,L1056),Page5_BUI_MCI!$M$46/Page5_BUI_MCI!$K$46&gt;INDEX(Max_Table,L1056)))</f>
        <v>0</v>
      </c>
      <c r="D1056" s="1454" t="b">
        <f>OR(AND(Page5_BUI_MCI!$L46&lt;&gt;0,Page5_BUI_MCI!$M46=0),AND(Page5_BUI_MCI!$M46&lt;&gt;0,Page5_BUI_MCI!$L46=0))</f>
        <v>0</v>
      </c>
      <c r="E1056" s="1454" t="b">
        <f>IF(Page5_BUI_MCI!$K$46=0,FALSE,OR(Page5_BUI_MCI!$M$46/Page5_BUI_MCI!$K$46&lt;INDEX(Min_Table,M1056),Page5_BUI_MCI!$M$46/Page5_BUI_MCI!$K$46&gt;INDEX(Max_Table,M1056)))</f>
        <v>0</v>
      </c>
      <c r="F1056" s="1454"/>
      <c r="G1056" s="1444" t="str">
        <f t="shared" si="138"/>
        <v/>
      </c>
      <c r="H1056" s="1447" t="str">
        <f>IF(C1056=TRUE,Comments!$B$20&amp;DOLLAR(INDEX(Min_Table,L1056),0)&amp;Comments!$B$18&amp;DOLLAR(INDEX(Max_Table,L1056),0)&amp;Comments!$B$19&amp;DOLLAR(Page5_BUI_MCI!$M$46/Page5_BUI_MCI!$K$46,0),"")</f>
        <v/>
      </c>
      <c r="I1056" s="1446" t="str">
        <f>IF(D1056=TRUE,Comments!$B$24,"")</f>
        <v/>
      </c>
      <c r="J1056" s="1446" t="str">
        <f>IF(E1056=TRUE,Comments!$B$22&amp;DOLLAR(INDEX(Min_Table,M1056),0)&amp;Comments!$B$18&amp;DOLLAR(INDEX(Max_Table,M1056),0)&amp;Comments!$B$19&amp;IFERROR(DOLLAR(Page5_BUI_MCI!$M$46/Page5_BUI_MCI!$K$46,0),0),"")</f>
        <v/>
      </c>
      <c r="K1056" s="1452"/>
      <c r="L1056" s="611">
        <f>ROW(OR_VEH!$A$667)</f>
        <v>667</v>
      </c>
      <c r="M1056" s="611">
        <f>ROW(OR_VEH!$A$195)</f>
        <v>195</v>
      </c>
      <c r="N1056" s="611" t="str">
        <f>"CPTE # "&amp;Page5_BUI_MCI!$E$46&amp;"  "&amp;Page5_BUI_MCI!$C$46&amp;" - COÛT DES VENTES - AAD"</f>
        <v>CPTE # DE PG PARCS  TOTAL PARCS - CAMIONS - COÛT DES VENTES - AAD</v>
      </c>
      <c r="O1056" s="611" t="str">
        <f t="shared" si="145"/>
        <v/>
      </c>
      <c r="P1056" s="611" t="str">
        <f t="shared" si="139"/>
        <v>Page5_BUI_MCI!M</v>
      </c>
      <c r="Q1056" s="611">
        <f t="shared" si="140"/>
        <v>46</v>
      </c>
      <c r="R1056" s="1447">
        <f t="shared" ca="1" si="141"/>
        <v>0</v>
      </c>
      <c r="S1056" s="1447">
        <f t="shared" ca="1" si="142"/>
        <v>0</v>
      </c>
      <c r="T1056" s="611">
        <v>22</v>
      </c>
      <c r="V1056" s="2557" t="str">
        <f t="shared" ca="1" si="143"/>
        <v/>
      </c>
      <c r="W1056" s="611" t="str">
        <f t="shared" ca="1" si="144"/>
        <v>Page5_BUI_MCI, Ligne 43 [Page5_BUI_MCI!M46]  -</v>
      </c>
    </row>
    <row r="1057" spans="1:23">
      <c r="A1057" s="1443" t="str">
        <f>celladdr(Page5_BUI_MCI!M47)</f>
        <v>Page5_BUI_MCI!M47</v>
      </c>
      <c r="B1057" s="1456" t="s">
        <v>1086</v>
      </c>
      <c r="C1057" s="1451" t="b">
        <f>IF(Page5_BUI_MCI!$K$47=0,FALSE,OR(Page5_BUI_MCI!$M$47/Page5_BUI_MCI!$K$47&lt;INDEX(Min_Table,L1057),Page5_BUI_MCI!$M$47/Page5_BUI_MCI!$K$47&gt;INDEX(Max_Table,L1057)))</f>
        <v>0</v>
      </c>
      <c r="D1057" s="1454" t="b">
        <f>OR(AND(Page5_BUI_MCI!$L47&lt;&gt;0,Page5_BUI_MCI!$M47=0),AND(Page5_BUI_MCI!$M47&lt;&gt;0,Page5_BUI_MCI!$L47=0))</f>
        <v>0</v>
      </c>
      <c r="E1057" s="1454" t="b">
        <f>IF(Page5_BUI_MCI!$K$47=0,FALSE,OR(Page5_BUI_MCI!$M$47/Page5_BUI_MCI!$K$47&lt;INDEX(Min_Table,M1057),Page5_BUI_MCI!$M$47/Page5_BUI_MCI!$K$47&gt;INDEX(Max_Table,M1057)))</f>
        <v>0</v>
      </c>
      <c r="F1057" s="1454"/>
      <c r="G1057" s="1444" t="str">
        <f t="shared" si="138"/>
        <v/>
      </c>
      <c r="H1057" s="1447" t="str">
        <f>IF(C1057=TRUE,Comments!$B$20&amp;DOLLAR(INDEX(Min_Table,L1057),0)&amp;Comments!$B$18&amp;DOLLAR(INDEX(Max_Table,L1057),0)&amp;Comments!$B$19&amp;DOLLAR(Page5_BUI_MCI!$M$47/Page5_BUI_MCI!$K$47,0),"")</f>
        <v/>
      </c>
      <c r="I1057" s="1446" t="str">
        <f>IF(D1057=TRUE,Comments!$B$24,"")</f>
        <v/>
      </c>
      <c r="J1057" s="1446" t="str">
        <f>IF(E1057=TRUE,Comments!$B$22&amp;DOLLAR(INDEX(Min_Table,M1057),0)&amp;Comments!$B$18&amp;DOLLAR(INDEX(Max_Table,M1057),0)&amp;Comments!$B$19&amp;IFERROR(DOLLAR(Page5_BUI_MCI!$M$47/Page5_BUI_MCI!$K$47,0),0),"")</f>
        <v/>
      </c>
      <c r="K1057" s="1452"/>
      <c r="L1057" s="611">
        <f>ROW(OR_VEH!$A$667)</f>
        <v>667</v>
      </c>
      <c r="M1057" s="611">
        <f>ROW(OR_VEH!$A$196)</f>
        <v>196</v>
      </c>
      <c r="N1057" s="611" t="str">
        <f>"CPTE # "&amp;Page5_BUI_MCI!$E$47&amp;"  "&amp;Page5_BUI_MCI!$C$47&amp;" - COÛT DES VENTES - AAD"</f>
        <v>CPTE # 441D  TOTAL IINTERNE - CAMIONS  - COÛT DES VENTES - AAD</v>
      </c>
      <c r="O1057" s="611" t="str">
        <f t="shared" si="145"/>
        <v/>
      </c>
      <c r="P1057" s="611" t="str">
        <f t="shared" si="139"/>
        <v>Page5_BUI_MCI!M</v>
      </c>
      <c r="Q1057" s="611">
        <f t="shared" si="140"/>
        <v>47</v>
      </c>
      <c r="R1057" s="1447">
        <f t="shared" ca="1" si="141"/>
        <v>0</v>
      </c>
      <c r="S1057" s="1447">
        <f t="shared" ca="1" si="142"/>
        <v>0</v>
      </c>
      <c r="T1057" s="611">
        <v>22</v>
      </c>
      <c r="V1057" s="2557" t="str">
        <f t="shared" ca="1" si="143"/>
        <v/>
      </c>
      <c r="W1057" s="611" t="str">
        <f t="shared" ca="1" si="144"/>
        <v>Page5_BUI_MCI, Ligne 44 [Page5_BUI_MCI!M47]  -</v>
      </c>
    </row>
    <row r="1058" spans="1:23">
      <c r="A1058" s="1443" t="str">
        <f>celladdr(Page5_BUI_MCI!M48)</f>
        <v>Page5_BUI_MCI!M48</v>
      </c>
      <c r="B1058" s="1444" t="s">
        <v>1086</v>
      </c>
      <c r="C1058" s="1451"/>
      <c r="D1058" s="1454"/>
      <c r="E1058" s="1454"/>
      <c r="F1058" s="1454"/>
      <c r="G1058" s="1444" t="str">
        <f t="shared" si="138"/>
        <v/>
      </c>
      <c r="H1058" s="1447" t="str">
        <f>IF(C1058=TRUE,Comments!$B$26,"")</f>
        <v/>
      </c>
      <c r="I1058" s="1446" t="str">
        <f>IF(D1058=TRUE,Comments!$B$24,"")</f>
        <v/>
      </c>
      <c r="J1058" s="1446"/>
      <c r="K1058" s="1452"/>
      <c r="O1058" s="611" t="str">
        <f t="shared" si="145"/>
        <v/>
      </c>
      <c r="P1058" s="611" t="str">
        <f t="shared" si="139"/>
        <v>Page5_BUI_MCI!M</v>
      </c>
      <c r="Q1058" s="611">
        <f t="shared" si="140"/>
        <v>48</v>
      </c>
      <c r="R1058" s="1447">
        <f t="shared" ca="1" si="141"/>
        <v>0</v>
      </c>
      <c r="S1058" s="1447">
        <f t="shared" ca="1" si="142"/>
        <v>0</v>
      </c>
      <c r="V1058" s="2557" t="str">
        <f t="shared" ca="1" si="143"/>
        <v/>
      </c>
      <c r="W1058" s="611" t="str">
        <f t="shared" ca="1" si="144"/>
        <v>Page5_BUI_MCI, Ligne 45 [Page5_BUI_MCI!M48]  -</v>
      </c>
    </row>
    <row r="1059" spans="1:23">
      <c r="A1059" s="1443" t="str">
        <f>celladdr(Page5_BUI_MCI!M49)</f>
        <v>Page5_BUI_MCI!M49</v>
      </c>
      <c r="B1059" s="1456" t="s">
        <v>1086</v>
      </c>
      <c r="C1059" s="1451"/>
      <c r="D1059" s="1454" t="b">
        <f>OR(AND(Page5_BUI_MCI!$L49&lt;&gt;0,Page5_BUI_MCI!$M49=0),AND(Page5_BUI_MCI!$M49&lt;&gt;0,Page5_BUI_MCI!$L49=0))</f>
        <v>0</v>
      </c>
      <c r="E1059" s="1454"/>
      <c r="F1059" s="1454"/>
      <c r="G1059" s="1444" t="str">
        <f t="shared" si="138"/>
        <v/>
      </c>
      <c r="I1059" s="1446" t="str">
        <f>IF(D1059=TRUE,Comments!$B$24,"")</f>
        <v/>
      </c>
      <c r="J1059" s="1446"/>
      <c r="K1059" s="1452"/>
      <c r="N1059" s="611" t="str">
        <f>"CPTE # "&amp;Page5_BUI_MCI!$E$49&amp;"  "&amp;Page5_BUI_MCI!$C$49&amp;" - COÛT DES VENTES - AAD"</f>
        <v>CPTE #      - COÛT DES VENTES - AAD</v>
      </c>
      <c r="O1059" s="611" t="str">
        <f t="shared" si="145"/>
        <v/>
      </c>
      <c r="P1059" s="611" t="str">
        <f t="shared" si="139"/>
        <v>Page5_BUI_MCI!M</v>
      </c>
      <c r="Q1059" s="611">
        <f t="shared" si="140"/>
        <v>49</v>
      </c>
      <c r="R1059" s="1447">
        <f t="shared" ca="1" si="141"/>
        <v>0</v>
      </c>
      <c r="S1059" s="1447">
        <f t="shared" ca="1" si="142"/>
        <v>0</v>
      </c>
      <c r="V1059" s="2557" t="str">
        <f t="shared" ca="1" si="143"/>
        <v/>
      </c>
      <c r="W1059" s="611" t="str">
        <f t="shared" ca="1" si="144"/>
        <v>Page5_BUI_MCI, Ligne 46 [Page5_BUI_MCI!M49]  -</v>
      </c>
    </row>
    <row r="1060" spans="1:23">
      <c r="A1060" s="1443" t="str">
        <f>celladdr(Page5_BUI_MCI!M50)</f>
        <v>Page5_BUI_MCI!M50</v>
      </c>
      <c r="B1060" s="1456" t="s">
        <v>1086</v>
      </c>
      <c r="C1060" s="1451"/>
      <c r="D1060" s="1454" t="b">
        <f>OR(AND(Page5_BUI_MCI!$L50&lt;&gt;0,Page5_BUI_MCI!$M50=0),AND(Page5_BUI_MCI!$M50&lt;&gt;0,Page5_BUI_MCI!$L50=0))</f>
        <v>0</v>
      </c>
      <c r="E1060" s="1454"/>
      <c r="F1060" s="1454"/>
      <c r="G1060" s="1444" t="str">
        <f t="shared" si="138"/>
        <v/>
      </c>
      <c r="I1060" s="1446" t="str">
        <f>IF(D1060=TRUE,Comments!$B$24,"")</f>
        <v/>
      </c>
      <c r="J1060" s="1446"/>
      <c r="K1060" s="1452"/>
      <c r="N1060" s="611" t="str">
        <f>"CPTE # "&amp;Page5_BUI_MCI!$E$50&amp;"  "&amp;Page5_BUI_MCI!$C$50&amp;" - COÛT DES VENTES - AAD"</f>
        <v>CPTE # 457D  ACCESSOIRES - COÛT DES VENTES - AAD</v>
      </c>
      <c r="O1060" s="611" t="str">
        <f t="shared" si="145"/>
        <v/>
      </c>
      <c r="P1060" s="611" t="str">
        <f t="shared" si="139"/>
        <v>Page5_BUI_MCI!M</v>
      </c>
      <c r="Q1060" s="611">
        <f t="shared" si="140"/>
        <v>50</v>
      </c>
      <c r="R1060" s="1447">
        <f t="shared" ca="1" si="141"/>
        <v>0</v>
      </c>
      <c r="S1060" s="1447">
        <f t="shared" ca="1" si="142"/>
        <v>0</v>
      </c>
      <c r="V1060" s="2557" t="str">
        <f t="shared" ca="1" si="143"/>
        <v/>
      </c>
      <c r="W1060" s="611" t="str">
        <f t="shared" ca="1" si="144"/>
        <v>Page5_BUI_MCI, Ligne 47 [Page5_BUI_MCI!M50]  -</v>
      </c>
    </row>
    <row r="1061" spans="1:23">
      <c r="A1061" s="1443" t="str">
        <f>celladdr(Page5_BUI_MCI!N51)</f>
        <v>Page5_BUI_MCI!N51</v>
      </c>
      <c r="B1061" s="1455" t="s">
        <v>1086</v>
      </c>
      <c r="C1061" s="1445" t="b">
        <f>Page5_BUI_MCI!$N$51&lt;&gt;Page5_BUI_MCI!$N$48+Page5_BUI_MCI!$N$49+Page5_BUI_MCI!$N$27+Page5_BUI_MCI!$N$50</f>
        <v>0</v>
      </c>
      <c r="D1061" s="1454"/>
      <c r="F1061" s="1454"/>
      <c r="G1061" s="1444" t="str">
        <f t="shared" si="138"/>
        <v/>
      </c>
      <c r="H1061" s="1446" t="str">
        <f>IF(C1061=TRUE,Comments!$B$39&amp;DOLLAR(Page5_BUI_MCI!$N$51-(Page5_BUI_MCI!$N$48+Page5_BUI_MCI!$N$49+Page5_BUI_MCI!$N$27+Page5_BUI_MCI!$N$50),0),"")</f>
        <v/>
      </c>
      <c r="I1061" s="1452"/>
      <c r="J1061" s="1452"/>
      <c r="K1061" s="1452"/>
      <c r="N1061" s="611" t="str">
        <f>Page5_BUI_MCI!$B$1&amp;" TOTAL VÉHICULES NEUFS - PROFIT BRUT - AAD"</f>
        <v>BUICK TOTAL VÉHICULES NEUFS - PROFIT BRUT - AAD</v>
      </c>
      <c r="O1061" s="611" t="str">
        <f t="shared" si="145"/>
        <v/>
      </c>
      <c r="P1061" s="611" t="str">
        <f t="shared" si="139"/>
        <v>Page5_BUI_MCI!N</v>
      </c>
      <c r="Q1061" s="611">
        <f t="shared" si="140"/>
        <v>51</v>
      </c>
      <c r="R1061" s="1447">
        <f t="shared" ca="1" si="141"/>
        <v>0</v>
      </c>
      <c r="S1061" s="1447">
        <f t="shared" ca="1" si="142"/>
        <v>0</v>
      </c>
      <c r="V1061" s="2557" t="str">
        <f t="shared" ca="1" si="143"/>
        <v/>
      </c>
      <c r="W1061" s="611" t="str">
        <f t="shared" ca="1" si="144"/>
        <v>Page5_BUI_MCI, Ligne 48 [Page5_BUI_MCI!N51]  -</v>
      </c>
    </row>
    <row r="1062" spans="1:23">
      <c r="A1062" s="1443" t="str">
        <f>celladdr(Page5_CAD_MCI!F51)</f>
        <v>Page5_CAD_MCI!F51</v>
      </c>
      <c r="B1062" s="1453" t="s">
        <v>1086</v>
      </c>
      <c r="C1062" s="1445" t="b">
        <f>Page5_CAD_MCI!$F$51&lt;&gt;Page5_CAD_MCI!$F$48+Page5_CAD_MCI!$F$27</f>
        <v>0</v>
      </c>
      <c r="D1062" s="1454"/>
      <c r="F1062" s="1454"/>
      <c r="G1062" s="1444" t="str">
        <f t="shared" si="138"/>
        <v/>
      </c>
      <c r="H1062" s="1446" t="str">
        <f>IF(C1062=TRUE,Comments!$B$38&amp;Page5_CAD_MCI!$F$51-(Page5_CAD_MCI!$F$48+Page5_CAD_MCI!$F$27),"")</f>
        <v/>
      </c>
      <c r="I1062" s="1452"/>
      <c r="J1062" s="1452"/>
      <c r="K1062" s="1452"/>
      <c r="N1062" s="611" t="str">
        <f>Page5_CAD_MCI!$B$1&amp;" TOTAL VÉHICULES NEUFS - UNITÉS - MOIS"</f>
        <v>CADILLAC TOTAL VÉHICULES NEUFS - UNITÉS - MOIS</v>
      </c>
      <c r="O1062" s="611" t="str">
        <f t="shared" si="145"/>
        <v/>
      </c>
      <c r="P1062" s="611" t="str">
        <f t="shared" si="139"/>
        <v>Page5_CAD_MCI!F</v>
      </c>
      <c r="Q1062" s="611">
        <f t="shared" si="140"/>
        <v>51</v>
      </c>
      <c r="R1062" s="1447">
        <f t="shared" ca="1" si="141"/>
        <v>0</v>
      </c>
      <c r="S1062" s="1447">
        <f t="shared" ca="1" si="142"/>
        <v>0</v>
      </c>
      <c r="V1062" s="2557" t="str">
        <f t="shared" ca="1" si="143"/>
        <v/>
      </c>
      <c r="W1062" s="611" t="str">
        <f t="shared" ca="1" si="144"/>
        <v>Page5_CAD_MCI, Ligne 48 [Page5_CAD_MCI!F51]  -</v>
      </c>
    </row>
    <row r="1063" spans="1:23">
      <c r="A1063" s="1443" t="str">
        <f>celladdr(Page5_CAD_MCI!I51)</f>
        <v>Page5_CAD_MCI!I51</v>
      </c>
      <c r="B1063" s="1455" t="s">
        <v>1086</v>
      </c>
      <c r="C1063" s="1445" t="b">
        <f>Page5_CAD_MCI!$I$51&lt;&gt;Page5_CAD_MCI!$I$48+Page5_CAD_MCI!$I$49+Page5_CAD_MCI!$I$27+Page5_CAD_MCI!$I$50</f>
        <v>0</v>
      </c>
      <c r="D1063" s="1454"/>
      <c r="F1063" s="1454"/>
      <c r="G1063" s="1444" t="str">
        <f t="shared" si="138"/>
        <v/>
      </c>
      <c r="H1063" s="1446" t="str">
        <f>IF(C1063=TRUE,Comments!$B$39&amp;DOLLAR(Page5_CAD_MCI!$I$51-(Page5_CAD_MCI!$I$48+Page5_CAD_MCI!$I$49+Page5_CAD_MCI!$I$27+Page5_CAD_MCI!$I$50),0),"")</f>
        <v/>
      </c>
      <c r="I1063" s="1452"/>
      <c r="J1063" s="1452"/>
      <c r="K1063" s="1452"/>
      <c r="N1063" s="611" t="str">
        <f>Page5_CAD_MCI!$B$1&amp;" TOTAL VÉHICULES NEUFS - PROFIT BRUT - MOIS"</f>
        <v>CADILLAC TOTAL VÉHICULES NEUFS - PROFIT BRUT - MOIS</v>
      </c>
      <c r="O1063" s="611" t="str">
        <f t="shared" si="145"/>
        <v/>
      </c>
      <c r="P1063" s="611" t="str">
        <f t="shared" si="139"/>
        <v>Page5_CAD_MCI!I</v>
      </c>
      <c r="Q1063" s="611">
        <f t="shared" si="140"/>
        <v>51</v>
      </c>
      <c r="R1063" s="1447">
        <f t="shared" ca="1" si="141"/>
        <v>0</v>
      </c>
      <c r="S1063" s="1447">
        <f t="shared" ca="1" si="142"/>
        <v>0</v>
      </c>
      <c r="V1063" s="2557" t="str">
        <f t="shared" ca="1" si="143"/>
        <v/>
      </c>
      <c r="W1063" s="611" t="str">
        <f t="shared" ca="1" si="144"/>
        <v>Page5_CAD_MCI, Ligne 48 [Page5_CAD_MCI!I51]  -</v>
      </c>
    </row>
    <row r="1064" spans="1:23">
      <c r="A1064" s="1443" t="str">
        <f>celladdr(Page5_CAD_MCI!K4)</f>
        <v>Page5_CAD_MCI!K4</v>
      </c>
      <c r="B1064" s="1464" t="s">
        <v>1086</v>
      </c>
      <c r="C1064" s="1451" t="b">
        <f>Page5_CAD_MCI!$K$4&lt;0</f>
        <v>0</v>
      </c>
      <c r="D1064" s="1454" t="b">
        <f>OR(AND(Page5_CAD_MCI!$K4&gt;0,Page5_CAD_MCI!$M4=0),AND(Page5_CAD_MCI!$M4&lt;&gt;0,Page5_CAD_MCI!$K4=0))</f>
        <v>0</v>
      </c>
      <c r="E1064" s="1454"/>
      <c r="F1064" s="1454"/>
      <c r="G1064" s="1444" t="str">
        <f t="shared" si="138"/>
        <v/>
      </c>
      <c r="H1064" s="1447" t="str">
        <f>IF(C1064=TRUE,Comments!$B$26,"")</f>
        <v/>
      </c>
      <c r="I1064" s="1446" t="str">
        <f>IF(D1064=TRUE,Comments!$B$21,"")</f>
        <v/>
      </c>
      <c r="J1064" s="1446"/>
      <c r="K1064" s="1452"/>
      <c r="N1064" s="611" t="str">
        <f>"CPTE # "&amp;Page5_CAD_MCI!$E$4&amp;"  "&amp;Page5_CAD_MCI!$C$4&amp;" - UNITÉS - AAD"</f>
        <v>CPTE # 400E  NE PAS UTILISER - UNITÉS - AAD</v>
      </c>
      <c r="O1064" s="611" t="str">
        <f t="shared" si="145"/>
        <v/>
      </c>
      <c r="P1064" s="611" t="str">
        <f t="shared" si="139"/>
        <v>Page5_CAD_MCI!K</v>
      </c>
      <c r="Q1064" s="611">
        <f t="shared" si="140"/>
        <v>4</v>
      </c>
      <c r="R1064" s="1447">
        <f t="shared" ca="1" si="141"/>
        <v>0</v>
      </c>
      <c r="S1064" s="1447">
        <f t="shared" ca="1" si="142"/>
        <v>0</v>
      </c>
      <c r="V1064" s="2557" t="str">
        <f t="shared" ca="1" si="143"/>
        <v/>
      </c>
      <c r="W1064" s="611" t="str">
        <f t="shared" ca="1" si="144"/>
        <v>Page5_CAD_MCI, Ligne 1 [Page5_CAD_MCI!K4]  -</v>
      </c>
    </row>
    <row r="1065" spans="1:23">
      <c r="A1065" s="1443" t="str">
        <f>celladdr(Page5_CAD_MCI!K5)</f>
        <v>Page5_CAD_MCI!K5</v>
      </c>
      <c r="B1065" s="1464" t="s">
        <v>1086</v>
      </c>
      <c r="C1065" s="1451" t="b">
        <f>Page5_CAD_MCI!$K$5&lt;0</f>
        <v>0</v>
      </c>
      <c r="D1065" s="1454" t="b">
        <f>OR(AND(Page5_CAD_MCI!$K5&gt;0,Page5_CAD_MCI!$M5=0),AND(Page5_CAD_MCI!$M5&lt;&gt;0,Page5_CAD_MCI!$K5=0))</f>
        <v>0</v>
      </c>
      <c r="E1065" s="1454"/>
      <c r="F1065" s="1454"/>
      <c r="G1065" s="1444" t="str">
        <f t="shared" si="138"/>
        <v/>
      </c>
      <c r="H1065" s="1447" t="str">
        <f>IF(C1065=TRUE,Comments!$B$26,"")</f>
        <v/>
      </c>
      <c r="I1065" s="1446" t="str">
        <f>IF(D1065=TRUE,Comments!$B$21,"")</f>
        <v/>
      </c>
      <c r="J1065" s="1446"/>
      <c r="K1065" s="1452"/>
      <c r="N1065" s="611" t="str">
        <f>"CPTE # "&amp;Page5_CAD_MCI!$E$5&amp;"  "&amp;Page5_CAD_MCI!$C$5&amp;" - UNITÉS - AAD"</f>
        <v>CPTE # 401E  NE PAS UTILISER - UNITÉS - AAD</v>
      </c>
      <c r="O1065" s="611" t="str">
        <f t="shared" si="145"/>
        <v/>
      </c>
      <c r="P1065" s="611" t="str">
        <f t="shared" si="139"/>
        <v>Page5_CAD_MCI!K</v>
      </c>
      <c r="Q1065" s="611">
        <f t="shared" si="140"/>
        <v>5</v>
      </c>
      <c r="R1065" s="1447">
        <f t="shared" ca="1" si="141"/>
        <v>0</v>
      </c>
      <c r="S1065" s="1447">
        <f t="shared" ca="1" si="142"/>
        <v>0</v>
      </c>
      <c r="V1065" s="2557" t="str">
        <f t="shared" ca="1" si="143"/>
        <v/>
      </c>
      <c r="W1065" s="611" t="str">
        <f t="shared" ca="1" si="144"/>
        <v>Page5_CAD_MCI, Ligne 2 [Page5_CAD_MCI!K5]  -</v>
      </c>
    </row>
    <row r="1066" spans="1:23">
      <c r="A1066" s="1443" t="str">
        <f>celladdr(Page5_CAD_MCI!K6)</f>
        <v>Page5_CAD_MCI!K6</v>
      </c>
      <c r="B1066" s="1464" t="s">
        <v>1086</v>
      </c>
      <c r="C1066" s="1451" t="b">
        <f>Page5_CAD_MCI!$K$6&lt;0</f>
        <v>0</v>
      </c>
      <c r="D1066" s="1454" t="b">
        <f>OR(AND(Page5_CAD_MCI!$K6&gt;0,Page5_CAD_MCI!$M6=0),AND(Page5_CAD_MCI!$M6&lt;&gt;0,Page5_CAD_MCI!$K6=0))</f>
        <v>0</v>
      </c>
      <c r="E1066" s="1454"/>
      <c r="F1066" s="1454"/>
      <c r="G1066" s="1444" t="str">
        <f t="shared" si="138"/>
        <v/>
      </c>
      <c r="H1066" s="1447" t="str">
        <f>IF(C1066=TRUE,Comments!$B$26,"")</f>
        <v/>
      </c>
      <c r="I1066" s="1446" t="str">
        <f>IF(D1066=TRUE,Comments!$B$21,"")</f>
        <v/>
      </c>
      <c r="J1066" s="1446"/>
      <c r="K1066" s="1452"/>
      <c r="N1066" s="611" t="str">
        <f>"CPTE # "&amp;Page5_CAD_MCI!$E$6&amp;"  "&amp;Page5_CAD_MCI!$C$6&amp;" - UNITÉS - AAD"</f>
        <v>CPTE # 402E  CTS  - UNITÉS - AAD</v>
      </c>
      <c r="O1066" s="611" t="str">
        <f t="shared" si="145"/>
        <v/>
      </c>
      <c r="P1066" s="611" t="str">
        <f t="shared" si="139"/>
        <v>Page5_CAD_MCI!K</v>
      </c>
      <c r="Q1066" s="611">
        <f t="shared" si="140"/>
        <v>6</v>
      </c>
      <c r="R1066" s="1447">
        <f t="shared" ca="1" si="141"/>
        <v>0</v>
      </c>
      <c r="S1066" s="1447">
        <f t="shared" ca="1" si="142"/>
        <v>0</v>
      </c>
      <c r="V1066" s="2557" t="str">
        <f t="shared" ca="1" si="143"/>
        <v/>
      </c>
      <c r="W1066" s="611" t="str">
        <f t="shared" ca="1" si="144"/>
        <v>Page5_CAD_MCI, Ligne 3 [Page5_CAD_MCI!K6]  -</v>
      </c>
    </row>
    <row r="1067" spans="1:23">
      <c r="A1067" s="1443" t="str">
        <f>celladdr(Page5_CAD_MCI!K7)</f>
        <v>Page5_CAD_MCI!K7</v>
      </c>
      <c r="B1067" s="1464" t="s">
        <v>1086</v>
      </c>
      <c r="C1067" s="1451" t="b">
        <f>Page5_CAD_MCI!$K$7&lt;0</f>
        <v>0</v>
      </c>
      <c r="D1067" s="1454" t="b">
        <f>OR(AND(Page5_CAD_MCI!$K7&gt;0,Page5_CAD_MCI!$M7=0),AND(Page5_CAD_MCI!$M7&lt;&gt;0,Page5_CAD_MCI!$K7=0))</f>
        <v>0</v>
      </c>
      <c r="E1067" s="1454"/>
      <c r="F1067" s="1454"/>
      <c r="G1067" s="1444" t="str">
        <f t="shared" si="138"/>
        <v/>
      </c>
      <c r="H1067" s="1447" t="str">
        <f>IF(C1067=TRUE,Comments!$B$26,"")</f>
        <v/>
      </c>
      <c r="I1067" s="1446" t="str">
        <f>IF(D1067=TRUE,Comments!$B$21,"")</f>
        <v/>
      </c>
      <c r="J1067" s="1446"/>
      <c r="K1067" s="1452"/>
      <c r="N1067" s="611" t="str">
        <f>"CPTE # "&amp;Page5_CAD_MCI!$E$7&amp;"  "&amp;Page5_CAD_MCI!$C$7&amp;" - UNITÉS - AAD"</f>
        <v>CPTE # 403E  CTS-V - UNITÉS - AAD</v>
      </c>
      <c r="O1067" s="611" t="str">
        <f t="shared" si="145"/>
        <v/>
      </c>
      <c r="P1067" s="611" t="str">
        <f t="shared" si="139"/>
        <v>Page5_CAD_MCI!K</v>
      </c>
      <c r="Q1067" s="611">
        <f t="shared" si="140"/>
        <v>7</v>
      </c>
      <c r="R1067" s="1447">
        <f t="shared" ca="1" si="141"/>
        <v>0</v>
      </c>
      <c r="S1067" s="1447">
        <f t="shared" ca="1" si="142"/>
        <v>0</v>
      </c>
      <c r="V1067" s="2557" t="str">
        <f t="shared" ca="1" si="143"/>
        <v/>
      </c>
      <c r="W1067" s="611" t="str">
        <f t="shared" ca="1" si="144"/>
        <v>Page5_CAD_MCI, Ligne 4 [Page5_CAD_MCI!K7]  -</v>
      </c>
    </row>
    <row r="1068" spans="1:23">
      <c r="A1068" s="1443" t="str">
        <f>celladdr(Page5_CAD_MCI!K8)</f>
        <v>Page5_CAD_MCI!K8</v>
      </c>
      <c r="B1068" s="1464" t="s">
        <v>1086</v>
      </c>
      <c r="C1068" s="1451" t="b">
        <f>Page5_CAD_MCI!$K$8&lt;0</f>
        <v>0</v>
      </c>
      <c r="D1068" s="1454" t="b">
        <f>OR(AND(Page5_CAD_MCI!$K8&gt;0,Page5_CAD_MCI!$M8=0),AND(Page5_CAD_MCI!$M8&lt;&gt;0,Page5_CAD_MCI!$K8=0))</f>
        <v>0</v>
      </c>
      <c r="E1068" s="1454"/>
      <c r="F1068" s="1454"/>
      <c r="G1068" s="1444" t="str">
        <f t="shared" si="138"/>
        <v/>
      </c>
      <c r="H1068" s="1447" t="str">
        <f>IF(C1068=TRUE,Comments!$B$26,"")</f>
        <v/>
      </c>
      <c r="I1068" s="1446" t="str">
        <f>IF(D1068=TRUE,Comments!$B$21,"")</f>
        <v/>
      </c>
      <c r="J1068" s="1446"/>
      <c r="K1068" s="1452"/>
      <c r="N1068" s="611" t="str">
        <f>"CPTE # "&amp;Page5_CAD_MCI!$E$8&amp;"  "&amp;Page5_CAD_MCI!$C$8&amp;" - UNITÉS - AAD"</f>
        <v>CPTE # 404E  CT4 - UNITÉS - AAD</v>
      </c>
      <c r="O1068" s="611" t="str">
        <f t="shared" si="145"/>
        <v/>
      </c>
      <c r="P1068" s="611" t="str">
        <f t="shared" si="139"/>
        <v>Page5_CAD_MCI!K</v>
      </c>
      <c r="Q1068" s="611">
        <f t="shared" si="140"/>
        <v>8</v>
      </c>
      <c r="R1068" s="1447">
        <f t="shared" ca="1" si="141"/>
        <v>0</v>
      </c>
      <c r="S1068" s="1447">
        <f t="shared" ca="1" si="142"/>
        <v>0</v>
      </c>
      <c r="V1068" s="2557" t="str">
        <f t="shared" ca="1" si="143"/>
        <v/>
      </c>
      <c r="W1068" s="611" t="str">
        <f t="shared" ca="1" si="144"/>
        <v>Page5_CAD_MCI, Ligne 5 [Page5_CAD_MCI!K8]  -</v>
      </c>
    </row>
    <row r="1069" spans="1:23">
      <c r="A1069" s="1443" t="str">
        <f>celladdr(Page5_CAD_MCI!K9)</f>
        <v>Page5_CAD_MCI!K9</v>
      </c>
      <c r="B1069" s="1464" t="s">
        <v>1086</v>
      </c>
      <c r="C1069" s="1451" t="b">
        <f>Page5_CAD_MCI!$K$9&lt;0</f>
        <v>0</v>
      </c>
      <c r="D1069" s="1454" t="b">
        <f>OR(AND(Page5_CAD_MCI!$K9&gt;0,Page5_CAD_MCI!$M9=0),AND(Page5_CAD_MCI!$M9&lt;&gt;0,Page5_CAD_MCI!$K9=0))</f>
        <v>0</v>
      </c>
      <c r="E1069" s="1454"/>
      <c r="F1069" s="1454"/>
      <c r="G1069" s="1444" t="str">
        <f t="shared" si="138"/>
        <v/>
      </c>
      <c r="H1069" s="1447" t="str">
        <f>IF(C1069=TRUE,Comments!$B$26,"")</f>
        <v/>
      </c>
      <c r="I1069" s="1446" t="str">
        <f>IF(D1069=TRUE,Comments!$B$21,"")</f>
        <v/>
      </c>
      <c r="J1069" s="1446"/>
      <c r="K1069" s="1452"/>
      <c r="N1069" s="611" t="str">
        <f>"CPTE # "&amp;Page5_CAD_MCI!$E$9&amp;"  "&amp;Page5_CAD_MCI!$C$9&amp;" - UNITÉS - AAD"</f>
        <v>CPTE # 405E  CT5 - UNITÉS - AAD</v>
      </c>
      <c r="O1069" s="611" t="str">
        <f t="shared" si="145"/>
        <v/>
      </c>
      <c r="P1069" s="611" t="str">
        <f t="shared" si="139"/>
        <v>Page5_CAD_MCI!K</v>
      </c>
      <c r="Q1069" s="611">
        <f t="shared" si="140"/>
        <v>9</v>
      </c>
      <c r="R1069" s="1447">
        <f t="shared" ca="1" si="141"/>
        <v>0</v>
      </c>
      <c r="S1069" s="1447">
        <f t="shared" ca="1" si="142"/>
        <v>0</v>
      </c>
      <c r="V1069" s="2557" t="str">
        <f t="shared" ca="1" si="143"/>
        <v/>
      </c>
      <c r="W1069" s="611" t="str">
        <f t="shared" ca="1" si="144"/>
        <v>Page5_CAD_MCI, Ligne 6 [Page5_CAD_MCI!K9]  -</v>
      </c>
    </row>
    <row r="1070" spans="1:23">
      <c r="A1070" s="1443" t="str">
        <f>celladdr(Page5_CAD_MCI!K10)</f>
        <v>Page5_CAD_MCI!K10</v>
      </c>
      <c r="B1070" s="1464" t="s">
        <v>1086</v>
      </c>
      <c r="C1070" s="1451" t="b">
        <f>Page5_CAD_MCI!$K$10&lt;0</f>
        <v>0</v>
      </c>
      <c r="D1070" s="1454" t="b">
        <f>OR(AND(Page5_CAD_MCI!$K10&gt;0,Page5_CAD_MCI!$M10=0),AND(Page5_CAD_MCI!$M10&lt;&gt;0,Page5_CAD_MCI!$K10=0))</f>
        <v>0</v>
      </c>
      <c r="E1070" s="1454"/>
      <c r="F1070" s="1454"/>
      <c r="G1070" s="1444" t="str">
        <f t="shared" si="138"/>
        <v/>
      </c>
      <c r="H1070" s="1447" t="str">
        <f>IF(C1070=TRUE,Comments!$B$26,"")</f>
        <v/>
      </c>
      <c r="I1070" s="1446" t="str">
        <f>IF(D1070=TRUE,Comments!$B$21,"")</f>
        <v/>
      </c>
      <c r="J1070" s="1446"/>
      <c r="K1070" s="1452"/>
      <c r="N1070" s="611" t="str">
        <f>"CPTE # "&amp;Page5_CAD_MCI!$E$10&amp;"  "&amp;Page5_CAD_MCI!$C$10&amp;" - UNITÉS - AAD"</f>
        <v>CPTE # 406E  NE PAS UTILISER - UNITÉS - AAD</v>
      </c>
      <c r="O1070" s="611" t="str">
        <f t="shared" si="145"/>
        <v/>
      </c>
      <c r="P1070" s="611" t="str">
        <f t="shared" si="139"/>
        <v>Page5_CAD_MCI!K</v>
      </c>
      <c r="Q1070" s="611">
        <f t="shared" si="140"/>
        <v>10</v>
      </c>
      <c r="R1070" s="1447">
        <f t="shared" ca="1" si="141"/>
        <v>0</v>
      </c>
      <c r="S1070" s="1447">
        <f t="shared" ca="1" si="142"/>
        <v>0</v>
      </c>
      <c r="V1070" s="2557" t="str">
        <f t="shared" ca="1" si="143"/>
        <v/>
      </c>
      <c r="W1070" s="611" t="str">
        <f t="shared" ca="1" si="144"/>
        <v>Page5_CAD_MCI, Ligne 7 [Page5_CAD_MCI!K10]  -</v>
      </c>
    </row>
    <row r="1071" spans="1:23">
      <c r="A1071" s="1443" t="str">
        <f>celladdr(Page5_CAD_MCI!K11)</f>
        <v>Page5_CAD_MCI!K11</v>
      </c>
      <c r="B1071" s="1464" t="s">
        <v>1086</v>
      </c>
      <c r="C1071" s="1451" t="b">
        <f>Page5_CAD_MCI!$K$11&lt;0</f>
        <v>0</v>
      </c>
      <c r="D1071" s="1454" t="b">
        <f>OR(AND(Page5_CAD_MCI!$K11&gt;0,Page5_CAD_MCI!$M11=0),AND(Page5_CAD_MCI!$M11&lt;&gt;0,Page5_CAD_MCI!$K11=0))</f>
        <v>0</v>
      </c>
      <c r="E1071" s="1454"/>
      <c r="F1071" s="1454"/>
      <c r="G1071" s="1444" t="str">
        <f t="shared" si="138"/>
        <v/>
      </c>
      <c r="H1071" s="1447" t="str">
        <f>IF(C1071=TRUE,Comments!$B$26,"")</f>
        <v/>
      </c>
      <c r="I1071" s="1446" t="str">
        <f>IF(D1071=TRUE,Comments!$B$21,"")</f>
        <v/>
      </c>
      <c r="J1071" s="1446"/>
      <c r="K1071" s="1452"/>
      <c r="N1071" s="611" t="str">
        <f>"CPTE # "&amp;Page5_CAD_MCI!$E$11&amp;"  "&amp;Page5_CAD_MCI!$C$11&amp;" - UNITÉS - AAD"</f>
        <v>CPTE # 407E  NE PAS UTILISER - UNITÉS - AAD</v>
      </c>
      <c r="O1071" s="611" t="str">
        <f t="shared" si="145"/>
        <v/>
      </c>
      <c r="P1071" s="611" t="str">
        <f t="shared" si="139"/>
        <v>Page5_CAD_MCI!K</v>
      </c>
      <c r="Q1071" s="611">
        <f t="shared" si="140"/>
        <v>11</v>
      </c>
      <c r="R1071" s="1447">
        <f t="shared" ca="1" si="141"/>
        <v>0</v>
      </c>
      <c r="S1071" s="1447">
        <f t="shared" ca="1" si="142"/>
        <v>0</v>
      </c>
      <c r="V1071" s="2557" t="str">
        <f t="shared" ca="1" si="143"/>
        <v/>
      </c>
      <c r="W1071" s="611" t="str">
        <f t="shared" ca="1" si="144"/>
        <v>Page5_CAD_MCI, Ligne 8 [Page5_CAD_MCI!K11]  -</v>
      </c>
    </row>
    <row r="1072" spans="1:23">
      <c r="A1072" s="1443" t="str">
        <f>celladdr(Page5_CAD_MCI!K12)</f>
        <v>Page5_CAD_MCI!K12</v>
      </c>
      <c r="B1072" s="1464" t="s">
        <v>1086</v>
      </c>
      <c r="C1072" s="1451" t="b">
        <f>Page5_CAD_MCI!$K$12&lt;0</f>
        <v>0</v>
      </c>
      <c r="D1072" s="1454" t="b">
        <f>OR(AND(Page5_CAD_MCI!$K12&gt;0,Page5_CAD_MCI!$M12=0),AND(Page5_CAD_MCI!$M12&lt;&gt;0,Page5_CAD_MCI!$K12=0))</f>
        <v>0</v>
      </c>
      <c r="E1072" s="1454"/>
      <c r="F1072" s="1454"/>
      <c r="G1072" s="1444" t="str">
        <f t="shared" si="138"/>
        <v/>
      </c>
      <c r="H1072" s="1447" t="str">
        <f>IF(C1072=TRUE,Comments!$B$26,"")</f>
        <v/>
      </c>
      <c r="I1072" s="1446" t="str">
        <f>IF(D1072=TRUE,Comments!$B$21,"")</f>
        <v/>
      </c>
      <c r="J1072" s="1446"/>
      <c r="K1072" s="1452"/>
      <c r="N1072" s="611" t="str">
        <f>"CPTE # "&amp;Page5_CAD_MCI!$E$12&amp;"  "&amp;Page5_CAD_MCI!$C$12&amp;" - UNITÉS - AAD"</f>
        <v>CPTE # 408E  ATS - UNITÉS - AAD</v>
      </c>
      <c r="O1072" s="611" t="str">
        <f t="shared" si="145"/>
        <v/>
      </c>
      <c r="P1072" s="611" t="str">
        <f t="shared" si="139"/>
        <v>Page5_CAD_MCI!K</v>
      </c>
      <c r="Q1072" s="611">
        <f t="shared" si="140"/>
        <v>12</v>
      </c>
      <c r="R1072" s="1447">
        <f t="shared" ca="1" si="141"/>
        <v>0</v>
      </c>
      <c r="S1072" s="1447">
        <f t="shared" ca="1" si="142"/>
        <v>0</v>
      </c>
      <c r="V1072" s="2557" t="str">
        <f t="shared" ca="1" si="143"/>
        <v/>
      </c>
      <c r="W1072" s="611" t="str">
        <f t="shared" ca="1" si="144"/>
        <v>Page5_CAD_MCI, Ligne 9 [Page5_CAD_MCI!K12]  -</v>
      </c>
    </row>
    <row r="1073" spans="1:23">
      <c r="A1073" s="1443" t="str">
        <f>celladdr(Page5_CAD_MCI!K13)</f>
        <v>Page5_CAD_MCI!K13</v>
      </c>
      <c r="B1073" s="1464" t="s">
        <v>1086</v>
      </c>
      <c r="C1073" s="1451" t="b">
        <f>Page5_CAD_MCI!$K$13&lt;0</f>
        <v>0</v>
      </c>
      <c r="D1073" s="1454" t="b">
        <f>OR(AND(Page5_CAD_MCI!$K13&gt;0,Page5_CAD_MCI!$M13=0),AND(Page5_CAD_MCI!$M13&lt;&gt;0,Page5_CAD_MCI!$K13=0))</f>
        <v>0</v>
      </c>
      <c r="E1073" s="1454"/>
      <c r="F1073" s="1454"/>
      <c r="G1073" s="1444" t="str">
        <f t="shared" si="138"/>
        <v/>
      </c>
      <c r="H1073" s="1447" t="str">
        <f>IF(C1073=TRUE,Comments!$B$26,"")</f>
        <v/>
      </c>
      <c r="I1073" s="1446" t="str">
        <f>IF(D1073=TRUE,Comments!$B$21,"")</f>
        <v/>
      </c>
      <c r="J1073" s="1446"/>
      <c r="K1073" s="1452"/>
      <c r="N1073" s="611" t="str">
        <f>"CPTE # "&amp;Page5_CAD_MCI!$E$13&amp;"  "&amp;Page5_CAD_MCI!$C$13&amp;" - UNITÉS - AAD"</f>
        <v>CPTE # 409E  XTS - UNITÉS - AAD</v>
      </c>
      <c r="O1073" s="611" t="str">
        <f t="shared" si="145"/>
        <v/>
      </c>
      <c r="P1073" s="611" t="str">
        <f t="shared" si="139"/>
        <v>Page5_CAD_MCI!K</v>
      </c>
      <c r="Q1073" s="611">
        <f t="shared" si="140"/>
        <v>13</v>
      </c>
      <c r="R1073" s="1447">
        <f t="shared" ca="1" si="141"/>
        <v>0</v>
      </c>
      <c r="S1073" s="1447">
        <f t="shared" ca="1" si="142"/>
        <v>0</v>
      </c>
      <c r="V1073" s="2557" t="str">
        <f t="shared" ca="1" si="143"/>
        <v/>
      </c>
      <c r="W1073" s="611" t="str">
        <f t="shared" ca="1" si="144"/>
        <v>Page5_CAD_MCI, Ligne 10 [Page5_CAD_MCI!K13]  -</v>
      </c>
    </row>
    <row r="1074" spans="1:23">
      <c r="A1074" s="1443" t="str">
        <f>celladdr(Page5_CAD_MCI!K14)</f>
        <v>Page5_CAD_MCI!K14</v>
      </c>
      <c r="B1074" s="1464" t="s">
        <v>1086</v>
      </c>
      <c r="C1074" s="1451" t="b">
        <f>Page5_CAD_MCI!$K$14&lt;0</f>
        <v>0</v>
      </c>
      <c r="D1074" s="1454" t="b">
        <f>OR(AND(Page5_CAD_MCI!$K14&gt;0,Page5_CAD_MCI!$M14=0),AND(Page5_CAD_MCI!$M14&lt;&gt;0,Page5_CAD_MCI!$K14=0))</f>
        <v>0</v>
      </c>
      <c r="E1074" s="1454"/>
      <c r="F1074" s="1454"/>
      <c r="G1074" s="1444" t="str">
        <f t="shared" si="138"/>
        <v/>
      </c>
      <c r="H1074" s="1447" t="str">
        <f>IF(C1074=TRUE,Comments!$B$26,"")</f>
        <v/>
      </c>
      <c r="I1074" s="1446" t="str">
        <f>IF(D1074=TRUE,Comments!$B$21,"")</f>
        <v/>
      </c>
      <c r="J1074" s="1446"/>
      <c r="K1074" s="1452"/>
      <c r="N1074" s="611" t="str">
        <f>"CPTE # "&amp;Page5_CAD_MCI!$E$14&amp;"  "&amp;Page5_CAD_MCI!$C$14&amp;" - UNITÉS - AAD"</f>
        <v>CPTE # 410E  ELR - UNITÉS - AAD</v>
      </c>
      <c r="O1074" s="611" t="str">
        <f t="shared" si="145"/>
        <v/>
      </c>
      <c r="P1074" s="611" t="str">
        <f t="shared" si="139"/>
        <v>Page5_CAD_MCI!K</v>
      </c>
      <c r="Q1074" s="611">
        <f t="shared" si="140"/>
        <v>14</v>
      </c>
      <c r="R1074" s="1447">
        <f t="shared" ca="1" si="141"/>
        <v>0</v>
      </c>
      <c r="S1074" s="1447">
        <f t="shared" ca="1" si="142"/>
        <v>0</v>
      </c>
      <c r="V1074" s="2557" t="str">
        <f t="shared" ca="1" si="143"/>
        <v/>
      </c>
      <c r="W1074" s="611" t="str">
        <f t="shared" ca="1" si="144"/>
        <v>Page5_CAD_MCI, Ligne 11 [Page5_CAD_MCI!K14]  -</v>
      </c>
    </row>
    <row r="1075" spans="1:23">
      <c r="A1075" s="1443" t="str">
        <f>celladdr(Page5_CAD_MCI!K15)</f>
        <v>Page5_CAD_MCI!K15</v>
      </c>
      <c r="B1075" s="1464" t="s">
        <v>1086</v>
      </c>
      <c r="C1075" s="1451" t="b">
        <f>Page5_CAD_MCI!$K$15&lt;0</f>
        <v>0</v>
      </c>
      <c r="D1075" s="1454" t="b">
        <f>OR(AND(Page5_CAD_MCI!$K15&gt;0,Page5_CAD_MCI!$M15=0),AND(Page5_CAD_MCI!$M15&lt;&gt;0,Page5_CAD_MCI!$K15=0))</f>
        <v>0</v>
      </c>
      <c r="E1075" s="1454"/>
      <c r="F1075" s="1454"/>
      <c r="G1075" s="1444" t="str">
        <f t="shared" si="138"/>
        <v/>
      </c>
      <c r="H1075" s="1447" t="str">
        <f>IF(C1075=TRUE,Comments!$B$26,"")</f>
        <v/>
      </c>
      <c r="I1075" s="1446" t="str">
        <f>IF(D1075=TRUE,Comments!$B$21,"")</f>
        <v/>
      </c>
      <c r="J1075" s="1446"/>
      <c r="K1075" s="1452"/>
      <c r="N1075" s="611" t="str">
        <f>"CPTE # "&amp;Page5_CAD_MCI!$E$15&amp;"  "&amp;Page5_CAD_MCI!$C$15&amp;" - UNITÉS - AAD"</f>
        <v>CPTE # 411E  ATS-V - UNITÉS - AAD</v>
      </c>
      <c r="O1075" s="611" t="str">
        <f t="shared" ref="O1075:O1106" si="146">IF(A1075=A1074,"TRUE","")</f>
        <v/>
      </c>
      <c r="P1075" s="611" t="str">
        <f t="shared" si="139"/>
        <v>Page5_CAD_MCI!K</v>
      </c>
      <c r="Q1075" s="611">
        <f t="shared" si="140"/>
        <v>15</v>
      </c>
      <c r="R1075" s="1447">
        <f t="shared" ca="1" si="141"/>
        <v>0</v>
      </c>
      <c r="S1075" s="1447">
        <f t="shared" ca="1" si="142"/>
        <v>0</v>
      </c>
      <c r="V1075" s="2557" t="str">
        <f t="shared" ca="1" si="143"/>
        <v/>
      </c>
      <c r="W1075" s="611" t="str">
        <f t="shared" ca="1" si="144"/>
        <v>Page5_CAD_MCI, Ligne 12 [Page5_CAD_MCI!K15]  -</v>
      </c>
    </row>
    <row r="1076" spans="1:23">
      <c r="A1076" s="1443" t="str">
        <f>celladdr(Page5_CAD_MCI!K16)</f>
        <v>Page5_CAD_MCI!K16</v>
      </c>
      <c r="B1076" s="1464" t="s">
        <v>1086</v>
      </c>
      <c r="C1076" s="1451" t="b">
        <f>Page5_CAD_MCI!$K$16&lt;0</f>
        <v>0</v>
      </c>
      <c r="D1076" s="1454" t="b">
        <f>OR(AND(Page5_CAD_MCI!$K16&gt;0,Page5_CAD_MCI!$M16=0),AND(Page5_CAD_MCI!$M16&lt;&gt;0,Page5_CAD_MCI!$K16=0))</f>
        <v>0</v>
      </c>
      <c r="E1076" s="1454"/>
      <c r="F1076" s="1454"/>
      <c r="G1076" s="1444" t="str">
        <f t="shared" si="138"/>
        <v/>
      </c>
      <c r="H1076" s="1447" t="str">
        <f>IF(C1076=TRUE,Comments!$B$26,"")</f>
        <v/>
      </c>
      <c r="I1076" s="1446" t="str">
        <f>IF(D1076=TRUE,Comments!$B$21,"")</f>
        <v/>
      </c>
      <c r="J1076" s="1446"/>
      <c r="K1076" s="1452"/>
      <c r="N1076" s="611" t="str">
        <f>"CPTE # "&amp;Page5_CAD_MCI!$E$16&amp;"  "&amp;Page5_CAD_MCI!$C$16&amp;" - UNITÉS - AAD"</f>
        <v>CPTE # 412E  CT6 - UNITÉS - AAD</v>
      </c>
      <c r="O1076" s="611" t="str">
        <f t="shared" si="146"/>
        <v/>
      </c>
      <c r="P1076" s="611" t="str">
        <f t="shared" si="139"/>
        <v>Page5_CAD_MCI!K</v>
      </c>
      <c r="Q1076" s="611">
        <f t="shared" si="140"/>
        <v>16</v>
      </c>
      <c r="R1076" s="1447">
        <f t="shared" ca="1" si="141"/>
        <v>0</v>
      </c>
      <c r="S1076" s="1447">
        <f t="shared" ca="1" si="142"/>
        <v>0</v>
      </c>
      <c r="V1076" s="2557" t="str">
        <f t="shared" ca="1" si="143"/>
        <v/>
      </c>
      <c r="W1076" s="611" t="str">
        <f t="shared" ca="1" si="144"/>
        <v>Page5_CAD_MCI, Ligne 13 [Page5_CAD_MCI!K16]  -</v>
      </c>
    </row>
    <row r="1077" spans="1:23">
      <c r="A1077" s="1443" t="str">
        <f>celladdr(Page5_CAD_MCI!K17)</f>
        <v>Page5_CAD_MCI!K17</v>
      </c>
      <c r="B1077" s="1464" t="s">
        <v>1086</v>
      </c>
      <c r="C1077" s="1451" t="b">
        <f>Page5_CAD_MCI!$K$17&lt;0</f>
        <v>0</v>
      </c>
      <c r="D1077" s="1454" t="b">
        <f>OR(AND(Page5_CAD_MCI!$K17&gt;0,Page5_CAD_MCI!$M17=0),AND(Page5_CAD_MCI!$M17&lt;&gt;0,Page5_CAD_MCI!$K17=0))</f>
        <v>0</v>
      </c>
      <c r="E1077" s="1454"/>
      <c r="F1077" s="1454"/>
      <c r="G1077" s="1444" t="str">
        <f t="shared" si="138"/>
        <v/>
      </c>
      <c r="H1077" s="1447" t="str">
        <f>IF(C1077=TRUE,Comments!$B$26,"")</f>
        <v/>
      </c>
      <c r="I1077" s="1446" t="str">
        <f>IF(D1077=TRUE,Comments!$B$21,"")</f>
        <v/>
      </c>
      <c r="J1077" s="1446"/>
      <c r="K1077" s="1452"/>
      <c r="N1077" s="611" t="str">
        <f>"CPTE # "&amp;Page5_CAD_MCI!$E$17&amp;"  "&amp;Page5_CAD_MCI!$C$17&amp;" - UNITÉS - AAD"</f>
        <v>CPTE # 413E  NE PAS UTILISER - UNITÉS - AAD</v>
      </c>
      <c r="O1077" s="611" t="str">
        <f t="shared" si="146"/>
        <v/>
      </c>
      <c r="P1077" s="611" t="str">
        <f t="shared" si="139"/>
        <v>Page5_CAD_MCI!K</v>
      </c>
      <c r="Q1077" s="611">
        <f t="shared" si="140"/>
        <v>17</v>
      </c>
      <c r="R1077" s="1447">
        <f t="shared" ca="1" si="141"/>
        <v>0</v>
      </c>
      <c r="S1077" s="1447">
        <f t="shared" ca="1" si="142"/>
        <v>0</v>
      </c>
      <c r="V1077" s="2557" t="str">
        <f t="shared" ca="1" si="143"/>
        <v/>
      </c>
      <c r="W1077" s="611" t="str">
        <f t="shared" ca="1" si="144"/>
        <v>Page5_CAD_MCI, Ligne 14 [Page5_CAD_MCI!K17]  -</v>
      </c>
    </row>
    <row r="1078" spans="1:23">
      <c r="A1078" s="1443" t="str">
        <f>celladdr(Page5_CAD_MCI!K18)</f>
        <v>Page5_CAD_MCI!K18</v>
      </c>
      <c r="B1078" s="1464" t="s">
        <v>1086</v>
      </c>
      <c r="C1078" s="1451" t="b">
        <f>Page5_CAD_MCI!$K$18&lt;0</f>
        <v>0</v>
      </c>
      <c r="D1078" s="1454" t="b">
        <f>OR(AND(Page5_CAD_MCI!$K18&gt;0,Page5_CAD_MCI!$M18=0),AND(Page5_CAD_MCI!$M18&lt;&gt;0,Page5_CAD_MCI!$K18=0))</f>
        <v>0</v>
      </c>
      <c r="E1078" s="1454"/>
      <c r="F1078" s="1454"/>
      <c r="G1078" s="1444" t="str">
        <f t="shared" si="138"/>
        <v/>
      </c>
      <c r="H1078" s="1447" t="str">
        <f>IF(C1078=TRUE,Comments!$B$26,"")</f>
        <v/>
      </c>
      <c r="I1078" s="1446" t="str">
        <f>IF(D1078=TRUE,Comments!$B$21,"")</f>
        <v/>
      </c>
      <c r="J1078" s="1446"/>
      <c r="K1078" s="1452"/>
      <c r="N1078" s="611" t="str">
        <f>"CPTE # "&amp;Page5_CAD_MCI!$E$18&amp;"  "&amp;Page5_CAD_MCI!$C$18&amp;" - UNITÉS - AAD"</f>
        <v>CPTE # 414E  NE PAS UTILISER - UNITÉS - AAD</v>
      </c>
      <c r="O1078" s="611" t="str">
        <f t="shared" si="146"/>
        <v/>
      </c>
      <c r="P1078" s="611" t="str">
        <f t="shared" si="139"/>
        <v>Page5_CAD_MCI!K</v>
      </c>
      <c r="Q1078" s="611">
        <f t="shared" si="140"/>
        <v>18</v>
      </c>
      <c r="R1078" s="1447">
        <f t="shared" ca="1" si="141"/>
        <v>0</v>
      </c>
      <c r="S1078" s="1447">
        <f t="shared" ca="1" si="142"/>
        <v>0</v>
      </c>
      <c r="V1078" s="2557" t="str">
        <f t="shared" ca="1" si="143"/>
        <v/>
      </c>
      <c r="W1078" s="611" t="str">
        <f t="shared" ca="1" si="144"/>
        <v>Page5_CAD_MCI, Ligne 15 [Page5_CAD_MCI!K18]  -</v>
      </c>
    </row>
    <row r="1079" spans="1:23">
      <c r="A1079" s="1443" t="str">
        <f>celladdr(Page5_CAD_MCI!K19)</f>
        <v>Page5_CAD_MCI!K19</v>
      </c>
      <c r="B1079" s="1464" t="s">
        <v>1086</v>
      </c>
      <c r="C1079" s="1451" t="b">
        <f>Page5_CAD_MCI!$K$19&lt;0</f>
        <v>0</v>
      </c>
      <c r="D1079" s="1454" t="b">
        <f>OR(AND(Page5_CAD_MCI!$K19&gt;0,Page5_CAD_MCI!$M19=0),AND(Page5_CAD_MCI!$M19&lt;&gt;0,Page5_CAD_MCI!$K19=0))</f>
        <v>0</v>
      </c>
      <c r="E1079" s="1454"/>
      <c r="F1079" s="1454"/>
      <c r="G1079" s="1444" t="str">
        <f t="shared" si="138"/>
        <v/>
      </c>
      <c r="H1079" s="1447" t="str">
        <f>IF(C1079=TRUE,Comments!$B$26,"")</f>
        <v/>
      </c>
      <c r="I1079" s="1446" t="str">
        <f>IF(D1079=TRUE,Comments!$B$21,"")</f>
        <v/>
      </c>
      <c r="J1079" s="1446"/>
      <c r="K1079" s="1452"/>
      <c r="N1079" s="611" t="str">
        <f>"CPTE # "&amp;Page5_CAD_MCI!$E$19&amp;"  "&amp;Page5_CAD_MCI!$C$19&amp;" - UNITÉS - AAD"</f>
        <v>CPTE # 415E  NE PAS UTILISER - UNITÉS - AAD</v>
      </c>
      <c r="O1079" s="611" t="str">
        <f t="shared" si="146"/>
        <v/>
      </c>
      <c r="P1079" s="611" t="str">
        <f t="shared" si="139"/>
        <v>Page5_CAD_MCI!K</v>
      </c>
      <c r="Q1079" s="611">
        <f t="shared" si="140"/>
        <v>19</v>
      </c>
      <c r="R1079" s="1447">
        <f t="shared" ca="1" si="141"/>
        <v>0</v>
      </c>
      <c r="S1079" s="1447">
        <f t="shared" ca="1" si="142"/>
        <v>0</v>
      </c>
      <c r="V1079" s="2557" t="str">
        <f t="shared" ca="1" si="143"/>
        <v/>
      </c>
      <c r="W1079" s="611" t="str">
        <f t="shared" ca="1" si="144"/>
        <v>Page5_CAD_MCI, Ligne 16 [Page5_CAD_MCI!K19]  -</v>
      </c>
    </row>
    <row r="1080" spans="1:23">
      <c r="A1080" s="1443" t="str">
        <f>celladdr(Page5_CAD_MCI!K20)</f>
        <v>Page5_CAD_MCI!K20</v>
      </c>
      <c r="B1080" s="1464" t="s">
        <v>1086</v>
      </c>
      <c r="C1080" s="1451" t="b">
        <f>Page5_CAD_MCI!$K$20&lt;0</f>
        <v>0</v>
      </c>
      <c r="D1080" s="1454"/>
      <c r="E1080" s="1454"/>
      <c r="F1080" s="1454"/>
      <c r="G1080" s="1444" t="str">
        <f t="shared" si="138"/>
        <v/>
      </c>
      <c r="H1080" s="1447" t="str">
        <f>IF(C1080=TRUE,Comments!$B$26,"")</f>
        <v/>
      </c>
      <c r="I1080" s="1446"/>
      <c r="J1080" s="1446"/>
      <c r="K1080" s="1452"/>
      <c r="N1080" s="611" t="str">
        <f>"CPTE # "&amp;Page5_CAD_MCI!$E$20&amp;"  "&amp;Page5_CAD_MCI!$C$20&amp;" - UNITÉS - AAD"</f>
        <v>CPTE # 416E  POUR USAGE FUTUR - UNITÉS - AAD</v>
      </c>
      <c r="O1080" s="611" t="str">
        <f t="shared" si="146"/>
        <v/>
      </c>
      <c r="P1080" s="611" t="str">
        <f t="shared" si="139"/>
        <v>Page5_CAD_MCI!K</v>
      </c>
      <c r="Q1080" s="611">
        <f t="shared" si="140"/>
        <v>20</v>
      </c>
      <c r="R1080" s="1447">
        <f t="shared" ca="1" si="141"/>
        <v>0</v>
      </c>
      <c r="S1080" s="1447">
        <f t="shared" ca="1" si="142"/>
        <v>0</v>
      </c>
      <c r="V1080" s="2557" t="str">
        <f t="shared" ca="1" si="143"/>
        <v/>
      </c>
      <c r="W1080" s="611" t="str">
        <f t="shared" ca="1" si="144"/>
        <v>Page5_CAD_MCI, Ligne 17 [Page5_CAD_MCI!K20]  -</v>
      </c>
    </row>
    <row r="1081" spans="1:23">
      <c r="A1081" s="1443" t="str">
        <f>celladdr(Page5_CAD_MCI!K21)</f>
        <v>Page5_CAD_MCI!K21</v>
      </c>
      <c r="B1081" s="1464" t="s">
        <v>1086</v>
      </c>
      <c r="C1081" s="1451" t="b">
        <f>Page5_CAD_MCI!$K$21&lt;0</f>
        <v>0</v>
      </c>
      <c r="D1081" s="1454" t="b">
        <f>OR(AND(Page5_CAD_MCI!$K21&gt;0,Page5_CAD_MCI!$M21=0),AND(Page5_CAD_MCI!$M21&lt;&gt;0,Page5_CAD_MCI!$K21=0))</f>
        <v>0</v>
      </c>
      <c r="E1081" s="1454"/>
      <c r="F1081" s="1454"/>
      <c r="G1081" s="1444" t="str">
        <f t="shared" si="138"/>
        <v/>
      </c>
      <c r="H1081" s="1447" t="str">
        <f>IF(C1081=TRUE,Comments!$B$26,"")</f>
        <v/>
      </c>
      <c r="I1081" s="1446" t="str">
        <f>IF(D1081=TRUE,Comments!$B$21,"")</f>
        <v/>
      </c>
      <c r="J1081" s="1446"/>
      <c r="K1081" s="1452"/>
      <c r="N1081" s="611" t="str">
        <f>"CPTE # "&amp;Page5_CAD_MCI!$E$21&amp;"  "&amp;Page5_CAD_MCI!$C$21&amp;" - UNITÉS - AAD"</f>
        <v>CPTE # 417E  NE PAS UTILISER - UNITÉS - AAD</v>
      </c>
      <c r="O1081" s="611" t="str">
        <f t="shared" si="146"/>
        <v/>
      </c>
      <c r="P1081" s="611" t="str">
        <f t="shared" si="139"/>
        <v>Page5_CAD_MCI!K</v>
      </c>
      <c r="Q1081" s="611">
        <f t="shared" si="140"/>
        <v>21</v>
      </c>
      <c r="R1081" s="1447">
        <f t="shared" ca="1" si="141"/>
        <v>0</v>
      </c>
      <c r="S1081" s="1447">
        <f t="shared" ca="1" si="142"/>
        <v>0</v>
      </c>
      <c r="V1081" s="2557" t="str">
        <f t="shared" ca="1" si="143"/>
        <v/>
      </c>
      <c r="W1081" s="611" t="str">
        <f t="shared" ca="1" si="144"/>
        <v>Page5_CAD_MCI, Ligne 18 [Page5_CAD_MCI!K21]  -</v>
      </c>
    </row>
    <row r="1082" spans="1:23">
      <c r="A1082" s="1443" t="str">
        <f>celladdr(Page5_CAD_MCI!K22)</f>
        <v>Page5_CAD_MCI!K22</v>
      </c>
      <c r="B1082" s="1464" t="s">
        <v>1086</v>
      </c>
      <c r="C1082" s="1451" t="b">
        <f>Page5_CAD_MCI!$K$22&lt;0</f>
        <v>0</v>
      </c>
      <c r="D1082" s="1454" t="b">
        <f>OR(AND(Page5_CAD_MCI!$K22&gt;0,Page5_CAD_MCI!$M22=0),AND(Page5_CAD_MCI!$M22&lt;&gt;0,Page5_CAD_MCI!$K22=0))</f>
        <v>0</v>
      </c>
      <c r="E1082" s="1454"/>
      <c r="F1082" s="1454"/>
      <c r="G1082" s="1444" t="str">
        <f t="shared" si="138"/>
        <v/>
      </c>
      <c r="H1082" s="1447" t="str">
        <f>IF(C1082=TRUE,Comments!$B$26,"")</f>
        <v/>
      </c>
      <c r="I1082" s="1446" t="str">
        <f>IF(D1082=TRUE,Comments!$B$21,"")</f>
        <v/>
      </c>
      <c r="J1082" s="1446"/>
      <c r="K1082" s="1452"/>
      <c r="N1082" s="611" t="str">
        <f>"CPTE # "&amp;Page5_CAD_MCI!$E$22&amp;"  "&amp;Page5_CAD_MCI!$C$22&amp;" - UNITÉS - AAD"</f>
        <v>CPTE # 418E  AUTRES CADILLAC - UNITÉS - AAD</v>
      </c>
      <c r="O1082" s="611" t="str">
        <f t="shared" si="146"/>
        <v/>
      </c>
      <c r="P1082" s="611" t="str">
        <f t="shared" si="139"/>
        <v>Page5_CAD_MCI!K</v>
      </c>
      <c r="Q1082" s="611">
        <f t="shared" si="140"/>
        <v>22</v>
      </c>
      <c r="R1082" s="1447">
        <f t="shared" ca="1" si="141"/>
        <v>0</v>
      </c>
      <c r="S1082" s="1447">
        <f t="shared" ca="1" si="142"/>
        <v>0</v>
      </c>
      <c r="V1082" s="2557" t="str">
        <f t="shared" ca="1" si="143"/>
        <v/>
      </c>
      <c r="W1082" s="611" t="str">
        <f t="shared" ca="1" si="144"/>
        <v>Page5_CAD_MCI, Ligne 19 [Page5_CAD_MCI!K22]  -</v>
      </c>
    </row>
    <row r="1083" spans="1:23">
      <c r="A1083" s="1443" t="str">
        <f>celladdr(Page5_CAD_MCI!K23)</f>
        <v>Page5_CAD_MCI!K23</v>
      </c>
      <c r="B1083" s="1444" t="s">
        <v>1086</v>
      </c>
      <c r="C1083" s="1451"/>
      <c r="D1083" s="1454"/>
      <c r="E1083" s="1454"/>
      <c r="F1083" s="1454"/>
      <c r="G1083" s="1444" t="str">
        <f t="shared" si="138"/>
        <v/>
      </c>
      <c r="H1083" s="1447" t="str">
        <f>IF(C1083=TRUE,Comments!$B$26,"")</f>
        <v/>
      </c>
      <c r="I1083" s="1446" t="str">
        <f>IF(D1083=TRUE,Comments!$B$21,"")</f>
        <v/>
      </c>
      <c r="J1083" s="1446"/>
      <c r="K1083" s="1452"/>
      <c r="O1083" s="611" t="str">
        <f t="shared" si="146"/>
        <v/>
      </c>
      <c r="P1083" s="611" t="str">
        <f t="shared" si="139"/>
        <v>Page5_CAD_MCI!K</v>
      </c>
      <c r="Q1083" s="611">
        <f t="shared" si="140"/>
        <v>23</v>
      </c>
      <c r="R1083" s="1447">
        <f t="shared" ca="1" si="141"/>
        <v>0</v>
      </c>
      <c r="S1083" s="1447">
        <f t="shared" ca="1" si="142"/>
        <v>0</v>
      </c>
      <c r="V1083" s="2557" t="str">
        <f t="shared" ca="1" si="143"/>
        <v/>
      </c>
      <c r="W1083" s="611" t="str">
        <f t="shared" ca="1" si="144"/>
        <v>Page5_CAD_MCI, Ligne 20 [Page5_CAD_MCI!K23]  -</v>
      </c>
    </row>
    <row r="1084" spans="1:23">
      <c r="A1084" s="1443" t="str">
        <f>celladdr(Page5_CAD_MCI!K24)</f>
        <v>Page5_CAD_MCI!K24</v>
      </c>
      <c r="B1084" s="1464" t="s">
        <v>1086</v>
      </c>
      <c r="C1084" s="1451" t="b">
        <f>Page5_CAD_MCI!$K$24&lt;0</f>
        <v>0</v>
      </c>
      <c r="D1084" s="1454" t="b">
        <f>OR(AND(Page5_CAD_MCI!$K24&gt;0,Page5_CAD_MCI!$M24=0),AND(Page5_CAD_MCI!$M24&lt;&gt;0,Page5_CAD_MCI!$K24=0))</f>
        <v>0</v>
      </c>
      <c r="E1084" s="1454"/>
      <c r="F1084" s="1454"/>
      <c r="G1084" s="1444" t="str">
        <f t="shared" si="138"/>
        <v/>
      </c>
      <c r="H1084" s="1447" t="str">
        <f>IF(C1084=TRUE,Comments!$B$26,"")</f>
        <v/>
      </c>
      <c r="I1084" s="1446" t="str">
        <f>IF(D1084=TRUE,Comments!$B$21,"")</f>
        <v/>
      </c>
      <c r="J1084" s="1446"/>
      <c r="K1084" s="1452"/>
      <c r="N1084" s="611" t="str">
        <f>"CPTE # "&amp;Page5_CAD_MCI!$E$24&amp;"  "&amp;Page5_CAD_MCI!$C$24&amp;" - UNITÉS - AAD"</f>
        <v>CPTE # 419E  MÉMO* VENTES INTERNET VOITURES - UNITÉS - AAD</v>
      </c>
      <c r="O1084" s="611" t="str">
        <f t="shared" si="146"/>
        <v/>
      </c>
      <c r="P1084" s="611" t="str">
        <f t="shared" si="139"/>
        <v>Page5_CAD_MCI!K</v>
      </c>
      <c r="Q1084" s="611">
        <f t="shared" si="140"/>
        <v>24</v>
      </c>
      <c r="R1084" s="1447">
        <f t="shared" ca="1" si="141"/>
        <v>0</v>
      </c>
      <c r="S1084" s="1447">
        <f t="shared" ca="1" si="142"/>
        <v>0</v>
      </c>
      <c r="V1084" s="2557" t="str">
        <f t="shared" ca="1" si="143"/>
        <v/>
      </c>
      <c r="W1084" s="611" t="str">
        <f t="shared" ca="1" si="144"/>
        <v>Page5_CAD_MCI, Ligne 21 [Page5_CAD_MCI!K24]  -</v>
      </c>
    </row>
    <row r="1085" spans="1:23">
      <c r="A1085" s="1443" t="str">
        <f>celladdr(Page5_CAD_MCI!K25)</f>
        <v>Page5_CAD_MCI!K25</v>
      </c>
      <c r="B1085" s="1464" t="s">
        <v>1086</v>
      </c>
      <c r="C1085" s="1451" t="b">
        <f>Page5_CAD_MCI!$K$25&lt;0</f>
        <v>0</v>
      </c>
      <c r="D1085" s="1454" t="b">
        <f>OR(AND(Page5_CAD_MCI!$K25&gt;0,Page5_CAD_MCI!$M25=0),AND(Page5_CAD_MCI!$M25&lt;&gt;0,Page5_CAD_MCI!$K25=0))</f>
        <v>0</v>
      </c>
      <c r="E1085" s="1454" t="b">
        <f>ROUND(Page5_CAD_MCI!K25,2)&lt;&gt;ROUND(Page5_PARCS_GOUV!K8+Page5_PARCS_GOUV!K44,2)</f>
        <v>0</v>
      </c>
      <c r="F1085" s="1454"/>
      <c r="G1085" s="1444" t="str">
        <f t="shared" si="138"/>
        <v/>
      </c>
      <c r="H1085" s="1447" t="str">
        <f>IF(C1085=TRUE,Comments!$B$26,"")</f>
        <v/>
      </c>
      <c r="I1085" s="1446" t="str">
        <f>IF(D1085=TRUE,Comments!$B$21,"")</f>
        <v/>
      </c>
      <c r="J1085" s="1446" t="str">
        <f>IF(E1085=TRUE, Comments!$B$100,"")</f>
        <v/>
      </c>
      <c r="K1085" s="1452"/>
      <c r="N1085" s="611" t="str">
        <f>"CPTE # "&amp;Page5_CAD_MCI!$E$25&amp;"  "&amp;Page5_CAD_MCI!$C$25&amp;" - UNITÉS - AAD"</f>
        <v>CPTE # DE PG PARCS  TOTAL PARCS - VOITURES - UNITÉS - AAD</v>
      </c>
      <c r="O1085" s="611" t="str">
        <f t="shared" si="146"/>
        <v/>
      </c>
      <c r="P1085" s="611" t="str">
        <f t="shared" si="139"/>
        <v>Page5_CAD_MCI!K</v>
      </c>
      <c r="Q1085" s="611">
        <f t="shared" si="140"/>
        <v>25</v>
      </c>
      <c r="R1085" s="1447">
        <f t="shared" ca="1" si="141"/>
        <v>0</v>
      </c>
      <c r="S1085" s="1447">
        <f t="shared" ca="1" si="142"/>
        <v>0</v>
      </c>
      <c r="T1085" s="611">
        <v>100</v>
      </c>
      <c r="V1085" s="2557" t="str">
        <f t="shared" ca="1" si="143"/>
        <v/>
      </c>
      <c r="W1085" s="611" t="str">
        <f t="shared" ca="1" si="144"/>
        <v>Page5_CAD_MCI, Ligne 22 [Page5_CAD_MCI!K25]  -</v>
      </c>
    </row>
    <row r="1086" spans="1:23">
      <c r="A1086" s="1443" t="str">
        <f>celladdr(Page5_CAD_MCI!K26)</f>
        <v>Page5_CAD_MCI!K26</v>
      </c>
      <c r="B1086" s="1464" t="s">
        <v>1086</v>
      </c>
      <c r="C1086" s="1451" t="b">
        <f>Page5_CAD_MCI!$K$26&lt;0</f>
        <v>0</v>
      </c>
      <c r="D1086" s="1454" t="b">
        <f>OR(AND(Page5_CAD_MCI!$K26&gt;0,Page5_CAD_MCI!$M26=0),AND(Page5_CAD_MCI!$M26&lt;&gt;0,Page5_CAD_MCI!$K26=0))</f>
        <v>0</v>
      </c>
      <c r="E1086" s="1454"/>
      <c r="F1086" s="1454"/>
      <c r="G1086" s="1444" t="str">
        <f t="shared" si="138"/>
        <v/>
      </c>
      <c r="H1086" s="1447" t="str">
        <f>IF(C1086=TRUE,Comments!$B$26,"")</f>
        <v/>
      </c>
      <c r="I1086" s="1446" t="str">
        <f>IF(D1086=TRUE,Comments!$B$21,"")</f>
        <v/>
      </c>
      <c r="J1086" s="1446"/>
      <c r="K1086" s="1452"/>
      <c r="N1086" s="611" t="str">
        <f>"CPTE # "&amp;Page5_CAD_MCI!$E$26&amp;"  "&amp;Page5_CAD_MCI!$C$26&amp;" - UNITÉS - AAD"</f>
        <v>CPTE # 421E  TOTAL INTERNE - VOITURES - UNITÉS - AAD</v>
      </c>
      <c r="O1086" s="611" t="str">
        <f t="shared" si="146"/>
        <v/>
      </c>
      <c r="P1086" s="611" t="str">
        <f t="shared" si="139"/>
        <v>Page5_CAD_MCI!K</v>
      </c>
      <c r="Q1086" s="611">
        <f t="shared" si="140"/>
        <v>26</v>
      </c>
      <c r="R1086" s="1447">
        <f t="shared" ca="1" si="141"/>
        <v>0</v>
      </c>
      <c r="S1086" s="1447">
        <f t="shared" ca="1" si="142"/>
        <v>0</v>
      </c>
      <c r="V1086" s="2557" t="str">
        <f t="shared" ca="1" si="143"/>
        <v/>
      </c>
      <c r="W1086" s="611" t="str">
        <f t="shared" ca="1" si="144"/>
        <v>Page5_CAD_MCI, Ligne 23 [Page5_CAD_MCI!K26]  -</v>
      </c>
    </row>
    <row r="1087" spans="1:23">
      <c r="A1087" s="1443" t="str">
        <f>celladdr(Page5_CAD_MCI!K27)</f>
        <v>Page5_CAD_MCI!K27</v>
      </c>
      <c r="B1087" s="1444" t="s">
        <v>1086</v>
      </c>
      <c r="C1087" s="1451"/>
      <c r="D1087" s="1454"/>
      <c r="E1087" s="1454"/>
      <c r="F1087" s="1454"/>
      <c r="G1087" s="1444" t="str">
        <f t="shared" si="138"/>
        <v/>
      </c>
      <c r="H1087" s="1447" t="str">
        <f>IF(C1087=TRUE,Comments!$B$26,"")</f>
        <v/>
      </c>
      <c r="I1087" s="1446" t="str">
        <f>IF(D1087=TRUE,Comments!$B$21,"")</f>
        <v/>
      </c>
      <c r="J1087" s="1446"/>
      <c r="K1087" s="1452"/>
      <c r="O1087" s="611" t="str">
        <f t="shared" si="146"/>
        <v/>
      </c>
      <c r="P1087" s="611" t="str">
        <f t="shared" si="139"/>
        <v>Page5_CAD_MCI!K</v>
      </c>
      <c r="Q1087" s="611">
        <f t="shared" si="140"/>
        <v>27</v>
      </c>
      <c r="R1087" s="1447">
        <f t="shared" ca="1" si="141"/>
        <v>0</v>
      </c>
      <c r="S1087" s="1447">
        <f t="shared" ca="1" si="142"/>
        <v>0</v>
      </c>
      <c r="V1087" s="2557" t="str">
        <f t="shared" ca="1" si="143"/>
        <v/>
      </c>
      <c r="W1087" s="611" t="str">
        <f t="shared" ca="1" si="144"/>
        <v>Page5_CAD_MCI, Ligne 24 [Page5_CAD_MCI!K27]  -</v>
      </c>
    </row>
    <row r="1088" spans="1:23">
      <c r="A1088" s="1443" t="str">
        <f>celladdr(Page5_CAD_MCI!K28)</f>
        <v>Page5_CAD_MCI!K28</v>
      </c>
      <c r="B1088" s="1464" t="s">
        <v>1086</v>
      </c>
      <c r="C1088" s="1451" t="b">
        <f>Page5_CAD_MCI!$K$28&lt;0</f>
        <v>0</v>
      </c>
      <c r="D1088" s="1454" t="b">
        <f>OR(AND(Page5_CAD_MCI!$K28&gt;0,Page5_CAD_MCI!$M28=0),AND(Page5_CAD_MCI!$M28&lt;&gt;0,Page5_CAD_MCI!$K28=0))</f>
        <v>0</v>
      </c>
      <c r="E1088" s="1454"/>
      <c r="F1088" s="1454"/>
      <c r="G1088" s="1444" t="str">
        <f t="shared" si="138"/>
        <v/>
      </c>
      <c r="H1088" s="1447" t="str">
        <f>IF(C1088=TRUE,Comments!$B$26,"")</f>
        <v/>
      </c>
      <c r="I1088" s="1446" t="str">
        <f>IF(D1088=TRUE,Comments!$B$21,"")</f>
        <v/>
      </c>
      <c r="J1088" s="1446"/>
      <c r="K1088" s="1452"/>
      <c r="N1088" s="611" t="str">
        <f>"CPTE # "&amp;Page5_CAD_MCI!$E$28&amp;"  "&amp;Page5_CAD_MCI!$C$28&amp;" - UNITÉS - AAD"</f>
        <v>CPTE # 423E  ESCALADE    - UNITÉS - AAD</v>
      </c>
      <c r="O1088" s="611" t="str">
        <f t="shared" si="146"/>
        <v/>
      </c>
      <c r="P1088" s="611" t="str">
        <f t="shared" si="139"/>
        <v>Page5_CAD_MCI!K</v>
      </c>
      <c r="Q1088" s="611">
        <f t="shared" si="140"/>
        <v>28</v>
      </c>
      <c r="R1088" s="1447">
        <f t="shared" ca="1" si="141"/>
        <v>0</v>
      </c>
      <c r="S1088" s="1447">
        <f t="shared" ca="1" si="142"/>
        <v>0</v>
      </c>
      <c r="V1088" s="2557" t="str">
        <f t="shared" ca="1" si="143"/>
        <v/>
      </c>
      <c r="W1088" s="611" t="str">
        <f t="shared" ca="1" si="144"/>
        <v>Page5_CAD_MCI, Ligne 25 [Page5_CAD_MCI!K28]  -</v>
      </c>
    </row>
    <row r="1089" spans="1:23">
      <c r="A1089" s="1443" t="str">
        <f>celladdr(Page5_CAD_MCI!K29)</f>
        <v>Page5_CAD_MCI!K29</v>
      </c>
      <c r="B1089" s="1464" t="s">
        <v>1086</v>
      </c>
      <c r="C1089" s="1451" t="b">
        <f>Page5_CAD_MCI!$K$29&lt;0</f>
        <v>0</v>
      </c>
      <c r="D1089" s="1454" t="b">
        <f>OR(AND(Page5_CAD_MCI!$K29&gt;0,Page5_CAD_MCI!$M29=0),AND(Page5_CAD_MCI!$M29&lt;&gt;0,Page5_CAD_MCI!$K29=0))</f>
        <v>0</v>
      </c>
      <c r="E1089" s="1454"/>
      <c r="F1089" s="1454"/>
      <c r="G1089" s="1444" t="str">
        <f t="shared" si="138"/>
        <v/>
      </c>
      <c r="H1089" s="1447" t="str">
        <f>IF(C1089=TRUE,Comments!$B$26,"")</f>
        <v/>
      </c>
      <c r="I1089" s="1446" t="str">
        <f>IF(D1089=TRUE,Comments!$B$21,"")</f>
        <v/>
      </c>
      <c r="J1089" s="1446"/>
      <c r="K1089" s="1452"/>
      <c r="N1089" s="611" t="str">
        <f>"CPTE # "&amp;Page5_CAD_MCI!$E$29&amp;"  "&amp;Page5_CAD_MCI!$C$29&amp;" - UNITÉS - AAD"</f>
        <v>CPTE # 424E  NE PAS UTILISER - UNITÉS - AAD</v>
      </c>
      <c r="O1089" s="611" t="str">
        <f t="shared" si="146"/>
        <v/>
      </c>
      <c r="P1089" s="611" t="str">
        <f t="shared" si="139"/>
        <v>Page5_CAD_MCI!K</v>
      </c>
      <c r="Q1089" s="611">
        <f t="shared" si="140"/>
        <v>29</v>
      </c>
      <c r="R1089" s="1447">
        <f t="shared" ca="1" si="141"/>
        <v>0</v>
      </c>
      <c r="S1089" s="1447">
        <f t="shared" ca="1" si="142"/>
        <v>0</v>
      </c>
      <c r="V1089" s="2557" t="str">
        <f t="shared" ca="1" si="143"/>
        <v/>
      </c>
      <c r="W1089" s="611" t="str">
        <f t="shared" ca="1" si="144"/>
        <v>Page5_CAD_MCI, Ligne 26 [Page5_CAD_MCI!K29]  -</v>
      </c>
    </row>
    <row r="1090" spans="1:23">
      <c r="A1090" s="1443" t="str">
        <f>celladdr(Page5_CAD_MCI!K30)</f>
        <v>Page5_CAD_MCI!K30</v>
      </c>
      <c r="B1090" s="1464" t="s">
        <v>1086</v>
      </c>
      <c r="C1090" s="1451" t="b">
        <f>Page5_CAD_MCI!$K$30&lt;0</f>
        <v>0</v>
      </c>
      <c r="D1090" s="1454" t="b">
        <f>OR(AND(Page5_CAD_MCI!$K30&gt;0,Page5_CAD_MCI!$M30=0),AND(Page5_CAD_MCI!$M30&lt;&gt;0,Page5_CAD_MCI!$K30=0))</f>
        <v>0</v>
      </c>
      <c r="E1090" s="1454"/>
      <c r="F1090" s="1454"/>
      <c r="G1090" s="1444" t="str">
        <f t="shared" ref="G1090:G1153" si="147">IF(H1090&amp;I1090&amp;J1090&amp;K1090&lt;&gt;"","No.de ref. du commentaire.: "&amp;W1090&amp;" "&amp;N1090&amp;" "&amp;H1090&amp;I1090&amp;IF(OR(C1090=TRUE,D1090=TRUE),"",J1090&amp;K1090&amp;V1090),"")</f>
        <v/>
      </c>
      <c r="H1090" s="1447" t="str">
        <f>IF(C1090=TRUE,Comments!$B$26,"")</f>
        <v/>
      </c>
      <c r="I1090" s="1446" t="str">
        <f>IF(D1090=TRUE,Comments!$B$21,"")</f>
        <v/>
      </c>
      <c r="J1090" s="1446"/>
      <c r="K1090" s="1452"/>
      <c r="N1090" s="611" t="str">
        <f>"CPTE # "&amp;Page5_CAD_MCI!$E$30&amp;"  "&amp;Page5_CAD_MCI!$C$30&amp;" - UNITÉS - AAD"</f>
        <v>CPTE # 425E  ESCALADE-ESV - UNITÉS - AAD</v>
      </c>
      <c r="O1090" s="611" t="str">
        <f t="shared" si="146"/>
        <v/>
      </c>
      <c r="P1090" s="611" t="str">
        <f t="shared" ref="P1090:P1153" si="148">LEFT(A1090,FIND("!",A1090)+1)</f>
        <v>Page5_CAD_MCI!K</v>
      </c>
      <c r="Q1090" s="611">
        <f t="shared" ref="Q1090:Q1153" si="149">VALUE(RIGHT(A1090,LEN(A1090)-FIND("!",A1090)-1))</f>
        <v>30</v>
      </c>
      <c r="R1090" s="1447">
        <f t="shared" ref="R1090:R1153" ca="1" si="150">IF(E1090=TRUE,INDIRECT("Comments!$D$"&amp;T1090),0)</f>
        <v>0</v>
      </c>
      <c r="S1090" s="1447">
        <f t="shared" ref="S1090:S1153" ca="1" si="151">IF(F1090=TRUE,INDIRECT("Comments!$D$"&amp;U1090),0)</f>
        <v>0</v>
      </c>
      <c r="V1090" s="2557" t="str">
        <f t="shared" ref="V1090:V1153" ca="1" si="152">IF(SUM(R1090+S1090)=0,"","
*** "&amp;TEXT(SUM(R1090+S1090),"0,0")&amp;" Points de précision seront déduits suite à cette(ces) erreur(s) !")</f>
        <v/>
      </c>
      <c r="W1090" s="611" t="str">
        <f t="shared" ref="W1090:W1153" ca="1" si="153">LEFT(A1090,FIND("!",A1090,1)-1)&amp;", Ligne "&amp;INDIRECT(ADDRESS(ROW(INDIRECT(A1090)),IF(INDIRECT(ADDRESS(ROW(INDIRECT(A1090)),1,,,LEFT(A1090,FIND("!",A1090,1)-1)))="",2,1),,,LEFT(A1090,FIND("!",A1090,1)-1)))&amp;" ["&amp;A1090&amp;"] "&amp;" -"</f>
        <v>Page5_CAD_MCI, Ligne 27 [Page5_CAD_MCI!K30]  -</v>
      </c>
    </row>
    <row r="1091" spans="1:23">
      <c r="A1091" s="1443" t="str">
        <f>celladdr(Page5_CAD_MCI!K31)</f>
        <v>Page5_CAD_MCI!K31</v>
      </c>
      <c r="B1091" s="1464" t="s">
        <v>1086</v>
      </c>
      <c r="C1091" s="1451" t="b">
        <f>Page5_CAD_MCI!$K$31&lt;0</f>
        <v>0</v>
      </c>
      <c r="D1091" s="1454" t="b">
        <f>OR(AND(Page5_CAD_MCI!$K31&gt;0,Page5_CAD_MCI!$M31=0),AND(Page5_CAD_MCI!$M31&lt;&gt;0,Page5_CAD_MCI!$K31=0))</f>
        <v>0</v>
      </c>
      <c r="E1091" s="1454"/>
      <c r="F1091" s="1454"/>
      <c r="G1091" s="1444" t="str">
        <f t="shared" si="147"/>
        <v/>
      </c>
      <c r="H1091" s="1447" t="str">
        <f>IF(C1091=TRUE,Comments!$B$26,"")</f>
        <v/>
      </c>
      <c r="I1091" s="1446" t="str">
        <f>IF(D1091=TRUE,Comments!$B$21,"")</f>
        <v/>
      </c>
      <c r="J1091" s="1446"/>
      <c r="K1091" s="1452"/>
      <c r="N1091" s="611" t="str">
        <f>"CPTE # "&amp;Page5_CAD_MCI!$E$31&amp;"  "&amp;Page5_CAD_MCI!$C$31&amp;" - UNITÉS - AAD"</f>
        <v>CPTE # 426E  SRX - UNITÉS - AAD</v>
      </c>
      <c r="O1091" s="611" t="str">
        <f t="shared" si="146"/>
        <v/>
      </c>
      <c r="P1091" s="611" t="str">
        <f t="shared" si="148"/>
        <v>Page5_CAD_MCI!K</v>
      </c>
      <c r="Q1091" s="611">
        <f t="shared" si="149"/>
        <v>31</v>
      </c>
      <c r="R1091" s="1447">
        <f t="shared" ca="1" si="150"/>
        <v>0</v>
      </c>
      <c r="S1091" s="1447">
        <f t="shared" ca="1" si="151"/>
        <v>0</v>
      </c>
      <c r="V1091" s="2557" t="str">
        <f t="shared" ca="1" si="152"/>
        <v/>
      </c>
      <c r="W1091" s="611" t="str">
        <f t="shared" ca="1" si="153"/>
        <v>Page5_CAD_MCI, Ligne 28 [Page5_CAD_MCI!K31]  -</v>
      </c>
    </row>
    <row r="1092" spans="1:23">
      <c r="A1092" s="1443" t="str">
        <f>celladdr(Page5_CAD_MCI!K32)</f>
        <v>Page5_CAD_MCI!K32</v>
      </c>
      <c r="B1092" s="1464" t="s">
        <v>1086</v>
      </c>
      <c r="C1092" s="1451" t="b">
        <f>Page5_CAD_MCI!$K$32&lt;0</f>
        <v>0</v>
      </c>
      <c r="D1092" s="1454" t="b">
        <f>OR(AND(Page5_CAD_MCI!$K32&gt;0,Page5_CAD_MCI!$M32=0),AND(Page5_CAD_MCI!$M32&lt;&gt;0,Page5_CAD_MCI!$K32=0))</f>
        <v>0</v>
      </c>
      <c r="E1092" s="1454"/>
      <c r="F1092" s="1454"/>
      <c r="G1092" s="1444" t="str">
        <f t="shared" si="147"/>
        <v/>
      </c>
      <c r="H1092" s="1447" t="str">
        <f>IF(C1092=TRUE,Comments!$B$26,"")</f>
        <v/>
      </c>
      <c r="I1092" s="1446" t="str">
        <f>IF(D1092=TRUE,Comments!$B$21,"")</f>
        <v/>
      </c>
      <c r="J1092" s="1446"/>
      <c r="K1092" s="1452"/>
      <c r="N1092" s="611" t="str">
        <f>"CPTE # "&amp;Page5_CAD_MCI!$E$32&amp;"  "&amp;Page5_CAD_MCI!$C$32&amp;" - UNITÉS - AAD"</f>
        <v>CPTE # 427E  NE PAS UTILISER - UNITÉS - AAD</v>
      </c>
      <c r="O1092" s="611" t="str">
        <f t="shared" si="146"/>
        <v/>
      </c>
      <c r="P1092" s="611" t="str">
        <f t="shared" si="148"/>
        <v>Page5_CAD_MCI!K</v>
      </c>
      <c r="Q1092" s="611">
        <f t="shared" si="149"/>
        <v>32</v>
      </c>
      <c r="R1092" s="1447">
        <f t="shared" ca="1" si="150"/>
        <v>0</v>
      </c>
      <c r="S1092" s="1447">
        <f t="shared" ca="1" si="151"/>
        <v>0</v>
      </c>
      <c r="V1092" s="2557" t="str">
        <f t="shared" ca="1" si="152"/>
        <v/>
      </c>
      <c r="W1092" s="611" t="str">
        <f t="shared" ca="1" si="153"/>
        <v>Page5_CAD_MCI, Ligne 29 [Page5_CAD_MCI!K32]  -</v>
      </c>
    </row>
    <row r="1093" spans="1:23">
      <c r="A1093" s="1443" t="str">
        <f>celladdr(Page5_CAD_MCI!K33)</f>
        <v>Page5_CAD_MCI!K33</v>
      </c>
      <c r="B1093" s="1464" t="s">
        <v>1086</v>
      </c>
      <c r="C1093" s="1451" t="b">
        <f>Page5_CAD_MCI!$K$33&lt;0</f>
        <v>0</v>
      </c>
      <c r="D1093" s="1454" t="b">
        <f>OR(AND(Page5_CAD_MCI!$K33&gt;0,Page5_CAD_MCI!$M33=0),AND(Page5_CAD_MCI!$M33&lt;&gt;0,Page5_CAD_MCI!$K33=0))</f>
        <v>0</v>
      </c>
      <c r="E1093" s="1454"/>
      <c r="F1093" s="1454"/>
      <c r="G1093" s="1444" t="str">
        <f t="shared" si="147"/>
        <v/>
      </c>
      <c r="H1093" s="1447" t="str">
        <f>IF(C1093=TRUE,Comments!$B$26,"")</f>
        <v/>
      </c>
      <c r="I1093" s="1446" t="str">
        <f>IF(D1093=TRUE,Comments!$B$21,"")</f>
        <v/>
      </c>
      <c r="J1093" s="1446"/>
      <c r="K1093" s="1452"/>
      <c r="N1093" s="611" t="str">
        <f>"CPTE # "&amp;Page5_CAD_MCI!$E$33&amp;"  "&amp;Page5_CAD_MCI!$C$33&amp;" - UNITÉS - AAD"</f>
        <v>CPTE # 428E  NE PAS UTILISER - UNITÉS - AAD</v>
      </c>
      <c r="O1093" s="611" t="str">
        <f t="shared" si="146"/>
        <v/>
      </c>
      <c r="P1093" s="611" t="str">
        <f t="shared" si="148"/>
        <v>Page5_CAD_MCI!K</v>
      </c>
      <c r="Q1093" s="611">
        <f t="shared" si="149"/>
        <v>33</v>
      </c>
      <c r="R1093" s="1447">
        <f t="shared" ca="1" si="150"/>
        <v>0</v>
      </c>
      <c r="S1093" s="1447">
        <f t="shared" ca="1" si="151"/>
        <v>0</v>
      </c>
      <c r="V1093" s="2557" t="str">
        <f t="shared" ca="1" si="152"/>
        <v/>
      </c>
      <c r="W1093" s="611" t="str">
        <f t="shared" ca="1" si="153"/>
        <v>Page5_CAD_MCI, Ligne 30 [Page5_CAD_MCI!K33]  -</v>
      </c>
    </row>
    <row r="1094" spans="1:23">
      <c r="A1094" s="1443" t="str">
        <f>celladdr(Page5_CAD_MCI!K34)</f>
        <v>Page5_CAD_MCI!K34</v>
      </c>
      <c r="B1094" s="1464" t="s">
        <v>1086</v>
      </c>
      <c r="C1094" s="1451" t="b">
        <f>Page5_CAD_MCI!$K$34&lt;0</f>
        <v>0</v>
      </c>
      <c r="D1094" s="1454" t="b">
        <f>OR(AND(Page5_CAD_MCI!$K34&gt;0,Page5_CAD_MCI!$M34=0),AND(Page5_CAD_MCI!$M34&lt;&gt;0,Page5_CAD_MCI!$K34=0))</f>
        <v>0</v>
      </c>
      <c r="E1094" s="1454"/>
      <c r="F1094" s="1454"/>
      <c r="G1094" s="1444" t="str">
        <f t="shared" si="147"/>
        <v/>
      </c>
      <c r="H1094" s="1447" t="str">
        <f>IF(C1094=TRUE,Comments!$B$26,"")</f>
        <v/>
      </c>
      <c r="I1094" s="1446" t="str">
        <f>IF(D1094=TRUE,Comments!$B$21,"")</f>
        <v/>
      </c>
      <c r="J1094" s="1446"/>
      <c r="K1094" s="1452"/>
      <c r="N1094" s="611" t="str">
        <f>"CPTE # "&amp;Page5_CAD_MCI!$E$34&amp;"  "&amp;Page5_CAD_MCI!$C$34&amp;" - UNITÉS - AAD"</f>
        <v>CPTE # 429E  NE PAS UTILISER - UNITÉS - AAD</v>
      </c>
      <c r="O1094" s="611" t="str">
        <f t="shared" si="146"/>
        <v/>
      </c>
      <c r="P1094" s="611" t="str">
        <f t="shared" si="148"/>
        <v>Page5_CAD_MCI!K</v>
      </c>
      <c r="Q1094" s="611">
        <f t="shared" si="149"/>
        <v>34</v>
      </c>
      <c r="R1094" s="1447">
        <f t="shared" ca="1" si="150"/>
        <v>0</v>
      </c>
      <c r="S1094" s="1447">
        <f t="shared" ca="1" si="151"/>
        <v>0</v>
      </c>
      <c r="V1094" s="2557" t="str">
        <f t="shared" ca="1" si="152"/>
        <v/>
      </c>
      <c r="W1094" s="611" t="str">
        <f t="shared" ca="1" si="153"/>
        <v>Page5_CAD_MCI, Ligne 31 [Page5_CAD_MCI!K34]  -</v>
      </c>
    </row>
    <row r="1095" spans="1:23">
      <c r="A1095" s="1443" t="str">
        <f>celladdr(Page5_CAD_MCI!K35)</f>
        <v>Page5_CAD_MCI!K35</v>
      </c>
      <c r="B1095" s="1464" t="s">
        <v>1086</v>
      </c>
      <c r="C1095" s="1451" t="b">
        <f>Page5_CAD_MCI!$K$35&lt;0</f>
        <v>0</v>
      </c>
      <c r="D1095" s="1454" t="b">
        <f>OR(AND(Page5_CAD_MCI!$K35&gt;0,Page5_CAD_MCI!$M35=0),AND(Page5_CAD_MCI!$M35&lt;&gt;0,Page5_CAD_MCI!$K35=0))</f>
        <v>0</v>
      </c>
      <c r="E1095" s="1454"/>
      <c r="F1095" s="1454"/>
      <c r="G1095" s="1444" t="str">
        <f t="shared" si="147"/>
        <v/>
      </c>
      <c r="H1095" s="1447" t="str">
        <f>IF(C1095=TRUE,Comments!$B$26,"")</f>
        <v/>
      </c>
      <c r="I1095" s="1446" t="str">
        <f>IF(D1095=TRUE,Comments!$B$21,"")</f>
        <v/>
      </c>
      <c r="J1095" s="1446"/>
      <c r="K1095" s="1452"/>
      <c r="N1095" s="611" t="str">
        <f>"CPTE # "&amp;Page5_CAD_MCI!$E$35&amp;"  "&amp;Page5_CAD_MCI!$C$35&amp;" - UNITÉS - AAD"</f>
        <v>CPTE # 430E  XT4 - UNITÉS - AAD</v>
      </c>
      <c r="O1095" s="611" t="str">
        <f t="shared" si="146"/>
        <v/>
      </c>
      <c r="P1095" s="611" t="str">
        <f t="shared" si="148"/>
        <v>Page5_CAD_MCI!K</v>
      </c>
      <c r="Q1095" s="611">
        <f t="shared" si="149"/>
        <v>35</v>
      </c>
      <c r="R1095" s="1447">
        <f t="shared" ca="1" si="150"/>
        <v>0</v>
      </c>
      <c r="S1095" s="1447">
        <f t="shared" ca="1" si="151"/>
        <v>0</v>
      </c>
      <c r="V1095" s="2557" t="str">
        <f t="shared" ca="1" si="152"/>
        <v/>
      </c>
      <c r="W1095" s="611" t="str">
        <f t="shared" ca="1" si="153"/>
        <v>Page5_CAD_MCI, Ligne 32 [Page5_CAD_MCI!K35]  -</v>
      </c>
    </row>
    <row r="1096" spans="1:23">
      <c r="A1096" s="1443" t="str">
        <f>celladdr(Page5_CAD_MCI!K36)</f>
        <v>Page5_CAD_MCI!K36</v>
      </c>
      <c r="B1096" s="1464" t="s">
        <v>1086</v>
      </c>
      <c r="C1096" s="1451" t="b">
        <f>Page5_CAD_MCI!$K$36&lt;0</f>
        <v>0</v>
      </c>
      <c r="D1096" s="1454" t="b">
        <f>OR(AND(Page5_CAD_MCI!$K36&gt;0,Page5_CAD_MCI!$M36=0),AND(Page5_CAD_MCI!$M36&lt;&gt;0,Page5_CAD_MCI!$K36=0))</f>
        <v>0</v>
      </c>
      <c r="E1096" s="1454"/>
      <c r="F1096" s="1454"/>
      <c r="G1096" s="1444" t="str">
        <f t="shared" si="147"/>
        <v/>
      </c>
      <c r="H1096" s="1447" t="str">
        <f>IF(C1096=TRUE,Comments!$B$26,"")</f>
        <v/>
      </c>
      <c r="I1096" s="1446" t="str">
        <f>IF(D1096=TRUE,Comments!$B$21,"")</f>
        <v/>
      </c>
      <c r="J1096" s="1446"/>
      <c r="K1096" s="1452"/>
      <c r="N1096" s="611" t="str">
        <f>"CPTE # "&amp;Page5_CAD_MCI!$E$36&amp;"  "&amp;Page5_CAD_MCI!$C$36&amp;" - UNITÉS - AAD"</f>
        <v>CPTE # 431E  XT5 - UNITÉS - AAD</v>
      </c>
      <c r="O1096" s="611" t="str">
        <f t="shared" si="146"/>
        <v/>
      </c>
      <c r="P1096" s="611" t="str">
        <f t="shared" si="148"/>
        <v>Page5_CAD_MCI!K</v>
      </c>
      <c r="Q1096" s="611">
        <f t="shared" si="149"/>
        <v>36</v>
      </c>
      <c r="R1096" s="1447">
        <f t="shared" ca="1" si="150"/>
        <v>0</v>
      </c>
      <c r="S1096" s="1447">
        <f t="shared" ca="1" si="151"/>
        <v>0</v>
      </c>
      <c r="V1096" s="2557" t="str">
        <f t="shared" ca="1" si="152"/>
        <v/>
      </c>
      <c r="W1096" s="611" t="str">
        <f t="shared" ca="1" si="153"/>
        <v>Page5_CAD_MCI, Ligne 33 [Page5_CAD_MCI!K36]  -</v>
      </c>
    </row>
    <row r="1097" spans="1:23">
      <c r="A1097" s="1443" t="str">
        <f>celladdr(Page5_CAD_MCI!K37)</f>
        <v>Page5_CAD_MCI!K37</v>
      </c>
      <c r="B1097" s="1464" t="s">
        <v>1086</v>
      </c>
      <c r="C1097" s="1451" t="b">
        <f>Page5_CAD_MCI!$K$37&lt;0</f>
        <v>0</v>
      </c>
      <c r="D1097" s="1454" t="b">
        <f>OR(AND(Page5_CAD_MCI!$K37&gt;0,Page5_CAD_MCI!$M37=0),AND(Page5_CAD_MCI!$M37&lt;&gt;0,Page5_CAD_MCI!$K37=0))</f>
        <v>0</v>
      </c>
      <c r="E1097" s="1454"/>
      <c r="F1097" s="1454"/>
      <c r="G1097" s="1444" t="str">
        <f t="shared" si="147"/>
        <v/>
      </c>
      <c r="H1097" s="1447" t="str">
        <f>IF(C1097=TRUE,Comments!$B$26,"")</f>
        <v/>
      </c>
      <c r="I1097" s="1446" t="str">
        <f>IF(D1097=TRUE,Comments!$B$21,"")</f>
        <v/>
      </c>
      <c r="J1097" s="1446"/>
      <c r="K1097" s="1452"/>
      <c r="N1097" s="611" t="str">
        <f>"CPTE # "&amp;Page5_CAD_MCI!$E$37&amp;"  "&amp;Page5_CAD_MCI!$C$37&amp;" - UNITÉS - AAD"</f>
        <v>CPTE # 432E  XT6 - UNITÉS - AAD</v>
      </c>
      <c r="O1097" s="611" t="str">
        <f t="shared" si="146"/>
        <v/>
      </c>
      <c r="P1097" s="611" t="str">
        <f t="shared" si="148"/>
        <v>Page5_CAD_MCI!K</v>
      </c>
      <c r="Q1097" s="611">
        <f t="shared" si="149"/>
        <v>37</v>
      </c>
      <c r="R1097" s="1447">
        <f t="shared" ca="1" si="150"/>
        <v>0</v>
      </c>
      <c r="S1097" s="1447">
        <f t="shared" ca="1" si="151"/>
        <v>0</v>
      </c>
      <c r="V1097" s="2557" t="str">
        <f t="shared" ca="1" si="152"/>
        <v/>
      </c>
      <c r="W1097" s="611" t="str">
        <f t="shared" ca="1" si="153"/>
        <v>Page5_CAD_MCI, Ligne 34 [Page5_CAD_MCI!K37]  -</v>
      </c>
    </row>
    <row r="1098" spans="1:23">
      <c r="A1098" s="1443" t="str">
        <f>celladdr(Page5_CAD_MCI!K38)</f>
        <v>Page5_CAD_MCI!K38</v>
      </c>
      <c r="B1098" s="1464" t="s">
        <v>1086</v>
      </c>
      <c r="C1098" s="1451" t="b">
        <f>Page5_CAD_MCI!$K$38&lt;0</f>
        <v>0</v>
      </c>
      <c r="D1098" s="1454" t="b">
        <f>OR(AND(Page5_CAD_MCI!$K38&gt;0,Page5_CAD_MCI!$M38=0),AND(Page5_CAD_MCI!$M38&lt;&gt;0,Page5_CAD_MCI!$K38=0))</f>
        <v>0</v>
      </c>
      <c r="E1098" s="1454"/>
      <c r="F1098" s="1454"/>
      <c r="G1098" s="1444" t="str">
        <f t="shared" si="147"/>
        <v/>
      </c>
      <c r="H1098" s="1447" t="str">
        <f>IF(C1098=TRUE,Comments!$B$26,"")</f>
        <v/>
      </c>
      <c r="I1098" s="1446" t="str">
        <f>IF(D1098=TRUE,Comments!$B$21,"")</f>
        <v/>
      </c>
      <c r="J1098" s="1446"/>
      <c r="K1098" s="1452"/>
      <c r="N1098" s="611" t="str">
        <f>"CPTE # "&amp;Page5_CAD_MCI!$E$38&amp;"  "&amp;Page5_CAD_MCI!$C$38&amp;" - UNITÉS - AAD"</f>
        <v>CPTE # 433E  NE PAS UTILISER - UNITÉS - AAD</v>
      </c>
      <c r="O1098" s="611" t="str">
        <f t="shared" si="146"/>
        <v/>
      </c>
      <c r="P1098" s="611" t="str">
        <f t="shared" si="148"/>
        <v>Page5_CAD_MCI!K</v>
      </c>
      <c r="Q1098" s="611">
        <f t="shared" si="149"/>
        <v>38</v>
      </c>
      <c r="R1098" s="1447">
        <f t="shared" ca="1" si="150"/>
        <v>0</v>
      </c>
      <c r="S1098" s="1447">
        <f t="shared" ca="1" si="151"/>
        <v>0</v>
      </c>
      <c r="V1098" s="2557" t="str">
        <f t="shared" ca="1" si="152"/>
        <v/>
      </c>
      <c r="W1098" s="611" t="str">
        <f t="shared" ca="1" si="153"/>
        <v>Page5_CAD_MCI, Ligne 35 [Page5_CAD_MCI!K38]  -</v>
      </c>
    </row>
    <row r="1099" spans="1:23">
      <c r="A1099" s="1443" t="str">
        <f>celladdr(Page5_CAD_MCI!K39)</f>
        <v>Page5_CAD_MCI!K39</v>
      </c>
      <c r="B1099" s="1464" t="s">
        <v>1086</v>
      </c>
      <c r="C1099" s="1451" t="b">
        <f>Page5_CAD_MCI!$K$39&lt;0</f>
        <v>0</v>
      </c>
      <c r="D1099" s="1454" t="b">
        <f>OR(AND(Page5_CAD_MCI!$K39&gt;0,Page5_CAD_MCI!$M39=0),AND(Page5_CAD_MCI!$M39&lt;&gt;0,Page5_CAD_MCI!$K39=0))</f>
        <v>0</v>
      </c>
      <c r="E1099" s="1454"/>
      <c r="F1099" s="1454"/>
      <c r="G1099" s="1444" t="str">
        <f t="shared" si="147"/>
        <v/>
      </c>
      <c r="H1099" s="1447" t="str">
        <f>IF(C1099=TRUE,Comments!$B$26,"")</f>
        <v/>
      </c>
      <c r="I1099" s="1446" t="str">
        <f>IF(D1099=TRUE,Comments!$B$21,"")</f>
        <v/>
      </c>
      <c r="J1099" s="1446"/>
      <c r="K1099" s="1452"/>
      <c r="N1099" s="611" t="str">
        <f>"CPTE # "&amp;Page5_CAD_MCI!$E$39&amp;"  "&amp;Page5_CAD_MCI!$C$39&amp;" - UNITÉS - AAD"</f>
        <v>CPTE # 434E  ESCALADE V - UNITÉS - AAD</v>
      </c>
      <c r="O1099" s="611" t="str">
        <f t="shared" si="146"/>
        <v/>
      </c>
      <c r="P1099" s="611" t="str">
        <f t="shared" si="148"/>
        <v>Page5_CAD_MCI!K</v>
      </c>
      <c r="Q1099" s="611">
        <f t="shared" si="149"/>
        <v>39</v>
      </c>
      <c r="R1099" s="1447">
        <f t="shared" ca="1" si="150"/>
        <v>0</v>
      </c>
      <c r="S1099" s="1447">
        <f t="shared" ca="1" si="151"/>
        <v>0</v>
      </c>
      <c r="V1099" s="2557" t="str">
        <f t="shared" ca="1" si="152"/>
        <v/>
      </c>
      <c r="W1099" s="611" t="str">
        <f t="shared" ca="1" si="153"/>
        <v>Page5_CAD_MCI, Ligne 36 [Page5_CAD_MCI!K39]  -</v>
      </c>
    </row>
    <row r="1100" spans="1:23">
      <c r="A1100" s="1443" t="str">
        <f>celladdr(Page5_CAD_MCI!K40)</f>
        <v>Page5_CAD_MCI!K40</v>
      </c>
      <c r="B1100" s="1464" t="s">
        <v>1086</v>
      </c>
      <c r="C1100" s="1451" t="b">
        <f>Page5_CAD_MCI!$K$40&lt;0</f>
        <v>0</v>
      </c>
      <c r="D1100" s="1454" t="b">
        <f>OR(AND(Page5_CAD_MCI!$K40&gt;0,Page5_CAD_MCI!$M40=0),AND(Page5_CAD_MCI!$M40&lt;&gt;0,Page5_CAD_MCI!$K40=0))</f>
        <v>0</v>
      </c>
      <c r="E1100" s="1454"/>
      <c r="F1100" s="1454"/>
      <c r="G1100" s="1444" t="str">
        <f t="shared" si="147"/>
        <v/>
      </c>
      <c r="H1100" s="1447" t="str">
        <f>IF(C1100=TRUE,Comments!$B$26,"")</f>
        <v/>
      </c>
      <c r="I1100" s="1446" t="str">
        <f>IF(D1100=TRUE,Comments!$B$21,"")</f>
        <v/>
      </c>
      <c r="J1100" s="1446"/>
      <c r="K1100" s="1452"/>
      <c r="N1100" s="611" t="str">
        <f>"CPTE # "&amp;Page5_CAD_MCI!$E$40&amp;"  "&amp;Page5_CAD_MCI!$C$40&amp;" - UNITÉS - AAD"</f>
        <v>CPTE # 435E  NE PAS UTILISER - UNITÉS - AAD</v>
      </c>
      <c r="O1100" s="611" t="str">
        <f t="shared" si="146"/>
        <v/>
      </c>
      <c r="P1100" s="611" t="str">
        <f t="shared" si="148"/>
        <v>Page5_CAD_MCI!K</v>
      </c>
      <c r="Q1100" s="611">
        <f t="shared" si="149"/>
        <v>40</v>
      </c>
      <c r="R1100" s="1447">
        <f t="shared" ca="1" si="150"/>
        <v>0</v>
      </c>
      <c r="S1100" s="1447">
        <f t="shared" ca="1" si="151"/>
        <v>0</v>
      </c>
      <c r="V1100" s="2557" t="str">
        <f t="shared" ca="1" si="152"/>
        <v/>
      </c>
      <c r="W1100" s="611" t="str">
        <f t="shared" ca="1" si="153"/>
        <v>Page5_CAD_MCI, Ligne 37 [Page5_CAD_MCI!K40]  -</v>
      </c>
    </row>
    <row r="1101" spans="1:23">
      <c r="A1101" s="1443" t="str">
        <f>celladdr(Page5_CAD_MCI!K41)</f>
        <v>Page5_CAD_MCI!K41</v>
      </c>
      <c r="B1101" s="1464" t="s">
        <v>1086</v>
      </c>
      <c r="C1101" s="1451" t="b">
        <f>Page5_CAD_MCI!$K$41&lt;0</f>
        <v>0</v>
      </c>
      <c r="D1101" s="1454" t="b">
        <f>OR(AND(Page5_CAD_MCI!$K41&gt;0,Page5_CAD_MCI!$M41=0),AND(Page5_CAD_MCI!$M41&lt;&gt;0,Page5_CAD_MCI!$K41=0))</f>
        <v>0</v>
      </c>
      <c r="E1101" s="1454"/>
      <c r="F1101" s="1454"/>
      <c r="G1101" s="1444" t="str">
        <f t="shared" si="147"/>
        <v/>
      </c>
      <c r="H1101" s="1447" t="str">
        <f>IF(C1101=TRUE,Comments!$B$26,"")</f>
        <v/>
      </c>
      <c r="I1101" s="1446" t="str">
        <f>IF(D1101=TRUE,Comments!$B$21,"")</f>
        <v/>
      </c>
      <c r="J1101" s="1446"/>
      <c r="K1101" s="1452"/>
      <c r="N1101" s="611" t="str">
        <f>"CPTE # "&amp;Page5_CAD_MCI!$E$41&amp;"  "&amp;Page5_CAD_MCI!$C$41&amp;" - UNITÉS - AAD"</f>
        <v>CPTE # 436E  NE PAS UTILISER - UNITÉS - AAD</v>
      </c>
      <c r="O1101" s="611" t="str">
        <f t="shared" si="146"/>
        <v/>
      </c>
      <c r="P1101" s="611" t="str">
        <f t="shared" si="148"/>
        <v>Page5_CAD_MCI!K</v>
      </c>
      <c r="Q1101" s="611">
        <f t="shared" si="149"/>
        <v>41</v>
      </c>
      <c r="R1101" s="1447">
        <f t="shared" ca="1" si="150"/>
        <v>0</v>
      </c>
      <c r="S1101" s="1447">
        <f t="shared" ca="1" si="151"/>
        <v>0</v>
      </c>
      <c r="V1101" s="2557" t="str">
        <f t="shared" ca="1" si="152"/>
        <v/>
      </c>
      <c r="W1101" s="611" t="str">
        <f t="shared" ca="1" si="153"/>
        <v>Page5_CAD_MCI, Ligne 38 [Page5_CAD_MCI!K41]  -</v>
      </c>
    </row>
    <row r="1102" spans="1:23">
      <c r="A1102" s="1443" t="str">
        <f>celladdr(Page5_CAD_MCI!K42)</f>
        <v>Page5_CAD_MCI!K42</v>
      </c>
      <c r="B1102" s="1464" t="s">
        <v>1086</v>
      </c>
      <c r="C1102" s="1451" t="b">
        <f>Page5_CAD_MCI!$K$42&lt;0</f>
        <v>0</v>
      </c>
      <c r="D1102" s="1454"/>
      <c r="E1102" s="1454"/>
      <c r="F1102" s="1454"/>
      <c r="G1102" s="1444" t="str">
        <f t="shared" si="147"/>
        <v/>
      </c>
      <c r="H1102" s="1447" t="str">
        <f>IF(C1102=TRUE,Comments!$B$26,"")</f>
        <v/>
      </c>
      <c r="I1102" s="1446"/>
      <c r="J1102" s="1446"/>
      <c r="K1102" s="1452"/>
      <c r="N1102" s="611" t="str">
        <f>"CPTE # "&amp;Page5_CAD_MCI!$E$42&amp;"  "&amp;Page5_CAD_MCI!$C$42&amp;" - UNITÉS - AAD"</f>
        <v>CPTE # 437E  POUR USAGE FUTUR - UNITÉS - AAD</v>
      </c>
      <c r="O1102" s="611" t="str">
        <f t="shared" si="146"/>
        <v/>
      </c>
      <c r="P1102" s="611" t="str">
        <f t="shared" si="148"/>
        <v>Page5_CAD_MCI!K</v>
      </c>
      <c r="Q1102" s="611">
        <f t="shared" si="149"/>
        <v>42</v>
      </c>
      <c r="R1102" s="1447">
        <f t="shared" ca="1" si="150"/>
        <v>0</v>
      </c>
      <c r="S1102" s="1447">
        <f t="shared" ca="1" si="151"/>
        <v>0</v>
      </c>
      <c r="V1102" s="2557" t="str">
        <f t="shared" ca="1" si="152"/>
        <v/>
      </c>
      <c r="W1102" s="611" t="str">
        <f t="shared" ca="1" si="153"/>
        <v>Page5_CAD_MCI, Ligne 39 [Page5_CAD_MCI!K42]  -</v>
      </c>
    </row>
    <row r="1103" spans="1:23">
      <c r="A1103" s="1443" t="str">
        <f>celladdr(Page5_CAD_MCI!K43)</f>
        <v>Page5_CAD_MCI!K43</v>
      </c>
      <c r="B1103" s="1464" t="s">
        <v>1086</v>
      </c>
      <c r="C1103" s="1451" t="b">
        <f>Page5_CAD_MCI!$K$43&lt;0</f>
        <v>0</v>
      </c>
      <c r="D1103" s="1454" t="b">
        <f>OR(AND(Page5_CAD_MCI!$K43&gt;0,Page5_CAD_MCI!$M43=0),AND(Page5_CAD_MCI!$M43&lt;&gt;0,Page5_CAD_MCI!$K43=0))</f>
        <v>0</v>
      </c>
      <c r="E1103" s="1454"/>
      <c r="F1103" s="1454"/>
      <c r="G1103" s="1444" t="str">
        <f t="shared" si="147"/>
        <v/>
      </c>
      <c r="H1103" s="1447" t="str">
        <f>IF(C1103=TRUE,Comments!$B$26,"")</f>
        <v/>
      </c>
      <c r="I1103" s="1446" t="str">
        <f>IF(D1103=TRUE,Comments!$B$21,"")</f>
        <v/>
      </c>
      <c r="J1103" s="1446"/>
      <c r="K1103" s="1452"/>
      <c r="N1103" s="611" t="str">
        <f>"CPTE # "&amp;Page5_CAD_MCI!$E$43&amp;"  "&amp;Page5_CAD_MCI!$C$43&amp;" - UNITÉS - AAD"</f>
        <v>CPTE # 438E  AUTRES CAMIONS CADILLAC - UNITÉS - AAD</v>
      </c>
      <c r="O1103" s="611" t="str">
        <f t="shared" si="146"/>
        <v/>
      </c>
      <c r="P1103" s="611" t="str">
        <f t="shared" si="148"/>
        <v>Page5_CAD_MCI!K</v>
      </c>
      <c r="Q1103" s="611">
        <f t="shared" si="149"/>
        <v>43</v>
      </c>
      <c r="R1103" s="1447">
        <f t="shared" ca="1" si="150"/>
        <v>0</v>
      </c>
      <c r="S1103" s="1447">
        <f t="shared" ca="1" si="151"/>
        <v>0</v>
      </c>
      <c r="V1103" s="2557" t="str">
        <f t="shared" ca="1" si="152"/>
        <v/>
      </c>
      <c r="W1103" s="611" t="str">
        <f t="shared" ca="1" si="153"/>
        <v>Page5_CAD_MCI, Ligne 40 [Page5_CAD_MCI!K43]  -</v>
      </c>
    </row>
    <row r="1104" spans="1:23">
      <c r="A1104" s="1443" t="str">
        <f>celladdr(Page5_CAD_MCI!K44)</f>
        <v>Page5_CAD_MCI!K44</v>
      </c>
      <c r="B1104" s="1444" t="s">
        <v>1086</v>
      </c>
      <c r="C1104" s="1451"/>
      <c r="D1104" s="1454"/>
      <c r="E1104" s="1454"/>
      <c r="F1104" s="1454"/>
      <c r="G1104" s="1444" t="str">
        <f t="shared" si="147"/>
        <v/>
      </c>
      <c r="H1104" s="1447" t="str">
        <f>IF(C1104=TRUE,Comments!$B$26,"")</f>
        <v/>
      </c>
      <c r="I1104" s="1446" t="str">
        <f>IF(D1104=TRUE,Comments!$B$21,"")</f>
        <v/>
      </c>
      <c r="J1104" s="1446"/>
      <c r="K1104" s="1452"/>
      <c r="O1104" s="611" t="str">
        <f t="shared" si="146"/>
        <v/>
      </c>
      <c r="P1104" s="611" t="str">
        <f t="shared" si="148"/>
        <v>Page5_CAD_MCI!K</v>
      </c>
      <c r="Q1104" s="611">
        <f t="shared" si="149"/>
        <v>44</v>
      </c>
      <c r="R1104" s="1447">
        <f t="shared" ca="1" si="150"/>
        <v>0</v>
      </c>
      <c r="S1104" s="1447">
        <f t="shared" ca="1" si="151"/>
        <v>0</v>
      </c>
      <c r="V1104" s="2557" t="str">
        <f t="shared" ca="1" si="152"/>
        <v/>
      </c>
      <c r="W1104" s="611" t="str">
        <f t="shared" ca="1" si="153"/>
        <v>Page5_CAD_MCI, Ligne 41 [Page5_CAD_MCI!K44]  -</v>
      </c>
    </row>
    <row r="1105" spans="1:23">
      <c r="A1105" s="1443" t="str">
        <f>celladdr(Page5_CAD_MCI!K45)</f>
        <v>Page5_CAD_MCI!K45</v>
      </c>
      <c r="B1105" s="1464" t="s">
        <v>1086</v>
      </c>
      <c r="C1105" s="1451" t="b">
        <f>Page5_CAD_MCI!$K$45&lt;0</f>
        <v>0</v>
      </c>
      <c r="D1105" s="1454" t="b">
        <f>OR(AND(Page5_CAD_MCI!$K45&gt;0,Page5_CAD_MCI!$M45=0),AND(Page5_CAD_MCI!$M45&lt;&gt;0,Page5_CAD_MCI!$K45=0))</f>
        <v>0</v>
      </c>
      <c r="E1105" s="1454"/>
      <c r="F1105" s="1454"/>
      <c r="G1105" s="1444" t="str">
        <f t="shared" si="147"/>
        <v/>
      </c>
      <c r="H1105" s="1447" t="str">
        <f>IF(C1105=TRUE,Comments!$B$26,"")</f>
        <v/>
      </c>
      <c r="I1105" s="1446" t="str">
        <f>IF(D1105=TRUE,Comments!$B$21,"")</f>
        <v/>
      </c>
      <c r="J1105" s="1446"/>
      <c r="K1105" s="1452"/>
      <c r="N1105" s="611" t="str">
        <f>"CPTE # "&amp;Page5_CAD_MCI!$E$45&amp;"  "&amp;Page5_CAD_MCI!$C$45&amp;" - UNITÉS - AAD"</f>
        <v>CPTE # 439E  MÉMO* VENTES INTERNET CAMIONS - UNITÉS - AAD</v>
      </c>
      <c r="O1105" s="611" t="str">
        <f t="shared" si="146"/>
        <v/>
      </c>
      <c r="P1105" s="611" t="str">
        <f t="shared" si="148"/>
        <v>Page5_CAD_MCI!K</v>
      </c>
      <c r="Q1105" s="611">
        <f t="shared" si="149"/>
        <v>45</v>
      </c>
      <c r="R1105" s="1447">
        <f t="shared" ca="1" si="150"/>
        <v>0</v>
      </c>
      <c r="S1105" s="1447">
        <f t="shared" ca="1" si="151"/>
        <v>0</v>
      </c>
      <c r="V1105" s="2557" t="str">
        <f t="shared" ca="1" si="152"/>
        <v/>
      </c>
      <c r="W1105" s="611" t="str">
        <f t="shared" ca="1" si="153"/>
        <v>Page5_CAD_MCI, Ligne 42 [Page5_CAD_MCI!K45]  -</v>
      </c>
    </row>
    <row r="1106" spans="1:23">
      <c r="A1106" s="1443" t="str">
        <f>celladdr(Page5_CAD_MCI!K46)</f>
        <v>Page5_CAD_MCI!K46</v>
      </c>
      <c r="B1106" s="1464" t="s">
        <v>1086</v>
      </c>
      <c r="C1106" s="1451" t="b">
        <f>Page5_CAD_MCI!$K$46&lt;0</f>
        <v>0</v>
      </c>
      <c r="D1106" s="1454" t="b">
        <f>OR(AND(Page5_CAD_MCI!$K46&gt;0,Page5_CAD_MCI!$M46=0),AND(Page5_CAD_MCI!$M46&lt;&gt;0,Page5_CAD_MCI!$K46=0))</f>
        <v>0</v>
      </c>
      <c r="E1106" s="1454" t="b">
        <f>ROUND(Page5_CAD_MCI!K46 + Page5_BUI_MCI!K46,2)&lt;&gt;ROUND(Page5_PARCS_GOUV!K14+Page5_PARCS_GOUV!K16+Page5_PARCS_GOUV!K18+Page5_PARCS_GOUV!K50+Page5_PARCS_GOUV!K52+Page5_PARCS_GOUV!K54,2)</f>
        <v>0</v>
      </c>
      <c r="F1106" s="1454"/>
      <c r="G1106" s="1444" t="str">
        <f t="shared" si="147"/>
        <v/>
      </c>
      <c r="H1106" s="1447" t="str">
        <f>IF(C1106=TRUE,Comments!$B$26,"")</f>
        <v/>
      </c>
      <c r="I1106" s="1446" t="str">
        <f>IF(D1106=TRUE,Comments!$B$21,"")</f>
        <v/>
      </c>
      <c r="J1106" s="1446" t="str">
        <f>IF(E1106=TRUE, Comments!$B$100,"")</f>
        <v/>
      </c>
      <c r="K1106" s="1452"/>
      <c r="N1106" s="611" t="str">
        <f>"CPTE # "&amp;Page5_CAD_MCI!$E$46&amp;"  "&amp;Page5_CAD_MCI!$C$46&amp;" - UNITÉS - AAD"</f>
        <v>CPTE # DE PG PARCS  TOTAL PARCS - CAMIONS - UNITÉS - AAD</v>
      </c>
      <c r="O1106" s="611" t="str">
        <f t="shared" si="146"/>
        <v/>
      </c>
      <c r="P1106" s="611" t="str">
        <f t="shared" si="148"/>
        <v>Page5_CAD_MCI!K</v>
      </c>
      <c r="Q1106" s="611">
        <f t="shared" si="149"/>
        <v>46</v>
      </c>
      <c r="R1106" s="1447">
        <f t="shared" ca="1" si="150"/>
        <v>0</v>
      </c>
      <c r="S1106" s="1447">
        <f t="shared" ca="1" si="151"/>
        <v>0</v>
      </c>
      <c r="T1106" s="611">
        <v>100</v>
      </c>
      <c r="V1106" s="2557" t="str">
        <f t="shared" ca="1" si="152"/>
        <v/>
      </c>
      <c r="W1106" s="611" t="str">
        <f t="shared" ca="1" si="153"/>
        <v>Page5_CAD_MCI, Ligne 43 [Page5_CAD_MCI!K46]  -</v>
      </c>
    </row>
    <row r="1107" spans="1:23">
      <c r="A1107" s="1443" t="str">
        <f>celladdr(Page5_CAD_MCI!K47)</f>
        <v>Page5_CAD_MCI!K47</v>
      </c>
      <c r="B1107" s="1464" t="s">
        <v>1086</v>
      </c>
      <c r="C1107" s="1451" t="b">
        <f>Page5_CAD_MCI!$K$47&lt;0</f>
        <v>0</v>
      </c>
      <c r="D1107" s="1454" t="b">
        <f>OR(AND(Page5_CAD_MCI!$K47&gt;0,Page5_CAD_MCI!$M47=0),AND(Page5_CAD_MCI!$M47&lt;&gt;0,Page5_CAD_MCI!$K47=0))</f>
        <v>0</v>
      </c>
      <c r="E1107" s="1454"/>
      <c r="F1107" s="1454"/>
      <c r="G1107" s="1444" t="str">
        <f t="shared" si="147"/>
        <v/>
      </c>
      <c r="H1107" s="1447" t="str">
        <f>IF(C1107=TRUE,Comments!$B$26,"")</f>
        <v/>
      </c>
      <c r="I1107" s="1446" t="str">
        <f>IF(D1107=TRUE,Comments!$B$21,"")</f>
        <v/>
      </c>
      <c r="J1107" s="1446"/>
      <c r="K1107" s="1452"/>
      <c r="N1107" s="611" t="str">
        <f>"CPTE # "&amp;Page5_CAD_MCI!$E$47&amp;"  "&amp;Page5_CAD_MCI!$C$47&amp;" - UNITÉS - AAD"</f>
        <v>CPTE # 441E  TOTAL IINTERNE - CAMIONS  - UNITÉS - AAD</v>
      </c>
      <c r="O1107" s="611" t="str">
        <f t="shared" ref="O1107:O1133" si="154">IF(A1107=A1106,"TRUE","")</f>
        <v/>
      </c>
      <c r="P1107" s="611" t="str">
        <f t="shared" si="148"/>
        <v>Page5_CAD_MCI!K</v>
      </c>
      <c r="Q1107" s="611">
        <f t="shared" si="149"/>
        <v>47</v>
      </c>
      <c r="R1107" s="1447">
        <f t="shared" ca="1" si="150"/>
        <v>0</v>
      </c>
      <c r="S1107" s="1447">
        <f t="shared" ca="1" si="151"/>
        <v>0</v>
      </c>
      <c r="V1107" s="2557" t="str">
        <f t="shared" ca="1" si="152"/>
        <v/>
      </c>
      <c r="W1107" s="611" t="str">
        <f t="shared" ca="1" si="153"/>
        <v>Page5_CAD_MCI, Ligne 44 [Page5_CAD_MCI!K47]  -</v>
      </c>
    </row>
    <row r="1108" spans="1:23">
      <c r="A1108" s="1443" t="str">
        <f>celladdr(Page5_CAD_MCI!K48)</f>
        <v>Page5_CAD_MCI!K48</v>
      </c>
      <c r="B1108" s="1444" t="s">
        <v>1086</v>
      </c>
      <c r="C1108" s="1451"/>
      <c r="D1108" s="1454"/>
      <c r="E1108" s="1454"/>
      <c r="F1108" s="1454"/>
      <c r="G1108" s="1444" t="str">
        <f t="shared" si="147"/>
        <v/>
      </c>
      <c r="H1108" s="1447" t="str">
        <f>IF(C1108=TRUE,Comments!$B$26,"")</f>
        <v/>
      </c>
      <c r="I1108" s="1446" t="str">
        <f>IF(D1108=TRUE,Comments!$B$21,"")</f>
        <v/>
      </c>
      <c r="J1108" s="1446"/>
      <c r="K1108" s="1452"/>
      <c r="O1108" s="611" t="str">
        <f t="shared" si="154"/>
        <v/>
      </c>
      <c r="P1108" s="611" t="str">
        <f t="shared" si="148"/>
        <v>Page5_CAD_MCI!K</v>
      </c>
      <c r="Q1108" s="611">
        <f t="shared" si="149"/>
        <v>48</v>
      </c>
      <c r="R1108" s="1447">
        <f t="shared" ca="1" si="150"/>
        <v>0</v>
      </c>
      <c r="S1108" s="1447">
        <f t="shared" ca="1" si="151"/>
        <v>0</v>
      </c>
      <c r="V1108" s="2557" t="str">
        <f t="shared" ca="1" si="152"/>
        <v/>
      </c>
      <c r="W1108" s="611" t="str">
        <f t="shared" ca="1" si="153"/>
        <v>Page5_CAD_MCI, Ligne 45 [Page5_CAD_MCI!K48]  -</v>
      </c>
    </row>
    <row r="1109" spans="1:23">
      <c r="A1109" s="1443" t="str">
        <f>celladdr(Page5_CAD_MCI!K49)</f>
        <v>Page5_CAD_MCI!K49</v>
      </c>
      <c r="B1109" s="1464" t="s">
        <v>1086</v>
      </c>
      <c r="C1109" s="1451"/>
      <c r="D1109" s="1454" t="b">
        <f>OR(AND(Page5_CAD_MCI!$K49&gt;0,Page5_CAD_MCI!$M49=0),AND(Page5_CAD_MCI!$M49&lt;&gt;0,Page5_CAD_MCI!$K49=0))</f>
        <v>0</v>
      </c>
      <c r="E1109" s="1454"/>
      <c r="F1109" s="1454"/>
      <c r="G1109" s="1444" t="str">
        <f t="shared" si="147"/>
        <v/>
      </c>
      <c r="I1109" s="1446" t="str">
        <f>IF(D1109=TRUE,Comments!$B$24,"")</f>
        <v/>
      </c>
      <c r="J1109" s="1446"/>
      <c r="K1109" s="1452"/>
      <c r="N1109" s="611" t="str">
        <f>"CPTE # "&amp;Page5_CAD_MCI!$E$49&amp;"  "&amp;Page5_CAD_MCI!$C$49&amp;" - UNITÉS - AAD"</f>
        <v>CPTE #      - UNITÉS - AAD</v>
      </c>
      <c r="O1109" s="611" t="str">
        <f t="shared" si="154"/>
        <v/>
      </c>
      <c r="P1109" s="611" t="str">
        <f t="shared" si="148"/>
        <v>Page5_CAD_MCI!K</v>
      </c>
      <c r="Q1109" s="611">
        <f t="shared" si="149"/>
        <v>49</v>
      </c>
      <c r="R1109" s="1447">
        <f t="shared" ca="1" si="150"/>
        <v>0</v>
      </c>
      <c r="S1109" s="1447">
        <f t="shared" ca="1" si="151"/>
        <v>0</v>
      </c>
      <c r="V1109" s="2557" t="str">
        <f t="shared" ca="1" si="152"/>
        <v/>
      </c>
      <c r="W1109" s="611" t="str">
        <f t="shared" ca="1" si="153"/>
        <v>Page5_CAD_MCI, Ligne 46 [Page5_CAD_MCI!K49]  -</v>
      </c>
    </row>
    <row r="1110" spans="1:23">
      <c r="A1110" s="1443" t="str">
        <f>celladdr(Page5_CAD_MCI!K50)</f>
        <v>Page5_CAD_MCI!K50</v>
      </c>
      <c r="B1110" s="1464" t="s">
        <v>1086</v>
      </c>
      <c r="C1110" s="1451"/>
      <c r="D1110" s="1454" t="b">
        <f>OR(AND(Page5_CAD_MCI!$K50&gt;0,Page5_CAD_MCI!$M50=0),AND(Page5_CAD_MCI!$M50&lt;&gt;0,Page5_CAD_MCI!$K50=0))</f>
        <v>0</v>
      </c>
      <c r="E1110" s="1454"/>
      <c r="F1110" s="1454"/>
      <c r="G1110" s="1444" t="str">
        <f t="shared" si="147"/>
        <v/>
      </c>
      <c r="I1110" s="1446" t="str">
        <f>IF(D1110=TRUE,Comments!$B$21,"")</f>
        <v/>
      </c>
      <c r="J1110" s="1446"/>
      <c r="K1110" s="1452"/>
      <c r="N1110" s="611" t="str">
        <f>"CPTE # "&amp;Page5_CAD_MCI!$E$50&amp;"  "&amp;Page5_CAD_MCI!$C$50&amp;" - UNITÉS - AAD"</f>
        <v>CPTE # 457E  ACCESSOIRES - UNITÉS - AAD</v>
      </c>
      <c r="O1110" s="611" t="str">
        <f t="shared" si="154"/>
        <v/>
      </c>
      <c r="P1110" s="611" t="str">
        <f t="shared" si="148"/>
        <v>Page5_CAD_MCI!K</v>
      </c>
      <c r="Q1110" s="611">
        <f t="shared" si="149"/>
        <v>50</v>
      </c>
      <c r="R1110" s="1447">
        <f t="shared" ca="1" si="150"/>
        <v>0</v>
      </c>
      <c r="S1110" s="1447">
        <f t="shared" ca="1" si="151"/>
        <v>0</v>
      </c>
      <c r="V1110" s="2557" t="str">
        <f t="shared" ca="1" si="152"/>
        <v/>
      </c>
      <c r="W1110" s="611" t="str">
        <f t="shared" ca="1" si="153"/>
        <v>Page5_CAD_MCI, Ligne 47 [Page5_CAD_MCI!K50]  -</v>
      </c>
    </row>
    <row r="1111" spans="1:23">
      <c r="A1111" s="1443" t="str">
        <f>celladdr(Page5_CAD_MCI!K51)</f>
        <v>Page5_CAD_MCI!K51</v>
      </c>
      <c r="B1111" s="1453" t="s">
        <v>1086</v>
      </c>
      <c r="C1111" s="1445" t="b">
        <f>Page5_CAD_MCI!$K$51&lt;&gt;Page5_CAD_MCI!$K$48+Page5_CAD_MCI!$K$27</f>
        <v>0</v>
      </c>
      <c r="D1111" s="1454"/>
      <c r="F1111" s="1454"/>
      <c r="G1111" s="1444" t="str">
        <f t="shared" si="147"/>
        <v/>
      </c>
      <c r="H1111" s="1446" t="str">
        <f>IF(C1111=TRUE,Comments!$B$38&amp;Page5_CAD_MCI!$K$51-(Page5_CAD_MCI!$K$48+Page5_CAD_MCI!$K$27),"")</f>
        <v/>
      </c>
      <c r="I1111" s="1452"/>
      <c r="J1111" s="1452"/>
      <c r="K1111" s="1452"/>
      <c r="N1111" s="611" t="str">
        <f>Page5_CAD_MCI!$B$1&amp;" TOTAL VÉHICULES NEUFS  - UNITÉS - AAD"</f>
        <v>CADILLAC TOTAL VÉHICULES NEUFS  - UNITÉS - AAD</v>
      </c>
      <c r="O1111" s="611" t="str">
        <f t="shared" si="154"/>
        <v/>
      </c>
      <c r="P1111" s="611" t="str">
        <f t="shared" si="148"/>
        <v>Page5_CAD_MCI!K</v>
      </c>
      <c r="Q1111" s="611">
        <f t="shared" si="149"/>
        <v>51</v>
      </c>
      <c r="R1111" s="1447">
        <f t="shared" ca="1" si="150"/>
        <v>0</v>
      </c>
      <c r="S1111" s="1447">
        <f t="shared" ca="1" si="151"/>
        <v>0</v>
      </c>
      <c r="V1111" s="2557" t="str">
        <f t="shared" ca="1" si="152"/>
        <v/>
      </c>
      <c r="W1111" s="611" t="str">
        <f t="shared" ca="1" si="153"/>
        <v>Page5_CAD_MCI, Ligne 48 [Page5_CAD_MCI!K51]  -</v>
      </c>
    </row>
    <row r="1112" spans="1:23">
      <c r="A1112" s="1443" t="str">
        <f>celladdr(Page5_CAD_MCI!L4)</f>
        <v>Page5_CAD_MCI!L4</v>
      </c>
      <c r="B1112" s="1456" t="s">
        <v>1086</v>
      </c>
      <c r="C1112" s="1451" t="b">
        <f>Page5_CAD_MCI!$L$4&lt;0</f>
        <v>0</v>
      </c>
      <c r="D1112" s="1454" t="b">
        <f>OR(AND(Page5_CAD_MCI!$L4&lt;&gt;0,Page5_CAD_MCI!$M4=0),AND(Page5_CAD_MCI!$M4&lt;&gt;0,Page5_CAD_MCI!$L4=0))</f>
        <v>0</v>
      </c>
      <c r="E1112" s="1454"/>
      <c r="F1112" s="1454"/>
      <c r="G1112" s="1444" t="str">
        <f t="shared" si="147"/>
        <v/>
      </c>
      <c r="H1112" s="1447" t="str">
        <f>IF(C1112=TRUE,Comments!$B$23,"")</f>
        <v/>
      </c>
      <c r="I1112" s="1446" t="str">
        <f>IF(D1112=TRUE,Comments!$B$24,"")</f>
        <v/>
      </c>
      <c r="J1112" s="1446"/>
      <c r="K1112" s="1452"/>
      <c r="N1112" s="611" t="str">
        <f>"CPTE # "&amp;Page5_CAD_MCI!$E$4&amp;"  "&amp;Page5_CAD_MCI!$C$4&amp;" - CHIFFRE D'AFFAIRES RÉALISÉ - AAD"</f>
        <v>CPTE # 400E  NE PAS UTILISER - CHIFFRE D'AFFAIRES RÉALISÉ - AAD</v>
      </c>
      <c r="O1112" s="611" t="str">
        <f t="shared" si="154"/>
        <v/>
      </c>
      <c r="P1112" s="611" t="str">
        <f t="shared" si="148"/>
        <v>Page5_CAD_MCI!L</v>
      </c>
      <c r="Q1112" s="611">
        <f t="shared" si="149"/>
        <v>4</v>
      </c>
      <c r="R1112" s="1447">
        <f t="shared" ca="1" si="150"/>
        <v>0</v>
      </c>
      <c r="S1112" s="1447">
        <f t="shared" ca="1" si="151"/>
        <v>0</v>
      </c>
      <c r="V1112" s="2557" t="str">
        <f t="shared" ca="1" si="152"/>
        <v/>
      </c>
      <c r="W1112" s="611" t="str">
        <f t="shared" ca="1" si="153"/>
        <v>Page5_CAD_MCI, Ligne 1 [Page5_CAD_MCI!L4]  -</v>
      </c>
    </row>
    <row r="1113" spans="1:23">
      <c r="A1113" s="1443" t="str">
        <f>celladdr(Page5_CAD_MCI!L5)</f>
        <v>Page5_CAD_MCI!L5</v>
      </c>
      <c r="B1113" s="1456" t="s">
        <v>1086</v>
      </c>
      <c r="C1113" s="1451" t="b">
        <f>Page5_CAD_MCI!$L$5&lt;0</f>
        <v>0</v>
      </c>
      <c r="D1113" s="1454" t="b">
        <f>OR(AND(Page5_CAD_MCI!$L5&lt;&gt;0,Page5_CAD_MCI!$M5=0),AND(Page5_CAD_MCI!$M5&lt;&gt;0,Page5_CAD_MCI!$L5=0))</f>
        <v>0</v>
      </c>
      <c r="E1113" s="1454"/>
      <c r="F1113" s="1454"/>
      <c r="G1113" s="1444" t="str">
        <f t="shared" si="147"/>
        <v/>
      </c>
      <c r="H1113" s="1447" t="str">
        <f>IF(C1113=TRUE,Comments!$B$23,"")</f>
        <v/>
      </c>
      <c r="I1113" s="1446" t="str">
        <f>IF(D1113=TRUE,Comments!$B$24,"")</f>
        <v/>
      </c>
      <c r="J1113" s="1446"/>
      <c r="K1113" s="1452"/>
      <c r="N1113" s="611" t="str">
        <f>"CPTE # "&amp;Page5_CAD_MCI!$E$5&amp;"  "&amp;Page5_CAD_MCI!$C$5&amp;" - CHIFFRE D'AFFAIRES RÉALISÉ - AAD"</f>
        <v>CPTE # 401E  NE PAS UTILISER - CHIFFRE D'AFFAIRES RÉALISÉ - AAD</v>
      </c>
      <c r="O1113" s="611" t="str">
        <f t="shared" si="154"/>
        <v/>
      </c>
      <c r="P1113" s="611" t="str">
        <f t="shared" si="148"/>
        <v>Page5_CAD_MCI!L</v>
      </c>
      <c r="Q1113" s="611">
        <f t="shared" si="149"/>
        <v>5</v>
      </c>
      <c r="R1113" s="1447">
        <f t="shared" ca="1" si="150"/>
        <v>0</v>
      </c>
      <c r="S1113" s="1447">
        <f t="shared" ca="1" si="151"/>
        <v>0</v>
      </c>
      <c r="V1113" s="2557" t="str">
        <f t="shared" ca="1" si="152"/>
        <v/>
      </c>
      <c r="W1113" s="611" t="str">
        <f t="shared" ca="1" si="153"/>
        <v>Page5_CAD_MCI, Ligne 2 [Page5_CAD_MCI!L5]  -</v>
      </c>
    </row>
    <row r="1114" spans="1:23">
      <c r="A1114" s="1443" t="str">
        <f>celladdr(Page5_CAD_MCI!L6)</f>
        <v>Page5_CAD_MCI!L6</v>
      </c>
      <c r="B1114" s="1456" t="s">
        <v>1086</v>
      </c>
      <c r="C1114" s="1451" t="b">
        <f>Page5_CAD_MCI!$L$6&lt;0</f>
        <v>0</v>
      </c>
      <c r="D1114" s="1454" t="b">
        <f>OR(AND(Page5_CAD_MCI!$L6&lt;&gt;0,Page5_CAD_MCI!$M6=0),AND(Page5_CAD_MCI!$M6&lt;&gt;0,Page5_CAD_MCI!$L6=0))</f>
        <v>0</v>
      </c>
      <c r="E1114" s="1454"/>
      <c r="F1114" s="1454"/>
      <c r="G1114" s="1444" t="str">
        <f t="shared" si="147"/>
        <v/>
      </c>
      <c r="H1114" s="1447" t="str">
        <f>IF(C1114=TRUE,Comments!$B$23,"")</f>
        <v/>
      </c>
      <c r="I1114" s="1446" t="str">
        <f>IF(D1114=TRUE,Comments!$B$24,"")</f>
        <v/>
      </c>
      <c r="J1114" s="1446"/>
      <c r="K1114" s="1452"/>
      <c r="N1114" s="611" t="str">
        <f>"CPTE # "&amp;Page5_CAD_MCI!$E$6&amp;"  "&amp;Page5_CAD_MCI!$C$6&amp;" - CHIFFRE D'AFFAIRES RÉALISÉ - AAD"</f>
        <v>CPTE # 402E  CTS  - CHIFFRE D'AFFAIRES RÉALISÉ - AAD</v>
      </c>
      <c r="O1114" s="611" t="str">
        <f t="shared" si="154"/>
        <v/>
      </c>
      <c r="P1114" s="611" t="str">
        <f t="shared" si="148"/>
        <v>Page5_CAD_MCI!L</v>
      </c>
      <c r="Q1114" s="611">
        <f t="shared" si="149"/>
        <v>6</v>
      </c>
      <c r="R1114" s="1447">
        <f t="shared" ca="1" si="150"/>
        <v>0</v>
      </c>
      <c r="S1114" s="1447">
        <f t="shared" ca="1" si="151"/>
        <v>0</v>
      </c>
      <c r="V1114" s="2557" t="str">
        <f t="shared" ca="1" si="152"/>
        <v/>
      </c>
      <c r="W1114" s="611" t="str">
        <f t="shared" ca="1" si="153"/>
        <v>Page5_CAD_MCI, Ligne 3 [Page5_CAD_MCI!L6]  -</v>
      </c>
    </row>
    <row r="1115" spans="1:23">
      <c r="A1115" s="1443" t="str">
        <f>celladdr(Page5_CAD_MCI!L7)</f>
        <v>Page5_CAD_MCI!L7</v>
      </c>
      <c r="B1115" s="1456" t="s">
        <v>1086</v>
      </c>
      <c r="C1115" s="1451" t="b">
        <f>Page5_CAD_MCI!$L$7&lt;0</f>
        <v>0</v>
      </c>
      <c r="D1115" s="1454" t="b">
        <f>OR(AND(Page5_CAD_MCI!$L7&lt;&gt;0,Page5_CAD_MCI!$M7=0),AND(Page5_CAD_MCI!$M7&lt;&gt;0,Page5_CAD_MCI!$L7=0))</f>
        <v>0</v>
      </c>
      <c r="E1115" s="1454"/>
      <c r="F1115" s="1454"/>
      <c r="G1115" s="1444" t="str">
        <f t="shared" si="147"/>
        <v/>
      </c>
      <c r="H1115" s="1447" t="str">
        <f>IF(C1115=TRUE,Comments!$B$23,"")</f>
        <v/>
      </c>
      <c r="I1115" s="1446" t="str">
        <f>IF(D1115=TRUE,Comments!$B$24,"")</f>
        <v/>
      </c>
      <c r="J1115" s="1446"/>
      <c r="K1115" s="1452"/>
      <c r="N1115" s="611" t="str">
        <f>"CPTE # "&amp;Page5_CAD_MCI!$E$7&amp;"  "&amp;Page5_CAD_MCI!$C$7&amp;" - CHIFFRE D'AFFAIRES RÉALISÉ - AAD"</f>
        <v>CPTE # 403E  CTS-V - CHIFFRE D'AFFAIRES RÉALISÉ - AAD</v>
      </c>
      <c r="O1115" s="611" t="str">
        <f t="shared" si="154"/>
        <v/>
      </c>
      <c r="P1115" s="611" t="str">
        <f t="shared" si="148"/>
        <v>Page5_CAD_MCI!L</v>
      </c>
      <c r="Q1115" s="611">
        <f t="shared" si="149"/>
        <v>7</v>
      </c>
      <c r="R1115" s="1447">
        <f t="shared" ca="1" si="150"/>
        <v>0</v>
      </c>
      <c r="S1115" s="1447">
        <f t="shared" ca="1" si="151"/>
        <v>0</v>
      </c>
      <c r="V1115" s="2557" t="str">
        <f t="shared" ca="1" si="152"/>
        <v/>
      </c>
      <c r="W1115" s="611" t="str">
        <f t="shared" ca="1" si="153"/>
        <v>Page5_CAD_MCI, Ligne 4 [Page5_CAD_MCI!L7]  -</v>
      </c>
    </row>
    <row r="1116" spans="1:23">
      <c r="A1116" s="1443" t="str">
        <f>celladdr(Page5_CAD_MCI!L8)</f>
        <v>Page5_CAD_MCI!L8</v>
      </c>
      <c r="B1116" s="1456" t="s">
        <v>1086</v>
      </c>
      <c r="C1116" s="1451" t="b">
        <f>Page5_CAD_MCI!$L$8&lt;0</f>
        <v>0</v>
      </c>
      <c r="D1116" s="1454" t="b">
        <f>OR(AND(Page5_CAD_MCI!$L8&lt;&gt;0,Page5_CAD_MCI!$M8=0),AND(Page5_CAD_MCI!$M8&lt;&gt;0,Page5_CAD_MCI!$L8=0))</f>
        <v>0</v>
      </c>
      <c r="E1116" s="1454"/>
      <c r="F1116" s="1454"/>
      <c r="G1116" s="1444" t="str">
        <f t="shared" si="147"/>
        <v/>
      </c>
      <c r="H1116" s="1447" t="str">
        <f>IF(C1116=TRUE,Comments!$B$23,"")</f>
        <v/>
      </c>
      <c r="I1116" s="1446" t="str">
        <f>IF(D1116=TRUE,Comments!$B$24,"")</f>
        <v/>
      </c>
      <c r="J1116" s="1446"/>
      <c r="K1116" s="1452"/>
      <c r="N1116" s="611" t="str">
        <f>"CPTE # "&amp;Page5_CAD_MCI!$E$8&amp;"  "&amp;Page5_CAD_MCI!$C$8&amp;" - CHIFFRE D'AFFAIRES RÉALISÉ - AAD"</f>
        <v>CPTE # 404E  CT4 - CHIFFRE D'AFFAIRES RÉALISÉ - AAD</v>
      </c>
      <c r="O1116" s="611" t="str">
        <f t="shared" si="154"/>
        <v/>
      </c>
      <c r="P1116" s="611" t="str">
        <f t="shared" si="148"/>
        <v>Page5_CAD_MCI!L</v>
      </c>
      <c r="Q1116" s="611">
        <f t="shared" si="149"/>
        <v>8</v>
      </c>
      <c r="R1116" s="1447">
        <f t="shared" ca="1" si="150"/>
        <v>0</v>
      </c>
      <c r="S1116" s="1447">
        <f t="shared" ca="1" si="151"/>
        <v>0</v>
      </c>
      <c r="V1116" s="2557" t="str">
        <f t="shared" ca="1" si="152"/>
        <v/>
      </c>
      <c r="W1116" s="611" t="str">
        <f t="shared" ca="1" si="153"/>
        <v>Page5_CAD_MCI, Ligne 5 [Page5_CAD_MCI!L8]  -</v>
      </c>
    </row>
    <row r="1117" spans="1:23">
      <c r="A1117" s="1443" t="str">
        <f>celladdr(Page5_CAD_MCI!L9)</f>
        <v>Page5_CAD_MCI!L9</v>
      </c>
      <c r="B1117" s="1456" t="s">
        <v>1086</v>
      </c>
      <c r="C1117" s="1451" t="b">
        <f>Page5_CAD_MCI!$L$9&lt;0</f>
        <v>0</v>
      </c>
      <c r="D1117" s="1454" t="b">
        <f>OR(AND(Page5_CAD_MCI!$L9&lt;&gt;0,Page5_CAD_MCI!$M9=0),AND(Page5_CAD_MCI!$M9&lt;&gt;0,Page5_CAD_MCI!$L9=0))</f>
        <v>0</v>
      </c>
      <c r="E1117" s="1454"/>
      <c r="F1117" s="1454"/>
      <c r="G1117" s="1444" t="str">
        <f t="shared" si="147"/>
        <v/>
      </c>
      <c r="H1117" s="1447" t="str">
        <f>IF(C1117=TRUE,Comments!$B$23,"")</f>
        <v/>
      </c>
      <c r="I1117" s="1446" t="str">
        <f>IF(D1117=TRUE,Comments!$B$24,"")</f>
        <v/>
      </c>
      <c r="J1117" s="1446"/>
      <c r="K1117" s="1452"/>
      <c r="N1117" s="611" t="str">
        <f>"CPTE # "&amp;Page5_CAD_MCI!$E$9&amp;"  "&amp;Page5_CAD_MCI!$C$9&amp;" - CHIFFRE D'AFFAIRES RÉALISÉ - AAD"</f>
        <v>CPTE # 405E  CT5 - CHIFFRE D'AFFAIRES RÉALISÉ - AAD</v>
      </c>
      <c r="O1117" s="611" t="str">
        <f t="shared" si="154"/>
        <v/>
      </c>
      <c r="P1117" s="611" t="str">
        <f t="shared" si="148"/>
        <v>Page5_CAD_MCI!L</v>
      </c>
      <c r="Q1117" s="611">
        <f t="shared" si="149"/>
        <v>9</v>
      </c>
      <c r="R1117" s="1447">
        <f t="shared" ca="1" si="150"/>
        <v>0</v>
      </c>
      <c r="S1117" s="1447">
        <f t="shared" ca="1" si="151"/>
        <v>0</v>
      </c>
      <c r="V1117" s="2557" t="str">
        <f t="shared" ca="1" si="152"/>
        <v/>
      </c>
      <c r="W1117" s="611" t="str">
        <f t="shared" ca="1" si="153"/>
        <v>Page5_CAD_MCI, Ligne 6 [Page5_CAD_MCI!L9]  -</v>
      </c>
    </row>
    <row r="1118" spans="1:23">
      <c r="A1118" s="1443" t="str">
        <f>celladdr(Page5_CAD_MCI!L10)</f>
        <v>Page5_CAD_MCI!L10</v>
      </c>
      <c r="B1118" s="1456" t="s">
        <v>1086</v>
      </c>
      <c r="C1118" s="1451" t="b">
        <f>Page5_CAD_MCI!$L$10&lt;0</f>
        <v>0</v>
      </c>
      <c r="D1118" s="1454" t="b">
        <f>OR(AND(Page5_CAD_MCI!$L10&lt;&gt;0,Page5_CAD_MCI!$M10=0),AND(Page5_CAD_MCI!$M10&lt;&gt;0,Page5_CAD_MCI!$L10=0))</f>
        <v>0</v>
      </c>
      <c r="E1118" s="1454"/>
      <c r="F1118" s="1454"/>
      <c r="G1118" s="1444" t="str">
        <f t="shared" si="147"/>
        <v/>
      </c>
      <c r="H1118" s="1447" t="str">
        <f>IF(C1118=TRUE,Comments!$B$23,"")</f>
        <v/>
      </c>
      <c r="I1118" s="1446" t="str">
        <f>IF(D1118=TRUE,Comments!$B$24,"")</f>
        <v/>
      </c>
      <c r="J1118" s="1446"/>
      <c r="K1118" s="1452"/>
      <c r="N1118" s="611" t="str">
        <f>"CPTE # "&amp;Page5_CAD_MCI!$E$10&amp;"  "&amp;Page5_CAD_MCI!$C$10&amp;" - CHIFFRE D'AFFAIRES RÉALISÉ - AAD"</f>
        <v>CPTE # 406E  NE PAS UTILISER - CHIFFRE D'AFFAIRES RÉALISÉ - AAD</v>
      </c>
      <c r="O1118" s="611" t="str">
        <f t="shared" si="154"/>
        <v/>
      </c>
      <c r="P1118" s="611" t="str">
        <f t="shared" si="148"/>
        <v>Page5_CAD_MCI!L</v>
      </c>
      <c r="Q1118" s="611">
        <f t="shared" si="149"/>
        <v>10</v>
      </c>
      <c r="R1118" s="1447">
        <f t="shared" ca="1" si="150"/>
        <v>0</v>
      </c>
      <c r="S1118" s="1447">
        <f t="shared" ca="1" si="151"/>
        <v>0</v>
      </c>
      <c r="V1118" s="2557" t="str">
        <f t="shared" ca="1" si="152"/>
        <v/>
      </c>
      <c r="W1118" s="611" t="str">
        <f t="shared" ca="1" si="153"/>
        <v>Page5_CAD_MCI, Ligne 7 [Page5_CAD_MCI!L10]  -</v>
      </c>
    </row>
    <row r="1119" spans="1:23">
      <c r="A1119" s="1443" t="str">
        <f>celladdr(Page5_CAD_MCI!L11)</f>
        <v>Page5_CAD_MCI!L11</v>
      </c>
      <c r="B1119" s="1456" t="s">
        <v>1086</v>
      </c>
      <c r="C1119" s="1451" t="b">
        <f>Page5_CAD_MCI!$L$11&lt;0</f>
        <v>0</v>
      </c>
      <c r="D1119" s="1454" t="b">
        <f>OR(AND(Page5_CAD_MCI!$L11&lt;&gt;0,Page5_CAD_MCI!$M11=0),AND(Page5_CAD_MCI!$M11&lt;&gt;0,Page5_CAD_MCI!$L11=0))</f>
        <v>0</v>
      </c>
      <c r="E1119" s="1454"/>
      <c r="F1119" s="1454"/>
      <c r="G1119" s="1444" t="str">
        <f t="shared" si="147"/>
        <v/>
      </c>
      <c r="H1119" s="1447" t="str">
        <f>IF(C1119=TRUE,Comments!$B$23,"")</f>
        <v/>
      </c>
      <c r="I1119" s="1446" t="str">
        <f>IF(D1119=TRUE,Comments!$B$24,"")</f>
        <v/>
      </c>
      <c r="J1119" s="1446"/>
      <c r="K1119" s="1452"/>
      <c r="N1119" s="611" t="str">
        <f>"CPTE # "&amp;Page5_CAD_MCI!$E$11&amp;"  "&amp;Page5_CAD_MCI!$C$11&amp;" - CHIFFRE D'AFFAIRES RÉALISÉ - AAD"</f>
        <v>CPTE # 407E  NE PAS UTILISER - CHIFFRE D'AFFAIRES RÉALISÉ - AAD</v>
      </c>
      <c r="O1119" s="611" t="str">
        <f t="shared" si="154"/>
        <v/>
      </c>
      <c r="P1119" s="611" t="str">
        <f t="shared" si="148"/>
        <v>Page5_CAD_MCI!L</v>
      </c>
      <c r="Q1119" s="611">
        <f t="shared" si="149"/>
        <v>11</v>
      </c>
      <c r="R1119" s="1447">
        <f t="shared" ca="1" si="150"/>
        <v>0</v>
      </c>
      <c r="S1119" s="1447">
        <f t="shared" ca="1" si="151"/>
        <v>0</v>
      </c>
      <c r="V1119" s="2557" t="str">
        <f t="shared" ca="1" si="152"/>
        <v/>
      </c>
      <c r="W1119" s="611" t="str">
        <f t="shared" ca="1" si="153"/>
        <v>Page5_CAD_MCI, Ligne 8 [Page5_CAD_MCI!L11]  -</v>
      </c>
    </row>
    <row r="1120" spans="1:23">
      <c r="A1120" s="1443" t="str">
        <f>celladdr(Page5_CAD_MCI!L12)</f>
        <v>Page5_CAD_MCI!L12</v>
      </c>
      <c r="B1120" s="1456" t="s">
        <v>1086</v>
      </c>
      <c r="C1120" s="1451" t="b">
        <f>Page5_CAD_MCI!$L$12&lt;0</f>
        <v>0</v>
      </c>
      <c r="D1120" s="1454" t="b">
        <f>OR(AND(Page5_CAD_MCI!$L12&lt;&gt;0,Page5_CAD_MCI!$M12=0),AND(Page5_CAD_MCI!$M12&lt;&gt;0,Page5_CAD_MCI!$L12=0))</f>
        <v>0</v>
      </c>
      <c r="E1120" s="1454"/>
      <c r="F1120" s="1454"/>
      <c r="G1120" s="1444" t="str">
        <f t="shared" si="147"/>
        <v/>
      </c>
      <c r="H1120" s="1447" t="str">
        <f>IF(C1120=TRUE,Comments!$B$23,"")</f>
        <v/>
      </c>
      <c r="I1120" s="1446" t="str">
        <f>IF(D1120=TRUE,Comments!$B$24,"")</f>
        <v/>
      </c>
      <c r="J1120" s="1446"/>
      <c r="K1120" s="1452"/>
      <c r="N1120" s="611" t="str">
        <f>"CPTE # "&amp;Page5_CAD_MCI!$E$12&amp;"  "&amp;Page5_CAD_MCI!$C$12&amp;" - CHIFFRE D'AFFAIRES RÉALISÉ - AAD"</f>
        <v>CPTE # 408E  ATS - CHIFFRE D'AFFAIRES RÉALISÉ - AAD</v>
      </c>
      <c r="O1120" s="611" t="str">
        <f t="shared" si="154"/>
        <v/>
      </c>
      <c r="P1120" s="611" t="str">
        <f t="shared" si="148"/>
        <v>Page5_CAD_MCI!L</v>
      </c>
      <c r="Q1120" s="611">
        <f t="shared" si="149"/>
        <v>12</v>
      </c>
      <c r="R1120" s="1447">
        <f t="shared" ca="1" si="150"/>
        <v>0</v>
      </c>
      <c r="S1120" s="1447">
        <f t="shared" ca="1" si="151"/>
        <v>0</v>
      </c>
      <c r="V1120" s="2557" t="str">
        <f t="shared" ca="1" si="152"/>
        <v/>
      </c>
      <c r="W1120" s="611" t="str">
        <f t="shared" ca="1" si="153"/>
        <v>Page5_CAD_MCI, Ligne 9 [Page5_CAD_MCI!L12]  -</v>
      </c>
    </row>
    <row r="1121" spans="1:23">
      <c r="A1121" s="1443" t="str">
        <f>celladdr(Page5_CAD_MCI!L13)</f>
        <v>Page5_CAD_MCI!L13</v>
      </c>
      <c r="B1121" s="1456" t="s">
        <v>1086</v>
      </c>
      <c r="C1121" s="1451" t="b">
        <f>Page5_CAD_MCI!$L$13&lt;0</f>
        <v>0</v>
      </c>
      <c r="D1121" s="1454" t="b">
        <f>OR(AND(Page5_CAD_MCI!$L13&lt;&gt;0,Page5_CAD_MCI!$M13=0),AND(Page5_CAD_MCI!$M13&lt;&gt;0,Page5_CAD_MCI!$L13=0))</f>
        <v>0</v>
      </c>
      <c r="E1121" s="1454"/>
      <c r="F1121" s="1454"/>
      <c r="G1121" s="1444" t="str">
        <f t="shared" si="147"/>
        <v/>
      </c>
      <c r="H1121" s="1447" t="str">
        <f>IF(C1121=TRUE,Comments!$B$23,"")</f>
        <v/>
      </c>
      <c r="I1121" s="1446" t="str">
        <f>IF(D1121=TRUE,Comments!$B$24,"")</f>
        <v/>
      </c>
      <c r="J1121" s="1446"/>
      <c r="K1121" s="1452"/>
      <c r="N1121" s="611" t="str">
        <f>"CPTE # "&amp;Page5_CAD_MCI!$E$13&amp;"  "&amp;Page5_CAD_MCI!$C$13&amp;" - CHIFFRE D'AFFAIRES RÉALISÉ - AAD"</f>
        <v>CPTE # 409E  XTS - CHIFFRE D'AFFAIRES RÉALISÉ - AAD</v>
      </c>
      <c r="O1121" s="611" t="str">
        <f t="shared" si="154"/>
        <v/>
      </c>
      <c r="P1121" s="611" t="str">
        <f t="shared" si="148"/>
        <v>Page5_CAD_MCI!L</v>
      </c>
      <c r="Q1121" s="611">
        <f t="shared" si="149"/>
        <v>13</v>
      </c>
      <c r="R1121" s="1447">
        <f t="shared" ca="1" si="150"/>
        <v>0</v>
      </c>
      <c r="S1121" s="1447">
        <f t="shared" ca="1" si="151"/>
        <v>0</v>
      </c>
      <c r="V1121" s="2557" t="str">
        <f t="shared" ca="1" si="152"/>
        <v/>
      </c>
      <c r="W1121" s="611" t="str">
        <f t="shared" ca="1" si="153"/>
        <v>Page5_CAD_MCI, Ligne 10 [Page5_CAD_MCI!L13]  -</v>
      </c>
    </row>
    <row r="1122" spans="1:23">
      <c r="A1122" s="1443" t="str">
        <f>celladdr(Page5_CAD_MCI!L14)</f>
        <v>Page5_CAD_MCI!L14</v>
      </c>
      <c r="B1122" s="1456" t="s">
        <v>1086</v>
      </c>
      <c r="C1122" s="1451" t="b">
        <f>Page5_CAD_MCI!$L$14&lt;0</f>
        <v>0</v>
      </c>
      <c r="D1122" s="1454" t="b">
        <f>OR(AND(Page5_CAD_MCI!$L14&lt;&gt;0,Page5_CAD_MCI!$M14=0),AND(Page5_CAD_MCI!$M14&lt;&gt;0,Page5_CAD_MCI!$L14=0))</f>
        <v>0</v>
      </c>
      <c r="E1122" s="1454"/>
      <c r="F1122" s="1454"/>
      <c r="G1122" s="1444" t="str">
        <f t="shared" si="147"/>
        <v/>
      </c>
      <c r="H1122" s="1447" t="str">
        <f>IF(C1122=TRUE,Comments!$B$23,"")</f>
        <v/>
      </c>
      <c r="I1122" s="1446" t="str">
        <f>IF(D1122=TRUE,Comments!$B$24,"")</f>
        <v/>
      </c>
      <c r="J1122" s="1446"/>
      <c r="K1122" s="1452"/>
      <c r="N1122" s="611" t="str">
        <f>"CPTE # "&amp;Page5_CAD_MCI!$E$14&amp;"  "&amp;Page5_CAD_MCI!$C$14&amp;" - CHIFFRE D'AFFAIRES RÉALISÉ - AAD"</f>
        <v>CPTE # 410E  ELR - CHIFFRE D'AFFAIRES RÉALISÉ - AAD</v>
      </c>
      <c r="O1122" s="611" t="str">
        <f t="shared" si="154"/>
        <v/>
      </c>
      <c r="P1122" s="611" t="str">
        <f t="shared" si="148"/>
        <v>Page5_CAD_MCI!L</v>
      </c>
      <c r="Q1122" s="611">
        <f t="shared" si="149"/>
        <v>14</v>
      </c>
      <c r="R1122" s="1447">
        <f t="shared" ca="1" si="150"/>
        <v>0</v>
      </c>
      <c r="S1122" s="1447">
        <f t="shared" ca="1" si="151"/>
        <v>0</v>
      </c>
      <c r="V1122" s="2557" t="str">
        <f t="shared" ca="1" si="152"/>
        <v/>
      </c>
      <c r="W1122" s="611" t="str">
        <f t="shared" ca="1" si="153"/>
        <v>Page5_CAD_MCI, Ligne 11 [Page5_CAD_MCI!L14]  -</v>
      </c>
    </row>
    <row r="1123" spans="1:23">
      <c r="A1123" s="1443" t="str">
        <f>celladdr(Page5_CAD_MCI!L15)</f>
        <v>Page5_CAD_MCI!L15</v>
      </c>
      <c r="B1123" s="1456" t="s">
        <v>1086</v>
      </c>
      <c r="C1123" s="1451" t="b">
        <f>Page5_CAD_MCI!$L$15&lt;0</f>
        <v>0</v>
      </c>
      <c r="D1123" s="1454" t="b">
        <f>OR(AND(Page5_CAD_MCI!$L15&lt;&gt;0,Page5_CAD_MCI!$M15=0),AND(Page5_CAD_MCI!$M15&lt;&gt;0,Page5_CAD_MCI!$L15=0))</f>
        <v>0</v>
      </c>
      <c r="E1123" s="1454"/>
      <c r="F1123" s="1454"/>
      <c r="G1123" s="1444" t="str">
        <f t="shared" si="147"/>
        <v/>
      </c>
      <c r="H1123" s="1447" t="str">
        <f>IF(C1123=TRUE,Comments!$B$23,"")</f>
        <v/>
      </c>
      <c r="I1123" s="1446" t="str">
        <f>IF(D1123=TRUE,Comments!$B$24,"")</f>
        <v/>
      </c>
      <c r="J1123" s="1446"/>
      <c r="K1123" s="1452"/>
      <c r="N1123" s="611" t="str">
        <f>"CPTE # "&amp;Page5_CAD_MCI!$E$15&amp;"  "&amp;Page5_CAD_MCI!$C$15&amp;" - CHIFFRE D'AFFAIRES RÉALISÉ - AAD"</f>
        <v>CPTE # 411E  ATS-V - CHIFFRE D'AFFAIRES RÉALISÉ - AAD</v>
      </c>
      <c r="O1123" s="611" t="str">
        <f t="shared" si="154"/>
        <v/>
      </c>
      <c r="P1123" s="611" t="str">
        <f t="shared" si="148"/>
        <v>Page5_CAD_MCI!L</v>
      </c>
      <c r="Q1123" s="611">
        <f t="shared" si="149"/>
        <v>15</v>
      </c>
      <c r="R1123" s="1447">
        <f t="shared" ca="1" si="150"/>
        <v>0</v>
      </c>
      <c r="S1123" s="1447">
        <f t="shared" ca="1" si="151"/>
        <v>0</v>
      </c>
      <c r="V1123" s="2557" t="str">
        <f t="shared" ca="1" si="152"/>
        <v/>
      </c>
      <c r="W1123" s="611" t="str">
        <f t="shared" ca="1" si="153"/>
        <v>Page5_CAD_MCI, Ligne 12 [Page5_CAD_MCI!L15]  -</v>
      </c>
    </row>
    <row r="1124" spans="1:23">
      <c r="A1124" s="1443" t="str">
        <f>celladdr(Page5_CAD_MCI!L16)</f>
        <v>Page5_CAD_MCI!L16</v>
      </c>
      <c r="B1124" s="1456" t="s">
        <v>1086</v>
      </c>
      <c r="C1124" s="1451" t="b">
        <f>Page5_CAD_MCI!$L$16&lt;0</f>
        <v>0</v>
      </c>
      <c r="D1124" s="1454" t="b">
        <f>OR(AND(Page5_CAD_MCI!$L16&lt;&gt;0,Page5_CAD_MCI!$M16=0),AND(Page5_CAD_MCI!$M16&lt;&gt;0,Page5_CAD_MCI!$L16=0))</f>
        <v>0</v>
      </c>
      <c r="E1124" s="1454"/>
      <c r="F1124" s="1454"/>
      <c r="G1124" s="1444" t="str">
        <f t="shared" si="147"/>
        <v/>
      </c>
      <c r="H1124" s="1447" t="str">
        <f>IF(C1124=TRUE,Comments!$B$23,"")</f>
        <v/>
      </c>
      <c r="I1124" s="1446" t="str">
        <f>IF(D1124=TRUE,Comments!$B$24,"")</f>
        <v/>
      </c>
      <c r="J1124" s="1446"/>
      <c r="K1124" s="1452"/>
      <c r="N1124" s="611" t="str">
        <f>"CPTE # "&amp;Page5_CAD_MCI!$E$16&amp;"  "&amp;Page5_CAD_MCI!$C$16&amp;" - CHIFFRE D'AFFAIRES RÉALISÉ - AAD"</f>
        <v>CPTE # 412E  CT6 - CHIFFRE D'AFFAIRES RÉALISÉ - AAD</v>
      </c>
      <c r="O1124" s="611" t="str">
        <f t="shared" si="154"/>
        <v/>
      </c>
      <c r="P1124" s="611" t="str">
        <f t="shared" si="148"/>
        <v>Page5_CAD_MCI!L</v>
      </c>
      <c r="Q1124" s="611">
        <f t="shared" si="149"/>
        <v>16</v>
      </c>
      <c r="R1124" s="1447">
        <f t="shared" ca="1" si="150"/>
        <v>0</v>
      </c>
      <c r="S1124" s="1447">
        <f t="shared" ca="1" si="151"/>
        <v>0</v>
      </c>
      <c r="V1124" s="2557" t="str">
        <f t="shared" ca="1" si="152"/>
        <v/>
      </c>
      <c r="W1124" s="611" t="str">
        <f t="shared" ca="1" si="153"/>
        <v>Page5_CAD_MCI, Ligne 13 [Page5_CAD_MCI!L16]  -</v>
      </c>
    </row>
    <row r="1125" spans="1:23">
      <c r="A1125" s="1443" t="str">
        <f>celladdr(Page5_CAD_MCI!L17)</f>
        <v>Page5_CAD_MCI!L17</v>
      </c>
      <c r="B1125" s="1456" t="s">
        <v>1086</v>
      </c>
      <c r="C1125" s="1451" t="b">
        <f>Page5_CAD_MCI!$L$17&lt;0</f>
        <v>0</v>
      </c>
      <c r="D1125" s="1454" t="b">
        <f>OR(AND(Page5_CAD_MCI!$L17&lt;&gt;0,Page5_CAD_MCI!$M17=0),AND(Page5_CAD_MCI!$M17&lt;&gt;0,Page5_CAD_MCI!$L17=0))</f>
        <v>0</v>
      </c>
      <c r="E1125" s="1454"/>
      <c r="F1125" s="1454"/>
      <c r="G1125" s="1444" t="str">
        <f t="shared" si="147"/>
        <v/>
      </c>
      <c r="H1125" s="1447" t="str">
        <f>IF(C1125=TRUE,Comments!$B$23,"")</f>
        <v/>
      </c>
      <c r="I1125" s="1446" t="str">
        <f>IF(D1125=TRUE,Comments!$B$24,"")</f>
        <v/>
      </c>
      <c r="J1125" s="1446"/>
      <c r="K1125" s="1452"/>
      <c r="N1125" s="611" t="str">
        <f>"CPTE # "&amp;Page5_CAD_MCI!$E$17&amp;"  "&amp;Page5_CAD_MCI!$C$17&amp;" - CHIFFRE D'AFFAIRES RÉALISÉ - AAD"</f>
        <v>CPTE # 413E  NE PAS UTILISER - CHIFFRE D'AFFAIRES RÉALISÉ - AAD</v>
      </c>
      <c r="O1125" s="611" t="str">
        <f t="shared" si="154"/>
        <v/>
      </c>
      <c r="P1125" s="611" t="str">
        <f t="shared" si="148"/>
        <v>Page5_CAD_MCI!L</v>
      </c>
      <c r="Q1125" s="611">
        <f t="shared" si="149"/>
        <v>17</v>
      </c>
      <c r="R1125" s="1447">
        <f t="shared" ca="1" si="150"/>
        <v>0</v>
      </c>
      <c r="S1125" s="1447">
        <f t="shared" ca="1" si="151"/>
        <v>0</v>
      </c>
      <c r="V1125" s="2557" t="str">
        <f t="shared" ca="1" si="152"/>
        <v/>
      </c>
      <c r="W1125" s="611" t="str">
        <f t="shared" ca="1" si="153"/>
        <v>Page5_CAD_MCI, Ligne 14 [Page5_CAD_MCI!L17]  -</v>
      </c>
    </row>
    <row r="1126" spans="1:23">
      <c r="A1126" s="1443" t="str">
        <f>celladdr(Page5_CAD_MCI!L18)</f>
        <v>Page5_CAD_MCI!L18</v>
      </c>
      <c r="B1126" s="1456" t="s">
        <v>1086</v>
      </c>
      <c r="C1126" s="1451" t="b">
        <f>Page5_CAD_MCI!$L$18&lt;0</f>
        <v>0</v>
      </c>
      <c r="D1126" s="1454" t="b">
        <f>OR(AND(Page5_CAD_MCI!$L18&lt;&gt;0,Page5_CAD_MCI!$M18=0),AND(Page5_CAD_MCI!$M18&lt;&gt;0,Page5_CAD_MCI!$L18=0))</f>
        <v>0</v>
      </c>
      <c r="E1126" s="1454"/>
      <c r="F1126" s="1454"/>
      <c r="G1126" s="1444" t="str">
        <f t="shared" si="147"/>
        <v/>
      </c>
      <c r="H1126" s="1447" t="str">
        <f>IF(C1126=TRUE,Comments!$B$23,"")</f>
        <v/>
      </c>
      <c r="I1126" s="1446" t="str">
        <f>IF(D1126=TRUE,Comments!$B$24,"")</f>
        <v/>
      </c>
      <c r="J1126" s="1446"/>
      <c r="K1126" s="1452"/>
      <c r="N1126" s="611" t="str">
        <f>"CPTE # "&amp;Page5_CAD_MCI!$E$18&amp;"  "&amp;Page5_CAD_MCI!$C$18&amp;" - CHIFFRE D'AFFAIRES RÉALISÉ - AAD"</f>
        <v>CPTE # 414E  NE PAS UTILISER - CHIFFRE D'AFFAIRES RÉALISÉ - AAD</v>
      </c>
      <c r="O1126" s="611" t="str">
        <f t="shared" si="154"/>
        <v/>
      </c>
      <c r="P1126" s="611" t="str">
        <f t="shared" si="148"/>
        <v>Page5_CAD_MCI!L</v>
      </c>
      <c r="Q1126" s="611">
        <f t="shared" si="149"/>
        <v>18</v>
      </c>
      <c r="R1126" s="1447">
        <f t="shared" ca="1" si="150"/>
        <v>0</v>
      </c>
      <c r="S1126" s="1447">
        <f t="shared" ca="1" si="151"/>
        <v>0</v>
      </c>
      <c r="V1126" s="2557" t="str">
        <f t="shared" ca="1" si="152"/>
        <v/>
      </c>
      <c r="W1126" s="611" t="str">
        <f t="shared" ca="1" si="153"/>
        <v>Page5_CAD_MCI, Ligne 15 [Page5_CAD_MCI!L18]  -</v>
      </c>
    </row>
    <row r="1127" spans="1:23">
      <c r="A1127" s="1443" t="str">
        <f>celladdr(Page5_CAD_MCI!L19)</f>
        <v>Page5_CAD_MCI!L19</v>
      </c>
      <c r="B1127" s="1456" t="s">
        <v>1086</v>
      </c>
      <c r="C1127" s="1451" t="b">
        <f>Page5_CAD_MCI!$L$19&lt;0</f>
        <v>0</v>
      </c>
      <c r="D1127" s="1454" t="b">
        <f>OR(AND(Page5_CAD_MCI!$L19&lt;&gt;0,Page5_CAD_MCI!$M19=0),AND(Page5_CAD_MCI!$M19&lt;&gt;0,Page5_CAD_MCI!$L19=0))</f>
        <v>0</v>
      </c>
      <c r="E1127" s="1454"/>
      <c r="F1127" s="1454"/>
      <c r="G1127" s="1444" t="str">
        <f t="shared" si="147"/>
        <v/>
      </c>
      <c r="H1127" s="1447" t="str">
        <f>IF(C1127=TRUE,Comments!$B$23,"")</f>
        <v/>
      </c>
      <c r="I1127" s="1446" t="str">
        <f>IF(D1127=TRUE,Comments!$B$24,"")</f>
        <v/>
      </c>
      <c r="J1127" s="1446"/>
      <c r="K1127" s="1452"/>
      <c r="N1127" s="611" t="str">
        <f>"CPTE # "&amp;Page5_CAD_MCI!$E$19&amp;"  "&amp;Page5_CAD_MCI!$C$19&amp;" - CHIFFRE D'AFFAIRES RÉALISÉ - AAD"</f>
        <v>CPTE # 415E  NE PAS UTILISER - CHIFFRE D'AFFAIRES RÉALISÉ - AAD</v>
      </c>
      <c r="O1127" s="611" t="str">
        <f t="shared" si="154"/>
        <v/>
      </c>
      <c r="P1127" s="611" t="str">
        <f t="shared" si="148"/>
        <v>Page5_CAD_MCI!L</v>
      </c>
      <c r="Q1127" s="611">
        <f t="shared" si="149"/>
        <v>19</v>
      </c>
      <c r="R1127" s="1447">
        <f t="shared" ca="1" si="150"/>
        <v>0</v>
      </c>
      <c r="S1127" s="1447">
        <f t="shared" ca="1" si="151"/>
        <v>0</v>
      </c>
      <c r="V1127" s="2557" t="str">
        <f t="shared" ca="1" si="152"/>
        <v/>
      </c>
      <c r="W1127" s="611" t="str">
        <f t="shared" ca="1" si="153"/>
        <v>Page5_CAD_MCI, Ligne 16 [Page5_CAD_MCI!L19]  -</v>
      </c>
    </row>
    <row r="1128" spans="1:23">
      <c r="A1128" s="1443" t="str">
        <f>celladdr(Page5_CAD_MCI!L20)</f>
        <v>Page5_CAD_MCI!L20</v>
      </c>
      <c r="B1128" s="1456" t="s">
        <v>1086</v>
      </c>
      <c r="C1128" s="1451" t="b">
        <f>Page5_CAD_MCI!$L$20&lt;0</f>
        <v>0</v>
      </c>
      <c r="D1128" s="1454"/>
      <c r="E1128" s="1454"/>
      <c r="F1128" s="1454"/>
      <c r="G1128" s="1444" t="str">
        <f t="shared" si="147"/>
        <v/>
      </c>
      <c r="H1128" s="1447" t="str">
        <f>IF(C1128=TRUE,Comments!$B$23,"")</f>
        <v/>
      </c>
      <c r="I1128" s="1446"/>
      <c r="J1128" s="1446"/>
      <c r="K1128" s="1452"/>
      <c r="N1128" s="611" t="str">
        <f>"CPTE # "&amp;Page5_CAD_MCI!$E$20&amp;"  "&amp;Page5_CAD_MCI!$C$20&amp;" - CHIFFRE D'AFFAIRES RÉALISÉ - AAD"</f>
        <v>CPTE # 416E  POUR USAGE FUTUR - CHIFFRE D'AFFAIRES RÉALISÉ - AAD</v>
      </c>
      <c r="O1128" s="611" t="str">
        <f t="shared" si="154"/>
        <v/>
      </c>
      <c r="P1128" s="611" t="str">
        <f t="shared" si="148"/>
        <v>Page5_CAD_MCI!L</v>
      </c>
      <c r="Q1128" s="611">
        <f t="shared" si="149"/>
        <v>20</v>
      </c>
      <c r="R1128" s="1447">
        <f t="shared" ca="1" si="150"/>
        <v>0</v>
      </c>
      <c r="S1128" s="1447">
        <f t="shared" ca="1" si="151"/>
        <v>0</v>
      </c>
      <c r="V1128" s="2557" t="str">
        <f t="shared" ca="1" si="152"/>
        <v/>
      </c>
      <c r="W1128" s="611" t="str">
        <f t="shared" ca="1" si="153"/>
        <v>Page5_CAD_MCI, Ligne 17 [Page5_CAD_MCI!L20]  -</v>
      </c>
    </row>
    <row r="1129" spans="1:23">
      <c r="A1129" s="1443" t="str">
        <f>celladdr(Page5_CAD_MCI!L21)</f>
        <v>Page5_CAD_MCI!L21</v>
      </c>
      <c r="B1129" s="1456" t="s">
        <v>1086</v>
      </c>
      <c r="C1129" s="1451" t="b">
        <f>Page5_CAD_MCI!$L$21&lt;0</f>
        <v>0</v>
      </c>
      <c r="D1129" s="1454" t="b">
        <f>OR(AND(Page5_CAD_MCI!$L21&lt;&gt;0,Page5_CAD_MCI!$M21=0),AND(Page5_CAD_MCI!$M21&lt;&gt;0,Page5_CAD_MCI!$L21=0))</f>
        <v>0</v>
      </c>
      <c r="E1129" s="1454"/>
      <c r="F1129" s="1454"/>
      <c r="G1129" s="1444" t="str">
        <f t="shared" si="147"/>
        <v/>
      </c>
      <c r="H1129" s="1447" t="str">
        <f>IF(C1129=TRUE,Comments!$B$23,"")</f>
        <v/>
      </c>
      <c r="I1129" s="1446" t="str">
        <f>IF(D1129=TRUE,Comments!$B$24,"")</f>
        <v/>
      </c>
      <c r="J1129" s="1446"/>
      <c r="K1129" s="1452"/>
      <c r="N1129" s="611" t="str">
        <f>"CPTE # "&amp;Page5_CAD_MCI!$E$21&amp;"  "&amp;Page5_CAD_MCI!$C$21&amp;" - CHIFFRE D'AFFAIRES RÉALISÉ - AAD"</f>
        <v>CPTE # 417E  NE PAS UTILISER - CHIFFRE D'AFFAIRES RÉALISÉ - AAD</v>
      </c>
      <c r="O1129" s="611" t="str">
        <f t="shared" si="154"/>
        <v/>
      </c>
      <c r="P1129" s="611" t="str">
        <f t="shared" si="148"/>
        <v>Page5_CAD_MCI!L</v>
      </c>
      <c r="Q1129" s="611">
        <f t="shared" si="149"/>
        <v>21</v>
      </c>
      <c r="R1129" s="1447">
        <f t="shared" ca="1" si="150"/>
        <v>0</v>
      </c>
      <c r="S1129" s="1447">
        <f t="shared" ca="1" si="151"/>
        <v>0</v>
      </c>
      <c r="V1129" s="2557" t="str">
        <f t="shared" ca="1" si="152"/>
        <v/>
      </c>
      <c r="W1129" s="611" t="str">
        <f t="shared" ca="1" si="153"/>
        <v>Page5_CAD_MCI, Ligne 18 [Page5_CAD_MCI!L21]  -</v>
      </c>
    </row>
    <row r="1130" spans="1:23">
      <c r="A1130" s="1443" t="str">
        <f>celladdr(Page5_CAD_MCI!L22)</f>
        <v>Page5_CAD_MCI!L22</v>
      </c>
      <c r="B1130" s="1456" t="s">
        <v>1086</v>
      </c>
      <c r="C1130" s="1451" t="b">
        <f>Page5_CAD_MCI!$L$22&lt;0</f>
        <v>0</v>
      </c>
      <c r="D1130" s="1454" t="b">
        <f>OR(AND(Page5_CAD_MCI!$L22&lt;&gt;0,Page5_CAD_MCI!$M22=0),AND(Page5_CAD_MCI!$M22&lt;&gt;0,Page5_CAD_MCI!$L22=0))</f>
        <v>0</v>
      </c>
      <c r="E1130" s="1454"/>
      <c r="F1130" s="1454"/>
      <c r="G1130" s="1444" t="str">
        <f t="shared" si="147"/>
        <v/>
      </c>
      <c r="H1130" s="1447" t="str">
        <f>IF(C1130=TRUE,Comments!$B$23,"")</f>
        <v/>
      </c>
      <c r="I1130" s="1446" t="str">
        <f>IF(D1130=TRUE,Comments!$B$24,"")</f>
        <v/>
      </c>
      <c r="J1130" s="1446"/>
      <c r="K1130" s="1452"/>
      <c r="N1130" s="611" t="str">
        <f>"CPTE # "&amp;Page5_CAD_MCI!$E$22&amp;"  "&amp;Page5_CAD_MCI!$C$22&amp;" - CHIFFRE D'AFFAIRES RÉALISÉ - AAD"</f>
        <v>CPTE # 418E  AUTRES CADILLAC - CHIFFRE D'AFFAIRES RÉALISÉ - AAD</v>
      </c>
      <c r="O1130" s="611" t="str">
        <f t="shared" si="154"/>
        <v/>
      </c>
      <c r="P1130" s="611" t="str">
        <f t="shared" si="148"/>
        <v>Page5_CAD_MCI!L</v>
      </c>
      <c r="Q1130" s="611">
        <f t="shared" si="149"/>
        <v>22</v>
      </c>
      <c r="R1130" s="1447">
        <f t="shared" ca="1" si="150"/>
        <v>0</v>
      </c>
      <c r="S1130" s="1447">
        <f t="shared" ca="1" si="151"/>
        <v>0</v>
      </c>
      <c r="V1130" s="2557" t="str">
        <f t="shared" ca="1" si="152"/>
        <v/>
      </c>
      <c r="W1130" s="611" t="str">
        <f t="shared" ca="1" si="153"/>
        <v>Page5_CAD_MCI, Ligne 19 [Page5_CAD_MCI!L22]  -</v>
      </c>
    </row>
    <row r="1131" spans="1:23">
      <c r="A1131" s="1443" t="str">
        <f>celladdr(Page5_CAD_MCI!L23)</f>
        <v>Page5_CAD_MCI!L23</v>
      </c>
      <c r="B1131" s="1444" t="s">
        <v>1086</v>
      </c>
      <c r="C1131" s="1451"/>
      <c r="D1131" s="1454"/>
      <c r="E1131" s="1454"/>
      <c r="F1131" s="1454"/>
      <c r="G1131" s="1444" t="str">
        <f t="shared" si="147"/>
        <v/>
      </c>
      <c r="H1131" s="1447" t="str">
        <f>IF(C1131=TRUE,Comments!$B$26,"")</f>
        <v/>
      </c>
      <c r="I1131" s="1446" t="str">
        <f>IF(D1131=TRUE,Comments!$B$24,"")</f>
        <v/>
      </c>
      <c r="J1131" s="1446"/>
      <c r="K1131" s="1452"/>
      <c r="O1131" s="611" t="str">
        <f t="shared" si="154"/>
        <v/>
      </c>
      <c r="P1131" s="611" t="str">
        <f t="shared" si="148"/>
        <v>Page5_CAD_MCI!L</v>
      </c>
      <c r="Q1131" s="611">
        <f t="shared" si="149"/>
        <v>23</v>
      </c>
      <c r="R1131" s="1447">
        <f t="shared" ca="1" si="150"/>
        <v>0</v>
      </c>
      <c r="S1131" s="1447">
        <f t="shared" ca="1" si="151"/>
        <v>0</v>
      </c>
      <c r="V1131" s="2557" t="str">
        <f t="shared" ca="1" si="152"/>
        <v/>
      </c>
      <c r="W1131" s="611" t="str">
        <f t="shared" ca="1" si="153"/>
        <v>Page5_CAD_MCI, Ligne 20 [Page5_CAD_MCI!L23]  -</v>
      </c>
    </row>
    <row r="1132" spans="1:23">
      <c r="A1132" s="1443" t="str">
        <f>celladdr(Page5_CAD_MCI!L24)</f>
        <v>Page5_CAD_MCI!L24</v>
      </c>
      <c r="B1132" s="1456" t="s">
        <v>1086</v>
      </c>
      <c r="C1132" s="1451" t="b">
        <f>Page5_CAD_MCI!$L$24&lt;0</f>
        <v>0</v>
      </c>
      <c r="D1132" s="1454" t="b">
        <f>OR(AND(Page5_CAD_MCI!$L24&lt;&gt;0,Page5_CAD_MCI!$M24=0),AND(Page5_CAD_MCI!$M24&lt;&gt;0,Page5_CAD_MCI!$L24=0))</f>
        <v>0</v>
      </c>
      <c r="E1132" s="1454"/>
      <c r="F1132" s="1454"/>
      <c r="G1132" s="1444" t="str">
        <f t="shared" si="147"/>
        <v/>
      </c>
      <c r="H1132" s="1447" t="str">
        <f>IF(C1132=TRUE,Comments!$B$23,"")</f>
        <v/>
      </c>
      <c r="I1132" s="1446" t="str">
        <f>IF(D1136=TRUE,Comments!$B$24,"")</f>
        <v/>
      </c>
      <c r="J1132" s="1446"/>
      <c r="K1132" s="1452"/>
      <c r="N1132" s="611" t="str">
        <f>"CPTE # "&amp;Page5_CAD_MCI!$E$24&amp;"  "&amp;Page5_CAD_MCI!$C$24&amp;" - CHIFFRE D'AFFAIRES RÉALISÉ - AAD"</f>
        <v>CPTE # 419E  MÉMO* VENTES INTERNET VOITURES - CHIFFRE D'AFFAIRES RÉALISÉ - AAD</v>
      </c>
      <c r="O1132" s="611" t="str">
        <f t="shared" si="154"/>
        <v/>
      </c>
      <c r="P1132" s="611" t="str">
        <f t="shared" si="148"/>
        <v>Page5_CAD_MCI!L</v>
      </c>
      <c r="Q1132" s="611">
        <f t="shared" si="149"/>
        <v>24</v>
      </c>
      <c r="R1132" s="1447">
        <f t="shared" ca="1" si="150"/>
        <v>0</v>
      </c>
      <c r="S1132" s="1447">
        <f t="shared" ca="1" si="151"/>
        <v>0</v>
      </c>
      <c r="V1132" s="2557" t="str">
        <f t="shared" ca="1" si="152"/>
        <v/>
      </c>
      <c r="W1132" s="611" t="str">
        <f t="shared" ca="1" si="153"/>
        <v>Page5_CAD_MCI, Ligne 21 [Page5_CAD_MCI!L24]  -</v>
      </c>
    </row>
    <row r="1133" spans="1:23">
      <c r="A1133" s="1443" t="str">
        <f>celladdr(Page5_CAD_MCI!L25)</f>
        <v>Page5_CAD_MCI!L25</v>
      </c>
      <c r="B1133" s="1456" t="s">
        <v>1086</v>
      </c>
      <c r="C1133" s="1451" t="b">
        <f>Page5_CAD_MCI!$L$25&lt;0</f>
        <v>0</v>
      </c>
      <c r="D1133" s="1454" t="b">
        <f>OR(AND(Page5_CAD_MCI!$L25&lt;&gt;0,Page5_CAD_MCI!$M25=0),AND(Page5_CAD_MCI!$M25&lt;&gt;0,Page5_CAD_MCI!$L25=0))</f>
        <v>0</v>
      </c>
      <c r="E1133" s="1454" t="b">
        <f>ROUND(Page5_CAD_MCI!L25,2)&lt;&gt;ROUND(Page5_PARCS_GOUV!L8+Page5_PARCS_GOUV!L44,2)</f>
        <v>0</v>
      </c>
      <c r="F1133" s="1454"/>
      <c r="G1133" s="1444" t="str">
        <f t="shared" si="147"/>
        <v/>
      </c>
      <c r="H1133" s="1447" t="str">
        <f>IF(C1133=TRUE,Comments!$B$23,"")</f>
        <v/>
      </c>
      <c r="I1133" s="1446" t="str">
        <f>IF(D1133=TRUE,Comments!$B$24,"")</f>
        <v/>
      </c>
      <c r="J1133" s="1446" t="str">
        <f>IF(E1133=TRUE, Comments!$B$101,"")</f>
        <v/>
      </c>
      <c r="K1133" s="1452"/>
      <c r="N1133" s="611" t="str">
        <f>"CPTE # "&amp;Page5_CAD_MCI!$E$25&amp;"  "&amp;Page5_CAD_MCI!$C$25&amp;" - CHIFFRE D'AFFAIRES RÉALISÉ - AAD"</f>
        <v>CPTE # DE PG PARCS  TOTAL PARCS - VOITURES - CHIFFRE D'AFFAIRES RÉALISÉ - AAD</v>
      </c>
      <c r="O1133" s="611" t="str">
        <f t="shared" si="154"/>
        <v/>
      </c>
      <c r="P1133" s="611" t="str">
        <f t="shared" si="148"/>
        <v>Page5_CAD_MCI!L</v>
      </c>
      <c r="Q1133" s="611">
        <f t="shared" si="149"/>
        <v>25</v>
      </c>
      <c r="R1133" s="1447">
        <f t="shared" ca="1" si="150"/>
        <v>0</v>
      </c>
      <c r="S1133" s="1447">
        <f t="shared" ca="1" si="151"/>
        <v>0</v>
      </c>
      <c r="T1133" s="611">
        <v>101</v>
      </c>
      <c r="V1133" s="2557" t="str">
        <f t="shared" ca="1" si="152"/>
        <v/>
      </c>
      <c r="W1133" s="611" t="str">
        <f t="shared" ca="1" si="153"/>
        <v>Page5_CAD_MCI, Ligne 22 [Page5_CAD_MCI!L25]  -</v>
      </c>
    </row>
    <row r="1134" spans="1:23">
      <c r="A1134" s="1443" t="str">
        <f>celladdr(Page5_CAD_MCI!N25)</f>
        <v>Page5_CAD_MCI!N25</v>
      </c>
      <c r="B1134" s="1456" t="s">
        <v>1086</v>
      </c>
      <c r="C1134" s="1451"/>
      <c r="D1134" s="1454"/>
      <c r="E1134" s="1454" t="b">
        <f>ROUND(Page5_CAD_MCI!N25,2)&lt;&gt;ROUND(Page5_PARCS_GOUV!N8+Page5_PARCS_GOUV!N44,2)</f>
        <v>0</v>
      </c>
      <c r="F1134" s="1454"/>
      <c r="G1134" s="1444" t="str">
        <f t="shared" si="147"/>
        <v/>
      </c>
      <c r="I1134" s="1446"/>
      <c r="J1134" s="1446" t="str">
        <f>IF(E1134=TRUE, Comments!$B$102,"")</f>
        <v/>
      </c>
      <c r="K1134" s="1452"/>
      <c r="N1134" s="611" t="str">
        <f>"CPTE # "&amp;Page5_CAD_MCI!$E$25&amp;"  "&amp;Page5_CAD_MCI!$C$25&amp;" - PROFIT BRUT - AAD"</f>
        <v>CPTE # DE PG PARCS  TOTAL PARCS - VOITURES - PROFIT BRUT - AAD</v>
      </c>
      <c r="P1134" s="611" t="str">
        <f t="shared" si="148"/>
        <v>Page5_CAD_MCI!N</v>
      </c>
      <c r="Q1134" s="611">
        <f t="shared" si="149"/>
        <v>25</v>
      </c>
      <c r="R1134" s="1447">
        <f t="shared" ca="1" si="150"/>
        <v>0</v>
      </c>
      <c r="S1134" s="1447">
        <f t="shared" ca="1" si="151"/>
        <v>0</v>
      </c>
      <c r="T1134" s="611">
        <v>102</v>
      </c>
      <c r="V1134" s="2557" t="str">
        <f t="shared" ca="1" si="152"/>
        <v/>
      </c>
      <c r="W1134" s="611" t="str">
        <f t="shared" ca="1" si="153"/>
        <v>Page5_CAD_MCI, Ligne 22 [Page5_CAD_MCI!N25]  -</v>
      </c>
    </row>
    <row r="1135" spans="1:23">
      <c r="A1135" s="1443" t="str">
        <f>celladdr(Page5_CAD_MCI!L26)</f>
        <v>Page5_CAD_MCI!L26</v>
      </c>
      <c r="B1135" s="1456" t="s">
        <v>1086</v>
      </c>
      <c r="C1135" s="1451" t="b">
        <f>Page5_CAD_MCI!$L$26&lt;0</f>
        <v>0</v>
      </c>
      <c r="D1135" s="1454" t="b">
        <f>OR(AND(Page5_CAD_MCI!$L26&lt;&gt;0,Page5_CAD_MCI!$M26=0),AND(Page5_CAD_MCI!$M26&lt;&gt;0,Page5_CAD_MCI!$L26=0))</f>
        <v>0</v>
      </c>
      <c r="E1135" s="1454"/>
      <c r="F1135" s="1454"/>
      <c r="G1135" s="1444" t="str">
        <f t="shared" si="147"/>
        <v/>
      </c>
      <c r="H1135" s="1447" t="str">
        <f>IF(C1135=TRUE,Comments!$B$23,"")</f>
        <v/>
      </c>
      <c r="I1135" s="1446" t="str">
        <f>IF(D1135=TRUE,Comments!$B$24,"")</f>
        <v/>
      </c>
      <c r="J1135" s="1446"/>
      <c r="K1135" s="1452"/>
      <c r="N1135" s="611" t="str">
        <f>"CPTE # "&amp;Page5_CAD_MCI!$E$26&amp;"  "&amp;Page5_CAD_MCI!$C$26&amp;" - CHIFFRE D'AFFAIRES RÉALISÉ - AAD"</f>
        <v>CPTE # 421E  TOTAL INTERNE - VOITURES - CHIFFRE D'AFFAIRES RÉALISÉ - AAD</v>
      </c>
      <c r="O1135" s="611" t="str">
        <f>IF(A1135=A1133,"TRUE","")</f>
        <v/>
      </c>
      <c r="P1135" s="611" t="str">
        <f t="shared" si="148"/>
        <v>Page5_CAD_MCI!L</v>
      </c>
      <c r="Q1135" s="611">
        <f t="shared" si="149"/>
        <v>26</v>
      </c>
      <c r="R1135" s="1447">
        <f t="shared" ca="1" si="150"/>
        <v>0</v>
      </c>
      <c r="S1135" s="1447">
        <f t="shared" ca="1" si="151"/>
        <v>0</v>
      </c>
      <c r="V1135" s="2557" t="str">
        <f t="shared" ca="1" si="152"/>
        <v/>
      </c>
      <c r="W1135" s="611" t="str">
        <f t="shared" ca="1" si="153"/>
        <v>Page5_CAD_MCI, Ligne 23 [Page5_CAD_MCI!L26]  -</v>
      </c>
    </row>
    <row r="1136" spans="1:23">
      <c r="A1136" s="1443" t="str">
        <f>celladdr(Page5_CAD_MCI!L27)</f>
        <v>Page5_CAD_MCI!L27</v>
      </c>
      <c r="B1136" s="1444" t="s">
        <v>1086</v>
      </c>
      <c r="C1136" s="1451"/>
      <c r="D1136" s="1454"/>
      <c r="E1136" s="1454"/>
      <c r="F1136" s="1454"/>
      <c r="G1136" s="1444" t="str">
        <f t="shared" si="147"/>
        <v/>
      </c>
      <c r="H1136" s="1447" t="str">
        <f>IF(C1136=TRUE,Comments!$B$26,"")</f>
        <v/>
      </c>
      <c r="I1136" s="1446" t="str">
        <f>IF(D1136=TRUE,Comments!$B$24,"")</f>
        <v/>
      </c>
      <c r="J1136" s="1446"/>
      <c r="K1136" s="1452"/>
      <c r="O1136" s="611" t="str">
        <f t="shared" ref="O1136:O1156" si="155">IF(A1136=A1135,"TRUE","")</f>
        <v/>
      </c>
      <c r="P1136" s="611" t="str">
        <f t="shared" si="148"/>
        <v>Page5_CAD_MCI!L</v>
      </c>
      <c r="Q1136" s="611">
        <f t="shared" si="149"/>
        <v>27</v>
      </c>
      <c r="R1136" s="1447">
        <f t="shared" ca="1" si="150"/>
        <v>0</v>
      </c>
      <c r="S1136" s="1447">
        <f t="shared" ca="1" si="151"/>
        <v>0</v>
      </c>
      <c r="V1136" s="2557" t="str">
        <f t="shared" ca="1" si="152"/>
        <v/>
      </c>
      <c r="W1136" s="611" t="str">
        <f t="shared" ca="1" si="153"/>
        <v>Page5_CAD_MCI, Ligne 24 [Page5_CAD_MCI!L27]  -</v>
      </c>
    </row>
    <row r="1137" spans="1:23">
      <c r="A1137" s="1443" t="str">
        <f>celladdr(Page5_CAD_MCI!L28)</f>
        <v>Page5_CAD_MCI!L28</v>
      </c>
      <c r="B1137" s="1456" t="s">
        <v>1086</v>
      </c>
      <c r="C1137" s="1451" t="b">
        <f>Page5_CAD_MCI!$L$28&lt;0</f>
        <v>0</v>
      </c>
      <c r="D1137" s="1454" t="b">
        <f>OR(AND(Page5_CAD_MCI!$L28&lt;&gt;0,Page5_CAD_MCI!$M28=0),AND(Page5_CAD_MCI!$M28&lt;&gt;0,Page5_CAD_MCI!$L28=0))</f>
        <v>0</v>
      </c>
      <c r="E1137" s="1454"/>
      <c r="F1137" s="1454"/>
      <c r="G1137" s="1444" t="str">
        <f t="shared" si="147"/>
        <v/>
      </c>
      <c r="H1137" s="1447" t="str">
        <f>IF(C1137=TRUE,Comments!$B$23,"")</f>
        <v/>
      </c>
      <c r="I1137" s="1446" t="str">
        <f>IF(D1137=TRUE,Comments!$B$24,"")</f>
        <v/>
      </c>
      <c r="J1137" s="1446"/>
      <c r="K1137" s="1452"/>
      <c r="N1137" s="611" t="str">
        <f>"CPTE # "&amp;Page5_CAD_MCI!$E$28&amp;"  "&amp;Page5_CAD_MCI!$C$28&amp;" - CHIFFRE D'AFFAIRES RÉALISÉ - AAD"</f>
        <v>CPTE # 423E  ESCALADE    - CHIFFRE D'AFFAIRES RÉALISÉ - AAD</v>
      </c>
      <c r="O1137" s="611" t="str">
        <f t="shared" si="155"/>
        <v/>
      </c>
      <c r="P1137" s="611" t="str">
        <f t="shared" si="148"/>
        <v>Page5_CAD_MCI!L</v>
      </c>
      <c r="Q1137" s="611">
        <f t="shared" si="149"/>
        <v>28</v>
      </c>
      <c r="R1137" s="1447">
        <f t="shared" ca="1" si="150"/>
        <v>0</v>
      </c>
      <c r="S1137" s="1447">
        <f t="shared" ca="1" si="151"/>
        <v>0</v>
      </c>
      <c r="V1137" s="2557" t="str">
        <f t="shared" ca="1" si="152"/>
        <v/>
      </c>
      <c r="W1137" s="611" t="str">
        <f t="shared" ca="1" si="153"/>
        <v>Page5_CAD_MCI, Ligne 25 [Page5_CAD_MCI!L28]  -</v>
      </c>
    </row>
    <row r="1138" spans="1:23">
      <c r="A1138" s="1443" t="str">
        <f>celladdr(Page5_CAD_MCI!L29)</f>
        <v>Page5_CAD_MCI!L29</v>
      </c>
      <c r="B1138" s="1456" t="s">
        <v>1086</v>
      </c>
      <c r="C1138" s="1451" t="b">
        <f>Page5_CAD_MCI!$L$29&lt;0</f>
        <v>0</v>
      </c>
      <c r="D1138" s="1454" t="b">
        <f>OR(AND(Page5_CAD_MCI!$L29&lt;&gt;0,Page5_CAD_MCI!$M29=0),AND(Page5_CAD_MCI!$M29&lt;&gt;0,Page5_CAD_MCI!$L29=0))</f>
        <v>0</v>
      </c>
      <c r="E1138" s="1454"/>
      <c r="F1138" s="1454"/>
      <c r="G1138" s="1444" t="str">
        <f t="shared" si="147"/>
        <v/>
      </c>
      <c r="H1138" s="1447" t="str">
        <f>IF(C1138=TRUE,Comments!$B$23,"")</f>
        <v/>
      </c>
      <c r="I1138" s="1446" t="str">
        <f>IF(D1138=TRUE,Comments!$B$24,"")</f>
        <v/>
      </c>
      <c r="J1138" s="1446"/>
      <c r="K1138" s="1452"/>
      <c r="N1138" s="611" t="str">
        <f>"CPTE # "&amp;Page5_CAD_MCI!$E$29&amp;"  "&amp;Page5_CAD_MCI!$C$29&amp;" - CHIFFRE D'AFFAIRES RÉALISÉ - AAD"</f>
        <v>CPTE # 424E  NE PAS UTILISER - CHIFFRE D'AFFAIRES RÉALISÉ - AAD</v>
      </c>
      <c r="O1138" s="611" t="str">
        <f t="shared" si="155"/>
        <v/>
      </c>
      <c r="P1138" s="611" t="str">
        <f t="shared" si="148"/>
        <v>Page5_CAD_MCI!L</v>
      </c>
      <c r="Q1138" s="611">
        <f t="shared" si="149"/>
        <v>29</v>
      </c>
      <c r="R1138" s="1447">
        <f t="shared" ca="1" si="150"/>
        <v>0</v>
      </c>
      <c r="S1138" s="1447">
        <f t="shared" ca="1" si="151"/>
        <v>0</v>
      </c>
      <c r="V1138" s="2557" t="str">
        <f t="shared" ca="1" si="152"/>
        <v/>
      </c>
      <c r="W1138" s="611" t="str">
        <f t="shared" ca="1" si="153"/>
        <v>Page5_CAD_MCI, Ligne 26 [Page5_CAD_MCI!L29]  -</v>
      </c>
    </row>
    <row r="1139" spans="1:23">
      <c r="A1139" s="1443" t="str">
        <f>celladdr(Page5_CAD_MCI!L30)</f>
        <v>Page5_CAD_MCI!L30</v>
      </c>
      <c r="B1139" s="1456" t="s">
        <v>1086</v>
      </c>
      <c r="C1139" s="1451" t="b">
        <f>Page5_CAD_MCI!$L$30&lt;0</f>
        <v>0</v>
      </c>
      <c r="D1139" s="1454" t="b">
        <f>OR(AND(Page5_CAD_MCI!$L30&lt;&gt;0,Page5_CAD_MCI!$M30=0),AND(Page5_CAD_MCI!$M30&lt;&gt;0,Page5_CAD_MCI!$L30=0))</f>
        <v>0</v>
      </c>
      <c r="E1139" s="1454"/>
      <c r="F1139" s="1454"/>
      <c r="G1139" s="1444" t="str">
        <f t="shared" si="147"/>
        <v/>
      </c>
      <c r="H1139" s="1447" t="str">
        <f>IF(C1139=TRUE,Comments!$B$23,"")</f>
        <v/>
      </c>
      <c r="I1139" s="1446" t="str">
        <f>IF(D1139=TRUE,Comments!$B$24,"")</f>
        <v/>
      </c>
      <c r="J1139" s="1446"/>
      <c r="K1139" s="1452"/>
      <c r="N1139" s="611" t="str">
        <f>"CPTE # "&amp;Page5_CAD_MCI!$E$30&amp;"  "&amp;Page5_CAD_MCI!$C$30&amp;" - CHIFFRE D'AFFAIRES RÉALISÉ - AAD"</f>
        <v>CPTE # 425E  ESCALADE-ESV - CHIFFRE D'AFFAIRES RÉALISÉ - AAD</v>
      </c>
      <c r="O1139" s="611" t="str">
        <f t="shared" si="155"/>
        <v/>
      </c>
      <c r="P1139" s="611" t="str">
        <f t="shared" si="148"/>
        <v>Page5_CAD_MCI!L</v>
      </c>
      <c r="Q1139" s="611">
        <f t="shared" si="149"/>
        <v>30</v>
      </c>
      <c r="R1139" s="1447">
        <f t="shared" ca="1" si="150"/>
        <v>0</v>
      </c>
      <c r="S1139" s="1447">
        <f t="shared" ca="1" si="151"/>
        <v>0</v>
      </c>
      <c r="V1139" s="2557" t="str">
        <f t="shared" ca="1" si="152"/>
        <v/>
      </c>
      <c r="W1139" s="611" t="str">
        <f t="shared" ca="1" si="153"/>
        <v>Page5_CAD_MCI, Ligne 27 [Page5_CAD_MCI!L30]  -</v>
      </c>
    </row>
    <row r="1140" spans="1:23">
      <c r="A1140" s="1443" t="str">
        <f>celladdr(Page5_CAD_MCI!L31)</f>
        <v>Page5_CAD_MCI!L31</v>
      </c>
      <c r="B1140" s="1456" t="s">
        <v>1086</v>
      </c>
      <c r="C1140" s="1451" t="b">
        <f>Page5_CAD_MCI!$L$31&lt;0</f>
        <v>0</v>
      </c>
      <c r="D1140" s="1454" t="b">
        <f>OR(AND(Page5_CAD_MCI!$L31&lt;&gt;0,Page5_CAD_MCI!$M31=0),AND(Page5_CAD_MCI!$M31&lt;&gt;0,Page5_CAD_MCI!$L31=0))</f>
        <v>0</v>
      </c>
      <c r="E1140" s="1454"/>
      <c r="F1140" s="1454"/>
      <c r="G1140" s="1444" t="str">
        <f t="shared" si="147"/>
        <v/>
      </c>
      <c r="H1140" s="1447" t="str">
        <f>IF(C1140=TRUE,Comments!$B$23,"")</f>
        <v/>
      </c>
      <c r="I1140" s="1446" t="str">
        <f>IF(D1140=TRUE,Comments!$B$24,"")</f>
        <v/>
      </c>
      <c r="J1140" s="1446"/>
      <c r="K1140" s="1452"/>
      <c r="N1140" s="611" t="str">
        <f>"CPTE # "&amp;Page5_CAD_MCI!$E$31&amp;"  "&amp;Page5_CAD_MCI!$C$31&amp;" - CHIFFRE D'AFFAIRES RÉALISÉ - AAD"</f>
        <v>CPTE # 426E  SRX - CHIFFRE D'AFFAIRES RÉALISÉ - AAD</v>
      </c>
      <c r="O1140" s="611" t="str">
        <f t="shared" si="155"/>
        <v/>
      </c>
      <c r="P1140" s="611" t="str">
        <f t="shared" si="148"/>
        <v>Page5_CAD_MCI!L</v>
      </c>
      <c r="Q1140" s="611">
        <f t="shared" si="149"/>
        <v>31</v>
      </c>
      <c r="R1140" s="1447">
        <f t="shared" ca="1" si="150"/>
        <v>0</v>
      </c>
      <c r="S1140" s="1447">
        <f t="shared" ca="1" si="151"/>
        <v>0</v>
      </c>
      <c r="V1140" s="2557" t="str">
        <f t="shared" ca="1" si="152"/>
        <v/>
      </c>
      <c r="W1140" s="611" t="str">
        <f t="shared" ca="1" si="153"/>
        <v>Page5_CAD_MCI, Ligne 28 [Page5_CAD_MCI!L31]  -</v>
      </c>
    </row>
    <row r="1141" spans="1:23">
      <c r="A1141" s="1443" t="str">
        <f>celladdr(Page5_CAD_MCI!L32)</f>
        <v>Page5_CAD_MCI!L32</v>
      </c>
      <c r="B1141" s="1456" t="s">
        <v>1086</v>
      </c>
      <c r="C1141" s="1451" t="b">
        <f>Page5_CAD_MCI!$L$32&lt;0</f>
        <v>0</v>
      </c>
      <c r="D1141" s="1454" t="b">
        <f>OR(AND(Page5_CAD_MCI!$L32&lt;&gt;0,Page5_CAD_MCI!$M32=0),AND(Page5_CAD_MCI!$M32&lt;&gt;0,Page5_CAD_MCI!$L32=0))</f>
        <v>0</v>
      </c>
      <c r="E1141" s="1454"/>
      <c r="F1141" s="1454"/>
      <c r="G1141" s="1444" t="str">
        <f t="shared" si="147"/>
        <v/>
      </c>
      <c r="H1141" s="1447" t="str">
        <f>IF(C1141=TRUE,Comments!$B$23,"")</f>
        <v/>
      </c>
      <c r="I1141" s="1446" t="str">
        <f>IF(D1141=TRUE,Comments!$B$24,"")</f>
        <v/>
      </c>
      <c r="J1141" s="1446"/>
      <c r="K1141" s="1452"/>
      <c r="N1141" s="611" t="str">
        <f>"CPTE # "&amp;Page5_CAD_MCI!$E$32&amp;"  "&amp;Page5_CAD_MCI!$C$32&amp;" - CHIFFRE D'AFFAIRES RÉALISÉ - AAD"</f>
        <v>CPTE # 427E  NE PAS UTILISER - CHIFFRE D'AFFAIRES RÉALISÉ - AAD</v>
      </c>
      <c r="O1141" s="611" t="str">
        <f t="shared" si="155"/>
        <v/>
      </c>
      <c r="P1141" s="611" t="str">
        <f t="shared" si="148"/>
        <v>Page5_CAD_MCI!L</v>
      </c>
      <c r="Q1141" s="611">
        <f t="shared" si="149"/>
        <v>32</v>
      </c>
      <c r="R1141" s="1447">
        <f t="shared" ca="1" si="150"/>
        <v>0</v>
      </c>
      <c r="S1141" s="1447">
        <f t="shared" ca="1" si="151"/>
        <v>0</v>
      </c>
      <c r="V1141" s="2557" t="str">
        <f t="shared" ca="1" si="152"/>
        <v/>
      </c>
      <c r="W1141" s="611" t="str">
        <f t="shared" ca="1" si="153"/>
        <v>Page5_CAD_MCI, Ligne 29 [Page5_CAD_MCI!L32]  -</v>
      </c>
    </row>
    <row r="1142" spans="1:23">
      <c r="A1142" s="1443" t="str">
        <f>celladdr(Page5_CAD_MCI!L33)</f>
        <v>Page5_CAD_MCI!L33</v>
      </c>
      <c r="B1142" s="1456" t="s">
        <v>1086</v>
      </c>
      <c r="C1142" s="1451" t="b">
        <f>Page5_CAD_MCI!$L$33&lt;0</f>
        <v>0</v>
      </c>
      <c r="D1142" s="1454" t="b">
        <f>OR(AND(Page5_CAD_MCI!$L33&lt;&gt;0,Page5_CAD_MCI!$M33=0),AND(Page5_CAD_MCI!$M33&lt;&gt;0,Page5_CAD_MCI!$L33=0))</f>
        <v>0</v>
      </c>
      <c r="E1142" s="1454"/>
      <c r="F1142" s="1454"/>
      <c r="G1142" s="1444" t="str">
        <f t="shared" si="147"/>
        <v/>
      </c>
      <c r="H1142" s="1447" t="str">
        <f>IF(C1142=TRUE,Comments!$B$23,"")</f>
        <v/>
      </c>
      <c r="I1142" s="1446" t="str">
        <f>IF(D1142=TRUE,Comments!$B$24,"")</f>
        <v/>
      </c>
      <c r="J1142" s="1446"/>
      <c r="K1142" s="1452"/>
      <c r="N1142" s="611" t="str">
        <f>"CPTE # "&amp;Page5_CAD_MCI!$E$33&amp;"  "&amp;Page5_CAD_MCI!$C$33&amp;" - CHIFFRE D'AFFAIRES RÉALISÉ - AAD"</f>
        <v>CPTE # 428E  NE PAS UTILISER - CHIFFRE D'AFFAIRES RÉALISÉ - AAD</v>
      </c>
      <c r="O1142" s="611" t="str">
        <f t="shared" si="155"/>
        <v/>
      </c>
      <c r="P1142" s="611" t="str">
        <f t="shared" si="148"/>
        <v>Page5_CAD_MCI!L</v>
      </c>
      <c r="Q1142" s="611">
        <f t="shared" si="149"/>
        <v>33</v>
      </c>
      <c r="R1142" s="1447">
        <f t="shared" ca="1" si="150"/>
        <v>0</v>
      </c>
      <c r="S1142" s="1447">
        <f t="shared" ca="1" si="151"/>
        <v>0</v>
      </c>
      <c r="V1142" s="2557" t="str">
        <f t="shared" ca="1" si="152"/>
        <v/>
      </c>
      <c r="W1142" s="611" t="str">
        <f t="shared" ca="1" si="153"/>
        <v>Page5_CAD_MCI, Ligne 30 [Page5_CAD_MCI!L33]  -</v>
      </c>
    </row>
    <row r="1143" spans="1:23">
      <c r="A1143" s="1443" t="str">
        <f>celladdr(Page5_CAD_MCI!L34)</f>
        <v>Page5_CAD_MCI!L34</v>
      </c>
      <c r="B1143" s="1456" t="s">
        <v>1086</v>
      </c>
      <c r="C1143" s="1451" t="b">
        <f>Page5_CAD_MCI!$L$34&lt;0</f>
        <v>0</v>
      </c>
      <c r="D1143" s="1454" t="b">
        <f>OR(AND(Page5_CAD_MCI!$L34&lt;&gt;0,Page5_CAD_MCI!$M34=0),AND(Page5_CAD_MCI!$M34&lt;&gt;0,Page5_CAD_MCI!$L34=0))</f>
        <v>0</v>
      </c>
      <c r="E1143" s="1454"/>
      <c r="F1143" s="1454"/>
      <c r="G1143" s="1444" t="str">
        <f t="shared" si="147"/>
        <v/>
      </c>
      <c r="H1143" s="1447" t="str">
        <f>IF(C1143=TRUE,Comments!$B$23,"")</f>
        <v/>
      </c>
      <c r="I1143" s="1446" t="str">
        <f>IF(D1143=TRUE,Comments!$B$24,"")</f>
        <v/>
      </c>
      <c r="J1143" s="1446"/>
      <c r="K1143" s="1452"/>
      <c r="N1143" s="611" t="str">
        <f>"CPTE # "&amp;Page5_CAD_MCI!$E$34&amp;"  "&amp;Page5_CAD_MCI!$C$34&amp;" - CHIFFRE D'AFFAIRES RÉALISÉ - AAD"</f>
        <v>CPTE # 429E  NE PAS UTILISER - CHIFFRE D'AFFAIRES RÉALISÉ - AAD</v>
      </c>
      <c r="O1143" s="611" t="str">
        <f t="shared" si="155"/>
        <v/>
      </c>
      <c r="P1143" s="611" t="str">
        <f t="shared" si="148"/>
        <v>Page5_CAD_MCI!L</v>
      </c>
      <c r="Q1143" s="611">
        <f t="shared" si="149"/>
        <v>34</v>
      </c>
      <c r="R1143" s="1447">
        <f t="shared" ca="1" si="150"/>
        <v>0</v>
      </c>
      <c r="S1143" s="1447">
        <f t="shared" ca="1" si="151"/>
        <v>0</v>
      </c>
      <c r="V1143" s="2557" t="str">
        <f t="shared" ca="1" si="152"/>
        <v/>
      </c>
      <c r="W1143" s="611" t="str">
        <f t="shared" ca="1" si="153"/>
        <v>Page5_CAD_MCI, Ligne 31 [Page5_CAD_MCI!L34]  -</v>
      </c>
    </row>
    <row r="1144" spans="1:23">
      <c r="A1144" s="1443" t="str">
        <f>celladdr(Page5_CAD_MCI!L35)</f>
        <v>Page5_CAD_MCI!L35</v>
      </c>
      <c r="B1144" s="1456" t="s">
        <v>1086</v>
      </c>
      <c r="C1144" s="1451" t="b">
        <f>Page5_CAD_MCI!$L$35&lt;0</f>
        <v>0</v>
      </c>
      <c r="D1144" s="1454" t="b">
        <f>OR(AND(Page5_CAD_MCI!$L35&lt;&gt;0,Page5_CAD_MCI!$M35=0),AND(Page5_CAD_MCI!$M35&lt;&gt;0,Page5_CAD_MCI!$L35=0))</f>
        <v>0</v>
      </c>
      <c r="E1144" s="1454"/>
      <c r="F1144" s="1454"/>
      <c r="G1144" s="1444" t="str">
        <f t="shared" si="147"/>
        <v/>
      </c>
      <c r="H1144" s="1447" t="str">
        <f>IF(C1144=TRUE,Comments!$B$23,"")</f>
        <v/>
      </c>
      <c r="I1144" s="1446" t="str">
        <f>IF(D1144=TRUE,Comments!$B$24,"")</f>
        <v/>
      </c>
      <c r="J1144" s="1446"/>
      <c r="K1144" s="1452"/>
      <c r="N1144" s="611" t="str">
        <f>"CPTE # "&amp;Page5_CAD_MCI!$E$35&amp;"  "&amp;Page5_CAD_MCI!$C$35&amp;" - CHIFFRE D'AFFAIRES RÉALISÉ - AAD"</f>
        <v>CPTE # 430E  XT4 - CHIFFRE D'AFFAIRES RÉALISÉ - AAD</v>
      </c>
      <c r="O1144" s="611" t="str">
        <f t="shared" si="155"/>
        <v/>
      </c>
      <c r="P1144" s="611" t="str">
        <f t="shared" si="148"/>
        <v>Page5_CAD_MCI!L</v>
      </c>
      <c r="Q1144" s="611">
        <f t="shared" si="149"/>
        <v>35</v>
      </c>
      <c r="R1144" s="1447">
        <f t="shared" ca="1" si="150"/>
        <v>0</v>
      </c>
      <c r="S1144" s="1447">
        <f t="shared" ca="1" si="151"/>
        <v>0</v>
      </c>
      <c r="V1144" s="2557" t="str">
        <f t="shared" ca="1" si="152"/>
        <v/>
      </c>
      <c r="W1144" s="611" t="str">
        <f t="shared" ca="1" si="153"/>
        <v>Page5_CAD_MCI, Ligne 32 [Page5_CAD_MCI!L35]  -</v>
      </c>
    </row>
    <row r="1145" spans="1:23">
      <c r="A1145" s="1443" t="str">
        <f>celladdr(Page5_CAD_MCI!L36)</f>
        <v>Page5_CAD_MCI!L36</v>
      </c>
      <c r="B1145" s="1456" t="s">
        <v>1086</v>
      </c>
      <c r="C1145" s="1451" t="b">
        <f>Page5_CAD_MCI!$L$36&lt;0</f>
        <v>0</v>
      </c>
      <c r="D1145" s="1454" t="b">
        <f>OR(AND(Page5_CAD_MCI!$L36&lt;&gt;0,Page5_CAD_MCI!$M36=0),AND(Page5_CAD_MCI!$M36&lt;&gt;0,Page5_CAD_MCI!$L36=0))</f>
        <v>0</v>
      </c>
      <c r="E1145" s="1454"/>
      <c r="F1145" s="1454"/>
      <c r="G1145" s="1444" t="str">
        <f t="shared" si="147"/>
        <v/>
      </c>
      <c r="H1145" s="1447" t="str">
        <f>IF(C1145=TRUE,Comments!$B$23,"")</f>
        <v/>
      </c>
      <c r="I1145" s="1446" t="str">
        <f>IF(D1145=TRUE,Comments!$B$24,"")</f>
        <v/>
      </c>
      <c r="J1145" s="1446"/>
      <c r="K1145" s="1452"/>
      <c r="N1145" s="611" t="str">
        <f>"CPTE # "&amp;Page5_CAD_MCI!$E$36&amp;"  "&amp;Page5_CAD_MCI!$C$36&amp;" - CHIFFRE D'AFFAIRES RÉALISÉ - AAD"</f>
        <v>CPTE # 431E  XT5 - CHIFFRE D'AFFAIRES RÉALISÉ - AAD</v>
      </c>
      <c r="O1145" s="611" t="str">
        <f t="shared" si="155"/>
        <v/>
      </c>
      <c r="P1145" s="611" t="str">
        <f t="shared" si="148"/>
        <v>Page5_CAD_MCI!L</v>
      </c>
      <c r="Q1145" s="611">
        <f t="shared" si="149"/>
        <v>36</v>
      </c>
      <c r="R1145" s="1447">
        <f t="shared" ca="1" si="150"/>
        <v>0</v>
      </c>
      <c r="S1145" s="1447">
        <f t="shared" ca="1" si="151"/>
        <v>0</v>
      </c>
      <c r="V1145" s="2557" t="str">
        <f t="shared" ca="1" si="152"/>
        <v/>
      </c>
      <c r="W1145" s="611" t="str">
        <f t="shared" ca="1" si="153"/>
        <v>Page5_CAD_MCI, Ligne 33 [Page5_CAD_MCI!L36]  -</v>
      </c>
    </row>
    <row r="1146" spans="1:23">
      <c r="A1146" s="1443" t="str">
        <f>celladdr(Page5_CAD_MCI!L37)</f>
        <v>Page5_CAD_MCI!L37</v>
      </c>
      <c r="B1146" s="1456" t="s">
        <v>1086</v>
      </c>
      <c r="C1146" s="1451" t="b">
        <f>Page5_CAD_MCI!$L$37&lt;0</f>
        <v>0</v>
      </c>
      <c r="D1146" s="1454" t="b">
        <f>OR(AND(Page5_CAD_MCI!$L37&lt;&gt;0,Page5_CAD_MCI!$M37=0),AND(Page5_CAD_MCI!$M37&lt;&gt;0,Page5_CAD_MCI!$L37=0))</f>
        <v>0</v>
      </c>
      <c r="E1146" s="1454"/>
      <c r="F1146" s="1454"/>
      <c r="G1146" s="1444" t="str">
        <f t="shared" si="147"/>
        <v/>
      </c>
      <c r="H1146" s="1447" t="str">
        <f>IF(C1146=TRUE,Comments!$B$23,"")</f>
        <v/>
      </c>
      <c r="I1146" s="1446" t="str">
        <f>IF(D1146=TRUE,Comments!$B$24,"")</f>
        <v/>
      </c>
      <c r="J1146" s="1446"/>
      <c r="K1146" s="1452"/>
      <c r="N1146" s="611" t="str">
        <f>"CPTE # "&amp;Page5_CAD_MCI!$E$37&amp;"  "&amp;Page5_CAD_MCI!$C$37&amp;" - CHIFFRE D'AFFAIRES RÉALISÉ - AAD"</f>
        <v>CPTE # 432E  XT6 - CHIFFRE D'AFFAIRES RÉALISÉ - AAD</v>
      </c>
      <c r="O1146" s="611" t="str">
        <f t="shared" si="155"/>
        <v/>
      </c>
      <c r="P1146" s="611" t="str">
        <f t="shared" si="148"/>
        <v>Page5_CAD_MCI!L</v>
      </c>
      <c r="Q1146" s="611">
        <f t="shared" si="149"/>
        <v>37</v>
      </c>
      <c r="R1146" s="1447">
        <f t="shared" ca="1" si="150"/>
        <v>0</v>
      </c>
      <c r="S1146" s="1447">
        <f t="shared" ca="1" si="151"/>
        <v>0</v>
      </c>
      <c r="V1146" s="2557" t="str">
        <f t="shared" ca="1" si="152"/>
        <v/>
      </c>
      <c r="W1146" s="611" t="str">
        <f t="shared" ca="1" si="153"/>
        <v>Page5_CAD_MCI, Ligne 34 [Page5_CAD_MCI!L37]  -</v>
      </c>
    </row>
    <row r="1147" spans="1:23">
      <c r="A1147" s="1443" t="str">
        <f>celladdr(Page5_CAD_MCI!L38)</f>
        <v>Page5_CAD_MCI!L38</v>
      </c>
      <c r="B1147" s="1456" t="s">
        <v>1086</v>
      </c>
      <c r="C1147" s="1451" t="b">
        <f>Page5_CAD_MCI!$L$38&lt;0</f>
        <v>0</v>
      </c>
      <c r="D1147" s="1454" t="b">
        <f>OR(AND(Page5_CAD_MCI!$L38&lt;&gt;0,Page5_CAD_MCI!$M38=0),AND(Page5_CAD_MCI!$M38&lt;&gt;0,Page5_CAD_MCI!$L38=0))</f>
        <v>0</v>
      </c>
      <c r="E1147" s="1454"/>
      <c r="F1147" s="1454"/>
      <c r="G1147" s="1444" t="str">
        <f t="shared" si="147"/>
        <v/>
      </c>
      <c r="H1147" s="1447" t="str">
        <f>IF(C1147=TRUE,Comments!$B$23,"")</f>
        <v/>
      </c>
      <c r="I1147" s="1446" t="str">
        <f>IF(D1147=TRUE,Comments!$B$24,"")</f>
        <v/>
      </c>
      <c r="J1147" s="1446"/>
      <c r="K1147" s="1452"/>
      <c r="N1147" s="611" t="str">
        <f>"CPTE # "&amp;Page5_CAD_MCI!$E$38&amp;"  "&amp;Page5_CAD_MCI!$C$38&amp;" - CHIFFRE D'AFFAIRES RÉALISÉ - AAD"</f>
        <v>CPTE # 433E  NE PAS UTILISER - CHIFFRE D'AFFAIRES RÉALISÉ - AAD</v>
      </c>
      <c r="O1147" s="611" t="str">
        <f t="shared" si="155"/>
        <v/>
      </c>
      <c r="P1147" s="611" t="str">
        <f t="shared" si="148"/>
        <v>Page5_CAD_MCI!L</v>
      </c>
      <c r="Q1147" s="611">
        <f t="shared" si="149"/>
        <v>38</v>
      </c>
      <c r="R1147" s="1447">
        <f t="shared" ca="1" si="150"/>
        <v>0</v>
      </c>
      <c r="S1147" s="1447">
        <f t="shared" ca="1" si="151"/>
        <v>0</v>
      </c>
      <c r="V1147" s="2557" t="str">
        <f t="shared" ca="1" si="152"/>
        <v/>
      </c>
      <c r="W1147" s="611" t="str">
        <f t="shared" ca="1" si="153"/>
        <v>Page5_CAD_MCI, Ligne 35 [Page5_CAD_MCI!L38]  -</v>
      </c>
    </row>
    <row r="1148" spans="1:23">
      <c r="A1148" s="1443" t="str">
        <f>celladdr(Page5_CAD_MCI!L39)</f>
        <v>Page5_CAD_MCI!L39</v>
      </c>
      <c r="B1148" s="1456" t="s">
        <v>1086</v>
      </c>
      <c r="C1148" s="1451" t="b">
        <f>Page5_CAD_MCI!$L$39&lt;0</f>
        <v>0</v>
      </c>
      <c r="D1148" s="1454" t="b">
        <f>OR(AND(Page5_CAD_MCI!$L39&lt;&gt;0,Page5_CAD_MCI!$M39=0),AND(Page5_CAD_MCI!$M39&lt;&gt;0,Page5_CAD_MCI!$L39=0))</f>
        <v>0</v>
      </c>
      <c r="E1148" s="1454"/>
      <c r="F1148" s="1454"/>
      <c r="G1148" s="1444" t="str">
        <f t="shared" si="147"/>
        <v/>
      </c>
      <c r="H1148" s="1447" t="str">
        <f>IF(C1148=TRUE,Comments!$B$23,"")</f>
        <v/>
      </c>
      <c r="I1148" s="1446" t="str">
        <f>IF(D1148=TRUE,Comments!$B$24,"")</f>
        <v/>
      </c>
      <c r="J1148" s="1446"/>
      <c r="K1148" s="1452"/>
      <c r="N1148" s="611" t="str">
        <f>"CPTE # "&amp;Page5_CAD_MCI!$E$39&amp;"  "&amp;Page5_CAD_MCI!$C$39&amp;" - CHIFFRE D'AFFAIRES RÉALISÉ - AAD"</f>
        <v>CPTE # 434E  ESCALADE V - CHIFFRE D'AFFAIRES RÉALISÉ - AAD</v>
      </c>
      <c r="O1148" s="611" t="str">
        <f t="shared" si="155"/>
        <v/>
      </c>
      <c r="P1148" s="611" t="str">
        <f t="shared" si="148"/>
        <v>Page5_CAD_MCI!L</v>
      </c>
      <c r="Q1148" s="611">
        <f t="shared" si="149"/>
        <v>39</v>
      </c>
      <c r="R1148" s="1447">
        <f t="shared" ca="1" si="150"/>
        <v>0</v>
      </c>
      <c r="S1148" s="1447">
        <f t="shared" ca="1" si="151"/>
        <v>0</v>
      </c>
      <c r="V1148" s="2557" t="str">
        <f t="shared" ca="1" si="152"/>
        <v/>
      </c>
      <c r="W1148" s="611" t="str">
        <f t="shared" ca="1" si="153"/>
        <v>Page5_CAD_MCI, Ligne 36 [Page5_CAD_MCI!L39]  -</v>
      </c>
    </row>
    <row r="1149" spans="1:23">
      <c r="A1149" s="1443" t="str">
        <f>celladdr(Page5_CAD_MCI!L40)</f>
        <v>Page5_CAD_MCI!L40</v>
      </c>
      <c r="B1149" s="1456" t="s">
        <v>1086</v>
      </c>
      <c r="C1149" s="1451" t="b">
        <f>Page5_CAD_MCI!$L$40&lt;0</f>
        <v>0</v>
      </c>
      <c r="D1149" s="1454" t="b">
        <f>OR(AND(Page5_CAD_MCI!$L40&lt;&gt;0,Page5_CAD_MCI!$M40=0),AND(Page5_CAD_MCI!$M40&lt;&gt;0,Page5_CAD_MCI!$L40=0))</f>
        <v>0</v>
      </c>
      <c r="E1149" s="1454"/>
      <c r="F1149" s="1454"/>
      <c r="G1149" s="1444" t="str">
        <f t="shared" si="147"/>
        <v/>
      </c>
      <c r="H1149" s="1447" t="str">
        <f>IF(C1149=TRUE,Comments!$B$23,"")</f>
        <v/>
      </c>
      <c r="I1149" s="1446" t="str">
        <f>IF(D1149=TRUE,Comments!$B$24,"")</f>
        <v/>
      </c>
      <c r="J1149" s="1446"/>
      <c r="K1149" s="1452"/>
      <c r="N1149" s="611" t="str">
        <f>"CPTE # "&amp;Page5_CAD_MCI!$E$40&amp;"  "&amp;Page5_CAD_MCI!$C$40&amp;" - CHIFFRE D'AFFAIRES RÉALISÉ - AAD"</f>
        <v>CPTE # 435E  NE PAS UTILISER - CHIFFRE D'AFFAIRES RÉALISÉ - AAD</v>
      </c>
      <c r="O1149" s="611" t="str">
        <f t="shared" si="155"/>
        <v/>
      </c>
      <c r="P1149" s="611" t="str">
        <f t="shared" si="148"/>
        <v>Page5_CAD_MCI!L</v>
      </c>
      <c r="Q1149" s="611">
        <f t="shared" si="149"/>
        <v>40</v>
      </c>
      <c r="R1149" s="1447">
        <f t="shared" ca="1" si="150"/>
        <v>0</v>
      </c>
      <c r="S1149" s="1447">
        <f t="shared" ca="1" si="151"/>
        <v>0</v>
      </c>
      <c r="V1149" s="2557" t="str">
        <f t="shared" ca="1" si="152"/>
        <v/>
      </c>
      <c r="W1149" s="611" t="str">
        <f t="shared" ca="1" si="153"/>
        <v>Page5_CAD_MCI, Ligne 37 [Page5_CAD_MCI!L40]  -</v>
      </c>
    </row>
    <row r="1150" spans="1:23">
      <c r="A1150" s="1443" t="str">
        <f>celladdr(Page5_CAD_MCI!L41)</f>
        <v>Page5_CAD_MCI!L41</v>
      </c>
      <c r="B1150" s="1456" t="s">
        <v>1086</v>
      </c>
      <c r="C1150" s="1451" t="b">
        <f>Page5_CAD_MCI!$L$41&lt;0</f>
        <v>0</v>
      </c>
      <c r="D1150" s="1454" t="b">
        <f>OR(AND(Page5_CAD_MCI!$L41&lt;&gt;0,Page5_CAD_MCI!$M41=0),AND(Page5_CAD_MCI!$M41&lt;&gt;0,Page5_CAD_MCI!$L41=0))</f>
        <v>0</v>
      </c>
      <c r="E1150" s="1454"/>
      <c r="F1150" s="1454"/>
      <c r="G1150" s="1444" t="str">
        <f t="shared" si="147"/>
        <v/>
      </c>
      <c r="H1150" s="1447" t="str">
        <f>IF(C1150=TRUE,Comments!$B$23,"")</f>
        <v/>
      </c>
      <c r="I1150" s="1446" t="str">
        <f>IF(D1150=TRUE,Comments!$B$24,"")</f>
        <v/>
      </c>
      <c r="J1150" s="1446"/>
      <c r="K1150" s="1452"/>
      <c r="N1150" s="611" t="str">
        <f>"CPTE # "&amp;Page5_CAD_MCI!$E$41&amp;"  "&amp;Page5_CAD_MCI!$C$41&amp;" - CHIFFRE D'AFFAIRES RÉALISÉ - AAD"</f>
        <v>CPTE # 436E  NE PAS UTILISER - CHIFFRE D'AFFAIRES RÉALISÉ - AAD</v>
      </c>
      <c r="O1150" s="611" t="str">
        <f t="shared" si="155"/>
        <v/>
      </c>
      <c r="P1150" s="611" t="str">
        <f t="shared" si="148"/>
        <v>Page5_CAD_MCI!L</v>
      </c>
      <c r="Q1150" s="611">
        <f t="shared" si="149"/>
        <v>41</v>
      </c>
      <c r="R1150" s="1447">
        <f t="shared" ca="1" si="150"/>
        <v>0</v>
      </c>
      <c r="S1150" s="1447">
        <f t="shared" ca="1" si="151"/>
        <v>0</v>
      </c>
      <c r="V1150" s="2557" t="str">
        <f t="shared" ca="1" si="152"/>
        <v/>
      </c>
      <c r="W1150" s="611" t="str">
        <f t="shared" ca="1" si="153"/>
        <v>Page5_CAD_MCI, Ligne 38 [Page5_CAD_MCI!L41]  -</v>
      </c>
    </row>
    <row r="1151" spans="1:23">
      <c r="A1151" s="1443" t="str">
        <f>celladdr(Page5_CAD_MCI!L42)</f>
        <v>Page5_CAD_MCI!L42</v>
      </c>
      <c r="B1151" s="1456" t="s">
        <v>1086</v>
      </c>
      <c r="C1151" s="1451" t="b">
        <f>Page5_CAD_MCI!$L$42&lt;0</f>
        <v>0</v>
      </c>
      <c r="D1151" s="1454"/>
      <c r="E1151" s="1454"/>
      <c r="F1151" s="1454"/>
      <c r="G1151" s="1444" t="str">
        <f t="shared" si="147"/>
        <v/>
      </c>
      <c r="H1151" s="1447" t="str">
        <f>IF(C1151=TRUE,Comments!$B$23,"")</f>
        <v/>
      </c>
      <c r="I1151" s="1446"/>
      <c r="J1151" s="1446"/>
      <c r="K1151" s="1452"/>
      <c r="N1151" s="611" t="str">
        <f>"CPTE # "&amp;Page5_CAD_MCI!$E$42&amp;"  "&amp;Page5_CAD_MCI!$C$42&amp;" - CHIFFRE D'AFFAIRES RÉALISÉ - AAD"</f>
        <v>CPTE # 437E  POUR USAGE FUTUR - CHIFFRE D'AFFAIRES RÉALISÉ - AAD</v>
      </c>
      <c r="O1151" s="611" t="str">
        <f t="shared" si="155"/>
        <v/>
      </c>
      <c r="P1151" s="611" t="str">
        <f t="shared" si="148"/>
        <v>Page5_CAD_MCI!L</v>
      </c>
      <c r="Q1151" s="611">
        <f t="shared" si="149"/>
        <v>42</v>
      </c>
      <c r="R1151" s="1447">
        <f t="shared" ca="1" si="150"/>
        <v>0</v>
      </c>
      <c r="S1151" s="1447">
        <f t="shared" ca="1" si="151"/>
        <v>0</v>
      </c>
      <c r="V1151" s="2557" t="str">
        <f t="shared" ca="1" si="152"/>
        <v/>
      </c>
      <c r="W1151" s="611" t="str">
        <f t="shared" ca="1" si="153"/>
        <v>Page5_CAD_MCI, Ligne 39 [Page5_CAD_MCI!L42]  -</v>
      </c>
    </row>
    <row r="1152" spans="1:23">
      <c r="A1152" s="1443" t="str">
        <f>celladdr(Page5_CAD_MCI!L43)</f>
        <v>Page5_CAD_MCI!L43</v>
      </c>
      <c r="B1152" s="1456" t="s">
        <v>1086</v>
      </c>
      <c r="C1152" s="1451" t="b">
        <f>Page5_CAD_MCI!$L$43&lt;0</f>
        <v>0</v>
      </c>
      <c r="D1152" s="1454" t="b">
        <f>OR(AND(Page5_CAD_MCI!$L43&lt;&gt;0,Page5_CAD_MCI!$M43=0),AND(Page5_CAD_MCI!$M43&lt;&gt;0,Page5_CAD_MCI!$L43=0))</f>
        <v>0</v>
      </c>
      <c r="E1152" s="1454"/>
      <c r="F1152" s="1454"/>
      <c r="G1152" s="1444" t="str">
        <f t="shared" si="147"/>
        <v/>
      </c>
      <c r="H1152" s="1447" t="str">
        <f>IF(C1152=TRUE,Comments!$B$23,"")</f>
        <v/>
      </c>
      <c r="I1152" s="1446" t="str">
        <f>IF(D1152=TRUE,Comments!$B$24,"")</f>
        <v/>
      </c>
      <c r="J1152" s="1446"/>
      <c r="K1152" s="1452"/>
      <c r="N1152" s="611" t="str">
        <f>"CPTE # "&amp;Page5_CAD_MCI!$E$43&amp;"  "&amp;Page5_CAD_MCI!$C$43&amp;" - CHIFFRE D'AFFAIRES RÉALISÉ - AAD"</f>
        <v>CPTE # 438E  AUTRES CAMIONS CADILLAC - CHIFFRE D'AFFAIRES RÉALISÉ - AAD</v>
      </c>
      <c r="O1152" s="611" t="str">
        <f t="shared" si="155"/>
        <v/>
      </c>
      <c r="P1152" s="611" t="str">
        <f t="shared" si="148"/>
        <v>Page5_CAD_MCI!L</v>
      </c>
      <c r="Q1152" s="611">
        <f t="shared" si="149"/>
        <v>43</v>
      </c>
      <c r="R1152" s="1447">
        <f t="shared" ca="1" si="150"/>
        <v>0</v>
      </c>
      <c r="S1152" s="1447">
        <f t="shared" ca="1" si="151"/>
        <v>0</v>
      </c>
      <c r="V1152" s="2557" t="str">
        <f t="shared" ca="1" si="152"/>
        <v/>
      </c>
      <c r="W1152" s="611" t="str">
        <f t="shared" ca="1" si="153"/>
        <v>Page5_CAD_MCI, Ligne 40 [Page5_CAD_MCI!L43]  -</v>
      </c>
    </row>
    <row r="1153" spans="1:23">
      <c r="A1153" s="1443" t="str">
        <f>celladdr(Page5_CAD_MCI!L44)</f>
        <v>Page5_CAD_MCI!L44</v>
      </c>
      <c r="B1153" s="1444" t="s">
        <v>1086</v>
      </c>
      <c r="C1153" s="1451"/>
      <c r="D1153" s="1454"/>
      <c r="E1153" s="1454"/>
      <c r="F1153" s="1454"/>
      <c r="G1153" s="1444" t="str">
        <f t="shared" si="147"/>
        <v/>
      </c>
      <c r="H1153" s="1447" t="str">
        <f>IF(C1153=TRUE,Comments!$B$26,"")</f>
        <v/>
      </c>
      <c r="I1153" s="1446" t="str">
        <f>IF(D1153=TRUE,Comments!$B$24,"")</f>
        <v/>
      </c>
      <c r="J1153" s="1446"/>
      <c r="K1153" s="1452"/>
      <c r="O1153" s="611" t="str">
        <f t="shared" si="155"/>
        <v/>
      </c>
      <c r="P1153" s="611" t="str">
        <f t="shared" si="148"/>
        <v>Page5_CAD_MCI!L</v>
      </c>
      <c r="Q1153" s="611">
        <f t="shared" si="149"/>
        <v>44</v>
      </c>
      <c r="R1153" s="1447">
        <f t="shared" ca="1" si="150"/>
        <v>0</v>
      </c>
      <c r="S1153" s="1447">
        <f t="shared" ca="1" si="151"/>
        <v>0</v>
      </c>
      <c r="V1153" s="2557" t="str">
        <f t="shared" ca="1" si="152"/>
        <v/>
      </c>
      <c r="W1153" s="611" t="str">
        <f t="shared" ca="1" si="153"/>
        <v>Page5_CAD_MCI, Ligne 41 [Page5_CAD_MCI!L44]  -</v>
      </c>
    </row>
    <row r="1154" spans="1:23">
      <c r="A1154" s="1443" t="str">
        <f>celladdr(Page5_CAD_MCI!L45)</f>
        <v>Page5_CAD_MCI!L45</v>
      </c>
      <c r="B1154" s="1456" t="s">
        <v>1086</v>
      </c>
      <c r="C1154" s="1451" t="b">
        <f>Page5_CAD_MCI!$L$45&lt;0</f>
        <v>0</v>
      </c>
      <c r="D1154" s="1454" t="b">
        <f>OR(AND(Page5_CAD_MCI!$L45&lt;&gt;0,Page5_CAD_MCI!$M45=0),AND(Page5_CAD_MCI!$M45&lt;&gt;0,Page5_CAD_MCI!$L45=0))</f>
        <v>0</v>
      </c>
      <c r="E1154" s="1454"/>
      <c r="F1154" s="1454"/>
      <c r="G1154" s="1444" t="str">
        <f t="shared" ref="G1154:G1217" si="156">IF(H1154&amp;I1154&amp;J1154&amp;K1154&lt;&gt;"","No.de ref. du commentaire.: "&amp;W1154&amp;" "&amp;N1154&amp;" "&amp;H1154&amp;I1154&amp;IF(OR(C1154=TRUE,D1154=TRUE),"",J1154&amp;K1154&amp;V1154),"")</f>
        <v/>
      </c>
      <c r="H1154" s="1447" t="str">
        <f>IF(C1154=TRUE,Comments!$B$23,"")</f>
        <v/>
      </c>
      <c r="I1154" s="1446" t="str">
        <f>IF(D1154=TRUE,Comments!$B$24,"")</f>
        <v/>
      </c>
      <c r="J1154" s="1446"/>
      <c r="K1154" s="1452"/>
      <c r="N1154" s="611" t="str">
        <f>"CPTE # "&amp;Page5_CAD_MCI!$E$45&amp;"  "&amp;Page5_CAD_MCI!$C$45&amp;" - CHIFFRE D'AFFAIRES RÉALISÉ - AAD"</f>
        <v>CPTE # 439E  MÉMO* VENTES INTERNET CAMIONS - CHIFFRE D'AFFAIRES RÉALISÉ - AAD</v>
      </c>
      <c r="O1154" s="611" t="str">
        <f t="shared" si="155"/>
        <v/>
      </c>
      <c r="P1154" s="611" t="str">
        <f t="shared" ref="P1154:P1217" si="157">LEFT(A1154,FIND("!",A1154)+1)</f>
        <v>Page5_CAD_MCI!L</v>
      </c>
      <c r="Q1154" s="611">
        <f t="shared" ref="Q1154:Q1217" si="158">VALUE(RIGHT(A1154,LEN(A1154)-FIND("!",A1154)-1))</f>
        <v>45</v>
      </c>
      <c r="R1154" s="1447">
        <f t="shared" ref="R1154:R1217" ca="1" si="159">IF(E1154=TRUE,INDIRECT("Comments!$D$"&amp;T1154),0)</f>
        <v>0</v>
      </c>
      <c r="S1154" s="1447">
        <f t="shared" ref="S1154:S1217" ca="1" si="160">IF(F1154=TRUE,INDIRECT("Comments!$D$"&amp;U1154),0)</f>
        <v>0</v>
      </c>
      <c r="V1154" s="2557" t="str">
        <f t="shared" ref="V1154:V1217" ca="1" si="161">IF(SUM(R1154+S1154)=0,"","
*** "&amp;TEXT(SUM(R1154+S1154),"0,0")&amp;" Points de précision seront déduits suite à cette(ces) erreur(s) !")</f>
        <v/>
      </c>
      <c r="W1154" s="611" t="str">
        <f t="shared" ref="W1154:W1217" ca="1" si="162">LEFT(A1154,FIND("!",A1154,1)-1)&amp;", Ligne "&amp;INDIRECT(ADDRESS(ROW(INDIRECT(A1154)),IF(INDIRECT(ADDRESS(ROW(INDIRECT(A1154)),1,,,LEFT(A1154,FIND("!",A1154,1)-1)))="",2,1),,,LEFT(A1154,FIND("!",A1154,1)-1)))&amp;" ["&amp;A1154&amp;"] "&amp;" -"</f>
        <v>Page5_CAD_MCI, Ligne 42 [Page5_CAD_MCI!L45]  -</v>
      </c>
    </row>
    <row r="1155" spans="1:23">
      <c r="A1155" s="1443" t="str">
        <f>celladdr(Page5_CAD_MCI!L46)</f>
        <v>Page5_CAD_MCI!L46</v>
      </c>
      <c r="B1155" s="1456" t="s">
        <v>1086</v>
      </c>
      <c r="C1155" s="1451" t="b">
        <f>Page5_CAD_MCI!$L$46&lt;0</f>
        <v>0</v>
      </c>
      <c r="D1155" s="1454" t="b">
        <f>OR(AND(Page5_CAD_MCI!$L46&lt;&gt;0,Page5_CAD_MCI!$M46=0),AND(Page5_CAD_MCI!$M46&lt;&gt;0,Page5_CAD_MCI!$L46=0))</f>
        <v>0</v>
      </c>
      <c r="E1155" s="1454" t="b">
        <f>ROUND(Page5_CAD_MCI!L46 + Page5_BUI_MCI!L46,2)&lt;&gt;ROUND(Page5_PARCS_GOUV!L14+Page5_PARCS_GOUV!L16+Page5_PARCS_GOUV!L18+Page5_PARCS_GOUV!L50+Page5_PARCS_GOUV!L52+Page5_PARCS_GOUV!L54,2)</f>
        <v>0</v>
      </c>
      <c r="F1155" s="1454"/>
      <c r="G1155" s="1444" t="str">
        <f t="shared" si="156"/>
        <v/>
      </c>
      <c r="H1155" s="1447" t="str">
        <f>IF(C1155=TRUE,Comments!$B$23,"")</f>
        <v/>
      </c>
      <c r="I1155" s="1446" t="str">
        <f>IF(D1155=TRUE,Comments!$B$24,"")</f>
        <v/>
      </c>
      <c r="J1155" s="1446" t="str">
        <f>IF(E1155=TRUE, Comments!$B$101,"")</f>
        <v/>
      </c>
      <c r="K1155" s="1452"/>
      <c r="N1155" s="611" t="str">
        <f>"CPTE # "&amp;Page5_CAD_MCI!$E$46&amp;"  "&amp;Page5_CAD_MCI!$C$46&amp;" - CHIFFRE D'AFFAIRES RÉALISÉ - AAD"</f>
        <v>CPTE # DE PG PARCS  TOTAL PARCS - CAMIONS - CHIFFRE D'AFFAIRES RÉALISÉ - AAD</v>
      </c>
      <c r="O1155" s="611" t="str">
        <f t="shared" si="155"/>
        <v/>
      </c>
      <c r="P1155" s="611" t="str">
        <f t="shared" si="157"/>
        <v>Page5_CAD_MCI!L</v>
      </c>
      <c r="Q1155" s="611">
        <f t="shared" si="158"/>
        <v>46</v>
      </c>
      <c r="R1155" s="1447">
        <f t="shared" ca="1" si="159"/>
        <v>0</v>
      </c>
      <c r="S1155" s="1447">
        <f t="shared" ca="1" si="160"/>
        <v>0</v>
      </c>
      <c r="T1155" s="611">
        <v>101</v>
      </c>
      <c r="V1155" s="2557" t="str">
        <f t="shared" ca="1" si="161"/>
        <v/>
      </c>
      <c r="W1155" s="611" t="str">
        <f t="shared" ca="1" si="162"/>
        <v>Page5_CAD_MCI, Ligne 43 [Page5_CAD_MCI!L46]  -</v>
      </c>
    </row>
    <row r="1156" spans="1:23">
      <c r="A1156" s="1443" t="str">
        <f>celladdr(Page5_CAD_MCI!N46)</f>
        <v>Page5_CAD_MCI!N46</v>
      </c>
      <c r="B1156" s="1456" t="s">
        <v>1086</v>
      </c>
      <c r="C1156" s="1451"/>
      <c r="D1156" s="1454"/>
      <c r="E1156" s="1454" t="b">
        <f>ROUND(Page5_CAD_MCI!N46 + Page5_BUI_MCI!N46,2)&lt;&gt;ROUND(Page5_PARCS_GOUV!N14+Page5_PARCS_GOUV!N16+Page5_PARCS_GOUV!N18+Page5_PARCS_GOUV!N50+Page5_PARCS_GOUV!N52+Page5_PARCS_GOUV!N54,2)</f>
        <v>0</v>
      </c>
      <c r="F1156" s="1454"/>
      <c r="G1156" s="1444" t="str">
        <f t="shared" si="156"/>
        <v/>
      </c>
      <c r="I1156" s="1446"/>
      <c r="J1156" s="1446" t="str">
        <f>IF(E1156=TRUE, Comments!$B$102,"")</f>
        <v/>
      </c>
      <c r="K1156" s="1452"/>
      <c r="N1156" s="611" t="str">
        <f>"CPTE # "&amp;Page5_CAD_MCI!$E$46&amp;"  "&amp;Page5_CAD_MCI!$C$46&amp;" - PROFIT BRUT - AAD"</f>
        <v>CPTE # DE PG PARCS  TOTAL PARCS - CAMIONS - PROFIT BRUT - AAD</v>
      </c>
      <c r="O1156" s="611" t="str">
        <f t="shared" si="155"/>
        <v/>
      </c>
      <c r="P1156" s="611" t="str">
        <f t="shared" si="157"/>
        <v>Page5_CAD_MCI!N</v>
      </c>
      <c r="Q1156" s="611">
        <f t="shared" si="158"/>
        <v>46</v>
      </c>
      <c r="R1156" s="1447">
        <f t="shared" ca="1" si="159"/>
        <v>0</v>
      </c>
      <c r="S1156" s="1447">
        <f t="shared" ca="1" si="160"/>
        <v>0</v>
      </c>
      <c r="T1156" s="611">
        <v>102</v>
      </c>
      <c r="V1156" s="2557" t="str">
        <f t="shared" ca="1" si="161"/>
        <v/>
      </c>
      <c r="W1156" s="611" t="str">
        <f t="shared" ca="1" si="162"/>
        <v>Page5_CAD_MCI, Ligne 43 [Page5_CAD_MCI!N46]  -</v>
      </c>
    </row>
    <row r="1157" spans="1:23">
      <c r="A1157" s="1443" t="str">
        <f>celladdr(Page5_CAD_MCI!L47)</f>
        <v>Page5_CAD_MCI!L47</v>
      </c>
      <c r="B1157" s="1456" t="s">
        <v>1086</v>
      </c>
      <c r="C1157" s="1451" t="b">
        <f>Page5_CAD_MCI!$L$47&lt;0</f>
        <v>0</v>
      </c>
      <c r="D1157" s="1454" t="b">
        <f>OR(AND(Page5_CAD_MCI!$L47&lt;&gt;0,Page5_CAD_MCI!$M47=0),AND(Page5_CAD_MCI!$M47&lt;&gt;0,Page5_CAD_MCI!$L47=0))</f>
        <v>0</v>
      </c>
      <c r="E1157" s="1454"/>
      <c r="F1157" s="1454"/>
      <c r="G1157" s="1444" t="str">
        <f t="shared" si="156"/>
        <v/>
      </c>
      <c r="H1157" s="1447" t="str">
        <f>IF(C1157=TRUE,Comments!$B$23,"")</f>
        <v/>
      </c>
      <c r="I1157" s="1446" t="str">
        <f>IF(D1157=TRUE,Comments!$B$24,"")</f>
        <v/>
      </c>
      <c r="J1157" s="1446"/>
      <c r="K1157" s="1452"/>
      <c r="N1157" s="611" t="str">
        <f>"CPTE # "&amp;Page5_CAD_MCI!$E$47&amp;"  "&amp;Page5_CAD_MCI!$C$47&amp;" - CHIFFRE D'AFFAIRES RÉALISÉ - AAD"</f>
        <v>CPTE # 441E  TOTAL IINTERNE - CAMIONS  - CHIFFRE D'AFFAIRES RÉALISÉ - AAD</v>
      </c>
      <c r="O1157" s="611" t="str">
        <f>IF(A1157=A1155,"TRUE","")</f>
        <v/>
      </c>
      <c r="P1157" s="611" t="str">
        <f t="shared" si="157"/>
        <v>Page5_CAD_MCI!L</v>
      </c>
      <c r="Q1157" s="611">
        <f t="shared" si="158"/>
        <v>47</v>
      </c>
      <c r="R1157" s="1447">
        <f t="shared" ca="1" si="159"/>
        <v>0</v>
      </c>
      <c r="S1157" s="1447">
        <f t="shared" ca="1" si="160"/>
        <v>0</v>
      </c>
      <c r="V1157" s="2557" t="str">
        <f t="shared" ca="1" si="161"/>
        <v/>
      </c>
      <c r="W1157" s="611" t="str">
        <f t="shared" ca="1" si="162"/>
        <v>Page5_CAD_MCI, Ligne 44 [Page5_CAD_MCI!L47]  -</v>
      </c>
    </row>
    <row r="1158" spans="1:23">
      <c r="A1158" s="1443" t="str">
        <f>celladdr(Page5_CAD_MCI!L48)</f>
        <v>Page5_CAD_MCI!L48</v>
      </c>
      <c r="B1158" s="1444" t="s">
        <v>1086</v>
      </c>
      <c r="C1158" s="1451"/>
      <c r="D1158" s="1454"/>
      <c r="E1158" s="1454"/>
      <c r="F1158" s="1454"/>
      <c r="G1158" s="1444" t="str">
        <f t="shared" si="156"/>
        <v/>
      </c>
      <c r="H1158" s="1447" t="str">
        <f>IF(C1158=TRUE,Comments!$B$26,"")</f>
        <v/>
      </c>
      <c r="I1158" s="1446" t="str">
        <f>IF(D1158=TRUE,Comments!$B$24,"")</f>
        <v/>
      </c>
      <c r="J1158" s="1446"/>
      <c r="K1158" s="1452"/>
      <c r="O1158" s="611" t="str">
        <f t="shared" ref="O1158:O1189" si="163">IF(A1158=A1157,"TRUE","")</f>
        <v/>
      </c>
      <c r="P1158" s="611" t="str">
        <f t="shared" si="157"/>
        <v>Page5_CAD_MCI!L</v>
      </c>
      <c r="Q1158" s="611">
        <f t="shared" si="158"/>
        <v>48</v>
      </c>
      <c r="R1158" s="1447">
        <f t="shared" ca="1" si="159"/>
        <v>0</v>
      </c>
      <c r="S1158" s="1447">
        <f t="shared" ca="1" si="160"/>
        <v>0</v>
      </c>
      <c r="V1158" s="2557" t="str">
        <f t="shared" ca="1" si="161"/>
        <v/>
      </c>
      <c r="W1158" s="611" t="str">
        <f t="shared" ca="1" si="162"/>
        <v>Page5_CAD_MCI, Ligne 45 [Page5_CAD_MCI!L48]  -</v>
      </c>
    </row>
    <row r="1159" spans="1:23">
      <c r="A1159" s="1443" t="str">
        <f>celladdr(Page5_CAD_MCI!L49)</f>
        <v>Page5_CAD_MCI!L49</v>
      </c>
      <c r="B1159" s="1456" t="s">
        <v>1086</v>
      </c>
      <c r="C1159" s="1451" t="b">
        <f>Page5_CAD_MCI!$L$49&lt;0</f>
        <v>0</v>
      </c>
      <c r="D1159" s="1454" t="b">
        <f>OR(AND(Page5_CAD_MCI!$L49&lt;&gt;0,Page5_CAD_MCI!$M49=0),AND(Page5_CAD_MCI!$M49&lt;&gt;0,Page5_CAD_MCI!$L49=0))</f>
        <v>0</v>
      </c>
      <c r="E1159" s="1454"/>
      <c r="F1159" s="1454"/>
      <c r="G1159" s="1444" t="str">
        <f t="shared" si="156"/>
        <v/>
      </c>
      <c r="H1159" s="1447" t="str">
        <f>IF(C1159=TRUE,Comments!$B$23,"")</f>
        <v/>
      </c>
      <c r="I1159" s="1446" t="str">
        <f>IF(D1159=TRUE,Comments!$B$24,"")</f>
        <v/>
      </c>
      <c r="J1159" s="1446"/>
      <c r="K1159" s="1452"/>
      <c r="N1159" s="611" t="str">
        <f>"CPTE # "&amp;Page5_CAD_MCI!$E$49&amp;"  "&amp;Page5_CAD_MCI!$C$49&amp;" - CHIFFRE D'AFFAIRES RÉALISÉ - AAD"</f>
        <v>CPTE #      - CHIFFRE D'AFFAIRES RÉALISÉ - AAD</v>
      </c>
      <c r="O1159" s="611" t="str">
        <f t="shared" si="163"/>
        <v/>
      </c>
      <c r="P1159" s="611" t="str">
        <f t="shared" si="157"/>
        <v>Page5_CAD_MCI!L</v>
      </c>
      <c r="Q1159" s="611">
        <f t="shared" si="158"/>
        <v>49</v>
      </c>
      <c r="R1159" s="1447">
        <f t="shared" ca="1" si="159"/>
        <v>0</v>
      </c>
      <c r="S1159" s="1447">
        <f t="shared" ca="1" si="160"/>
        <v>0</v>
      </c>
      <c r="V1159" s="2557" t="str">
        <f t="shared" ca="1" si="161"/>
        <v/>
      </c>
      <c r="W1159" s="611" t="str">
        <f t="shared" ca="1" si="162"/>
        <v>Page5_CAD_MCI, Ligne 46 [Page5_CAD_MCI!L49]  -</v>
      </c>
    </row>
    <row r="1160" spans="1:23">
      <c r="A1160" s="1443" t="str">
        <f>celladdr(Page5_CAD_MCI!L50)</f>
        <v>Page5_CAD_MCI!L50</v>
      </c>
      <c r="B1160" s="1456" t="s">
        <v>1086</v>
      </c>
      <c r="C1160" s="1451" t="b">
        <f>Page5_CAD_MCI!$L$50&lt;0</f>
        <v>0</v>
      </c>
      <c r="D1160" s="1454" t="b">
        <f>OR(AND(Page5_CAD_MCI!$L50&lt;&gt;0,Page5_CAD_MCI!$M50=0),AND(Page5_CAD_MCI!$M50&lt;&gt;0,Page5_CAD_MCI!$L50=0))</f>
        <v>0</v>
      </c>
      <c r="E1160" s="1454"/>
      <c r="F1160" s="1454"/>
      <c r="G1160" s="1444" t="str">
        <f t="shared" si="156"/>
        <v/>
      </c>
      <c r="H1160" s="1447" t="str">
        <f>IF(C1160=TRUE,Comments!$B$23,"")</f>
        <v/>
      </c>
      <c r="I1160" s="1446" t="str">
        <f>IF(D1160=TRUE,Comments!$B$24,"")</f>
        <v/>
      </c>
      <c r="J1160" s="1446"/>
      <c r="K1160" s="1452"/>
      <c r="N1160" s="611" t="str">
        <f>"CPTE # "&amp;Page5_CAD_MCI!$E$50&amp;"  "&amp;Page5_CAD_MCI!$C$50&amp;" - CHIFFRE D'AFFAIRES RÉALISÉ - AAD"</f>
        <v>CPTE # 457E  ACCESSOIRES - CHIFFRE D'AFFAIRES RÉALISÉ - AAD</v>
      </c>
      <c r="O1160" s="611" t="str">
        <f t="shared" si="163"/>
        <v/>
      </c>
      <c r="P1160" s="611" t="str">
        <f t="shared" si="157"/>
        <v>Page5_CAD_MCI!L</v>
      </c>
      <c r="Q1160" s="611">
        <f t="shared" si="158"/>
        <v>50</v>
      </c>
      <c r="R1160" s="1447">
        <f t="shared" ca="1" si="159"/>
        <v>0</v>
      </c>
      <c r="S1160" s="1447">
        <f t="shared" ca="1" si="160"/>
        <v>0</v>
      </c>
      <c r="V1160" s="2557" t="str">
        <f t="shared" ca="1" si="161"/>
        <v/>
      </c>
      <c r="W1160" s="611" t="str">
        <f t="shared" ca="1" si="162"/>
        <v>Page5_CAD_MCI, Ligne 47 [Page5_CAD_MCI!L50]  -</v>
      </c>
    </row>
    <row r="1161" spans="1:23">
      <c r="A1161" s="1443" t="str">
        <f>celladdr(Page5_CAD_MCI!M4)</f>
        <v>Page5_CAD_MCI!M4</v>
      </c>
      <c r="B1161" s="1456" t="s">
        <v>1086</v>
      </c>
      <c r="C1161" s="1451" t="b">
        <f>IF(Page5_CAD_MCI!$K$4=0,FALSE,OR(Page5_CAD_MCI!$M$4/Page5_CAD_MCI!$K$4&lt;INDEX(Min_Table,L1161),Page5_CAD_MCI!$M$4/Page5_CAD_MCI!$K$4&gt;INDEX(Max_Table,L1161)))</f>
        <v>0</v>
      </c>
      <c r="D1161" s="1454" t="b">
        <f>OR(AND(Page5_CAD_MCI!$L4&lt;&gt;0,Page5_CAD_MCI!$M4=0),AND(Page5_CAD_MCI!$M4&lt;&gt;0,Page5_CAD_MCI!$L4=0))</f>
        <v>0</v>
      </c>
      <c r="E1161" s="1454" t="b">
        <f>IF(Page5_CAD_MCI!$K$4=0,FALSE,OR(Page5_CAD_MCI!$M$4/Page5_CAD_MCI!$K$4&lt;INDEX(Min_Table,M1161),Page5_CAD_MCI!$M$4/Page5_CAD_MCI!$K$4&gt;INDEX(Max_Table,M1161)))</f>
        <v>0</v>
      </c>
      <c r="F1161" s="1454"/>
      <c r="G1161" s="1444" t="str">
        <f t="shared" si="156"/>
        <v/>
      </c>
      <c r="H1161" s="1447" t="str">
        <f>IF(C1161=TRUE,Comments!$B$20&amp;DOLLAR(INDEX(Min_Table,L1161),0)&amp;Comments!$B$18&amp;DOLLAR(INDEX(Max_Table,L1161),0)&amp;Comments!$B$19&amp;DOLLAR(Page5_CAD_MCI!$M$4/Page5_CAD_MCI!$K$4,0),"")</f>
        <v/>
      </c>
      <c r="I1161" s="1446" t="str">
        <f>IF(D1161=TRUE,Comments!$B$24,"")</f>
        <v/>
      </c>
      <c r="J1161" s="1446" t="str">
        <f>IF(E1161=TRUE,Comments!$B$22&amp;DOLLAR(INDEX(Min_Table,M1161),0)&amp;Comments!$B$18&amp;DOLLAR(INDEX(Max_Table,M1161),0)&amp;Comments!$B$19&amp;IFERROR(DOLLAR(Page5_CAD_MCI!$M$4/Page5_CAD_MCI!$K$4,0),0),"")</f>
        <v/>
      </c>
      <c r="K1161" s="1452"/>
      <c r="L1161" s="611">
        <f>ROW(OR_VEH!$A$667)</f>
        <v>667</v>
      </c>
      <c r="M1161" s="611">
        <f>ROW(OR_VEH!$A$203)</f>
        <v>203</v>
      </c>
      <c r="N1161" s="611" t="str">
        <f>"CPTE # "&amp;Page5_CAD_MCI!$E$4&amp;"  "&amp;Page5_CAD_MCI!$C$4&amp;" - COÛT DES VENTES - AAD"</f>
        <v>CPTE # 400E  NE PAS UTILISER - COÛT DES VENTES - AAD</v>
      </c>
      <c r="O1161" s="611" t="str">
        <f t="shared" si="163"/>
        <v/>
      </c>
      <c r="P1161" s="611" t="str">
        <f t="shared" si="157"/>
        <v>Page5_CAD_MCI!M</v>
      </c>
      <c r="Q1161" s="611">
        <f t="shared" si="158"/>
        <v>4</v>
      </c>
      <c r="R1161" s="1447">
        <f t="shared" ca="1" si="159"/>
        <v>0</v>
      </c>
      <c r="S1161" s="1447">
        <f t="shared" ca="1" si="160"/>
        <v>0</v>
      </c>
      <c r="T1161" s="611">
        <v>22</v>
      </c>
      <c r="V1161" s="2557" t="str">
        <f t="shared" ca="1" si="161"/>
        <v/>
      </c>
      <c r="W1161" s="611" t="str">
        <f t="shared" ca="1" si="162"/>
        <v>Page5_CAD_MCI, Ligne 1 [Page5_CAD_MCI!M4]  -</v>
      </c>
    </row>
    <row r="1162" spans="1:23">
      <c r="A1162" s="1443" t="str">
        <f>celladdr(Page5_CAD_MCI!M5)</f>
        <v>Page5_CAD_MCI!M5</v>
      </c>
      <c r="B1162" s="1456" t="s">
        <v>1086</v>
      </c>
      <c r="C1162" s="1451" t="b">
        <f>IF(Page5_CAD_MCI!$K$5=0,FALSE,OR(Page5_CAD_MCI!$M$5/Page5_CAD_MCI!$K$5&lt;INDEX(Min_Table,L1162),Page5_CAD_MCI!$M$5/Page5_CAD_MCI!$K$5&gt;INDEX(Max_Table,L1162)))</f>
        <v>0</v>
      </c>
      <c r="D1162" s="1454" t="b">
        <f>OR(AND(Page5_CAD_MCI!$L5&lt;&gt;0,Page5_CAD_MCI!$M5=0),AND(Page5_CAD_MCI!$M5&lt;&gt;0,Page5_CAD_MCI!$L5=0))</f>
        <v>0</v>
      </c>
      <c r="E1162" s="1454" t="b">
        <f>IF(Page5_CAD_MCI!$K$5=0,FALSE,OR(Page5_CAD_MCI!$M$5/Page5_CAD_MCI!$K$5&lt;INDEX(Min_Table,M1162),Page5_CAD_MCI!$M$5/Page5_CAD_MCI!$K$5&gt;INDEX(Max_Table,M1162)))</f>
        <v>0</v>
      </c>
      <c r="F1162" s="1454"/>
      <c r="G1162" s="1444" t="str">
        <f t="shared" si="156"/>
        <v/>
      </c>
      <c r="H1162" s="1447" t="str">
        <f>IF(C1162=TRUE,Comments!$B$20&amp;DOLLAR(INDEX(Min_Table,L1162),0)&amp;Comments!$B$18&amp;DOLLAR(INDEX(Max_Table,L1162),0)&amp;Comments!$B$19&amp;DOLLAR(Page5_CAD_MCI!$M$5/Page5_CAD_MCI!$K$5,0),"")</f>
        <v/>
      </c>
      <c r="I1162" s="1446" t="str">
        <f>IF(D1162=TRUE,Comments!$B$24,"")</f>
        <v/>
      </c>
      <c r="J1162" s="1446" t="str">
        <f>IF(E1162=TRUE,Comments!$B$22&amp;DOLLAR(INDEX(Min_Table,M1162),0)&amp;Comments!$B$18&amp;DOLLAR(INDEX(Max_Table,M1162),0)&amp;Comments!$B$19&amp;IFERROR(DOLLAR(Page5_CAD_MCI!$M$5/Page5_CAD_MCI!$K$5,0),0),"")</f>
        <v/>
      </c>
      <c r="K1162" s="1452"/>
      <c r="L1162" s="611">
        <f>ROW(OR_VEH!$A$667)</f>
        <v>667</v>
      </c>
      <c r="M1162" s="611">
        <f>ROW(OR_VEH!$A$204)</f>
        <v>204</v>
      </c>
      <c r="N1162" s="611" t="str">
        <f>"CPTE # "&amp;Page5_CAD_MCI!$E$5&amp;"  "&amp;Page5_CAD_MCI!$C$5&amp;" - COÛT DES VENTES - AAD"</f>
        <v>CPTE # 401E  NE PAS UTILISER - COÛT DES VENTES - AAD</v>
      </c>
      <c r="O1162" s="611" t="str">
        <f t="shared" si="163"/>
        <v/>
      </c>
      <c r="P1162" s="611" t="str">
        <f t="shared" si="157"/>
        <v>Page5_CAD_MCI!M</v>
      </c>
      <c r="Q1162" s="611">
        <f t="shared" si="158"/>
        <v>5</v>
      </c>
      <c r="R1162" s="1447">
        <f t="shared" ca="1" si="159"/>
        <v>0</v>
      </c>
      <c r="S1162" s="1447">
        <f t="shared" ca="1" si="160"/>
        <v>0</v>
      </c>
      <c r="T1162" s="611">
        <v>22</v>
      </c>
      <c r="V1162" s="2557" t="str">
        <f t="shared" ca="1" si="161"/>
        <v/>
      </c>
      <c r="W1162" s="611" t="str">
        <f t="shared" ca="1" si="162"/>
        <v>Page5_CAD_MCI, Ligne 2 [Page5_CAD_MCI!M5]  -</v>
      </c>
    </row>
    <row r="1163" spans="1:23">
      <c r="A1163" s="1443" t="str">
        <f>celladdr(Page5_CAD_MCI!M6)</f>
        <v>Page5_CAD_MCI!M6</v>
      </c>
      <c r="B1163" s="1456" t="s">
        <v>1086</v>
      </c>
      <c r="C1163" s="1451" t="b">
        <f>IF(Page5_CAD_MCI!$K$6=0,FALSE,OR(Page5_CAD_MCI!$M$6/Page5_CAD_MCI!$K$6&lt;INDEX(Min_Table,L1163),Page5_CAD_MCI!$M$6/Page5_CAD_MCI!$K$6&gt;INDEX(Max_Table,L1163)))</f>
        <v>0</v>
      </c>
      <c r="D1163" s="1454" t="b">
        <f>OR(AND(Page5_CAD_MCI!$L6&lt;&gt;0,Page5_CAD_MCI!$M6=0),AND(Page5_CAD_MCI!$M6&lt;&gt;0,Page5_CAD_MCI!$L6=0))</f>
        <v>0</v>
      </c>
      <c r="E1163" s="1454" t="b">
        <f>IF(Page5_CAD_MCI!$K$6=0,FALSE,OR(Page5_CAD_MCI!$M$6/Page5_CAD_MCI!$K$6&lt;INDEX(Min_Table,M1163),Page5_CAD_MCI!$M$6/Page5_CAD_MCI!$K$6&gt;INDEX(Max_Table,M1163)))</f>
        <v>0</v>
      </c>
      <c r="F1163" s="1454"/>
      <c r="G1163" s="1444" t="str">
        <f t="shared" si="156"/>
        <v/>
      </c>
      <c r="H1163" s="1447" t="str">
        <f>IF(C1163=TRUE,Comments!$B$20&amp;DOLLAR(INDEX(Min_Table,L1163),0)&amp;Comments!$B$18&amp;DOLLAR(INDEX(Max_Table,L1163),0)&amp;Comments!$B$19&amp;DOLLAR(Page5_CAD_MCI!$M$6/Page5_CAD_MCI!$K$6,0),"")</f>
        <v/>
      </c>
      <c r="I1163" s="1446" t="str">
        <f>IF(D1163=TRUE,Comments!$B$24,"")</f>
        <v/>
      </c>
      <c r="J1163" s="1446" t="str">
        <f>IF(E1163=TRUE,Comments!$B$22&amp;DOLLAR(INDEX(Min_Table,M1163),0)&amp;Comments!$B$18&amp;DOLLAR(INDEX(Max_Table,M1163),0)&amp;Comments!$B$19&amp;IFERROR(DOLLAR(Page5_CAD_MCI!$M$6/Page5_CAD_MCI!$K$6,0),0),"")</f>
        <v/>
      </c>
      <c r="K1163" s="1452"/>
      <c r="L1163" s="611">
        <f>ROW(OR_VEH!$A$667)</f>
        <v>667</v>
      </c>
      <c r="M1163" s="611">
        <f>ROW(OR_VEH!$A$205)</f>
        <v>205</v>
      </c>
      <c r="N1163" s="611" t="str">
        <f>"CPTE # "&amp;Page5_CAD_MCI!$E$6&amp;"  "&amp;Page5_CAD_MCI!$C$6&amp;" - COÛT DES VENTES - AAD"</f>
        <v>CPTE # 402E  CTS  - COÛT DES VENTES - AAD</v>
      </c>
      <c r="O1163" s="611" t="str">
        <f t="shared" si="163"/>
        <v/>
      </c>
      <c r="P1163" s="611" t="str">
        <f t="shared" si="157"/>
        <v>Page5_CAD_MCI!M</v>
      </c>
      <c r="Q1163" s="611">
        <f t="shared" si="158"/>
        <v>6</v>
      </c>
      <c r="R1163" s="1447">
        <f t="shared" ca="1" si="159"/>
        <v>0</v>
      </c>
      <c r="S1163" s="1447">
        <f t="shared" ca="1" si="160"/>
        <v>0</v>
      </c>
      <c r="T1163" s="611">
        <v>22</v>
      </c>
      <c r="V1163" s="2557" t="str">
        <f t="shared" ca="1" si="161"/>
        <v/>
      </c>
      <c r="W1163" s="611" t="str">
        <f t="shared" ca="1" si="162"/>
        <v>Page5_CAD_MCI, Ligne 3 [Page5_CAD_MCI!M6]  -</v>
      </c>
    </row>
    <row r="1164" spans="1:23">
      <c r="A1164" s="1443" t="str">
        <f>celladdr(Page5_CAD_MCI!M7)</f>
        <v>Page5_CAD_MCI!M7</v>
      </c>
      <c r="B1164" s="1456" t="s">
        <v>1086</v>
      </c>
      <c r="C1164" s="1451" t="b">
        <f>IF(Page5_CAD_MCI!$K$7=0,FALSE,OR(Page5_CAD_MCI!$M$7/Page5_CAD_MCI!$K$7&lt;INDEX(Min_Table,L1164),Page5_CAD_MCI!$M$7/Page5_CAD_MCI!$K$7&gt;INDEX(Max_Table,L1164)))</f>
        <v>0</v>
      </c>
      <c r="D1164" s="1454" t="b">
        <f>OR(AND(Page5_CAD_MCI!$L7&lt;&gt;0,Page5_CAD_MCI!$M7=0),AND(Page5_CAD_MCI!$M7&lt;&gt;0,Page5_CAD_MCI!$L7=0))</f>
        <v>0</v>
      </c>
      <c r="E1164" s="1454" t="b">
        <f>IF(Page5_CAD_MCI!$K$7=0,FALSE,OR(Page5_CAD_MCI!$M$7/Page5_CAD_MCI!$K$7&lt;INDEX(Min_Table,M1164),Page5_CAD_MCI!$M$7/Page5_CAD_MCI!$K$7&gt;INDEX(Max_Table,M1164)))</f>
        <v>0</v>
      </c>
      <c r="F1164" s="1454"/>
      <c r="G1164" s="1444" t="str">
        <f t="shared" si="156"/>
        <v/>
      </c>
      <c r="H1164" s="1447" t="str">
        <f>IF(C1164=TRUE,Comments!$B$20&amp;DOLLAR(INDEX(Min_Table,L1164),0)&amp;Comments!$B$18&amp;DOLLAR(INDEX(Max_Table,L1164),0)&amp;Comments!$B$19&amp;DOLLAR(Page5_CAD_MCI!$M$7/Page5_CAD_MCI!$K$7,0),"")</f>
        <v/>
      </c>
      <c r="I1164" s="1446" t="str">
        <f>IF(D1164=TRUE,Comments!$B$24,"")</f>
        <v/>
      </c>
      <c r="J1164" s="1446" t="str">
        <f>IF(E1164=TRUE,Comments!$B$22&amp;DOLLAR(INDEX(Min_Table,M1164),0)&amp;Comments!$B$18&amp;DOLLAR(INDEX(Max_Table,M1164),0)&amp;Comments!$B$19&amp;IFERROR(DOLLAR(Page5_CAD_MCI!$M$7/Page5_CAD_MCI!$K$7,0),0),"")</f>
        <v/>
      </c>
      <c r="K1164" s="1452"/>
      <c r="L1164" s="611">
        <f>ROW(OR_VEH!$A$667)</f>
        <v>667</v>
      </c>
      <c r="M1164" s="611">
        <f>ROW(OR_VEH!$A$206)</f>
        <v>206</v>
      </c>
      <c r="N1164" s="611" t="str">
        <f>"CPTE # "&amp;Page5_CAD_MCI!$E$7&amp;"  "&amp;Page5_CAD_MCI!$C$7&amp;" - COÛT DES VENTES - AAD"</f>
        <v>CPTE # 403E  CTS-V - COÛT DES VENTES - AAD</v>
      </c>
      <c r="O1164" s="611" t="str">
        <f t="shared" si="163"/>
        <v/>
      </c>
      <c r="P1164" s="611" t="str">
        <f t="shared" si="157"/>
        <v>Page5_CAD_MCI!M</v>
      </c>
      <c r="Q1164" s="611">
        <f t="shared" si="158"/>
        <v>7</v>
      </c>
      <c r="R1164" s="1447">
        <f t="shared" ca="1" si="159"/>
        <v>0</v>
      </c>
      <c r="S1164" s="1447">
        <f t="shared" ca="1" si="160"/>
        <v>0</v>
      </c>
      <c r="T1164" s="611">
        <v>22</v>
      </c>
      <c r="V1164" s="2557" t="str">
        <f t="shared" ca="1" si="161"/>
        <v/>
      </c>
      <c r="W1164" s="611" t="str">
        <f t="shared" ca="1" si="162"/>
        <v>Page5_CAD_MCI, Ligne 4 [Page5_CAD_MCI!M7]  -</v>
      </c>
    </row>
    <row r="1165" spans="1:23">
      <c r="A1165" s="1443" t="str">
        <f>celladdr(Page5_CAD_MCI!M8)</f>
        <v>Page5_CAD_MCI!M8</v>
      </c>
      <c r="B1165" s="1456" t="s">
        <v>1086</v>
      </c>
      <c r="C1165" s="1451" t="b">
        <f>IF(Page5_CAD_MCI!$K$8=0,FALSE,OR(Page5_CAD_MCI!$M$8/Page5_CAD_MCI!$K$8&lt;INDEX(Min_Table,L1165),Page5_CAD_MCI!$M$8/Page5_CAD_MCI!$K$8&gt;INDEX(Max_Table,L1165)))</f>
        <v>0</v>
      </c>
      <c r="D1165" s="1454" t="b">
        <f>OR(AND(Page5_CAD_MCI!$L8&lt;&gt;0,Page5_CAD_MCI!$M8=0),AND(Page5_CAD_MCI!$M8&lt;&gt;0,Page5_CAD_MCI!$L8=0))</f>
        <v>0</v>
      </c>
      <c r="E1165" s="1454" t="b">
        <f>IF(Page5_CAD_MCI!$K$8=0,FALSE,OR(Page5_CAD_MCI!$M$8/Page5_CAD_MCI!$K$8&lt;INDEX(Min_Table,M1165),Page5_CAD_MCI!$M$8/Page5_CAD_MCI!$K$8&gt;INDEX(Max_Table,M1165)))</f>
        <v>0</v>
      </c>
      <c r="F1165" s="1454"/>
      <c r="G1165" s="1444" t="str">
        <f t="shared" si="156"/>
        <v/>
      </c>
      <c r="H1165" s="1447" t="str">
        <f>IF(C1165=TRUE,Comments!$B$20&amp;DOLLAR(INDEX(Min_Table,L1165),0)&amp;Comments!$B$18&amp;DOLLAR(INDEX(Max_Table,L1165),0)&amp;Comments!$B$19&amp;DOLLAR(Page5_CAD_MCI!$M$8/Page5_CAD_MCI!$K$8,0),"")</f>
        <v/>
      </c>
      <c r="I1165" s="1446" t="str">
        <f>IF(D1165=TRUE,Comments!$B$24,"")</f>
        <v/>
      </c>
      <c r="J1165" s="1446" t="str">
        <f>IF(E1165=TRUE,Comments!$B$22&amp;DOLLAR(INDEX(Min_Table,M1165),0)&amp;Comments!$B$18&amp;DOLLAR(INDEX(Max_Table,M1165),0)&amp;Comments!$B$19&amp;IFERROR(DOLLAR(Page5_CAD_MCI!$M$8/Page5_CAD_MCI!$K$8,0),0),"")</f>
        <v/>
      </c>
      <c r="K1165" s="1452"/>
      <c r="L1165" s="611">
        <f>ROW(OR_VEH!$A$667)</f>
        <v>667</v>
      </c>
      <c r="M1165" s="611">
        <f>ROW(OR_VEH!$A$207)</f>
        <v>207</v>
      </c>
      <c r="N1165" s="611" t="str">
        <f>"CPTE # "&amp;Page5_CAD_MCI!$E$8&amp;"  "&amp;Page5_CAD_MCI!$C$8&amp;" - COÛT DES VENTES - AAD"</f>
        <v>CPTE # 404E  CT4 - COÛT DES VENTES - AAD</v>
      </c>
      <c r="O1165" s="611" t="str">
        <f t="shared" si="163"/>
        <v/>
      </c>
      <c r="P1165" s="611" t="str">
        <f t="shared" si="157"/>
        <v>Page5_CAD_MCI!M</v>
      </c>
      <c r="Q1165" s="611">
        <f t="shared" si="158"/>
        <v>8</v>
      </c>
      <c r="R1165" s="1447">
        <f t="shared" ca="1" si="159"/>
        <v>0</v>
      </c>
      <c r="S1165" s="1447">
        <f t="shared" ca="1" si="160"/>
        <v>0</v>
      </c>
      <c r="T1165" s="611">
        <v>22</v>
      </c>
      <c r="V1165" s="2557" t="str">
        <f t="shared" ca="1" si="161"/>
        <v/>
      </c>
      <c r="W1165" s="611" t="str">
        <f t="shared" ca="1" si="162"/>
        <v>Page5_CAD_MCI, Ligne 5 [Page5_CAD_MCI!M8]  -</v>
      </c>
    </row>
    <row r="1166" spans="1:23">
      <c r="A1166" s="1443" t="str">
        <f>celladdr(Page5_CAD_MCI!M9)</f>
        <v>Page5_CAD_MCI!M9</v>
      </c>
      <c r="B1166" s="1456" t="s">
        <v>1086</v>
      </c>
      <c r="C1166" s="1451" t="b">
        <f>IF(Page5_CAD_MCI!$K$9=0,FALSE,OR(Page5_CAD_MCI!$M$9/Page5_CAD_MCI!$K$9&lt;INDEX(Min_Table,L1166),Page5_CAD_MCI!$M$9/Page5_CAD_MCI!$K$9&gt;INDEX(Max_Table,L1166)))</f>
        <v>0</v>
      </c>
      <c r="D1166" s="1454" t="b">
        <f>OR(AND(Page5_CAD_MCI!$L9&lt;&gt;0,Page5_CAD_MCI!$M9=0),AND(Page5_CAD_MCI!$M9&lt;&gt;0,Page5_CAD_MCI!$L9=0))</f>
        <v>0</v>
      </c>
      <c r="E1166" s="1454" t="b">
        <f>IF(Page5_CAD_MCI!$K$9=0,FALSE,OR(Page5_CAD_MCI!$M$9/Page5_CAD_MCI!$K$9&lt;INDEX(Min_Table,M1166),Page5_CAD_MCI!$M$9/Page5_CAD_MCI!$K$9&gt;INDEX(Max_Table,M1166)))</f>
        <v>0</v>
      </c>
      <c r="F1166" s="1454"/>
      <c r="G1166" s="1444" t="str">
        <f t="shared" si="156"/>
        <v/>
      </c>
      <c r="H1166" s="1447" t="str">
        <f>IF(C1166=TRUE,Comments!$B$20&amp;DOLLAR(INDEX(Min_Table,L1166),0)&amp;Comments!$B$18&amp;DOLLAR(INDEX(Max_Table,L1166),0)&amp;Comments!$B$19&amp;DOLLAR(Page5_CAD_MCI!$M$9/Page5_CAD_MCI!$K$9,0),"")</f>
        <v/>
      </c>
      <c r="I1166" s="1446" t="str">
        <f>IF(D1166=TRUE,Comments!$B$24,"")</f>
        <v/>
      </c>
      <c r="J1166" s="1446" t="str">
        <f>IF(E1166=TRUE,Comments!$B$22&amp;DOLLAR(INDEX(Min_Table,M1166),0)&amp;Comments!$B$18&amp;DOLLAR(INDEX(Max_Table,M1166),0)&amp;Comments!$B$19&amp;IFERROR(DOLLAR(Page5_CAD_MCI!$M$9/Page5_CAD_MCI!$K$9,0),0),"")</f>
        <v/>
      </c>
      <c r="K1166" s="1452"/>
      <c r="L1166" s="611">
        <f>ROW(OR_VEH!$A$667)</f>
        <v>667</v>
      </c>
      <c r="M1166" s="611">
        <f>ROW(OR_VEH!$A$208)</f>
        <v>208</v>
      </c>
      <c r="N1166" s="611" t="str">
        <f>"CPTE # "&amp;Page5_CAD_MCI!$E$9&amp;"  "&amp;Page5_CAD_MCI!$C$9&amp;" - COÛT DES VENTES - AAD"</f>
        <v>CPTE # 405E  CT5 - COÛT DES VENTES - AAD</v>
      </c>
      <c r="O1166" s="611" t="str">
        <f t="shared" si="163"/>
        <v/>
      </c>
      <c r="P1166" s="611" t="str">
        <f t="shared" si="157"/>
        <v>Page5_CAD_MCI!M</v>
      </c>
      <c r="Q1166" s="611">
        <f t="shared" si="158"/>
        <v>9</v>
      </c>
      <c r="R1166" s="1447">
        <f t="shared" ca="1" si="159"/>
        <v>0</v>
      </c>
      <c r="S1166" s="1447">
        <f t="shared" ca="1" si="160"/>
        <v>0</v>
      </c>
      <c r="T1166" s="611">
        <v>22</v>
      </c>
      <c r="V1166" s="2557" t="str">
        <f t="shared" ca="1" si="161"/>
        <v/>
      </c>
      <c r="W1166" s="611" t="str">
        <f t="shared" ca="1" si="162"/>
        <v>Page5_CAD_MCI, Ligne 6 [Page5_CAD_MCI!M9]  -</v>
      </c>
    </row>
    <row r="1167" spans="1:23">
      <c r="A1167" s="1443" t="str">
        <f>celladdr(Page5_CAD_MCI!M10)</f>
        <v>Page5_CAD_MCI!M10</v>
      </c>
      <c r="B1167" s="1456" t="s">
        <v>1086</v>
      </c>
      <c r="C1167" s="1451" t="b">
        <f>IF(Page5_CAD_MCI!$K$10=0,FALSE,OR(Page5_CAD_MCI!$M$10/Page5_CAD_MCI!$K$10&lt;INDEX(Min_Table,L1167),Page5_CAD_MCI!$M$10/Page5_CAD_MCI!$K$10&gt;INDEX(Max_Table,L1167)))</f>
        <v>0</v>
      </c>
      <c r="D1167" s="1454" t="b">
        <f>OR(AND(Page5_CAD_MCI!$L10&lt;&gt;0,Page5_CAD_MCI!$M10=0),AND(Page5_CAD_MCI!$M10&lt;&gt;0,Page5_CAD_MCI!$L10=0))</f>
        <v>0</v>
      </c>
      <c r="E1167" s="1454" t="b">
        <f>IF(Page5_CAD_MCI!$K$10=0,FALSE,OR(Page5_CAD_MCI!$M$10/Page5_CAD_MCI!$K$10&lt;INDEX(Min_Table,M1167),Page5_CAD_MCI!$M$10/Page5_CAD_MCI!$K$10&gt;INDEX(Max_Table,M1167)))</f>
        <v>0</v>
      </c>
      <c r="F1167" s="1454"/>
      <c r="G1167" s="1444" t="str">
        <f t="shared" si="156"/>
        <v/>
      </c>
      <c r="H1167" s="1447" t="str">
        <f>IF(C1167=TRUE,Comments!$B$20&amp;DOLLAR(INDEX(Min_Table,L1167),0)&amp;Comments!$B$18&amp;DOLLAR(INDEX(Max_Table,L1167),0)&amp;Comments!$B$19&amp;DOLLAR(Page5_CAD_MCI!$M$10/Page5_CAD_MCI!$K$10,0),"")</f>
        <v/>
      </c>
      <c r="I1167" s="1446" t="str">
        <f>IF(D1167=TRUE,Comments!$B$24,"")</f>
        <v/>
      </c>
      <c r="J1167" s="1446" t="str">
        <f>IF(E1167=TRUE,Comments!$B$22&amp;DOLLAR(INDEX(Min_Table,M1167),0)&amp;Comments!$B$18&amp;DOLLAR(INDEX(Max_Table,M1167),0)&amp;Comments!$B$19&amp;IFERROR(DOLLAR(Page5_CAD_MCI!$M$10/Page5_CAD_MCI!$K$10,0),0),"")</f>
        <v/>
      </c>
      <c r="K1167" s="1452"/>
      <c r="L1167" s="611">
        <f>ROW(OR_VEH!$A$667)</f>
        <v>667</v>
      </c>
      <c r="M1167" s="611">
        <f>ROW(OR_VEH!$A$209)</f>
        <v>209</v>
      </c>
      <c r="N1167" s="611" t="str">
        <f>"CPTE # "&amp;Page5_CAD_MCI!$E$10&amp;"  "&amp;Page5_CAD_MCI!$C$10&amp;" - COÛT DES VENTES - AAD"</f>
        <v>CPTE # 406E  NE PAS UTILISER - COÛT DES VENTES - AAD</v>
      </c>
      <c r="O1167" s="611" t="str">
        <f t="shared" si="163"/>
        <v/>
      </c>
      <c r="P1167" s="611" t="str">
        <f t="shared" si="157"/>
        <v>Page5_CAD_MCI!M</v>
      </c>
      <c r="Q1167" s="611">
        <f t="shared" si="158"/>
        <v>10</v>
      </c>
      <c r="R1167" s="1447">
        <f t="shared" ca="1" si="159"/>
        <v>0</v>
      </c>
      <c r="S1167" s="1447">
        <f t="shared" ca="1" si="160"/>
        <v>0</v>
      </c>
      <c r="T1167" s="611">
        <v>22</v>
      </c>
      <c r="V1167" s="2557" t="str">
        <f t="shared" ca="1" si="161"/>
        <v/>
      </c>
      <c r="W1167" s="611" t="str">
        <f t="shared" ca="1" si="162"/>
        <v>Page5_CAD_MCI, Ligne 7 [Page5_CAD_MCI!M10]  -</v>
      </c>
    </row>
    <row r="1168" spans="1:23">
      <c r="A1168" s="1443" t="str">
        <f>celladdr(Page5_CAD_MCI!M11)</f>
        <v>Page5_CAD_MCI!M11</v>
      </c>
      <c r="B1168" s="1456" t="s">
        <v>1086</v>
      </c>
      <c r="C1168" s="1451" t="b">
        <f>IF(Page5_CAD_MCI!$K$11=0,FALSE,OR(Page5_CAD_MCI!$M$11/Page5_CAD_MCI!$K$11&lt;INDEX(Min_Table,L1168),Page5_CAD_MCI!$M$11/Page5_CAD_MCI!$K$11&gt;INDEX(Max_Table,L1168)))</f>
        <v>0</v>
      </c>
      <c r="D1168" s="1454" t="b">
        <f>OR(AND(Page5_CAD_MCI!$L11&lt;&gt;0,Page5_CAD_MCI!$M11=0),AND(Page5_CAD_MCI!$M11&lt;&gt;0,Page5_CAD_MCI!$L11=0))</f>
        <v>0</v>
      </c>
      <c r="E1168" s="1454" t="b">
        <f>IF(Page5_CAD_MCI!$K$11=0,FALSE,OR(Page5_CAD_MCI!$M$11/Page5_CAD_MCI!$K$11&lt;INDEX(Min_Table,M1168),Page5_CAD_MCI!$M$11/Page5_CAD_MCI!$K$11&gt;INDEX(Max_Table,M1168)))</f>
        <v>0</v>
      </c>
      <c r="F1168" s="1454"/>
      <c r="G1168" s="1444" t="str">
        <f t="shared" si="156"/>
        <v/>
      </c>
      <c r="H1168" s="1447" t="str">
        <f>IF(C1168=TRUE,Comments!$B$20&amp;DOLLAR(INDEX(Min_Table,L1168),0)&amp;Comments!$B$18&amp;DOLLAR(INDEX(Max_Table,L1168),0)&amp;Comments!$B$19&amp;DOLLAR(Page5_CAD_MCI!$M$11/Page5_CAD_MCI!$K$11,0),"")</f>
        <v/>
      </c>
      <c r="I1168" s="1446" t="str">
        <f>IF(D1168=TRUE,Comments!$B$24,"")</f>
        <v/>
      </c>
      <c r="J1168" s="1446" t="str">
        <f>IF(E1168=TRUE,Comments!$B$22&amp;DOLLAR(INDEX(Min_Table,M1168),0)&amp;Comments!$B$18&amp;DOLLAR(INDEX(Max_Table,M1168),0)&amp;Comments!$B$19&amp;IFERROR(DOLLAR(Page5_CAD_MCI!$M$11/Page5_CAD_MCI!$K$11,0),0),"")</f>
        <v/>
      </c>
      <c r="K1168" s="1452"/>
      <c r="L1168" s="611">
        <f>ROW(OR_VEH!$A$667)</f>
        <v>667</v>
      </c>
      <c r="M1168" s="611">
        <f>ROW(OR_VEH!$A$210)</f>
        <v>210</v>
      </c>
      <c r="N1168" s="611" t="str">
        <f>"CPTE # "&amp;Page5_CAD_MCI!$E$11&amp;"  "&amp;Page5_CAD_MCI!$C$11&amp;" - COÛT DES VENTES - AAD"</f>
        <v>CPTE # 407E  NE PAS UTILISER - COÛT DES VENTES - AAD</v>
      </c>
      <c r="O1168" s="611" t="str">
        <f t="shared" si="163"/>
        <v/>
      </c>
      <c r="P1168" s="611" t="str">
        <f t="shared" si="157"/>
        <v>Page5_CAD_MCI!M</v>
      </c>
      <c r="Q1168" s="611">
        <f t="shared" si="158"/>
        <v>11</v>
      </c>
      <c r="R1168" s="1447">
        <f t="shared" ca="1" si="159"/>
        <v>0</v>
      </c>
      <c r="S1168" s="1447">
        <f t="shared" ca="1" si="160"/>
        <v>0</v>
      </c>
      <c r="T1168" s="611">
        <v>22</v>
      </c>
      <c r="V1168" s="2557" t="str">
        <f t="shared" ca="1" si="161"/>
        <v/>
      </c>
      <c r="W1168" s="611" t="str">
        <f t="shared" ca="1" si="162"/>
        <v>Page5_CAD_MCI, Ligne 8 [Page5_CAD_MCI!M11]  -</v>
      </c>
    </row>
    <row r="1169" spans="1:23">
      <c r="A1169" s="1443" t="str">
        <f>celladdr(Page5_CAD_MCI!M12)</f>
        <v>Page5_CAD_MCI!M12</v>
      </c>
      <c r="B1169" s="1456" t="s">
        <v>1086</v>
      </c>
      <c r="C1169" s="1451" t="b">
        <f>IF(Page5_CAD_MCI!$K$12=0,FALSE,OR(Page5_CAD_MCI!$M$12/Page5_CAD_MCI!$K$12&lt;INDEX(Min_Table,L1169),Page5_CAD_MCI!$M$12/Page5_CAD_MCI!$K$12&gt;INDEX(Max_Table,L1169)))</f>
        <v>0</v>
      </c>
      <c r="D1169" s="1454" t="b">
        <f>OR(AND(Page5_CAD_MCI!$L12&lt;&gt;0,Page5_CAD_MCI!$M12=0),AND(Page5_CAD_MCI!$M12&lt;&gt;0,Page5_CAD_MCI!$L12=0))</f>
        <v>0</v>
      </c>
      <c r="E1169" s="1454" t="b">
        <f>IF(Page5_CAD_MCI!$K$12=0,FALSE,OR(Page5_CAD_MCI!$M$12/Page5_CAD_MCI!$K$12&lt;INDEX(Min_Table,M1169),Page5_CAD_MCI!$M$12/Page5_CAD_MCI!$K$12&gt;INDEX(Max_Table,M1169)))</f>
        <v>0</v>
      </c>
      <c r="F1169" s="1454"/>
      <c r="G1169" s="1444" t="str">
        <f t="shared" si="156"/>
        <v/>
      </c>
      <c r="H1169" s="1447" t="str">
        <f>IF(C1169=TRUE,Comments!$B$20&amp;DOLLAR(INDEX(Min_Table,L1169),0)&amp;Comments!$B$18&amp;DOLLAR(INDEX(Max_Table,L1169),0)&amp;Comments!$B$19&amp;DOLLAR(Page5_CAD_MCI!$M$12/Page5_CAD_MCI!$K$12,0),"")</f>
        <v/>
      </c>
      <c r="I1169" s="1446" t="str">
        <f>IF(D1169=TRUE,Comments!$B$24,"")</f>
        <v/>
      </c>
      <c r="J1169" s="1446" t="str">
        <f>IF(E1169=TRUE,Comments!$B$22&amp;DOLLAR(INDEX(Min_Table,M1169),0)&amp;Comments!$B$18&amp;DOLLAR(INDEX(Max_Table,M1169),0)&amp;Comments!$B$19&amp;IFERROR(DOLLAR(Page5_CAD_MCI!$M$12/Page5_CAD_MCI!$K$12,0),0),"")</f>
        <v/>
      </c>
      <c r="K1169" s="1452"/>
      <c r="L1169" s="611">
        <f>ROW(OR_VEH!$A$667)</f>
        <v>667</v>
      </c>
      <c r="M1169" s="611">
        <f>ROW(OR_VEH!$A$211)</f>
        <v>211</v>
      </c>
      <c r="N1169" s="611" t="str">
        <f>"CPTE # "&amp;Page5_CAD_MCI!$E$12&amp;"  "&amp;Page5_CAD_MCI!$C$12&amp;" - COÛT DES VENTES - AAD"</f>
        <v>CPTE # 408E  ATS - COÛT DES VENTES - AAD</v>
      </c>
      <c r="O1169" s="611" t="str">
        <f t="shared" si="163"/>
        <v/>
      </c>
      <c r="P1169" s="611" t="str">
        <f t="shared" si="157"/>
        <v>Page5_CAD_MCI!M</v>
      </c>
      <c r="Q1169" s="611">
        <f t="shared" si="158"/>
        <v>12</v>
      </c>
      <c r="R1169" s="1447">
        <f t="shared" ca="1" si="159"/>
        <v>0</v>
      </c>
      <c r="S1169" s="1447">
        <f t="shared" ca="1" si="160"/>
        <v>0</v>
      </c>
      <c r="T1169" s="611">
        <v>22</v>
      </c>
      <c r="V1169" s="2557" t="str">
        <f t="shared" ca="1" si="161"/>
        <v/>
      </c>
      <c r="W1169" s="611" t="str">
        <f t="shared" ca="1" si="162"/>
        <v>Page5_CAD_MCI, Ligne 9 [Page5_CAD_MCI!M12]  -</v>
      </c>
    </row>
    <row r="1170" spans="1:23">
      <c r="A1170" s="1443" t="str">
        <f>celladdr(Page5_CAD_MCI!M13)</f>
        <v>Page5_CAD_MCI!M13</v>
      </c>
      <c r="B1170" s="1456" t="s">
        <v>1086</v>
      </c>
      <c r="C1170" s="1451" t="b">
        <f>IF(Page5_CAD_MCI!$K$13=0,FALSE,OR(Page5_CAD_MCI!$M$13/Page5_CAD_MCI!$K$13&lt;INDEX(Min_Table,L1170),Page5_CAD_MCI!$M$13/Page5_CAD_MCI!$K$13&gt;INDEX(Max_Table,L1170)))</f>
        <v>0</v>
      </c>
      <c r="D1170" s="1454" t="b">
        <f>OR(AND(Page5_CAD_MCI!$L13&lt;&gt;0,Page5_CAD_MCI!$M13=0),AND(Page5_CAD_MCI!$M13&lt;&gt;0,Page5_CAD_MCI!$L13=0))</f>
        <v>0</v>
      </c>
      <c r="E1170" s="1454" t="b">
        <f>IF(Page5_CAD_MCI!$K$13=0,FALSE,OR(Page5_CAD_MCI!$M$13/Page5_CAD_MCI!$K$13&lt;INDEX(Min_Table,M1170),Page5_CAD_MCI!$M$13/Page5_CAD_MCI!$K$13&gt;INDEX(Max_Table,M1170)))</f>
        <v>0</v>
      </c>
      <c r="F1170" s="1454"/>
      <c r="G1170" s="1444" t="str">
        <f t="shared" si="156"/>
        <v/>
      </c>
      <c r="H1170" s="1447" t="str">
        <f>IF(C1170=TRUE,Comments!$B$20&amp;DOLLAR(INDEX(Min_Table,L1170),0)&amp;Comments!$B$18&amp;DOLLAR(INDEX(Max_Table,L1170),0)&amp;Comments!$B$19&amp;DOLLAR(Page5_CAD_MCI!$M$13/Page5_CAD_MCI!$K$13,0),"")</f>
        <v/>
      </c>
      <c r="I1170" s="1446" t="str">
        <f>IF(D1170=TRUE,Comments!$B$24,"")</f>
        <v/>
      </c>
      <c r="J1170" s="1446" t="str">
        <f>IF(E1170=TRUE,Comments!$B$22&amp;DOLLAR(INDEX(Min_Table,M1170),0)&amp;Comments!$B$18&amp;DOLLAR(INDEX(Max_Table,M1170),0)&amp;Comments!$B$19&amp;IFERROR(DOLLAR(Page5_CAD_MCI!$M$13/Page5_CAD_MCI!$K$13,0),0),"")</f>
        <v/>
      </c>
      <c r="K1170" s="1452"/>
      <c r="L1170" s="611">
        <f>ROW(OR_VEH!$A$667)</f>
        <v>667</v>
      </c>
      <c r="M1170" s="611">
        <f>ROW(OR_VEH!$A$212)</f>
        <v>212</v>
      </c>
      <c r="N1170" s="611" t="str">
        <f>"CPTE # "&amp;Page5_CAD_MCI!$E$13&amp;"  "&amp;Page5_CAD_MCI!$C$13&amp;" - COÛT DES VENTES - AAD"</f>
        <v>CPTE # 409E  XTS - COÛT DES VENTES - AAD</v>
      </c>
      <c r="O1170" s="611" t="str">
        <f t="shared" si="163"/>
        <v/>
      </c>
      <c r="P1170" s="611" t="str">
        <f t="shared" si="157"/>
        <v>Page5_CAD_MCI!M</v>
      </c>
      <c r="Q1170" s="611">
        <f t="shared" si="158"/>
        <v>13</v>
      </c>
      <c r="R1170" s="1447">
        <f t="shared" ca="1" si="159"/>
        <v>0</v>
      </c>
      <c r="S1170" s="1447">
        <f t="shared" ca="1" si="160"/>
        <v>0</v>
      </c>
      <c r="T1170" s="611">
        <v>22</v>
      </c>
      <c r="V1170" s="2557" t="str">
        <f t="shared" ca="1" si="161"/>
        <v/>
      </c>
      <c r="W1170" s="611" t="str">
        <f t="shared" ca="1" si="162"/>
        <v>Page5_CAD_MCI, Ligne 10 [Page5_CAD_MCI!M13]  -</v>
      </c>
    </row>
    <row r="1171" spans="1:23">
      <c r="A1171" s="1443" t="str">
        <f>celladdr(Page5_CAD_MCI!M14)</f>
        <v>Page5_CAD_MCI!M14</v>
      </c>
      <c r="B1171" s="1456" t="s">
        <v>1086</v>
      </c>
      <c r="C1171" s="1451" t="b">
        <f>IF(Page5_CAD_MCI!$K$14=0,FALSE,OR(Page5_CAD_MCI!$M$14/Page5_CAD_MCI!$K$14&lt;INDEX(Min_Table,L1171),Page5_CAD_MCI!$M$14/Page5_CAD_MCI!$K$14&gt;INDEX(Max_Table,L1171)))</f>
        <v>0</v>
      </c>
      <c r="D1171" s="1454" t="b">
        <f>OR(AND(Page5_CAD_MCI!$L14&lt;&gt;0,Page5_CAD_MCI!$M14=0),AND(Page5_CAD_MCI!$M14&lt;&gt;0,Page5_CAD_MCI!$L14=0))</f>
        <v>0</v>
      </c>
      <c r="E1171" s="1454" t="b">
        <f>IF(Page5_CAD_MCI!$K$14=0,FALSE,OR(Page5_CAD_MCI!$M$14/Page5_CAD_MCI!$K$14&lt;INDEX(Min_Table,M1171),Page5_CAD_MCI!$M$14/Page5_CAD_MCI!$K$14&gt;INDEX(Max_Table,M1171)))</f>
        <v>0</v>
      </c>
      <c r="F1171" s="1454"/>
      <c r="G1171" s="1444" t="str">
        <f t="shared" si="156"/>
        <v/>
      </c>
      <c r="H1171" s="1447" t="str">
        <f>IF(C1171=TRUE,Comments!$B$20&amp;DOLLAR(INDEX(Min_Table,L1171),0)&amp;Comments!$B$18&amp;DOLLAR(INDEX(Max_Table,L1171),0)&amp;Comments!$B$19&amp;DOLLAR(Page5_CAD_MCI!$M$14/Page5_CAD_MCI!$K$14,0),"")</f>
        <v/>
      </c>
      <c r="I1171" s="1446" t="str">
        <f>IF(D1171=TRUE,Comments!$B$24,"")</f>
        <v/>
      </c>
      <c r="J1171" s="1446" t="str">
        <f>IF(E1171=TRUE,Comments!$B$22&amp;DOLLAR(INDEX(Min_Table,M1171),0)&amp;Comments!$B$18&amp;DOLLAR(INDEX(Max_Table,M1171),0)&amp;Comments!$B$19&amp;IFERROR(DOLLAR(Page5_CAD_MCI!$M$14/Page5_CAD_MCI!$K$14,0),0),"")</f>
        <v/>
      </c>
      <c r="K1171" s="1452"/>
      <c r="L1171" s="611">
        <f>ROW(OR_VEH!$A$667)</f>
        <v>667</v>
      </c>
      <c r="M1171" s="611">
        <f>ROW(OR_VEH!$A$213)</f>
        <v>213</v>
      </c>
      <c r="N1171" s="611" t="str">
        <f>"CPTE # "&amp;Page5_CAD_MCI!$E$14&amp;"  "&amp;Page5_CAD_MCI!$C$14&amp;" - COÛT DES VENTES - AAD"</f>
        <v>CPTE # 410E  ELR - COÛT DES VENTES - AAD</v>
      </c>
      <c r="O1171" s="611" t="str">
        <f t="shared" si="163"/>
        <v/>
      </c>
      <c r="P1171" s="611" t="str">
        <f t="shared" si="157"/>
        <v>Page5_CAD_MCI!M</v>
      </c>
      <c r="Q1171" s="611">
        <f t="shared" si="158"/>
        <v>14</v>
      </c>
      <c r="R1171" s="1447">
        <f t="shared" ca="1" si="159"/>
        <v>0</v>
      </c>
      <c r="S1171" s="1447">
        <f t="shared" ca="1" si="160"/>
        <v>0</v>
      </c>
      <c r="T1171" s="611">
        <v>22</v>
      </c>
      <c r="V1171" s="2557" t="str">
        <f t="shared" ca="1" si="161"/>
        <v/>
      </c>
      <c r="W1171" s="611" t="str">
        <f t="shared" ca="1" si="162"/>
        <v>Page5_CAD_MCI, Ligne 11 [Page5_CAD_MCI!M14]  -</v>
      </c>
    </row>
    <row r="1172" spans="1:23">
      <c r="A1172" s="1443" t="str">
        <f>celladdr(Page5_CAD_MCI!M15)</f>
        <v>Page5_CAD_MCI!M15</v>
      </c>
      <c r="B1172" s="1456" t="s">
        <v>1086</v>
      </c>
      <c r="C1172" s="1451" t="b">
        <f>IF(Page5_CAD_MCI!$K$15=0,FALSE,OR(Page5_CAD_MCI!$M$15/Page5_CAD_MCI!$K$15&lt;INDEX(Min_Table,L1172),Page5_CAD_MCI!$M$15/Page5_CAD_MCI!$K$15&gt;INDEX(Max_Table,L1172)))</f>
        <v>0</v>
      </c>
      <c r="D1172" s="1454" t="b">
        <f>OR(AND(Page5_CAD_MCI!$L15&lt;&gt;0,Page5_CAD_MCI!$M15=0),AND(Page5_CAD_MCI!$M15&lt;&gt;0,Page5_CAD_MCI!$L15=0))</f>
        <v>0</v>
      </c>
      <c r="E1172" s="1454" t="b">
        <f>IF(Page5_CAD_MCI!$K$15=0,FALSE,OR(Page5_CAD_MCI!$M$15/Page5_CAD_MCI!$K$15&lt;INDEX(Min_Table,M1172),Page5_CAD_MCI!$M$15/Page5_CAD_MCI!$K$15&gt;INDEX(Max_Table,M1172)))</f>
        <v>0</v>
      </c>
      <c r="F1172" s="1454"/>
      <c r="G1172" s="1444" t="str">
        <f t="shared" si="156"/>
        <v/>
      </c>
      <c r="H1172" s="1447" t="str">
        <f>IF(C1172=TRUE,Comments!$B$20&amp;DOLLAR(INDEX(Min_Table,L1172),0)&amp;Comments!$B$18&amp;DOLLAR(INDEX(Max_Table,L1172),0)&amp;Comments!$B$19&amp;DOLLAR(Page5_CAD_MCI!$M$15/Page5_CAD_MCI!$K$15,0),"")</f>
        <v/>
      </c>
      <c r="I1172" s="1446" t="str">
        <f>IF(D1172=TRUE,Comments!$B$24,"")</f>
        <v/>
      </c>
      <c r="J1172" s="1446" t="str">
        <f>IF(E1172=TRUE,Comments!$B$22&amp;DOLLAR(INDEX(Min_Table,M1172),0)&amp;Comments!$B$18&amp;DOLLAR(INDEX(Max_Table,M1172),0)&amp;Comments!$B$19&amp;IFERROR(DOLLAR(Page5_CAD_MCI!$M$15/Page5_CAD_MCI!$K$15,0),0),"")</f>
        <v/>
      </c>
      <c r="K1172" s="1452"/>
      <c r="L1172" s="611">
        <f>ROW(OR_VEH!$A$667)</f>
        <v>667</v>
      </c>
      <c r="M1172" s="611">
        <f>ROW(OR_VEH!$A$214)</f>
        <v>214</v>
      </c>
      <c r="N1172" s="611" t="str">
        <f>"CPTE # "&amp;Page5_CAD_MCI!$E$15&amp;"  "&amp;Page5_CAD_MCI!$C$15&amp;" - COÛT DES VENTES - AAD"</f>
        <v>CPTE # 411E  ATS-V - COÛT DES VENTES - AAD</v>
      </c>
      <c r="O1172" s="611" t="str">
        <f t="shared" si="163"/>
        <v/>
      </c>
      <c r="P1172" s="611" t="str">
        <f t="shared" si="157"/>
        <v>Page5_CAD_MCI!M</v>
      </c>
      <c r="Q1172" s="611">
        <f t="shared" si="158"/>
        <v>15</v>
      </c>
      <c r="R1172" s="1447">
        <f t="shared" ca="1" si="159"/>
        <v>0</v>
      </c>
      <c r="S1172" s="1447">
        <f t="shared" ca="1" si="160"/>
        <v>0</v>
      </c>
      <c r="T1172" s="611">
        <v>22</v>
      </c>
      <c r="V1172" s="2557" t="str">
        <f t="shared" ca="1" si="161"/>
        <v/>
      </c>
      <c r="W1172" s="611" t="str">
        <f t="shared" ca="1" si="162"/>
        <v>Page5_CAD_MCI, Ligne 12 [Page5_CAD_MCI!M15]  -</v>
      </c>
    </row>
    <row r="1173" spans="1:23">
      <c r="A1173" s="1443" t="str">
        <f>celladdr(Page5_CAD_MCI!M16)</f>
        <v>Page5_CAD_MCI!M16</v>
      </c>
      <c r="B1173" s="1456" t="s">
        <v>1086</v>
      </c>
      <c r="C1173" s="1451" t="b">
        <f>IF(Page5_CAD_MCI!$K$16=0,FALSE,OR(Page5_CAD_MCI!$M$16/Page5_CAD_MCI!$K$16&lt;INDEX(Min_Table,L1173),Page5_CAD_MCI!$M$16/Page5_CAD_MCI!$K$16&gt;INDEX(Max_Table,L1173)))</f>
        <v>0</v>
      </c>
      <c r="D1173" s="1454" t="b">
        <f>OR(AND(Page5_CAD_MCI!$L16&lt;&gt;0,Page5_CAD_MCI!$M16=0),AND(Page5_CAD_MCI!$M16&lt;&gt;0,Page5_CAD_MCI!$L16=0))</f>
        <v>0</v>
      </c>
      <c r="E1173" s="1454" t="b">
        <f>IF(Page5_CAD_MCI!$K$16=0,FALSE,OR(Page5_CAD_MCI!$M$16/Page5_CAD_MCI!$K$16&lt;INDEX(Min_Table,M1173),Page5_CAD_MCI!$M$16/Page5_CAD_MCI!$K$16&gt;INDEX(Max_Table,M1173)))</f>
        <v>0</v>
      </c>
      <c r="F1173" s="1454"/>
      <c r="G1173" s="1444" t="str">
        <f t="shared" si="156"/>
        <v/>
      </c>
      <c r="H1173" s="1447" t="str">
        <f>IF(C1173=TRUE,Comments!$B$20&amp;DOLLAR(INDEX(Min_Table,L1173),0)&amp;Comments!$B$18&amp;DOLLAR(INDEX(Max_Table,L1173),0)&amp;Comments!$B$19&amp;DOLLAR(Page5_CAD_MCI!$M$16/Page5_CAD_MCI!$K$16,0),"")</f>
        <v/>
      </c>
      <c r="I1173" s="1446" t="str">
        <f>IF(D1173=TRUE,Comments!$B$24,"")</f>
        <v/>
      </c>
      <c r="J1173" s="1446" t="str">
        <f>IF(E1173=TRUE,Comments!$B$22&amp;DOLLAR(INDEX(Min_Table,M1173),0)&amp;Comments!$B$18&amp;DOLLAR(INDEX(Max_Table,M1173),0)&amp;Comments!$B$19&amp;IFERROR(DOLLAR(Page5_CAD_MCI!$M$16/Page5_CAD_MCI!$K$16,0),0),"")</f>
        <v/>
      </c>
      <c r="K1173" s="1452"/>
      <c r="L1173" s="611">
        <f>ROW(OR_VEH!$A$667)</f>
        <v>667</v>
      </c>
      <c r="M1173" s="611">
        <f>ROW(OR_VEH!$A$215)</f>
        <v>215</v>
      </c>
      <c r="N1173" s="611" t="str">
        <f>"CPTE # "&amp;Page5_CAD_MCI!$E$16&amp;"  "&amp;Page5_CAD_MCI!$C$16&amp;" - COÛT DES VENTES - AAD"</f>
        <v>CPTE # 412E  CT6 - COÛT DES VENTES - AAD</v>
      </c>
      <c r="O1173" s="611" t="str">
        <f t="shared" si="163"/>
        <v/>
      </c>
      <c r="P1173" s="611" t="str">
        <f t="shared" si="157"/>
        <v>Page5_CAD_MCI!M</v>
      </c>
      <c r="Q1173" s="611">
        <f t="shared" si="158"/>
        <v>16</v>
      </c>
      <c r="R1173" s="1447">
        <f t="shared" ca="1" si="159"/>
        <v>0</v>
      </c>
      <c r="S1173" s="1447">
        <f t="shared" ca="1" si="160"/>
        <v>0</v>
      </c>
      <c r="T1173" s="611">
        <v>22</v>
      </c>
      <c r="V1173" s="2557" t="str">
        <f t="shared" ca="1" si="161"/>
        <v/>
      </c>
      <c r="W1173" s="611" t="str">
        <f t="shared" ca="1" si="162"/>
        <v>Page5_CAD_MCI, Ligne 13 [Page5_CAD_MCI!M16]  -</v>
      </c>
    </row>
    <row r="1174" spans="1:23">
      <c r="A1174" s="1443" t="str">
        <f>celladdr(Page5_CAD_MCI!M17)</f>
        <v>Page5_CAD_MCI!M17</v>
      </c>
      <c r="B1174" s="1456" t="s">
        <v>1086</v>
      </c>
      <c r="C1174" s="1451" t="b">
        <f>IF(Page5_CAD_MCI!$K$17=0,FALSE,OR(Page5_CAD_MCI!$M$17/Page5_CAD_MCI!$K$17&lt;INDEX(Min_Table,L1174),Page5_CAD_MCI!$M$17/Page5_CAD_MCI!$K$17&gt;INDEX(Max_Table,L1174)))</f>
        <v>0</v>
      </c>
      <c r="D1174" s="1454" t="b">
        <f>OR(AND(Page5_CAD_MCI!$L17&lt;&gt;0,Page5_CAD_MCI!$M17=0),AND(Page5_CAD_MCI!$M17&lt;&gt;0,Page5_CAD_MCI!$L17=0))</f>
        <v>0</v>
      </c>
      <c r="E1174" s="1454" t="b">
        <f>IF(Page5_CAD_MCI!$K$17=0,FALSE,OR(Page5_CAD_MCI!$M$17/Page5_CAD_MCI!$K$17&lt;INDEX(Min_Table,M1174),Page5_CAD_MCI!$M$17/Page5_CAD_MCI!$K$17&gt;INDEX(Max_Table,M1174)))</f>
        <v>0</v>
      </c>
      <c r="F1174" s="1454"/>
      <c r="G1174" s="1444" t="str">
        <f t="shared" si="156"/>
        <v/>
      </c>
      <c r="H1174" s="1447" t="str">
        <f>IF(C1174=TRUE,Comments!$B$20&amp;DOLLAR(INDEX(Min_Table,L1174),0)&amp;Comments!$B$18&amp;DOLLAR(INDEX(Max_Table,L1174),0)&amp;Comments!$B$19&amp;DOLLAR(Page5_CAD_MCI!$M$17/Page5_CAD_MCI!$K$17,0),"")</f>
        <v/>
      </c>
      <c r="I1174" s="1446" t="str">
        <f>IF(D1174=TRUE,Comments!$B$24,"")</f>
        <v/>
      </c>
      <c r="J1174" s="1446" t="str">
        <f>IF(E1174=TRUE,Comments!$B$22&amp;DOLLAR(INDEX(Min_Table,M1174),0)&amp;Comments!$B$18&amp;DOLLAR(INDEX(Max_Table,M1174),0)&amp;Comments!$B$19&amp;IFERROR(DOLLAR(Page5_CAD_MCI!$M$17/Page5_CAD_MCI!$K$17,0),0),"")</f>
        <v/>
      </c>
      <c r="K1174" s="1452"/>
      <c r="L1174" s="611">
        <f>ROW(OR_VEH!$A$667)</f>
        <v>667</v>
      </c>
      <c r="M1174" s="611">
        <f>ROW(OR_VEH!$A$216)</f>
        <v>216</v>
      </c>
      <c r="N1174" s="611" t="str">
        <f>"CPTE # "&amp;Page5_CAD_MCI!$E$17&amp;"  "&amp;Page5_CAD_MCI!$C$17&amp;" - COÛT DES VENTES - AAD"</f>
        <v>CPTE # 413E  NE PAS UTILISER - COÛT DES VENTES - AAD</v>
      </c>
      <c r="O1174" s="611" t="str">
        <f t="shared" si="163"/>
        <v/>
      </c>
      <c r="P1174" s="611" t="str">
        <f t="shared" si="157"/>
        <v>Page5_CAD_MCI!M</v>
      </c>
      <c r="Q1174" s="611">
        <f t="shared" si="158"/>
        <v>17</v>
      </c>
      <c r="R1174" s="1447">
        <f t="shared" ca="1" si="159"/>
        <v>0</v>
      </c>
      <c r="S1174" s="1447">
        <f t="shared" ca="1" si="160"/>
        <v>0</v>
      </c>
      <c r="T1174" s="611">
        <v>22</v>
      </c>
      <c r="V1174" s="2557" t="str">
        <f t="shared" ca="1" si="161"/>
        <v/>
      </c>
      <c r="W1174" s="611" t="str">
        <f t="shared" ca="1" si="162"/>
        <v>Page5_CAD_MCI, Ligne 14 [Page5_CAD_MCI!M17]  -</v>
      </c>
    </row>
    <row r="1175" spans="1:23">
      <c r="A1175" s="1443" t="str">
        <f>celladdr(Page5_CAD_MCI!M18)</f>
        <v>Page5_CAD_MCI!M18</v>
      </c>
      <c r="B1175" s="1456" t="s">
        <v>1086</v>
      </c>
      <c r="C1175" s="1451" t="b">
        <f>IF(Page5_CAD_MCI!$K$18=0,FALSE,OR(Page5_CAD_MCI!$M$18/Page5_CAD_MCI!$K$18&lt;INDEX(Min_Table,L1175),Page5_CAD_MCI!$M$18/Page5_CAD_MCI!$K$18&gt;INDEX(Max_Table,L1175)))</f>
        <v>0</v>
      </c>
      <c r="D1175" s="1454" t="b">
        <f>OR(AND(Page5_CAD_MCI!$L18&lt;&gt;0,Page5_CAD_MCI!$M18=0),AND(Page5_CAD_MCI!$M18&lt;&gt;0,Page5_CAD_MCI!$L18=0))</f>
        <v>0</v>
      </c>
      <c r="E1175" s="1454" t="b">
        <f>IF(Page5_CAD_MCI!$K$18=0,FALSE,OR(Page5_CAD_MCI!$M$18/Page5_CAD_MCI!$K$18&lt;INDEX(Min_Table,M1175),Page5_CAD_MCI!$M$18/Page5_CAD_MCI!$K$18&gt;INDEX(Max_Table,M1175)))</f>
        <v>0</v>
      </c>
      <c r="F1175" s="1454"/>
      <c r="G1175" s="1444" t="str">
        <f t="shared" si="156"/>
        <v/>
      </c>
      <c r="H1175" s="1447" t="str">
        <f>IF(C1175=TRUE,Comments!$B$20&amp;DOLLAR(INDEX(Min_Table,L1175),0)&amp;Comments!$B$18&amp;DOLLAR(INDEX(Max_Table,L1175),0)&amp;Comments!$B$19&amp;DOLLAR(Page5_CAD_MCI!$M$18/Page5_CAD_MCI!$K$18,0),"")</f>
        <v/>
      </c>
      <c r="I1175" s="1446" t="str">
        <f>IF(D1175=TRUE,Comments!$B$24,"")</f>
        <v/>
      </c>
      <c r="J1175" s="1446" t="str">
        <f>IF(E1175=TRUE,Comments!$B$22&amp;DOLLAR(INDEX(Min_Table,M1175),0)&amp;Comments!$B$18&amp;DOLLAR(INDEX(Max_Table,M1175),0)&amp;Comments!$B$19&amp;IFERROR(DOLLAR(Page5_CAD_MCI!$M$18/Page5_CAD_MCI!$K$18,0),0),"")</f>
        <v/>
      </c>
      <c r="K1175" s="1452"/>
      <c r="L1175" s="611">
        <f>ROW(OR_VEH!$A$667)</f>
        <v>667</v>
      </c>
      <c r="M1175" s="611">
        <f>ROW(OR_VEH!$A$217)</f>
        <v>217</v>
      </c>
      <c r="N1175" s="611" t="str">
        <f>"CPTE # "&amp;Page5_CAD_MCI!$E$18&amp;"  "&amp;Page5_CAD_MCI!$C$18&amp;" - COÛT DES VENTES - AAD"</f>
        <v>CPTE # 414E  NE PAS UTILISER - COÛT DES VENTES - AAD</v>
      </c>
      <c r="O1175" s="611" t="str">
        <f t="shared" si="163"/>
        <v/>
      </c>
      <c r="P1175" s="611" t="str">
        <f t="shared" si="157"/>
        <v>Page5_CAD_MCI!M</v>
      </c>
      <c r="Q1175" s="611">
        <f t="shared" si="158"/>
        <v>18</v>
      </c>
      <c r="R1175" s="1447">
        <f t="shared" ca="1" si="159"/>
        <v>0</v>
      </c>
      <c r="S1175" s="1447">
        <f t="shared" ca="1" si="160"/>
        <v>0</v>
      </c>
      <c r="T1175" s="611">
        <v>22</v>
      </c>
      <c r="V1175" s="2557" t="str">
        <f t="shared" ca="1" si="161"/>
        <v/>
      </c>
      <c r="W1175" s="611" t="str">
        <f t="shared" ca="1" si="162"/>
        <v>Page5_CAD_MCI, Ligne 15 [Page5_CAD_MCI!M18]  -</v>
      </c>
    </row>
    <row r="1176" spans="1:23">
      <c r="A1176" s="1443" t="str">
        <f>celladdr(Page5_CAD_MCI!M19)</f>
        <v>Page5_CAD_MCI!M19</v>
      </c>
      <c r="B1176" s="1456" t="s">
        <v>1086</v>
      </c>
      <c r="C1176" s="1451" t="b">
        <f>IF(Page5_CAD_MCI!$K$19=0,FALSE,OR(Page5_CAD_MCI!$M$19/Page5_CAD_MCI!$K$19&lt;INDEX(Min_Table,L1176),Page5_CAD_MCI!$M$19/Page5_CAD_MCI!$K$19&gt;INDEX(Max_Table,L1176)))</f>
        <v>0</v>
      </c>
      <c r="D1176" s="1454" t="b">
        <f>OR(AND(Page5_CAD_MCI!$L19&lt;&gt;0,Page5_CAD_MCI!$M19=0),AND(Page5_CAD_MCI!$M19&lt;&gt;0,Page5_CAD_MCI!$L19=0))</f>
        <v>0</v>
      </c>
      <c r="E1176" s="1454" t="b">
        <f>IF(Page5_CAD_MCI!$K$19=0,FALSE,OR(Page5_CAD_MCI!$M$19/Page5_CAD_MCI!$K$19&lt;INDEX(Min_Table,M1176),Page5_CAD_MCI!$M$19/Page5_CAD_MCI!$K$19&gt;INDEX(Max_Table,M1176)))</f>
        <v>0</v>
      </c>
      <c r="F1176" s="1454"/>
      <c r="G1176" s="1444" t="str">
        <f t="shared" si="156"/>
        <v/>
      </c>
      <c r="H1176" s="1447" t="str">
        <f>IF(C1176=TRUE,Comments!$B$20&amp;DOLLAR(INDEX(Min_Table,L1176),0)&amp;Comments!$B$18&amp;DOLLAR(INDEX(Max_Table,L1176),0)&amp;Comments!$B$19&amp;DOLLAR(Page5_CAD_MCI!$M$19/Page5_CAD_MCI!$K$19,0),"")</f>
        <v/>
      </c>
      <c r="I1176" s="1446" t="str">
        <f>IF(D1176=TRUE,Comments!$B$24,"")</f>
        <v/>
      </c>
      <c r="J1176" s="1446" t="str">
        <f>IF(E1176=TRUE,Comments!$B$22&amp;DOLLAR(INDEX(Min_Table,M1176),0)&amp;Comments!$B$18&amp;DOLLAR(INDEX(Max_Table,M1176),0)&amp;Comments!$B$19&amp;IFERROR(DOLLAR(Page5_CAD_MCI!$M$19/Page5_CAD_MCI!$K$19,0),0),"")</f>
        <v/>
      </c>
      <c r="K1176" s="1452"/>
      <c r="L1176" s="611">
        <f>ROW(OR_VEH!$A$667)</f>
        <v>667</v>
      </c>
      <c r="M1176" s="611">
        <f>ROW(OR_VEH!$A$218)</f>
        <v>218</v>
      </c>
      <c r="N1176" s="611" t="str">
        <f>"CPTE # "&amp;Page5_CAD_MCI!$E$19&amp;"  "&amp;Page5_CAD_MCI!$C$19&amp;" - COÛT DES VENTES - AAD"</f>
        <v>CPTE # 415E  NE PAS UTILISER - COÛT DES VENTES - AAD</v>
      </c>
      <c r="O1176" s="611" t="str">
        <f t="shared" si="163"/>
        <v/>
      </c>
      <c r="P1176" s="611" t="str">
        <f t="shared" si="157"/>
        <v>Page5_CAD_MCI!M</v>
      </c>
      <c r="Q1176" s="611">
        <f t="shared" si="158"/>
        <v>19</v>
      </c>
      <c r="R1176" s="1447">
        <f t="shared" ca="1" si="159"/>
        <v>0</v>
      </c>
      <c r="S1176" s="1447">
        <f t="shared" ca="1" si="160"/>
        <v>0</v>
      </c>
      <c r="T1176" s="611">
        <v>22</v>
      </c>
      <c r="V1176" s="2557" t="str">
        <f t="shared" ca="1" si="161"/>
        <v/>
      </c>
      <c r="W1176" s="611" t="str">
        <f t="shared" ca="1" si="162"/>
        <v>Page5_CAD_MCI, Ligne 16 [Page5_CAD_MCI!M19]  -</v>
      </c>
    </row>
    <row r="1177" spans="1:23">
      <c r="A1177" s="1443" t="str">
        <f>celladdr(Page5_CAD_MCI!M20)</f>
        <v>Page5_CAD_MCI!M20</v>
      </c>
      <c r="B1177" s="1456" t="s">
        <v>1086</v>
      </c>
      <c r="C1177" s="1451"/>
      <c r="D1177" s="1454"/>
      <c r="E1177" s="1454"/>
      <c r="F1177" s="1454"/>
      <c r="G1177" s="1444" t="str">
        <f t="shared" si="156"/>
        <v/>
      </c>
      <c r="I1177" s="1446"/>
      <c r="J1177" s="1446"/>
      <c r="K1177" s="1452"/>
      <c r="L1177" s="611">
        <f>ROW(OR_VEH!$A$667)</f>
        <v>667</v>
      </c>
      <c r="M1177" s="611">
        <f>ROW(OR_VEH!$A$219)</f>
        <v>219</v>
      </c>
      <c r="N1177" s="611" t="str">
        <f>"CPTE # "&amp;Page5_CAD_MCI!$E$20&amp;"  "&amp;Page5_CAD_MCI!$C$20&amp;" - COÛT DES VENTES - AAD"</f>
        <v>CPTE # 416E  POUR USAGE FUTUR - COÛT DES VENTES - AAD</v>
      </c>
      <c r="O1177" s="611" t="str">
        <f t="shared" si="163"/>
        <v/>
      </c>
      <c r="P1177" s="611" t="str">
        <f t="shared" si="157"/>
        <v>Page5_CAD_MCI!M</v>
      </c>
      <c r="Q1177" s="611">
        <f t="shared" si="158"/>
        <v>20</v>
      </c>
      <c r="R1177" s="1447">
        <f t="shared" ca="1" si="159"/>
        <v>0</v>
      </c>
      <c r="S1177" s="1447">
        <f t="shared" ca="1" si="160"/>
        <v>0</v>
      </c>
      <c r="T1177" s="611">
        <v>22</v>
      </c>
      <c r="V1177" s="2557" t="str">
        <f t="shared" ca="1" si="161"/>
        <v/>
      </c>
      <c r="W1177" s="611" t="str">
        <f t="shared" ca="1" si="162"/>
        <v>Page5_CAD_MCI, Ligne 17 [Page5_CAD_MCI!M20]  -</v>
      </c>
    </row>
    <row r="1178" spans="1:23">
      <c r="A1178" s="1443" t="str">
        <f>celladdr(Page5_CAD_MCI!M21)</f>
        <v>Page5_CAD_MCI!M21</v>
      </c>
      <c r="B1178" s="1456" t="s">
        <v>1086</v>
      </c>
      <c r="C1178" s="1451" t="b">
        <f>IF(Page5_CAD_MCI!$K$21=0,FALSE,OR(Page5_CAD_MCI!$M$21/Page5_CAD_MCI!$K$21&lt;INDEX(Min_Table,L1178),Page5_CAD_MCI!$M$21/Page5_CAD_MCI!$K$21&gt;INDEX(Max_Table,L1178)))</f>
        <v>0</v>
      </c>
      <c r="D1178" s="1454" t="b">
        <f>OR(AND(Page5_CAD_MCI!$L21&lt;&gt;0,Page5_CAD_MCI!$M21=0),AND(Page5_CAD_MCI!$M21&lt;&gt;0,Page5_CAD_MCI!$L21=0))</f>
        <v>0</v>
      </c>
      <c r="E1178" s="1454" t="b">
        <f>IF(Page5_CAD_MCI!$K$21=0,FALSE,OR(Page5_CAD_MCI!$M$21/Page5_CAD_MCI!$K$21&lt;INDEX(Min_Table,M1178),Page5_CAD_MCI!$M$21/Page5_CAD_MCI!$K$21&gt;INDEX(Max_Table,M1178)))</f>
        <v>0</v>
      </c>
      <c r="F1178" s="1454"/>
      <c r="G1178" s="1444" t="str">
        <f t="shared" si="156"/>
        <v/>
      </c>
      <c r="H1178" s="1447" t="str">
        <f>IF(C1178=TRUE,Comments!$B$20&amp;DOLLAR(INDEX(Min_Table,L1178),0)&amp;Comments!$B$18&amp;DOLLAR(INDEX(Max_Table,L1178),0)&amp;Comments!$B$19&amp;DOLLAR(Page5_CAD_MCI!$M$21/Page5_CAD_MCI!$K$21,0),"")</f>
        <v/>
      </c>
      <c r="I1178" s="1446" t="str">
        <f>IF(D1178=TRUE,Comments!$B$24,"")</f>
        <v/>
      </c>
      <c r="J1178" s="1446" t="str">
        <f>IF(E1178=TRUE,Comments!$B$22&amp;DOLLAR(INDEX(Min_Table,M1178),0)&amp;Comments!$B$18&amp;DOLLAR(INDEX(Max_Table,M1178),0)&amp;Comments!$B$19&amp;IFERROR(DOLLAR(Page5_CAD_MCI!$M$21/Page5_CAD_MCI!$K$21,0),0),"")</f>
        <v/>
      </c>
      <c r="K1178" s="1452"/>
      <c r="L1178" s="611">
        <f>ROW(OR_VEH!$A$667)</f>
        <v>667</v>
      </c>
      <c r="M1178" s="611">
        <f>ROW(OR_VEH!$A$220)</f>
        <v>220</v>
      </c>
      <c r="N1178" s="611" t="str">
        <f>"CPTE # "&amp;Page5_CAD_MCI!$E$21&amp;"  "&amp;Page5_CAD_MCI!$C$21&amp;" - COÛT DES VENTES - AAD"</f>
        <v>CPTE # 417E  NE PAS UTILISER - COÛT DES VENTES - AAD</v>
      </c>
      <c r="O1178" s="611" t="str">
        <f t="shared" si="163"/>
        <v/>
      </c>
      <c r="P1178" s="611" t="str">
        <f t="shared" si="157"/>
        <v>Page5_CAD_MCI!M</v>
      </c>
      <c r="Q1178" s="611">
        <f t="shared" si="158"/>
        <v>21</v>
      </c>
      <c r="R1178" s="1447">
        <f t="shared" ca="1" si="159"/>
        <v>0</v>
      </c>
      <c r="S1178" s="1447">
        <f t="shared" ca="1" si="160"/>
        <v>0</v>
      </c>
      <c r="T1178" s="611">
        <v>22</v>
      </c>
      <c r="V1178" s="2557" t="str">
        <f t="shared" ca="1" si="161"/>
        <v/>
      </c>
      <c r="W1178" s="611" t="str">
        <f t="shared" ca="1" si="162"/>
        <v>Page5_CAD_MCI, Ligne 18 [Page5_CAD_MCI!M21]  -</v>
      </c>
    </row>
    <row r="1179" spans="1:23">
      <c r="A1179" s="1443" t="str">
        <f>celladdr(Page5_CAD_MCI!M22)</f>
        <v>Page5_CAD_MCI!M22</v>
      </c>
      <c r="B1179" s="1456" t="s">
        <v>1086</v>
      </c>
      <c r="C1179" s="1451" t="b">
        <f>IF(Page5_CAD_MCI!$K$22=0,FALSE,OR(Page5_CAD_MCI!$M$22/Page5_CAD_MCI!$K$22&lt;INDEX(Min_Table,L1179),Page5_CAD_MCI!$M$22/Page5_CAD_MCI!$K$22&gt;INDEX(Max_Table,L1179)))</f>
        <v>0</v>
      </c>
      <c r="D1179" s="1454" t="b">
        <f>OR(AND(Page5_CAD_MCI!$L22&lt;&gt;0,Page5_CAD_MCI!$M22=0),AND(Page5_CAD_MCI!$M22&lt;&gt;0,Page5_CAD_MCI!$L22=0))</f>
        <v>0</v>
      </c>
      <c r="E1179" s="1454" t="b">
        <f>IF(Page5_CAD_MCI!$K$22=0,FALSE,OR(Page5_CAD_MCI!$M$22/Page5_CAD_MCI!$K$22&lt;INDEX(Min_Table,M1179),Page5_CAD_MCI!$M$22/Page5_CAD_MCI!$K$22&gt;INDEX(Max_Table,M1179)))</f>
        <v>0</v>
      </c>
      <c r="F1179" s="1454"/>
      <c r="G1179" s="1444" t="str">
        <f t="shared" si="156"/>
        <v/>
      </c>
      <c r="H1179" s="1447" t="str">
        <f>IF(C1179=TRUE,Comments!$B$20&amp;DOLLAR(INDEX(Min_Table,L1179),0)&amp;Comments!$B$18&amp;DOLLAR(INDEX(Max_Table,L1179),0)&amp;Comments!$B$19&amp;DOLLAR(Page5_CAD_MCI!$M$22/Page5_CAD_MCI!$K$22,0),"")</f>
        <v/>
      </c>
      <c r="I1179" s="1446" t="str">
        <f>IF(D1179=TRUE,Comments!$B$24,"")</f>
        <v/>
      </c>
      <c r="J1179" s="1446" t="str">
        <f>IF(E1179=TRUE,Comments!$B$22&amp;DOLLAR(INDEX(Min_Table,M1179),0)&amp;Comments!$B$18&amp;DOLLAR(INDEX(Max_Table,M1179),0)&amp;Comments!$B$19&amp;IFERROR(DOLLAR(Page5_CAD_MCI!$M$22/Page5_CAD_MCI!$K$22,0),0),"")</f>
        <v/>
      </c>
      <c r="K1179" s="1452"/>
      <c r="L1179" s="611">
        <f>ROW(OR_VEH!$A$667)</f>
        <v>667</v>
      </c>
      <c r="M1179" s="611">
        <f>ROW(OR_VEH!$A$221)</f>
        <v>221</v>
      </c>
      <c r="N1179" s="611" t="str">
        <f>"CPTE # "&amp;Page5_CAD_MCI!$E$22&amp;"  "&amp;Page5_CAD_MCI!$C$22&amp;" - COÛT DES VENTES - AAD"</f>
        <v>CPTE # 418E  AUTRES CADILLAC - COÛT DES VENTES - AAD</v>
      </c>
      <c r="O1179" s="611" t="str">
        <f t="shared" si="163"/>
        <v/>
      </c>
      <c r="P1179" s="611" t="str">
        <f t="shared" si="157"/>
        <v>Page5_CAD_MCI!M</v>
      </c>
      <c r="Q1179" s="611">
        <f t="shared" si="158"/>
        <v>22</v>
      </c>
      <c r="R1179" s="1447">
        <f t="shared" ca="1" si="159"/>
        <v>0</v>
      </c>
      <c r="S1179" s="1447">
        <f t="shared" ca="1" si="160"/>
        <v>0</v>
      </c>
      <c r="T1179" s="611">
        <v>22</v>
      </c>
      <c r="V1179" s="2557" t="str">
        <f t="shared" ca="1" si="161"/>
        <v/>
      </c>
      <c r="W1179" s="611" t="str">
        <f t="shared" ca="1" si="162"/>
        <v>Page5_CAD_MCI, Ligne 19 [Page5_CAD_MCI!M22]  -</v>
      </c>
    </row>
    <row r="1180" spans="1:23">
      <c r="A1180" s="1443" t="str">
        <f>celladdr(Page5_CAD_MCI!M23)</f>
        <v>Page5_CAD_MCI!M23</v>
      </c>
      <c r="B1180" s="1444" t="s">
        <v>1086</v>
      </c>
      <c r="C1180" s="1451"/>
      <c r="D1180" s="1454"/>
      <c r="E1180" s="1454"/>
      <c r="F1180" s="1454"/>
      <c r="G1180" s="1444" t="str">
        <f t="shared" si="156"/>
        <v/>
      </c>
      <c r="H1180" s="1447" t="str">
        <f>IF(C1180=TRUE,Comments!$B$26,"")</f>
        <v/>
      </c>
      <c r="I1180" s="1446" t="str">
        <f>IF(D1180=TRUE,Comments!$B$24,"")</f>
        <v/>
      </c>
      <c r="J1180" s="1446"/>
      <c r="K1180" s="1452"/>
      <c r="O1180" s="611" t="str">
        <f t="shared" si="163"/>
        <v/>
      </c>
      <c r="P1180" s="611" t="str">
        <f t="shared" si="157"/>
        <v>Page5_CAD_MCI!M</v>
      </c>
      <c r="Q1180" s="611">
        <f t="shared" si="158"/>
        <v>23</v>
      </c>
      <c r="R1180" s="1447">
        <f t="shared" ca="1" si="159"/>
        <v>0</v>
      </c>
      <c r="S1180" s="1447">
        <f t="shared" ca="1" si="160"/>
        <v>0</v>
      </c>
      <c r="V1180" s="2557" t="str">
        <f t="shared" ca="1" si="161"/>
        <v/>
      </c>
      <c r="W1180" s="611" t="str">
        <f t="shared" ca="1" si="162"/>
        <v>Page5_CAD_MCI, Ligne 20 [Page5_CAD_MCI!M23]  -</v>
      </c>
    </row>
    <row r="1181" spans="1:23">
      <c r="A1181" s="1443" t="str">
        <f>celladdr(Page5_CAD_MCI!M24)</f>
        <v>Page5_CAD_MCI!M24</v>
      </c>
      <c r="B1181" s="1456" t="s">
        <v>1086</v>
      </c>
      <c r="C1181" s="1451" t="b">
        <f>IF(Page5_CAD_MCI!$K$24=0,FALSE,OR(Page5_CAD_MCI!$M$24/Page5_CAD_MCI!$K$24&lt;INDEX(Min_Table,L1181),Page5_CAD_MCI!$M$24/Page5_CAD_MCI!$K$24&gt;INDEX(Max_Table,L1181)))</f>
        <v>0</v>
      </c>
      <c r="D1181" s="1454" t="b">
        <f>OR(AND(Page5_CAD_MCI!$L24&lt;&gt;0,Page5_CAD_MCI!$M24=0),AND(Page5_CAD_MCI!$M24&lt;&gt;0,Page5_CAD_MCI!$L24=0))</f>
        <v>0</v>
      </c>
      <c r="E1181" s="1454" t="b">
        <f>IF(Page5_CAD_MCI!$K$24=0,FALSE,OR(Page5_CAD_MCI!$M$24/Page5_CAD_MCI!$K$24&lt;INDEX(Min_Table,M1181),Page5_CAD_MCI!$M$24/Page5_CAD_MCI!$K$24&gt;INDEX(Max_Table,M1181)))</f>
        <v>0</v>
      </c>
      <c r="F1181" s="1454"/>
      <c r="G1181" s="1444" t="str">
        <f t="shared" si="156"/>
        <v/>
      </c>
      <c r="H1181" s="1447" t="str">
        <f>IF(C1181=TRUE,Comments!$B$20&amp;DOLLAR(INDEX(Min_Table,L1181),0)&amp;Comments!$B$18&amp;DOLLAR(INDEX(Max_Table,L1181),0)&amp;Comments!$B$19&amp;DOLLAR(Page5_CAD_MCI!$M$24/Page5_CAD_MCI!$K$24,0),"")</f>
        <v/>
      </c>
      <c r="I1181" s="1446" t="str">
        <f>IF(D1181=TRUE,Comments!$B$24,"")</f>
        <v/>
      </c>
      <c r="J1181" s="1446" t="str">
        <f>IF(E1181=TRUE,Comments!$B$22&amp;DOLLAR(INDEX(Min_Table,M1181),0)&amp;Comments!$B$18&amp;DOLLAR(INDEX(Max_Table,M1181),0)&amp;Comments!$B$19&amp;IFERROR(DOLLAR(Page5_CAD_MCI!$M$24/Page5_CAD_MCI!$K$24,0),0),"")</f>
        <v/>
      </c>
      <c r="K1181" s="1452"/>
      <c r="L1181" s="611">
        <f>ROW(OR_VEH!$A$667)</f>
        <v>667</v>
      </c>
      <c r="M1181" s="611">
        <f>ROW(OR_VEH!$A$223)</f>
        <v>223</v>
      </c>
      <c r="N1181" s="611" t="str">
        <f>"CPTE # "&amp;Page5_CAD_MCI!$E$24&amp;"  "&amp;Page5_CAD_MCI!$C$24&amp;" - COÛT DES VENTES - AAD"</f>
        <v>CPTE # 419E  MÉMO* VENTES INTERNET VOITURES - COÛT DES VENTES - AAD</v>
      </c>
      <c r="O1181" s="611" t="str">
        <f t="shared" si="163"/>
        <v/>
      </c>
      <c r="P1181" s="611" t="str">
        <f t="shared" si="157"/>
        <v>Page5_CAD_MCI!M</v>
      </c>
      <c r="Q1181" s="611">
        <f t="shared" si="158"/>
        <v>24</v>
      </c>
      <c r="R1181" s="1447">
        <f t="shared" ca="1" si="159"/>
        <v>0</v>
      </c>
      <c r="S1181" s="1447">
        <f t="shared" ca="1" si="160"/>
        <v>0</v>
      </c>
      <c r="T1181" s="611">
        <v>22</v>
      </c>
      <c r="V1181" s="2557" t="str">
        <f t="shared" ca="1" si="161"/>
        <v/>
      </c>
      <c r="W1181" s="611" t="str">
        <f t="shared" ca="1" si="162"/>
        <v>Page5_CAD_MCI, Ligne 21 [Page5_CAD_MCI!M24]  -</v>
      </c>
    </row>
    <row r="1182" spans="1:23">
      <c r="A1182" s="1443" t="str">
        <f>celladdr(Page5_CAD_MCI!M25)</f>
        <v>Page5_CAD_MCI!M25</v>
      </c>
      <c r="B1182" s="1456" t="s">
        <v>1086</v>
      </c>
      <c r="C1182" s="1451" t="b">
        <f>IF(Page5_CAD_MCI!$K$25=0,FALSE,OR(Page5_CAD_MCI!$M$25/Page5_CAD_MCI!$K$25&lt;INDEX(Min_Table,L1182),Page5_CAD_MCI!$M$25/Page5_CAD_MCI!$K$25&gt;INDEX(Max_Table,L1182)))</f>
        <v>0</v>
      </c>
      <c r="D1182" s="1454" t="b">
        <f>OR(AND(Page5_CAD_MCI!$L25&lt;&gt;0,Page5_CAD_MCI!$M25=0),AND(Page5_CAD_MCI!$M25&lt;&gt;0,Page5_CAD_MCI!$L25=0))</f>
        <v>0</v>
      </c>
      <c r="E1182" s="1454" t="b">
        <f>IF(Page5_CAD_MCI!$K$25=0,FALSE,OR(Page5_CAD_MCI!$M$25/Page5_CAD_MCI!$K$25&lt;INDEX(Min_Table,M1182),Page5_CAD_MCI!$M$25/Page5_CAD_MCI!$K$25&gt;INDEX(Max_Table,M1182)))</f>
        <v>0</v>
      </c>
      <c r="F1182" s="1454"/>
      <c r="G1182" s="1444" t="str">
        <f t="shared" si="156"/>
        <v/>
      </c>
      <c r="H1182" s="1447" t="str">
        <f>IF(C1182=TRUE,Comments!$B$20&amp;DOLLAR(INDEX(Min_Table,L1182),0)&amp;Comments!$B$18&amp;DOLLAR(INDEX(Max_Table,L1182),0)&amp;Comments!$B$19&amp;DOLLAR(Page5_CAD_MCI!$M$25/Page5_CAD_MCI!$K$25,0),"")</f>
        <v/>
      </c>
      <c r="I1182" s="1446" t="str">
        <f>IF(D1182=TRUE,Comments!$B$24,"")</f>
        <v/>
      </c>
      <c r="J1182" s="1446" t="str">
        <f>IF(E1182=TRUE,Comments!$B$22&amp;DOLLAR(INDEX(Min_Table,M1182),0)&amp;Comments!$B$18&amp;DOLLAR(INDEX(Max_Table,M1182),0)&amp;Comments!$B$19&amp;IFERROR(DOLLAR(Page5_CAD_MCI!$M$25/Page5_CAD_MCI!$K$25,0),0),"")</f>
        <v/>
      </c>
      <c r="K1182" s="1452"/>
      <c r="L1182" s="611">
        <f>ROW(OR_VEH!$A$667)</f>
        <v>667</v>
      </c>
      <c r="M1182" s="611">
        <f>ROW(OR_VEH!$A$224)</f>
        <v>224</v>
      </c>
      <c r="N1182" s="611" t="str">
        <f>"CPTE # "&amp;Page5_CAD_MCI!$E$25&amp;"  "&amp;Page5_CAD_MCI!$C$25&amp;" - COÛT DES VENTES - AAD"</f>
        <v>CPTE # DE PG PARCS  TOTAL PARCS - VOITURES - COÛT DES VENTES - AAD</v>
      </c>
      <c r="O1182" s="611" t="str">
        <f t="shared" si="163"/>
        <v/>
      </c>
      <c r="P1182" s="611" t="str">
        <f t="shared" si="157"/>
        <v>Page5_CAD_MCI!M</v>
      </c>
      <c r="Q1182" s="611">
        <f t="shared" si="158"/>
        <v>25</v>
      </c>
      <c r="R1182" s="1447">
        <f t="shared" ca="1" si="159"/>
        <v>0</v>
      </c>
      <c r="S1182" s="1447">
        <f t="shared" ca="1" si="160"/>
        <v>0</v>
      </c>
      <c r="T1182" s="611">
        <v>22</v>
      </c>
      <c r="V1182" s="2557" t="str">
        <f t="shared" ca="1" si="161"/>
        <v/>
      </c>
      <c r="W1182" s="611" t="str">
        <f t="shared" ca="1" si="162"/>
        <v>Page5_CAD_MCI, Ligne 22 [Page5_CAD_MCI!M25]  -</v>
      </c>
    </row>
    <row r="1183" spans="1:23">
      <c r="A1183" s="1443" t="str">
        <f>celladdr(Page5_CAD_MCI!M26)</f>
        <v>Page5_CAD_MCI!M26</v>
      </c>
      <c r="B1183" s="1456" t="s">
        <v>1086</v>
      </c>
      <c r="C1183" s="1451" t="b">
        <f>IF(Page5_CAD_MCI!$K$26=0,FALSE,OR(Page5_CAD_MCI!$M$26/Page5_CAD_MCI!$K$26&lt;INDEX(Min_Table,L1183),Page5_CAD_MCI!$M$26/Page5_CAD_MCI!$K$26&gt;INDEX(Max_Table,L1183)))</f>
        <v>0</v>
      </c>
      <c r="D1183" s="1454" t="b">
        <f>OR(AND(Page5_CAD_MCI!$L26&lt;&gt;0,Page5_CAD_MCI!$M26=0),AND(Page5_CAD_MCI!$M26&lt;&gt;0,Page5_CAD_MCI!$L26=0))</f>
        <v>0</v>
      </c>
      <c r="E1183" s="1454" t="b">
        <f>IF(Page5_CAD_MCI!$K$26=0,FALSE,OR(Page5_CAD_MCI!$M$26/Page5_CAD_MCI!$K$26&lt;INDEX(Min_Table,M1183),Page5_CAD_MCI!$M$26/Page5_CAD_MCI!$K$26&gt;INDEX(Max_Table,M1183)))</f>
        <v>0</v>
      </c>
      <c r="F1183" s="1454"/>
      <c r="G1183" s="1444" t="str">
        <f t="shared" si="156"/>
        <v/>
      </c>
      <c r="H1183" s="1447" t="str">
        <f>IF(C1183=TRUE,Comments!$B$20&amp;DOLLAR(INDEX(Min_Table,L1183),0)&amp;Comments!$B$18&amp;DOLLAR(INDEX(Max_Table,L1183),0)&amp;Comments!$B$19&amp;DOLLAR(Page5_CAD_MCI!$M$26/Page5_CAD_MCI!$K$26,0),"")</f>
        <v/>
      </c>
      <c r="I1183" s="1446" t="str">
        <f>IF(D1183=TRUE,Comments!$B$24,"")</f>
        <v/>
      </c>
      <c r="J1183" s="1446" t="str">
        <f>IF(E1183=TRUE,Comments!$B$22&amp;DOLLAR(INDEX(Min_Table,M1183),0)&amp;Comments!$B$18&amp;DOLLAR(INDEX(Max_Table,M1183),0)&amp;Comments!$B$19&amp;IFERROR(DOLLAR(Page5_CAD_MCI!$M$26/Page5_CAD_MCI!$K$26,0),0),"")</f>
        <v/>
      </c>
      <c r="K1183" s="1452"/>
      <c r="L1183" s="611">
        <f>ROW(OR_VEH!$A$667)</f>
        <v>667</v>
      </c>
      <c r="M1183" s="611">
        <f>ROW(OR_VEH!$A$225)</f>
        <v>225</v>
      </c>
      <c r="N1183" s="611" t="str">
        <f>"CPTE # "&amp;Page5_CAD_MCI!$E$26&amp;"  "&amp;Page5_CAD_MCI!$C$26&amp;" - COÛT DES VENTES - AAD"</f>
        <v>CPTE # 421E  TOTAL INTERNE - VOITURES - COÛT DES VENTES - AAD</v>
      </c>
      <c r="O1183" s="611" t="str">
        <f t="shared" si="163"/>
        <v/>
      </c>
      <c r="P1183" s="611" t="str">
        <f t="shared" si="157"/>
        <v>Page5_CAD_MCI!M</v>
      </c>
      <c r="Q1183" s="611">
        <f t="shared" si="158"/>
        <v>26</v>
      </c>
      <c r="R1183" s="1447">
        <f t="shared" ca="1" si="159"/>
        <v>0</v>
      </c>
      <c r="S1183" s="1447">
        <f t="shared" ca="1" si="160"/>
        <v>0</v>
      </c>
      <c r="T1183" s="611">
        <v>22</v>
      </c>
      <c r="V1183" s="2557" t="str">
        <f t="shared" ca="1" si="161"/>
        <v/>
      </c>
      <c r="W1183" s="611" t="str">
        <f t="shared" ca="1" si="162"/>
        <v>Page5_CAD_MCI, Ligne 23 [Page5_CAD_MCI!M26]  -</v>
      </c>
    </row>
    <row r="1184" spans="1:23">
      <c r="A1184" s="1443" t="str">
        <f>celladdr(Page5_CAD_MCI!M27)</f>
        <v>Page5_CAD_MCI!M27</v>
      </c>
      <c r="B1184" s="1444" t="s">
        <v>1086</v>
      </c>
      <c r="C1184" s="1451"/>
      <c r="D1184" s="1454"/>
      <c r="E1184" s="1454"/>
      <c r="F1184" s="1454"/>
      <c r="G1184" s="1444" t="str">
        <f t="shared" si="156"/>
        <v/>
      </c>
      <c r="H1184" s="1447" t="str">
        <f>IF(C1184=TRUE,Comments!$B$26,"")</f>
        <v/>
      </c>
      <c r="I1184" s="1446" t="str">
        <f>IF(D1184=TRUE,Comments!$B$24,"")</f>
        <v/>
      </c>
      <c r="J1184" s="1446"/>
      <c r="K1184" s="1452"/>
      <c r="O1184" s="611" t="str">
        <f t="shared" si="163"/>
        <v/>
      </c>
      <c r="P1184" s="611" t="str">
        <f t="shared" si="157"/>
        <v>Page5_CAD_MCI!M</v>
      </c>
      <c r="Q1184" s="611">
        <f t="shared" si="158"/>
        <v>27</v>
      </c>
      <c r="R1184" s="1447">
        <f t="shared" ca="1" si="159"/>
        <v>0</v>
      </c>
      <c r="S1184" s="1447">
        <f t="shared" ca="1" si="160"/>
        <v>0</v>
      </c>
      <c r="V1184" s="2557" t="str">
        <f t="shared" ca="1" si="161"/>
        <v/>
      </c>
      <c r="W1184" s="611" t="str">
        <f t="shared" ca="1" si="162"/>
        <v>Page5_CAD_MCI, Ligne 24 [Page5_CAD_MCI!M27]  -</v>
      </c>
    </row>
    <row r="1185" spans="1:23">
      <c r="A1185" s="1443" t="str">
        <f>celladdr(Page5_CAD_MCI!M28)</f>
        <v>Page5_CAD_MCI!M28</v>
      </c>
      <c r="B1185" s="1456" t="s">
        <v>1086</v>
      </c>
      <c r="C1185" s="1451" t="b">
        <f>IF(Page5_CAD_MCI!$K$28=0,FALSE,OR(Page5_CAD_MCI!$M$28/Page5_CAD_MCI!$K$28&lt;INDEX(Min_Table,L1185),Page5_CAD_MCI!$M$28/Page5_CAD_MCI!$K$28&gt;INDEX(Max_Table,L1185)))</f>
        <v>0</v>
      </c>
      <c r="D1185" s="1454" t="b">
        <f>OR(AND(Page5_CAD_MCI!$L28&lt;&gt;0,Page5_CAD_MCI!$M28=0),AND(Page5_CAD_MCI!$M28&lt;&gt;0,Page5_CAD_MCI!$L28=0))</f>
        <v>0</v>
      </c>
      <c r="E1185" s="1454" t="b">
        <f>IF(Page5_CAD_MCI!$K$28=0,FALSE,OR(Page5_CAD_MCI!$M$28/Page5_CAD_MCI!$K$28&lt;INDEX(Min_Table,M1185),Page5_CAD_MCI!$M$28/Page5_CAD_MCI!$K$28&gt;INDEX(Max_Table,M1185)))</f>
        <v>0</v>
      </c>
      <c r="F1185" s="1454"/>
      <c r="G1185" s="1444" t="str">
        <f t="shared" si="156"/>
        <v/>
      </c>
      <c r="H1185" s="1447" t="str">
        <f>IF(C1185=TRUE,Comments!$B$20&amp;DOLLAR(INDEX(Min_Table,L1185),0)&amp;Comments!$B$18&amp;DOLLAR(INDEX(Max_Table,L1185),0)&amp;Comments!$B$19&amp;DOLLAR(Page5_CAD_MCI!$M$28/Page5_CAD_MCI!$K$28,0),"")</f>
        <v/>
      </c>
      <c r="I1185" s="1446" t="str">
        <f>IF(D1185=TRUE,Comments!$B$24,"")</f>
        <v/>
      </c>
      <c r="J1185" s="1446" t="str">
        <f>IF(E1185=TRUE,Comments!$B$22&amp;DOLLAR(INDEX(Min_Table,M1185),0)&amp;Comments!$B$18&amp;DOLLAR(INDEX(Max_Table,M1185),0)&amp;Comments!$B$19&amp;IFERROR(DOLLAR(Page5_CAD_MCI!$M$28/Page5_CAD_MCI!$K$28,0),0),"")</f>
        <v/>
      </c>
      <c r="K1185" s="1452"/>
      <c r="L1185" s="611">
        <f>ROW(OR_VEH!$A$667)</f>
        <v>667</v>
      </c>
      <c r="M1185" s="611">
        <f>ROW(OR_VEH!$A$227)</f>
        <v>227</v>
      </c>
      <c r="N1185" s="611" t="str">
        <f>"CPTE # "&amp;Page5_CAD_MCI!$E$28&amp;"  "&amp;Page5_CAD_MCI!$C$28&amp;" - COÛT DES VENTES - AAD"</f>
        <v>CPTE # 423E  ESCALADE    - COÛT DES VENTES - AAD</v>
      </c>
      <c r="O1185" s="611" t="str">
        <f t="shared" si="163"/>
        <v/>
      </c>
      <c r="P1185" s="611" t="str">
        <f t="shared" si="157"/>
        <v>Page5_CAD_MCI!M</v>
      </c>
      <c r="Q1185" s="611">
        <f t="shared" si="158"/>
        <v>28</v>
      </c>
      <c r="R1185" s="1447">
        <f t="shared" ca="1" si="159"/>
        <v>0</v>
      </c>
      <c r="S1185" s="1447">
        <f t="shared" ca="1" si="160"/>
        <v>0</v>
      </c>
      <c r="T1185" s="611">
        <v>22</v>
      </c>
      <c r="V1185" s="2557" t="str">
        <f t="shared" ca="1" si="161"/>
        <v/>
      </c>
      <c r="W1185" s="611" t="str">
        <f t="shared" ca="1" si="162"/>
        <v>Page5_CAD_MCI, Ligne 25 [Page5_CAD_MCI!M28]  -</v>
      </c>
    </row>
    <row r="1186" spans="1:23">
      <c r="A1186" s="1443" t="str">
        <f>celladdr(Page5_CAD_MCI!M29)</f>
        <v>Page5_CAD_MCI!M29</v>
      </c>
      <c r="B1186" s="1456" t="s">
        <v>1086</v>
      </c>
      <c r="C1186" s="1451" t="b">
        <f>IF(Page5_CAD_MCI!$K$29=0,FALSE,OR(Page5_CAD_MCI!$M$29/Page5_CAD_MCI!$K$29&lt;INDEX(Min_Table,L1186),Page5_CAD_MCI!$M$29/Page5_CAD_MCI!$K$29&gt;INDEX(Max_Table,L1186)))</f>
        <v>0</v>
      </c>
      <c r="D1186" s="1454" t="b">
        <f>OR(AND(Page5_CAD_MCI!$L29&lt;&gt;0,Page5_CAD_MCI!$M29=0),AND(Page5_CAD_MCI!$M29&lt;&gt;0,Page5_CAD_MCI!$L29=0))</f>
        <v>0</v>
      </c>
      <c r="E1186" s="1454" t="b">
        <f>IF(Page5_CAD_MCI!$K$29=0,FALSE,OR(Page5_CAD_MCI!$M$29/Page5_CAD_MCI!$K$29&lt;INDEX(Min_Table,M1186),Page5_CAD_MCI!$M$29/Page5_CAD_MCI!$K$29&gt;INDEX(Max_Table,M1186)))</f>
        <v>0</v>
      </c>
      <c r="F1186" s="1454"/>
      <c r="G1186" s="1444" t="str">
        <f t="shared" si="156"/>
        <v/>
      </c>
      <c r="H1186" s="1447" t="str">
        <f>IF(C1186=TRUE,Comments!$B$20&amp;DOLLAR(INDEX(Min_Table,L1186),0)&amp;Comments!$B$18&amp;DOLLAR(INDEX(Max_Table,L1186),0)&amp;Comments!$B$19&amp;DOLLAR(Page5_CAD_MCI!$M$29/Page5_CAD_MCI!$K$29,0),"")</f>
        <v/>
      </c>
      <c r="I1186" s="1446" t="str">
        <f>IF(D1186=TRUE,Comments!$B$24,"")</f>
        <v/>
      </c>
      <c r="J1186" s="1446" t="str">
        <f>IF(E1186=TRUE,Comments!$B$22&amp;DOLLAR(INDEX(Min_Table,M1186),0)&amp;Comments!$B$18&amp;DOLLAR(INDEX(Max_Table,M1186),0)&amp;Comments!$B$19&amp;IFERROR(DOLLAR(Page5_CAD_MCI!$M$29/Page5_CAD_MCI!$K$29,0),0),"")</f>
        <v/>
      </c>
      <c r="K1186" s="1452"/>
      <c r="L1186" s="611">
        <f>ROW(OR_VEH!$A$667)</f>
        <v>667</v>
      </c>
      <c r="M1186" s="611">
        <f>ROW(OR_VEH!$A$228)</f>
        <v>228</v>
      </c>
      <c r="N1186" s="611" t="str">
        <f>"CPTE # "&amp;Page5_CAD_MCI!$E$29&amp;"  "&amp;Page5_CAD_MCI!$C$29&amp;" - COÛT DES VENTES - AAD"</f>
        <v>CPTE # 424E  NE PAS UTILISER - COÛT DES VENTES - AAD</v>
      </c>
      <c r="O1186" s="611" t="str">
        <f t="shared" si="163"/>
        <v/>
      </c>
      <c r="P1186" s="611" t="str">
        <f t="shared" si="157"/>
        <v>Page5_CAD_MCI!M</v>
      </c>
      <c r="Q1186" s="611">
        <f t="shared" si="158"/>
        <v>29</v>
      </c>
      <c r="R1186" s="1447">
        <f t="shared" ca="1" si="159"/>
        <v>0</v>
      </c>
      <c r="S1186" s="1447">
        <f t="shared" ca="1" si="160"/>
        <v>0</v>
      </c>
      <c r="T1186" s="611">
        <v>22</v>
      </c>
      <c r="V1186" s="2557" t="str">
        <f t="shared" ca="1" si="161"/>
        <v/>
      </c>
      <c r="W1186" s="611" t="str">
        <f t="shared" ca="1" si="162"/>
        <v>Page5_CAD_MCI, Ligne 26 [Page5_CAD_MCI!M29]  -</v>
      </c>
    </row>
    <row r="1187" spans="1:23">
      <c r="A1187" s="1443" t="str">
        <f>celladdr(Page5_CAD_MCI!M30)</f>
        <v>Page5_CAD_MCI!M30</v>
      </c>
      <c r="B1187" s="1456" t="s">
        <v>1086</v>
      </c>
      <c r="C1187" s="1451" t="b">
        <f>IF(Page5_CAD_MCI!$K$30=0,FALSE,OR(Page5_CAD_MCI!$M$30/Page5_CAD_MCI!$K$30&lt;INDEX(Min_Table,L1187),Page5_CAD_MCI!$M$30/Page5_CAD_MCI!$K$30&gt;INDEX(Max_Table,L1187)))</f>
        <v>0</v>
      </c>
      <c r="D1187" s="1454" t="b">
        <f>OR(AND(Page5_CAD_MCI!$L30&lt;&gt;0,Page5_CAD_MCI!$M30=0),AND(Page5_CAD_MCI!$M30&lt;&gt;0,Page5_CAD_MCI!$L30=0))</f>
        <v>0</v>
      </c>
      <c r="E1187" s="1454" t="b">
        <f>IF(Page5_CAD_MCI!$K$30=0,FALSE,OR(Page5_CAD_MCI!$M$30/Page5_CAD_MCI!$K$30&lt;INDEX(Min_Table,M1187),Page5_CAD_MCI!$M$30/Page5_CAD_MCI!$K$30&gt;INDEX(Max_Table,M1187)))</f>
        <v>0</v>
      </c>
      <c r="F1187" s="1454"/>
      <c r="G1187" s="1444" t="str">
        <f t="shared" si="156"/>
        <v/>
      </c>
      <c r="H1187" s="1447" t="str">
        <f>IF(C1187=TRUE,Comments!$B$20&amp;DOLLAR(INDEX(Min_Table,L1187),0)&amp;Comments!$B$18&amp;DOLLAR(INDEX(Max_Table,L1187),0)&amp;Comments!$B$19&amp;DOLLAR(Page5_CAD_MCI!$M$30/Page5_CAD_MCI!$K$30,0),"")</f>
        <v/>
      </c>
      <c r="I1187" s="1446" t="str">
        <f>IF(D1187=TRUE,Comments!$B$24,"")</f>
        <v/>
      </c>
      <c r="J1187" s="1446" t="str">
        <f>IF(E1187=TRUE,Comments!$B$22&amp;DOLLAR(INDEX(Min_Table,M1187),0)&amp;Comments!$B$18&amp;DOLLAR(INDEX(Max_Table,M1187),0)&amp;Comments!$B$19&amp;IFERROR(DOLLAR(Page5_CAD_MCI!$M$30/Page5_CAD_MCI!$K$30,0),0),"")</f>
        <v/>
      </c>
      <c r="K1187" s="1452"/>
      <c r="L1187" s="611">
        <f>ROW(OR_VEH!$A$667)</f>
        <v>667</v>
      </c>
      <c r="M1187" s="611">
        <f>ROW(OR_VEH!$A$229)</f>
        <v>229</v>
      </c>
      <c r="N1187" s="611" t="str">
        <f>"CPTE # "&amp;Page5_CAD_MCI!$E$30&amp;"  "&amp;Page5_CAD_MCI!$C$30&amp;" - COÛT DES VENTES - AAD"</f>
        <v>CPTE # 425E  ESCALADE-ESV - COÛT DES VENTES - AAD</v>
      </c>
      <c r="O1187" s="611" t="str">
        <f t="shared" si="163"/>
        <v/>
      </c>
      <c r="P1187" s="611" t="str">
        <f t="shared" si="157"/>
        <v>Page5_CAD_MCI!M</v>
      </c>
      <c r="Q1187" s="611">
        <f t="shared" si="158"/>
        <v>30</v>
      </c>
      <c r="R1187" s="1447">
        <f t="shared" ca="1" si="159"/>
        <v>0</v>
      </c>
      <c r="S1187" s="1447">
        <f t="shared" ca="1" si="160"/>
        <v>0</v>
      </c>
      <c r="T1187" s="611">
        <v>22</v>
      </c>
      <c r="V1187" s="2557" t="str">
        <f t="shared" ca="1" si="161"/>
        <v/>
      </c>
      <c r="W1187" s="611" t="str">
        <f t="shared" ca="1" si="162"/>
        <v>Page5_CAD_MCI, Ligne 27 [Page5_CAD_MCI!M30]  -</v>
      </c>
    </row>
    <row r="1188" spans="1:23">
      <c r="A1188" s="1443" t="str">
        <f>celladdr(Page5_CAD_MCI!M31)</f>
        <v>Page5_CAD_MCI!M31</v>
      </c>
      <c r="B1188" s="1456" t="s">
        <v>1086</v>
      </c>
      <c r="C1188" s="1451" t="b">
        <f>IF(Page5_CAD_MCI!$K$31=0,FALSE,OR(Page5_CAD_MCI!$M$31/Page5_CAD_MCI!$K$31&lt;INDEX(Min_Table,L1188),Page5_CAD_MCI!$M$31/Page5_CAD_MCI!$K$31&gt;INDEX(Max_Table,L1188)))</f>
        <v>0</v>
      </c>
      <c r="D1188" s="1454" t="b">
        <f>OR(AND(Page5_CAD_MCI!$L31&lt;&gt;0,Page5_CAD_MCI!$M31=0),AND(Page5_CAD_MCI!$M31&lt;&gt;0,Page5_CAD_MCI!$L31=0))</f>
        <v>0</v>
      </c>
      <c r="E1188" s="1454" t="b">
        <f>IF(Page5_CAD_MCI!$K$31=0,FALSE,OR(Page5_CAD_MCI!$M$31/Page5_CAD_MCI!$K$31&lt;INDEX(Min_Table,M1188),Page5_CAD_MCI!$M$31/Page5_CAD_MCI!$K$31&gt;INDEX(Max_Table,M1188)))</f>
        <v>0</v>
      </c>
      <c r="F1188" s="1454"/>
      <c r="G1188" s="1444" t="str">
        <f t="shared" si="156"/>
        <v/>
      </c>
      <c r="H1188" s="1447" t="str">
        <f>IF(C1188=TRUE,Comments!$B$20&amp;DOLLAR(INDEX(Min_Table,L1188),0)&amp;Comments!$B$18&amp;DOLLAR(INDEX(Max_Table,L1188),0)&amp;Comments!$B$19&amp;DOLLAR(Page5_CAD_MCI!$M$31/Page5_CAD_MCI!$K$31,0),"")</f>
        <v/>
      </c>
      <c r="I1188" s="1446" t="str">
        <f>IF(D1188=TRUE,Comments!$B$24,"")</f>
        <v/>
      </c>
      <c r="J1188" s="1446" t="str">
        <f>IF(E1188=TRUE,Comments!$B$22&amp;DOLLAR(INDEX(Min_Table,M1188),0)&amp;Comments!$B$18&amp;DOLLAR(INDEX(Max_Table,M1188),0)&amp;Comments!$B$19&amp;IFERROR(DOLLAR(Page5_CAD_MCI!$M$31/Page5_CAD_MCI!$K$31,0),0),"")</f>
        <v/>
      </c>
      <c r="K1188" s="1452"/>
      <c r="L1188" s="611">
        <f>ROW(OR_VEH!$A$667)</f>
        <v>667</v>
      </c>
      <c r="M1188" s="611">
        <f>ROW(OR_VEH!$A$230)</f>
        <v>230</v>
      </c>
      <c r="N1188" s="611" t="str">
        <f>"CPTE # "&amp;Page5_CAD_MCI!$E$31&amp;"  "&amp;Page5_CAD_MCI!$C$31&amp;" - COÛT DES VENTES - AAD"</f>
        <v>CPTE # 426E  SRX - COÛT DES VENTES - AAD</v>
      </c>
      <c r="O1188" s="611" t="str">
        <f t="shared" si="163"/>
        <v/>
      </c>
      <c r="P1188" s="611" t="str">
        <f t="shared" si="157"/>
        <v>Page5_CAD_MCI!M</v>
      </c>
      <c r="Q1188" s="611">
        <f t="shared" si="158"/>
        <v>31</v>
      </c>
      <c r="R1188" s="1447">
        <f t="shared" ca="1" si="159"/>
        <v>0</v>
      </c>
      <c r="S1188" s="1447">
        <f t="shared" ca="1" si="160"/>
        <v>0</v>
      </c>
      <c r="T1188" s="611">
        <v>22</v>
      </c>
      <c r="V1188" s="2557" t="str">
        <f t="shared" ca="1" si="161"/>
        <v/>
      </c>
      <c r="W1188" s="611" t="str">
        <f t="shared" ca="1" si="162"/>
        <v>Page5_CAD_MCI, Ligne 28 [Page5_CAD_MCI!M31]  -</v>
      </c>
    </row>
    <row r="1189" spans="1:23">
      <c r="A1189" s="1443" t="str">
        <f>celladdr(Page5_CAD_MCI!M32)</f>
        <v>Page5_CAD_MCI!M32</v>
      </c>
      <c r="B1189" s="1456" t="s">
        <v>1086</v>
      </c>
      <c r="C1189" s="1451" t="b">
        <f>IF(Page5_CAD_MCI!$K$32=0,FALSE,OR(Page5_CAD_MCI!$M$32/Page5_CAD_MCI!$K$32&lt;INDEX(Min_Table,L1189),Page5_CAD_MCI!$M$32/Page5_CAD_MCI!$K$32&gt;INDEX(Max_Table,L1189)))</f>
        <v>0</v>
      </c>
      <c r="D1189" s="1454" t="b">
        <f>OR(AND(Page5_CAD_MCI!$L32&lt;&gt;0,Page5_CAD_MCI!$M32=0),AND(Page5_CAD_MCI!$M32&lt;&gt;0,Page5_CAD_MCI!$L32=0))</f>
        <v>0</v>
      </c>
      <c r="E1189" s="1454" t="b">
        <f>IF(Page5_CAD_MCI!$K$32=0,FALSE,OR(Page5_CAD_MCI!$M$32/Page5_CAD_MCI!$K$32&lt;INDEX(Min_Table,M1189),Page5_CAD_MCI!$M$32/Page5_CAD_MCI!$K$32&gt;INDEX(Max_Table,M1189)))</f>
        <v>0</v>
      </c>
      <c r="F1189" s="1454"/>
      <c r="G1189" s="1444" t="str">
        <f t="shared" si="156"/>
        <v/>
      </c>
      <c r="H1189" s="1447" t="str">
        <f>IF(C1189=TRUE,Comments!$B$20&amp;DOLLAR(INDEX(Min_Table,L1189),0)&amp;Comments!$B$18&amp;DOLLAR(INDEX(Max_Table,L1189),0)&amp;Comments!$B$19&amp;DOLLAR(Page5_CAD_MCI!$M$32/Page5_CAD_MCI!$K$32,0),"")</f>
        <v/>
      </c>
      <c r="I1189" s="1446" t="str">
        <f>IF(D1189=TRUE,Comments!$B$24,"")</f>
        <v/>
      </c>
      <c r="J1189" s="1446" t="str">
        <f>IF(E1189=TRUE,Comments!$B$22&amp;DOLLAR(INDEX(Min_Table,M1189),0)&amp;Comments!$B$18&amp;DOLLAR(INDEX(Max_Table,M1189),0)&amp;Comments!$B$19&amp;IFERROR(DOLLAR(Page5_CAD_MCI!$M$32/Page5_CAD_MCI!$K$32,0),0),"")</f>
        <v/>
      </c>
      <c r="K1189" s="1452"/>
      <c r="L1189" s="611">
        <f>ROW(OR_VEH!$A$667)</f>
        <v>667</v>
      </c>
      <c r="M1189" s="611">
        <f>ROW(OR_VEH!$A$231)</f>
        <v>231</v>
      </c>
      <c r="N1189" s="611" t="str">
        <f>"CPTE # "&amp;Page5_CAD_MCI!$E$32&amp;"  "&amp;Page5_CAD_MCI!$C$32&amp;" - COÛT DES VENTES - AAD"</f>
        <v>CPTE # 427E  NE PAS UTILISER - COÛT DES VENTES - AAD</v>
      </c>
      <c r="O1189" s="611" t="str">
        <f t="shared" si="163"/>
        <v/>
      </c>
      <c r="P1189" s="611" t="str">
        <f t="shared" si="157"/>
        <v>Page5_CAD_MCI!M</v>
      </c>
      <c r="Q1189" s="611">
        <f t="shared" si="158"/>
        <v>32</v>
      </c>
      <c r="R1189" s="1447">
        <f t="shared" ca="1" si="159"/>
        <v>0</v>
      </c>
      <c r="S1189" s="1447">
        <f t="shared" ca="1" si="160"/>
        <v>0</v>
      </c>
      <c r="T1189" s="611">
        <v>22</v>
      </c>
      <c r="V1189" s="2557" t="str">
        <f t="shared" ca="1" si="161"/>
        <v/>
      </c>
      <c r="W1189" s="611" t="str">
        <f t="shared" ca="1" si="162"/>
        <v>Page5_CAD_MCI, Ligne 29 [Page5_CAD_MCI!M32]  -</v>
      </c>
    </row>
    <row r="1190" spans="1:23">
      <c r="A1190" s="1443" t="str">
        <f>celladdr(Page5_CAD_MCI!M33)</f>
        <v>Page5_CAD_MCI!M33</v>
      </c>
      <c r="B1190" s="1456" t="s">
        <v>1086</v>
      </c>
      <c r="C1190" s="1451" t="b">
        <f>IF(Page5_CAD_MCI!$K$33=0,FALSE,OR(Page5_CAD_MCI!$M$33/Page5_CAD_MCI!$K$33&lt;INDEX(Min_Table,L1190),Page5_CAD_MCI!$M$33/Page5_CAD_MCI!$K$33&gt;INDEX(Max_Table,L1190)))</f>
        <v>0</v>
      </c>
      <c r="D1190" s="1454" t="b">
        <f>OR(AND(Page5_CAD_MCI!$L33&lt;&gt;0,Page5_CAD_MCI!$M33=0),AND(Page5_CAD_MCI!$M33&lt;&gt;0,Page5_CAD_MCI!$L33=0))</f>
        <v>0</v>
      </c>
      <c r="E1190" s="1454" t="b">
        <f>IF(Page5_CAD_MCI!$K$33=0,FALSE,OR(Page5_CAD_MCI!$M$33/Page5_CAD_MCI!$K$33&lt;INDEX(Min_Table,M1190),Page5_CAD_MCI!$M$33/Page5_CAD_MCI!$K$33&gt;INDEX(Max_Table,M1190)))</f>
        <v>0</v>
      </c>
      <c r="F1190" s="1454"/>
      <c r="G1190" s="1444" t="str">
        <f t="shared" si="156"/>
        <v/>
      </c>
      <c r="H1190" s="1447" t="str">
        <f>IF(C1190=TRUE,Comments!$B$20&amp;DOLLAR(INDEX(Min_Table,L1190),0)&amp;Comments!$B$18&amp;DOLLAR(INDEX(Max_Table,L1190),0)&amp;Comments!$B$19&amp;DOLLAR(Page5_CAD_MCI!$M$33/Page5_CAD_MCI!$K$33,0),"")</f>
        <v/>
      </c>
      <c r="I1190" s="1446" t="str">
        <f>IF(D1190=TRUE,Comments!$B$24,"")</f>
        <v/>
      </c>
      <c r="J1190" s="1446" t="str">
        <f>IF(E1190=TRUE,Comments!$B$22&amp;DOLLAR(INDEX(Min_Table,M1190),0)&amp;Comments!$B$18&amp;DOLLAR(INDEX(Max_Table,M1190),0)&amp;Comments!$B$19&amp;IFERROR(DOLLAR(Page5_CAD_MCI!$M$33/Page5_CAD_MCI!$K$33,0),0),"")</f>
        <v/>
      </c>
      <c r="K1190" s="1452"/>
      <c r="L1190" s="611">
        <f>ROW(OR_VEH!$A$667)</f>
        <v>667</v>
      </c>
      <c r="M1190" s="611">
        <f>ROW(OR_VEH!$A$232)</f>
        <v>232</v>
      </c>
      <c r="N1190" s="611" t="str">
        <f>"CPTE # "&amp;Page5_CAD_MCI!$E$33&amp;"  "&amp;Page5_CAD_MCI!$C$33&amp;" - COÛT DES VENTES - AAD"</f>
        <v>CPTE # 428E  NE PAS UTILISER - COÛT DES VENTES - AAD</v>
      </c>
      <c r="O1190" s="611" t="str">
        <f t="shared" ref="O1190:O1221" si="164">IF(A1190=A1189,"TRUE","")</f>
        <v/>
      </c>
      <c r="P1190" s="611" t="str">
        <f t="shared" si="157"/>
        <v>Page5_CAD_MCI!M</v>
      </c>
      <c r="Q1190" s="611">
        <f t="shared" si="158"/>
        <v>33</v>
      </c>
      <c r="R1190" s="1447">
        <f t="shared" ca="1" si="159"/>
        <v>0</v>
      </c>
      <c r="S1190" s="1447">
        <f t="shared" ca="1" si="160"/>
        <v>0</v>
      </c>
      <c r="T1190" s="611">
        <v>22</v>
      </c>
      <c r="V1190" s="2557" t="str">
        <f t="shared" ca="1" si="161"/>
        <v/>
      </c>
      <c r="W1190" s="611" t="str">
        <f t="shared" ca="1" si="162"/>
        <v>Page5_CAD_MCI, Ligne 30 [Page5_CAD_MCI!M33]  -</v>
      </c>
    </row>
    <row r="1191" spans="1:23">
      <c r="A1191" s="1443" t="str">
        <f>celladdr(Page5_CAD_MCI!M34)</f>
        <v>Page5_CAD_MCI!M34</v>
      </c>
      <c r="B1191" s="1456" t="s">
        <v>1086</v>
      </c>
      <c r="C1191" s="1451" t="b">
        <f>IF(Page5_CAD_MCI!$K$34=0,FALSE,OR(Page5_CAD_MCI!$M$34/Page5_CAD_MCI!$K$34&lt;INDEX(Min_Table,L1191),Page5_CAD_MCI!$M$34/Page5_CAD_MCI!$K$34&gt;INDEX(Max_Table,L1191)))</f>
        <v>0</v>
      </c>
      <c r="D1191" s="1454" t="b">
        <f>OR(AND(Page5_CAD_MCI!$L34&lt;&gt;0,Page5_CAD_MCI!$M34=0),AND(Page5_CAD_MCI!$M34&lt;&gt;0,Page5_CAD_MCI!$L34=0))</f>
        <v>0</v>
      </c>
      <c r="E1191" s="1454" t="b">
        <f>IF(Page5_CAD_MCI!$K$34=0,FALSE,OR(Page5_CAD_MCI!$M$34/Page5_CAD_MCI!$K$34&lt;INDEX(Min_Table,M1191),Page5_CAD_MCI!$M$34/Page5_CAD_MCI!$K$34&gt;INDEX(Max_Table,M1191)))</f>
        <v>0</v>
      </c>
      <c r="F1191" s="1454"/>
      <c r="G1191" s="1444" t="str">
        <f t="shared" si="156"/>
        <v/>
      </c>
      <c r="H1191" s="1447" t="str">
        <f>IF(C1191=TRUE,Comments!$B$20&amp;DOLLAR(INDEX(Min_Table,L1191),0)&amp;Comments!$B$18&amp;DOLLAR(INDEX(Max_Table,L1191),0)&amp;Comments!$B$19&amp;DOLLAR(Page5_CAD_MCI!$M$34/Page5_CAD_MCI!$K$34,0),"")</f>
        <v/>
      </c>
      <c r="I1191" s="1446" t="str">
        <f>IF(D1191=TRUE,Comments!$B$24,"")</f>
        <v/>
      </c>
      <c r="J1191" s="1446" t="str">
        <f>IF(E1191=TRUE,Comments!$B$22&amp;DOLLAR(INDEX(Min_Table,M1191),0)&amp;Comments!$B$18&amp;DOLLAR(INDEX(Max_Table,M1191),0)&amp;Comments!$B$19&amp;IFERROR(DOLLAR(Page5_CAD_MCI!$M$34/Page5_CAD_MCI!$K$34,0),0),"")</f>
        <v/>
      </c>
      <c r="K1191" s="1452"/>
      <c r="L1191" s="611">
        <f>ROW(OR_VEH!$A$667)</f>
        <v>667</v>
      </c>
      <c r="M1191" s="611">
        <f>ROW(OR_VEH!$A$233)</f>
        <v>233</v>
      </c>
      <c r="N1191" s="611" t="str">
        <f>"CPTE # "&amp;Page5_CAD_MCI!$E$34&amp;"  "&amp;Page5_CAD_MCI!$C$34&amp;" - COÛT DES VENTES - AAD"</f>
        <v>CPTE # 429E  NE PAS UTILISER - COÛT DES VENTES - AAD</v>
      </c>
      <c r="O1191" s="611" t="str">
        <f t="shared" si="164"/>
        <v/>
      </c>
      <c r="P1191" s="611" t="str">
        <f t="shared" si="157"/>
        <v>Page5_CAD_MCI!M</v>
      </c>
      <c r="Q1191" s="611">
        <f t="shared" si="158"/>
        <v>34</v>
      </c>
      <c r="R1191" s="1447">
        <f t="shared" ca="1" si="159"/>
        <v>0</v>
      </c>
      <c r="S1191" s="1447">
        <f t="shared" ca="1" si="160"/>
        <v>0</v>
      </c>
      <c r="T1191" s="611">
        <v>22</v>
      </c>
      <c r="V1191" s="2557" t="str">
        <f t="shared" ca="1" si="161"/>
        <v/>
      </c>
      <c r="W1191" s="611" t="str">
        <f t="shared" ca="1" si="162"/>
        <v>Page5_CAD_MCI, Ligne 31 [Page5_CAD_MCI!M34]  -</v>
      </c>
    </row>
    <row r="1192" spans="1:23">
      <c r="A1192" s="1443" t="str">
        <f>celladdr(Page5_CAD_MCI!M35)</f>
        <v>Page5_CAD_MCI!M35</v>
      </c>
      <c r="B1192" s="1456" t="s">
        <v>1086</v>
      </c>
      <c r="C1192" s="1451" t="b">
        <f>IF(Page5_CAD_MCI!$K$35=0,FALSE,OR(Page5_CAD_MCI!$M$35/Page5_CAD_MCI!$K$35&lt;INDEX(Min_Table,L1192),Page5_CAD_MCI!$M$35/Page5_CAD_MCI!$K$35&gt;INDEX(Max_Table,L1192)))</f>
        <v>0</v>
      </c>
      <c r="D1192" s="1454" t="b">
        <f>OR(AND(Page5_CAD_MCI!$L35&lt;&gt;0,Page5_CAD_MCI!$M35=0),AND(Page5_CAD_MCI!$M35&lt;&gt;0,Page5_CAD_MCI!$L35=0))</f>
        <v>0</v>
      </c>
      <c r="E1192" s="1454" t="b">
        <f>IF(Page5_CAD_MCI!$K$35=0,FALSE,OR(Page5_CAD_MCI!$M$35/Page5_CAD_MCI!$K$35&lt;INDEX(Min_Table,M1192),Page5_CAD_MCI!$M$35/Page5_CAD_MCI!$K$35&gt;INDEX(Max_Table,M1192)))</f>
        <v>0</v>
      </c>
      <c r="F1192" s="1454"/>
      <c r="G1192" s="1444" t="str">
        <f t="shared" si="156"/>
        <v/>
      </c>
      <c r="H1192" s="1447" t="str">
        <f>IF(C1192=TRUE,Comments!$B$20&amp;DOLLAR(INDEX(Min_Table,L1192),0)&amp;Comments!$B$18&amp;DOLLAR(INDEX(Max_Table,L1192),0)&amp;Comments!$B$19&amp;DOLLAR(Page5_CAD_MCI!$M$35/Page5_CAD_MCI!$K$35,0),"")</f>
        <v/>
      </c>
      <c r="I1192" s="1446" t="str">
        <f>IF(D1192=TRUE,Comments!$B$24,"")</f>
        <v/>
      </c>
      <c r="J1192" s="1446" t="str">
        <f>IF(E1192=TRUE,Comments!$B$22&amp;DOLLAR(INDEX(Min_Table,M1192),0)&amp;Comments!$B$18&amp;DOLLAR(INDEX(Max_Table,M1192),0)&amp;Comments!$B$19&amp;IFERROR(DOLLAR(Page5_CAD_MCI!$M$35/Page5_CAD_MCI!$K$35,0),0),"")</f>
        <v/>
      </c>
      <c r="K1192" s="1452"/>
      <c r="L1192" s="611">
        <f>ROW(OR_VEH!$A$667)</f>
        <v>667</v>
      </c>
      <c r="M1192" s="611">
        <f>ROW(OR_VEH!$A$234)</f>
        <v>234</v>
      </c>
      <c r="N1192" s="611" t="str">
        <f>"CPTE # "&amp;Page5_CAD_MCI!$E$35&amp;"  "&amp;Page5_CAD_MCI!$C$35&amp;" - COÛT DES VENTES - AAD"</f>
        <v>CPTE # 430E  XT4 - COÛT DES VENTES - AAD</v>
      </c>
      <c r="O1192" s="611" t="str">
        <f t="shared" si="164"/>
        <v/>
      </c>
      <c r="P1192" s="611" t="str">
        <f t="shared" si="157"/>
        <v>Page5_CAD_MCI!M</v>
      </c>
      <c r="Q1192" s="611">
        <f t="shared" si="158"/>
        <v>35</v>
      </c>
      <c r="R1192" s="1447">
        <f t="shared" ca="1" si="159"/>
        <v>0</v>
      </c>
      <c r="S1192" s="1447">
        <f t="shared" ca="1" si="160"/>
        <v>0</v>
      </c>
      <c r="T1192" s="611">
        <v>22</v>
      </c>
      <c r="V1192" s="2557" t="str">
        <f t="shared" ca="1" si="161"/>
        <v/>
      </c>
      <c r="W1192" s="611" t="str">
        <f t="shared" ca="1" si="162"/>
        <v>Page5_CAD_MCI, Ligne 32 [Page5_CAD_MCI!M35]  -</v>
      </c>
    </row>
    <row r="1193" spans="1:23">
      <c r="A1193" s="1443" t="str">
        <f>celladdr(Page5_CAD_MCI!M36)</f>
        <v>Page5_CAD_MCI!M36</v>
      </c>
      <c r="B1193" s="1456" t="s">
        <v>1086</v>
      </c>
      <c r="C1193" s="1451" t="b">
        <f>IF(Page5_CAD_MCI!$K$36=0,FALSE,OR(Page5_CAD_MCI!$M$36/Page5_CAD_MCI!$K$36&lt;INDEX(Min_Table,L1193),Page5_CAD_MCI!$M$36/Page5_CAD_MCI!$K$36&gt;INDEX(Max_Table,L1193)))</f>
        <v>0</v>
      </c>
      <c r="D1193" s="1454" t="b">
        <f>OR(AND(Page5_CAD_MCI!$L36&lt;&gt;0,Page5_CAD_MCI!$M36=0),AND(Page5_CAD_MCI!$M36&lt;&gt;0,Page5_CAD_MCI!$L36=0))</f>
        <v>0</v>
      </c>
      <c r="E1193" s="1454" t="b">
        <f>IF(Page5_CAD_MCI!$K$36=0,FALSE,OR(Page5_CAD_MCI!$M$36/Page5_CAD_MCI!$K$36&lt;INDEX(Min_Table,M1193),Page5_CAD_MCI!$M$36/Page5_CAD_MCI!$K$36&gt;INDEX(Max_Table,M1193)))</f>
        <v>0</v>
      </c>
      <c r="F1193" s="1454"/>
      <c r="G1193" s="1444" t="str">
        <f t="shared" si="156"/>
        <v/>
      </c>
      <c r="H1193" s="1447" t="str">
        <f>IF(C1193=TRUE,Comments!$B$20&amp;DOLLAR(INDEX(Min_Table,L1193),0)&amp;Comments!$B$18&amp;DOLLAR(INDEX(Max_Table,L1193),0)&amp;Comments!$B$19&amp;DOLLAR(Page5_CAD_MCI!$M$36/Page5_CAD_MCI!$K$36,0),"")</f>
        <v/>
      </c>
      <c r="I1193" s="1446" t="str">
        <f>IF(D1193=TRUE,Comments!$B$24,"")</f>
        <v/>
      </c>
      <c r="J1193" s="1446" t="str">
        <f>IF(E1193=TRUE,Comments!$B$22&amp;DOLLAR(INDEX(Min_Table,M1193),0)&amp;Comments!$B$18&amp;DOLLAR(INDEX(Max_Table,M1193),0)&amp;Comments!$B$19&amp;IFERROR(DOLLAR(Page5_CAD_MCI!$M$36/Page5_CAD_MCI!$K$36,0),0),"")</f>
        <v/>
      </c>
      <c r="K1193" s="1452"/>
      <c r="L1193" s="611">
        <f>ROW(OR_VEH!$A$667)</f>
        <v>667</v>
      </c>
      <c r="M1193" s="611">
        <f>ROW(OR_VEH!$A$235)</f>
        <v>235</v>
      </c>
      <c r="N1193" s="611" t="str">
        <f>"CPTE # "&amp;Page5_CAD_MCI!$E$36&amp;"  "&amp;Page5_CAD_MCI!$C$36&amp;" - COÛT DES VENTES - AAD"</f>
        <v>CPTE # 431E  XT5 - COÛT DES VENTES - AAD</v>
      </c>
      <c r="O1193" s="611" t="str">
        <f t="shared" si="164"/>
        <v/>
      </c>
      <c r="P1193" s="611" t="str">
        <f t="shared" si="157"/>
        <v>Page5_CAD_MCI!M</v>
      </c>
      <c r="Q1193" s="611">
        <f t="shared" si="158"/>
        <v>36</v>
      </c>
      <c r="R1193" s="1447">
        <f t="shared" ca="1" si="159"/>
        <v>0</v>
      </c>
      <c r="S1193" s="1447">
        <f t="shared" ca="1" si="160"/>
        <v>0</v>
      </c>
      <c r="T1193" s="611">
        <v>22</v>
      </c>
      <c r="V1193" s="2557" t="str">
        <f t="shared" ca="1" si="161"/>
        <v/>
      </c>
      <c r="W1193" s="611" t="str">
        <f t="shared" ca="1" si="162"/>
        <v>Page5_CAD_MCI, Ligne 33 [Page5_CAD_MCI!M36]  -</v>
      </c>
    </row>
    <row r="1194" spans="1:23">
      <c r="A1194" s="1443" t="str">
        <f>celladdr(Page5_CAD_MCI!M37)</f>
        <v>Page5_CAD_MCI!M37</v>
      </c>
      <c r="B1194" s="1456" t="s">
        <v>1086</v>
      </c>
      <c r="C1194" s="1451" t="b">
        <f>IF(Page5_CAD_MCI!$K$37=0,FALSE,OR(Page5_CAD_MCI!$M$37/Page5_CAD_MCI!$K$37&lt;INDEX(Min_Table,L1194),Page5_CAD_MCI!$M$37/Page5_CAD_MCI!$K$37&gt;INDEX(Max_Table,L1194)))</f>
        <v>0</v>
      </c>
      <c r="D1194" s="1454" t="b">
        <f>OR(AND(Page5_CAD_MCI!$L37&lt;&gt;0,Page5_CAD_MCI!$M37=0),AND(Page5_CAD_MCI!$M37&lt;&gt;0,Page5_CAD_MCI!$L37=0))</f>
        <v>0</v>
      </c>
      <c r="E1194" s="1454" t="b">
        <f>IF(Page5_CAD_MCI!$K$37=0,FALSE,OR(Page5_CAD_MCI!$M$37/Page5_CAD_MCI!$K$37&lt;INDEX(Min_Table,M1194),Page5_CAD_MCI!$M$37/Page5_CAD_MCI!$K$37&gt;INDEX(Max_Table,M1194)))</f>
        <v>0</v>
      </c>
      <c r="F1194" s="1454"/>
      <c r="G1194" s="1444" t="str">
        <f t="shared" si="156"/>
        <v/>
      </c>
      <c r="H1194" s="1447" t="str">
        <f>IF(C1194=TRUE,Comments!$B$20&amp;DOLLAR(INDEX(Min_Table,L1194),0)&amp;Comments!$B$18&amp;DOLLAR(INDEX(Max_Table,L1194),0)&amp;Comments!$B$19&amp;DOLLAR(Page5_CAD_MCI!$M$37/Page5_CAD_MCI!$K$37,0),"")</f>
        <v/>
      </c>
      <c r="I1194" s="1446" t="str">
        <f>IF(D1194=TRUE,Comments!$B$24,"")</f>
        <v/>
      </c>
      <c r="J1194" s="1446" t="str">
        <f>IF(E1194=TRUE,Comments!$B$22&amp;DOLLAR(INDEX(Min_Table,M1194),0)&amp;Comments!$B$18&amp;DOLLAR(INDEX(Max_Table,M1194),0)&amp;Comments!$B$19&amp;IFERROR(DOLLAR(Page5_CAD_MCI!$M$37/Page5_CAD_MCI!$K$37,0),0),"")</f>
        <v/>
      </c>
      <c r="K1194" s="1452"/>
      <c r="L1194" s="611">
        <f>ROW(OR_VEH!$A$667)</f>
        <v>667</v>
      </c>
      <c r="M1194" s="611">
        <f>ROW(OR_VEH!$A$236)</f>
        <v>236</v>
      </c>
      <c r="N1194" s="611" t="str">
        <f>"CPTE # "&amp;Page5_CAD_MCI!$E$37&amp;"  "&amp;Page5_CAD_MCI!$C$37&amp;" - COÛT DES VENTES - AAD"</f>
        <v>CPTE # 432E  XT6 - COÛT DES VENTES - AAD</v>
      </c>
      <c r="O1194" s="611" t="str">
        <f t="shared" si="164"/>
        <v/>
      </c>
      <c r="P1194" s="611" t="str">
        <f t="shared" si="157"/>
        <v>Page5_CAD_MCI!M</v>
      </c>
      <c r="Q1194" s="611">
        <f t="shared" si="158"/>
        <v>37</v>
      </c>
      <c r="R1194" s="1447">
        <f t="shared" ca="1" si="159"/>
        <v>0</v>
      </c>
      <c r="S1194" s="1447">
        <f t="shared" ca="1" si="160"/>
        <v>0</v>
      </c>
      <c r="T1194" s="611">
        <v>22</v>
      </c>
      <c r="V1194" s="2557" t="str">
        <f t="shared" ca="1" si="161"/>
        <v/>
      </c>
      <c r="W1194" s="611" t="str">
        <f t="shared" ca="1" si="162"/>
        <v>Page5_CAD_MCI, Ligne 34 [Page5_CAD_MCI!M37]  -</v>
      </c>
    </row>
    <row r="1195" spans="1:23">
      <c r="A1195" s="1443" t="str">
        <f>celladdr(Page5_CAD_MCI!M38)</f>
        <v>Page5_CAD_MCI!M38</v>
      </c>
      <c r="B1195" s="1456" t="s">
        <v>1086</v>
      </c>
      <c r="C1195" s="1451" t="b">
        <f>IF(Page5_CAD_MCI!$K$38=0,FALSE,OR(Page5_CAD_MCI!$M$38/Page5_CAD_MCI!$K$38&lt;INDEX(Min_Table,L1195),Page5_CAD_MCI!$M$38/Page5_CAD_MCI!$K$38&gt;INDEX(Max_Table,L1195)))</f>
        <v>0</v>
      </c>
      <c r="D1195" s="1454" t="b">
        <f>OR(AND(Page5_CAD_MCI!$L38&lt;&gt;0,Page5_CAD_MCI!$M38=0),AND(Page5_CAD_MCI!$M38&lt;&gt;0,Page5_CAD_MCI!$L38=0))</f>
        <v>0</v>
      </c>
      <c r="E1195" s="1454" t="b">
        <f>IF(Page5_CAD_MCI!$K$38=0,FALSE,OR(Page5_CAD_MCI!$M$38/Page5_CAD_MCI!$K$38&lt;INDEX(Min_Table,M1195),Page5_CAD_MCI!$M$38/Page5_CAD_MCI!$K$38&gt;INDEX(Max_Table,M1195)))</f>
        <v>0</v>
      </c>
      <c r="F1195" s="1454"/>
      <c r="G1195" s="1444" t="str">
        <f t="shared" si="156"/>
        <v/>
      </c>
      <c r="H1195" s="1447" t="str">
        <f>IF(C1195=TRUE,Comments!$B$20&amp;DOLLAR(INDEX(Min_Table,L1195),0)&amp;Comments!$B$18&amp;DOLLAR(INDEX(Max_Table,L1195),0)&amp;Comments!$B$19&amp;DOLLAR(Page5_CAD_MCI!$M$38/Page5_CAD_MCI!$K$38,0),"")</f>
        <v/>
      </c>
      <c r="I1195" s="1446" t="str">
        <f>IF(D1195=TRUE,Comments!$B$24,"")</f>
        <v/>
      </c>
      <c r="J1195" s="1446" t="str">
        <f>IF(E1195=TRUE,Comments!$B$22&amp;DOLLAR(INDEX(Min_Table,M1195),0)&amp;Comments!$B$18&amp;DOLLAR(INDEX(Max_Table,M1195),0)&amp;Comments!$B$19&amp;IFERROR(DOLLAR(Page5_CAD_MCI!$M$38/Page5_CAD_MCI!$K$38,0),0),"")</f>
        <v/>
      </c>
      <c r="K1195" s="1452"/>
      <c r="L1195" s="611">
        <f>ROW(OR_VEH!$A$667)</f>
        <v>667</v>
      </c>
      <c r="M1195" s="611">
        <f>ROW(OR_VEH!$A$237)</f>
        <v>237</v>
      </c>
      <c r="N1195" s="611" t="str">
        <f>"CPTE # "&amp;Page5_CAD_MCI!$E$38&amp;"  "&amp;Page5_CAD_MCI!$C$38&amp;" - COÛT DES VENTES - AAD"</f>
        <v>CPTE # 433E  NE PAS UTILISER - COÛT DES VENTES - AAD</v>
      </c>
      <c r="O1195" s="611" t="str">
        <f t="shared" si="164"/>
        <v/>
      </c>
      <c r="P1195" s="611" t="str">
        <f t="shared" si="157"/>
        <v>Page5_CAD_MCI!M</v>
      </c>
      <c r="Q1195" s="611">
        <f t="shared" si="158"/>
        <v>38</v>
      </c>
      <c r="R1195" s="1447">
        <f t="shared" ca="1" si="159"/>
        <v>0</v>
      </c>
      <c r="S1195" s="1447">
        <f t="shared" ca="1" si="160"/>
        <v>0</v>
      </c>
      <c r="T1195" s="611">
        <v>22</v>
      </c>
      <c r="V1195" s="2557" t="str">
        <f t="shared" ca="1" si="161"/>
        <v/>
      </c>
      <c r="W1195" s="611" t="str">
        <f t="shared" ca="1" si="162"/>
        <v>Page5_CAD_MCI, Ligne 35 [Page5_CAD_MCI!M38]  -</v>
      </c>
    </row>
    <row r="1196" spans="1:23">
      <c r="A1196" s="1443" t="str">
        <f>celladdr(Page5_CAD_MCI!M39)</f>
        <v>Page5_CAD_MCI!M39</v>
      </c>
      <c r="B1196" s="1456" t="s">
        <v>1086</v>
      </c>
      <c r="C1196" s="1451" t="b">
        <f>IF(Page5_CAD_MCI!$K$39=0,FALSE,OR(Page5_CAD_MCI!$M$39/Page5_CAD_MCI!$K$39&lt;INDEX(Min_Table,L1196),Page5_CAD_MCI!$M$39/Page5_CAD_MCI!$K$39&gt;INDEX(Max_Table,L1196)))</f>
        <v>0</v>
      </c>
      <c r="D1196" s="1454" t="b">
        <f>OR(AND(Page5_CAD_MCI!$L39&lt;&gt;0,Page5_CAD_MCI!$M39=0),AND(Page5_CAD_MCI!$M39&lt;&gt;0,Page5_CAD_MCI!$L39=0))</f>
        <v>0</v>
      </c>
      <c r="E1196" s="1454" t="b">
        <f>IF(Page5_CAD_MCI!$K$39=0,FALSE,OR(Page5_CAD_MCI!$M$39/Page5_CAD_MCI!$K$39&lt;INDEX(Min_Table,M1196),Page5_CAD_MCI!$M$39/Page5_CAD_MCI!$K$39&gt;INDEX(Max_Table,M1196)))</f>
        <v>0</v>
      </c>
      <c r="F1196" s="1454"/>
      <c r="G1196" s="1444" t="str">
        <f t="shared" si="156"/>
        <v/>
      </c>
      <c r="H1196" s="1447" t="str">
        <f>IF(C1196=TRUE,Comments!$B$20&amp;DOLLAR(INDEX(Min_Table,L1196),0)&amp;Comments!$B$18&amp;DOLLAR(INDEX(Max_Table,L1196),0)&amp;Comments!$B$19&amp;DOLLAR(Page5_CAD_MCI!$M$39/Page5_CAD_MCI!$K$39,0),"")</f>
        <v/>
      </c>
      <c r="I1196" s="1446" t="str">
        <f>IF(D1196=TRUE,Comments!$B$24,"")</f>
        <v/>
      </c>
      <c r="J1196" s="1446" t="str">
        <f>IF(E1196=TRUE,Comments!$B$22&amp;DOLLAR(INDEX(Min_Table,M1196),0)&amp;Comments!$B$18&amp;DOLLAR(INDEX(Max_Table,M1196),0)&amp;Comments!$B$19&amp;IFERROR(DOLLAR(Page5_CAD_MCI!$M$39/Page5_CAD_MCI!$K$39,0),0),"")</f>
        <v/>
      </c>
      <c r="K1196" s="1452"/>
      <c r="L1196" s="611">
        <f>ROW(OR_VEH!$A$667)</f>
        <v>667</v>
      </c>
      <c r="M1196" s="611">
        <f>ROW(OR_VEH!$A$238)</f>
        <v>238</v>
      </c>
      <c r="N1196" s="611" t="str">
        <f>"CPTE # "&amp;Page5_CAD_MCI!$E$39&amp;"  "&amp;Page5_CAD_MCI!$C$39&amp;" - COÛT DES VENTES - AAD"</f>
        <v>CPTE # 434E  ESCALADE V - COÛT DES VENTES - AAD</v>
      </c>
      <c r="O1196" s="611" t="str">
        <f t="shared" si="164"/>
        <v/>
      </c>
      <c r="P1196" s="611" t="str">
        <f t="shared" si="157"/>
        <v>Page5_CAD_MCI!M</v>
      </c>
      <c r="Q1196" s="611">
        <f t="shared" si="158"/>
        <v>39</v>
      </c>
      <c r="R1196" s="1447">
        <f t="shared" ca="1" si="159"/>
        <v>0</v>
      </c>
      <c r="S1196" s="1447">
        <f t="shared" ca="1" si="160"/>
        <v>0</v>
      </c>
      <c r="T1196" s="611">
        <v>22</v>
      </c>
      <c r="V1196" s="2557" t="str">
        <f t="shared" ca="1" si="161"/>
        <v/>
      </c>
      <c r="W1196" s="611" t="str">
        <f t="shared" ca="1" si="162"/>
        <v>Page5_CAD_MCI, Ligne 36 [Page5_CAD_MCI!M39]  -</v>
      </c>
    </row>
    <row r="1197" spans="1:23">
      <c r="A1197" s="1443" t="str">
        <f>celladdr(Page5_CAD_MCI!M40)</f>
        <v>Page5_CAD_MCI!M40</v>
      </c>
      <c r="B1197" s="1456" t="s">
        <v>1086</v>
      </c>
      <c r="C1197" s="1451" t="b">
        <f>IF(Page5_CAD_MCI!$K$40=0,FALSE,OR(Page5_CAD_MCI!$M$40/Page5_CAD_MCI!$K$40&lt;INDEX(Min_Table,L1197),Page5_CAD_MCI!$M$40/Page5_CAD_MCI!$K$40&gt;INDEX(Max_Table,L1197)))</f>
        <v>0</v>
      </c>
      <c r="D1197" s="1454" t="b">
        <f>OR(AND(Page5_CAD_MCI!$L40&lt;&gt;0,Page5_CAD_MCI!$M40=0),AND(Page5_CAD_MCI!$M40&lt;&gt;0,Page5_CAD_MCI!$L40=0))</f>
        <v>0</v>
      </c>
      <c r="E1197" s="1454" t="b">
        <f>IF(Page5_CAD_MCI!$K$40=0,FALSE,OR(Page5_CAD_MCI!$M$40/Page5_CAD_MCI!$K$40&lt;INDEX(Min_Table,M1197),Page5_CAD_MCI!$M$40/Page5_CAD_MCI!$K$40&gt;INDEX(Max_Table,M1197)))</f>
        <v>0</v>
      </c>
      <c r="F1197" s="1454"/>
      <c r="G1197" s="1444" t="str">
        <f t="shared" si="156"/>
        <v/>
      </c>
      <c r="H1197" s="1447" t="str">
        <f>IF(C1197=TRUE,Comments!$B$20&amp;DOLLAR(INDEX(Min_Table,L1197),0)&amp;Comments!$B$18&amp;DOLLAR(INDEX(Max_Table,L1197),0)&amp;Comments!$B$19&amp;DOLLAR(Page5_CAD_MCI!$M$40/Page5_CAD_MCI!$K$40,0),"")</f>
        <v/>
      </c>
      <c r="I1197" s="1446" t="str">
        <f>IF(D1197=TRUE,Comments!$B$24,"")</f>
        <v/>
      </c>
      <c r="J1197" s="1446" t="str">
        <f>IF(E1197=TRUE,Comments!$B$22&amp;DOLLAR(INDEX(Min_Table,M1197),0)&amp;Comments!$B$18&amp;DOLLAR(INDEX(Max_Table,M1197),0)&amp;Comments!$B$19&amp;IFERROR(DOLLAR(Page5_CAD_MCI!$M$40/Page5_CAD_MCI!$K$40,0),0),"")</f>
        <v/>
      </c>
      <c r="K1197" s="1452"/>
      <c r="L1197" s="611">
        <f>ROW(OR_VEH!$A$667)</f>
        <v>667</v>
      </c>
      <c r="M1197" s="611">
        <f>ROW(OR_VEH!$A$239)</f>
        <v>239</v>
      </c>
      <c r="N1197" s="611" t="str">
        <f>"CPTE # "&amp;Page5_CAD_MCI!$E$40&amp;"  "&amp;Page5_CAD_MCI!$C$40&amp;" - COÛT DES VENTES - AAD"</f>
        <v>CPTE # 435E  NE PAS UTILISER - COÛT DES VENTES - AAD</v>
      </c>
      <c r="O1197" s="611" t="str">
        <f t="shared" si="164"/>
        <v/>
      </c>
      <c r="P1197" s="611" t="str">
        <f t="shared" si="157"/>
        <v>Page5_CAD_MCI!M</v>
      </c>
      <c r="Q1197" s="611">
        <f t="shared" si="158"/>
        <v>40</v>
      </c>
      <c r="R1197" s="1447">
        <f t="shared" ca="1" si="159"/>
        <v>0</v>
      </c>
      <c r="S1197" s="1447">
        <f t="shared" ca="1" si="160"/>
        <v>0</v>
      </c>
      <c r="T1197" s="611">
        <v>22</v>
      </c>
      <c r="V1197" s="2557" t="str">
        <f t="shared" ca="1" si="161"/>
        <v/>
      </c>
      <c r="W1197" s="611" t="str">
        <f t="shared" ca="1" si="162"/>
        <v>Page5_CAD_MCI, Ligne 37 [Page5_CAD_MCI!M40]  -</v>
      </c>
    </row>
    <row r="1198" spans="1:23">
      <c r="A1198" s="1443" t="str">
        <f>celladdr(Page5_CAD_MCI!M41)</f>
        <v>Page5_CAD_MCI!M41</v>
      </c>
      <c r="B1198" s="1456" t="s">
        <v>1086</v>
      </c>
      <c r="C1198" s="1451" t="b">
        <f>IF(Page5_CAD_MCI!$K$41=0,FALSE,OR(Page5_CAD_MCI!$M$41/Page5_CAD_MCI!$K$41&lt;INDEX(Min_Table,L1198),Page5_CAD_MCI!$M$41/Page5_CAD_MCI!$K$41&gt;INDEX(Max_Table,L1198)))</f>
        <v>0</v>
      </c>
      <c r="D1198" s="1454" t="b">
        <f>OR(AND(Page5_CAD_MCI!$L41&lt;&gt;0,Page5_CAD_MCI!$M41=0),AND(Page5_CAD_MCI!$M41&lt;&gt;0,Page5_CAD_MCI!$L41=0))</f>
        <v>0</v>
      </c>
      <c r="E1198" s="1454" t="b">
        <f>IF(Page5_CAD_MCI!$K$41=0,FALSE,OR(Page5_CAD_MCI!$M$41/Page5_CAD_MCI!$K$41&lt;INDEX(Min_Table,M1198),Page5_CAD_MCI!$M$41/Page5_CAD_MCI!$K$41&gt;INDEX(Max_Table,M1198)))</f>
        <v>0</v>
      </c>
      <c r="F1198" s="1454"/>
      <c r="G1198" s="1444" t="str">
        <f t="shared" si="156"/>
        <v/>
      </c>
      <c r="H1198" s="1447" t="str">
        <f>IF(C1198=TRUE,Comments!$B$20&amp;DOLLAR(INDEX(Min_Table,L1198),0)&amp;Comments!$B$18&amp;DOLLAR(INDEX(Max_Table,L1198),0)&amp;Comments!$B$19&amp;DOLLAR(Page5_CAD_MCI!$M$41/Page5_CAD_MCI!$K$41,0),"")</f>
        <v/>
      </c>
      <c r="I1198" s="1446" t="str">
        <f>IF(D1198=TRUE,Comments!$B$24,"")</f>
        <v/>
      </c>
      <c r="J1198" s="1446" t="str">
        <f>IF(E1198=TRUE,Comments!$B$22&amp;DOLLAR(INDEX(Min_Table,M1198),0)&amp;Comments!$B$18&amp;DOLLAR(INDEX(Max_Table,M1198),0)&amp;Comments!$B$19&amp;IFERROR(DOLLAR(Page5_CAD_MCI!$M$41/Page5_CAD_MCI!$K$41,0),0),"")</f>
        <v/>
      </c>
      <c r="K1198" s="1452"/>
      <c r="L1198" s="611">
        <f>ROW(OR_VEH!$A$667)</f>
        <v>667</v>
      </c>
      <c r="M1198" s="611">
        <f>ROW(OR_VEH!$A$240)</f>
        <v>240</v>
      </c>
      <c r="N1198" s="611" t="str">
        <f>"CPTE # "&amp;Page5_CAD_MCI!$E$41&amp;"  "&amp;Page5_CAD_MCI!$C$41&amp;" - COÛT DES VENTES - AAD"</f>
        <v>CPTE # 436E  NE PAS UTILISER - COÛT DES VENTES - AAD</v>
      </c>
      <c r="O1198" s="611" t="str">
        <f t="shared" si="164"/>
        <v/>
      </c>
      <c r="P1198" s="611" t="str">
        <f t="shared" si="157"/>
        <v>Page5_CAD_MCI!M</v>
      </c>
      <c r="Q1198" s="611">
        <f t="shared" si="158"/>
        <v>41</v>
      </c>
      <c r="R1198" s="1447">
        <f t="shared" ca="1" si="159"/>
        <v>0</v>
      </c>
      <c r="S1198" s="1447">
        <f t="shared" ca="1" si="160"/>
        <v>0</v>
      </c>
      <c r="T1198" s="611">
        <v>22</v>
      </c>
      <c r="V1198" s="2557" t="str">
        <f t="shared" ca="1" si="161"/>
        <v/>
      </c>
      <c r="W1198" s="611" t="str">
        <f t="shared" ca="1" si="162"/>
        <v>Page5_CAD_MCI, Ligne 38 [Page5_CAD_MCI!M41]  -</v>
      </c>
    </row>
    <row r="1199" spans="1:23">
      <c r="A1199" s="1443" t="str">
        <f>celladdr(Page5_CAD_MCI!M42)</f>
        <v>Page5_CAD_MCI!M42</v>
      </c>
      <c r="B1199" s="1456" t="s">
        <v>1086</v>
      </c>
      <c r="C1199" s="1451"/>
      <c r="D1199" s="1454"/>
      <c r="E1199" s="1454"/>
      <c r="F1199" s="1454"/>
      <c r="G1199" s="1444" t="str">
        <f t="shared" si="156"/>
        <v/>
      </c>
      <c r="I1199" s="1446"/>
      <c r="J1199" s="1446"/>
      <c r="K1199" s="1452"/>
      <c r="L1199" s="611">
        <f>ROW(OR_VEH!$A$667)</f>
        <v>667</v>
      </c>
      <c r="M1199" s="611">
        <f>ROW(OR_VEH!$A$241)</f>
        <v>241</v>
      </c>
      <c r="N1199" s="611" t="str">
        <f>"CPTE # "&amp;Page5_CAD_MCI!$E$42&amp;"  "&amp;Page5_CAD_MCI!$C$42&amp;" - COÛT DES VENTES - AAD"</f>
        <v>CPTE # 437E  POUR USAGE FUTUR - COÛT DES VENTES - AAD</v>
      </c>
      <c r="O1199" s="611" t="str">
        <f t="shared" si="164"/>
        <v/>
      </c>
      <c r="P1199" s="611" t="str">
        <f t="shared" si="157"/>
        <v>Page5_CAD_MCI!M</v>
      </c>
      <c r="Q1199" s="611">
        <f t="shared" si="158"/>
        <v>42</v>
      </c>
      <c r="R1199" s="1447">
        <f t="shared" ca="1" si="159"/>
        <v>0</v>
      </c>
      <c r="S1199" s="1447">
        <f t="shared" ca="1" si="160"/>
        <v>0</v>
      </c>
      <c r="T1199" s="611">
        <v>22</v>
      </c>
      <c r="V1199" s="2557" t="str">
        <f t="shared" ca="1" si="161"/>
        <v/>
      </c>
      <c r="W1199" s="611" t="str">
        <f t="shared" ca="1" si="162"/>
        <v>Page5_CAD_MCI, Ligne 39 [Page5_CAD_MCI!M42]  -</v>
      </c>
    </row>
    <row r="1200" spans="1:23">
      <c r="A1200" s="1443" t="str">
        <f>celladdr(Page5_CAD_MCI!M43)</f>
        <v>Page5_CAD_MCI!M43</v>
      </c>
      <c r="B1200" s="1456" t="s">
        <v>1086</v>
      </c>
      <c r="C1200" s="1451" t="b">
        <f>IF(Page5_CAD_MCI!$K$43=0,FALSE,OR(Page5_CAD_MCI!$M$43/Page5_CAD_MCI!$K$43&lt;INDEX(Min_Table,L1200),Page5_CAD_MCI!$M$43/Page5_CAD_MCI!$K$43&gt;INDEX(Max_Table,L1200)))</f>
        <v>0</v>
      </c>
      <c r="D1200" s="1454" t="b">
        <f>OR(AND(Page5_CAD_MCI!$L43&lt;&gt;0,Page5_CAD_MCI!$M43=0),AND(Page5_CAD_MCI!$M43&lt;&gt;0,Page5_CAD_MCI!$L43=0))</f>
        <v>0</v>
      </c>
      <c r="E1200" s="1454" t="b">
        <f>IF(Page5_CAD_MCI!$K$43=0,FALSE,OR(Page5_CAD_MCI!$M$43/Page5_CAD_MCI!$K$43&lt;INDEX(Min_Table,M1200),Page5_CAD_MCI!$M$43/Page5_CAD_MCI!$K$43&gt;INDEX(Max_Table,M1200)))</f>
        <v>0</v>
      </c>
      <c r="F1200" s="1454"/>
      <c r="G1200" s="1444" t="str">
        <f t="shared" si="156"/>
        <v/>
      </c>
      <c r="H1200" s="1447" t="str">
        <f>IF(C1200=TRUE,Comments!$B$20&amp;DOLLAR(INDEX(Min_Table,L1200),0)&amp;Comments!$B$18&amp;DOLLAR(INDEX(Max_Table,L1200),0)&amp;Comments!$B$19&amp;DOLLAR(Page5_CAD_MCI!$M$43/Page5_CAD_MCI!$K$43,0),"")</f>
        <v/>
      </c>
      <c r="I1200" s="1446" t="str">
        <f>IF(D1200=TRUE,Comments!$B$24,"")</f>
        <v/>
      </c>
      <c r="J1200" s="1446" t="str">
        <f>IF(E1200=TRUE,Comments!$B$22&amp;DOLLAR(INDEX(Min_Table,M1200),0)&amp;Comments!$B$18&amp;DOLLAR(INDEX(Max_Table,M1200),0)&amp;Comments!$B$19&amp;IFERROR(DOLLAR(Page5_CAD_MCI!$M$43/Page5_CAD_MCI!$K$43,0),0),"")</f>
        <v/>
      </c>
      <c r="K1200" s="1452"/>
      <c r="L1200" s="611">
        <f>ROW(OR_VEH!$A$667)</f>
        <v>667</v>
      </c>
      <c r="M1200" s="611">
        <f>ROW(OR_VEH!$A$242)</f>
        <v>242</v>
      </c>
      <c r="N1200" s="611" t="str">
        <f>"CPTE # "&amp;Page5_CAD_MCI!$E$43&amp;"  "&amp;Page5_CAD_MCI!$C$43&amp;" - COÛT DES VENTES - AAD"</f>
        <v>CPTE # 438E  AUTRES CAMIONS CADILLAC - COÛT DES VENTES - AAD</v>
      </c>
      <c r="O1200" s="611" t="str">
        <f t="shared" si="164"/>
        <v/>
      </c>
      <c r="P1200" s="611" t="str">
        <f t="shared" si="157"/>
        <v>Page5_CAD_MCI!M</v>
      </c>
      <c r="Q1200" s="611">
        <f t="shared" si="158"/>
        <v>43</v>
      </c>
      <c r="R1200" s="1447">
        <f t="shared" ca="1" si="159"/>
        <v>0</v>
      </c>
      <c r="S1200" s="1447">
        <f t="shared" ca="1" si="160"/>
        <v>0</v>
      </c>
      <c r="T1200" s="611">
        <v>22</v>
      </c>
      <c r="V1200" s="2557" t="str">
        <f t="shared" ca="1" si="161"/>
        <v/>
      </c>
      <c r="W1200" s="611" t="str">
        <f t="shared" ca="1" si="162"/>
        <v>Page5_CAD_MCI, Ligne 40 [Page5_CAD_MCI!M43]  -</v>
      </c>
    </row>
    <row r="1201" spans="1:23">
      <c r="A1201" s="1443" t="str">
        <f>celladdr(Page5_CAD_MCI!M44)</f>
        <v>Page5_CAD_MCI!M44</v>
      </c>
      <c r="B1201" s="1444" t="s">
        <v>1086</v>
      </c>
      <c r="C1201" s="1451"/>
      <c r="D1201" s="1454"/>
      <c r="E1201" s="1454"/>
      <c r="F1201" s="1454"/>
      <c r="G1201" s="1444" t="str">
        <f t="shared" si="156"/>
        <v/>
      </c>
      <c r="H1201" s="1447" t="str">
        <f>IF(C1201=TRUE,Comments!$B$26,"")</f>
        <v/>
      </c>
      <c r="I1201" s="1446" t="str">
        <f>IF(D1201=TRUE,Comments!$B$24,"")</f>
        <v/>
      </c>
      <c r="J1201" s="1446"/>
      <c r="K1201" s="1452"/>
      <c r="O1201" s="611" t="str">
        <f t="shared" si="164"/>
        <v/>
      </c>
      <c r="P1201" s="611" t="str">
        <f t="shared" si="157"/>
        <v>Page5_CAD_MCI!M</v>
      </c>
      <c r="Q1201" s="611">
        <f t="shared" si="158"/>
        <v>44</v>
      </c>
      <c r="R1201" s="1447">
        <f t="shared" ca="1" si="159"/>
        <v>0</v>
      </c>
      <c r="S1201" s="1447">
        <f t="shared" ca="1" si="160"/>
        <v>0</v>
      </c>
      <c r="V1201" s="2557" t="str">
        <f t="shared" ca="1" si="161"/>
        <v/>
      </c>
      <c r="W1201" s="611" t="str">
        <f t="shared" ca="1" si="162"/>
        <v>Page5_CAD_MCI, Ligne 41 [Page5_CAD_MCI!M44]  -</v>
      </c>
    </row>
    <row r="1202" spans="1:23">
      <c r="A1202" s="1443" t="str">
        <f>celladdr(Page5_CAD_MCI!M45)</f>
        <v>Page5_CAD_MCI!M45</v>
      </c>
      <c r="B1202" s="1456" t="s">
        <v>1086</v>
      </c>
      <c r="C1202" s="1451" t="b">
        <f>IF(Page5_CAD_MCI!$K$45=0,FALSE,OR(Page5_CAD_MCI!$M$45/Page5_CAD_MCI!$K$45&lt;INDEX(Min_Table,L1202),Page5_CAD_MCI!$M$45/Page5_CAD_MCI!$K$45&gt;INDEX(Max_Table,L1202)))</f>
        <v>0</v>
      </c>
      <c r="D1202" s="1454" t="b">
        <f>OR(AND(Page5_CAD_MCI!$L45&lt;&gt;0,Page5_CAD_MCI!$M45=0),AND(Page5_CAD_MCI!$M45&lt;&gt;0,Page5_CAD_MCI!$L45=0))</f>
        <v>0</v>
      </c>
      <c r="E1202" s="1454" t="b">
        <f>IF(Page5_CAD_MCI!$K$45=0,FALSE,OR(Page5_CAD_MCI!$M$45/Page5_CAD_MCI!$K$45&lt;INDEX(Min_Table,M1202),Page5_CAD_MCI!$M$45/Page5_CAD_MCI!$K$45&gt;INDEX(Max_Table,M1202)))</f>
        <v>0</v>
      </c>
      <c r="F1202" s="1454"/>
      <c r="G1202" s="1444" t="str">
        <f t="shared" si="156"/>
        <v/>
      </c>
      <c r="H1202" s="1447" t="str">
        <f>IF(C1202=TRUE,Comments!$B$20&amp;DOLLAR(INDEX(Min_Table,L1202),0)&amp;Comments!$B$18&amp;DOLLAR(INDEX(Max_Table,L1202),0)&amp;Comments!$B$19&amp;DOLLAR(Page5_CAD_MCI!$M$45/Page5_CAD_MCI!$K$45,0),"")</f>
        <v/>
      </c>
      <c r="I1202" s="1446" t="str">
        <f>IF(D1202=TRUE,Comments!$B$24,"")</f>
        <v/>
      </c>
      <c r="J1202" s="1446" t="str">
        <f>IF(E1202=TRUE,Comments!$B$22&amp;DOLLAR(INDEX(Min_Table,M1202),0)&amp;Comments!$B$18&amp;DOLLAR(INDEX(Max_Table,M1202),0)&amp;Comments!$B$19&amp;IFERROR(DOLLAR(Page5_CAD_MCI!$M$45/Page5_CAD_MCI!$K$45,0),0),"")</f>
        <v/>
      </c>
      <c r="K1202" s="1452"/>
      <c r="L1202" s="611">
        <f>ROW(OR_VEH!$A$667)</f>
        <v>667</v>
      </c>
      <c r="M1202" s="611">
        <f>ROW(OR_VEH!$A$244)</f>
        <v>244</v>
      </c>
      <c r="N1202" s="611" t="str">
        <f>"CPTE # "&amp;Page5_CAD_MCI!$E$45&amp;"  "&amp;Page5_CAD_MCI!$C$45&amp;" - COÛT DES VENTES - AAD"</f>
        <v>CPTE # 439E  MÉMO* VENTES INTERNET CAMIONS - COÛT DES VENTES - AAD</v>
      </c>
      <c r="O1202" s="611" t="str">
        <f t="shared" si="164"/>
        <v/>
      </c>
      <c r="P1202" s="611" t="str">
        <f t="shared" si="157"/>
        <v>Page5_CAD_MCI!M</v>
      </c>
      <c r="Q1202" s="611">
        <f t="shared" si="158"/>
        <v>45</v>
      </c>
      <c r="R1202" s="1447">
        <f t="shared" ca="1" si="159"/>
        <v>0</v>
      </c>
      <c r="S1202" s="1447">
        <f t="shared" ca="1" si="160"/>
        <v>0</v>
      </c>
      <c r="T1202" s="611">
        <v>22</v>
      </c>
      <c r="V1202" s="2557" t="str">
        <f t="shared" ca="1" si="161"/>
        <v/>
      </c>
      <c r="W1202" s="611" t="str">
        <f t="shared" ca="1" si="162"/>
        <v>Page5_CAD_MCI, Ligne 42 [Page5_CAD_MCI!M45]  -</v>
      </c>
    </row>
    <row r="1203" spans="1:23">
      <c r="A1203" s="1443" t="str">
        <f>celladdr(Page5_CAD_MCI!M46)</f>
        <v>Page5_CAD_MCI!M46</v>
      </c>
      <c r="B1203" s="1456" t="s">
        <v>1086</v>
      </c>
      <c r="C1203" s="1451" t="b">
        <f>IF(Page5_CAD_MCI!$K$46=0,FALSE,OR(Page5_CAD_MCI!$M$46/Page5_CAD_MCI!$K$46&lt;INDEX(Min_Table,L1203),Page5_CAD_MCI!$M$46/Page5_CAD_MCI!$K$46&gt;INDEX(Max_Table,L1203)))</f>
        <v>0</v>
      </c>
      <c r="D1203" s="1454" t="b">
        <f>OR(AND(Page5_CAD_MCI!$L46&lt;&gt;0,Page5_CAD_MCI!$M46=0),AND(Page5_CAD_MCI!$M46&lt;&gt;0,Page5_CAD_MCI!$L46=0))</f>
        <v>0</v>
      </c>
      <c r="E1203" s="1454" t="b">
        <f>IF(Page5_CAD_MCI!$K$46=0,FALSE,OR(Page5_CAD_MCI!$M$46/Page5_CAD_MCI!$K$46&lt;INDEX(Min_Table,M1203),Page5_CAD_MCI!$M$46/Page5_CAD_MCI!$K$46&gt;INDEX(Max_Table,M1203)))</f>
        <v>0</v>
      </c>
      <c r="F1203" s="1454"/>
      <c r="G1203" s="1444" t="str">
        <f t="shared" si="156"/>
        <v/>
      </c>
      <c r="H1203" s="1447" t="str">
        <f>IF(C1203=TRUE,Comments!$B$20&amp;DOLLAR(INDEX(Min_Table,L1203),0)&amp;Comments!$B$18&amp;DOLLAR(INDEX(Max_Table,L1203),0)&amp;Comments!$B$19&amp;DOLLAR(Page5_CAD_MCI!$M$46/Page5_CAD_MCI!$K$46,0),"")</f>
        <v/>
      </c>
      <c r="I1203" s="1446" t="str">
        <f>IF(D1203=TRUE,Comments!$B$24,"")</f>
        <v/>
      </c>
      <c r="J1203" s="1446" t="str">
        <f>IF(E1203=TRUE,Comments!$B$22&amp;DOLLAR(INDEX(Min_Table,M1203),0)&amp;Comments!$B$18&amp;DOLLAR(INDEX(Max_Table,M1203),0)&amp;Comments!$B$19&amp;IFERROR(DOLLAR(Page5_CAD_MCI!$M$46/Page5_CAD_MCI!$K$46,0),0),"")</f>
        <v/>
      </c>
      <c r="K1203" s="1452"/>
      <c r="L1203" s="611">
        <f>ROW(OR_VEH!$A$667)</f>
        <v>667</v>
      </c>
      <c r="M1203" s="611">
        <f>ROW(OR_VEH!$A$245)</f>
        <v>245</v>
      </c>
      <c r="N1203" s="611" t="str">
        <f>"CPTE # "&amp;Page5_CAD_MCI!$E$46&amp;"  "&amp;Page5_CAD_MCI!$C$46&amp;" - COÛT DES VENTES - AAD"</f>
        <v>CPTE # DE PG PARCS  TOTAL PARCS - CAMIONS - COÛT DES VENTES - AAD</v>
      </c>
      <c r="O1203" s="611" t="str">
        <f t="shared" si="164"/>
        <v/>
      </c>
      <c r="P1203" s="611" t="str">
        <f t="shared" si="157"/>
        <v>Page5_CAD_MCI!M</v>
      </c>
      <c r="Q1203" s="611">
        <f t="shared" si="158"/>
        <v>46</v>
      </c>
      <c r="R1203" s="1447">
        <f t="shared" ca="1" si="159"/>
        <v>0</v>
      </c>
      <c r="S1203" s="1447">
        <f t="shared" ca="1" si="160"/>
        <v>0</v>
      </c>
      <c r="T1203" s="611">
        <v>22</v>
      </c>
      <c r="V1203" s="2557" t="str">
        <f t="shared" ca="1" si="161"/>
        <v/>
      </c>
      <c r="W1203" s="611" t="str">
        <f t="shared" ca="1" si="162"/>
        <v>Page5_CAD_MCI, Ligne 43 [Page5_CAD_MCI!M46]  -</v>
      </c>
    </row>
    <row r="1204" spans="1:23">
      <c r="A1204" s="1443" t="str">
        <f>celladdr(Page5_CAD_MCI!M47)</f>
        <v>Page5_CAD_MCI!M47</v>
      </c>
      <c r="B1204" s="1456" t="s">
        <v>1086</v>
      </c>
      <c r="C1204" s="1451" t="b">
        <f>IF(Page5_CAD_MCI!$K$47=0,FALSE,OR(Page5_CAD_MCI!$M$47/Page5_CAD_MCI!$K$47&lt;INDEX(Min_Table,L1204),Page5_CAD_MCI!$M$47/Page5_CAD_MCI!$K$47&gt;INDEX(Max_Table,L1204)))</f>
        <v>0</v>
      </c>
      <c r="D1204" s="1454" t="b">
        <f>OR(AND(Page5_CAD_MCI!$L47&lt;&gt;0,Page5_CAD_MCI!$M47=0),AND(Page5_CAD_MCI!$M47&lt;&gt;0,Page5_CAD_MCI!$L47=0))</f>
        <v>0</v>
      </c>
      <c r="E1204" s="1454" t="b">
        <f>IF(Page5_CAD_MCI!$K$47=0,FALSE,OR(Page5_CAD_MCI!$M$47/Page5_CAD_MCI!$K$47&lt;INDEX(Min_Table,M1204),Page5_CAD_MCI!$M$47/Page5_CAD_MCI!$K$47&gt;INDEX(Max_Table,M1204)))</f>
        <v>0</v>
      </c>
      <c r="F1204" s="1454"/>
      <c r="G1204" s="1444" t="str">
        <f t="shared" si="156"/>
        <v/>
      </c>
      <c r="H1204" s="1447" t="str">
        <f>IF(C1204=TRUE,Comments!$B$20&amp;DOLLAR(INDEX(Min_Table,L1204),0)&amp;Comments!$B$18&amp;DOLLAR(INDEX(Max_Table,L1204),0)&amp;Comments!$B$19&amp;DOLLAR(Page5_CAD_MCI!$M$47/Page5_CAD_MCI!$K$47,0),"")</f>
        <v/>
      </c>
      <c r="I1204" s="1446" t="str">
        <f>IF(D1204=TRUE,Comments!$B$24,"")</f>
        <v/>
      </c>
      <c r="J1204" s="1446" t="str">
        <f>IF(E1204=TRUE,Comments!$B$22&amp;DOLLAR(INDEX(Min_Table,M1204),0)&amp;Comments!$B$18&amp;DOLLAR(INDEX(Max_Table,M1204),0)&amp;Comments!$B$19&amp;IFERROR(DOLLAR(Page5_CAD_MCI!$M$47/Page5_CAD_MCI!$K$47,0),0),"")</f>
        <v/>
      </c>
      <c r="K1204" s="1452"/>
      <c r="L1204" s="611">
        <f>ROW(OR_VEH!$A$667)</f>
        <v>667</v>
      </c>
      <c r="M1204" s="611">
        <f>ROW(OR_VEH!$A$246)</f>
        <v>246</v>
      </c>
      <c r="N1204" s="611" t="str">
        <f>"CPTE # "&amp;Page5_CAD_MCI!$E$47&amp;"  "&amp;Page5_CAD_MCI!$C$47&amp;" - COÛT DES VENTES - AAD"</f>
        <v>CPTE # 441E  TOTAL IINTERNE - CAMIONS  - COÛT DES VENTES - AAD</v>
      </c>
      <c r="O1204" s="611" t="str">
        <f t="shared" si="164"/>
        <v/>
      </c>
      <c r="P1204" s="611" t="str">
        <f t="shared" si="157"/>
        <v>Page5_CAD_MCI!M</v>
      </c>
      <c r="Q1204" s="611">
        <f t="shared" si="158"/>
        <v>47</v>
      </c>
      <c r="R1204" s="1447">
        <f t="shared" ca="1" si="159"/>
        <v>0</v>
      </c>
      <c r="S1204" s="1447">
        <f t="shared" ca="1" si="160"/>
        <v>0</v>
      </c>
      <c r="T1204" s="611">
        <v>22</v>
      </c>
      <c r="V1204" s="2557" t="str">
        <f t="shared" ca="1" si="161"/>
        <v/>
      </c>
      <c r="W1204" s="611" t="str">
        <f t="shared" ca="1" si="162"/>
        <v>Page5_CAD_MCI, Ligne 44 [Page5_CAD_MCI!M47]  -</v>
      </c>
    </row>
    <row r="1205" spans="1:23">
      <c r="A1205" s="1443" t="str">
        <f>celladdr(Page5_CAD_MCI!M48)</f>
        <v>Page5_CAD_MCI!M48</v>
      </c>
      <c r="B1205" s="1444" t="s">
        <v>1086</v>
      </c>
      <c r="C1205" s="1451"/>
      <c r="D1205" s="1454"/>
      <c r="E1205" s="1454"/>
      <c r="F1205" s="1454"/>
      <c r="G1205" s="1444" t="str">
        <f t="shared" si="156"/>
        <v/>
      </c>
      <c r="H1205" s="1447" t="str">
        <f>IF(C1205=TRUE,Comments!$B$26,"")</f>
        <v/>
      </c>
      <c r="I1205" s="1446" t="str">
        <f>IF(D1205=TRUE,Comments!$B$24,"")</f>
        <v/>
      </c>
      <c r="J1205" s="1446"/>
      <c r="K1205" s="1452"/>
      <c r="O1205" s="611" t="str">
        <f t="shared" si="164"/>
        <v/>
      </c>
      <c r="P1205" s="611" t="str">
        <f t="shared" si="157"/>
        <v>Page5_CAD_MCI!M</v>
      </c>
      <c r="Q1205" s="611">
        <f t="shared" si="158"/>
        <v>48</v>
      </c>
      <c r="R1205" s="1447">
        <f t="shared" ca="1" si="159"/>
        <v>0</v>
      </c>
      <c r="S1205" s="1447">
        <f t="shared" ca="1" si="160"/>
        <v>0</v>
      </c>
      <c r="V1205" s="2557" t="str">
        <f t="shared" ca="1" si="161"/>
        <v/>
      </c>
      <c r="W1205" s="611" t="str">
        <f t="shared" ca="1" si="162"/>
        <v>Page5_CAD_MCI, Ligne 45 [Page5_CAD_MCI!M48]  -</v>
      </c>
    </row>
    <row r="1206" spans="1:23">
      <c r="A1206" s="1443" t="str">
        <f>celladdr(Page5_CAD_MCI!M49)</f>
        <v>Page5_CAD_MCI!M49</v>
      </c>
      <c r="B1206" s="1456" t="s">
        <v>1086</v>
      </c>
      <c r="C1206" s="1451"/>
      <c r="D1206" s="1454" t="b">
        <f>OR(AND(Page5_CAD_MCI!$L49&lt;&gt;0,Page5_CAD_MCI!$M49=0),AND(Page5_CAD_MCI!$M49&lt;&gt;0,Page5_CAD_MCI!$L49=0))</f>
        <v>0</v>
      </c>
      <c r="E1206" s="1454"/>
      <c r="F1206" s="1454"/>
      <c r="G1206" s="1444" t="str">
        <f t="shared" si="156"/>
        <v/>
      </c>
      <c r="I1206" s="1446" t="str">
        <f>IF(D1206=TRUE,Comments!$B$24,"")</f>
        <v/>
      </c>
      <c r="J1206" s="1446"/>
      <c r="K1206" s="1452"/>
      <c r="N1206" s="611" t="str">
        <f>"CPTE # "&amp;Page5_CAD_MCI!$E$49&amp;"  "&amp;Page5_CAD_MCI!$C$49&amp;" - COÛT DES VENTES - AAD"</f>
        <v>CPTE #      - COÛT DES VENTES - AAD</v>
      </c>
      <c r="O1206" s="611" t="str">
        <f t="shared" si="164"/>
        <v/>
      </c>
      <c r="P1206" s="611" t="str">
        <f t="shared" si="157"/>
        <v>Page5_CAD_MCI!M</v>
      </c>
      <c r="Q1206" s="611">
        <f t="shared" si="158"/>
        <v>49</v>
      </c>
      <c r="R1206" s="1447">
        <f t="shared" ca="1" si="159"/>
        <v>0</v>
      </c>
      <c r="S1206" s="1447">
        <f t="shared" ca="1" si="160"/>
        <v>0</v>
      </c>
      <c r="V1206" s="2557" t="str">
        <f t="shared" ca="1" si="161"/>
        <v/>
      </c>
      <c r="W1206" s="611" t="str">
        <f t="shared" ca="1" si="162"/>
        <v>Page5_CAD_MCI, Ligne 46 [Page5_CAD_MCI!M49]  -</v>
      </c>
    </row>
    <row r="1207" spans="1:23">
      <c r="A1207" s="1443" t="str">
        <f>celladdr(Page5_CAD_MCI!M50)</f>
        <v>Page5_CAD_MCI!M50</v>
      </c>
      <c r="B1207" s="1456" t="s">
        <v>1086</v>
      </c>
      <c r="C1207" s="1451"/>
      <c r="D1207" s="1454" t="b">
        <f>OR(AND(Page5_CAD_MCI!$L50&lt;&gt;0,Page5_CAD_MCI!$M50=0),AND(Page5_CAD_MCI!$M50&lt;&gt;0,Page5_CAD_MCI!$L50=0))</f>
        <v>0</v>
      </c>
      <c r="E1207" s="1454"/>
      <c r="F1207" s="1454"/>
      <c r="G1207" s="1444" t="str">
        <f t="shared" si="156"/>
        <v/>
      </c>
      <c r="I1207" s="1446" t="str">
        <f>IF(D1207=TRUE,Comments!$B$24,"")</f>
        <v/>
      </c>
      <c r="J1207" s="1446"/>
      <c r="K1207" s="1452"/>
      <c r="N1207" s="611" t="str">
        <f>"CPTE # "&amp;Page5_CAD_MCI!$E$50&amp;"  "&amp;Page5_CAD_MCI!$C$50&amp;" - COÛT DES VENTES - AAD"</f>
        <v>CPTE # 457E  ACCESSOIRES - COÛT DES VENTES - AAD</v>
      </c>
      <c r="O1207" s="611" t="str">
        <f t="shared" si="164"/>
        <v/>
      </c>
      <c r="P1207" s="611" t="str">
        <f t="shared" si="157"/>
        <v>Page5_CAD_MCI!M</v>
      </c>
      <c r="Q1207" s="611">
        <f t="shared" si="158"/>
        <v>50</v>
      </c>
      <c r="R1207" s="1447">
        <f t="shared" ca="1" si="159"/>
        <v>0</v>
      </c>
      <c r="S1207" s="1447">
        <f t="shared" ca="1" si="160"/>
        <v>0</v>
      </c>
      <c r="V1207" s="2557" t="str">
        <f t="shared" ca="1" si="161"/>
        <v/>
      </c>
      <c r="W1207" s="611" t="str">
        <f t="shared" ca="1" si="162"/>
        <v>Page5_CAD_MCI, Ligne 47 [Page5_CAD_MCI!M50]  -</v>
      </c>
    </row>
    <row r="1208" spans="1:23">
      <c r="A1208" s="1443" t="str">
        <f>celladdr(Page5_CAD_MCI!N51)</f>
        <v>Page5_CAD_MCI!N51</v>
      </c>
      <c r="B1208" s="1455" t="s">
        <v>1086</v>
      </c>
      <c r="C1208" s="1445" t="b">
        <f>Page5_CAD_MCI!$N$51&lt;&gt;Page5_CAD_MCI!$N$48+Page5_CAD_MCI!$N$49+Page5_CAD_MCI!$N$27+Page5_CAD_MCI!$N$50</f>
        <v>0</v>
      </c>
      <c r="D1208" s="1454"/>
      <c r="F1208" s="1454"/>
      <c r="G1208" s="1444" t="str">
        <f t="shared" si="156"/>
        <v/>
      </c>
      <c r="H1208" s="1446" t="str">
        <f>IF(C1208=TRUE,Comments!$B$39&amp;DOLLAR(Page5_CAD_MCI!$N$51-(Page5_CAD_MCI!$N$48+Page5_CAD_MCI!$N$49+Page5_CAD_MCI!$N$27+Page5_CAD_MCI!$N$50),0),"")</f>
        <v/>
      </c>
      <c r="I1208" s="1452"/>
      <c r="J1208" s="1452"/>
      <c r="K1208" s="1452"/>
      <c r="N1208" s="611" t="str">
        <f>Page5_CAD_MCI!$B$1&amp;" TOTAL VÉHICULES NEUFS - PROFIT BRUT - AAD"</f>
        <v>CADILLAC TOTAL VÉHICULES NEUFS - PROFIT BRUT - AAD</v>
      </c>
      <c r="O1208" s="611" t="str">
        <f t="shared" si="164"/>
        <v/>
      </c>
      <c r="P1208" s="611" t="str">
        <f t="shared" si="157"/>
        <v>Page5_CAD_MCI!N</v>
      </c>
      <c r="Q1208" s="611">
        <f t="shared" si="158"/>
        <v>51</v>
      </c>
      <c r="R1208" s="1447">
        <f t="shared" ca="1" si="159"/>
        <v>0</v>
      </c>
      <c r="S1208" s="1447">
        <f t="shared" ca="1" si="160"/>
        <v>0</v>
      </c>
      <c r="V1208" s="2557" t="str">
        <f t="shared" ca="1" si="161"/>
        <v/>
      </c>
      <c r="W1208" s="611" t="str">
        <f t="shared" ca="1" si="162"/>
        <v>Page5_CAD_MCI, Ligne 48 [Page5_CAD_MCI!N51]  -</v>
      </c>
    </row>
    <row r="1209" spans="1:23">
      <c r="A1209" s="1443" t="str">
        <f>celladdr(Page5_GMC_MCI!F51)</f>
        <v>Page5_GMC_MCI!F51</v>
      </c>
      <c r="B1209" s="1453" t="s">
        <v>1086</v>
      </c>
      <c r="C1209" s="1445" t="b">
        <f>Page5_GMC_MCI!$F$51&lt;&gt;Page5_GMC_MCI!$F$48+Page5_GMC_MCI!$F$27</f>
        <v>0</v>
      </c>
      <c r="D1209" s="1454"/>
      <c r="F1209" s="1454"/>
      <c r="G1209" s="1444" t="str">
        <f t="shared" si="156"/>
        <v/>
      </c>
      <c r="H1209" s="1446" t="str">
        <f>IF(C1209=TRUE,Comments!$B$38&amp;Page5_GMC_MCI!$F$51-(Page5_GMC_MCI!$F$48+Page5_GMC_MCI!$F$27),"")</f>
        <v/>
      </c>
      <c r="I1209" s="1452"/>
      <c r="J1209" s="1452"/>
      <c r="K1209" s="1452"/>
      <c r="N1209" s="611" t="str">
        <f>Page5_GMC_MCI!$B$1&amp;" TOTAL VÉHICULES NEUFS  - UNITÉS - MOIS"</f>
        <v>GMC TOTAL VÉHICULES NEUFS  - UNITÉS - MOIS</v>
      </c>
      <c r="O1209" s="611" t="str">
        <f t="shared" si="164"/>
        <v/>
      </c>
      <c r="P1209" s="611" t="str">
        <f t="shared" si="157"/>
        <v>Page5_GMC_MCI!F</v>
      </c>
      <c r="Q1209" s="611">
        <f t="shared" si="158"/>
        <v>51</v>
      </c>
      <c r="R1209" s="1447">
        <f t="shared" ca="1" si="159"/>
        <v>0</v>
      </c>
      <c r="S1209" s="1447">
        <f t="shared" ca="1" si="160"/>
        <v>0</v>
      </c>
      <c r="V1209" s="2557" t="str">
        <f t="shared" ca="1" si="161"/>
        <v/>
      </c>
      <c r="W1209" s="611" t="str">
        <f t="shared" ca="1" si="162"/>
        <v>Page5_GMC_MCI, Ligne 48 [Page5_GMC_MCI!F51]  -</v>
      </c>
    </row>
    <row r="1210" spans="1:23">
      <c r="A1210" s="1443" t="str">
        <f>celladdr(Page5_GMC_MCI!I51)</f>
        <v>Page5_GMC_MCI!I51</v>
      </c>
      <c r="B1210" s="1455" t="s">
        <v>1086</v>
      </c>
      <c r="C1210" s="1445" t="b">
        <f>Page5_GMC_MCI!$I$51&lt;&gt;Page5_GMC_MCI!$I$48+Page5_GMC_MCI!$I$49+Page5_GMC_MCI!$I$27+Page5_GMC_MCI!$I$50</f>
        <v>0</v>
      </c>
      <c r="D1210" s="1454"/>
      <c r="F1210" s="1454"/>
      <c r="G1210" s="1444" t="str">
        <f t="shared" si="156"/>
        <v/>
      </c>
      <c r="H1210" s="1446" t="str">
        <f>IF(C1210=TRUE,Comments!$B$39&amp;DOLLAR(Page5_GMC_MCI!$I$51-(Page5_GMC_MCI!$I$48+Page5_GMC_MCI!$I$49+Page5_GMC_MCI!$I$27+Page5_GMC_MCI!$I$50),0),"")</f>
        <v/>
      </c>
      <c r="I1210" s="1452"/>
      <c r="J1210" s="1452"/>
      <c r="K1210" s="1452"/>
      <c r="N1210" s="611" t="str">
        <f>Page5_GMC_MCI!$B$1&amp;" TOTAL VÉHICULES NEUFS - PROFIT BRUT - MOIS"</f>
        <v>GMC TOTAL VÉHICULES NEUFS - PROFIT BRUT - MOIS</v>
      </c>
      <c r="O1210" s="611" t="str">
        <f t="shared" si="164"/>
        <v/>
      </c>
      <c r="P1210" s="611" t="str">
        <f t="shared" si="157"/>
        <v>Page5_GMC_MCI!I</v>
      </c>
      <c r="Q1210" s="611">
        <f t="shared" si="158"/>
        <v>51</v>
      </c>
      <c r="R1210" s="1447">
        <f t="shared" ca="1" si="159"/>
        <v>0</v>
      </c>
      <c r="S1210" s="1447">
        <f t="shared" ca="1" si="160"/>
        <v>0</v>
      </c>
      <c r="V1210" s="2557" t="str">
        <f t="shared" ca="1" si="161"/>
        <v/>
      </c>
      <c r="W1210" s="611" t="str">
        <f t="shared" ca="1" si="162"/>
        <v>Page5_GMC_MCI, Ligne 48 [Page5_GMC_MCI!I51]  -</v>
      </c>
    </row>
    <row r="1211" spans="1:23">
      <c r="A1211" s="1443" t="str">
        <f>celladdr(Page5_GMC_MCI!K4)</f>
        <v>Page5_GMC_MCI!K4</v>
      </c>
      <c r="B1211" s="1464" t="s">
        <v>1086</v>
      </c>
      <c r="C1211" s="1451" t="b">
        <f>Page5_GMC_MCI!$K$4&lt;0</f>
        <v>0</v>
      </c>
      <c r="D1211" s="1454" t="b">
        <f>OR(AND(Page5_GMC_MCI!$K4&gt;0,Page5_GMC_MCI!$M4=0),AND(Page5_GMC_MCI!$M4&lt;&gt;0,Page5_GMC_MCI!$K$4=0))</f>
        <v>0</v>
      </c>
      <c r="E1211" s="1454"/>
      <c r="F1211" s="1454"/>
      <c r="G1211" s="1444" t="str">
        <f t="shared" si="156"/>
        <v/>
      </c>
      <c r="H1211" s="1447" t="str">
        <f>IF(C1211=TRUE,Comments!$B$26,"")</f>
        <v/>
      </c>
      <c r="I1211" s="1446" t="str">
        <f>IF(D1211=TRUE,Comments!$B$21,"")</f>
        <v/>
      </c>
      <c r="J1211" s="1446"/>
      <c r="K1211" s="1452"/>
      <c r="N1211" s="611" t="str">
        <f>"CPTE # "&amp;Page5_GMC_MCI!$E$4&amp;"  "&amp;Page5_GMC_MCI!$C$4&amp;" - UNITÉS - AAD"</f>
        <v>CPTE # 400F  NE PAS UTILISER - UNITÉS - AAD</v>
      </c>
      <c r="O1211" s="611" t="str">
        <f t="shared" si="164"/>
        <v/>
      </c>
      <c r="P1211" s="611" t="str">
        <f t="shared" si="157"/>
        <v>Page5_GMC_MCI!K</v>
      </c>
      <c r="Q1211" s="611">
        <f t="shared" si="158"/>
        <v>4</v>
      </c>
      <c r="R1211" s="1447">
        <f t="shared" ca="1" si="159"/>
        <v>0</v>
      </c>
      <c r="S1211" s="1447">
        <f t="shared" ca="1" si="160"/>
        <v>0</v>
      </c>
      <c r="V1211" s="2557" t="str">
        <f t="shared" ca="1" si="161"/>
        <v/>
      </c>
      <c r="W1211" s="611" t="str">
        <f t="shared" ca="1" si="162"/>
        <v>Page5_GMC_MCI, Ligne 1 [Page5_GMC_MCI!K4]  -</v>
      </c>
    </row>
    <row r="1212" spans="1:23">
      <c r="A1212" s="1443" t="str">
        <f>celladdr(Page5_GMC_MCI!K5)</f>
        <v>Page5_GMC_MCI!K5</v>
      </c>
      <c r="B1212" s="1464" t="s">
        <v>1086</v>
      </c>
      <c r="C1212" s="1451" t="b">
        <f>Page5_GMC_MCI!$K$5&lt;0</f>
        <v>0</v>
      </c>
      <c r="D1212" s="1454" t="b">
        <f>OR(AND(Page5_GMC_MCI!$K5&gt;0,Page5_GMC_MCI!$M5=0),AND(Page5_GMC_MCI!$M5&lt;&gt;0,Page5_GMC_MCI!$K$5=0))</f>
        <v>0</v>
      </c>
      <c r="E1212" s="1454"/>
      <c r="F1212" s="1454"/>
      <c r="G1212" s="1444" t="str">
        <f t="shared" si="156"/>
        <v/>
      </c>
      <c r="H1212" s="1447" t="str">
        <f>IF(C1212=TRUE,Comments!$B$26,"")</f>
        <v/>
      </c>
      <c r="I1212" s="1446" t="str">
        <f>IF(D1212=TRUE,Comments!$B$21,"")</f>
        <v/>
      </c>
      <c r="J1212" s="1446"/>
      <c r="K1212" s="1452"/>
      <c r="N1212" s="611" t="str">
        <f>"CPTE # "&amp;Page5_GMC_MCI!$E$5&amp;"  "&amp;Page5_GMC_MCI!$C$5&amp;" - UNITÉS - AAD"</f>
        <v>CPTE # 401F  NE PAS UTILISER - UNITÉS - AAD</v>
      </c>
      <c r="O1212" s="611" t="str">
        <f t="shared" si="164"/>
        <v/>
      </c>
      <c r="P1212" s="611" t="str">
        <f t="shared" si="157"/>
        <v>Page5_GMC_MCI!K</v>
      </c>
      <c r="Q1212" s="611">
        <f t="shared" si="158"/>
        <v>5</v>
      </c>
      <c r="R1212" s="1447">
        <f t="shared" ca="1" si="159"/>
        <v>0</v>
      </c>
      <c r="S1212" s="1447">
        <f t="shared" ca="1" si="160"/>
        <v>0</v>
      </c>
      <c r="V1212" s="2557" t="str">
        <f t="shared" ca="1" si="161"/>
        <v/>
      </c>
      <c r="W1212" s="611" t="str">
        <f t="shared" ca="1" si="162"/>
        <v>Page5_GMC_MCI, Ligne 2 [Page5_GMC_MCI!K5]  -</v>
      </c>
    </row>
    <row r="1213" spans="1:23">
      <c r="A1213" s="1443" t="str">
        <f>celladdr(Page5_GMC_MCI!K6)</f>
        <v>Page5_GMC_MCI!K6</v>
      </c>
      <c r="B1213" s="1464" t="s">
        <v>1086</v>
      </c>
      <c r="C1213" s="1451" t="b">
        <f>Page5_GMC_MCI!$K$6&lt;0</f>
        <v>0</v>
      </c>
      <c r="D1213" s="1454" t="b">
        <f>OR(AND(Page5_GMC_MCI!$K6&gt;0,Page5_GMC_MCI!$M6=0),AND(Page5_GMC_MCI!$M6&lt;&gt;0,Page5_GMC_MCI!$K$6=0))</f>
        <v>0</v>
      </c>
      <c r="E1213" s="1454"/>
      <c r="F1213" s="1454"/>
      <c r="G1213" s="1444" t="str">
        <f t="shared" si="156"/>
        <v/>
      </c>
      <c r="H1213" s="1447" t="str">
        <f>IF(C1213=TRUE,Comments!$B$26,"")</f>
        <v/>
      </c>
      <c r="I1213" s="1446" t="str">
        <f>IF(D1213=TRUE,Comments!$B$21,"")</f>
        <v/>
      </c>
      <c r="J1213" s="1446"/>
      <c r="K1213" s="1452"/>
      <c r="N1213" s="611" t="str">
        <f>"CPTE # "&amp;Page5_GMC_MCI!$E$6&amp;"  "&amp;Page5_GMC_MCI!$C$6&amp;" - UNITÉS - AAD"</f>
        <v>CPTE # 402F  NE PAS UTILISER - UNITÉS - AAD</v>
      </c>
      <c r="O1213" s="611" t="str">
        <f t="shared" si="164"/>
        <v/>
      </c>
      <c r="P1213" s="611" t="str">
        <f t="shared" si="157"/>
        <v>Page5_GMC_MCI!K</v>
      </c>
      <c r="Q1213" s="611">
        <f t="shared" si="158"/>
        <v>6</v>
      </c>
      <c r="R1213" s="1447">
        <f t="shared" ca="1" si="159"/>
        <v>0</v>
      </c>
      <c r="S1213" s="1447">
        <f t="shared" ca="1" si="160"/>
        <v>0</v>
      </c>
      <c r="V1213" s="2557" t="str">
        <f t="shared" ca="1" si="161"/>
        <v/>
      </c>
      <c r="W1213" s="611" t="str">
        <f t="shared" ca="1" si="162"/>
        <v>Page5_GMC_MCI, Ligne 3 [Page5_GMC_MCI!K6]  -</v>
      </c>
    </row>
    <row r="1214" spans="1:23">
      <c r="A1214" s="1443" t="str">
        <f>celladdr(Page5_GMC_MCI!K7)</f>
        <v>Page5_GMC_MCI!K7</v>
      </c>
      <c r="B1214" s="1464" t="s">
        <v>1086</v>
      </c>
      <c r="C1214" s="1451" t="b">
        <f>Page5_GMC_MCI!$K$7&lt;0</f>
        <v>0</v>
      </c>
      <c r="D1214" s="1454" t="b">
        <f>OR(AND(Page5_GMC_MCI!$K7&gt;0,Page5_GMC_MCI!$M7=0),AND(Page5_GMC_MCI!$M7&lt;&gt;0,Page5_GMC_MCI!$K$7=0))</f>
        <v>0</v>
      </c>
      <c r="E1214" s="1454"/>
      <c r="F1214" s="1454"/>
      <c r="G1214" s="1444" t="str">
        <f t="shared" si="156"/>
        <v/>
      </c>
      <c r="H1214" s="1447" t="str">
        <f>IF(C1214=TRUE,Comments!$B$26,"")</f>
        <v/>
      </c>
      <c r="I1214" s="1446" t="str">
        <f>IF(D1214=TRUE,Comments!$B$21,"")</f>
        <v/>
      </c>
      <c r="J1214" s="1446"/>
      <c r="K1214" s="1452"/>
      <c r="N1214" s="611" t="str">
        <f>"CPTE # "&amp;Page5_GMC_MCI!$E$7&amp;"  "&amp;Page5_GMC_MCI!$C$7&amp;" - UNITÉS - AAD"</f>
        <v>CPTE # 403F  NE PAS UTILISER - UNITÉS - AAD</v>
      </c>
      <c r="O1214" s="611" t="str">
        <f t="shared" si="164"/>
        <v/>
      </c>
      <c r="P1214" s="611" t="str">
        <f t="shared" si="157"/>
        <v>Page5_GMC_MCI!K</v>
      </c>
      <c r="Q1214" s="611">
        <f t="shared" si="158"/>
        <v>7</v>
      </c>
      <c r="R1214" s="1447">
        <f t="shared" ca="1" si="159"/>
        <v>0</v>
      </c>
      <c r="S1214" s="1447">
        <f t="shared" ca="1" si="160"/>
        <v>0</v>
      </c>
      <c r="V1214" s="2557" t="str">
        <f t="shared" ca="1" si="161"/>
        <v/>
      </c>
      <c r="W1214" s="611" t="str">
        <f t="shared" ca="1" si="162"/>
        <v>Page5_GMC_MCI, Ligne 4 [Page5_GMC_MCI!K7]  -</v>
      </c>
    </row>
    <row r="1215" spans="1:23">
      <c r="A1215" s="1443" t="str">
        <f>celladdr(Page5_GMC_MCI!K8)</f>
        <v>Page5_GMC_MCI!K8</v>
      </c>
      <c r="B1215" s="1464" t="s">
        <v>1086</v>
      </c>
      <c r="C1215" s="1451" t="b">
        <f>Page5_GMC_MCI!$K$8&lt;0</f>
        <v>0</v>
      </c>
      <c r="D1215" s="1454" t="b">
        <f>OR(AND(Page5_GMC_MCI!$K8&gt;0,Page5_GMC_MCI!$M8=0),AND(Page5_GMC_MCI!$M8&lt;&gt;0,Page5_GMC_MCI!$K$8=0))</f>
        <v>0</v>
      </c>
      <c r="E1215" s="1454"/>
      <c r="F1215" s="1454"/>
      <c r="G1215" s="1444" t="str">
        <f t="shared" si="156"/>
        <v/>
      </c>
      <c r="H1215" s="1447" t="str">
        <f>IF(C1215=TRUE,Comments!$B$26,"")</f>
        <v/>
      </c>
      <c r="I1215" s="1446" t="str">
        <f>IF(D1215=TRUE,Comments!$B$21,"")</f>
        <v/>
      </c>
      <c r="J1215" s="1446"/>
      <c r="K1215" s="1452"/>
      <c r="N1215" s="611" t="str">
        <f>"CPTE # "&amp;Page5_GMC_MCI!$E$8&amp;"  "&amp;Page5_GMC_MCI!$C$8&amp;" - UNITÉS - AAD"</f>
        <v>CPTE # 404F  NE PAS UTILISER - UNITÉS - AAD</v>
      </c>
      <c r="O1215" s="611" t="str">
        <f t="shared" si="164"/>
        <v/>
      </c>
      <c r="P1215" s="611" t="str">
        <f t="shared" si="157"/>
        <v>Page5_GMC_MCI!K</v>
      </c>
      <c r="Q1215" s="611">
        <f t="shared" si="158"/>
        <v>8</v>
      </c>
      <c r="R1215" s="1447">
        <f t="shared" ca="1" si="159"/>
        <v>0</v>
      </c>
      <c r="S1215" s="1447">
        <f t="shared" ca="1" si="160"/>
        <v>0</v>
      </c>
      <c r="V1215" s="2557" t="str">
        <f t="shared" ca="1" si="161"/>
        <v/>
      </c>
      <c r="W1215" s="611" t="str">
        <f t="shared" ca="1" si="162"/>
        <v>Page5_GMC_MCI, Ligne 5 [Page5_GMC_MCI!K8]  -</v>
      </c>
    </row>
    <row r="1216" spans="1:23">
      <c r="A1216" s="1443" t="str">
        <f>celladdr(Page5_GMC_MCI!K9)</f>
        <v>Page5_GMC_MCI!K9</v>
      </c>
      <c r="B1216" s="1464" t="s">
        <v>1086</v>
      </c>
      <c r="C1216" s="1451" t="b">
        <f>Page5_GMC_MCI!$K$9&lt;0</f>
        <v>0</v>
      </c>
      <c r="D1216" s="1454" t="b">
        <f>OR(AND(Page5_GMC_MCI!$K9&gt;0,Page5_GMC_MCI!$M9=0),AND(Page5_GMC_MCI!$M9&lt;&gt;0,Page5_GMC_MCI!$K$9=0))</f>
        <v>0</v>
      </c>
      <c r="E1216" s="1454"/>
      <c r="F1216" s="1454"/>
      <c r="G1216" s="1444" t="str">
        <f t="shared" si="156"/>
        <v/>
      </c>
      <c r="H1216" s="1447" t="str">
        <f>IF(C1216=TRUE,Comments!$B$26,"")</f>
        <v/>
      </c>
      <c r="I1216" s="1446" t="str">
        <f>IF(D1216=TRUE,Comments!$B$21,"")</f>
        <v/>
      </c>
      <c r="J1216" s="1446"/>
      <c r="K1216" s="1452"/>
      <c r="N1216" s="611" t="str">
        <f>"CPTE # "&amp;Page5_GMC_MCI!$E$9&amp;"  "&amp;Page5_GMC_MCI!$C$9&amp;" - UNITÉS - AAD"</f>
        <v>CPTE # 405F  NE PAS UTILISER - UNITÉS - AAD</v>
      </c>
      <c r="O1216" s="611" t="str">
        <f t="shared" si="164"/>
        <v/>
      </c>
      <c r="P1216" s="611" t="str">
        <f t="shared" si="157"/>
        <v>Page5_GMC_MCI!K</v>
      </c>
      <c r="Q1216" s="611">
        <f t="shared" si="158"/>
        <v>9</v>
      </c>
      <c r="R1216" s="1447">
        <f t="shared" ca="1" si="159"/>
        <v>0</v>
      </c>
      <c r="S1216" s="1447">
        <f t="shared" ca="1" si="160"/>
        <v>0</v>
      </c>
      <c r="V1216" s="2557" t="str">
        <f t="shared" ca="1" si="161"/>
        <v/>
      </c>
      <c r="W1216" s="611" t="str">
        <f t="shared" ca="1" si="162"/>
        <v>Page5_GMC_MCI, Ligne 6 [Page5_GMC_MCI!K9]  -</v>
      </c>
    </row>
    <row r="1217" spans="1:23">
      <c r="A1217" s="1443" t="str">
        <f>celladdr(Page5_GMC_MCI!K10)</f>
        <v>Page5_GMC_MCI!K10</v>
      </c>
      <c r="B1217" s="1464" t="s">
        <v>1086</v>
      </c>
      <c r="C1217" s="1451" t="b">
        <f>Page5_GMC_MCI!$K$10&lt;0</f>
        <v>0</v>
      </c>
      <c r="D1217" s="1454" t="b">
        <f>OR(AND(Page5_GMC_MCI!$K10&gt;0,Page5_GMC_MCI!$M10=0),AND(Page5_GMC_MCI!$M10&lt;&gt;0,Page5_GMC_MCI!$K$10=0))</f>
        <v>0</v>
      </c>
      <c r="E1217" s="1454"/>
      <c r="F1217" s="1454"/>
      <c r="G1217" s="1444" t="str">
        <f t="shared" si="156"/>
        <v/>
      </c>
      <c r="H1217" s="1447" t="str">
        <f>IF(C1217=TRUE,Comments!$B$26,"")</f>
        <v/>
      </c>
      <c r="I1217" s="1446" t="str">
        <f>IF(D1217=TRUE,Comments!$B$21,"")</f>
        <v/>
      </c>
      <c r="J1217" s="1446"/>
      <c r="K1217" s="1452"/>
      <c r="N1217" s="611" t="str">
        <f>"CPTE # "&amp;Page5_GMC_MCI!$E$10&amp;"  "&amp;Page5_GMC_MCI!$C$10&amp;" - UNITÉS - AAD"</f>
        <v>CPTE # 406F  NE PAS UTILISER - UNITÉS - AAD</v>
      </c>
      <c r="O1217" s="611" t="str">
        <f t="shared" si="164"/>
        <v/>
      </c>
      <c r="P1217" s="611" t="str">
        <f t="shared" si="157"/>
        <v>Page5_GMC_MCI!K</v>
      </c>
      <c r="Q1217" s="611">
        <f t="shared" si="158"/>
        <v>10</v>
      </c>
      <c r="R1217" s="1447">
        <f t="shared" ca="1" si="159"/>
        <v>0</v>
      </c>
      <c r="S1217" s="1447">
        <f t="shared" ca="1" si="160"/>
        <v>0</v>
      </c>
      <c r="V1217" s="2557" t="str">
        <f t="shared" ca="1" si="161"/>
        <v/>
      </c>
      <c r="W1217" s="611" t="str">
        <f t="shared" ca="1" si="162"/>
        <v>Page5_GMC_MCI, Ligne 7 [Page5_GMC_MCI!K10]  -</v>
      </c>
    </row>
    <row r="1218" spans="1:23">
      <c r="A1218" s="1443" t="str">
        <f>celladdr(Page5_GMC_MCI!K11)</f>
        <v>Page5_GMC_MCI!K11</v>
      </c>
      <c r="B1218" s="1464" t="s">
        <v>1086</v>
      </c>
      <c r="C1218" s="1451" t="b">
        <f>Page5_GMC_MCI!$K$11&lt;0</f>
        <v>0</v>
      </c>
      <c r="D1218" s="1454" t="b">
        <f>OR(AND(Page5_GMC_MCI!$K11&gt;0,Page5_GMC_MCI!$M11=0),AND(Page5_GMC_MCI!$M11&lt;&gt;0,Page5_GMC_MCI!$K$11=0))</f>
        <v>0</v>
      </c>
      <c r="E1218" s="1454"/>
      <c r="F1218" s="1454"/>
      <c r="G1218" s="1444" t="str">
        <f t="shared" ref="G1218:G1281" si="165">IF(H1218&amp;I1218&amp;J1218&amp;K1218&lt;&gt;"","No.de ref. du commentaire.: "&amp;W1218&amp;" "&amp;N1218&amp;" "&amp;H1218&amp;I1218&amp;IF(OR(C1218=TRUE,D1218=TRUE),"",J1218&amp;K1218&amp;V1218),"")</f>
        <v/>
      </c>
      <c r="H1218" s="1447" t="str">
        <f>IF(C1218=TRUE,Comments!$B$26,"")</f>
        <v/>
      </c>
      <c r="I1218" s="1446" t="str">
        <f>IF(D1218=TRUE,Comments!$B$21,"")</f>
        <v/>
      </c>
      <c r="J1218" s="1446"/>
      <c r="K1218" s="1452"/>
      <c r="N1218" s="611" t="str">
        <f>"CPTE # "&amp;Page5_GMC_MCI!$E$11&amp;"  "&amp;Page5_GMC_MCI!$C$11&amp;" - UNITÉS - AAD"</f>
        <v>CPTE # 407F  NE PAS UTILISER - UNITÉS - AAD</v>
      </c>
      <c r="O1218" s="611" t="str">
        <f t="shared" si="164"/>
        <v/>
      </c>
      <c r="P1218" s="611" t="str">
        <f t="shared" ref="P1218:P1281" si="166">LEFT(A1218,FIND("!",A1218)+1)</f>
        <v>Page5_GMC_MCI!K</v>
      </c>
      <c r="Q1218" s="611">
        <f t="shared" ref="Q1218:Q1281" si="167">VALUE(RIGHT(A1218,LEN(A1218)-FIND("!",A1218)-1))</f>
        <v>11</v>
      </c>
      <c r="R1218" s="1447">
        <f t="shared" ref="R1218:R1281" ca="1" si="168">IF(E1218=TRUE,INDIRECT("Comments!$D$"&amp;T1218),0)</f>
        <v>0</v>
      </c>
      <c r="S1218" s="1447">
        <f t="shared" ref="S1218:S1281" ca="1" si="169">IF(F1218=TRUE,INDIRECT("Comments!$D$"&amp;U1218),0)</f>
        <v>0</v>
      </c>
      <c r="V1218" s="2557" t="str">
        <f t="shared" ref="V1218:V1281" ca="1" si="170">IF(SUM(R1218+S1218)=0,"","
*** "&amp;TEXT(SUM(R1218+S1218),"0,0")&amp;" Points de précision seront déduits suite à cette(ces) erreur(s) !")</f>
        <v/>
      </c>
      <c r="W1218" s="611" t="str">
        <f t="shared" ref="W1218:W1281" ca="1" si="171">LEFT(A1218,FIND("!",A1218,1)-1)&amp;", Ligne "&amp;INDIRECT(ADDRESS(ROW(INDIRECT(A1218)),IF(INDIRECT(ADDRESS(ROW(INDIRECT(A1218)),1,,,LEFT(A1218,FIND("!",A1218,1)-1)))="",2,1),,,LEFT(A1218,FIND("!",A1218,1)-1)))&amp;" ["&amp;A1218&amp;"] "&amp;" -"</f>
        <v>Page5_GMC_MCI, Ligne 8 [Page5_GMC_MCI!K11]  -</v>
      </c>
    </row>
    <row r="1219" spans="1:23">
      <c r="A1219" s="1443" t="str">
        <f>celladdr(Page5_GMC_MCI!K12)</f>
        <v>Page5_GMC_MCI!K12</v>
      </c>
      <c r="B1219" s="1464" t="s">
        <v>1086</v>
      </c>
      <c r="C1219" s="1451" t="b">
        <f>Page5_GMC_MCI!$K$12&lt;0</f>
        <v>0</v>
      </c>
      <c r="D1219" s="1454" t="b">
        <f>OR(AND(Page5_GMC_MCI!$K12&gt;0,Page5_GMC_MCI!$M12=0),AND(Page5_GMC_MCI!$M12&lt;&gt;0,Page5_GMC_MCI!$K$12=0))</f>
        <v>0</v>
      </c>
      <c r="E1219" s="1454"/>
      <c r="F1219" s="1454"/>
      <c r="G1219" s="1444" t="str">
        <f t="shared" si="165"/>
        <v/>
      </c>
      <c r="H1219" s="1447" t="str">
        <f>IF(C1219=TRUE,Comments!$B$26,"")</f>
        <v/>
      </c>
      <c r="I1219" s="1446" t="str">
        <f>IF(D1219=TRUE,Comments!$B$21,"")</f>
        <v/>
      </c>
      <c r="J1219" s="1446"/>
      <c r="K1219" s="1452"/>
      <c r="N1219" s="611" t="str">
        <f>"CPTE # "&amp;Page5_GMC_MCI!$E$12&amp;"  "&amp;Page5_GMC_MCI!$C$12&amp;" - UNITÉS - AAD"</f>
        <v>CPTE # 408F  NE PAS UTILISER - UNITÉS - AAD</v>
      </c>
      <c r="O1219" s="611" t="str">
        <f t="shared" si="164"/>
        <v/>
      </c>
      <c r="P1219" s="611" t="str">
        <f t="shared" si="166"/>
        <v>Page5_GMC_MCI!K</v>
      </c>
      <c r="Q1219" s="611">
        <f t="shared" si="167"/>
        <v>12</v>
      </c>
      <c r="R1219" s="1447">
        <f t="shared" ca="1" si="168"/>
        <v>0</v>
      </c>
      <c r="S1219" s="1447">
        <f t="shared" ca="1" si="169"/>
        <v>0</v>
      </c>
      <c r="V1219" s="2557" t="str">
        <f t="shared" ca="1" si="170"/>
        <v/>
      </c>
      <c r="W1219" s="611" t="str">
        <f t="shared" ca="1" si="171"/>
        <v>Page5_GMC_MCI, Ligne 9 [Page5_GMC_MCI!K12]  -</v>
      </c>
    </row>
    <row r="1220" spans="1:23">
      <c r="A1220" s="1443" t="str">
        <f>celladdr(Page5_GMC_MCI!K13)</f>
        <v>Page5_GMC_MCI!K13</v>
      </c>
      <c r="B1220" s="1464" t="s">
        <v>1086</v>
      </c>
      <c r="C1220" s="1451" t="b">
        <f>Page5_GMC_MCI!$K$13&lt;0</f>
        <v>0</v>
      </c>
      <c r="D1220" s="1454" t="b">
        <f>OR(AND(Page5_GMC_MCI!$K13&gt;0,Page5_GMC_MCI!$M13=0),AND(Page5_GMC_MCI!$M13&lt;&gt;0,Page5_GMC_MCI!$K$13=0))</f>
        <v>0</v>
      </c>
      <c r="E1220" s="1454"/>
      <c r="F1220" s="1454"/>
      <c r="G1220" s="1444" t="str">
        <f t="shared" si="165"/>
        <v/>
      </c>
      <c r="H1220" s="1447" t="str">
        <f>IF(C1220=TRUE,Comments!$B$26,"")</f>
        <v/>
      </c>
      <c r="I1220" s="1446" t="str">
        <f>IF(D1220=TRUE,Comments!$B$21,"")</f>
        <v/>
      </c>
      <c r="J1220" s="1446"/>
      <c r="K1220" s="1452"/>
      <c r="N1220" s="611" t="str">
        <f>"CPTE # "&amp;Page5_GMC_MCI!$E$13&amp;"  "&amp;Page5_GMC_MCI!$C$13&amp;" - UNITÉS - AAD"</f>
        <v>CPTE # 409F  NE PAS UTILISER - UNITÉS - AAD</v>
      </c>
      <c r="O1220" s="611" t="str">
        <f t="shared" si="164"/>
        <v/>
      </c>
      <c r="P1220" s="611" t="str">
        <f t="shared" si="166"/>
        <v>Page5_GMC_MCI!K</v>
      </c>
      <c r="Q1220" s="611">
        <f t="shared" si="167"/>
        <v>13</v>
      </c>
      <c r="R1220" s="1447">
        <f t="shared" ca="1" si="168"/>
        <v>0</v>
      </c>
      <c r="S1220" s="1447">
        <f t="shared" ca="1" si="169"/>
        <v>0</v>
      </c>
      <c r="V1220" s="2557" t="str">
        <f t="shared" ca="1" si="170"/>
        <v/>
      </c>
      <c r="W1220" s="611" t="str">
        <f t="shared" ca="1" si="171"/>
        <v>Page5_GMC_MCI, Ligne 10 [Page5_GMC_MCI!K13]  -</v>
      </c>
    </row>
    <row r="1221" spans="1:23">
      <c r="A1221" s="1443" t="str">
        <f>celladdr(Page5_GMC_MCI!K14)</f>
        <v>Page5_GMC_MCI!K14</v>
      </c>
      <c r="B1221" s="1464" t="s">
        <v>1086</v>
      </c>
      <c r="C1221" s="1451" t="b">
        <f>Page5_GMC_MCI!$K$14&lt;0</f>
        <v>0</v>
      </c>
      <c r="D1221" s="1454" t="b">
        <f>OR(AND(Page5_GMC_MCI!$K14&gt;0,Page5_GMC_MCI!$M14=0),AND(Page5_GMC_MCI!$M14&lt;&gt;0,Page5_GMC_MCI!$K$14=0))</f>
        <v>0</v>
      </c>
      <c r="E1221" s="1454"/>
      <c r="F1221" s="1454"/>
      <c r="G1221" s="1444" t="str">
        <f t="shared" si="165"/>
        <v/>
      </c>
      <c r="H1221" s="1447" t="str">
        <f>IF(C1221=TRUE,Comments!$B$26,"")</f>
        <v/>
      </c>
      <c r="I1221" s="1446" t="str">
        <f>IF(D1221=TRUE,Comments!$B$21,"")</f>
        <v/>
      </c>
      <c r="J1221" s="1446"/>
      <c r="K1221" s="1452"/>
      <c r="N1221" s="611" t="str">
        <f>"CPTE # "&amp;Page5_GMC_MCI!$E$14&amp;"  "&amp;Page5_GMC_MCI!$C$14&amp;" - UNITÉS - AAD"</f>
        <v>CPTE # 410F  NE PAS UTILISER - UNITÉS - AAD</v>
      </c>
      <c r="O1221" s="611" t="str">
        <f t="shared" si="164"/>
        <v/>
      </c>
      <c r="P1221" s="611" t="str">
        <f t="shared" si="166"/>
        <v>Page5_GMC_MCI!K</v>
      </c>
      <c r="Q1221" s="611">
        <f t="shared" si="167"/>
        <v>14</v>
      </c>
      <c r="R1221" s="1447">
        <f t="shared" ca="1" si="168"/>
        <v>0</v>
      </c>
      <c r="S1221" s="1447">
        <f t="shared" ca="1" si="169"/>
        <v>0</v>
      </c>
      <c r="V1221" s="2557" t="str">
        <f t="shared" ca="1" si="170"/>
        <v/>
      </c>
      <c r="W1221" s="611" t="str">
        <f t="shared" ca="1" si="171"/>
        <v>Page5_GMC_MCI, Ligne 11 [Page5_GMC_MCI!K14]  -</v>
      </c>
    </row>
    <row r="1222" spans="1:23">
      <c r="A1222" s="1443" t="str">
        <f>celladdr(Page5_GMC_MCI!K15)</f>
        <v>Page5_GMC_MCI!K15</v>
      </c>
      <c r="B1222" s="1464" t="s">
        <v>1086</v>
      </c>
      <c r="C1222" s="1451" t="b">
        <f>Page5_GMC_MCI!$K$15&lt;0</f>
        <v>0</v>
      </c>
      <c r="D1222" s="1454" t="b">
        <f>OR(AND(Page5_GMC_MCI!$K15&gt;0,Page5_GMC_MCI!$M15=0),AND(Page5_GMC_MCI!$M15&lt;&gt;0,Page5_GMC_MCI!$K$15=0))</f>
        <v>0</v>
      </c>
      <c r="E1222" s="1454"/>
      <c r="F1222" s="1454"/>
      <c r="G1222" s="1444" t="str">
        <f t="shared" si="165"/>
        <v/>
      </c>
      <c r="H1222" s="1447" t="str">
        <f>IF(C1222=TRUE,Comments!$B$26,"")</f>
        <v/>
      </c>
      <c r="I1222" s="1446" t="str">
        <f>IF(D1222=TRUE,Comments!$B$21,"")</f>
        <v/>
      </c>
      <c r="J1222" s="1446"/>
      <c r="K1222" s="1452"/>
      <c r="N1222" s="611" t="str">
        <f>"CPTE # "&amp;Page5_GMC_MCI!$E$15&amp;"  "&amp;Page5_GMC_MCI!$C$15&amp;" - UNITÉS - AAD"</f>
        <v>CPTE # 411F  NE PAS UTILISER - UNITÉS - AAD</v>
      </c>
      <c r="O1222" s="611" t="str">
        <f t="shared" ref="O1222:O1253" si="172">IF(A1222=A1221,"TRUE","")</f>
        <v/>
      </c>
      <c r="P1222" s="611" t="str">
        <f t="shared" si="166"/>
        <v>Page5_GMC_MCI!K</v>
      </c>
      <c r="Q1222" s="611">
        <f t="shared" si="167"/>
        <v>15</v>
      </c>
      <c r="R1222" s="1447">
        <f t="shared" ca="1" si="168"/>
        <v>0</v>
      </c>
      <c r="S1222" s="1447">
        <f t="shared" ca="1" si="169"/>
        <v>0</v>
      </c>
      <c r="V1222" s="2557" t="str">
        <f t="shared" ca="1" si="170"/>
        <v/>
      </c>
      <c r="W1222" s="611" t="str">
        <f t="shared" ca="1" si="171"/>
        <v>Page5_GMC_MCI, Ligne 12 [Page5_GMC_MCI!K15]  -</v>
      </c>
    </row>
    <row r="1223" spans="1:23">
      <c r="A1223" s="1443" t="str">
        <f>celladdr(Page5_GMC_MCI!K16)</f>
        <v>Page5_GMC_MCI!K16</v>
      </c>
      <c r="B1223" s="1464" t="s">
        <v>1086</v>
      </c>
      <c r="C1223" s="1451" t="b">
        <f>Page5_GMC_MCI!$K$16&lt;0</f>
        <v>0</v>
      </c>
      <c r="D1223" s="1454" t="b">
        <f>OR(AND(Page5_GMC_MCI!$K16&gt;0,Page5_GMC_MCI!$M16=0),AND(Page5_GMC_MCI!$M16&lt;&gt;0,Page5_GMC_MCI!$K$16=0))</f>
        <v>0</v>
      </c>
      <c r="E1223" s="1454"/>
      <c r="F1223" s="1454"/>
      <c r="G1223" s="1444" t="str">
        <f t="shared" si="165"/>
        <v/>
      </c>
      <c r="H1223" s="1447" t="str">
        <f>IF(C1223=TRUE,Comments!$B$26,"")</f>
        <v/>
      </c>
      <c r="I1223" s="1446" t="str">
        <f>IF(D1223=TRUE,Comments!$B$21,"")</f>
        <v/>
      </c>
      <c r="J1223" s="1446"/>
      <c r="K1223" s="1452"/>
      <c r="N1223" s="611" t="str">
        <f>"CPTE # "&amp;Page5_GMC_MCI!$E$16&amp;"  "&amp;Page5_GMC_MCI!$C$16&amp;" - UNITÉS - AAD"</f>
        <v>CPTE # 412F  NE PAS UTILISER - UNITÉS - AAD</v>
      </c>
      <c r="O1223" s="611" t="str">
        <f t="shared" si="172"/>
        <v/>
      </c>
      <c r="P1223" s="611" t="str">
        <f t="shared" si="166"/>
        <v>Page5_GMC_MCI!K</v>
      </c>
      <c r="Q1223" s="611">
        <f t="shared" si="167"/>
        <v>16</v>
      </c>
      <c r="R1223" s="1447">
        <f t="shared" ca="1" si="168"/>
        <v>0</v>
      </c>
      <c r="S1223" s="1447">
        <f t="shared" ca="1" si="169"/>
        <v>0</v>
      </c>
      <c r="V1223" s="2557" t="str">
        <f t="shared" ca="1" si="170"/>
        <v/>
      </c>
      <c r="W1223" s="611" t="str">
        <f t="shared" ca="1" si="171"/>
        <v>Page5_GMC_MCI, Ligne 13 [Page5_GMC_MCI!K16]  -</v>
      </c>
    </row>
    <row r="1224" spans="1:23">
      <c r="A1224" s="1443" t="str">
        <f>celladdr(Page5_GMC_MCI!K17)</f>
        <v>Page5_GMC_MCI!K17</v>
      </c>
      <c r="B1224" s="1464" t="s">
        <v>1086</v>
      </c>
      <c r="C1224" s="1451" t="b">
        <f>Page5_GMC_MCI!$K$17&lt;0</f>
        <v>0</v>
      </c>
      <c r="D1224" s="1454" t="b">
        <f>OR(AND(Page5_GMC_MCI!$K17&gt;0,Page5_GMC_MCI!$M17=0),AND(Page5_GMC_MCI!$M17&lt;&gt;0,Page5_GMC_MCI!$K$17=0))</f>
        <v>0</v>
      </c>
      <c r="E1224" s="1454"/>
      <c r="F1224" s="1454"/>
      <c r="G1224" s="1444" t="str">
        <f t="shared" si="165"/>
        <v/>
      </c>
      <c r="H1224" s="1447" t="str">
        <f>IF(C1224=TRUE,Comments!$B$26,"")</f>
        <v/>
      </c>
      <c r="I1224" s="1446" t="str">
        <f>IF(D1224=TRUE,Comments!$B$21,"")</f>
        <v/>
      </c>
      <c r="J1224" s="1446"/>
      <c r="K1224" s="1452"/>
      <c r="N1224" s="611" t="str">
        <f>"CPTE # "&amp;Page5_GMC_MCI!$E$17&amp;"  "&amp;Page5_GMC_MCI!$C$17&amp;" - UNITÉS - AAD"</f>
        <v>CPTE # 413F  NE PAS UTILISER - UNITÉS - AAD</v>
      </c>
      <c r="O1224" s="611" t="str">
        <f t="shared" si="172"/>
        <v/>
      </c>
      <c r="P1224" s="611" t="str">
        <f t="shared" si="166"/>
        <v>Page5_GMC_MCI!K</v>
      </c>
      <c r="Q1224" s="611">
        <f t="shared" si="167"/>
        <v>17</v>
      </c>
      <c r="R1224" s="1447">
        <f t="shared" ca="1" si="168"/>
        <v>0</v>
      </c>
      <c r="S1224" s="1447">
        <f t="shared" ca="1" si="169"/>
        <v>0</v>
      </c>
      <c r="V1224" s="2557" t="str">
        <f t="shared" ca="1" si="170"/>
        <v/>
      </c>
      <c r="W1224" s="611" t="str">
        <f t="shared" ca="1" si="171"/>
        <v>Page5_GMC_MCI, Ligne 14 [Page5_GMC_MCI!K17]  -</v>
      </c>
    </row>
    <row r="1225" spans="1:23">
      <c r="A1225" s="1443" t="str">
        <f>celladdr(Page5_GMC_MCI!K18)</f>
        <v>Page5_GMC_MCI!K18</v>
      </c>
      <c r="B1225" s="1464" t="s">
        <v>1086</v>
      </c>
      <c r="C1225" s="1451" t="b">
        <f>Page5_GMC_MCI!$K$18&lt;0</f>
        <v>0</v>
      </c>
      <c r="D1225" s="1454" t="b">
        <f>OR(AND(Page5_GMC_MCI!$K18&gt;0,Page5_GMC_MCI!$M18=0),AND(Page5_GMC_MCI!$M18&lt;&gt;0,Page5_GMC_MCI!$K$18=0))</f>
        <v>0</v>
      </c>
      <c r="E1225" s="1454"/>
      <c r="F1225" s="1454"/>
      <c r="G1225" s="1444" t="str">
        <f t="shared" si="165"/>
        <v/>
      </c>
      <c r="H1225" s="1447" t="str">
        <f>IF(C1225=TRUE,Comments!$B$26,"")</f>
        <v/>
      </c>
      <c r="I1225" s="1446" t="str">
        <f>IF(D1225=TRUE,Comments!$B$21,"")</f>
        <v/>
      </c>
      <c r="J1225" s="1446"/>
      <c r="K1225" s="1452"/>
      <c r="N1225" s="611" t="str">
        <f>"CPTE # "&amp;Page5_GMC_MCI!$E$18&amp;"  "&amp;Page5_GMC_MCI!$C$18&amp;" - UNITÉS - AAD"</f>
        <v>CPTE # 414F  NE PAS UTILISER - UNITÉS - AAD</v>
      </c>
      <c r="O1225" s="611" t="str">
        <f t="shared" si="172"/>
        <v/>
      </c>
      <c r="P1225" s="611" t="str">
        <f t="shared" si="166"/>
        <v>Page5_GMC_MCI!K</v>
      </c>
      <c r="Q1225" s="611">
        <f t="shared" si="167"/>
        <v>18</v>
      </c>
      <c r="R1225" s="1447">
        <f t="shared" ca="1" si="168"/>
        <v>0</v>
      </c>
      <c r="S1225" s="1447">
        <f t="shared" ca="1" si="169"/>
        <v>0</v>
      </c>
      <c r="V1225" s="2557" t="str">
        <f t="shared" ca="1" si="170"/>
        <v/>
      </c>
      <c r="W1225" s="611" t="str">
        <f t="shared" ca="1" si="171"/>
        <v>Page5_GMC_MCI, Ligne 15 [Page5_GMC_MCI!K18]  -</v>
      </c>
    </row>
    <row r="1226" spans="1:23">
      <c r="A1226" s="1443" t="str">
        <f>celladdr(Page5_GMC_MCI!K19)</f>
        <v>Page5_GMC_MCI!K19</v>
      </c>
      <c r="B1226" s="1464" t="s">
        <v>1086</v>
      </c>
      <c r="C1226" s="1451" t="b">
        <f>Page5_GMC_MCI!$K$19&lt;0</f>
        <v>0</v>
      </c>
      <c r="D1226" s="1454" t="b">
        <f>OR(AND(Page5_GMC_MCI!$K19&gt;0,Page5_GMC_MCI!$M19=0),AND(Page5_GMC_MCI!$M19&lt;&gt;0,Page5_GMC_MCI!$K$19=0))</f>
        <v>0</v>
      </c>
      <c r="E1226" s="1454"/>
      <c r="F1226" s="1454"/>
      <c r="G1226" s="1444" t="str">
        <f t="shared" si="165"/>
        <v/>
      </c>
      <c r="H1226" s="1447" t="str">
        <f>IF(C1226=TRUE,Comments!$B$26,"")</f>
        <v/>
      </c>
      <c r="I1226" s="1446" t="str">
        <f>IF(D1226=TRUE,Comments!$B$21,"")</f>
        <v/>
      </c>
      <c r="J1226" s="1446"/>
      <c r="K1226" s="1452"/>
      <c r="N1226" s="611" t="str">
        <f>"CPTE # "&amp;Page5_GMC_MCI!$E$19&amp;"  "&amp;Page5_GMC_MCI!$C$19&amp;" - UNITÉS - AAD"</f>
        <v>CPTE # 415F  NE PAS UTILISER - UNITÉS - AAD</v>
      </c>
      <c r="O1226" s="611" t="str">
        <f t="shared" si="172"/>
        <v/>
      </c>
      <c r="P1226" s="611" t="str">
        <f t="shared" si="166"/>
        <v>Page5_GMC_MCI!K</v>
      </c>
      <c r="Q1226" s="611">
        <f t="shared" si="167"/>
        <v>19</v>
      </c>
      <c r="R1226" s="1447">
        <f t="shared" ca="1" si="168"/>
        <v>0</v>
      </c>
      <c r="S1226" s="1447">
        <f t="shared" ca="1" si="169"/>
        <v>0</v>
      </c>
      <c r="V1226" s="2557" t="str">
        <f t="shared" ca="1" si="170"/>
        <v/>
      </c>
      <c r="W1226" s="611" t="str">
        <f t="shared" ca="1" si="171"/>
        <v>Page5_GMC_MCI, Ligne 16 [Page5_GMC_MCI!K19]  -</v>
      </c>
    </row>
    <row r="1227" spans="1:23">
      <c r="A1227" s="1443" t="str">
        <f>celladdr(Page5_GMC_MCI!K20)</f>
        <v>Page5_GMC_MCI!K20</v>
      </c>
      <c r="B1227" s="1464" t="s">
        <v>1086</v>
      </c>
      <c r="C1227" s="1451" t="b">
        <f>Page5_GMC_MCI!$K$20&lt;0</f>
        <v>0</v>
      </c>
      <c r="D1227" s="1454"/>
      <c r="E1227" s="1454"/>
      <c r="F1227" s="1454"/>
      <c r="G1227" s="1444" t="str">
        <f t="shared" si="165"/>
        <v/>
      </c>
      <c r="H1227" s="1447" t="str">
        <f>IF(C1227=TRUE,Comments!$B$26,"")</f>
        <v/>
      </c>
      <c r="I1227" s="1446"/>
      <c r="J1227" s="1446"/>
      <c r="K1227" s="1452"/>
      <c r="N1227" s="611" t="str">
        <f>"CPTE # "&amp;Page5_GMC_MCI!$E$20&amp;"  "&amp;Page5_GMC_MCI!$C$20&amp;" - UNITÉS - AAD"</f>
        <v>CPTE # 416F  POUR USAGE FUTUR - UNITÉS - AAD</v>
      </c>
      <c r="O1227" s="611" t="str">
        <f t="shared" si="172"/>
        <v/>
      </c>
      <c r="P1227" s="611" t="str">
        <f t="shared" si="166"/>
        <v>Page5_GMC_MCI!K</v>
      </c>
      <c r="Q1227" s="611">
        <f t="shared" si="167"/>
        <v>20</v>
      </c>
      <c r="R1227" s="1447">
        <f t="shared" ca="1" si="168"/>
        <v>0</v>
      </c>
      <c r="S1227" s="1447">
        <f t="shared" ca="1" si="169"/>
        <v>0</v>
      </c>
      <c r="V1227" s="2557" t="str">
        <f t="shared" ca="1" si="170"/>
        <v/>
      </c>
      <c r="W1227" s="611" t="str">
        <f t="shared" ca="1" si="171"/>
        <v>Page5_GMC_MCI, Ligne 17 [Page5_GMC_MCI!K20]  -</v>
      </c>
    </row>
    <row r="1228" spans="1:23">
      <c r="A1228" s="1443" t="str">
        <f>celladdr(Page5_GMC_MCI!K21)</f>
        <v>Page5_GMC_MCI!K21</v>
      </c>
      <c r="B1228" s="1464" t="s">
        <v>1086</v>
      </c>
      <c r="C1228" s="1451" t="b">
        <f>Page5_GMC_MCI!$K$21&lt;0</f>
        <v>0</v>
      </c>
      <c r="D1228" s="1454" t="b">
        <f>OR(AND(Page5_GMC_MCI!$K21&gt;0,Page5_GMC_MCI!$M21=0),AND(Page5_GMC_MCI!$M21&lt;&gt;0,Page5_GMC_MCI!$K$21=0))</f>
        <v>0</v>
      </c>
      <c r="E1228" s="1454"/>
      <c r="F1228" s="1454"/>
      <c r="G1228" s="1444" t="str">
        <f t="shared" si="165"/>
        <v/>
      </c>
      <c r="H1228" s="1447" t="str">
        <f>IF(C1228=TRUE,Comments!$B$26,"")</f>
        <v/>
      </c>
      <c r="I1228" s="1446" t="str">
        <f>IF(D1228=TRUE,Comments!$B$21,"")</f>
        <v/>
      </c>
      <c r="J1228" s="1446"/>
      <c r="K1228" s="1452"/>
      <c r="N1228" s="611" t="str">
        <f>"CPTE # "&amp;Page5_GMC_MCI!$E$21&amp;"  "&amp;Page5_GMC_MCI!$C$21&amp;" - UNITÉS - AAD"</f>
        <v>CPTE # 417F  NE PAS UTILISER - UNITÉS - AAD</v>
      </c>
      <c r="O1228" s="611" t="str">
        <f t="shared" si="172"/>
        <v/>
      </c>
      <c r="P1228" s="611" t="str">
        <f t="shared" si="166"/>
        <v>Page5_GMC_MCI!K</v>
      </c>
      <c r="Q1228" s="611">
        <f t="shared" si="167"/>
        <v>21</v>
      </c>
      <c r="R1228" s="1447">
        <f t="shared" ca="1" si="168"/>
        <v>0</v>
      </c>
      <c r="S1228" s="1447">
        <f t="shared" ca="1" si="169"/>
        <v>0</v>
      </c>
      <c r="V1228" s="2557" t="str">
        <f t="shared" ca="1" si="170"/>
        <v/>
      </c>
      <c r="W1228" s="611" t="str">
        <f t="shared" ca="1" si="171"/>
        <v>Page5_GMC_MCI, Ligne 18 [Page5_GMC_MCI!K21]  -</v>
      </c>
    </row>
    <row r="1229" spans="1:23">
      <c r="A1229" s="1443" t="str">
        <f>celladdr(Page5_GMC_MCI!K22)</f>
        <v>Page5_GMC_MCI!K22</v>
      </c>
      <c r="B1229" s="1464" t="s">
        <v>1086</v>
      </c>
      <c r="C1229" s="1451" t="b">
        <f>Page5_GMC_MCI!$K$22&lt;0</f>
        <v>0</v>
      </c>
      <c r="D1229" s="1454" t="b">
        <f>OR(AND(Page5_GMC_MCI!$K22&gt;0,Page5_GMC_MCI!$M22=0),AND(Page5_GMC_MCI!$M22&lt;&gt;0,Page5_GMC_MCI!$K$22=0))</f>
        <v>0</v>
      </c>
      <c r="E1229" s="1454"/>
      <c r="F1229" s="1454"/>
      <c r="G1229" s="1444" t="str">
        <f t="shared" si="165"/>
        <v/>
      </c>
      <c r="H1229" s="1447" t="str">
        <f>IF(C1229=TRUE,Comments!$B$26,"")</f>
        <v/>
      </c>
      <c r="I1229" s="1446" t="str">
        <f>IF(D1229=TRUE,Comments!$B$21,"")</f>
        <v/>
      </c>
      <c r="J1229" s="1446"/>
      <c r="K1229" s="1452"/>
      <c r="N1229" s="611" t="str">
        <f>"CPTE # "&amp;Page5_GMC_MCI!$E$22&amp;"  "&amp;Page5_GMC_MCI!$C$22&amp;" - UNITÉS - AAD"</f>
        <v>CPTE # 418F  AUTRES GMC - UNITÉS - AAD</v>
      </c>
      <c r="O1229" s="611" t="str">
        <f t="shared" si="172"/>
        <v/>
      </c>
      <c r="P1229" s="611" t="str">
        <f t="shared" si="166"/>
        <v>Page5_GMC_MCI!K</v>
      </c>
      <c r="Q1229" s="611">
        <f t="shared" si="167"/>
        <v>22</v>
      </c>
      <c r="R1229" s="1447">
        <f t="shared" ca="1" si="168"/>
        <v>0</v>
      </c>
      <c r="S1229" s="1447">
        <f t="shared" ca="1" si="169"/>
        <v>0</v>
      </c>
      <c r="V1229" s="2557" t="str">
        <f t="shared" ca="1" si="170"/>
        <v/>
      </c>
      <c r="W1229" s="611" t="str">
        <f t="shared" ca="1" si="171"/>
        <v>Page5_GMC_MCI, Ligne 19 [Page5_GMC_MCI!K22]  -</v>
      </c>
    </row>
    <row r="1230" spans="1:23">
      <c r="A1230" s="1443" t="str">
        <f>celladdr(Page5_GMC_MCI!K23)</f>
        <v>Page5_GMC_MCI!K23</v>
      </c>
      <c r="B1230" s="1444" t="s">
        <v>1086</v>
      </c>
      <c r="C1230" s="1451"/>
      <c r="D1230" s="1454"/>
      <c r="E1230" s="1454"/>
      <c r="F1230" s="1454"/>
      <c r="G1230" s="1444" t="str">
        <f t="shared" si="165"/>
        <v/>
      </c>
      <c r="H1230" s="1447" t="str">
        <f>IF(C1230=TRUE,Comments!$B$26,"")</f>
        <v/>
      </c>
      <c r="I1230" s="1446" t="str">
        <f>IF(D1230=TRUE,Comments!$B$21,"")</f>
        <v/>
      </c>
      <c r="J1230" s="1446"/>
      <c r="K1230" s="1452"/>
      <c r="O1230" s="611" t="str">
        <f t="shared" si="172"/>
        <v/>
      </c>
      <c r="P1230" s="611" t="str">
        <f t="shared" si="166"/>
        <v>Page5_GMC_MCI!K</v>
      </c>
      <c r="Q1230" s="611">
        <f t="shared" si="167"/>
        <v>23</v>
      </c>
      <c r="R1230" s="1447">
        <f t="shared" ca="1" si="168"/>
        <v>0</v>
      </c>
      <c r="S1230" s="1447">
        <f t="shared" ca="1" si="169"/>
        <v>0</v>
      </c>
      <c r="V1230" s="2557" t="str">
        <f t="shared" ca="1" si="170"/>
        <v/>
      </c>
      <c r="W1230" s="611" t="str">
        <f t="shared" ca="1" si="171"/>
        <v>Page5_GMC_MCI, Ligne 20 [Page5_GMC_MCI!K23]  -</v>
      </c>
    </row>
    <row r="1231" spans="1:23">
      <c r="A1231" s="1443" t="str">
        <f>celladdr(Page5_GMC_MCI!K24)</f>
        <v>Page5_GMC_MCI!K24</v>
      </c>
      <c r="B1231" s="1464" t="s">
        <v>1086</v>
      </c>
      <c r="C1231" s="1451" t="b">
        <f>Page5_GMC_MCI!$K$24&lt;0</f>
        <v>0</v>
      </c>
      <c r="D1231" s="1454" t="b">
        <f>OR(AND(Page5_GMC_MCI!$K24&gt;0,Page5_GMC_MCI!$M24=0),AND(Page5_GMC_MCI!$M24&lt;&gt;0,Page5_GMC_MCI!$K$24=0))</f>
        <v>0</v>
      </c>
      <c r="E1231" s="1454"/>
      <c r="F1231" s="1454"/>
      <c r="G1231" s="1444" t="str">
        <f t="shared" si="165"/>
        <v/>
      </c>
      <c r="H1231" s="1447" t="str">
        <f>IF(C1231=TRUE,Comments!$B$26,"")</f>
        <v/>
      </c>
      <c r="I1231" s="1446" t="str">
        <f>IF(D1231=TRUE,Comments!$B$21,"")</f>
        <v/>
      </c>
      <c r="J1231" s="1446"/>
      <c r="K1231" s="1452"/>
      <c r="N1231" s="611" t="str">
        <f>"CPTE # "&amp;Page5_GMC_MCI!$E$24&amp;"  "&amp;Page5_GMC_MCI!$C$24&amp;" - UNITÉS - AAD"</f>
        <v>CPTE # 419F  MÉMO* VENTES INTERNET VOITURES - UNITÉS - AAD</v>
      </c>
      <c r="O1231" s="611" t="str">
        <f t="shared" si="172"/>
        <v/>
      </c>
      <c r="P1231" s="611" t="str">
        <f t="shared" si="166"/>
        <v>Page5_GMC_MCI!K</v>
      </c>
      <c r="Q1231" s="611">
        <f t="shared" si="167"/>
        <v>24</v>
      </c>
      <c r="R1231" s="1447">
        <f t="shared" ca="1" si="168"/>
        <v>0</v>
      </c>
      <c r="S1231" s="1447">
        <f t="shared" ca="1" si="169"/>
        <v>0</v>
      </c>
      <c r="V1231" s="2557" t="str">
        <f t="shared" ca="1" si="170"/>
        <v/>
      </c>
      <c r="W1231" s="611" t="str">
        <f t="shared" ca="1" si="171"/>
        <v>Page5_GMC_MCI, Ligne 21 [Page5_GMC_MCI!K24]  -</v>
      </c>
    </row>
    <row r="1232" spans="1:23">
      <c r="A1232" s="1443" t="str">
        <f>celladdr(Page5_GMC_MCI!K25)</f>
        <v>Page5_GMC_MCI!K25</v>
      </c>
      <c r="B1232" s="1464" t="s">
        <v>1086</v>
      </c>
      <c r="C1232" s="1451" t="b">
        <f>Page5_GMC_MCI!$K$25&lt;0</f>
        <v>0</v>
      </c>
      <c r="D1232" s="1454" t="b">
        <f>OR(AND(Page5_GMC_MCI!$K25&gt;0,Page5_GMC_MCI!$M25=0),AND(Page5_GMC_MCI!$M25&lt;&gt;0,Page5_GMC_MCI!$K$25=0))</f>
        <v>0</v>
      </c>
      <c r="E1232" s="1454"/>
      <c r="F1232" s="1454"/>
      <c r="G1232" s="1444" t="str">
        <f t="shared" si="165"/>
        <v/>
      </c>
      <c r="H1232" s="1447" t="str">
        <f>IF(C1232=TRUE,Comments!$B$26,"")</f>
        <v/>
      </c>
      <c r="I1232" s="1446" t="str">
        <f>IF(D1232=TRUE,Comments!$B$21,"")</f>
        <v/>
      </c>
      <c r="J1232" s="1446"/>
      <c r="K1232" s="1452"/>
      <c r="N1232" s="611" t="str">
        <f>"CPTE # "&amp;Page5_GMC_MCI!$E$25&amp;"  "&amp;Page5_GMC_MCI!$C$25&amp;" - UNITÉS - AAD"</f>
        <v>CPTE # DE PG PARCS  TOTAL PARCS - VOITURES - UNITÉS - AAD</v>
      </c>
      <c r="O1232" s="611" t="str">
        <f t="shared" si="172"/>
        <v/>
      </c>
      <c r="P1232" s="611" t="str">
        <f t="shared" si="166"/>
        <v>Page5_GMC_MCI!K</v>
      </c>
      <c r="Q1232" s="611">
        <f t="shared" si="167"/>
        <v>25</v>
      </c>
      <c r="R1232" s="1447">
        <f t="shared" ca="1" si="168"/>
        <v>0</v>
      </c>
      <c r="S1232" s="1447">
        <f t="shared" ca="1" si="169"/>
        <v>0</v>
      </c>
      <c r="V1232" s="2557" t="str">
        <f t="shared" ca="1" si="170"/>
        <v/>
      </c>
      <c r="W1232" s="611" t="str">
        <f t="shared" ca="1" si="171"/>
        <v>Page5_GMC_MCI, Ligne 22 [Page5_GMC_MCI!K25]  -</v>
      </c>
    </row>
    <row r="1233" spans="1:23">
      <c r="A1233" s="1443" t="str">
        <f>celladdr(Page5_GMC_MCI!K26)</f>
        <v>Page5_GMC_MCI!K26</v>
      </c>
      <c r="B1233" s="1464" t="s">
        <v>1086</v>
      </c>
      <c r="C1233" s="1451" t="b">
        <f>Page5_GMC_MCI!$K$26&lt;0</f>
        <v>0</v>
      </c>
      <c r="D1233" s="1454" t="b">
        <f>OR(AND(Page5_GMC_MCI!$K26&gt;0,Page5_GMC_MCI!$M26=0),AND(Page5_GMC_MCI!$M26&lt;&gt;0,Page5_GMC_MCI!$K$26=0))</f>
        <v>0</v>
      </c>
      <c r="E1233" s="1454"/>
      <c r="F1233" s="1454"/>
      <c r="G1233" s="1444" t="str">
        <f t="shared" si="165"/>
        <v/>
      </c>
      <c r="H1233" s="1447" t="str">
        <f>IF(C1233=TRUE,Comments!$B$26,"")</f>
        <v/>
      </c>
      <c r="I1233" s="1446" t="str">
        <f>IF(D1233=TRUE,Comments!$B$21,"")</f>
        <v/>
      </c>
      <c r="J1233" s="1446"/>
      <c r="K1233" s="1452"/>
      <c r="N1233" s="611" t="str">
        <f>"CPTE # "&amp;Page5_GMC_MCI!$E$26&amp;"  "&amp;Page5_GMC_MCI!$C$26&amp;" - UNITÉS - AAD"</f>
        <v>CPTE # 421F  TOTAL INTERNE - VOITURES - UNITÉS - AAD</v>
      </c>
      <c r="O1233" s="611" t="str">
        <f t="shared" si="172"/>
        <v/>
      </c>
      <c r="P1233" s="611" t="str">
        <f t="shared" si="166"/>
        <v>Page5_GMC_MCI!K</v>
      </c>
      <c r="Q1233" s="611">
        <f t="shared" si="167"/>
        <v>26</v>
      </c>
      <c r="R1233" s="1447">
        <f t="shared" ca="1" si="168"/>
        <v>0</v>
      </c>
      <c r="S1233" s="1447">
        <f t="shared" ca="1" si="169"/>
        <v>0</v>
      </c>
      <c r="V1233" s="2557" t="str">
        <f t="shared" ca="1" si="170"/>
        <v/>
      </c>
      <c r="W1233" s="611" t="str">
        <f t="shared" ca="1" si="171"/>
        <v>Page5_GMC_MCI, Ligne 23 [Page5_GMC_MCI!K26]  -</v>
      </c>
    </row>
    <row r="1234" spans="1:23">
      <c r="A1234" s="1443" t="str">
        <f>celladdr(Page5_GMC_MCI!K27)</f>
        <v>Page5_GMC_MCI!K27</v>
      </c>
      <c r="B1234" s="1444" t="s">
        <v>1086</v>
      </c>
      <c r="C1234" s="1451"/>
      <c r="D1234" s="1454"/>
      <c r="E1234" s="1454"/>
      <c r="F1234" s="1454"/>
      <c r="G1234" s="1444" t="str">
        <f t="shared" si="165"/>
        <v/>
      </c>
      <c r="H1234" s="1447" t="str">
        <f>IF(C1234=TRUE,Comments!$B$26,"")</f>
        <v/>
      </c>
      <c r="I1234" s="1446" t="str">
        <f>IF(D1234=TRUE,Comments!$B$21,"")</f>
        <v/>
      </c>
      <c r="J1234" s="1446"/>
      <c r="K1234" s="1452"/>
      <c r="O1234" s="611" t="str">
        <f t="shared" si="172"/>
        <v/>
      </c>
      <c r="P1234" s="611" t="str">
        <f t="shared" si="166"/>
        <v>Page5_GMC_MCI!K</v>
      </c>
      <c r="Q1234" s="611">
        <f t="shared" si="167"/>
        <v>27</v>
      </c>
      <c r="R1234" s="1447">
        <f t="shared" ca="1" si="168"/>
        <v>0</v>
      </c>
      <c r="S1234" s="1447">
        <f t="shared" ca="1" si="169"/>
        <v>0</v>
      </c>
      <c r="V1234" s="2557" t="str">
        <f t="shared" ca="1" si="170"/>
        <v/>
      </c>
      <c r="W1234" s="611" t="str">
        <f t="shared" ca="1" si="171"/>
        <v>Page5_GMC_MCI, Ligne 24 [Page5_GMC_MCI!K27]  -</v>
      </c>
    </row>
    <row r="1235" spans="1:23">
      <c r="A1235" s="1443" t="str">
        <f>celladdr(Page5_GMC_MCI!K28)</f>
        <v>Page5_GMC_MCI!K28</v>
      </c>
      <c r="B1235" s="1464" t="s">
        <v>1086</v>
      </c>
      <c r="C1235" s="1451" t="b">
        <f>Page5_GMC_MCI!$K$28&lt;0</f>
        <v>0</v>
      </c>
      <c r="D1235" s="1454" t="b">
        <f>OR(AND(Page5_GMC_MCI!$K28&gt;0,Page5_GMC_MCI!$M28=0),AND(Page5_GMC_MCI!$M28&lt;&gt;0,Page5_GMC_MCI!$K$28=0))</f>
        <v>0</v>
      </c>
      <c r="E1235" s="1454"/>
      <c r="F1235" s="1454"/>
      <c r="G1235" s="1444" t="str">
        <f t="shared" si="165"/>
        <v/>
      </c>
      <c r="H1235" s="1447" t="str">
        <f>IF(C1235=TRUE,Comments!$B$26,"")</f>
        <v/>
      </c>
      <c r="I1235" s="1446" t="str">
        <f>IF(D1235=TRUE,Comments!$B$21,"")</f>
        <v/>
      </c>
      <c r="J1235" s="1446"/>
      <c r="K1235" s="1452"/>
      <c r="N1235" s="611" t="str">
        <f>"CPTE # "&amp;Page5_GMC_MCI!$E$28&amp;"  "&amp;Page5_GMC_MCI!$C$28&amp;" - UNITÉS - AAD"</f>
        <v>CPTE # 423F  NE PAS UTILISER - UNITÉS - AAD</v>
      </c>
      <c r="O1235" s="611" t="str">
        <f t="shared" si="172"/>
        <v/>
      </c>
      <c r="P1235" s="611" t="str">
        <f t="shared" si="166"/>
        <v>Page5_GMC_MCI!K</v>
      </c>
      <c r="Q1235" s="611">
        <f t="shared" si="167"/>
        <v>28</v>
      </c>
      <c r="R1235" s="1447">
        <f t="shared" ca="1" si="168"/>
        <v>0</v>
      </c>
      <c r="S1235" s="1447">
        <f t="shared" ca="1" si="169"/>
        <v>0</v>
      </c>
      <c r="V1235" s="2557" t="str">
        <f t="shared" ca="1" si="170"/>
        <v/>
      </c>
      <c r="W1235" s="611" t="str">
        <f t="shared" ca="1" si="171"/>
        <v>Page5_GMC_MCI, Ligne 25 [Page5_GMC_MCI!K28]  -</v>
      </c>
    </row>
    <row r="1236" spans="1:23">
      <c r="A1236" s="1443" t="str">
        <f>celladdr(Page5_GMC_MCI!K29)</f>
        <v>Page5_GMC_MCI!K29</v>
      </c>
      <c r="B1236" s="1464" t="s">
        <v>1086</v>
      </c>
      <c r="C1236" s="1451" t="b">
        <f>Page5_GMC_MCI!$K$29&lt;0</f>
        <v>0</v>
      </c>
      <c r="D1236" s="1454" t="b">
        <f>OR(AND(Page5_GMC_MCI!$K29&gt;0,Page5_GMC_MCI!$M29=0),AND(Page5_GMC_MCI!$M29&lt;&gt;0,Page5_GMC_MCI!$K$29=0))</f>
        <v>0</v>
      </c>
      <c r="E1236" s="1454"/>
      <c r="F1236" s="1454"/>
      <c r="G1236" s="1444" t="str">
        <f t="shared" si="165"/>
        <v/>
      </c>
      <c r="H1236" s="1447" t="str">
        <f>IF(C1236=TRUE,Comments!$B$26,"")</f>
        <v/>
      </c>
      <c r="I1236" s="1446" t="str">
        <f>IF(D1236=TRUE,Comments!$B$21,"")</f>
        <v/>
      </c>
      <c r="J1236" s="1446"/>
      <c r="K1236" s="1452"/>
      <c r="N1236" s="611" t="str">
        <f>"CPTE # "&amp;Page5_GMC_MCI!$E$29&amp;"  "&amp;Page5_GMC_MCI!$C$29&amp;" - UNITÉS - AAD"</f>
        <v>CPTE # 424F  TERRAIN - UNITÉS - AAD</v>
      </c>
      <c r="O1236" s="611" t="str">
        <f t="shared" si="172"/>
        <v/>
      </c>
      <c r="P1236" s="611" t="str">
        <f t="shared" si="166"/>
        <v>Page5_GMC_MCI!K</v>
      </c>
      <c r="Q1236" s="611">
        <f t="shared" si="167"/>
        <v>29</v>
      </c>
      <c r="R1236" s="1447">
        <f t="shared" ca="1" si="168"/>
        <v>0</v>
      </c>
      <c r="S1236" s="1447">
        <f t="shared" ca="1" si="169"/>
        <v>0</v>
      </c>
      <c r="V1236" s="2557" t="str">
        <f t="shared" ca="1" si="170"/>
        <v/>
      </c>
      <c r="W1236" s="611" t="str">
        <f t="shared" ca="1" si="171"/>
        <v>Page5_GMC_MCI, Ligne 26 [Page5_GMC_MCI!K29]  -</v>
      </c>
    </row>
    <row r="1237" spans="1:23">
      <c r="A1237" s="1443" t="str">
        <f>celladdr(Page5_GMC_MCI!K30)</f>
        <v>Page5_GMC_MCI!K30</v>
      </c>
      <c r="B1237" s="1464" t="s">
        <v>1086</v>
      </c>
      <c r="C1237" s="1451" t="b">
        <f>Page5_GMC_MCI!$K$30&lt;0</f>
        <v>0</v>
      </c>
      <c r="D1237" s="1454" t="b">
        <f>OR(AND(Page5_GMC_MCI!$K30&gt;0,Page5_GMC_MCI!$M30=0),AND(Page5_GMC_MCI!$M30&lt;&gt;0,Page5_GMC_MCI!$K$30=0))</f>
        <v>0</v>
      </c>
      <c r="E1237" s="1454"/>
      <c r="F1237" s="1454"/>
      <c r="G1237" s="1444" t="str">
        <f t="shared" si="165"/>
        <v/>
      </c>
      <c r="H1237" s="1447" t="str">
        <f>IF(C1237=TRUE,Comments!$B$26,"")</f>
        <v/>
      </c>
      <c r="I1237" s="1446" t="str">
        <f>IF(D1237=TRUE,Comments!$B$21,"")</f>
        <v/>
      </c>
      <c r="J1237" s="1446"/>
      <c r="K1237" s="1452"/>
      <c r="N1237" s="611" t="str">
        <f>"CPTE # "&amp;Page5_GMC_MCI!$E$30&amp;"  "&amp;Page5_GMC_MCI!$C$30&amp;" - UNITÉS - AAD"</f>
        <v>CPTE # 425F  SAVANA - UNITÉS - AAD</v>
      </c>
      <c r="O1237" s="611" t="str">
        <f t="shared" si="172"/>
        <v/>
      </c>
      <c r="P1237" s="611" t="str">
        <f t="shared" si="166"/>
        <v>Page5_GMC_MCI!K</v>
      </c>
      <c r="Q1237" s="611">
        <f t="shared" si="167"/>
        <v>30</v>
      </c>
      <c r="R1237" s="1447">
        <f t="shared" ca="1" si="168"/>
        <v>0</v>
      </c>
      <c r="S1237" s="1447">
        <f t="shared" ca="1" si="169"/>
        <v>0</v>
      </c>
      <c r="V1237" s="2557" t="str">
        <f t="shared" ca="1" si="170"/>
        <v/>
      </c>
      <c r="W1237" s="611" t="str">
        <f t="shared" ca="1" si="171"/>
        <v>Page5_GMC_MCI, Ligne 27 [Page5_GMC_MCI!K30]  -</v>
      </c>
    </row>
    <row r="1238" spans="1:23">
      <c r="A1238" s="1443" t="str">
        <f>celladdr(Page5_GMC_MCI!K31)</f>
        <v>Page5_GMC_MCI!K31</v>
      </c>
      <c r="B1238" s="1464" t="s">
        <v>1086</v>
      </c>
      <c r="C1238" s="1451" t="b">
        <f>Page5_GMC_MCI!$K$31&lt;0</f>
        <v>0</v>
      </c>
      <c r="D1238" s="1454" t="b">
        <f>OR(AND(Page5_GMC_MCI!$K31&gt;0,Page5_GMC_MCI!$M31=0),AND(Page5_GMC_MCI!$M31&lt;&gt;0,Page5_GMC_MCI!$K$31=0))</f>
        <v>0</v>
      </c>
      <c r="E1238" s="1454"/>
      <c r="F1238" s="1454"/>
      <c r="G1238" s="1444" t="str">
        <f t="shared" si="165"/>
        <v/>
      </c>
      <c r="H1238" s="1447" t="str">
        <f>IF(C1238=TRUE,Comments!$B$26,"")</f>
        <v/>
      </c>
      <c r="I1238" s="1446" t="str">
        <f>IF(D1238=TRUE,Comments!$B$21,"")</f>
        <v/>
      </c>
      <c r="J1238" s="1446"/>
      <c r="K1238" s="1452"/>
      <c r="N1238" s="611" t="str">
        <f>"CPTE # "&amp;Page5_GMC_MCI!$E$31&amp;"  "&amp;Page5_GMC_MCI!$C$31&amp;" - UNITÉS - AAD"</f>
        <v>CPTE # 426F  CANYON - UNITÉS - AAD</v>
      </c>
      <c r="O1238" s="611" t="str">
        <f t="shared" si="172"/>
        <v/>
      </c>
      <c r="P1238" s="611" t="str">
        <f t="shared" si="166"/>
        <v>Page5_GMC_MCI!K</v>
      </c>
      <c r="Q1238" s="611">
        <f t="shared" si="167"/>
        <v>31</v>
      </c>
      <c r="R1238" s="1447">
        <f t="shared" ca="1" si="168"/>
        <v>0</v>
      </c>
      <c r="S1238" s="1447">
        <f t="shared" ca="1" si="169"/>
        <v>0</v>
      </c>
      <c r="V1238" s="2557" t="str">
        <f t="shared" ca="1" si="170"/>
        <v/>
      </c>
      <c r="W1238" s="611" t="str">
        <f t="shared" ca="1" si="171"/>
        <v>Page5_GMC_MCI, Ligne 28 [Page5_GMC_MCI!K31]  -</v>
      </c>
    </row>
    <row r="1239" spans="1:23">
      <c r="A1239" s="1443" t="str">
        <f>celladdr(Page5_GMC_MCI!K32)</f>
        <v>Page5_GMC_MCI!K32</v>
      </c>
      <c r="B1239" s="1464" t="s">
        <v>1086</v>
      </c>
      <c r="C1239" s="1451" t="b">
        <f>Page5_GMC_MCI!$K$32&lt;0</f>
        <v>0</v>
      </c>
      <c r="D1239" s="1454" t="b">
        <f>OR(AND(Page5_GMC_MCI!$K32&gt;0,Page5_GMC_MCI!$M32=0),AND(Page5_GMC_MCI!$M32&lt;&gt;0,Page5_GMC_MCI!$K$32=0))</f>
        <v>0</v>
      </c>
      <c r="E1239" s="1454"/>
      <c r="F1239" s="1454"/>
      <c r="G1239" s="1444" t="str">
        <f t="shared" si="165"/>
        <v/>
      </c>
      <c r="H1239" s="1447" t="str">
        <f>IF(C1239=TRUE,Comments!$B$26,"")</f>
        <v/>
      </c>
      <c r="I1239" s="1446" t="str">
        <f>IF(D1239=TRUE,Comments!$B$21,"")</f>
        <v/>
      </c>
      <c r="J1239" s="1446"/>
      <c r="K1239" s="1452"/>
      <c r="N1239" s="611" t="str">
        <f>"CPTE # "&amp;Page5_GMC_MCI!$E$32&amp;"  "&amp;Page5_GMC_MCI!$C$32&amp;" - UNITÉS - AAD"</f>
        <v>CPTE # 427F  NE PAS UTILISER - UNITÉS - AAD</v>
      </c>
      <c r="O1239" s="611" t="str">
        <f t="shared" si="172"/>
        <v/>
      </c>
      <c r="P1239" s="611" t="str">
        <f t="shared" si="166"/>
        <v>Page5_GMC_MCI!K</v>
      </c>
      <c r="Q1239" s="611">
        <f t="shared" si="167"/>
        <v>32</v>
      </c>
      <c r="R1239" s="1447">
        <f t="shared" ca="1" si="168"/>
        <v>0</v>
      </c>
      <c r="S1239" s="1447">
        <f t="shared" ca="1" si="169"/>
        <v>0</v>
      </c>
      <c r="V1239" s="2557" t="str">
        <f t="shared" ca="1" si="170"/>
        <v/>
      </c>
      <c r="W1239" s="611" t="str">
        <f t="shared" ca="1" si="171"/>
        <v>Page5_GMC_MCI, Ligne 29 [Page5_GMC_MCI!K32]  -</v>
      </c>
    </row>
    <row r="1240" spans="1:23">
      <c r="A1240" s="1443" t="str">
        <f>celladdr(Page5_GMC_MCI!K33)</f>
        <v>Page5_GMC_MCI!K33</v>
      </c>
      <c r="B1240" s="1464" t="s">
        <v>1086</v>
      </c>
      <c r="C1240" s="1451" t="b">
        <f>Page5_GMC_MCI!$K$33&lt;0</f>
        <v>0</v>
      </c>
      <c r="D1240" s="1454" t="b">
        <f>OR(AND(Page5_GMC_MCI!$K33&gt;0,Page5_GMC_MCI!$M33=0),AND(Page5_GMC_MCI!$M33&lt;&gt;0,Page5_GMC_MCI!$K$33=0))</f>
        <v>0</v>
      </c>
      <c r="E1240" s="1454"/>
      <c r="F1240" s="1454"/>
      <c r="G1240" s="1444" t="str">
        <f t="shared" si="165"/>
        <v/>
      </c>
      <c r="H1240" s="1447" t="str">
        <f>IF(C1240=TRUE,Comments!$B$26,"")</f>
        <v/>
      </c>
      <c r="I1240" s="1446" t="str">
        <f>IF(D1240=TRUE,Comments!$B$21,"")</f>
        <v/>
      </c>
      <c r="J1240" s="1446"/>
      <c r="K1240" s="1452"/>
      <c r="N1240" s="611" t="str">
        <f>"CPTE # "&amp;Page5_GMC_MCI!$E$33&amp;"  "&amp;Page5_GMC_MCI!$C$33&amp;" - UNITÉS - AAD"</f>
        <v>CPTE # 428F  NE PAS UTILISER - UNITÉS - AAD</v>
      </c>
      <c r="O1240" s="611" t="str">
        <f t="shared" si="172"/>
        <v/>
      </c>
      <c r="P1240" s="611" t="str">
        <f t="shared" si="166"/>
        <v>Page5_GMC_MCI!K</v>
      </c>
      <c r="Q1240" s="611">
        <f t="shared" si="167"/>
        <v>33</v>
      </c>
      <c r="R1240" s="1447">
        <f t="shared" ca="1" si="168"/>
        <v>0</v>
      </c>
      <c r="S1240" s="1447">
        <f t="shared" ca="1" si="169"/>
        <v>0</v>
      </c>
      <c r="V1240" s="2557" t="str">
        <f t="shared" ca="1" si="170"/>
        <v/>
      </c>
      <c r="W1240" s="611" t="str">
        <f t="shared" ca="1" si="171"/>
        <v>Page5_GMC_MCI, Ligne 30 [Page5_GMC_MCI!K33]  -</v>
      </c>
    </row>
    <row r="1241" spans="1:23">
      <c r="A1241" s="1443" t="str">
        <f>celladdr(Page5_GMC_MCI!K34)</f>
        <v>Page5_GMC_MCI!K34</v>
      </c>
      <c r="B1241" s="1464" t="s">
        <v>1086</v>
      </c>
      <c r="C1241" s="1451" t="b">
        <f>Page5_GMC_MCI!$K$34&lt;0</f>
        <v>0</v>
      </c>
      <c r="D1241" s="1454" t="b">
        <f>OR(AND(Page5_GMC_MCI!$K34&gt;0,Page5_GMC_MCI!$M34=0),AND(Page5_GMC_MCI!$M34&lt;&gt;0,Page5_GMC_MCI!$K$34=0))</f>
        <v>0</v>
      </c>
      <c r="E1241" s="1454"/>
      <c r="F1241" s="1454"/>
      <c r="G1241" s="1444" t="str">
        <f t="shared" si="165"/>
        <v/>
      </c>
      <c r="H1241" s="1447" t="str">
        <f>IF(C1241=TRUE,Comments!$B$26,"")</f>
        <v/>
      </c>
      <c r="I1241" s="1446" t="str">
        <f>IF(D1241=TRUE,Comments!$B$21,"")</f>
        <v/>
      </c>
      <c r="J1241" s="1446"/>
      <c r="K1241" s="1452"/>
      <c r="N1241" s="611" t="str">
        <f>"CPTE # "&amp;Page5_GMC_MCI!$E$34&amp;"  "&amp;Page5_GMC_MCI!$C$34&amp;" - UNITÉS - AAD"</f>
        <v>CPTE # 429F  NE PAS UTILISER - UNITÉS - AAD</v>
      </c>
      <c r="O1241" s="611" t="str">
        <f t="shared" si="172"/>
        <v/>
      </c>
      <c r="P1241" s="611" t="str">
        <f t="shared" si="166"/>
        <v>Page5_GMC_MCI!K</v>
      </c>
      <c r="Q1241" s="611">
        <f t="shared" si="167"/>
        <v>34</v>
      </c>
      <c r="R1241" s="1447">
        <f t="shared" ca="1" si="168"/>
        <v>0</v>
      </c>
      <c r="S1241" s="1447">
        <f t="shared" ca="1" si="169"/>
        <v>0</v>
      </c>
      <c r="V1241" s="2557" t="str">
        <f t="shared" ca="1" si="170"/>
        <v/>
      </c>
      <c r="W1241" s="611" t="str">
        <f t="shared" ca="1" si="171"/>
        <v>Page5_GMC_MCI, Ligne 31 [Page5_GMC_MCI!K34]  -</v>
      </c>
    </row>
    <row r="1242" spans="1:23">
      <c r="A1242" s="1443" t="str">
        <f>celladdr(Page5_GMC_MCI!K35)</f>
        <v>Page5_GMC_MCI!K35</v>
      </c>
      <c r="B1242" s="1464" t="s">
        <v>1086</v>
      </c>
      <c r="C1242" s="1451" t="b">
        <f>Page5_GMC_MCI!$K$35&lt;0</f>
        <v>0</v>
      </c>
      <c r="D1242" s="1454" t="b">
        <f>OR(AND(Page5_GMC_MCI!$K35&gt;0,Page5_GMC_MCI!$M35=0),AND(Page5_GMC_MCI!$M35&lt;&gt;0,Page5_GMC_MCI!$K$35=0))</f>
        <v>0</v>
      </c>
      <c r="E1242" s="1454"/>
      <c r="F1242" s="1454"/>
      <c r="G1242" s="1444" t="str">
        <f t="shared" si="165"/>
        <v/>
      </c>
      <c r="H1242" s="1447" t="str">
        <f>IF(C1242=TRUE,Comments!$B$26,"")</f>
        <v/>
      </c>
      <c r="I1242" s="1446" t="str">
        <f>IF(D1242=TRUE,Comments!$B$21,"")</f>
        <v/>
      </c>
      <c r="J1242" s="1446"/>
      <c r="K1242" s="1452"/>
      <c r="N1242" s="611" t="str">
        <f>"CPTE # "&amp;Page5_GMC_MCI!$E$35&amp;"  "&amp;Page5_GMC_MCI!$C$35&amp;" - UNITÉS - AAD"</f>
        <v>CPTE # 430F  YUKON/XL - UNITÉS - AAD</v>
      </c>
      <c r="O1242" s="611" t="str">
        <f t="shared" si="172"/>
        <v/>
      </c>
      <c r="P1242" s="611" t="str">
        <f t="shared" si="166"/>
        <v>Page5_GMC_MCI!K</v>
      </c>
      <c r="Q1242" s="611">
        <f t="shared" si="167"/>
        <v>35</v>
      </c>
      <c r="R1242" s="1447">
        <f t="shared" ca="1" si="168"/>
        <v>0</v>
      </c>
      <c r="S1242" s="1447">
        <f t="shared" ca="1" si="169"/>
        <v>0</v>
      </c>
      <c r="V1242" s="2557" t="str">
        <f t="shared" ca="1" si="170"/>
        <v/>
      </c>
      <c r="W1242" s="611" t="str">
        <f t="shared" ca="1" si="171"/>
        <v>Page5_GMC_MCI, Ligne 32 [Page5_GMC_MCI!K35]  -</v>
      </c>
    </row>
    <row r="1243" spans="1:23">
      <c r="A1243" s="1443" t="str">
        <f>celladdr(Page5_GMC_MCI!K36)</f>
        <v>Page5_GMC_MCI!K36</v>
      </c>
      <c r="B1243" s="1464" t="s">
        <v>1086</v>
      </c>
      <c r="C1243" s="1451" t="b">
        <f>Page5_GMC_MCI!$K$36&lt;0</f>
        <v>0</v>
      </c>
      <c r="D1243" s="1454" t="b">
        <f>OR(AND(Page5_GMC_MCI!$K36&gt;0,Page5_GMC_MCI!$M36=0),AND(Page5_GMC_MCI!$M36&lt;&gt;0,Page5_GMC_MCI!$K$36=0))</f>
        <v>0</v>
      </c>
      <c r="E1243" s="1454"/>
      <c r="F1243" s="1454"/>
      <c r="G1243" s="1444" t="str">
        <f t="shared" si="165"/>
        <v/>
      </c>
      <c r="H1243" s="1447" t="str">
        <f>IF(C1243=TRUE,Comments!$B$26,"")</f>
        <v/>
      </c>
      <c r="I1243" s="1446" t="str">
        <f>IF(D1243=TRUE,Comments!$B$21,"")</f>
        <v/>
      </c>
      <c r="J1243" s="1446"/>
      <c r="K1243" s="1452"/>
      <c r="N1243" s="611" t="str">
        <f>"CPTE # "&amp;Page5_GMC_MCI!$E$36&amp;"  "&amp;Page5_GMC_MCI!$C$36&amp;" - UNITÉS - AAD"</f>
        <v>CPTE # 431F  LD 1500 SIERRA - UNITÉS - AAD</v>
      </c>
      <c r="O1243" s="611" t="str">
        <f t="shared" si="172"/>
        <v/>
      </c>
      <c r="P1243" s="611" t="str">
        <f t="shared" si="166"/>
        <v>Page5_GMC_MCI!K</v>
      </c>
      <c r="Q1243" s="611">
        <f t="shared" si="167"/>
        <v>36</v>
      </c>
      <c r="R1243" s="1447">
        <f t="shared" ca="1" si="168"/>
        <v>0</v>
      </c>
      <c r="S1243" s="1447">
        <f t="shared" ca="1" si="169"/>
        <v>0</v>
      </c>
      <c r="V1243" s="2557" t="str">
        <f t="shared" ca="1" si="170"/>
        <v/>
      </c>
      <c r="W1243" s="611" t="str">
        <f t="shared" ca="1" si="171"/>
        <v>Page5_GMC_MCI, Ligne 33 [Page5_GMC_MCI!K36]  -</v>
      </c>
    </row>
    <row r="1244" spans="1:23">
      <c r="A1244" s="1443" t="str">
        <f>celladdr(Page5_GMC_MCI!K37)</f>
        <v>Page5_GMC_MCI!K37</v>
      </c>
      <c r="B1244" s="1464" t="s">
        <v>1086</v>
      </c>
      <c r="C1244" s="1451" t="b">
        <f>Page5_GMC_MCI!$K$37&lt;0</f>
        <v>0</v>
      </c>
      <c r="D1244" s="1454" t="b">
        <f>OR(AND(Page5_GMC_MCI!$K37&gt;0,Page5_GMC_MCI!$M37=0),AND(Page5_GMC_MCI!$M37&lt;&gt;0,Page5_GMC_MCI!$K$37=0))</f>
        <v>0</v>
      </c>
      <c r="E1244" s="1454"/>
      <c r="F1244" s="1454"/>
      <c r="G1244" s="1444" t="str">
        <f t="shared" si="165"/>
        <v/>
      </c>
      <c r="H1244" s="1447" t="str">
        <f>IF(C1244=TRUE,Comments!$B$26,"")</f>
        <v/>
      </c>
      <c r="I1244" s="1446" t="str">
        <f>IF(D1244=TRUE,Comments!$B$21,"")</f>
        <v/>
      </c>
      <c r="J1244" s="1446"/>
      <c r="K1244" s="1452"/>
      <c r="N1244" s="611" t="str">
        <f>"CPTE # "&amp;Page5_GMC_MCI!$E$37&amp;"  "&amp;Page5_GMC_MCI!$C$37&amp;" - UNITÉS - AAD"</f>
        <v>CPTE # 432F  LD 2500 SIERRA - UNITÉS - AAD</v>
      </c>
      <c r="O1244" s="611" t="str">
        <f t="shared" si="172"/>
        <v/>
      </c>
      <c r="P1244" s="611" t="str">
        <f t="shared" si="166"/>
        <v>Page5_GMC_MCI!K</v>
      </c>
      <c r="Q1244" s="611">
        <f t="shared" si="167"/>
        <v>37</v>
      </c>
      <c r="R1244" s="1447">
        <f t="shared" ca="1" si="168"/>
        <v>0</v>
      </c>
      <c r="S1244" s="1447">
        <f t="shared" ca="1" si="169"/>
        <v>0</v>
      </c>
      <c r="V1244" s="2557" t="str">
        <f t="shared" ca="1" si="170"/>
        <v/>
      </c>
      <c r="W1244" s="611" t="str">
        <f t="shared" ca="1" si="171"/>
        <v>Page5_GMC_MCI, Ligne 34 [Page5_GMC_MCI!K37]  -</v>
      </c>
    </row>
    <row r="1245" spans="1:23">
      <c r="A1245" s="1443" t="str">
        <f>celladdr(Page5_GMC_MCI!K38)</f>
        <v>Page5_GMC_MCI!K38</v>
      </c>
      <c r="B1245" s="1464" t="s">
        <v>1086</v>
      </c>
      <c r="C1245" s="1451" t="b">
        <f>Page5_GMC_MCI!$K$38&lt;0</f>
        <v>0</v>
      </c>
      <c r="D1245" s="1454" t="b">
        <f>OR(AND(Page5_GMC_MCI!$K38&gt;0,Page5_GMC_MCI!$M38=0),AND(Page5_GMC_MCI!$M38&lt;&gt;0,Page5_GMC_MCI!$K$38=0))</f>
        <v>0</v>
      </c>
      <c r="E1245" s="1454"/>
      <c r="F1245" s="1454"/>
      <c r="G1245" s="1444" t="str">
        <f t="shared" si="165"/>
        <v/>
      </c>
      <c r="H1245" s="1447" t="str">
        <f>IF(C1245=TRUE,Comments!$B$26,"")</f>
        <v/>
      </c>
      <c r="I1245" s="1446" t="str">
        <f>IF(D1245=TRUE,Comments!$B$21,"")</f>
        <v/>
      </c>
      <c r="J1245" s="1446"/>
      <c r="K1245" s="1452"/>
      <c r="N1245" s="611" t="str">
        <f>"CPTE # "&amp;Page5_GMC_MCI!$E$38&amp;"  "&amp;Page5_GMC_MCI!$C$38&amp;" - UNITÉS - AAD"</f>
        <v>CPTE # 433F  LD 3500 SIERRA - UNITÉS - AAD</v>
      </c>
      <c r="O1245" s="611" t="str">
        <f t="shared" si="172"/>
        <v/>
      </c>
      <c r="P1245" s="611" t="str">
        <f t="shared" si="166"/>
        <v>Page5_GMC_MCI!K</v>
      </c>
      <c r="Q1245" s="611">
        <f t="shared" si="167"/>
        <v>38</v>
      </c>
      <c r="R1245" s="1447">
        <f t="shared" ca="1" si="168"/>
        <v>0</v>
      </c>
      <c r="S1245" s="1447">
        <f t="shared" ca="1" si="169"/>
        <v>0</v>
      </c>
      <c r="V1245" s="2557" t="str">
        <f t="shared" ca="1" si="170"/>
        <v/>
      </c>
      <c r="W1245" s="611" t="str">
        <f t="shared" ca="1" si="171"/>
        <v>Page5_GMC_MCI, Ligne 35 [Page5_GMC_MCI!K38]  -</v>
      </c>
    </row>
    <row r="1246" spans="1:23">
      <c r="A1246" s="1443" t="str">
        <f>celladdr(Page5_GMC_MCI!K39)</f>
        <v>Page5_GMC_MCI!K39</v>
      </c>
      <c r="B1246" s="1464" t="s">
        <v>1086</v>
      </c>
      <c r="C1246" s="1451" t="b">
        <f>Page5_GMC_MCI!$K$39&lt;0</f>
        <v>0</v>
      </c>
      <c r="D1246" s="1454" t="b">
        <f>OR(AND(Page5_GMC_MCI!$K39&gt;0,Page5_GMC_MCI!$M39=0),AND(Page5_GMC_MCI!$M39&lt;&gt;0,Page5_GMC_MCI!$K$39=0))</f>
        <v>0</v>
      </c>
      <c r="E1246" s="1454"/>
      <c r="F1246" s="1454"/>
      <c r="G1246" s="1444" t="str">
        <f t="shared" si="165"/>
        <v/>
      </c>
      <c r="H1246" s="1447" t="str">
        <f>IF(C1246=TRUE,Comments!$B$26,"")</f>
        <v/>
      </c>
      <c r="I1246" s="1446" t="str">
        <f>IF(D1246=TRUE,Comments!$B$21,"")</f>
        <v/>
      </c>
      <c r="J1246" s="1446"/>
      <c r="K1246" s="1452"/>
      <c r="N1246" s="611" t="str">
        <f>"CPTE # "&amp;Page5_GMC_MCI!$E$39&amp;"  "&amp;Page5_GMC_MCI!$C$39&amp;" - UNITÉS - AAD"</f>
        <v>CPTE # 434F  NE PAS UTILISER - UNITÉS - AAD</v>
      </c>
      <c r="O1246" s="611" t="str">
        <f t="shared" si="172"/>
        <v/>
      </c>
      <c r="P1246" s="611" t="str">
        <f t="shared" si="166"/>
        <v>Page5_GMC_MCI!K</v>
      </c>
      <c r="Q1246" s="611">
        <f t="shared" si="167"/>
        <v>39</v>
      </c>
      <c r="R1246" s="1447">
        <f t="shared" ca="1" si="168"/>
        <v>0</v>
      </c>
      <c r="S1246" s="1447">
        <f t="shared" ca="1" si="169"/>
        <v>0</v>
      </c>
      <c r="V1246" s="2557" t="str">
        <f t="shared" ca="1" si="170"/>
        <v/>
      </c>
      <c r="W1246" s="611" t="str">
        <f t="shared" ca="1" si="171"/>
        <v>Page5_GMC_MCI, Ligne 36 [Page5_GMC_MCI!K39]  -</v>
      </c>
    </row>
    <row r="1247" spans="1:23">
      <c r="A1247" s="1443" t="str">
        <f>celladdr(Page5_GMC_MCI!K40)</f>
        <v>Page5_GMC_MCI!K40</v>
      </c>
      <c r="B1247" s="1464" t="s">
        <v>1086</v>
      </c>
      <c r="C1247" s="1451" t="b">
        <f>Page5_GMC_MCI!$K$40&lt;0</f>
        <v>0</v>
      </c>
      <c r="D1247" s="1454" t="b">
        <f>OR(AND(Page5_GMC_MCI!$K40&gt;0,Page5_GMC_MCI!$M40=0),AND(Page5_GMC_MCI!$M40&lt;&gt;0,Page5_GMC_MCI!$K$40=0))</f>
        <v>0</v>
      </c>
      <c r="E1247" s="1454"/>
      <c r="F1247" s="1454"/>
      <c r="G1247" s="1444" t="str">
        <f t="shared" si="165"/>
        <v/>
      </c>
      <c r="H1247" s="1447" t="str">
        <f>IF(C1247=TRUE,Comments!$B$26,"")</f>
        <v/>
      </c>
      <c r="I1247" s="1446" t="str">
        <f>IF(D1247=TRUE,Comments!$B$21,"")</f>
        <v/>
      </c>
      <c r="J1247" s="1446"/>
      <c r="K1247" s="1452"/>
      <c r="N1247" s="611" t="str">
        <f>"CPTE # "&amp;Page5_GMC_MCI!$E$40&amp;"  "&amp;Page5_GMC_MCI!$C$40&amp;" - UNITÉS - AAD"</f>
        <v>CPTE # 435F  NE PAS UTILISER - UNITÉS - AAD</v>
      </c>
      <c r="O1247" s="611" t="str">
        <f t="shared" si="172"/>
        <v/>
      </c>
      <c r="P1247" s="611" t="str">
        <f t="shared" si="166"/>
        <v>Page5_GMC_MCI!K</v>
      </c>
      <c r="Q1247" s="611">
        <f t="shared" si="167"/>
        <v>40</v>
      </c>
      <c r="R1247" s="1447">
        <f t="shared" ca="1" si="168"/>
        <v>0</v>
      </c>
      <c r="S1247" s="1447">
        <f t="shared" ca="1" si="169"/>
        <v>0</v>
      </c>
      <c r="V1247" s="2557" t="str">
        <f t="shared" ca="1" si="170"/>
        <v/>
      </c>
      <c r="W1247" s="611" t="str">
        <f t="shared" ca="1" si="171"/>
        <v>Page5_GMC_MCI, Ligne 37 [Page5_GMC_MCI!K40]  -</v>
      </c>
    </row>
    <row r="1248" spans="1:23">
      <c r="A1248" s="1443" t="str">
        <f>celladdr(Page5_GMC_MCI!K41)</f>
        <v>Page5_GMC_MCI!K41</v>
      </c>
      <c r="B1248" s="1464" t="s">
        <v>1086</v>
      </c>
      <c r="C1248" s="1451" t="b">
        <f>Page5_GMC_MCI!$K$41&lt;0</f>
        <v>0</v>
      </c>
      <c r="D1248" s="1454" t="b">
        <f>OR(AND(Page5_GMC_MCI!$K41&gt;0,Page5_GMC_MCI!$M41=0),AND(Page5_GMC_MCI!$M41&lt;&gt;0,Page5_GMC_MCI!$K$41=0))</f>
        <v>0</v>
      </c>
      <c r="E1248" s="1454"/>
      <c r="F1248" s="1454"/>
      <c r="G1248" s="1444" t="str">
        <f t="shared" si="165"/>
        <v/>
      </c>
      <c r="H1248" s="1447" t="str">
        <f>IF(C1248=TRUE,Comments!$B$26,"")</f>
        <v/>
      </c>
      <c r="I1248" s="1446" t="str">
        <f>IF(D1248=TRUE,Comments!$B$21,"")</f>
        <v/>
      </c>
      <c r="J1248" s="1446"/>
      <c r="K1248" s="1452"/>
      <c r="N1248" s="611" t="str">
        <f>"CPTE # "&amp;Page5_GMC_MCI!$E$41&amp;"  "&amp;Page5_GMC_MCI!$C$41&amp;" - UNITÉS - AAD"</f>
        <v>CPTE # 436F  ACADIA - UNITÉS - AAD</v>
      </c>
      <c r="O1248" s="611" t="str">
        <f t="shared" si="172"/>
        <v/>
      </c>
      <c r="P1248" s="611" t="str">
        <f t="shared" si="166"/>
        <v>Page5_GMC_MCI!K</v>
      </c>
      <c r="Q1248" s="611">
        <f t="shared" si="167"/>
        <v>41</v>
      </c>
      <c r="R1248" s="1447">
        <f t="shared" ca="1" si="168"/>
        <v>0</v>
      </c>
      <c r="S1248" s="1447">
        <f t="shared" ca="1" si="169"/>
        <v>0</v>
      </c>
      <c r="V1248" s="2557" t="str">
        <f t="shared" ca="1" si="170"/>
        <v/>
      </c>
      <c r="W1248" s="611" t="str">
        <f t="shared" ca="1" si="171"/>
        <v>Page5_GMC_MCI, Ligne 38 [Page5_GMC_MCI!K41]  -</v>
      </c>
    </row>
    <row r="1249" spans="1:23">
      <c r="A1249" s="1443" t="str">
        <f>celladdr(Page5_GMC_MCI!K42)</f>
        <v>Page5_GMC_MCI!K42</v>
      </c>
      <c r="B1249" s="1464" t="s">
        <v>1086</v>
      </c>
      <c r="C1249" s="1451" t="b">
        <f>Page5_GMC_MCI!$K$42&lt;0</f>
        <v>0</v>
      </c>
      <c r="D1249" s="1454"/>
      <c r="E1249" s="1454"/>
      <c r="F1249" s="1454"/>
      <c r="G1249" s="1444" t="str">
        <f t="shared" si="165"/>
        <v/>
      </c>
      <c r="H1249" s="1447" t="str">
        <f>IF(C1249=TRUE,Comments!$B$26,"")</f>
        <v/>
      </c>
      <c r="I1249" s="1446"/>
      <c r="J1249" s="1446"/>
      <c r="K1249" s="1452"/>
      <c r="N1249" s="611" t="str">
        <f>"CPTE # "&amp;Page5_GMC_MCI!$E$42&amp;"  "&amp;Page5_GMC_MCI!$C$42&amp;" - UNITÉS - AAD"</f>
        <v>CPTE # 437F  POUR USAGE FUTUR - UNITÉS - AAD</v>
      </c>
      <c r="O1249" s="611" t="str">
        <f t="shared" si="172"/>
        <v/>
      </c>
      <c r="P1249" s="611" t="str">
        <f t="shared" si="166"/>
        <v>Page5_GMC_MCI!K</v>
      </c>
      <c r="Q1249" s="611">
        <f t="shared" si="167"/>
        <v>42</v>
      </c>
      <c r="R1249" s="1447">
        <f t="shared" ca="1" si="168"/>
        <v>0</v>
      </c>
      <c r="S1249" s="1447">
        <f t="shared" ca="1" si="169"/>
        <v>0</v>
      </c>
      <c r="V1249" s="2557" t="str">
        <f t="shared" ca="1" si="170"/>
        <v/>
      </c>
      <c r="W1249" s="611" t="str">
        <f t="shared" ca="1" si="171"/>
        <v>Page5_GMC_MCI, Ligne 39 [Page5_GMC_MCI!K42]  -</v>
      </c>
    </row>
    <row r="1250" spans="1:23">
      <c r="A1250" s="1443" t="str">
        <f>celladdr(Page5_GMC_MCI!K43)</f>
        <v>Page5_GMC_MCI!K43</v>
      </c>
      <c r="B1250" s="1464" t="s">
        <v>1086</v>
      </c>
      <c r="C1250" s="1451" t="b">
        <f>Page5_GMC_MCI!$K$43&lt;0</f>
        <v>0</v>
      </c>
      <c r="D1250" s="1454" t="b">
        <f>OR(AND(Page5_GMC_MCI!$K43&gt;0,Page5_GMC_MCI!$M43=0),AND(Page5_GMC_MCI!$M43&lt;&gt;0,Page5_GMC_MCI!$K$43=0))</f>
        <v>0</v>
      </c>
      <c r="E1250" s="1454"/>
      <c r="F1250" s="1454"/>
      <c r="G1250" s="1444" t="str">
        <f t="shared" si="165"/>
        <v/>
      </c>
      <c r="H1250" s="1447" t="str">
        <f>IF(C1250=TRUE,Comments!$B$26,"")</f>
        <v/>
      </c>
      <c r="I1250" s="1446" t="str">
        <f>IF(D1250=TRUE,Comments!$B$21,"")</f>
        <v/>
      </c>
      <c r="J1250" s="1446"/>
      <c r="K1250" s="1452"/>
      <c r="N1250" s="611" t="str">
        <f>"CPTE # "&amp;Page5_GMC_MCI!$E$43&amp;"  "&amp;Page5_GMC_MCI!$C$43&amp;" - UNITÉS - AAD"</f>
        <v>CPTE # 438F  AUTRES CAMIONS GMC - UNITÉS - AAD</v>
      </c>
      <c r="O1250" s="611" t="str">
        <f t="shared" si="172"/>
        <v/>
      </c>
      <c r="P1250" s="611" t="str">
        <f t="shared" si="166"/>
        <v>Page5_GMC_MCI!K</v>
      </c>
      <c r="Q1250" s="611">
        <f t="shared" si="167"/>
        <v>43</v>
      </c>
      <c r="R1250" s="1447">
        <f t="shared" ca="1" si="168"/>
        <v>0</v>
      </c>
      <c r="S1250" s="1447">
        <f t="shared" ca="1" si="169"/>
        <v>0</v>
      </c>
      <c r="V1250" s="2557" t="str">
        <f t="shared" ca="1" si="170"/>
        <v/>
      </c>
      <c r="W1250" s="611" t="str">
        <f t="shared" ca="1" si="171"/>
        <v>Page5_GMC_MCI, Ligne 40 [Page5_GMC_MCI!K43]  -</v>
      </c>
    </row>
    <row r="1251" spans="1:23">
      <c r="A1251" s="1443" t="str">
        <f>celladdr(Page5_GMC_MCI!K44)</f>
        <v>Page5_GMC_MCI!K44</v>
      </c>
      <c r="B1251" s="1444" t="s">
        <v>1086</v>
      </c>
      <c r="C1251" s="1451"/>
      <c r="D1251" s="1454"/>
      <c r="E1251" s="1454"/>
      <c r="F1251" s="1454"/>
      <c r="G1251" s="1444" t="str">
        <f t="shared" si="165"/>
        <v/>
      </c>
      <c r="H1251" s="1447" t="str">
        <f>IF(C1251=TRUE,Comments!$B$26,"")</f>
        <v/>
      </c>
      <c r="I1251" s="1446" t="str">
        <f>IF(D1251=TRUE,Comments!$B$21,"")</f>
        <v/>
      </c>
      <c r="J1251" s="1446"/>
      <c r="K1251" s="1452"/>
      <c r="O1251" s="611" t="str">
        <f t="shared" si="172"/>
        <v/>
      </c>
      <c r="P1251" s="611" t="str">
        <f t="shared" si="166"/>
        <v>Page5_GMC_MCI!K</v>
      </c>
      <c r="Q1251" s="611">
        <f t="shared" si="167"/>
        <v>44</v>
      </c>
      <c r="R1251" s="1447">
        <f t="shared" ca="1" si="168"/>
        <v>0</v>
      </c>
      <c r="S1251" s="1447">
        <f t="shared" ca="1" si="169"/>
        <v>0</v>
      </c>
      <c r="V1251" s="2557" t="str">
        <f t="shared" ca="1" si="170"/>
        <v/>
      </c>
      <c r="W1251" s="611" t="str">
        <f t="shared" ca="1" si="171"/>
        <v>Page5_GMC_MCI, Ligne 41 [Page5_GMC_MCI!K44]  -</v>
      </c>
    </row>
    <row r="1252" spans="1:23">
      <c r="A1252" s="1443" t="str">
        <f>celladdr(Page5_GMC_MCI!K45)</f>
        <v>Page5_GMC_MCI!K45</v>
      </c>
      <c r="B1252" s="1464" t="s">
        <v>1086</v>
      </c>
      <c r="C1252" s="1451" t="b">
        <f>Page5_GMC_MCI!$K$45&lt;0</f>
        <v>0</v>
      </c>
      <c r="D1252" s="1454" t="b">
        <f>OR(AND(Page5_GMC_MCI!$K45&gt;0,Page5_GMC_MCI!$M45=0),AND(Page5_GMC_MCI!$M45&lt;&gt;0,Page5_GMC_MCI!$K$45=0))</f>
        <v>0</v>
      </c>
      <c r="E1252" s="1454"/>
      <c r="F1252" s="1454"/>
      <c r="G1252" s="1444" t="str">
        <f t="shared" si="165"/>
        <v/>
      </c>
      <c r="H1252" s="1447" t="str">
        <f>IF(C1252=TRUE,Comments!$B$26,"")</f>
        <v/>
      </c>
      <c r="I1252" s="1446" t="str">
        <f>IF(D1252=TRUE,Comments!$B$21,"")</f>
        <v/>
      </c>
      <c r="J1252" s="1446"/>
      <c r="K1252" s="1452"/>
      <c r="N1252" s="611" t="str">
        <f>"CPTE # "&amp;Page5_GMC_MCI!$E$45&amp;"  "&amp;Page5_GMC_MCI!$C$45&amp;" - UNITÉS - AAD"</f>
        <v>CPTE # 439F  MÉMO* VENTES INTERNET CAMIONS - UNITÉS - AAD</v>
      </c>
      <c r="O1252" s="611" t="str">
        <f t="shared" si="172"/>
        <v/>
      </c>
      <c r="P1252" s="611" t="str">
        <f t="shared" si="166"/>
        <v>Page5_GMC_MCI!K</v>
      </c>
      <c r="Q1252" s="611">
        <f t="shared" si="167"/>
        <v>45</v>
      </c>
      <c r="R1252" s="1447">
        <f t="shared" ca="1" si="168"/>
        <v>0</v>
      </c>
      <c r="S1252" s="1447">
        <f t="shared" ca="1" si="169"/>
        <v>0</v>
      </c>
      <c r="V1252" s="2557" t="str">
        <f t="shared" ca="1" si="170"/>
        <v/>
      </c>
      <c r="W1252" s="611" t="str">
        <f t="shared" ca="1" si="171"/>
        <v>Page5_GMC_MCI, Ligne 42 [Page5_GMC_MCI!K45]  -</v>
      </c>
    </row>
    <row r="1253" spans="1:23">
      <c r="A1253" s="1443" t="str">
        <f>celladdr(Page5_GMC_MCI!K46)</f>
        <v>Page5_GMC_MCI!K46</v>
      </c>
      <c r="B1253" s="1464" t="s">
        <v>1086</v>
      </c>
      <c r="C1253" s="1451" t="b">
        <f>Page5_GMC_MCI!$K$46&lt;0</f>
        <v>0</v>
      </c>
      <c r="D1253" s="1454" t="b">
        <f>OR(AND(Page5_GMC_MCI!$K46&gt;0,Page5_GMC_MCI!$M46=0),AND(Page5_GMC_MCI!$M46&lt;&gt;0,Page5_GMC_MCI!$K$46=0))</f>
        <v>0</v>
      </c>
      <c r="E1253" s="1454" t="b">
        <f>ROUND(Page5_CHV_MCI!K46 + Page5_GMC_MCI!K46,2) &lt;&gt; ROUND(Page5_PARCS_GOUV!K20+Page5_PARCS_GOUV!K22+Page5_PARCS_GOUV!K24+Page5_PARCS_GOUV!K25+Page5_PARCS_GOUV!K27+Page5_PARCS_GOUV!K29+Page5_PARCS_GOUV!K31+Page5_PARCS_GOUV!K32+Page5_PARCS_GOUV!K33+Page5_PARCS_GOUV!K56+Page5_PARCS_GOUV!K56+Page5_PARCS_GOUV!K58+Page5_PARCS_GOUV!K60+Page5_PARCS_GOUV!K61+Page5_PARCS_GOUV!K63+Page5_PARCS_GOUV!K65+Page5_PARCS_GOUV!K67+Page5_PARCS_GOUV!K68+Page5_PARCS_GOUV!K69,2)</f>
        <v>0</v>
      </c>
      <c r="F1253" s="1454"/>
      <c r="G1253" s="1444" t="str">
        <f t="shared" si="165"/>
        <v/>
      </c>
      <c r="H1253" s="1447" t="str">
        <f>IF(C1253=TRUE,Comments!$B$26,"")</f>
        <v/>
      </c>
      <c r="I1253" s="1446" t="str">
        <f>IF(D1253=TRUE,Comments!$B$21,"")</f>
        <v/>
      </c>
      <c r="J1253" s="1446" t="str">
        <f>IF(E1253=TRUE, Comments!$B$97,"")</f>
        <v/>
      </c>
      <c r="K1253" s="1452"/>
      <c r="N1253" s="611" t="str">
        <f>"CPTE # "&amp;Page5_GMC_MCI!$E$46&amp;"  "&amp;Page5_GMC_MCI!$C$46&amp;" - UNITÉS - AAD"</f>
        <v>CPTE # DE PG PARCS  TOTAL PARCS - CAMIONS - UNITÉS - AAD</v>
      </c>
      <c r="O1253" s="611" t="str">
        <f t="shared" si="172"/>
        <v/>
      </c>
      <c r="P1253" s="611" t="str">
        <f t="shared" si="166"/>
        <v>Page5_GMC_MCI!K</v>
      </c>
      <c r="Q1253" s="611">
        <f t="shared" si="167"/>
        <v>46</v>
      </c>
      <c r="R1253" s="1447">
        <f t="shared" ca="1" si="168"/>
        <v>0</v>
      </c>
      <c r="S1253" s="1447">
        <f t="shared" ca="1" si="169"/>
        <v>0</v>
      </c>
      <c r="T1253" s="611">
        <v>97</v>
      </c>
      <c r="V1253" s="2557" t="str">
        <f t="shared" ca="1" si="170"/>
        <v/>
      </c>
      <c r="W1253" s="611" t="str">
        <f t="shared" ca="1" si="171"/>
        <v>Page5_GMC_MCI, Ligne 43 [Page5_GMC_MCI!K46]  -</v>
      </c>
    </row>
    <row r="1254" spans="1:23">
      <c r="A1254" s="1443" t="str">
        <f>celladdr(Page5_GMC_MCI!K47)</f>
        <v>Page5_GMC_MCI!K47</v>
      </c>
      <c r="B1254" s="1464" t="s">
        <v>1086</v>
      </c>
      <c r="C1254" s="1451" t="b">
        <f>Page5_GMC_MCI!$K$47&lt;0</f>
        <v>0</v>
      </c>
      <c r="D1254" s="1454" t="b">
        <f>OR(AND(Page5_GMC_MCI!$K47&gt;0,Page5_GMC_MCI!$M47=0),AND(Page5_GMC_MCI!$M47&lt;&gt;0,Page5_GMC_MCI!$K$47=0))</f>
        <v>0</v>
      </c>
      <c r="E1254" s="1454"/>
      <c r="F1254" s="1454"/>
      <c r="G1254" s="1444" t="str">
        <f t="shared" si="165"/>
        <v/>
      </c>
      <c r="H1254" s="1447" t="str">
        <f>IF(C1254=TRUE,Comments!$B$26,"")</f>
        <v/>
      </c>
      <c r="I1254" s="1446" t="str">
        <f>IF(D1254=TRUE,Comments!$B$21,"")</f>
        <v/>
      </c>
      <c r="J1254" s="1446"/>
      <c r="K1254" s="1452"/>
      <c r="N1254" s="611" t="str">
        <f>"CPTE # "&amp;Page5_GMC_MCI!$E$47&amp;"  "&amp;Page5_GMC_MCI!$C$47&amp;" - UNITÉS - AAD"</f>
        <v>CPTE # 441F  TOTAL IINTERNE - CAMIONS  - UNITÉS - AAD</v>
      </c>
      <c r="O1254" s="611" t="str">
        <f t="shared" ref="O1254:O1280" si="173">IF(A1254=A1253,"TRUE","")</f>
        <v/>
      </c>
      <c r="P1254" s="611" t="str">
        <f t="shared" si="166"/>
        <v>Page5_GMC_MCI!K</v>
      </c>
      <c r="Q1254" s="611">
        <f t="shared" si="167"/>
        <v>47</v>
      </c>
      <c r="R1254" s="1447">
        <f t="shared" ca="1" si="168"/>
        <v>0</v>
      </c>
      <c r="S1254" s="1447">
        <f t="shared" ca="1" si="169"/>
        <v>0</v>
      </c>
      <c r="V1254" s="2557" t="str">
        <f t="shared" ca="1" si="170"/>
        <v/>
      </c>
      <c r="W1254" s="611" t="str">
        <f t="shared" ca="1" si="171"/>
        <v>Page5_GMC_MCI, Ligne 44 [Page5_GMC_MCI!K47]  -</v>
      </c>
    </row>
    <row r="1255" spans="1:23">
      <c r="A1255" s="1443" t="str">
        <f>celladdr(Page5_GMC_MCI!K48)</f>
        <v>Page5_GMC_MCI!K48</v>
      </c>
      <c r="B1255" s="1444" t="s">
        <v>1086</v>
      </c>
      <c r="C1255" s="1451"/>
      <c r="D1255" s="1454"/>
      <c r="E1255" s="1454"/>
      <c r="F1255" s="1454"/>
      <c r="G1255" s="1444" t="str">
        <f t="shared" si="165"/>
        <v/>
      </c>
      <c r="H1255" s="1447" t="str">
        <f>IF(C1255=TRUE,Comments!$B$26,"")</f>
        <v/>
      </c>
      <c r="I1255" s="1446" t="str">
        <f>IF(D1255=TRUE,Comments!$B$21,"")</f>
        <v/>
      </c>
      <c r="J1255" s="1446"/>
      <c r="K1255" s="1452"/>
      <c r="O1255" s="611" t="str">
        <f t="shared" si="173"/>
        <v/>
      </c>
      <c r="P1255" s="611" t="str">
        <f t="shared" si="166"/>
        <v>Page5_GMC_MCI!K</v>
      </c>
      <c r="Q1255" s="611">
        <f t="shared" si="167"/>
        <v>48</v>
      </c>
      <c r="R1255" s="1447">
        <f t="shared" ca="1" si="168"/>
        <v>0</v>
      </c>
      <c r="S1255" s="1447">
        <f t="shared" ca="1" si="169"/>
        <v>0</v>
      </c>
      <c r="V1255" s="2557" t="str">
        <f t="shared" ca="1" si="170"/>
        <v/>
      </c>
      <c r="W1255" s="611" t="str">
        <f t="shared" ca="1" si="171"/>
        <v>Page5_GMC_MCI, Ligne 45 [Page5_GMC_MCI!K48]  -</v>
      </c>
    </row>
    <row r="1256" spans="1:23">
      <c r="A1256" s="1443" t="str">
        <f>celladdr(Page5_GMC_MCI!K49)</f>
        <v>Page5_GMC_MCI!K49</v>
      </c>
      <c r="B1256" s="1464" t="s">
        <v>1086</v>
      </c>
      <c r="C1256" s="1451"/>
      <c r="D1256" s="1454" t="b">
        <f>OR(AND(Page5_GMC_MCI!$K49&gt;0,Page5_GMC_MCI!$M49=0),AND(Page5_GMC_MCI!$M49&lt;&gt;0,Page5_GMC_MCI!$K$49=0))</f>
        <v>0</v>
      </c>
      <c r="E1256" s="1454"/>
      <c r="F1256" s="1454"/>
      <c r="G1256" s="1444" t="str">
        <f t="shared" si="165"/>
        <v/>
      </c>
      <c r="I1256" s="1446" t="str">
        <f>IF(D1256=TRUE,Comments!$B$24,"")</f>
        <v/>
      </c>
      <c r="J1256" s="1446"/>
      <c r="K1256" s="1452"/>
      <c r="N1256" s="611" t="str">
        <f>"CPTE # "&amp;Page5_GMC_MCI!$E$49&amp;"  "&amp;Page5_GMC_MCI!$C$49&amp;" - UNITÉS - AAD"</f>
        <v>CPTE #      - UNITÉS - AAD</v>
      </c>
      <c r="O1256" s="611" t="str">
        <f t="shared" si="173"/>
        <v/>
      </c>
      <c r="P1256" s="611" t="str">
        <f t="shared" si="166"/>
        <v>Page5_GMC_MCI!K</v>
      </c>
      <c r="Q1256" s="611">
        <f t="shared" si="167"/>
        <v>49</v>
      </c>
      <c r="R1256" s="1447">
        <f t="shared" ca="1" si="168"/>
        <v>0</v>
      </c>
      <c r="S1256" s="1447">
        <f t="shared" ca="1" si="169"/>
        <v>0</v>
      </c>
      <c r="V1256" s="2557" t="str">
        <f t="shared" ca="1" si="170"/>
        <v/>
      </c>
      <c r="W1256" s="611" t="str">
        <f t="shared" ca="1" si="171"/>
        <v>Page5_GMC_MCI, Ligne 46 [Page5_GMC_MCI!K49]  -</v>
      </c>
    </row>
    <row r="1257" spans="1:23">
      <c r="A1257" s="1443" t="str">
        <f>celladdr(Page5_GMC_MCI!K50)</f>
        <v>Page5_GMC_MCI!K50</v>
      </c>
      <c r="B1257" s="1464" t="s">
        <v>1086</v>
      </c>
      <c r="C1257" s="1451"/>
      <c r="D1257" s="1454" t="b">
        <f>OR(AND(Page5_GMC_MCI!$K50&gt;0,Page5_GMC_MCI!$M50=0),AND(Page5_GMC_MCI!$M50&lt;&gt;0,Page5_GMC_MCI!$K$50=0))</f>
        <v>0</v>
      </c>
      <c r="E1257" s="1454"/>
      <c r="F1257" s="1454"/>
      <c r="G1257" s="1444" t="str">
        <f t="shared" si="165"/>
        <v/>
      </c>
      <c r="I1257" s="1446" t="str">
        <f>IF(D1257=TRUE,Comments!$B$21,"")</f>
        <v/>
      </c>
      <c r="J1257" s="1446"/>
      <c r="K1257" s="1452"/>
      <c r="N1257" s="611" t="str">
        <f>"CPTE # "&amp;Page5_GMC_MCI!$E$50&amp;"  "&amp;Page5_GMC_MCI!$C$50&amp;" - UNITÉS - AAD"</f>
        <v>CPTE # 457F  ACCESSOIRES - UNITÉS - AAD</v>
      </c>
      <c r="O1257" s="611" t="str">
        <f t="shared" si="173"/>
        <v/>
      </c>
      <c r="P1257" s="611" t="str">
        <f t="shared" si="166"/>
        <v>Page5_GMC_MCI!K</v>
      </c>
      <c r="Q1257" s="611">
        <f t="shared" si="167"/>
        <v>50</v>
      </c>
      <c r="R1257" s="1447">
        <f t="shared" ca="1" si="168"/>
        <v>0</v>
      </c>
      <c r="S1257" s="1447">
        <f t="shared" ca="1" si="169"/>
        <v>0</v>
      </c>
      <c r="V1257" s="2557" t="str">
        <f t="shared" ca="1" si="170"/>
        <v/>
      </c>
      <c r="W1257" s="611" t="str">
        <f t="shared" ca="1" si="171"/>
        <v>Page5_GMC_MCI, Ligne 47 [Page5_GMC_MCI!K50]  -</v>
      </c>
    </row>
    <row r="1258" spans="1:23">
      <c r="A1258" s="1443" t="str">
        <f>celladdr(Page5_GMC_MCI!K51)</f>
        <v>Page5_GMC_MCI!K51</v>
      </c>
      <c r="B1258" s="1453" t="s">
        <v>1086</v>
      </c>
      <c r="C1258" s="1445" t="b">
        <f>Page5_GMC_MCI!$K$51&lt;&gt;Page5_GMC_MCI!$K$48+Page5_GMC_MCI!$K$27</f>
        <v>0</v>
      </c>
      <c r="D1258" s="1454"/>
      <c r="F1258" s="1454"/>
      <c r="G1258" s="1444" t="str">
        <f t="shared" si="165"/>
        <v/>
      </c>
      <c r="H1258" s="1446" t="str">
        <f>IF(C1258=TRUE,Comments!$B$38&amp;Page5_GMC_MCI!$K$51-(Page5_GMC_MCI!$K$48+Page5_GMC_MCI!$K$27),"")</f>
        <v/>
      </c>
      <c r="I1258" s="1452"/>
      <c r="J1258" s="1452"/>
      <c r="K1258" s="1452"/>
      <c r="N1258" s="611" t="str">
        <f>Page5_GMC_MCI!$B$1&amp;" TOTAL VÉHICULES NEUFS  - UNITÉS - AAD"</f>
        <v>GMC TOTAL VÉHICULES NEUFS  - UNITÉS - AAD</v>
      </c>
      <c r="O1258" s="611" t="str">
        <f t="shared" si="173"/>
        <v/>
      </c>
      <c r="P1258" s="611" t="str">
        <f t="shared" si="166"/>
        <v>Page5_GMC_MCI!K</v>
      </c>
      <c r="Q1258" s="611">
        <f t="shared" si="167"/>
        <v>51</v>
      </c>
      <c r="R1258" s="1447">
        <f t="shared" ca="1" si="168"/>
        <v>0</v>
      </c>
      <c r="S1258" s="1447">
        <f t="shared" ca="1" si="169"/>
        <v>0</v>
      </c>
      <c r="V1258" s="2557" t="str">
        <f t="shared" ca="1" si="170"/>
        <v/>
      </c>
      <c r="W1258" s="611" t="str">
        <f t="shared" ca="1" si="171"/>
        <v>Page5_GMC_MCI, Ligne 48 [Page5_GMC_MCI!K51]  -</v>
      </c>
    </row>
    <row r="1259" spans="1:23">
      <c r="A1259" s="1443" t="str">
        <f>celladdr(Page5_GMC_MCI!L4)</f>
        <v>Page5_GMC_MCI!L4</v>
      </c>
      <c r="B1259" s="1456" t="s">
        <v>1086</v>
      </c>
      <c r="C1259" s="1451" t="b">
        <f>Page5_GMC_MCI!$L$4&lt;0</f>
        <v>0</v>
      </c>
      <c r="D1259" s="1454" t="b">
        <f>OR(AND(Page5_GMC_MCI!$L4&lt;&gt;0,Page5_GMC_MCI!$M4=0),AND(Page5_GMC_MCI!$M4&lt;&gt;0,Page5_GMC_MCI!$L4=0))</f>
        <v>0</v>
      </c>
      <c r="E1259" s="1454"/>
      <c r="F1259" s="1454"/>
      <c r="G1259" s="1444" t="str">
        <f t="shared" si="165"/>
        <v/>
      </c>
      <c r="H1259" s="1447" t="str">
        <f>IF(C1259=TRUE,Comments!$B$23,"")</f>
        <v/>
      </c>
      <c r="I1259" s="1446" t="str">
        <f>IF(D1259=TRUE,Comments!$B$24,"")</f>
        <v/>
      </c>
      <c r="J1259" s="1446"/>
      <c r="K1259" s="1452"/>
      <c r="N1259" s="611" t="str">
        <f>"CPTE # "&amp;Page5_GMC_MCI!$E$4&amp;"  "&amp;Page5_GMC_MCI!$C$4&amp;" - CHIFFRE D'AFFAIRES RÉALISÉ - AAD"</f>
        <v>CPTE # 400F  NE PAS UTILISER - CHIFFRE D'AFFAIRES RÉALISÉ - AAD</v>
      </c>
      <c r="O1259" s="611" t="str">
        <f t="shared" si="173"/>
        <v/>
      </c>
      <c r="P1259" s="611" t="str">
        <f t="shared" si="166"/>
        <v>Page5_GMC_MCI!L</v>
      </c>
      <c r="Q1259" s="611">
        <f t="shared" si="167"/>
        <v>4</v>
      </c>
      <c r="R1259" s="1447">
        <f t="shared" ca="1" si="168"/>
        <v>0</v>
      </c>
      <c r="S1259" s="1447">
        <f t="shared" ca="1" si="169"/>
        <v>0</v>
      </c>
      <c r="V1259" s="2557" t="str">
        <f t="shared" ca="1" si="170"/>
        <v/>
      </c>
      <c r="W1259" s="611" t="str">
        <f t="shared" ca="1" si="171"/>
        <v>Page5_GMC_MCI, Ligne 1 [Page5_GMC_MCI!L4]  -</v>
      </c>
    </row>
    <row r="1260" spans="1:23">
      <c r="A1260" s="1443" t="str">
        <f>celladdr(Page5_GMC_MCI!L5)</f>
        <v>Page5_GMC_MCI!L5</v>
      </c>
      <c r="B1260" s="1456" t="s">
        <v>1086</v>
      </c>
      <c r="C1260" s="1451" t="b">
        <f>Page5_GMC_MCI!$L$5&lt;0</f>
        <v>0</v>
      </c>
      <c r="D1260" s="1454" t="b">
        <f>OR(AND(Page5_GMC_MCI!$L5&lt;&gt;0,Page5_GMC_MCI!$M5=0),AND(Page5_GMC_MCI!$M5&lt;&gt;0,Page5_GMC_MCI!$L5=0))</f>
        <v>0</v>
      </c>
      <c r="E1260" s="1454"/>
      <c r="F1260" s="1454"/>
      <c r="G1260" s="1444" t="str">
        <f t="shared" si="165"/>
        <v/>
      </c>
      <c r="H1260" s="1447" t="str">
        <f>IF(C1260=TRUE,Comments!$B$23,"")</f>
        <v/>
      </c>
      <c r="I1260" s="1446" t="str">
        <f>IF(D1260=TRUE,Comments!$B$24,"")</f>
        <v/>
      </c>
      <c r="J1260" s="1446"/>
      <c r="K1260" s="1452"/>
      <c r="N1260" s="611" t="str">
        <f>"CPTE # "&amp;Page5_GMC_MCI!$E$5&amp;"  "&amp;Page5_GMC_MCI!$C$5&amp;" - CHIFFRE D'AFFAIRES RÉALISÉ - AAD"</f>
        <v>CPTE # 401F  NE PAS UTILISER - CHIFFRE D'AFFAIRES RÉALISÉ - AAD</v>
      </c>
      <c r="O1260" s="611" t="str">
        <f t="shared" si="173"/>
        <v/>
      </c>
      <c r="P1260" s="611" t="str">
        <f t="shared" si="166"/>
        <v>Page5_GMC_MCI!L</v>
      </c>
      <c r="Q1260" s="611">
        <f t="shared" si="167"/>
        <v>5</v>
      </c>
      <c r="R1260" s="1447">
        <f t="shared" ca="1" si="168"/>
        <v>0</v>
      </c>
      <c r="S1260" s="1447">
        <f t="shared" ca="1" si="169"/>
        <v>0</v>
      </c>
      <c r="V1260" s="2557" t="str">
        <f t="shared" ca="1" si="170"/>
        <v/>
      </c>
      <c r="W1260" s="611" t="str">
        <f t="shared" ca="1" si="171"/>
        <v>Page5_GMC_MCI, Ligne 2 [Page5_GMC_MCI!L5]  -</v>
      </c>
    </row>
    <row r="1261" spans="1:23">
      <c r="A1261" s="1443" t="str">
        <f>celladdr(Page5_GMC_MCI!L6)</f>
        <v>Page5_GMC_MCI!L6</v>
      </c>
      <c r="B1261" s="1456" t="s">
        <v>1086</v>
      </c>
      <c r="C1261" s="1451" t="b">
        <f>Page5_GMC_MCI!$L$6&lt;0</f>
        <v>0</v>
      </c>
      <c r="D1261" s="1454" t="b">
        <f>OR(AND(Page5_GMC_MCI!$L6&lt;&gt;0,Page5_GMC_MCI!$M6=0),AND(Page5_GMC_MCI!$M6&lt;&gt;0,Page5_GMC_MCI!$L6=0))</f>
        <v>0</v>
      </c>
      <c r="E1261" s="1454"/>
      <c r="F1261" s="1454"/>
      <c r="G1261" s="1444" t="str">
        <f t="shared" si="165"/>
        <v/>
      </c>
      <c r="H1261" s="1447" t="str">
        <f>IF(C1261=TRUE,Comments!$B$23,"")</f>
        <v/>
      </c>
      <c r="I1261" s="1446" t="str">
        <f>IF(D1261=TRUE,Comments!$B$24,"")</f>
        <v/>
      </c>
      <c r="J1261" s="1446"/>
      <c r="K1261" s="1452"/>
      <c r="N1261" s="611" t="str">
        <f>"CPTE # "&amp;Page5_GMC_MCI!$E$6&amp;"  "&amp;Page5_GMC_MCI!$C$6&amp;" - CHIFFRE D'AFFAIRES RÉALISÉ - AAD"</f>
        <v>CPTE # 402F  NE PAS UTILISER - CHIFFRE D'AFFAIRES RÉALISÉ - AAD</v>
      </c>
      <c r="O1261" s="611" t="str">
        <f t="shared" si="173"/>
        <v/>
      </c>
      <c r="P1261" s="611" t="str">
        <f t="shared" si="166"/>
        <v>Page5_GMC_MCI!L</v>
      </c>
      <c r="Q1261" s="611">
        <f t="shared" si="167"/>
        <v>6</v>
      </c>
      <c r="R1261" s="1447">
        <f t="shared" ca="1" si="168"/>
        <v>0</v>
      </c>
      <c r="S1261" s="1447">
        <f t="shared" ca="1" si="169"/>
        <v>0</v>
      </c>
      <c r="V1261" s="2557" t="str">
        <f t="shared" ca="1" si="170"/>
        <v/>
      </c>
      <c r="W1261" s="611" t="str">
        <f t="shared" ca="1" si="171"/>
        <v>Page5_GMC_MCI, Ligne 3 [Page5_GMC_MCI!L6]  -</v>
      </c>
    </row>
    <row r="1262" spans="1:23">
      <c r="A1262" s="1443" t="str">
        <f>celladdr(Page5_GMC_MCI!L7)</f>
        <v>Page5_GMC_MCI!L7</v>
      </c>
      <c r="B1262" s="1456" t="s">
        <v>1086</v>
      </c>
      <c r="C1262" s="1451" t="b">
        <f>Page5_GMC_MCI!$L$7&lt;0</f>
        <v>0</v>
      </c>
      <c r="D1262" s="1454" t="b">
        <f>OR(AND(Page5_GMC_MCI!$L7&lt;&gt;0,Page5_GMC_MCI!$M7=0),AND(Page5_GMC_MCI!$M7&lt;&gt;0,Page5_GMC_MCI!$L7=0))</f>
        <v>0</v>
      </c>
      <c r="E1262" s="1454"/>
      <c r="F1262" s="1454"/>
      <c r="G1262" s="1444" t="str">
        <f t="shared" si="165"/>
        <v/>
      </c>
      <c r="H1262" s="1447" t="str">
        <f>IF(C1262=TRUE,Comments!$B$23,"")</f>
        <v/>
      </c>
      <c r="I1262" s="1446" t="str">
        <f>IF(D1262=TRUE,Comments!$B$24,"")</f>
        <v/>
      </c>
      <c r="J1262" s="1446"/>
      <c r="K1262" s="1452"/>
      <c r="N1262" s="611" t="str">
        <f>"CPTE # "&amp;Page5_GMC_MCI!$E$7&amp;"  "&amp;Page5_GMC_MCI!$C$7&amp;" - CHIFFRE D'AFFAIRES RÉALISÉ - AAD"</f>
        <v>CPTE # 403F  NE PAS UTILISER - CHIFFRE D'AFFAIRES RÉALISÉ - AAD</v>
      </c>
      <c r="O1262" s="611" t="str">
        <f t="shared" si="173"/>
        <v/>
      </c>
      <c r="P1262" s="611" t="str">
        <f t="shared" si="166"/>
        <v>Page5_GMC_MCI!L</v>
      </c>
      <c r="Q1262" s="611">
        <f t="shared" si="167"/>
        <v>7</v>
      </c>
      <c r="R1262" s="1447">
        <f t="shared" ca="1" si="168"/>
        <v>0</v>
      </c>
      <c r="S1262" s="1447">
        <f t="shared" ca="1" si="169"/>
        <v>0</v>
      </c>
      <c r="V1262" s="2557" t="str">
        <f t="shared" ca="1" si="170"/>
        <v/>
      </c>
      <c r="W1262" s="611" t="str">
        <f t="shared" ca="1" si="171"/>
        <v>Page5_GMC_MCI, Ligne 4 [Page5_GMC_MCI!L7]  -</v>
      </c>
    </row>
    <row r="1263" spans="1:23">
      <c r="A1263" s="1443" t="str">
        <f>celladdr(Page5_GMC_MCI!L8)</f>
        <v>Page5_GMC_MCI!L8</v>
      </c>
      <c r="B1263" s="1456" t="s">
        <v>1086</v>
      </c>
      <c r="C1263" s="1451" t="b">
        <f>Page5_GMC_MCI!$L$8&lt;0</f>
        <v>0</v>
      </c>
      <c r="D1263" s="1454" t="b">
        <f>OR(AND(Page5_GMC_MCI!$L8&lt;&gt;0,Page5_GMC_MCI!$M8=0),AND(Page5_GMC_MCI!$M8&lt;&gt;0,Page5_GMC_MCI!$L8=0))</f>
        <v>0</v>
      </c>
      <c r="E1263" s="1454"/>
      <c r="F1263" s="1454"/>
      <c r="G1263" s="1444" t="str">
        <f t="shared" si="165"/>
        <v/>
      </c>
      <c r="H1263" s="1447" t="str">
        <f>IF(C1263=TRUE,Comments!$B$23,"")</f>
        <v/>
      </c>
      <c r="I1263" s="1446" t="str">
        <f>IF(D1263=TRUE,Comments!$B$24,"")</f>
        <v/>
      </c>
      <c r="J1263" s="1446"/>
      <c r="K1263" s="1452"/>
      <c r="N1263" s="611" t="str">
        <f>"CPTE # "&amp;Page5_GMC_MCI!$E$8&amp;"  "&amp;Page5_GMC_MCI!$C$8&amp;" - CHIFFRE D'AFFAIRES RÉALISÉ - AAD"</f>
        <v>CPTE # 404F  NE PAS UTILISER - CHIFFRE D'AFFAIRES RÉALISÉ - AAD</v>
      </c>
      <c r="O1263" s="611" t="str">
        <f t="shared" si="173"/>
        <v/>
      </c>
      <c r="P1263" s="611" t="str">
        <f t="shared" si="166"/>
        <v>Page5_GMC_MCI!L</v>
      </c>
      <c r="Q1263" s="611">
        <f t="shared" si="167"/>
        <v>8</v>
      </c>
      <c r="R1263" s="1447">
        <f t="shared" ca="1" si="168"/>
        <v>0</v>
      </c>
      <c r="S1263" s="1447">
        <f t="shared" ca="1" si="169"/>
        <v>0</v>
      </c>
      <c r="V1263" s="2557" t="str">
        <f t="shared" ca="1" si="170"/>
        <v/>
      </c>
      <c r="W1263" s="611" t="str">
        <f t="shared" ca="1" si="171"/>
        <v>Page5_GMC_MCI, Ligne 5 [Page5_GMC_MCI!L8]  -</v>
      </c>
    </row>
    <row r="1264" spans="1:23">
      <c r="A1264" s="1443" t="str">
        <f>celladdr(Page5_GMC_MCI!L9)</f>
        <v>Page5_GMC_MCI!L9</v>
      </c>
      <c r="B1264" s="1456" t="s">
        <v>1086</v>
      </c>
      <c r="C1264" s="1451" t="b">
        <f>Page5_GMC_MCI!$L$9&lt;0</f>
        <v>0</v>
      </c>
      <c r="D1264" s="1454" t="b">
        <f>OR(AND(Page5_GMC_MCI!$L9&lt;&gt;0,Page5_GMC_MCI!$M9=0),AND(Page5_GMC_MCI!$M9&lt;&gt;0,Page5_GMC_MCI!$L9=0))</f>
        <v>0</v>
      </c>
      <c r="E1264" s="1454"/>
      <c r="F1264" s="1454"/>
      <c r="G1264" s="1444" t="str">
        <f t="shared" si="165"/>
        <v/>
      </c>
      <c r="H1264" s="1447" t="str">
        <f>IF(C1264=TRUE,Comments!$B$23,"")</f>
        <v/>
      </c>
      <c r="I1264" s="1446" t="str">
        <f>IF(D1264=TRUE,Comments!$B$24,"")</f>
        <v/>
      </c>
      <c r="J1264" s="1446"/>
      <c r="K1264" s="1452"/>
      <c r="N1264" s="611" t="str">
        <f>"CPTE # "&amp;Page5_GMC_MCI!$E$9&amp;"  "&amp;Page5_GMC_MCI!$C$9&amp;" - CHIFFRE D'AFFAIRES RÉALISÉ - AAD"</f>
        <v>CPTE # 405F  NE PAS UTILISER - CHIFFRE D'AFFAIRES RÉALISÉ - AAD</v>
      </c>
      <c r="O1264" s="611" t="str">
        <f t="shared" si="173"/>
        <v/>
      </c>
      <c r="P1264" s="611" t="str">
        <f t="shared" si="166"/>
        <v>Page5_GMC_MCI!L</v>
      </c>
      <c r="Q1264" s="611">
        <f t="shared" si="167"/>
        <v>9</v>
      </c>
      <c r="R1264" s="1447">
        <f t="shared" ca="1" si="168"/>
        <v>0</v>
      </c>
      <c r="S1264" s="1447">
        <f t="shared" ca="1" si="169"/>
        <v>0</v>
      </c>
      <c r="V1264" s="2557" t="str">
        <f t="shared" ca="1" si="170"/>
        <v/>
      </c>
      <c r="W1264" s="611" t="str">
        <f t="shared" ca="1" si="171"/>
        <v>Page5_GMC_MCI, Ligne 6 [Page5_GMC_MCI!L9]  -</v>
      </c>
    </row>
    <row r="1265" spans="1:23">
      <c r="A1265" s="1443" t="str">
        <f>celladdr(Page5_GMC_MCI!L10)</f>
        <v>Page5_GMC_MCI!L10</v>
      </c>
      <c r="B1265" s="1456" t="s">
        <v>1086</v>
      </c>
      <c r="C1265" s="1451" t="b">
        <f>Page5_GMC_MCI!$L$10&lt;0</f>
        <v>0</v>
      </c>
      <c r="D1265" s="1454" t="b">
        <f>OR(AND(Page5_GMC_MCI!$L10&lt;&gt;0,Page5_GMC_MCI!$M10=0),AND(Page5_GMC_MCI!$M10&lt;&gt;0,Page5_GMC_MCI!$L10=0))</f>
        <v>0</v>
      </c>
      <c r="E1265" s="1454"/>
      <c r="F1265" s="1454"/>
      <c r="G1265" s="1444" t="str">
        <f t="shared" si="165"/>
        <v/>
      </c>
      <c r="H1265" s="1447" t="str">
        <f>IF(C1265=TRUE,Comments!$B$23,"")</f>
        <v/>
      </c>
      <c r="I1265" s="1446" t="str">
        <f>IF(D1265=TRUE,Comments!$B$24,"")</f>
        <v/>
      </c>
      <c r="J1265" s="1446"/>
      <c r="K1265" s="1452"/>
      <c r="N1265" s="611" t="str">
        <f>"CPTE # "&amp;Page5_GMC_MCI!$E$10&amp;"  "&amp;Page5_GMC_MCI!$C$10&amp;" - CHIFFRE D'AFFAIRES RÉALISÉ - AAD"</f>
        <v>CPTE # 406F  NE PAS UTILISER - CHIFFRE D'AFFAIRES RÉALISÉ - AAD</v>
      </c>
      <c r="O1265" s="611" t="str">
        <f t="shared" si="173"/>
        <v/>
      </c>
      <c r="P1265" s="611" t="str">
        <f t="shared" si="166"/>
        <v>Page5_GMC_MCI!L</v>
      </c>
      <c r="Q1265" s="611">
        <f t="shared" si="167"/>
        <v>10</v>
      </c>
      <c r="R1265" s="1447">
        <f t="shared" ca="1" si="168"/>
        <v>0</v>
      </c>
      <c r="S1265" s="1447">
        <f t="shared" ca="1" si="169"/>
        <v>0</v>
      </c>
      <c r="V1265" s="2557" t="str">
        <f t="shared" ca="1" si="170"/>
        <v/>
      </c>
      <c r="W1265" s="611" t="str">
        <f t="shared" ca="1" si="171"/>
        <v>Page5_GMC_MCI, Ligne 7 [Page5_GMC_MCI!L10]  -</v>
      </c>
    </row>
    <row r="1266" spans="1:23">
      <c r="A1266" s="1443" t="str">
        <f>celladdr(Page5_GMC_MCI!L11)</f>
        <v>Page5_GMC_MCI!L11</v>
      </c>
      <c r="B1266" s="1456" t="s">
        <v>1086</v>
      </c>
      <c r="C1266" s="1451" t="b">
        <f>Page5_GMC_MCI!$L$11&lt;0</f>
        <v>0</v>
      </c>
      <c r="D1266" s="1454" t="b">
        <f>OR(AND(Page5_GMC_MCI!$L11&lt;&gt;0,Page5_GMC_MCI!$M11=0),AND(Page5_GMC_MCI!$M11&lt;&gt;0,Page5_GMC_MCI!$L11=0))</f>
        <v>0</v>
      </c>
      <c r="E1266" s="1454"/>
      <c r="F1266" s="1454"/>
      <c r="G1266" s="1444" t="str">
        <f t="shared" si="165"/>
        <v/>
      </c>
      <c r="H1266" s="1447" t="str">
        <f>IF(C1266=TRUE,Comments!$B$23,"")</f>
        <v/>
      </c>
      <c r="I1266" s="1446" t="str">
        <f>IF(D1266=TRUE,Comments!$B$24,"")</f>
        <v/>
      </c>
      <c r="J1266" s="1446"/>
      <c r="K1266" s="1452"/>
      <c r="N1266" s="611" t="str">
        <f>"CPTE # "&amp;Page5_GMC_MCI!$E$11&amp;"  "&amp;Page5_GMC_MCI!$C$11&amp;" - CHIFFRE D'AFFAIRES RÉALISÉ - AAD"</f>
        <v>CPTE # 407F  NE PAS UTILISER - CHIFFRE D'AFFAIRES RÉALISÉ - AAD</v>
      </c>
      <c r="O1266" s="611" t="str">
        <f t="shared" si="173"/>
        <v/>
      </c>
      <c r="P1266" s="611" t="str">
        <f t="shared" si="166"/>
        <v>Page5_GMC_MCI!L</v>
      </c>
      <c r="Q1266" s="611">
        <f t="shared" si="167"/>
        <v>11</v>
      </c>
      <c r="R1266" s="1447">
        <f t="shared" ca="1" si="168"/>
        <v>0</v>
      </c>
      <c r="S1266" s="1447">
        <f t="shared" ca="1" si="169"/>
        <v>0</v>
      </c>
      <c r="V1266" s="2557" t="str">
        <f t="shared" ca="1" si="170"/>
        <v/>
      </c>
      <c r="W1266" s="611" t="str">
        <f t="shared" ca="1" si="171"/>
        <v>Page5_GMC_MCI, Ligne 8 [Page5_GMC_MCI!L11]  -</v>
      </c>
    </row>
    <row r="1267" spans="1:23">
      <c r="A1267" s="1443" t="str">
        <f>celladdr(Page5_GMC_MCI!L12)</f>
        <v>Page5_GMC_MCI!L12</v>
      </c>
      <c r="B1267" s="1456" t="s">
        <v>1086</v>
      </c>
      <c r="C1267" s="1451" t="b">
        <f>Page5_GMC_MCI!$L$12&lt;0</f>
        <v>0</v>
      </c>
      <c r="D1267" s="1454" t="b">
        <f>OR(AND(Page5_GMC_MCI!$L12&lt;&gt;0,Page5_GMC_MCI!$M12=0),AND(Page5_GMC_MCI!$M12&lt;&gt;0,Page5_GMC_MCI!$L12=0))</f>
        <v>0</v>
      </c>
      <c r="E1267" s="1454"/>
      <c r="F1267" s="1454"/>
      <c r="G1267" s="1444" t="str">
        <f t="shared" si="165"/>
        <v/>
      </c>
      <c r="H1267" s="1447" t="str">
        <f>IF(C1267=TRUE,Comments!$B$23,"")</f>
        <v/>
      </c>
      <c r="I1267" s="1446" t="str">
        <f>IF(D1267=TRUE,Comments!$B$24,"")</f>
        <v/>
      </c>
      <c r="J1267" s="1446"/>
      <c r="K1267" s="1452"/>
      <c r="N1267" s="611" t="str">
        <f>"CPTE # "&amp;Page5_GMC_MCI!$E$12&amp;"  "&amp;Page5_GMC_MCI!$C$12&amp;" - CHIFFRE D'AFFAIRES RÉALISÉ - AAD"</f>
        <v>CPTE # 408F  NE PAS UTILISER - CHIFFRE D'AFFAIRES RÉALISÉ - AAD</v>
      </c>
      <c r="O1267" s="611" t="str">
        <f t="shared" si="173"/>
        <v/>
      </c>
      <c r="P1267" s="611" t="str">
        <f t="shared" si="166"/>
        <v>Page5_GMC_MCI!L</v>
      </c>
      <c r="Q1267" s="611">
        <f t="shared" si="167"/>
        <v>12</v>
      </c>
      <c r="R1267" s="1447">
        <f t="shared" ca="1" si="168"/>
        <v>0</v>
      </c>
      <c r="S1267" s="1447">
        <f t="shared" ca="1" si="169"/>
        <v>0</v>
      </c>
      <c r="V1267" s="2557" t="str">
        <f t="shared" ca="1" si="170"/>
        <v/>
      </c>
      <c r="W1267" s="611" t="str">
        <f t="shared" ca="1" si="171"/>
        <v>Page5_GMC_MCI, Ligne 9 [Page5_GMC_MCI!L12]  -</v>
      </c>
    </row>
    <row r="1268" spans="1:23">
      <c r="A1268" s="1443" t="str">
        <f>celladdr(Page5_GMC_MCI!L13)</f>
        <v>Page5_GMC_MCI!L13</v>
      </c>
      <c r="B1268" s="1456" t="s">
        <v>1086</v>
      </c>
      <c r="C1268" s="1451" t="b">
        <f>Page5_GMC_MCI!$L$13&lt;0</f>
        <v>0</v>
      </c>
      <c r="D1268" s="1454" t="b">
        <f>OR(AND(Page5_GMC_MCI!$L13&lt;&gt;0,Page5_GMC_MCI!$M13=0),AND(Page5_GMC_MCI!$M13&lt;&gt;0,Page5_GMC_MCI!$L13=0))</f>
        <v>0</v>
      </c>
      <c r="E1268" s="1454"/>
      <c r="F1268" s="1454"/>
      <c r="G1268" s="1444" t="str">
        <f t="shared" si="165"/>
        <v/>
      </c>
      <c r="H1268" s="1447" t="str">
        <f>IF(C1268=TRUE,Comments!$B$23,"")</f>
        <v/>
      </c>
      <c r="I1268" s="1446" t="str">
        <f>IF(D1268=TRUE,Comments!$B$24,"")</f>
        <v/>
      </c>
      <c r="J1268" s="1446"/>
      <c r="K1268" s="1452"/>
      <c r="N1268" s="611" t="str">
        <f>"CPTE # "&amp;Page5_GMC_MCI!$E$13&amp;"  "&amp;Page5_GMC_MCI!$C$13&amp;" - CHIFFRE D'AFFAIRES RÉALISÉ - AAD"</f>
        <v>CPTE # 409F  NE PAS UTILISER - CHIFFRE D'AFFAIRES RÉALISÉ - AAD</v>
      </c>
      <c r="O1268" s="611" t="str">
        <f t="shared" si="173"/>
        <v/>
      </c>
      <c r="P1268" s="611" t="str">
        <f t="shared" si="166"/>
        <v>Page5_GMC_MCI!L</v>
      </c>
      <c r="Q1268" s="611">
        <f t="shared" si="167"/>
        <v>13</v>
      </c>
      <c r="R1268" s="1447">
        <f t="shared" ca="1" si="168"/>
        <v>0</v>
      </c>
      <c r="S1268" s="1447">
        <f t="shared" ca="1" si="169"/>
        <v>0</v>
      </c>
      <c r="V1268" s="2557" t="str">
        <f t="shared" ca="1" si="170"/>
        <v/>
      </c>
      <c r="W1268" s="611" t="str">
        <f t="shared" ca="1" si="171"/>
        <v>Page5_GMC_MCI, Ligne 10 [Page5_GMC_MCI!L13]  -</v>
      </c>
    </row>
    <row r="1269" spans="1:23">
      <c r="A1269" s="1443" t="str">
        <f>celladdr(Page5_GMC_MCI!L14)</f>
        <v>Page5_GMC_MCI!L14</v>
      </c>
      <c r="B1269" s="1456" t="s">
        <v>1086</v>
      </c>
      <c r="C1269" s="1451" t="b">
        <f>Page5_GMC_MCI!$L$14&lt;0</f>
        <v>0</v>
      </c>
      <c r="D1269" s="1454" t="b">
        <f>OR(AND(Page5_GMC_MCI!$L14&lt;&gt;0,Page5_GMC_MCI!$M14=0),AND(Page5_GMC_MCI!$M14&lt;&gt;0,Page5_GMC_MCI!$L14=0))</f>
        <v>0</v>
      </c>
      <c r="E1269" s="1454"/>
      <c r="F1269" s="1454"/>
      <c r="G1269" s="1444" t="str">
        <f t="shared" si="165"/>
        <v/>
      </c>
      <c r="H1269" s="1447" t="str">
        <f>IF(C1269=TRUE,Comments!$B$23,"")</f>
        <v/>
      </c>
      <c r="I1269" s="1446" t="str">
        <f>IF(D1269=TRUE,Comments!$B$24,"")</f>
        <v/>
      </c>
      <c r="J1269" s="1446"/>
      <c r="K1269" s="1452"/>
      <c r="N1269" s="611" t="str">
        <f>"CPTE # "&amp;Page5_GMC_MCI!$E$14&amp;"  "&amp;Page5_GMC_MCI!$C$14&amp;" - CHIFFRE D'AFFAIRES RÉALISÉ - AAD"</f>
        <v>CPTE # 410F  NE PAS UTILISER - CHIFFRE D'AFFAIRES RÉALISÉ - AAD</v>
      </c>
      <c r="O1269" s="611" t="str">
        <f t="shared" si="173"/>
        <v/>
      </c>
      <c r="P1269" s="611" t="str">
        <f t="shared" si="166"/>
        <v>Page5_GMC_MCI!L</v>
      </c>
      <c r="Q1269" s="611">
        <f t="shared" si="167"/>
        <v>14</v>
      </c>
      <c r="R1269" s="1447">
        <f t="shared" ca="1" si="168"/>
        <v>0</v>
      </c>
      <c r="S1269" s="1447">
        <f t="shared" ca="1" si="169"/>
        <v>0</v>
      </c>
      <c r="V1269" s="2557" t="str">
        <f t="shared" ca="1" si="170"/>
        <v/>
      </c>
      <c r="W1269" s="611" t="str">
        <f t="shared" ca="1" si="171"/>
        <v>Page5_GMC_MCI, Ligne 11 [Page5_GMC_MCI!L14]  -</v>
      </c>
    </row>
    <row r="1270" spans="1:23">
      <c r="A1270" s="1443" t="str">
        <f>celladdr(Page5_GMC_MCI!L15)</f>
        <v>Page5_GMC_MCI!L15</v>
      </c>
      <c r="B1270" s="1456" t="s">
        <v>1086</v>
      </c>
      <c r="C1270" s="1451" t="b">
        <f>Page5_GMC_MCI!$L$15&lt;0</f>
        <v>0</v>
      </c>
      <c r="D1270" s="1454" t="b">
        <f>OR(AND(Page5_GMC_MCI!$L15&lt;&gt;0,Page5_GMC_MCI!$M15=0),AND(Page5_GMC_MCI!$M15&lt;&gt;0,Page5_GMC_MCI!$L15=0))</f>
        <v>0</v>
      </c>
      <c r="E1270" s="1454"/>
      <c r="F1270" s="1454"/>
      <c r="G1270" s="1444" t="str">
        <f t="shared" si="165"/>
        <v/>
      </c>
      <c r="H1270" s="1447" t="str">
        <f>IF(C1270=TRUE,Comments!$B$23,"")</f>
        <v/>
      </c>
      <c r="I1270" s="1446" t="str">
        <f>IF(D1270=TRUE,Comments!$B$24,"")</f>
        <v/>
      </c>
      <c r="J1270" s="1446"/>
      <c r="K1270" s="1452"/>
      <c r="N1270" s="611" t="str">
        <f>"CPTE # "&amp;Page5_GMC_MCI!$E$15&amp;"  "&amp;Page5_GMC_MCI!$C$15&amp;" - CHIFFRE D'AFFAIRES RÉALISÉ - AAD"</f>
        <v>CPTE # 411F  NE PAS UTILISER - CHIFFRE D'AFFAIRES RÉALISÉ - AAD</v>
      </c>
      <c r="O1270" s="611" t="str">
        <f t="shared" si="173"/>
        <v/>
      </c>
      <c r="P1270" s="611" t="str">
        <f t="shared" si="166"/>
        <v>Page5_GMC_MCI!L</v>
      </c>
      <c r="Q1270" s="611">
        <f t="shared" si="167"/>
        <v>15</v>
      </c>
      <c r="R1270" s="1447">
        <f t="shared" ca="1" si="168"/>
        <v>0</v>
      </c>
      <c r="S1270" s="1447">
        <f t="shared" ca="1" si="169"/>
        <v>0</v>
      </c>
      <c r="V1270" s="2557" t="str">
        <f t="shared" ca="1" si="170"/>
        <v/>
      </c>
      <c r="W1270" s="611" t="str">
        <f t="shared" ca="1" si="171"/>
        <v>Page5_GMC_MCI, Ligne 12 [Page5_GMC_MCI!L15]  -</v>
      </c>
    </row>
    <row r="1271" spans="1:23">
      <c r="A1271" s="1443" t="str">
        <f>celladdr(Page5_GMC_MCI!L16)</f>
        <v>Page5_GMC_MCI!L16</v>
      </c>
      <c r="B1271" s="1456" t="s">
        <v>1086</v>
      </c>
      <c r="C1271" s="1451" t="b">
        <f>Page5_GMC_MCI!$L$16&lt;0</f>
        <v>0</v>
      </c>
      <c r="D1271" s="1454" t="b">
        <f>OR(AND(Page5_GMC_MCI!$L16&lt;&gt;0,Page5_GMC_MCI!$M16=0),AND(Page5_GMC_MCI!$M16&lt;&gt;0,Page5_GMC_MCI!$L16=0))</f>
        <v>0</v>
      </c>
      <c r="E1271" s="1454"/>
      <c r="F1271" s="1454"/>
      <c r="G1271" s="1444" t="str">
        <f t="shared" si="165"/>
        <v/>
      </c>
      <c r="H1271" s="1447" t="str">
        <f>IF(C1271=TRUE,Comments!$B$23,"")</f>
        <v/>
      </c>
      <c r="I1271" s="1446" t="str">
        <f>IF(D1271=TRUE,Comments!$B$24,"")</f>
        <v/>
      </c>
      <c r="J1271" s="1446"/>
      <c r="K1271" s="1452"/>
      <c r="N1271" s="611" t="str">
        <f>"CPTE # "&amp;Page5_GMC_MCI!$E$16&amp;"  "&amp;Page5_GMC_MCI!$C$16&amp;" - CHIFFRE D'AFFAIRES RÉALISÉ - AAD"</f>
        <v>CPTE # 412F  NE PAS UTILISER - CHIFFRE D'AFFAIRES RÉALISÉ - AAD</v>
      </c>
      <c r="O1271" s="611" t="str">
        <f t="shared" si="173"/>
        <v/>
      </c>
      <c r="P1271" s="611" t="str">
        <f t="shared" si="166"/>
        <v>Page5_GMC_MCI!L</v>
      </c>
      <c r="Q1271" s="611">
        <f t="shared" si="167"/>
        <v>16</v>
      </c>
      <c r="R1271" s="1447">
        <f t="shared" ca="1" si="168"/>
        <v>0</v>
      </c>
      <c r="S1271" s="1447">
        <f t="shared" ca="1" si="169"/>
        <v>0</v>
      </c>
      <c r="V1271" s="2557" t="str">
        <f t="shared" ca="1" si="170"/>
        <v/>
      </c>
      <c r="W1271" s="611" t="str">
        <f t="shared" ca="1" si="171"/>
        <v>Page5_GMC_MCI, Ligne 13 [Page5_GMC_MCI!L16]  -</v>
      </c>
    </row>
    <row r="1272" spans="1:23">
      <c r="A1272" s="1443" t="str">
        <f>celladdr(Page5_GMC_MCI!L17)</f>
        <v>Page5_GMC_MCI!L17</v>
      </c>
      <c r="B1272" s="1456" t="s">
        <v>1086</v>
      </c>
      <c r="C1272" s="1451" t="b">
        <f>Page5_GMC_MCI!$L$17&lt;0</f>
        <v>0</v>
      </c>
      <c r="D1272" s="1454" t="b">
        <f>OR(AND(Page5_GMC_MCI!$L17&lt;&gt;0,Page5_GMC_MCI!$M17=0),AND(Page5_GMC_MCI!$M17&lt;&gt;0,Page5_GMC_MCI!$L17=0))</f>
        <v>0</v>
      </c>
      <c r="E1272" s="1454"/>
      <c r="F1272" s="1454"/>
      <c r="G1272" s="1444" t="str">
        <f t="shared" si="165"/>
        <v/>
      </c>
      <c r="H1272" s="1447" t="str">
        <f>IF(C1272=TRUE,Comments!$B$23,"")</f>
        <v/>
      </c>
      <c r="I1272" s="1446" t="str">
        <f>IF(D1272=TRUE,Comments!$B$24,"")</f>
        <v/>
      </c>
      <c r="J1272" s="1446"/>
      <c r="K1272" s="1452"/>
      <c r="N1272" s="611" t="str">
        <f>"CPTE # "&amp;Page5_GMC_MCI!$E$17&amp;"  "&amp;Page5_GMC_MCI!$C$17&amp;" - CHIFFRE D'AFFAIRES RÉALISÉ - AAD"</f>
        <v>CPTE # 413F  NE PAS UTILISER - CHIFFRE D'AFFAIRES RÉALISÉ - AAD</v>
      </c>
      <c r="O1272" s="611" t="str">
        <f t="shared" si="173"/>
        <v/>
      </c>
      <c r="P1272" s="611" t="str">
        <f t="shared" si="166"/>
        <v>Page5_GMC_MCI!L</v>
      </c>
      <c r="Q1272" s="611">
        <f t="shared" si="167"/>
        <v>17</v>
      </c>
      <c r="R1272" s="1447">
        <f t="shared" ca="1" si="168"/>
        <v>0</v>
      </c>
      <c r="S1272" s="1447">
        <f t="shared" ca="1" si="169"/>
        <v>0</v>
      </c>
      <c r="V1272" s="2557" t="str">
        <f t="shared" ca="1" si="170"/>
        <v/>
      </c>
      <c r="W1272" s="611" t="str">
        <f t="shared" ca="1" si="171"/>
        <v>Page5_GMC_MCI, Ligne 14 [Page5_GMC_MCI!L17]  -</v>
      </c>
    </row>
    <row r="1273" spans="1:23">
      <c r="A1273" s="1443" t="str">
        <f>celladdr(Page5_GMC_MCI!L18)</f>
        <v>Page5_GMC_MCI!L18</v>
      </c>
      <c r="B1273" s="1456" t="s">
        <v>1086</v>
      </c>
      <c r="C1273" s="1451" t="b">
        <f>Page5_GMC_MCI!$L$18&lt;0</f>
        <v>0</v>
      </c>
      <c r="D1273" s="1454" t="b">
        <f>OR(AND(Page5_GMC_MCI!$L18&lt;&gt;0,Page5_GMC_MCI!$M18=0),AND(Page5_GMC_MCI!$M18&lt;&gt;0,Page5_GMC_MCI!$L18=0))</f>
        <v>0</v>
      </c>
      <c r="E1273" s="1454"/>
      <c r="F1273" s="1454"/>
      <c r="G1273" s="1444" t="str">
        <f t="shared" si="165"/>
        <v/>
      </c>
      <c r="H1273" s="1447" t="str">
        <f>IF(C1273=TRUE,Comments!$B$23,"")</f>
        <v/>
      </c>
      <c r="I1273" s="1446" t="str">
        <f>IF(D1273=TRUE,Comments!$B$24,"")</f>
        <v/>
      </c>
      <c r="J1273" s="1446"/>
      <c r="K1273" s="1452"/>
      <c r="N1273" s="611" t="str">
        <f>"CPTE # "&amp;Page5_GMC_MCI!$E$18&amp;"  "&amp;Page5_GMC_MCI!$C$18&amp;" - CHIFFRE D'AFFAIRES RÉALISÉ - AAD"</f>
        <v>CPTE # 414F  NE PAS UTILISER - CHIFFRE D'AFFAIRES RÉALISÉ - AAD</v>
      </c>
      <c r="O1273" s="611" t="str">
        <f t="shared" si="173"/>
        <v/>
      </c>
      <c r="P1273" s="611" t="str">
        <f t="shared" si="166"/>
        <v>Page5_GMC_MCI!L</v>
      </c>
      <c r="Q1273" s="611">
        <f t="shared" si="167"/>
        <v>18</v>
      </c>
      <c r="R1273" s="1447">
        <f t="shared" ca="1" si="168"/>
        <v>0</v>
      </c>
      <c r="S1273" s="1447">
        <f t="shared" ca="1" si="169"/>
        <v>0</v>
      </c>
      <c r="V1273" s="2557" t="str">
        <f t="shared" ca="1" si="170"/>
        <v/>
      </c>
      <c r="W1273" s="611" t="str">
        <f t="shared" ca="1" si="171"/>
        <v>Page5_GMC_MCI, Ligne 15 [Page5_GMC_MCI!L18]  -</v>
      </c>
    </row>
    <row r="1274" spans="1:23">
      <c r="A1274" s="1443" t="str">
        <f>celladdr(Page5_GMC_MCI!L19)</f>
        <v>Page5_GMC_MCI!L19</v>
      </c>
      <c r="B1274" s="1456" t="s">
        <v>1086</v>
      </c>
      <c r="C1274" s="1451" t="b">
        <f>Page5_GMC_MCI!$L$19&lt;0</f>
        <v>0</v>
      </c>
      <c r="D1274" s="1454" t="b">
        <f>OR(AND(Page5_GMC_MCI!$L19&lt;&gt;0,Page5_GMC_MCI!$M19=0),AND(Page5_GMC_MCI!$M19&lt;&gt;0,Page5_GMC_MCI!$L19=0))</f>
        <v>0</v>
      </c>
      <c r="E1274" s="1454"/>
      <c r="F1274" s="1454"/>
      <c r="G1274" s="1444" t="str">
        <f t="shared" si="165"/>
        <v/>
      </c>
      <c r="H1274" s="1447" t="str">
        <f>IF(C1274=TRUE,Comments!$B$23,"")</f>
        <v/>
      </c>
      <c r="I1274" s="1446" t="str">
        <f>IF(D1274=TRUE,Comments!$B$24,"")</f>
        <v/>
      </c>
      <c r="J1274" s="1446"/>
      <c r="K1274" s="1452"/>
      <c r="N1274" s="611" t="str">
        <f>"CPTE # "&amp;Page5_GMC_MCI!$E$19&amp;"  "&amp;Page5_GMC_MCI!$C$19&amp;" - CHIFFRE D'AFFAIRES RÉALISÉ - AAD"</f>
        <v>CPTE # 415F  NE PAS UTILISER - CHIFFRE D'AFFAIRES RÉALISÉ - AAD</v>
      </c>
      <c r="O1274" s="611" t="str">
        <f t="shared" si="173"/>
        <v/>
      </c>
      <c r="P1274" s="611" t="str">
        <f t="shared" si="166"/>
        <v>Page5_GMC_MCI!L</v>
      </c>
      <c r="Q1274" s="611">
        <f t="shared" si="167"/>
        <v>19</v>
      </c>
      <c r="R1274" s="1447">
        <f t="shared" ca="1" si="168"/>
        <v>0</v>
      </c>
      <c r="S1274" s="1447">
        <f t="shared" ca="1" si="169"/>
        <v>0</v>
      </c>
      <c r="V1274" s="2557" t="str">
        <f t="shared" ca="1" si="170"/>
        <v/>
      </c>
      <c r="W1274" s="611" t="str">
        <f t="shared" ca="1" si="171"/>
        <v>Page5_GMC_MCI, Ligne 16 [Page5_GMC_MCI!L19]  -</v>
      </c>
    </row>
    <row r="1275" spans="1:23">
      <c r="A1275" s="1443" t="str">
        <f>celladdr(Page5_GMC_MCI!L20)</f>
        <v>Page5_GMC_MCI!L20</v>
      </c>
      <c r="B1275" s="1456" t="s">
        <v>1086</v>
      </c>
      <c r="C1275" s="1451" t="b">
        <f>Page5_GMC_MCI!$L$20&lt;0</f>
        <v>0</v>
      </c>
      <c r="D1275" s="1454"/>
      <c r="E1275" s="1454"/>
      <c r="F1275" s="1454"/>
      <c r="G1275" s="1444" t="str">
        <f t="shared" si="165"/>
        <v/>
      </c>
      <c r="H1275" s="1447" t="str">
        <f>IF(C1275=TRUE,Comments!$B$23,"")</f>
        <v/>
      </c>
      <c r="I1275" s="1446"/>
      <c r="J1275" s="1446"/>
      <c r="K1275" s="1452"/>
      <c r="N1275" s="611" t="str">
        <f>"CPTE # "&amp;Page5_GMC_MCI!$E$20&amp;"  "&amp;Page5_GMC_MCI!$C$20&amp;" - CHIFFRE D'AFFAIRES RÉALISÉ - AAD"</f>
        <v>CPTE # 416F  POUR USAGE FUTUR - CHIFFRE D'AFFAIRES RÉALISÉ - AAD</v>
      </c>
      <c r="O1275" s="611" t="str">
        <f t="shared" si="173"/>
        <v/>
      </c>
      <c r="P1275" s="611" t="str">
        <f t="shared" si="166"/>
        <v>Page5_GMC_MCI!L</v>
      </c>
      <c r="Q1275" s="611">
        <f t="shared" si="167"/>
        <v>20</v>
      </c>
      <c r="R1275" s="1447">
        <f t="shared" ca="1" si="168"/>
        <v>0</v>
      </c>
      <c r="S1275" s="1447">
        <f t="shared" ca="1" si="169"/>
        <v>0</v>
      </c>
      <c r="V1275" s="2557" t="str">
        <f t="shared" ca="1" si="170"/>
        <v/>
      </c>
      <c r="W1275" s="611" t="str">
        <f t="shared" ca="1" si="171"/>
        <v>Page5_GMC_MCI, Ligne 17 [Page5_GMC_MCI!L20]  -</v>
      </c>
    </row>
    <row r="1276" spans="1:23">
      <c r="A1276" s="1443" t="str">
        <f>celladdr(Page5_GMC_MCI!L21)</f>
        <v>Page5_GMC_MCI!L21</v>
      </c>
      <c r="B1276" s="1456" t="s">
        <v>1086</v>
      </c>
      <c r="C1276" s="1451" t="b">
        <f>Page5_GMC_MCI!$L$21&lt;0</f>
        <v>0</v>
      </c>
      <c r="D1276" s="1454" t="b">
        <f>OR(AND(Page5_GMC_MCI!$L21&lt;&gt;0,Page5_GMC_MCI!$M21=0),AND(Page5_GMC_MCI!$M21&lt;&gt;0,Page5_GMC_MCI!$L21=0))</f>
        <v>0</v>
      </c>
      <c r="E1276" s="1454"/>
      <c r="F1276" s="1454"/>
      <c r="G1276" s="1444" t="str">
        <f t="shared" si="165"/>
        <v/>
      </c>
      <c r="H1276" s="1447" t="str">
        <f>IF(C1276=TRUE,Comments!$B$23,"")</f>
        <v/>
      </c>
      <c r="I1276" s="1446" t="str">
        <f>IF(D1276=TRUE,Comments!$B$24,"")</f>
        <v/>
      </c>
      <c r="J1276" s="1446"/>
      <c r="K1276" s="1452"/>
      <c r="N1276" s="611" t="str">
        <f>"CPTE # "&amp;Page5_GMC_MCI!$E$21&amp;"  "&amp;Page5_GMC_MCI!$C$21&amp;" - CHIFFRE D'AFFAIRES RÉALISÉ - AAD"</f>
        <v>CPTE # 417F  NE PAS UTILISER - CHIFFRE D'AFFAIRES RÉALISÉ - AAD</v>
      </c>
      <c r="O1276" s="611" t="str">
        <f t="shared" si="173"/>
        <v/>
      </c>
      <c r="P1276" s="611" t="str">
        <f t="shared" si="166"/>
        <v>Page5_GMC_MCI!L</v>
      </c>
      <c r="Q1276" s="611">
        <f t="shared" si="167"/>
        <v>21</v>
      </c>
      <c r="R1276" s="1447">
        <f t="shared" ca="1" si="168"/>
        <v>0</v>
      </c>
      <c r="S1276" s="1447">
        <f t="shared" ca="1" si="169"/>
        <v>0</v>
      </c>
      <c r="V1276" s="2557" t="str">
        <f t="shared" ca="1" si="170"/>
        <v/>
      </c>
      <c r="W1276" s="611" t="str">
        <f t="shared" ca="1" si="171"/>
        <v>Page5_GMC_MCI, Ligne 18 [Page5_GMC_MCI!L21]  -</v>
      </c>
    </row>
    <row r="1277" spans="1:23">
      <c r="A1277" s="1443" t="str">
        <f>celladdr(Page5_GMC_MCI!L22)</f>
        <v>Page5_GMC_MCI!L22</v>
      </c>
      <c r="B1277" s="1456" t="s">
        <v>1086</v>
      </c>
      <c r="C1277" s="1451" t="b">
        <f>Page5_GMC_MCI!$L$22&lt;0</f>
        <v>0</v>
      </c>
      <c r="D1277" s="1454" t="b">
        <f>OR(AND(Page5_GMC_MCI!$L22&lt;&gt;0,Page5_GMC_MCI!$M22=0),AND(Page5_GMC_MCI!$M22&lt;&gt;0,Page5_GMC_MCI!$L22=0))</f>
        <v>0</v>
      </c>
      <c r="E1277" s="1454"/>
      <c r="F1277" s="1454"/>
      <c r="G1277" s="1444" t="str">
        <f t="shared" si="165"/>
        <v/>
      </c>
      <c r="H1277" s="1447" t="str">
        <f>IF(C1277=TRUE,Comments!$B$23,"")</f>
        <v/>
      </c>
      <c r="I1277" s="1446" t="str">
        <f>IF(D1277=TRUE,Comments!$B$24,"")</f>
        <v/>
      </c>
      <c r="J1277" s="1446"/>
      <c r="K1277" s="1452"/>
      <c r="N1277" s="611" t="str">
        <f>"CPTE # "&amp;Page5_GMC_MCI!$E$22&amp;"  "&amp;Page5_GMC_MCI!$C$22&amp;" - CHIFFRE D'AFFAIRES RÉALISÉ - AAD"</f>
        <v>CPTE # 418F  AUTRES GMC - CHIFFRE D'AFFAIRES RÉALISÉ - AAD</v>
      </c>
      <c r="O1277" s="611" t="str">
        <f t="shared" si="173"/>
        <v/>
      </c>
      <c r="P1277" s="611" t="str">
        <f t="shared" si="166"/>
        <v>Page5_GMC_MCI!L</v>
      </c>
      <c r="Q1277" s="611">
        <f t="shared" si="167"/>
        <v>22</v>
      </c>
      <c r="R1277" s="1447">
        <f t="shared" ca="1" si="168"/>
        <v>0</v>
      </c>
      <c r="S1277" s="1447">
        <f t="shared" ca="1" si="169"/>
        <v>0</v>
      </c>
      <c r="V1277" s="2557" t="str">
        <f t="shared" ca="1" si="170"/>
        <v/>
      </c>
      <c r="W1277" s="611" t="str">
        <f t="shared" ca="1" si="171"/>
        <v>Page5_GMC_MCI, Ligne 19 [Page5_GMC_MCI!L22]  -</v>
      </c>
    </row>
    <row r="1278" spans="1:23">
      <c r="A1278" s="1443" t="str">
        <f>celladdr(Page5_GMC_MCI!L23)</f>
        <v>Page5_GMC_MCI!L23</v>
      </c>
      <c r="B1278" s="1444" t="s">
        <v>1086</v>
      </c>
      <c r="C1278" s="1451"/>
      <c r="D1278" s="1454"/>
      <c r="E1278" s="1454"/>
      <c r="F1278" s="1454"/>
      <c r="G1278" s="1444" t="str">
        <f t="shared" si="165"/>
        <v/>
      </c>
      <c r="H1278" s="1447" t="str">
        <f>IF(C1278=TRUE,Comments!$B$26,"")</f>
        <v/>
      </c>
      <c r="I1278" s="1446" t="str">
        <f>IF(D1278=TRUE,Comments!$B$24,"")</f>
        <v/>
      </c>
      <c r="J1278" s="1446"/>
      <c r="K1278" s="1452"/>
      <c r="O1278" s="611" t="str">
        <f t="shared" si="173"/>
        <v/>
      </c>
      <c r="P1278" s="611" t="str">
        <f t="shared" si="166"/>
        <v>Page5_GMC_MCI!L</v>
      </c>
      <c r="Q1278" s="611">
        <f t="shared" si="167"/>
        <v>23</v>
      </c>
      <c r="R1278" s="1447">
        <f t="shared" ca="1" si="168"/>
        <v>0</v>
      </c>
      <c r="S1278" s="1447">
        <f t="shared" ca="1" si="169"/>
        <v>0</v>
      </c>
      <c r="V1278" s="2557" t="str">
        <f t="shared" ca="1" si="170"/>
        <v/>
      </c>
      <c r="W1278" s="611" t="str">
        <f t="shared" ca="1" si="171"/>
        <v>Page5_GMC_MCI, Ligne 20 [Page5_GMC_MCI!L23]  -</v>
      </c>
    </row>
    <row r="1279" spans="1:23">
      <c r="A1279" s="1443" t="str">
        <f>celladdr(Page5_GMC_MCI!L24)</f>
        <v>Page5_GMC_MCI!L24</v>
      </c>
      <c r="B1279" s="1456" t="s">
        <v>1086</v>
      </c>
      <c r="C1279" s="1451" t="b">
        <f>Page5_GMC_MCI!$L$24&lt;0</f>
        <v>0</v>
      </c>
      <c r="D1279" s="1454" t="b">
        <f>OR(AND(Page5_GMC_MCI!$L24&lt;&gt;0,Page5_GMC_MCI!$M24=0),AND(Page5_GMC_MCI!$M24&lt;&gt;0,Page5_GMC_MCI!$L24=0))</f>
        <v>0</v>
      </c>
      <c r="E1279" s="1454"/>
      <c r="F1279" s="1454"/>
      <c r="G1279" s="1444" t="str">
        <f t="shared" si="165"/>
        <v/>
      </c>
      <c r="H1279" s="1447" t="str">
        <f>IF(C1279=TRUE,Comments!$B$23,"")</f>
        <v/>
      </c>
      <c r="I1279" s="1446" t="str">
        <f>IF(D1279=TRUE,Comments!$B$24,"")</f>
        <v/>
      </c>
      <c r="J1279" s="1446"/>
      <c r="K1279" s="1452"/>
      <c r="N1279" s="611" t="str">
        <f>"CPTE # "&amp;Page5_GMC_MCI!$E$24&amp;"  "&amp;Page5_GMC_MCI!$C$24&amp;" - CHIFFRE D'AFFAIRES RÉALISÉ - AAD"</f>
        <v>CPTE # 419F  MÉMO* VENTES INTERNET VOITURES - CHIFFRE D'AFFAIRES RÉALISÉ - AAD</v>
      </c>
      <c r="O1279" s="611" t="str">
        <f t="shared" si="173"/>
        <v/>
      </c>
      <c r="P1279" s="611" t="str">
        <f t="shared" si="166"/>
        <v>Page5_GMC_MCI!L</v>
      </c>
      <c r="Q1279" s="611">
        <f t="shared" si="167"/>
        <v>24</v>
      </c>
      <c r="R1279" s="1447">
        <f t="shared" ca="1" si="168"/>
        <v>0</v>
      </c>
      <c r="S1279" s="1447">
        <f t="shared" ca="1" si="169"/>
        <v>0</v>
      </c>
      <c r="V1279" s="2557" t="str">
        <f t="shared" ca="1" si="170"/>
        <v/>
      </c>
      <c r="W1279" s="611" t="str">
        <f t="shared" ca="1" si="171"/>
        <v>Page5_GMC_MCI, Ligne 21 [Page5_GMC_MCI!L24]  -</v>
      </c>
    </row>
    <row r="1280" spans="1:23">
      <c r="A1280" s="1443" t="str">
        <f>celladdr(Page5_GMC_MCI!L25)</f>
        <v>Page5_GMC_MCI!L25</v>
      </c>
      <c r="B1280" s="1456" t="s">
        <v>1086</v>
      </c>
      <c r="C1280" s="1451" t="b">
        <f>Page5_GMC_MCI!$L$25&lt;0</f>
        <v>0</v>
      </c>
      <c r="D1280" s="1454" t="b">
        <f>OR(AND(Page5_GMC_MCI!$L25&lt;&gt;0,Page5_GMC_MCI!$M25=0),AND(Page5_GMC_MCI!$M25&lt;&gt;0,Page5_GMC_MCI!$L25=0))</f>
        <v>0</v>
      </c>
      <c r="E1280" s="1454"/>
      <c r="F1280" s="1454"/>
      <c r="G1280" s="1444" t="str">
        <f t="shared" si="165"/>
        <v/>
      </c>
      <c r="H1280" s="1447" t="str">
        <f>IF(C1280=TRUE,Comments!$B$23,"")</f>
        <v/>
      </c>
      <c r="I1280" s="1446" t="str">
        <f>IF(D1280=TRUE,Comments!$B$24,"")</f>
        <v/>
      </c>
      <c r="J1280" s="1446"/>
      <c r="K1280" s="1452"/>
      <c r="N1280" s="611" t="str">
        <f>"CPTE # "&amp;Page5_GMC_MCI!$E$25&amp;"  "&amp;Page5_GMC_MCI!$C$25&amp;" - CHIFFRE D'AFFAIRES RÉALISÉ - AAD"</f>
        <v>CPTE # DE PG PARCS  TOTAL PARCS - VOITURES - CHIFFRE D'AFFAIRES RÉALISÉ - AAD</v>
      </c>
      <c r="O1280" s="611" t="str">
        <f t="shared" si="173"/>
        <v/>
      </c>
      <c r="P1280" s="611" t="str">
        <f t="shared" si="166"/>
        <v>Page5_GMC_MCI!L</v>
      </c>
      <c r="Q1280" s="611">
        <f t="shared" si="167"/>
        <v>25</v>
      </c>
      <c r="R1280" s="1447">
        <f t="shared" ca="1" si="168"/>
        <v>0</v>
      </c>
      <c r="S1280" s="1447">
        <f t="shared" ca="1" si="169"/>
        <v>0</v>
      </c>
      <c r="V1280" s="2557" t="str">
        <f t="shared" ca="1" si="170"/>
        <v/>
      </c>
      <c r="W1280" s="611" t="str">
        <f t="shared" ca="1" si="171"/>
        <v>Page5_GMC_MCI, Ligne 22 [Page5_GMC_MCI!L25]  -</v>
      </c>
    </row>
    <row r="1281" spans="1:23">
      <c r="A1281" s="1443" t="str">
        <f>celladdr(Page5_GMC_MCI!N25)</f>
        <v>Page5_GMC_MCI!N25</v>
      </c>
      <c r="B1281" s="1456" t="s">
        <v>1086</v>
      </c>
      <c r="C1281" s="1451"/>
      <c r="D1281" s="1454"/>
      <c r="E1281" s="1454"/>
      <c r="F1281" s="1454"/>
      <c r="G1281" s="1444" t="str">
        <f t="shared" si="165"/>
        <v/>
      </c>
      <c r="I1281" s="1446"/>
      <c r="J1281" s="1446"/>
      <c r="K1281" s="1452"/>
      <c r="N1281" s="611" t="str">
        <f>"CPTE # "&amp;Page5_GMC_MCI!$E$25&amp;"  "&amp;Page5_GMC_MCI!$C$25&amp;" - PROFIT BRUT - AAD"</f>
        <v>CPTE # DE PG PARCS  TOTAL PARCS - VOITURES - PROFIT BRUT - AAD</v>
      </c>
      <c r="P1281" s="611" t="str">
        <f t="shared" si="166"/>
        <v>Page5_GMC_MCI!N</v>
      </c>
      <c r="Q1281" s="611">
        <f t="shared" si="167"/>
        <v>25</v>
      </c>
      <c r="R1281" s="1447">
        <f t="shared" ca="1" si="168"/>
        <v>0</v>
      </c>
      <c r="S1281" s="1447">
        <f t="shared" ca="1" si="169"/>
        <v>0</v>
      </c>
      <c r="V1281" s="2557" t="str">
        <f t="shared" ca="1" si="170"/>
        <v/>
      </c>
      <c r="W1281" s="611" t="str">
        <f t="shared" ca="1" si="171"/>
        <v>Page5_GMC_MCI, Ligne 22 [Page5_GMC_MCI!N25]  -</v>
      </c>
    </row>
    <row r="1282" spans="1:23">
      <c r="A1282" s="1443" t="str">
        <f>celladdr(Page5_GMC_MCI!L26)</f>
        <v>Page5_GMC_MCI!L26</v>
      </c>
      <c r="B1282" s="1456" t="s">
        <v>1086</v>
      </c>
      <c r="C1282" s="1451" t="b">
        <f>Page5_GMC_MCI!$L$26&lt;0</f>
        <v>0</v>
      </c>
      <c r="D1282" s="1454" t="b">
        <f>OR(AND(Page5_GMC_MCI!$L26&lt;&gt;0,Page5_GMC_MCI!$M26=0),AND(Page5_GMC_MCI!$M26&lt;&gt;0,Page5_GMC_MCI!$L26=0))</f>
        <v>0</v>
      </c>
      <c r="E1282" s="1454"/>
      <c r="F1282" s="1454"/>
      <c r="G1282" s="1444" t="str">
        <f t="shared" ref="G1282:G1345" si="174">IF(H1282&amp;I1282&amp;J1282&amp;K1282&lt;&gt;"","No.de ref. du commentaire.: "&amp;W1282&amp;" "&amp;N1282&amp;" "&amp;H1282&amp;I1282&amp;IF(OR(C1282=TRUE,D1282=TRUE),"",J1282&amp;K1282&amp;V1282),"")</f>
        <v/>
      </c>
      <c r="H1282" s="1447" t="str">
        <f>IF(C1282=TRUE,Comments!$B$23,"")</f>
        <v/>
      </c>
      <c r="I1282" s="1446" t="str">
        <f>IF(D1282=TRUE,Comments!$B$24,"")</f>
        <v/>
      </c>
      <c r="J1282" s="1446"/>
      <c r="K1282" s="1452"/>
      <c r="N1282" s="611" t="str">
        <f>"CPTE # "&amp;Page5_GMC_MCI!$E$26&amp;"  "&amp;Page5_GMC_MCI!$C$26&amp;" - CHIFFRE D'AFFAIRES RÉALISÉ - AAD"</f>
        <v>CPTE # 421F  TOTAL INTERNE - VOITURES - CHIFFRE D'AFFAIRES RÉALISÉ - AAD</v>
      </c>
      <c r="O1282" s="611" t="str">
        <f>IF(A1282=A1280,"TRUE","")</f>
        <v/>
      </c>
      <c r="P1282" s="611" t="str">
        <f t="shared" ref="P1282:P1345" si="175">LEFT(A1282,FIND("!",A1282)+1)</f>
        <v>Page5_GMC_MCI!L</v>
      </c>
      <c r="Q1282" s="611">
        <f t="shared" ref="Q1282:Q1345" si="176">VALUE(RIGHT(A1282,LEN(A1282)-FIND("!",A1282)-1))</f>
        <v>26</v>
      </c>
      <c r="R1282" s="1447">
        <f t="shared" ref="R1282:R1345" ca="1" si="177">IF(E1282=TRUE,INDIRECT("Comments!$D$"&amp;T1282),0)</f>
        <v>0</v>
      </c>
      <c r="S1282" s="1447">
        <f t="shared" ref="S1282:S1345" ca="1" si="178">IF(F1282=TRUE,INDIRECT("Comments!$D$"&amp;U1282),0)</f>
        <v>0</v>
      </c>
      <c r="V1282" s="2557" t="str">
        <f t="shared" ref="V1282:V1302" ca="1" si="179">IF(SUM(R1282+S1282)=0,"","
*** "&amp;TEXT(SUM(R1282+S1282),"0,0")&amp;" Points de précision seront déduits suite à cette(ces) erreur(s) !")</f>
        <v/>
      </c>
      <c r="W1282" s="611" t="str">
        <f t="shared" ref="W1282:W1345" ca="1" si="180">LEFT(A1282,FIND("!",A1282,1)-1)&amp;", Ligne "&amp;INDIRECT(ADDRESS(ROW(INDIRECT(A1282)),IF(INDIRECT(ADDRESS(ROW(INDIRECT(A1282)),1,,,LEFT(A1282,FIND("!",A1282,1)-1)))="",2,1),,,LEFT(A1282,FIND("!",A1282,1)-1)))&amp;" ["&amp;A1282&amp;"] "&amp;" -"</f>
        <v>Page5_GMC_MCI, Ligne 23 [Page5_GMC_MCI!L26]  -</v>
      </c>
    </row>
    <row r="1283" spans="1:23">
      <c r="A1283" s="1443" t="str">
        <f>celladdr(Page5_GMC_MCI!L27)</f>
        <v>Page5_GMC_MCI!L27</v>
      </c>
      <c r="B1283" s="1444" t="s">
        <v>1086</v>
      </c>
      <c r="C1283" s="1451"/>
      <c r="D1283" s="1454"/>
      <c r="E1283" s="1454"/>
      <c r="F1283" s="1454"/>
      <c r="G1283" s="1444" t="str">
        <f t="shared" si="174"/>
        <v/>
      </c>
      <c r="H1283" s="1447" t="str">
        <f>IF(C1283=TRUE,Comments!$B$26,"")</f>
        <v/>
      </c>
      <c r="I1283" s="1446" t="str">
        <f>IF(D1283=TRUE,Comments!$B$24,"")</f>
        <v/>
      </c>
      <c r="J1283" s="1446"/>
      <c r="K1283" s="1452"/>
      <c r="O1283" s="611" t="str">
        <f t="shared" ref="O1283:O1303" si="181">IF(A1283=A1282,"TRUE","")</f>
        <v/>
      </c>
      <c r="P1283" s="611" t="str">
        <f t="shared" si="175"/>
        <v>Page5_GMC_MCI!L</v>
      </c>
      <c r="Q1283" s="611">
        <f t="shared" si="176"/>
        <v>27</v>
      </c>
      <c r="R1283" s="1447">
        <f t="shared" ca="1" si="177"/>
        <v>0</v>
      </c>
      <c r="S1283" s="1447">
        <f t="shared" ca="1" si="178"/>
        <v>0</v>
      </c>
      <c r="V1283" s="2557" t="str">
        <f t="shared" ca="1" si="179"/>
        <v/>
      </c>
      <c r="W1283" s="611" t="str">
        <f t="shared" ca="1" si="180"/>
        <v>Page5_GMC_MCI, Ligne 24 [Page5_GMC_MCI!L27]  -</v>
      </c>
    </row>
    <row r="1284" spans="1:23">
      <c r="A1284" s="1443" t="str">
        <f>celladdr(Page5_GMC_MCI!L28)</f>
        <v>Page5_GMC_MCI!L28</v>
      </c>
      <c r="B1284" s="1456" t="s">
        <v>1086</v>
      </c>
      <c r="C1284" s="1451" t="b">
        <f>Page5_GMC_MCI!$L$28&lt;0</f>
        <v>0</v>
      </c>
      <c r="D1284" s="1454" t="b">
        <f>OR(AND(Page5_GMC_MCI!$L28&lt;&gt;0,Page5_GMC_MCI!$M28=0),AND(Page5_GMC_MCI!$M28&lt;&gt;0,Page5_GMC_MCI!$L28=0))</f>
        <v>0</v>
      </c>
      <c r="E1284" s="1454"/>
      <c r="F1284" s="1454"/>
      <c r="G1284" s="1444" t="str">
        <f t="shared" si="174"/>
        <v/>
      </c>
      <c r="H1284" s="1447" t="str">
        <f>IF(C1284=TRUE,Comments!$B$23,"")</f>
        <v/>
      </c>
      <c r="I1284" s="1446" t="str">
        <f>IF(D1284=TRUE,Comments!$B$24,"")</f>
        <v/>
      </c>
      <c r="J1284" s="1446"/>
      <c r="K1284" s="1452"/>
      <c r="N1284" s="611" t="str">
        <f>"CPTE # "&amp;Page5_GMC_MCI!$E$28&amp;"  "&amp;Page5_GMC_MCI!$C$28&amp;" - CHIFFRE D'AFFAIRES RÉALISÉ - AAD"</f>
        <v>CPTE # 423F  NE PAS UTILISER - CHIFFRE D'AFFAIRES RÉALISÉ - AAD</v>
      </c>
      <c r="O1284" s="611" t="str">
        <f t="shared" si="181"/>
        <v/>
      </c>
      <c r="P1284" s="611" t="str">
        <f t="shared" si="175"/>
        <v>Page5_GMC_MCI!L</v>
      </c>
      <c r="Q1284" s="611">
        <f t="shared" si="176"/>
        <v>28</v>
      </c>
      <c r="R1284" s="1447">
        <f t="shared" ca="1" si="177"/>
        <v>0</v>
      </c>
      <c r="S1284" s="1447">
        <f t="shared" ca="1" si="178"/>
        <v>0</v>
      </c>
      <c r="V1284" s="2557" t="str">
        <f t="shared" ca="1" si="179"/>
        <v/>
      </c>
      <c r="W1284" s="611" t="str">
        <f t="shared" ca="1" si="180"/>
        <v>Page5_GMC_MCI, Ligne 25 [Page5_GMC_MCI!L28]  -</v>
      </c>
    </row>
    <row r="1285" spans="1:23">
      <c r="A1285" s="1443" t="str">
        <f>celladdr(Page5_GMC_MCI!L29)</f>
        <v>Page5_GMC_MCI!L29</v>
      </c>
      <c r="B1285" s="1456" t="s">
        <v>1086</v>
      </c>
      <c r="C1285" s="1451" t="b">
        <f>Page5_GMC_MCI!$L$29&lt;0</f>
        <v>0</v>
      </c>
      <c r="D1285" s="1454" t="b">
        <f>OR(AND(Page5_GMC_MCI!$L29&lt;&gt;0,Page5_GMC_MCI!$M29=0),AND(Page5_GMC_MCI!$M29&lt;&gt;0,Page5_GMC_MCI!$L29=0))</f>
        <v>0</v>
      </c>
      <c r="E1285" s="1454"/>
      <c r="F1285" s="1454"/>
      <c r="G1285" s="1444" t="str">
        <f t="shared" si="174"/>
        <v/>
      </c>
      <c r="H1285" s="1447" t="str">
        <f>IF(C1285=TRUE,Comments!$B$23,"")</f>
        <v/>
      </c>
      <c r="I1285" s="1446" t="str">
        <f>IF(D1285=TRUE,Comments!$B$24,"")</f>
        <v/>
      </c>
      <c r="J1285" s="1446"/>
      <c r="K1285" s="1452"/>
      <c r="N1285" s="611" t="str">
        <f>"CPTE # "&amp;Page5_GMC_MCI!$E$29&amp;"  "&amp;Page5_GMC_MCI!$C$29&amp;" - CHIFFRE D'AFFAIRES RÉALISÉ - AAD"</f>
        <v>CPTE # 424F  TERRAIN - CHIFFRE D'AFFAIRES RÉALISÉ - AAD</v>
      </c>
      <c r="O1285" s="611" t="str">
        <f t="shared" si="181"/>
        <v/>
      </c>
      <c r="P1285" s="611" t="str">
        <f t="shared" si="175"/>
        <v>Page5_GMC_MCI!L</v>
      </c>
      <c r="Q1285" s="611">
        <f t="shared" si="176"/>
        <v>29</v>
      </c>
      <c r="R1285" s="1447">
        <f t="shared" ca="1" si="177"/>
        <v>0</v>
      </c>
      <c r="S1285" s="1447">
        <f t="shared" ca="1" si="178"/>
        <v>0</v>
      </c>
      <c r="V1285" s="2557" t="str">
        <f t="shared" ca="1" si="179"/>
        <v/>
      </c>
      <c r="W1285" s="611" t="str">
        <f t="shared" ca="1" si="180"/>
        <v>Page5_GMC_MCI, Ligne 26 [Page5_GMC_MCI!L29]  -</v>
      </c>
    </row>
    <row r="1286" spans="1:23">
      <c r="A1286" s="1443" t="str">
        <f>celladdr(Page5_GMC_MCI!L30)</f>
        <v>Page5_GMC_MCI!L30</v>
      </c>
      <c r="B1286" s="1456" t="s">
        <v>1086</v>
      </c>
      <c r="C1286" s="1451" t="b">
        <f>Page5_GMC_MCI!$L$30&lt;0</f>
        <v>0</v>
      </c>
      <c r="D1286" s="1454" t="b">
        <f>OR(AND(Page5_GMC_MCI!$L30&lt;&gt;0,Page5_GMC_MCI!$M30=0),AND(Page5_GMC_MCI!$M30&lt;&gt;0,Page5_GMC_MCI!$L30=0))</f>
        <v>0</v>
      </c>
      <c r="E1286" s="1454"/>
      <c r="F1286" s="1454"/>
      <c r="G1286" s="1444" t="str">
        <f t="shared" si="174"/>
        <v/>
      </c>
      <c r="H1286" s="1447" t="str">
        <f>IF(C1286=TRUE,Comments!$B$23,"")</f>
        <v/>
      </c>
      <c r="I1286" s="1446" t="str">
        <f>IF(D1286=TRUE,Comments!$B$24,"")</f>
        <v/>
      </c>
      <c r="J1286" s="1446"/>
      <c r="K1286" s="1452"/>
      <c r="N1286" s="611" t="str">
        <f>"CPTE # "&amp;Page5_GMC_MCI!$E$30&amp;"  "&amp;Page5_GMC_MCI!$C$30&amp;" - CHIFFRE D'AFFAIRES RÉALISÉ - AAD"</f>
        <v>CPTE # 425F  SAVANA - CHIFFRE D'AFFAIRES RÉALISÉ - AAD</v>
      </c>
      <c r="O1286" s="611" t="str">
        <f t="shared" si="181"/>
        <v/>
      </c>
      <c r="P1286" s="611" t="str">
        <f t="shared" si="175"/>
        <v>Page5_GMC_MCI!L</v>
      </c>
      <c r="Q1286" s="611">
        <f t="shared" si="176"/>
        <v>30</v>
      </c>
      <c r="R1286" s="1447">
        <f t="shared" ca="1" si="177"/>
        <v>0</v>
      </c>
      <c r="S1286" s="1447">
        <f t="shared" ca="1" si="178"/>
        <v>0</v>
      </c>
      <c r="V1286" s="2557" t="str">
        <f t="shared" ca="1" si="179"/>
        <v/>
      </c>
      <c r="W1286" s="611" t="str">
        <f t="shared" ca="1" si="180"/>
        <v>Page5_GMC_MCI, Ligne 27 [Page5_GMC_MCI!L30]  -</v>
      </c>
    </row>
    <row r="1287" spans="1:23">
      <c r="A1287" s="1443" t="str">
        <f>celladdr(Page5_GMC_MCI!L31)</f>
        <v>Page5_GMC_MCI!L31</v>
      </c>
      <c r="B1287" s="1456" t="s">
        <v>1086</v>
      </c>
      <c r="C1287" s="1451" t="b">
        <f>Page5_GMC_MCI!$L$31&lt;0</f>
        <v>0</v>
      </c>
      <c r="D1287" s="1454" t="b">
        <f>OR(AND(Page5_GMC_MCI!$L31&lt;&gt;0,Page5_GMC_MCI!$M31=0),AND(Page5_GMC_MCI!$M31&lt;&gt;0,Page5_GMC_MCI!$L31=0))</f>
        <v>0</v>
      </c>
      <c r="E1287" s="1454"/>
      <c r="F1287" s="1454"/>
      <c r="G1287" s="1444" t="str">
        <f t="shared" si="174"/>
        <v/>
      </c>
      <c r="H1287" s="1447" t="str">
        <f>IF(C1287=TRUE,Comments!$B$23,"")</f>
        <v/>
      </c>
      <c r="I1287" s="1446" t="str">
        <f>IF(D1287=TRUE,Comments!$B$24,"")</f>
        <v/>
      </c>
      <c r="J1287" s="1446"/>
      <c r="K1287" s="1452"/>
      <c r="N1287" s="611" t="str">
        <f>"CPTE # "&amp;Page5_GMC_MCI!$E$31&amp;"  "&amp;Page5_GMC_MCI!$C$31&amp;" - CHIFFRE D'AFFAIRES RÉALISÉ - AAD"</f>
        <v>CPTE # 426F  CANYON - CHIFFRE D'AFFAIRES RÉALISÉ - AAD</v>
      </c>
      <c r="O1287" s="611" t="str">
        <f t="shared" si="181"/>
        <v/>
      </c>
      <c r="P1287" s="611" t="str">
        <f t="shared" si="175"/>
        <v>Page5_GMC_MCI!L</v>
      </c>
      <c r="Q1287" s="611">
        <f t="shared" si="176"/>
        <v>31</v>
      </c>
      <c r="R1287" s="1447">
        <f t="shared" ca="1" si="177"/>
        <v>0</v>
      </c>
      <c r="S1287" s="1447">
        <f t="shared" ca="1" si="178"/>
        <v>0</v>
      </c>
      <c r="V1287" s="2557" t="str">
        <f t="shared" ca="1" si="179"/>
        <v/>
      </c>
      <c r="W1287" s="611" t="str">
        <f t="shared" ca="1" si="180"/>
        <v>Page5_GMC_MCI, Ligne 28 [Page5_GMC_MCI!L31]  -</v>
      </c>
    </row>
    <row r="1288" spans="1:23">
      <c r="A1288" s="1443" t="str">
        <f>celladdr(Page5_GMC_MCI!L32)</f>
        <v>Page5_GMC_MCI!L32</v>
      </c>
      <c r="B1288" s="1456" t="s">
        <v>1086</v>
      </c>
      <c r="C1288" s="1451" t="b">
        <f>Page5_GMC_MCI!$L$32&lt;0</f>
        <v>0</v>
      </c>
      <c r="D1288" s="1454" t="b">
        <f>OR(AND(Page5_GMC_MCI!$L32&lt;&gt;0,Page5_GMC_MCI!$M32=0),AND(Page5_GMC_MCI!$M32&lt;&gt;0,Page5_GMC_MCI!$L32=0))</f>
        <v>0</v>
      </c>
      <c r="E1288" s="1454"/>
      <c r="F1288" s="1454"/>
      <c r="G1288" s="1444" t="str">
        <f t="shared" si="174"/>
        <v/>
      </c>
      <c r="H1288" s="1447" t="str">
        <f>IF(C1288=TRUE,Comments!$B$23,"")</f>
        <v/>
      </c>
      <c r="I1288" s="1446" t="str">
        <f>IF(D1288=TRUE,Comments!$B$24,"")</f>
        <v/>
      </c>
      <c r="J1288" s="1446"/>
      <c r="K1288" s="1452"/>
      <c r="N1288" s="611" t="str">
        <f>"CPTE # "&amp;Page5_GMC_MCI!$E$32&amp;"  "&amp;Page5_GMC_MCI!$C$32&amp;" - CHIFFRE D'AFFAIRES RÉALISÉ - AAD"</f>
        <v>CPTE # 427F  NE PAS UTILISER - CHIFFRE D'AFFAIRES RÉALISÉ - AAD</v>
      </c>
      <c r="O1288" s="611" t="str">
        <f t="shared" si="181"/>
        <v/>
      </c>
      <c r="P1288" s="611" t="str">
        <f t="shared" si="175"/>
        <v>Page5_GMC_MCI!L</v>
      </c>
      <c r="Q1288" s="611">
        <f t="shared" si="176"/>
        <v>32</v>
      </c>
      <c r="R1288" s="1447">
        <f t="shared" ca="1" si="177"/>
        <v>0</v>
      </c>
      <c r="S1288" s="1447">
        <f t="shared" ca="1" si="178"/>
        <v>0</v>
      </c>
      <c r="V1288" s="2557" t="str">
        <f t="shared" ca="1" si="179"/>
        <v/>
      </c>
      <c r="W1288" s="611" t="str">
        <f t="shared" ca="1" si="180"/>
        <v>Page5_GMC_MCI, Ligne 29 [Page5_GMC_MCI!L32]  -</v>
      </c>
    </row>
    <row r="1289" spans="1:23">
      <c r="A1289" s="1443" t="str">
        <f>celladdr(Page5_GMC_MCI!L33)</f>
        <v>Page5_GMC_MCI!L33</v>
      </c>
      <c r="B1289" s="1456" t="s">
        <v>1086</v>
      </c>
      <c r="C1289" s="1451" t="b">
        <f>Page5_GMC_MCI!$L$33&lt;0</f>
        <v>0</v>
      </c>
      <c r="D1289" s="1454" t="b">
        <f>OR(AND(Page5_GMC_MCI!$L33&lt;&gt;0,Page5_GMC_MCI!$M33=0),AND(Page5_GMC_MCI!$M33&lt;&gt;0,Page5_GMC_MCI!$L33=0))</f>
        <v>0</v>
      </c>
      <c r="E1289" s="1454"/>
      <c r="F1289" s="1454"/>
      <c r="G1289" s="1444" t="str">
        <f t="shared" si="174"/>
        <v/>
      </c>
      <c r="H1289" s="1447" t="str">
        <f>IF(C1289=TRUE,Comments!$B$23,"")</f>
        <v/>
      </c>
      <c r="I1289" s="1446" t="str">
        <f>IF(D1289=TRUE,Comments!$B$24,"")</f>
        <v/>
      </c>
      <c r="J1289" s="1446"/>
      <c r="K1289" s="1452"/>
      <c r="N1289" s="611" t="str">
        <f>"CPTE # "&amp;Page5_GMC_MCI!$E$33&amp;"  "&amp;Page5_GMC_MCI!$C$33&amp;" - CHIFFRE D'AFFAIRES RÉALISÉ - AAD"</f>
        <v>CPTE # 428F  NE PAS UTILISER - CHIFFRE D'AFFAIRES RÉALISÉ - AAD</v>
      </c>
      <c r="O1289" s="611" t="str">
        <f t="shared" si="181"/>
        <v/>
      </c>
      <c r="P1289" s="611" t="str">
        <f t="shared" si="175"/>
        <v>Page5_GMC_MCI!L</v>
      </c>
      <c r="Q1289" s="611">
        <f t="shared" si="176"/>
        <v>33</v>
      </c>
      <c r="R1289" s="1447">
        <f t="shared" ca="1" si="177"/>
        <v>0</v>
      </c>
      <c r="S1289" s="1447">
        <f t="shared" ca="1" si="178"/>
        <v>0</v>
      </c>
      <c r="V1289" s="2557" t="str">
        <f t="shared" ca="1" si="179"/>
        <v/>
      </c>
      <c r="W1289" s="611" t="str">
        <f t="shared" ca="1" si="180"/>
        <v>Page5_GMC_MCI, Ligne 30 [Page5_GMC_MCI!L33]  -</v>
      </c>
    </row>
    <row r="1290" spans="1:23">
      <c r="A1290" s="1443" t="str">
        <f>celladdr(Page5_GMC_MCI!L34)</f>
        <v>Page5_GMC_MCI!L34</v>
      </c>
      <c r="B1290" s="1456" t="s">
        <v>1086</v>
      </c>
      <c r="C1290" s="1451" t="b">
        <f>Page5_GMC_MCI!$L$34&lt;0</f>
        <v>0</v>
      </c>
      <c r="D1290" s="1454" t="b">
        <f>OR(AND(Page5_GMC_MCI!$L34&lt;&gt;0,Page5_GMC_MCI!$M34=0),AND(Page5_GMC_MCI!$M34&lt;&gt;0,Page5_GMC_MCI!$L34=0))</f>
        <v>0</v>
      </c>
      <c r="E1290" s="1454"/>
      <c r="F1290" s="1454"/>
      <c r="G1290" s="1444" t="str">
        <f t="shared" si="174"/>
        <v/>
      </c>
      <c r="H1290" s="1447" t="str">
        <f>IF(C1290=TRUE,Comments!$B$23,"")</f>
        <v/>
      </c>
      <c r="I1290" s="1446" t="str">
        <f>IF(D1290=TRUE,Comments!$B$24,"")</f>
        <v/>
      </c>
      <c r="J1290" s="1446"/>
      <c r="K1290" s="1452"/>
      <c r="N1290" s="611" t="str">
        <f>"CPTE # "&amp;Page5_GMC_MCI!$E$34&amp;"  "&amp;Page5_GMC_MCI!$C$34&amp;" - CHIFFRE D'AFFAIRES RÉALISÉ - AAD"</f>
        <v>CPTE # 429F  NE PAS UTILISER - CHIFFRE D'AFFAIRES RÉALISÉ - AAD</v>
      </c>
      <c r="O1290" s="611" t="str">
        <f t="shared" si="181"/>
        <v/>
      </c>
      <c r="P1290" s="611" t="str">
        <f t="shared" si="175"/>
        <v>Page5_GMC_MCI!L</v>
      </c>
      <c r="Q1290" s="611">
        <f t="shared" si="176"/>
        <v>34</v>
      </c>
      <c r="R1290" s="1447">
        <f t="shared" ca="1" si="177"/>
        <v>0</v>
      </c>
      <c r="S1290" s="1447">
        <f t="shared" ca="1" si="178"/>
        <v>0</v>
      </c>
      <c r="V1290" s="2557" t="str">
        <f t="shared" ca="1" si="179"/>
        <v/>
      </c>
      <c r="W1290" s="611" t="str">
        <f t="shared" ca="1" si="180"/>
        <v>Page5_GMC_MCI, Ligne 31 [Page5_GMC_MCI!L34]  -</v>
      </c>
    </row>
    <row r="1291" spans="1:23">
      <c r="A1291" s="1443" t="str">
        <f>celladdr(Page5_GMC_MCI!L35)</f>
        <v>Page5_GMC_MCI!L35</v>
      </c>
      <c r="B1291" s="1456" t="s">
        <v>1086</v>
      </c>
      <c r="C1291" s="1451" t="b">
        <f>Page5_GMC_MCI!$L$35&lt;0</f>
        <v>0</v>
      </c>
      <c r="D1291" s="1454" t="b">
        <f>OR(AND(Page5_GMC_MCI!$L35&lt;&gt;0,Page5_GMC_MCI!$M35=0),AND(Page5_GMC_MCI!$M35&lt;&gt;0,Page5_GMC_MCI!$L35=0))</f>
        <v>0</v>
      </c>
      <c r="E1291" s="1454"/>
      <c r="F1291" s="1454"/>
      <c r="G1291" s="1444" t="str">
        <f t="shared" si="174"/>
        <v/>
      </c>
      <c r="H1291" s="1447" t="str">
        <f>IF(C1291=TRUE,Comments!$B$23,"")</f>
        <v/>
      </c>
      <c r="I1291" s="1446" t="str">
        <f>IF(D1291=TRUE,Comments!$B$24,"")</f>
        <v/>
      </c>
      <c r="J1291" s="1446"/>
      <c r="K1291" s="1452"/>
      <c r="N1291" s="611" t="str">
        <f>"CPTE # "&amp;Page5_GMC_MCI!$E$35&amp;"  "&amp;Page5_GMC_MCI!$C$35&amp;" - CHIFFRE D'AFFAIRES RÉALISÉ - AAD"</f>
        <v>CPTE # 430F  YUKON/XL - CHIFFRE D'AFFAIRES RÉALISÉ - AAD</v>
      </c>
      <c r="O1291" s="611" t="str">
        <f t="shared" si="181"/>
        <v/>
      </c>
      <c r="P1291" s="611" t="str">
        <f t="shared" si="175"/>
        <v>Page5_GMC_MCI!L</v>
      </c>
      <c r="Q1291" s="611">
        <f t="shared" si="176"/>
        <v>35</v>
      </c>
      <c r="R1291" s="1447">
        <f t="shared" ca="1" si="177"/>
        <v>0</v>
      </c>
      <c r="S1291" s="1447">
        <f t="shared" ca="1" si="178"/>
        <v>0</v>
      </c>
      <c r="V1291" s="2557" t="str">
        <f t="shared" ca="1" si="179"/>
        <v/>
      </c>
      <c r="W1291" s="611" t="str">
        <f t="shared" ca="1" si="180"/>
        <v>Page5_GMC_MCI, Ligne 32 [Page5_GMC_MCI!L35]  -</v>
      </c>
    </row>
    <row r="1292" spans="1:23">
      <c r="A1292" s="1443" t="str">
        <f>celladdr(Page5_GMC_MCI!L36)</f>
        <v>Page5_GMC_MCI!L36</v>
      </c>
      <c r="B1292" s="1456" t="s">
        <v>1086</v>
      </c>
      <c r="C1292" s="1451" t="b">
        <f>Page5_GMC_MCI!$L$36&lt;0</f>
        <v>0</v>
      </c>
      <c r="D1292" s="1454" t="b">
        <f>OR(AND(Page5_GMC_MCI!$L36&lt;&gt;0,Page5_GMC_MCI!$M36=0),AND(Page5_GMC_MCI!$M36&lt;&gt;0,Page5_GMC_MCI!$L36=0))</f>
        <v>0</v>
      </c>
      <c r="E1292" s="1454"/>
      <c r="F1292" s="1454"/>
      <c r="G1292" s="1444" t="str">
        <f t="shared" si="174"/>
        <v/>
      </c>
      <c r="H1292" s="1447" t="str">
        <f>IF(C1292=TRUE,Comments!$B$23,"")</f>
        <v/>
      </c>
      <c r="I1292" s="1446" t="str">
        <f>IF(D1292=TRUE,Comments!$B$24,"")</f>
        <v/>
      </c>
      <c r="J1292" s="1446"/>
      <c r="K1292" s="1452"/>
      <c r="N1292" s="611" t="str">
        <f>"CPTE # "&amp;Page5_GMC_MCI!$E$36&amp;"  "&amp;Page5_GMC_MCI!$C$36&amp;" - CHIFFRE D'AFFAIRES RÉALISÉ - AAD"</f>
        <v>CPTE # 431F  LD 1500 SIERRA - CHIFFRE D'AFFAIRES RÉALISÉ - AAD</v>
      </c>
      <c r="O1292" s="611" t="str">
        <f t="shared" si="181"/>
        <v/>
      </c>
      <c r="P1292" s="611" t="str">
        <f t="shared" si="175"/>
        <v>Page5_GMC_MCI!L</v>
      </c>
      <c r="Q1292" s="611">
        <f t="shared" si="176"/>
        <v>36</v>
      </c>
      <c r="R1292" s="1447">
        <f t="shared" ca="1" si="177"/>
        <v>0</v>
      </c>
      <c r="S1292" s="1447">
        <f t="shared" ca="1" si="178"/>
        <v>0</v>
      </c>
      <c r="V1292" s="2557" t="str">
        <f t="shared" ca="1" si="179"/>
        <v/>
      </c>
      <c r="W1292" s="611" t="str">
        <f t="shared" ca="1" si="180"/>
        <v>Page5_GMC_MCI, Ligne 33 [Page5_GMC_MCI!L36]  -</v>
      </c>
    </row>
    <row r="1293" spans="1:23">
      <c r="A1293" s="1443" t="str">
        <f>celladdr(Page5_GMC_MCI!L37)</f>
        <v>Page5_GMC_MCI!L37</v>
      </c>
      <c r="B1293" s="1456" t="s">
        <v>1086</v>
      </c>
      <c r="C1293" s="1451" t="b">
        <f>Page5_GMC_MCI!$L$37&lt;0</f>
        <v>0</v>
      </c>
      <c r="D1293" s="1454" t="b">
        <f>OR(AND(Page5_GMC_MCI!$L37&lt;&gt;0,Page5_GMC_MCI!$M37=0),AND(Page5_GMC_MCI!$M37&lt;&gt;0,Page5_GMC_MCI!$L37=0))</f>
        <v>0</v>
      </c>
      <c r="E1293" s="1454"/>
      <c r="F1293" s="1454"/>
      <c r="G1293" s="1444" t="str">
        <f t="shared" si="174"/>
        <v/>
      </c>
      <c r="H1293" s="1447" t="str">
        <f>IF(C1293=TRUE,Comments!$B$23,"")</f>
        <v/>
      </c>
      <c r="I1293" s="1446" t="str">
        <f>IF(D1293=TRUE,Comments!$B$24,"")</f>
        <v/>
      </c>
      <c r="J1293" s="1446"/>
      <c r="K1293" s="1452"/>
      <c r="N1293" s="611" t="str">
        <f>"CPTE # "&amp;Page5_GMC_MCI!$E$37&amp;"  "&amp;Page5_GMC_MCI!$C$37&amp;" - CHIFFRE D'AFFAIRES RÉALISÉ - AAD"</f>
        <v>CPTE # 432F  LD 2500 SIERRA - CHIFFRE D'AFFAIRES RÉALISÉ - AAD</v>
      </c>
      <c r="O1293" s="611" t="str">
        <f t="shared" si="181"/>
        <v/>
      </c>
      <c r="P1293" s="611" t="str">
        <f t="shared" si="175"/>
        <v>Page5_GMC_MCI!L</v>
      </c>
      <c r="Q1293" s="611">
        <f t="shared" si="176"/>
        <v>37</v>
      </c>
      <c r="R1293" s="1447">
        <f t="shared" ca="1" si="177"/>
        <v>0</v>
      </c>
      <c r="S1293" s="1447">
        <f t="shared" ca="1" si="178"/>
        <v>0</v>
      </c>
      <c r="V1293" s="2557" t="str">
        <f t="shared" ca="1" si="179"/>
        <v/>
      </c>
      <c r="W1293" s="611" t="str">
        <f t="shared" ca="1" si="180"/>
        <v>Page5_GMC_MCI, Ligne 34 [Page5_GMC_MCI!L37]  -</v>
      </c>
    </row>
    <row r="1294" spans="1:23">
      <c r="A1294" s="1443" t="str">
        <f>celladdr(Page5_GMC_MCI!L38)</f>
        <v>Page5_GMC_MCI!L38</v>
      </c>
      <c r="B1294" s="1456" t="s">
        <v>1086</v>
      </c>
      <c r="C1294" s="1451" t="b">
        <f>Page5_GMC_MCI!$L$38&lt;0</f>
        <v>0</v>
      </c>
      <c r="D1294" s="1454" t="b">
        <f>OR(AND(Page5_GMC_MCI!$L38&lt;&gt;0,Page5_GMC_MCI!$M38=0),AND(Page5_GMC_MCI!$M38&lt;&gt;0,Page5_GMC_MCI!$L38=0))</f>
        <v>0</v>
      </c>
      <c r="E1294" s="1454"/>
      <c r="F1294" s="1454"/>
      <c r="G1294" s="1444" t="str">
        <f t="shared" si="174"/>
        <v/>
      </c>
      <c r="H1294" s="1447" t="str">
        <f>IF(C1294=TRUE,Comments!$B$23,"")</f>
        <v/>
      </c>
      <c r="I1294" s="1446" t="str">
        <f>IF(D1294=TRUE,Comments!$B$24,"")</f>
        <v/>
      </c>
      <c r="J1294" s="1446"/>
      <c r="K1294" s="1452"/>
      <c r="N1294" s="611" t="str">
        <f>"CPTE # "&amp;Page5_GMC_MCI!$E$38&amp;"  "&amp;Page5_GMC_MCI!$C$38&amp;" - CHIFFRE D'AFFAIRES RÉALISÉ - AAD"</f>
        <v>CPTE # 433F  LD 3500 SIERRA - CHIFFRE D'AFFAIRES RÉALISÉ - AAD</v>
      </c>
      <c r="O1294" s="611" t="str">
        <f t="shared" si="181"/>
        <v/>
      </c>
      <c r="P1294" s="611" t="str">
        <f t="shared" si="175"/>
        <v>Page5_GMC_MCI!L</v>
      </c>
      <c r="Q1294" s="611">
        <f t="shared" si="176"/>
        <v>38</v>
      </c>
      <c r="R1294" s="1447">
        <f t="shared" ca="1" si="177"/>
        <v>0</v>
      </c>
      <c r="S1294" s="1447">
        <f t="shared" ca="1" si="178"/>
        <v>0</v>
      </c>
      <c r="V1294" s="2557" t="str">
        <f t="shared" ca="1" si="179"/>
        <v/>
      </c>
      <c r="W1294" s="611" t="str">
        <f t="shared" ca="1" si="180"/>
        <v>Page5_GMC_MCI, Ligne 35 [Page5_GMC_MCI!L38]  -</v>
      </c>
    </row>
    <row r="1295" spans="1:23">
      <c r="A1295" s="1443" t="str">
        <f>celladdr(Page5_GMC_MCI!L39)</f>
        <v>Page5_GMC_MCI!L39</v>
      </c>
      <c r="B1295" s="1456" t="s">
        <v>1086</v>
      </c>
      <c r="C1295" s="1451" t="b">
        <f>Page5_GMC_MCI!$L$39&lt;0</f>
        <v>0</v>
      </c>
      <c r="D1295" s="1454" t="b">
        <f>OR(AND(Page5_GMC_MCI!$L39&lt;&gt;0,Page5_GMC_MCI!$M39=0),AND(Page5_GMC_MCI!$M39&lt;&gt;0,Page5_GMC_MCI!$L39=0))</f>
        <v>0</v>
      </c>
      <c r="E1295" s="1454"/>
      <c r="F1295" s="1454"/>
      <c r="G1295" s="1444" t="str">
        <f t="shared" si="174"/>
        <v/>
      </c>
      <c r="H1295" s="1447" t="str">
        <f>IF(C1295=TRUE,Comments!$B$23,"")</f>
        <v/>
      </c>
      <c r="I1295" s="1446" t="str">
        <f>IF(D1295=TRUE,Comments!$B$24,"")</f>
        <v/>
      </c>
      <c r="J1295" s="1446"/>
      <c r="K1295" s="1452"/>
      <c r="N1295" s="611" t="str">
        <f>"CPTE # "&amp;Page5_GMC_MCI!$E$39&amp;"  "&amp;Page5_GMC_MCI!$C$39&amp;" - CHIFFRE D'AFFAIRES RÉALISÉ - AAD"</f>
        <v>CPTE # 434F  NE PAS UTILISER - CHIFFRE D'AFFAIRES RÉALISÉ - AAD</v>
      </c>
      <c r="O1295" s="611" t="str">
        <f t="shared" si="181"/>
        <v/>
      </c>
      <c r="P1295" s="611" t="str">
        <f t="shared" si="175"/>
        <v>Page5_GMC_MCI!L</v>
      </c>
      <c r="Q1295" s="611">
        <f t="shared" si="176"/>
        <v>39</v>
      </c>
      <c r="R1295" s="1447">
        <f t="shared" ca="1" si="177"/>
        <v>0</v>
      </c>
      <c r="S1295" s="1447">
        <f t="shared" ca="1" si="178"/>
        <v>0</v>
      </c>
      <c r="V1295" s="2557" t="str">
        <f t="shared" ca="1" si="179"/>
        <v/>
      </c>
      <c r="W1295" s="611" t="str">
        <f t="shared" ca="1" si="180"/>
        <v>Page5_GMC_MCI, Ligne 36 [Page5_GMC_MCI!L39]  -</v>
      </c>
    </row>
    <row r="1296" spans="1:23">
      <c r="A1296" s="1443" t="str">
        <f>celladdr(Page5_GMC_MCI!L40)</f>
        <v>Page5_GMC_MCI!L40</v>
      </c>
      <c r="B1296" s="1456" t="s">
        <v>1086</v>
      </c>
      <c r="C1296" s="1451" t="b">
        <f>Page5_GMC_MCI!$L$40&lt;0</f>
        <v>0</v>
      </c>
      <c r="D1296" s="1454" t="b">
        <f>OR(AND(Page5_GMC_MCI!$L40&lt;&gt;0,Page5_GMC_MCI!$M40=0),AND(Page5_GMC_MCI!$M40&lt;&gt;0,Page5_GMC_MCI!$L40=0))</f>
        <v>0</v>
      </c>
      <c r="E1296" s="1454"/>
      <c r="F1296" s="1454"/>
      <c r="G1296" s="1444" t="str">
        <f t="shared" si="174"/>
        <v/>
      </c>
      <c r="H1296" s="1447" t="str">
        <f>IF(C1296=TRUE,Comments!$B$23,"")</f>
        <v/>
      </c>
      <c r="I1296" s="1446" t="str">
        <f>IF(D1296=TRUE,Comments!$B$24,"")</f>
        <v/>
      </c>
      <c r="J1296" s="1446"/>
      <c r="K1296" s="1452"/>
      <c r="N1296" s="611" t="str">
        <f>"CPTE # "&amp;Page5_GMC_MCI!$E$40&amp;"  "&amp;Page5_GMC_MCI!$C$40&amp;" - CHIFFRE D'AFFAIRES RÉALISÉ - AAD"</f>
        <v>CPTE # 435F  NE PAS UTILISER - CHIFFRE D'AFFAIRES RÉALISÉ - AAD</v>
      </c>
      <c r="O1296" s="611" t="str">
        <f t="shared" si="181"/>
        <v/>
      </c>
      <c r="P1296" s="611" t="str">
        <f t="shared" si="175"/>
        <v>Page5_GMC_MCI!L</v>
      </c>
      <c r="Q1296" s="611">
        <f t="shared" si="176"/>
        <v>40</v>
      </c>
      <c r="R1296" s="1447">
        <f t="shared" ca="1" si="177"/>
        <v>0</v>
      </c>
      <c r="S1296" s="1447">
        <f t="shared" ca="1" si="178"/>
        <v>0</v>
      </c>
      <c r="V1296" s="2557" t="str">
        <f t="shared" ca="1" si="179"/>
        <v/>
      </c>
      <c r="W1296" s="611" t="str">
        <f t="shared" ca="1" si="180"/>
        <v>Page5_GMC_MCI, Ligne 37 [Page5_GMC_MCI!L40]  -</v>
      </c>
    </row>
    <row r="1297" spans="1:23">
      <c r="A1297" s="1443" t="str">
        <f>celladdr(Page5_GMC_MCI!L41)</f>
        <v>Page5_GMC_MCI!L41</v>
      </c>
      <c r="B1297" s="1456" t="s">
        <v>1086</v>
      </c>
      <c r="C1297" s="1451" t="b">
        <f>Page5_GMC_MCI!$L$41&lt;0</f>
        <v>0</v>
      </c>
      <c r="D1297" s="1454" t="b">
        <f>OR(AND(Page5_GMC_MCI!$L41&lt;&gt;0,Page5_GMC_MCI!$M41=0),AND(Page5_GMC_MCI!$M41&lt;&gt;0,Page5_GMC_MCI!$L41=0))</f>
        <v>0</v>
      </c>
      <c r="E1297" s="1454"/>
      <c r="F1297" s="1454"/>
      <c r="G1297" s="1444" t="str">
        <f t="shared" si="174"/>
        <v/>
      </c>
      <c r="H1297" s="1447" t="str">
        <f>IF(C1297=TRUE,Comments!$B$23,"")</f>
        <v/>
      </c>
      <c r="I1297" s="1446" t="str">
        <f>IF(D1297=TRUE,Comments!$B$24,"")</f>
        <v/>
      </c>
      <c r="J1297" s="1446"/>
      <c r="K1297" s="1452"/>
      <c r="N1297" s="611" t="str">
        <f>"CPTE # "&amp;Page5_GMC_MCI!$E$41&amp;"  "&amp;Page5_GMC_MCI!$C$41&amp;" - CHIFFRE D'AFFAIRES RÉALISÉ - AAD"</f>
        <v>CPTE # 436F  ACADIA - CHIFFRE D'AFFAIRES RÉALISÉ - AAD</v>
      </c>
      <c r="O1297" s="611" t="str">
        <f t="shared" si="181"/>
        <v/>
      </c>
      <c r="P1297" s="611" t="str">
        <f t="shared" si="175"/>
        <v>Page5_GMC_MCI!L</v>
      </c>
      <c r="Q1297" s="611">
        <f t="shared" si="176"/>
        <v>41</v>
      </c>
      <c r="R1297" s="1447">
        <f t="shared" ca="1" si="177"/>
        <v>0</v>
      </c>
      <c r="S1297" s="1447">
        <f t="shared" ca="1" si="178"/>
        <v>0</v>
      </c>
      <c r="V1297" s="2557" t="str">
        <f t="shared" ca="1" si="179"/>
        <v/>
      </c>
      <c r="W1297" s="611" t="str">
        <f t="shared" ca="1" si="180"/>
        <v>Page5_GMC_MCI, Ligne 38 [Page5_GMC_MCI!L41]  -</v>
      </c>
    </row>
    <row r="1298" spans="1:23">
      <c r="A1298" s="1443" t="str">
        <f>celladdr(Page5_GMC_MCI!L42)</f>
        <v>Page5_GMC_MCI!L42</v>
      </c>
      <c r="B1298" s="1456" t="s">
        <v>1086</v>
      </c>
      <c r="C1298" s="1451" t="b">
        <f>Page5_GMC_MCI!$L$42&lt;0</f>
        <v>0</v>
      </c>
      <c r="D1298" s="1454"/>
      <c r="E1298" s="1454"/>
      <c r="F1298" s="1454"/>
      <c r="G1298" s="1444" t="str">
        <f t="shared" si="174"/>
        <v/>
      </c>
      <c r="H1298" s="1447" t="str">
        <f>IF(C1298=TRUE,Comments!$B$23,"")</f>
        <v/>
      </c>
      <c r="I1298" s="1446"/>
      <c r="J1298" s="1446"/>
      <c r="K1298" s="1452"/>
      <c r="N1298" s="611" t="str">
        <f>"CPTE # "&amp;Page5_GMC_MCI!$E$42&amp;"  "&amp;Page5_GMC_MCI!$C$42&amp;" - CHIFFRE D'AFFAIRES RÉALISÉ - AAD"</f>
        <v>CPTE # 437F  POUR USAGE FUTUR - CHIFFRE D'AFFAIRES RÉALISÉ - AAD</v>
      </c>
      <c r="O1298" s="611" t="str">
        <f t="shared" si="181"/>
        <v/>
      </c>
      <c r="P1298" s="611" t="str">
        <f t="shared" si="175"/>
        <v>Page5_GMC_MCI!L</v>
      </c>
      <c r="Q1298" s="611">
        <f t="shared" si="176"/>
        <v>42</v>
      </c>
      <c r="R1298" s="1447">
        <f t="shared" ca="1" si="177"/>
        <v>0</v>
      </c>
      <c r="S1298" s="1447">
        <f t="shared" ca="1" si="178"/>
        <v>0</v>
      </c>
      <c r="V1298" s="2557" t="str">
        <f t="shared" ca="1" si="179"/>
        <v/>
      </c>
      <c r="W1298" s="611" t="str">
        <f t="shared" ca="1" si="180"/>
        <v>Page5_GMC_MCI, Ligne 39 [Page5_GMC_MCI!L42]  -</v>
      </c>
    </row>
    <row r="1299" spans="1:23">
      <c r="A1299" s="1443" t="str">
        <f>celladdr(Page5_GMC_MCI!L43)</f>
        <v>Page5_GMC_MCI!L43</v>
      </c>
      <c r="B1299" s="1456" t="s">
        <v>1086</v>
      </c>
      <c r="C1299" s="1451" t="b">
        <f>Page5_GMC_MCI!$L$43&lt;0</f>
        <v>0</v>
      </c>
      <c r="D1299" s="1454" t="b">
        <f>OR(AND(Page5_GMC_MCI!$L43&lt;&gt;0,Page5_GMC_MCI!$M43=0),AND(Page5_GMC_MCI!$M43&lt;&gt;0,Page5_GMC_MCI!$L43=0))</f>
        <v>0</v>
      </c>
      <c r="E1299" s="1454"/>
      <c r="F1299" s="1454"/>
      <c r="G1299" s="1444" t="str">
        <f t="shared" si="174"/>
        <v/>
      </c>
      <c r="H1299" s="1447" t="str">
        <f>IF(C1299=TRUE,Comments!$B$23,"")</f>
        <v/>
      </c>
      <c r="I1299" s="1446" t="str">
        <f>IF(D1299=TRUE,Comments!$B$24,"")</f>
        <v/>
      </c>
      <c r="J1299" s="1446"/>
      <c r="K1299" s="1452"/>
      <c r="N1299" s="611" t="str">
        <f>"CPTE # "&amp;Page5_GMC_MCI!$E$43&amp;"  "&amp;Page5_GMC_MCI!$C$43&amp;" - CHIFFRE D'AFFAIRES RÉALISÉ - AAD"</f>
        <v>CPTE # 438F  AUTRES CAMIONS GMC - CHIFFRE D'AFFAIRES RÉALISÉ - AAD</v>
      </c>
      <c r="O1299" s="611" t="str">
        <f t="shared" si="181"/>
        <v/>
      </c>
      <c r="P1299" s="611" t="str">
        <f t="shared" si="175"/>
        <v>Page5_GMC_MCI!L</v>
      </c>
      <c r="Q1299" s="611">
        <f t="shared" si="176"/>
        <v>43</v>
      </c>
      <c r="R1299" s="1447">
        <f t="shared" ca="1" si="177"/>
        <v>0</v>
      </c>
      <c r="S1299" s="1447">
        <f t="shared" ca="1" si="178"/>
        <v>0</v>
      </c>
      <c r="V1299" s="2557" t="str">
        <f t="shared" ca="1" si="179"/>
        <v/>
      </c>
      <c r="W1299" s="611" t="str">
        <f t="shared" ca="1" si="180"/>
        <v>Page5_GMC_MCI, Ligne 40 [Page5_GMC_MCI!L43]  -</v>
      </c>
    </row>
    <row r="1300" spans="1:23">
      <c r="A1300" s="1443" t="str">
        <f>celladdr(Page5_GMC_MCI!L44)</f>
        <v>Page5_GMC_MCI!L44</v>
      </c>
      <c r="B1300" s="1444" t="s">
        <v>1086</v>
      </c>
      <c r="C1300" s="1451"/>
      <c r="D1300" s="1454"/>
      <c r="E1300" s="1454"/>
      <c r="F1300" s="1454"/>
      <c r="G1300" s="1444" t="str">
        <f t="shared" si="174"/>
        <v/>
      </c>
      <c r="H1300" s="1447" t="str">
        <f>IF(C1300=TRUE,Comments!$B$26,"")</f>
        <v/>
      </c>
      <c r="I1300" s="1446" t="str">
        <f>IF(D1300=TRUE,Comments!$B$24,"")</f>
        <v/>
      </c>
      <c r="J1300" s="1446"/>
      <c r="K1300" s="1452"/>
      <c r="O1300" s="611" t="str">
        <f t="shared" si="181"/>
        <v/>
      </c>
      <c r="P1300" s="611" t="str">
        <f t="shared" si="175"/>
        <v>Page5_GMC_MCI!L</v>
      </c>
      <c r="Q1300" s="611">
        <f t="shared" si="176"/>
        <v>44</v>
      </c>
      <c r="R1300" s="1447">
        <f t="shared" ca="1" si="177"/>
        <v>0</v>
      </c>
      <c r="S1300" s="1447">
        <f t="shared" ca="1" si="178"/>
        <v>0</v>
      </c>
      <c r="V1300" s="2557" t="str">
        <f t="shared" ca="1" si="179"/>
        <v/>
      </c>
      <c r="W1300" s="611" t="str">
        <f t="shared" ca="1" si="180"/>
        <v>Page5_GMC_MCI, Ligne 41 [Page5_GMC_MCI!L44]  -</v>
      </c>
    </row>
    <row r="1301" spans="1:23">
      <c r="A1301" s="1443" t="str">
        <f>celladdr(Page5_GMC_MCI!L45)</f>
        <v>Page5_GMC_MCI!L45</v>
      </c>
      <c r="B1301" s="1456" t="s">
        <v>1086</v>
      </c>
      <c r="C1301" s="1451" t="b">
        <f>Page5_GMC_MCI!$L$45&lt;0</f>
        <v>0</v>
      </c>
      <c r="D1301" s="1454" t="b">
        <f>OR(AND(Page5_GMC_MCI!$L45&lt;&gt;0,Page5_GMC_MCI!$M45=0),AND(Page5_GMC_MCI!$M45&lt;&gt;0,Page5_GMC_MCI!$L45=0))</f>
        <v>0</v>
      </c>
      <c r="E1301" s="1454"/>
      <c r="F1301" s="1454"/>
      <c r="G1301" s="1444" t="str">
        <f t="shared" si="174"/>
        <v/>
      </c>
      <c r="H1301" s="1447" t="str">
        <f>IF(C1301=TRUE,Comments!$B$23,"")</f>
        <v/>
      </c>
      <c r="I1301" s="1446" t="str">
        <f>IF(D1301=TRUE,Comments!$B$24,"")</f>
        <v/>
      </c>
      <c r="J1301" s="1446"/>
      <c r="K1301" s="1452"/>
      <c r="N1301" s="611" t="str">
        <f>"CPTE # "&amp;Page5_GMC_MCI!$E$45&amp;"  "&amp;Page5_GMC_MCI!$C$45&amp;" - CHIFFRE D'AFFAIRES RÉALISÉ - AAD"</f>
        <v>CPTE # 439F  MÉMO* VENTES INTERNET CAMIONS - CHIFFRE D'AFFAIRES RÉALISÉ - AAD</v>
      </c>
      <c r="O1301" s="611" t="str">
        <f t="shared" si="181"/>
        <v/>
      </c>
      <c r="P1301" s="611" t="str">
        <f t="shared" si="175"/>
        <v>Page5_GMC_MCI!L</v>
      </c>
      <c r="Q1301" s="611">
        <f t="shared" si="176"/>
        <v>45</v>
      </c>
      <c r="R1301" s="1447">
        <f t="shared" ca="1" si="177"/>
        <v>0</v>
      </c>
      <c r="S1301" s="1447">
        <f t="shared" ca="1" si="178"/>
        <v>0</v>
      </c>
      <c r="V1301" s="2557" t="str">
        <f t="shared" ca="1" si="179"/>
        <v/>
      </c>
      <c r="W1301" s="611" t="str">
        <f t="shared" ca="1" si="180"/>
        <v>Page5_GMC_MCI, Ligne 42 [Page5_GMC_MCI!L45]  -</v>
      </c>
    </row>
    <row r="1302" spans="1:23">
      <c r="A1302" s="1443" t="str">
        <f>celladdr(Page5_GMC_MCI!L46)</f>
        <v>Page5_GMC_MCI!L46</v>
      </c>
      <c r="B1302" s="1456" t="s">
        <v>1086</v>
      </c>
      <c r="C1302" s="1451" t="b">
        <f>Page5_GMC_MCI!$L$46&lt;0</f>
        <v>0</v>
      </c>
      <c r="D1302" s="1454" t="b">
        <f>OR(AND(Page5_GMC_MCI!$L46&lt;&gt;0,Page5_GMC_MCI!$M46=0),AND(Page5_GMC_MCI!$M46&lt;&gt;0,Page5_GMC_MCI!$L46=0))</f>
        <v>0</v>
      </c>
      <c r="E1302" s="1454" t="b">
        <f>ROUND(Page5_CHV_MCI!L46+Page5_GMC_MCI!L46,2)&lt;&gt;ROUND(Page5_PARCS_GOUV!L20+Page5_PARCS_GOUV!L22+Page5_PARCS_GOUV!L24+Page5_PARCS_GOUV!L25+Page5_PARCS_GOUV!L27+Page5_PARCS_GOUV!L29+Page5_PARCS_GOUV!L31+Page5_PARCS_GOUV!L32+Page5_PARCS_GOUV!L33+Page5_PARCS_GOUV!L56+Page5_PARCS_GOUV!L56+Page5_PARCS_GOUV!L58+Page5_PARCS_GOUV!L60+Page5_PARCS_GOUV!L61+Page5_PARCS_GOUV!L63+Page5_PARCS_GOUV!L65+Page5_PARCS_GOUV!L67+Page5_PARCS_GOUV!L68+Page5_PARCS_GOUV!L69,2)</f>
        <v>0</v>
      </c>
      <c r="F1302" s="1454"/>
      <c r="G1302" s="1444" t="str">
        <f t="shared" si="174"/>
        <v/>
      </c>
      <c r="H1302" s="1447" t="str">
        <f>IF(C1302=TRUE,Comments!$B$23,"")</f>
        <v/>
      </c>
      <c r="I1302" s="1446" t="str">
        <f>IF(D1302=TRUE,Comments!$B$24,"")</f>
        <v/>
      </c>
      <c r="J1302" s="1446" t="str">
        <f>IF(E1302=TRUE, Comments!$B$98,"")</f>
        <v/>
      </c>
      <c r="K1302" s="1452"/>
      <c r="N1302" s="611" t="str">
        <f>"CPTE # "&amp;Page5_GMC_MCI!$E$46&amp;"  "&amp;Page5_GMC_MCI!$C$46&amp;" - CHIFFRE D'AFFAIRES RÉALISÉ - AAD"</f>
        <v>CPTE # DE PG PARCS  TOTAL PARCS - CAMIONS - CHIFFRE D'AFFAIRES RÉALISÉ - AAD</v>
      </c>
      <c r="O1302" s="611" t="str">
        <f t="shared" si="181"/>
        <v/>
      </c>
      <c r="P1302" s="611" t="str">
        <f t="shared" si="175"/>
        <v>Page5_GMC_MCI!L</v>
      </c>
      <c r="Q1302" s="611">
        <f t="shared" si="176"/>
        <v>46</v>
      </c>
      <c r="R1302" s="1447">
        <f t="shared" ca="1" si="177"/>
        <v>0</v>
      </c>
      <c r="S1302" s="1447">
        <f t="shared" ca="1" si="178"/>
        <v>0</v>
      </c>
      <c r="T1302" s="611">
        <v>98</v>
      </c>
      <c r="V1302" s="2557" t="str">
        <f t="shared" ca="1" si="179"/>
        <v/>
      </c>
      <c r="W1302" s="611" t="str">
        <f t="shared" ca="1" si="180"/>
        <v>Page5_GMC_MCI, Ligne 43 [Page5_GMC_MCI!L46]  -</v>
      </c>
    </row>
    <row r="1303" spans="1:23">
      <c r="A1303" s="1443" t="str">
        <f>celladdr(Page5_GMC_MCI!N46)</f>
        <v>Page5_GMC_MCI!N46</v>
      </c>
      <c r="B1303" s="1456" t="s">
        <v>1086</v>
      </c>
      <c r="C1303" s="1451"/>
      <c r="D1303" s="1454"/>
      <c r="E1303" s="1454" t="b">
        <f>ROUND(Page5_CHV_MCI!N46 + Page5_GMC_MCI!N46,2) &lt;&gt; ROUND(Page5_PARCS_GOUV!N20+Page5_PARCS_GOUV!N22+Page5_PARCS_GOUV!N24+Page5_PARCS_GOUV!N25+Page5_PARCS_GOUV!N27+Page5_PARCS_GOUV!N29+Page5_PARCS_GOUV!N31+Page5_PARCS_GOUV!N32+Page5_PARCS_GOUV!N33+Page5_PARCS_GOUV!N56+Page5_PARCS_GOUV!N56+Page5_PARCS_GOUV!N58+Page5_PARCS_GOUV!N60+Page5_PARCS_GOUV!N61+Page5_PARCS_GOUV!N63+Page5_PARCS_GOUV!N65+Page5_PARCS_GOUV!N67+Page5_PARCS_GOUV!N68+Page5_PARCS_GOUV!N69,2)</f>
        <v>0</v>
      </c>
      <c r="F1303" s="1454"/>
      <c r="G1303" s="1444" t="str">
        <f t="shared" si="174"/>
        <v/>
      </c>
      <c r="I1303" s="1446"/>
      <c r="J1303" s="1446" t="str">
        <f>IF(E1303=TRUE, Comments!$B$99,"")</f>
        <v/>
      </c>
      <c r="K1303" s="1452"/>
      <c r="N1303" s="611" t="str">
        <f>"CPTE # "&amp;Page5_GMC_MCI!$E$46&amp;"  "&amp;Page5_GMC_MCI!$C$46&amp;" - PROFIT BRUT - AAD"</f>
        <v>CPTE # DE PG PARCS  TOTAL PARCS - CAMIONS - PROFIT BRUT - AAD</v>
      </c>
      <c r="O1303" s="611" t="str">
        <f t="shared" si="181"/>
        <v/>
      </c>
      <c r="P1303" s="611" t="str">
        <f t="shared" si="175"/>
        <v>Page5_GMC_MCI!N</v>
      </c>
      <c r="Q1303" s="611">
        <f t="shared" si="176"/>
        <v>46</v>
      </c>
      <c r="R1303" s="1447">
        <f t="shared" ca="1" si="177"/>
        <v>0</v>
      </c>
      <c r="S1303" s="1447">
        <f t="shared" ca="1" si="178"/>
        <v>0</v>
      </c>
      <c r="T1303" s="611">
        <v>99</v>
      </c>
      <c r="W1303" s="611" t="str">
        <f t="shared" ca="1" si="180"/>
        <v>Page5_GMC_MCI, Ligne 43 [Page5_GMC_MCI!N46]  -</v>
      </c>
    </row>
    <row r="1304" spans="1:23">
      <c r="A1304" s="1443" t="str">
        <f>celladdr(Page5_GMC_MCI!L47)</f>
        <v>Page5_GMC_MCI!L47</v>
      </c>
      <c r="B1304" s="1456" t="s">
        <v>1086</v>
      </c>
      <c r="C1304" s="1451" t="b">
        <f>Page5_GMC_MCI!$L$47&lt;0</f>
        <v>0</v>
      </c>
      <c r="D1304" s="1454" t="b">
        <f>OR(AND(Page5_GMC_MCI!$L47&lt;&gt;0,Page5_GMC_MCI!$M47=0),AND(Page5_GMC_MCI!$M47&lt;&gt;0,Page5_GMC_MCI!$L47=0))</f>
        <v>0</v>
      </c>
      <c r="E1304" s="1454"/>
      <c r="F1304" s="1454"/>
      <c r="G1304" s="1444" t="str">
        <f t="shared" si="174"/>
        <v/>
      </c>
      <c r="H1304" s="1447" t="str">
        <f>IF(C1304=TRUE,Comments!$B$23,"")</f>
        <v/>
      </c>
      <c r="I1304" s="1446" t="str">
        <f>IF(D1304=TRUE,Comments!$B$24,"")</f>
        <v/>
      </c>
      <c r="J1304" s="1446"/>
      <c r="K1304" s="1452"/>
      <c r="N1304" s="611" t="str">
        <f>"CPTE # "&amp;Page5_GMC_MCI!$E$47&amp;"  "&amp;Page5_GMC_MCI!$C$47&amp;" - CHIFFRE D'AFFAIRES RÉALISÉ - AAD"</f>
        <v>CPTE # 441F  TOTAL IINTERNE - CAMIONS  - CHIFFRE D'AFFAIRES RÉALISÉ - AAD</v>
      </c>
      <c r="O1304" s="611" t="str">
        <f>IF(A1304=A1302,"TRUE","")</f>
        <v/>
      </c>
      <c r="P1304" s="611" t="str">
        <f t="shared" si="175"/>
        <v>Page5_GMC_MCI!L</v>
      </c>
      <c r="Q1304" s="611">
        <f t="shared" si="176"/>
        <v>47</v>
      </c>
      <c r="R1304" s="1447">
        <f t="shared" ca="1" si="177"/>
        <v>0</v>
      </c>
      <c r="S1304" s="1447">
        <f t="shared" ca="1" si="178"/>
        <v>0</v>
      </c>
      <c r="V1304" s="2557" t="str">
        <f t="shared" ref="V1304:V1367" ca="1" si="182">IF(SUM(R1304+S1304)=0,"","
*** "&amp;TEXT(SUM(R1304+S1304),"0,0")&amp;" Points de précision seront déduits suite à cette(ces) erreur(s) !")</f>
        <v/>
      </c>
      <c r="W1304" s="611" t="str">
        <f t="shared" ca="1" si="180"/>
        <v>Page5_GMC_MCI, Ligne 44 [Page5_GMC_MCI!L47]  -</v>
      </c>
    </row>
    <row r="1305" spans="1:23">
      <c r="A1305" s="1443" t="str">
        <f>celladdr(Page5_GMC_MCI!L48)</f>
        <v>Page5_GMC_MCI!L48</v>
      </c>
      <c r="B1305" s="1444" t="s">
        <v>1086</v>
      </c>
      <c r="C1305" s="1451"/>
      <c r="D1305" s="1454"/>
      <c r="E1305" s="1454"/>
      <c r="F1305" s="1454"/>
      <c r="G1305" s="1444" t="str">
        <f t="shared" si="174"/>
        <v/>
      </c>
      <c r="H1305" s="1447" t="str">
        <f>IF(C1305=TRUE,Comments!$B$26,"")</f>
        <v/>
      </c>
      <c r="I1305" s="1446" t="str">
        <f>IF(D1305=TRUE,Comments!$B$24,"")</f>
        <v/>
      </c>
      <c r="J1305" s="1446"/>
      <c r="K1305" s="1452"/>
      <c r="O1305" s="611" t="str">
        <f t="shared" ref="O1305:O1336" si="183">IF(A1305=A1304,"TRUE","")</f>
        <v/>
      </c>
      <c r="P1305" s="611" t="str">
        <f t="shared" si="175"/>
        <v>Page5_GMC_MCI!L</v>
      </c>
      <c r="Q1305" s="611">
        <f t="shared" si="176"/>
        <v>48</v>
      </c>
      <c r="R1305" s="1447">
        <f t="shared" ca="1" si="177"/>
        <v>0</v>
      </c>
      <c r="S1305" s="1447">
        <f t="shared" ca="1" si="178"/>
        <v>0</v>
      </c>
      <c r="V1305" s="2557" t="str">
        <f t="shared" ca="1" si="182"/>
        <v/>
      </c>
      <c r="W1305" s="611" t="str">
        <f t="shared" ca="1" si="180"/>
        <v>Page5_GMC_MCI, Ligne 45 [Page5_GMC_MCI!L48]  -</v>
      </c>
    </row>
    <row r="1306" spans="1:23">
      <c r="A1306" s="1443" t="str">
        <f>celladdr(Page5_GMC_MCI!L49)</f>
        <v>Page5_GMC_MCI!L49</v>
      </c>
      <c r="B1306" s="1456" t="s">
        <v>1086</v>
      </c>
      <c r="C1306" s="1451" t="b">
        <f>Page5_GMC_MCI!$L$49&lt;0</f>
        <v>0</v>
      </c>
      <c r="D1306" s="1454" t="b">
        <f>OR(AND(Page5_GMC_MCI!$L49&lt;&gt;0,Page5_GMC_MCI!$M49=0),AND(Page5_GMC_MCI!$M49&lt;&gt;0,Page5_GMC_MCI!$L49=0))</f>
        <v>0</v>
      </c>
      <c r="E1306" s="1454"/>
      <c r="F1306" s="1454"/>
      <c r="G1306" s="1444" t="str">
        <f t="shared" si="174"/>
        <v/>
      </c>
      <c r="H1306" s="1447" t="str">
        <f>IF(C1306=TRUE,Comments!$B$23,"")</f>
        <v/>
      </c>
      <c r="I1306" s="1446" t="str">
        <f>IF(D1306=TRUE,Comments!$B$24,"")</f>
        <v/>
      </c>
      <c r="J1306" s="1446"/>
      <c r="K1306" s="1452"/>
      <c r="N1306" s="611" t="str">
        <f>"CPTE # "&amp;Page5_GMC_MCI!$E$49&amp;"  "&amp;Page5_GMC_MCI!$C$49&amp;" - CHIFFRE D'AFFAIRES RÉALISÉ - AAD"</f>
        <v>CPTE #      - CHIFFRE D'AFFAIRES RÉALISÉ - AAD</v>
      </c>
      <c r="O1306" s="611" t="str">
        <f t="shared" si="183"/>
        <v/>
      </c>
      <c r="P1306" s="611" t="str">
        <f t="shared" si="175"/>
        <v>Page5_GMC_MCI!L</v>
      </c>
      <c r="Q1306" s="611">
        <f t="shared" si="176"/>
        <v>49</v>
      </c>
      <c r="R1306" s="1447">
        <f t="shared" ca="1" si="177"/>
        <v>0</v>
      </c>
      <c r="S1306" s="1447">
        <f t="shared" ca="1" si="178"/>
        <v>0</v>
      </c>
      <c r="V1306" s="2557" t="str">
        <f t="shared" ca="1" si="182"/>
        <v/>
      </c>
      <c r="W1306" s="611" t="str">
        <f t="shared" ca="1" si="180"/>
        <v>Page5_GMC_MCI, Ligne 46 [Page5_GMC_MCI!L49]  -</v>
      </c>
    </row>
    <row r="1307" spans="1:23">
      <c r="A1307" s="1443" t="str">
        <f>celladdr(Page5_GMC_MCI!L50)</f>
        <v>Page5_GMC_MCI!L50</v>
      </c>
      <c r="B1307" s="1456" t="s">
        <v>1086</v>
      </c>
      <c r="C1307" s="1451" t="b">
        <f>Page5_GMC_MCI!$L$50&lt;0</f>
        <v>0</v>
      </c>
      <c r="D1307" s="1454" t="b">
        <f>OR(AND(Page5_GMC_MCI!$L50&lt;&gt;0,Page5_GMC_MCI!$M50=0),AND(Page5_GMC_MCI!$M50&lt;&gt;0,Page5_GMC_MCI!$L50=0))</f>
        <v>0</v>
      </c>
      <c r="E1307" s="1454"/>
      <c r="F1307" s="1454"/>
      <c r="G1307" s="1444" t="str">
        <f t="shared" si="174"/>
        <v/>
      </c>
      <c r="H1307" s="1447" t="str">
        <f>IF(C1307=TRUE,Comments!$B$23,"")</f>
        <v/>
      </c>
      <c r="I1307" s="1446" t="str">
        <f>IF(D1307=TRUE,Comments!$B$24,"")</f>
        <v/>
      </c>
      <c r="J1307" s="1446"/>
      <c r="K1307" s="1452"/>
      <c r="N1307" s="611" t="str">
        <f>"CPTE # "&amp;Page5_GMC_MCI!$E$50&amp;"  "&amp;Page5_GMC_MCI!$C$50&amp;" - CHIFFRE D'AFFAIRES RÉALISÉ - AAD"</f>
        <v>CPTE # 457F  ACCESSOIRES - CHIFFRE D'AFFAIRES RÉALISÉ - AAD</v>
      </c>
      <c r="O1307" s="611" t="str">
        <f t="shared" si="183"/>
        <v/>
      </c>
      <c r="P1307" s="611" t="str">
        <f t="shared" si="175"/>
        <v>Page5_GMC_MCI!L</v>
      </c>
      <c r="Q1307" s="611">
        <f t="shared" si="176"/>
        <v>50</v>
      </c>
      <c r="R1307" s="1447">
        <f t="shared" ca="1" si="177"/>
        <v>0</v>
      </c>
      <c r="S1307" s="1447">
        <f t="shared" ca="1" si="178"/>
        <v>0</v>
      </c>
      <c r="V1307" s="2557" t="str">
        <f t="shared" ca="1" si="182"/>
        <v/>
      </c>
      <c r="W1307" s="611" t="str">
        <f t="shared" ca="1" si="180"/>
        <v>Page5_GMC_MCI, Ligne 47 [Page5_GMC_MCI!L50]  -</v>
      </c>
    </row>
    <row r="1308" spans="1:23">
      <c r="A1308" s="1443" t="str">
        <f>celladdr(Page5_GMC_MCI!M4)</f>
        <v>Page5_GMC_MCI!M4</v>
      </c>
      <c r="B1308" s="1456" t="s">
        <v>1086</v>
      </c>
      <c r="C1308" s="1451" t="b">
        <f>IF(Page5_GMC_MCI!$K$4=0,FALSE,OR(Page5_GMC_MCI!$M$4/Page5_GMC_MCI!$K$4&lt;INDEX(Min_Table,L1308),Page5_GMC_MCI!$M$4/Page5_GMC_MCI!$K$4&gt;INDEX(Max_Table,L1308)))</f>
        <v>0</v>
      </c>
      <c r="D1308" s="1454" t="b">
        <f>OR(AND(Page5_GMC_MCI!$L4&lt;&gt;0,Page5_GMC_MCI!$M4=0),AND(Page5_GMC_MCI!$M4&lt;&gt;0,Page5_GMC_MCI!$L4=0))</f>
        <v>0</v>
      </c>
      <c r="E1308" s="1454" t="b">
        <f>IF(Page5_GMC_MCI!$K$4=0,FALSE,OR(Page5_GMC_MCI!$M$4/Page5_GMC_MCI!$K$4&lt;INDEX(Min_Table,M1308),Page5_GMC_MCI!$M$4/Page5_GMC_MCI!$K$4&gt;INDEX(Max_Table,M1308)))</f>
        <v>0</v>
      </c>
      <c r="F1308" s="1454"/>
      <c r="G1308" s="1444" t="str">
        <f t="shared" si="174"/>
        <v/>
      </c>
      <c r="H1308" s="1447" t="str">
        <f>IF(C1308=TRUE,Comments!$B$20&amp;DOLLAR(INDEX(Min_Table,L1308),0)&amp;Comments!$B$18&amp;DOLLAR(INDEX(Max_Table,L1308),0)&amp;Comments!$B$19&amp;DOLLAR(Page5_GMC_MCI!$M$4/Page5_GMC_MCI!$K$4,0),"")</f>
        <v/>
      </c>
      <c r="I1308" s="1446" t="str">
        <f>IF(D1308=TRUE,Comments!$B$24,"")</f>
        <v/>
      </c>
      <c r="J1308" s="1446" t="str">
        <f>IF(E1308=TRUE,Comments!$B$22&amp;DOLLAR(INDEX(Min_Table,M1308),0)&amp;Comments!$B$18&amp;DOLLAR(INDEX(Max_Table,M1308),0)&amp;Comments!$B$19&amp;IFERROR(DOLLAR(Page5_GMC_MCI!$M$4/Page5_GMC_MCI!$K$4,0),0),"")</f>
        <v/>
      </c>
      <c r="K1308" s="1452"/>
      <c r="L1308" s="611">
        <f>ROW(OR_VEH!$A$667)</f>
        <v>667</v>
      </c>
      <c r="M1308" s="611">
        <f>ROW(OR_VEH!$A$253)</f>
        <v>253</v>
      </c>
      <c r="N1308" s="611" t="str">
        <f>"CPTE # "&amp;Page5_GMC_MCI!$E$4&amp;"  "&amp;Page5_GMC_MCI!$C$4&amp;" - COÛT DES VENTES - AAD"</f>
        <v>CPTE # 400F  NE PAS UTILISER - COÛT DES VENTES - AAD</v>
      </c>
      <c r="O1308" s="611" t="str">
        <f t="shared" si="183"/>
        <v/>
      </c>
      <c r="P1308" s="611" t="str">
        <f t="shared" si="175"/>
        <v>Page5_GMC_MCI!M</v>
      </c>
      <c r="Q1308" s="611">
        <f t="shared" si="176"/>
        <v>4</v>
      </c>
      <c r="R1308" s="1447">
        <f t="shared" ca="1" si="177"/>
        <v>0</v>
      </c>
      <c r="S1308" s="1447">
        <f t="shared" ca="1" si="178"/>
        <v>0</v>
      </c>
      <c r="T1308" s="611">
        <v>22</v>
      </c>
      <c r="V1308" s="2557" t="str">
        <f t="shared" ca="1" si="182"/>
        <v/>
      </c>
      <c r="W1308" s="611" t="str">
        <f t="shared" ca="1" si="180"/>
        <v>Page5_GMC_MCI, Ligne 1 [Page5_GMC_MCI!M4]  -</v>
      </c>
    </row>
    <row r="1309" spans="1:23">
      <c r="A1309" s="1443" t="str">
        <f>celladdr(Page5_GMC_MCI!M5)</f>
        <v>Page5_GMC_MCI!M5</v>
      </c>
      <c r="B1309" s="1456" t="s">
        <v>1086</v>
      </c>
      <c r="C1309" s="1451" t="b">
        <f>IF(Page5_GMC_MCI!$K$5=0,FALSE,OR(Page5_GMC_MCI!$M$5/Page5_GMC_MCI!$K$5&lt;INDEX(Min_Table,L1309),Page5_GMC_MCI!$M$5/Page5_GMC_MCI!$K$5&gt;INDEX(Max_Table,L1309)))</f>
        <v>0</v>
      </c>
      <c r="D1309" s="1454" t="b">
        <f>OR(AND(Page5_GMC_MCI!$L5&lt;&gt;0,Page5_GMC_MCI!$M5=0),AND(Page5_GMC_MCI!$M5&lt;&gt;0,Page5_GMC_MCI!$L5=0))</f>
        <v>0</v>
      </c>
      <c r="E1309" s="1454" t="b">
        <f>IF(Page5_GMC_MCI!$K$5=0,FALSE,OR(Page5_GMC_MCI!$M$5/Page5_GMC_MCI!$K$5&lt;INDEX(Min_Table,M1309),Page5_GMC_MCI!$M$5/Page5_GMC_MCI!$K$5&gt;INDEX(Max_Table,M1309)))</f>
        <v>0</v>
      </c>
      <c r="F1309" s="1454"/>
      <c r="G1309" s="1444" t="str">
        <f t="shared" si="174"/>
        <v/>
      </c>
      <c r="H1309" s="1447" t="str">
        <f>IF(C1309=TRUE,Comments!$B$20&amp;DOLLAR(INDEX(Min_Table,L1309),0)&amp;Comments!$B$18&amp;DOLLAR(INDEX(Max_Table,L1309),0)&amp;Comments!$B$19&amp;DOLLAR(Page5_GMC_MCI!$M$5/Page5_GMC_MCI!$K$5,0),"")</f>
        <v/>
      </c>
      <c r="I1309" s="1446" t="str">
        <f>IF(D1309=TRUE,Comments!$B$24,"")</f>
        <v/>
      </c>
      <c r="J1309" s="1446" t="str">
        <f>IF(E1309=TRUE,Comments!$B$22&amp;DOLLAR(INDEX(Min_Table,M1309),0)&amp;Comments!$B$18&amp;DOLLAR(INDEX(Max_Table,M1309),0)&amp;Comments!$B$19&amp;IFERROR(DOLLAR(Page5_GMC_MCI!$M$5/Page5_GMC_MCI!$K$5,0),0),"")</f>
        <v/>
      </c>
      <c r="K1309" s="1452"/>
      <c r="L1309" s="611">
        <f>ROW(OR_VEH!$A$667)</f>
        <v>667</v>
      </c>
      <c r="M1309" s="611">
        <f>ROW(OR_VEH!$A$254)</f>
        <v>254</v>
      </c>
      <c r="N1309" s="611" t="str">
        <f>"CPTE # "&amp;Page5_GMC_MCI!$E$5&amp;"  "&amp;Page5_GMC_MCI!$C$5&amp;" - COÛT DES VENTES - AAD"</f>
        <v>CPTE # 401F  NE PAS UTILISER - COÛT DES VENTES - AAD</v>
      </c>
      <c r="O1309" s="611" t="str">
        <f t="shared" si="183"/>
        <v/>
      </c>
      <c r="P1309" s="611" t="str">
        <f t="shared" si="175"/>
        <v>Page5_GMC_MCI!M</v>
      </c>
      <c r="Q1309" s="611">
        <f t="shared" si="176"/>
        <v>5</v>
      </c>
      <c r="R1309" s="1447">
        <f t="shared" ca="1" si="177"/>
        <v>0</v>
      </c>
      <c r="S1309" s="1447">
        <f t="shared" ca="1" si="178"/>
        <v>0</v>
      </c>
      <c r="T1309" s="611">
        <v>22</v>
      </c>
      <c r="V1309" s="2557" t="str">
        <f t="shared" ca="1" si="182"/>
        <v/>
      </c>
      <c r="W1309" s="611" t="str">
        <f t="shared" ca="1" si="180"/>
        <v>Page5_GMC_MCI, Ligne 2 [Page5_GMC_MCI!M5]  -</v>
      </c>
    </row>
    <row r="1310" spans="1:23">
      <c r="A1310" s="1443" t="str">
        <f>celladdr(Page5_GMC_MCI!M6)</f>
        <v>Page5_GMC_MCI!M6</v>
      </c>
      <c r="B1310" s="1456" t="s">
        <v>1086</v>
      </c>
      <c r="C1310" s="1451" t="b">
        <f>IF(Page5_GMC_MCI!$K$6=0,FALSE,OR(Page5_GMC_MCI!$M$6/Page5_GMC_MCI!$K$6&lt;INDEX(Min_Table,L1310),Page5_GMC_MCI!$M$6/Page5_GMC_MCI!$K$6&gt;INDEX(Max_Table,L1310)))</f>
        <v>0</v>
      </c>
      <c r="D1310" s="1454" t="b">
        <f>OR(AND(Page5_GMC_MCI!$L6&lt;&gt;0,Page5_GMC_MCI!$M6=0),AND(Page5_GMC_MCI!$M6&lt;&gt;0,Page5_GMC_MCI!$L6=0))</f>
        <v>0</v>
      </c>
      <c r="E1310" s="1454" t="b">
        <f>IF(Page5_GMC_MCI!$K$6=0,FALSE,OR(Page5_GMC_MCI!$M$6/Page5_GMC_MCI!$K$6&lt;INDEX(Min_Table,M1310),Page5_GMC_MCI!$M$6/Page5_GMC_MCI!$K$6&gt;INDEX(Max_Table,M1310)))</f>
        <v>0</v>
      </c>
      <c r="F1310" s="1454"/>
      <c r="G1310" s="1444" t="str">
        <f t="shared" si="174"/>
        <v/>
      </c>
      <c r="H1310" s="1447" t="str">
        <f>IF(C1310=TRUE,Comments!$B$20&amp;DOLLAR(INDEX(Min_Table,L1310),0)&amp;Comments!$B$18&amp;DOLLAR(INDEX(Max_Table,L1310),0)&amp;Comments!$B$19&amp;DOLLAR(Page5_GMC_MCI!$M$6/Page5_GMC_MCI!$K$6,0),"")</f>
        <v/>
      </c>
      <c r="I1310" s="1446" t="str">
        <f>IF(D1310=TRUE,Comments!$B$24,"")</f>
        <v/>
      </c>
      <c r="J1310" s="1446" t="str">
        <f>IF(E1310=TRUE,Comments!$B$22&amp;DOLLAR(INDEX(Min_Table,M1310),0)&amp;Comments!$B$18&amp;DOLLAR(INDEX(Max_Table,M1310),0)&amp;Comments!$B$19&amp;IFERROR(DOLLAR(Page5_GMC_MCI!$M$6/Page5_GMC_MCI!$K$6,0),0),"")</f>
        <v/>
      </c>
      <c r="K1310" s="1452"/>
      <c r="L1310" s="611">
        <f>ROW(OR_VEH!$A$667)</f>
        <v>667</v>
      </c>
      <c r="M1310" s="611">
        <f>ROW(OR_VEH!$A$255)</f>
        <v>255</v>
      </c>
      <c r="N1310" s="611" t="str">
        <f>"CPTE # "&amp;Page5_GMC_MCI!$E$6&amp;"  "&amp;Page5_GMC_MCI!$C$6&amp;" - COÛT DES VENTES - AAD"</f>
        <v>CPTE # 402F  NE PAS UTILISER - COÛT DES VENTES - AAD</v>
      </c>
      <c r="O1310" s="611" t="str">
        <f t="shared" si="183"/>
        <v/>
      </c>
      <c r="P1310" s="611" t="str">
        <f t="shared" si="175"/>
        <v>Page5_GMC_MCI!M</v>
      </c>
      <c r="Q1310" s="611">
        <f t="shared" si="176"/>
        <v>6</v>
      </c>
      <c r="R1310" s="1447">
        <f t="shared" ca="1" si="177"/>
        <v>0</v>
      </c>
      <c r="S1310" s="1447">
        <f t="shared" ca="1" si="178"/>
        <v>0</v>
      </c>
      <c r="T1310" s="611">
        <v>22</v>
      </c>
      <c r="V1310" s="2557" t="str">
        <f t="shared" ca="1" si="182"/>
        <v/>
      </c>
      <c r="W1310" s="611" t="str">
        <f t="shared" ca="1" si="180"/>
        <v>Page5_GMC_MCI, Ligne 3 [Page5_GMC_MCI!M6]  -</v>
      </c>
    </row>
    <row r="1311" spans="1:23">
      <c r="A1311" s="1443" t="str">
        <f>celladdr(Page5_GMC_MCI!M7)</f>
        <v>Page5_GMC_MCI!M7</v>
      </c>
      <c r="B1311" s="1456" t="s">
        <v>1086</v>
      </c>
      <c r="C1311" s="1451" t="b">
        <f>IF(Page5_GMC_MCI!$K$7=0,FALSE,OR(Page5_GMC_MCI!$M$7/Page5_GMC_MCI!$K$7&lt;INDEX(Min_Table,L1311),Page5_GMC_MCI!$M$7/Page5_GMC_MCI!$K$7&gt;INDEX(Max_Table,L1311)))</f>
        <v>0</v>
      </c>
      <c r="D1311" s="1454" t="b">
        <f>OR(AND(Page5_GMC_MCI!$L7&lt;&gt;0,Page5_GMC_MCI!$M7=0),AND(Page5_GMC_MCI!$M7&lt;&gt;0,Page5_GMC_MCI!$L7=0))</f>
        <v>0</v>
      </c>
      <c r="E1311" s="1454" t="b">
        <f>IF(Page5_GMC_MCI!$K$7=0,FALSE,OR(Page5_GMC_MCI!$M$7/Page5_GMC_MCI!$K$7&lt;INDEX(Min_Table,M1311),Page5_GMC_MCI!$M$7/Page5_GMC_MCI!$K$7&gt;INDEX(Max_Table,M1311)))</f>
        <v>0</v>
      </c>
      <c r="F1311" s="1454"/>
      <c r="G1311" s="1444" t="str">
        <f t="shared" si="174"/>
        <v/>
      </c>
      <c r="H1311" s="1447" t="str">
        <f>IF(C1311=TRUE,Comments!$B$20&amp;DOLLAR(INDEX(Min_Table,L1311),0)&amp;Comments!$B$18&amp;DOLLAR(INDEX(Max_Table,L1311),0)&amp;Comments!$B$19&amp;DOLLAR(Page5_GMC_MCI!$M$7/Page5_GMC_MCI!$K$7,0),"")</f>
        <v/>
      </c>
      <c r="I1311" s="1446" t="str">
        <f>IF(D1311=TRUE,Comments!$B$24,"")</f>
        <v/>
      </c>
      <c r="J1311" s="1446" t="str">
        <f>IF(E1311=TRUE,Comments!$B$22&amp;DOLLAR(INDEX(Min_Table,M1311),0)&amp;Comments!$B$18&amp;DOLLAR(INDEX(Max_Table,M1311),0)&amp;Comments!$B$19&amp;IFERROR(DOLLAR(Page5_GMC_MCI!$M$7/Page5_GMC_MCI!$K$7,0),0),"")</f>
        <v/>
      </c>
      <c r="K1311" s="1452"/>
      <c r="L1311" s="611">
        <f>ROW(OR_VEH!$A$667)</f>
        <v>667</v>
      </c>
      <c r="M1311" s="611">
        <f>ROW(OR_VEH!$A$256)</f>
        <v>256</v>
      </c>
      <c r="N1311" s="611" t="str">
        <f>"CPTE # "&amp;Page5_GMC_MCI!$E$7&amp;"  "&amp;Page5_GMC_MCI!$C$7&amp;" - COÛT DES VENTES - AAD"</f>
        <v>CPTE # 403F  NE PAS UTILISER - COÛT DES VENTES - AAD</v>
      </c>
      <c r="O1311" s="611" t="str">
        <f t="shared" si="183"/>
        <v/>
      </c>
      <c r="P1311" s="611" t="str">
        <f t="shared" si="175"/>
        <v>Page5_GMC_MCI!M</v>
      </c>
      <c r="Q1311" s="611">
        <f t="shared" si="176"/>
        <v>7</v>
      </c>
      <c r="R1311" s="1447">
        <f t="shared" ca="1" si="177"/>
        <v>0</v>
      </c>
      <c r="S1311" s="1447">
        <f t="shared" ca="1" si="178"/>
        <v>0</v>
      </c>
      <c r="T1311" s="611">
        <v>22</v>
      </c>
      <c r="V1311" s="2557" t="str">
        <f t="shared" ca="1" si="182"/>
        <v/>
      </c>
      <c r="W1311" s="611" t="str">
        <f t="shared" ca="1" si="180"/>
        <v>Page5_GMC_MCI, Ligne 4 [Page5_GMC_MCI!M7]  -</v>
      </c>
    </row>
    <row r="1312" spans="1:23">
      <c r="A1312" s="1443" t="str">
        <f>celladdr(Page5_GMC_MCI!M8)</f>
        <v>Page5_GMC_MCI!M8</v>
      </c>
      <c r="B1312" s="1456" t="s">
        <v>1086</v>
      </c>
      <c r="C1312" s="1451" t="b">
        <f>IF(Page5_GMC_MCI!$K$8=0,FALSE,OR(Page5_GMC_MCI!$M$8/Page5_GMC_MCI!$K$8&lt;INDEX(Min_Table,L1312),Page5_GMC_MCI!$M$8/Page5_GMC_MCI!$K$8&gt;INDEX(Max_Table,L1312)))</f>
        <v>0</v>
      </c>
      <c r="D1312" s="1454" t="b">
        <f>OR(AND(Page5_GMC_MCI!$L8&lt;&gt;0,Page5_GMC_MCI!$M8=0),AND(Page5_GMC_MCI!$M8&lt;&gt;0,Page5_GMC_MCI!$L8=0))</f>
        <v>0</v>
      </c>
      <c r="E1312" s="1454" t="b">
        <f>IF(Page5_GMC_MCI!$K$8=0,FALSE,OR(Page5_GMC_MCI!$M$8/Page5_GMC_MCI!$K$8&lt;INDEX(Min_Table,M1312),Page5_GMC_MCI!$M$8/Page5_GMC_MCI!$K$8&gt;INDEX(Max_Table,M1312)))</f>
        <v>0</v>
      </c>
      <c r="F1312" s="1454"/>
      <c r="G1312" s="1444" t="str">
        <f t="shared" si="174"/>
        <v/>
      </c>
      <c r="H1312" s="1447" t="str">
        <f>IF(C1312=TRUE,Comments!$B$20&amp;DOLLAR(INDEX(Min_Table,L1312),0)&amp;Comments!$B$18&amp;DOLLAR(INDEX(Max_Table,L1312),0)&amp;Comments!$B$19&amp;DOLLAR(Page5_GMC_MCI!$M$8/Page5_GMC_MCI!$K$8,0),"")</f>
        <v/>
      </c>
      <c r="I1312" s="1446" t="str">
        <f>IF(D1312=TRUE,Comments!$B$24,"")</f>
        <v/>
      </c>
      <c r="J1312" s="1446" t="str">
        <f>IF(E1312=TRUE,Comments!$B$22&amp;DOLLAR(INDEX(Min_Table,M1312),0)&amp;Comments!$B$18&amp;DOLLAR(INDEX(Max_Table,M1312),0)&amp;Comments!$B$19&amp;IFERROR(DOLLAR(Page5_GMC_MCI!$M$8/Page5_GMC_MCI!$K$8,0),0),"")</f>
        <v/>
      </c>
      <c r="K1312" s="1452"/>
      <c r="L1312" s="611">
        <f>ROW(OR_VEH!$A$667)</f>
        <v>667</v>
      </c>
      <c r="M1312" s="611">
        <f>ROW(OR_VEH!$A$257)</f>
        <v>257</v>
      </c>
      <c r="N1312" s="611" t="str">
        <f>"CPTE # "&amp;Page5_GMC_MCI!$E$8&amp;"  "&amp;Page5_GMC_MCI!$C$8&amp;" - COÛT DES VENTES - AAD"</f>
        <v>CPTE # 404F  NE PAS UTILISER - COÛT DES VENTES - AAD</v>
      </c>
      <c r="O1312" s="611" t="str">
        <f t="shared" si="183"/>
        <v/>
      </c>
      <c r="P1312" s="611" t="str">
        <f t="shared" si="175"/>
        <v>Page5_GMC_MCI!M</v>
      </c>
      <c r="Q1312" s="611">
        <f t="shared" si="176"/>
        <v>8</v>
      </c>
      <c r="R1312" s="1447">
        <f t="shared" ca="1" si="177"/>
        <v>0</v>
      </c>
      <c r="S1312" s="1447">
        <f t="shared" ca="1" si="178"/>
        <v>0</v>
      </c>
      <c r="T1312" s="611">
        <v>22</v>
      </c>
      <c r="V1312" s="2557" t="str">
        <f t="shared" ca="1" si="182"/>
        <v/>
      </c>
      <c r="W1312" s="611" t="str">
        <f t="shared" ca="1" si="180"/>
        <v>Page5_GMC_MCI, Ligne 5 [Page5_GMC_MCI!M8]  -</v>
      </c>
    </row>
    <row r="1313" spans="1:23">
      <c r="A1313" s="1443" t="str">
        <f>celladdr(Page5_GMC_MCI!M9)</f>
        <v>Page5_GMC_MCI!M9</v>
      </c>
      <c r="B1313" s="1456" t="s">
        <v>1086</v>
      </c>
      <c r="C1313" s="1451" t="b">
        <f>IF(Page5_GMC_MCI!$K$9=0,FALSE,OR(Page5_GMC_MCI!$M$9/Page5_GMC_MCI!$K$9&lt;INDEX(Min_Table,L1313),Page5_GMC_MCI!$M$9/Page5_GMC_MCI!$K$9&gt;INDEX(Max_Table,L1313)))</f>
        <v>0</v>
      </c>
      <c r="D1313" s="1454" t="b">
        <f>OR(AND(Page5_GMC_MCI!$L9&lt;&gt;0,Page5_GMC_MCI!$M9=0),AND(Page5_GMC_MCI!$M9&lt;&gt;0,Page5_GMC_MCI!$L9=0))</f>
        <v>0</v>
      </c>
      <c r="E1313" s="1454" t="b">
        <f>IF(Page5_GMC_MCI!$K$9=0,FALSE,OR(Page5_GMC_MCI!$M$9/Page5_GMC_MCI!$K$9&lt;INDEX(Min_Table,M1313),Page5_GMC_MCI!$M$9/Page5_GMC_MCI!$K$9&gt;INDEX(Max_Table,M1313)))</f>
        <v>0</v>
      </c>
      <c r="F1313" s="1454"/>
      <c r="G1313" s="1444" t="str">
        <f t="shared" si="174"/>
        <v/>
      </c>
      <c r="H1313" s="1447" t="str">
        <f>IF(C1313=TRUE,Comments!$B$20&amp;DOLLAR(INDEX(Min_Table,L1313),0)&amp;Comments!$B$18&amp;DOLLAR(INDEX(Max_Table,L1313),0)&amp;Comments!$B$19&amp;DOLLAR(Page5_GMC_MCI!$M$9/Page5_GMC_MCI!$K$9,0),"")</f>
        <v/>
      </c>
      <c r="I1313" s="1446" t="str">
        <f>IF(D1313=TRUE,Comments!$B$24,"")</f>
        <v/>
      </c>
      <c r="J1313" s="1446" t="str">
        <f>IF(E1313=TRUE,Comments!$B$22&amp;DOLLAR(INDEX(Min_Table,M1313),0)&amp;Comments!$B$18&amp;DOLLAR(INDEX(Max_Table,M1313),0)&amp;Comments!$B$19&amp;IFERROR(DOLLAR(Page5_GMC_MCI!$M$9/Page5_GMC_MCI!$K$9,0),0),"")</f>
        <v/>
      </c>
      <c r="K1313" s="1452"/>
      <c r="L1313" s="611">
        <f>ROW(OR_VEH!$A$667)</f>
        <v>667</v>
      </c>
      <c r="M1313" s="611">
        <f>ROW(OR_VEH!$A$258)</f>
        <v>258</v>
      </c>
      <c r="N1313" s="611" t="str">
        <f>"CPTE # "&amp;Page5_GMC_MCI!$E$9&amp;"  "&amp;Page5_GMC_MCI!$C$9&amp;" - COÛT DES VENTES - AAD"</f>
        <v>CPTE # 405F  NE PAS UTILISER - COÛT DES VENTES - AAD</v>
      </c>
      <c r="O1313" s="611" t="str">
        <f t="shared" si="183"/>
        <v/>
      </c>
      <c r="P1313" s="611" t="str">
        <f t="shared" si="175"/>
        <v>Page5_GMC_MCI!M</v>
      </c>
      <c r="Q1313" s="611">
        <f t="shared" si="176"/>
        <v>9</v>
      </c>
      <c r="R1313" s="1447">
        <f t="shared" ca="1" si="177"/>
        <v>0</v>
      </c>
      <c r="S1313" s="1447">
        <f t="shared" ca="1" si="178"/>
        <v>0</v>
      </c>
      <c r="T1313" s="611">
        <v>22</v>
      </c>
      <c r="V1313" s="2557" t="str">
        <f t="shared" ca="1" si="182"/>
        <v/>
      </c>
      <c r="W1313" s="611" t="str">
        <f t="shared" ca="1" si="180"/>
        <v>Page5_GMC_MCI, Ligne 6 [Page5_GMC_MCI!M9]  -</v>
      </c>
    </row>
    <row r="1314" spans="1:23">
      <c r="A1314" s="1443" t="str">
        <f>celladdr(Page5_GMC_MCI!M10)</f>
        <v>Page5_GMC_MCI!M10</v>
      </c>
      <c r="B1314" s="1456" t="s">
        <v>1086</v>
      </c>
      <c r="C1314" s="1451" t="b">
        <f>IF(Page5_GMC_MCI!$K$10=0,FALSE,OR(Page5_GMC_MCI!$M$10/Page5_GMC_MCI!$K$10&lt;INDEX(Min_Table,L1314),Page5_GMC_MCI!$M$10/Page5_GMC_MCI!$K$10&gt;INDEX(Max_Table,L1314)))</f>
        <v>0</v>
      </c>
      <c r="D1314" s="1454" t="b">
        <f>OR(AND(Page5_GMC_MCI!$L10&lt;&gt;0,Page5_GMC_MCI!$M10=0),AND(Page5_GMC_MCI!$M10&lt;&gt;0,Page5_GMC_MCI!$L10=0))</f>
        <v>0</v>
      </c>
      <c r="E1314" s="1454" t="b">
        <f>IF(Page5_GMC_MCI!$K$10=0,FALSE,OR(Page5_GMC_MCI!$M$10/Page5_GMC_MCI!$K$10&lt;INDEX(Min_Table,M1314),Page5_GMC_MCI!$M$10/Page5_GMC_MCI!$K$10&gt;INDEX(Max_Table,M1314)))</f>
        <v>0</v>
      </c>
      <c r="F1314" s="1454"/>
      <c r="G1314" s="1444" t="str">
        <f t="shared" si="174"/>
        <v/>
      </c>
      <c r="H1314" s="1447" t="str">
        <f>IF(C1314=TRUE,Comments!$B$20&amp;DOLLAR(INDEX(Min_Table,L1314),0)&amp;Comments!$B$18&amp;DOLLAR(INDEX(Max_Table,L1314),0)&amp;Comments!$B$19&amp;DOLLAR(Page5_GMC_MCI!$M$10/Page5_GMC_MCI!$K$10,0),"")</f>
        <v/>
      </c>
      <c r="I1314" s="1446" t="str">
        <f>IF(D1314=TRUE,Comments!$B$24,"")</f>
        <v/>
      </c>
      <c r="J1314" s="1446" t="str">
        <f>IF(E1314=TRUE,Comments!$B$22&amp;DOLLAR(INDEX(Min_Table,M1314),0)&amp;Comments!$B$18&amp;DOLLAR(INDEX(Max_Table,M1314),0)&amp;Comments!$B$19&amp;IFERROR(DOLLAR(Page5_GMC_MCI!$M$10/Page5_GMC_MCI!$K$10,0),0),"")</f>
        <v/>
      </c>
      <c r="K1314" s="1452"/>
      <c r="L1314" s="611">
        <f>ROW(OR_VEH!$A$667)</f>
        <v>667</v>
      </c>
      <c r="M1314" s="611">
        <f>ROW(OR_VEH!$A$259)</f>
        <v>259</v>
      </c>
      <c r="N1314" s="611" t="str">
        <f>"CPTE # "&amp;Page5_GMC_MCI!$E$10&amp;"  "&amp;Page5_GMC_MCI!$C$10&amp;" - COÛT DES VENTES - AAD"</f>
        <v>CPTE # 406F  NE PAS UTILISER - COÛT DES VENTES - AAD</v>
      </c>
      <c r="O1314" s="611" t="str">
        <f t="shared" si="183"/>
        <v/>
      </c>
      <c r="P1314" s="611" t="str">
        <f t="shared" si="175"/>
        <v>Page5_GMC_MCI!M</v>
      </c>
      <c r="Q1314" s="611">
        <f t="shared" si="176"/>
        <v>10</v>
      </c>
      <c r="R1314" s="1447">
        <f t="shared" ca="1" si="177"/>
        <v>0</v>
      </c>
      <c r="S1314" s="1447">
        <f t="shared" ca="1" si="178"/>
        <v>0</v>
      </c>
      <c r="T1314" s="611">
        <v>22</v>
      </c>
      <c r="V1314" s="2557" t="str">
        <f t="shared" ca="1" si="182"/>
        <v/>
      </c>
      <c r="W1314" s="611" t="str">
        <f t="shared" ca="1" si="180"/>
        <v>Page5_GMC_MCI, Ligne 7 [Page5_GMC_MCI!M10]  -</v>
      </c>
    </row>
    <row r="1315" spans="1:23">
      <c r="A1315" s="1443" t="str">
        <f>celladdr(Page5_GMC_MCI!M11)</f>
        <v>Page5_GMC_MCI!M11</v>
      </c>
      <c r="B1315" s="1456" t="s">
        <v>1086</v>
      </c>
      <c r="C1315" s="1451" t="b">
        <f>IF(Page5_GMC_MCI!$K$11=0,FALSE,OR(Page5_GMC_MCI!$M$11/Page5_GMC_MCI!$K$11&lt;INDEX(Min_Table,L1315),Page5_GMC_MCI!$M$11/Page5_GMC_MCI!$K$11&gt;INDEX(Max_Table,L1315)))</f>
        <v>0</v>
      </c>
      <c r="D1315" s="1454" t="b">
        <f>OR(AND(Page5_GMC_MCI!$L11&lt;&gt;0,Page5_GMC_MCI!$M11=0),AND(Page5_GMC_MCI!$M11&lt;&gt;0,Page5_GMC_MCI!$L11=0))</f>
        <v>0</v>
      </c>
      <c r="E1315" s="1454" t="b">
        <f>IF(Page5_GMC_MCI!$K$11=0,FALSE,OR(Page5_GMC_MCI!$M$11/Page5_GMC_MCI!$K$11&lt;INDEX(Min_Table,M1315),Page5_GMC_MCI!$M$11/Page5_GMC_MCI!$K$11&gt;INDEX(Max_Table,M1315)))</f>
        <v>0</v>
      </c>
      <c r="F1315" s="1454"/>
      <c r="G1315" s="1444" t="str">
        <f t="shared" si="174"/>
        <v/>
      </c>
      <c r="H1315" s="1447" t="str">
        <f>IF(C1315=TRUE,Comments!$B$20&amp;DOLLAR(INDEX(Min_Table,L1315),0)&amp;Comments!$B$18&amp;DOLLAR(INDEX(Max_Table,L1315),0)&amp;Comments!$B$19&amp;DOLLAR(Page5_GMC_MCI!$M$11/Page5_GMC_MCI!$K$11,0),"")</f>
        <v/>
      </c>
      <c r="I1315" s="1446" t="str">
        <f>IF(D1315=TRUE,Comments!$B$24,"")</f>
        <v/>
      </c>
      <c r="J1315" s="1446" t="str">
        <f>IF(E1315=TRUE,Comments!$B$22&amp;DOLLAR(INDEX(Min_Table,M1315),0)&amp;Comments!$B$18&amp;DOLLAR(INDEX(Max_Table,M1315),0)&amp;Comments!$B$19&amp;IFERROR(DOLLAR(Page5_GMC_MCI!$M$11/Page5_GMC_MCI!$K$11,0),0),"")</f>
        <v/>
      </c>
      <c r="K1315" s="1452"/>
      <c r="L1315" s="611">
        <f>ROW(OR_VEH!$A$667)</f>
        <v>667</v>
      </c>
      <c r="M1315" s="611">
        <f>ROW(OR_VEH!$A$260)</f>
        <v>260</v>
      </c>
      <c r="N1315" s="611" t="str">
        <f>"CPTE # "&amp;Page5_GMC_MCI!$E$11&amp;"  "&amp;Page5_GMC_MCI!$C$11&amp;" - COÛT DES VENTES - AAD"</f>
        <v>CPTE # 407F  NE PAS UTILISER - COÛT DES VENTES - AAD</v>
      </c>
      <c r="O1315" s="611" t="str">
        <f t="shared" si="183"/>
        <v/>
      </c>
      <c r="P1315" s="611" t="str">
        <f t="shared" si="175"/>
        <v>Page5_GMC_MCI!M</v>
      </c>
      <c r="Q1315" s="611">
        <f t="shared" si="176"/>
        <v>11</v>
      </c>
      <c r="R1315" s="1447">
        <f t="shared" ca="1" si="177"/>
        <v>0</v>
      </c>
      <c r="S1315" s="1447">
        <f t="shared" ca="1" si="178"/>
        <v>0</v>
      </c>
      <c r="T1315" s="611">
        <v>22</v>
      </c>
      <c r="V1315" s="2557" t="str">
        <f t="shared" ca="1" si="182"/>
        <v/>
      </c>
      <c r="W1315" s="611" t="str">
        <f t="shared" ca="1" si="180"/>
        <v>Page5_GMC_MCI, Ligne 8 [Page5_GMC_MCI!M11]  -</v>
      </c>
    </row>
    <row r="1316" spans="1:23">
      <c r="A1316" s="1443" t="str">
        <f>celladdr(Page5_GMC_MCI!M12)</f>
        <v>Page5_GMC_MCI!M12</v>
      </c>
      <c r="B1316" s="1456" t="s">
        <v>1086</v>
      </c>
      <c r="C1316" s="1451" t="b">
        <f>IF(Page5_GMC_MCI!$K$12=0,FALSE,OR(Page5_GMC_MCI!$M$12/Page5_GMC_MCI!$K$12&lt;INDEX(Min_Table,L1316),Page5_GMC_MCI!$M$12/Page5_GMC_MCI!$K$12&gt;INDEX(Max_Table,L1316)))</f>
        <v>0</v>
      </c>
      <c r="D1316" s="1454" t="b">
        <f>OR(AND(Page5_GMC_MCI!$L12&lt;&gt;0,Page5_GMC_MCI!$M12=0),AND(Page5_GMC_MCI!$M12&lt;&gt;0,Page5_GMC_MCI!$L12=0))</f>
        <v>0</v>
      </c>
      <c r="E1316" s="1454" t="b">
        <f>IF(Page5_GMC_MCI!$K$12=0,FALSE,OR(Page5_GMC_MCI!$M$12/Page5_GMC_MCI!$K$12&lt;INDEX(Min_Table,M1316),Page5_GMC_MCI!$M$12/Page5_GMC_MCI!$K$12&gt;INDEX(Max_Table,M1316)))</f>
        <v>0</v>
      </c>
      <c r="F1316" s="1454"/>
      <c r="G1316" s="1444" t="str">
        <f t="shared" si="174"/>
        <v/>
      </c>
      <c r="H1316" s="1447" t="str">
        <f>IF(C1316=TRUE,Comments!$B$20&amp;DOLLAR(INDEX(Min_Table,L1316),0)&amp;Comments!$B$18&amp;DOLLAR(INDEX(Max_Table,L1316),0)&amp;Comments!$B$19&amp;DOLLAR(Page5_GMC_MCI!$M$12/Page5_GMC_MCI!$K$12,0),"")</f>
        <v/>
      </c>
      <c r="I1316" s="1446" t="str">
        <f>IF(D1316=TRUE,Comments!$B$24,"")</f>
        <v/>
      </c>
      <c r="J1316" s="1446" t="str">
        <f>IF(E1316=TRUE,Comments!$B$22&amp;DOLLAR(INDEX(Min_Table,M1316),0)&amp;Comments!$B$18&amp;DOLLAR(INDEX(Max_Table,M1316),0)&amp;Comments!$B$19&amp;IFERROR(DOLLAR(Page5_GMC_MCI!$M$12/Page5_GMC_MCI!$K$12,0),0),"")</f>
        <v/>
      </c>
      <c r="K1316" s="1452"/>
      <c r="L1316" s="611">
        <f>ROW(OR_VEH!$A$667)</f>
        <v>667</v>
      </c>
      <c r="M1316" s="611">
        <f>ROW(OR_VEH!$A$261)</f>
        <v>261</v>
      </c>
      <c r="N1316" s="611" t="str">
        <f>"CPTE # "&amp;Page5_GMC_MCI!$E$12&amp;"  "&amp;Page5_GMC_MCI!$C$12&amp;" - COÛT DES VENTES - AAD"</f>
        <v>CPTE # 408F  NE PAS UTILISER - COÛT DES VENTES - AAD</v>
      </c>
      <c r="O1316" s="611" t="str">
        <f t="shared" si="183"/>
        <v/>
      </c>
      <c r="P1316" s="611" t="str">
        <f t="shared" si="175"/>
        <v>Page5_GMC_MCI!M</v>
      </c>
      <c r="Q1316" s="611">
        <f t="shared" si="176"/>
        <v>12</v>
      </c>
      <c r="R1316" s="1447">
        <f t="shared" ca="1" si="177"/>
        <v>0</v>
      </c>
      <c r="S1316" s="1447">
        <f t="shared" ca="1" si="178"/>
        <v>0</v>
      </c>
      <c r="T1316" s="611">
        <v>22</v>
      </c>
      <c r="V1316" s="2557" t="str">
        <f t="shared" ca="1" si="182"/>
        <v/>
      </c>
      <c r="W1316" s="611" t="str">
        <f t="shared" ca="1" si="180"/>
        <v>Page5_GMC_MCI, Ligne 9 [Page5_GMC_MCI!M12]  -</v>
      </c>
    </row>
    <row r="1317" spans="1:23">
      <c r="A1317" s="1443" t="str">
        <f>celladdr(Page5_GMC_MCI!M13)</f>
        <v>Page5_GMC_MCI!M13</v>
      </c>
      <c r="B1317" s="1456" t="s">
        <v>1086</v>
      </c>
      <c r="C1317" s="1451" t="b">
        <f>IF(Page5_GMC_MCI!$K$13=0,FALSE,OR(Page5_GMC_MCI!$M$13/Page5_GMC_MCI!$K$13&lt;INDEX(Min_Table,L1317),Page5_GMC_MCI!$M$13/Page5_GMC_MCI!$K$13&gt;INDEX(Max_Table,L1317)))</f>
        <v>0</v>
      </c>
      <c r="D1317" s="1454" t="b">
        <f>OR(AND(Page5_GMC_MCI!$L13&lt;&gt;0,Page5_GMC_MCI!$M13=0),AND(Page5_GMC_MCI!$M13&lt;&gt;0,Page5_GMC_MCI!$L13=0))</f>
        <v>0</v>
      </c>
      <c r="E1317" s="1454" t="b">
        <f>IF(Page5_GMC_MCI!$K$13=0,FALSE,OR(Page5_GMC_MCI!$M$13/Page5_GMC_MCI!$K$13&lt;INDEX(Min_Table,M1317),Page5_GMC_MCI!$M$13/Page5_GMC_MCI!$K$13&gt;INDEX(Max_Table,M1317)))</f>
        <v>0</v>
      </c>
      <c r="F1317" s="1454"/>
      <c r="G1317" s="1444" t="str">
        <f t="shared" si="174"/>
        <v/>
      </c>
      <c r="H1317" s="1447" t="str">
        <f>IF(C1317=TRUE,Comments!$B$20&amp;DOLLAR(INDEX(Min_Table,L1317),0)&amp;Comments!$B$18&amp;DOLLAR(INDEX(Max_Table,L1317),0)&amp;Comments!$B$19&amp;DOLLAR(Page5_GMC_MCI!$M$13/Page5_GMC_MCI!$K$13,0),"")</f>
        <v/>
      </c>
      <c r="I1317" s="1446" t="str">
        <f>IF(D1317=TRUE,Comments!$B$24,"")</f>
        <v/>
      </c>
      <c r="J1317" s="1446" t="str">
        <f>IF(E1317=TRUE,Comments!$B$22&amp;DOLLAR(INDEX(Min_Table,M1317),0)&amp;Comments!$B$18&amp;DOLLAR(INDEX(Max_Table,M1317),0)&amp;Comments!$B$19&amp;IFERROR(DOLLAR(Page5_GMC_MCI!$M$13/Page5_GMC_MCI!$K$13,0),0),"")</f>
        <v/>
      </c>
      <c r="K1317" s="1452"/>
      <c r="L1317" s="611">
        <f>ROW(OR_VEH!$A$667)</f>
        <v>667</v>
      </c>
      <c r="M1317" s="611">
        <f>ROW(OR_VEH!$A$262)</f>
        <v>262</v>
      </c>
      <c r="N1317" s="611" t="str">
        <f>"CPTE # "&amp;Page5_GMC_MCI!$E$13&amp;"  "&amp;Page5_GMC_MCI!$C$13&amp;" - COÛT DES VENTES - AAD"</f>
        <v>CPTE # 409F  NE PAS UTILISER - COÛT DES VENTES - AAD</v>
      </c>
      <c r="O1317" s="611" t="str">
        <f t="shared" si="183"/>
        <v/>
      </c>
      <c r="P1317" s="611" t="str">
        <f t="shared" si="175"/>
        <v>Page5_GMC_MCI!M</v>
      </c>
      <c r="Q1317" s="611">
        <f t="shared" si="176"/>
        <v>13</v>
      </c>
      <c r="R1317" s="1447">
        <f t="shared" ca="1" si="177"/>
        <v>0</v>
      </c>
      <c r="S1317" s="1447">
        <f t="shared" ca="1" si="178"/>
        <v>0</v>
      </c>
      <c r="T1317" s="611">
        <v>22</v>
      </c>
      <c r="V1317" s="2557" t="str">
        <f t="shared" ca="1" si="182"/>
        <v/>
      </c>
      <c r="W1317" s="611" t="str">
        <f t="shared" ca="1" si="180"/>
        <v>Page5_GMC_MCI, Ligne 10 [Page5_GMC_MCI!M13]  -</v>
      </c>
    </row>
    <row r="1318" spans="1:23">
      <c r="A1318" s="1443" t="str">
        <f>celladdr(Page5_GMC_MCI!M14)</f>
        <v>Page5_GMC_MCI!M14</v>
      </c>
      <c r="B1318" s="1456" t="s">
        <v>1086</v>
      </c>
      <c r="C1318" s="1451" t="b">
        <f>IF(Page5_GMC_MCI!$K$14=0,FALSE,OR(Page5_GMC_MCI!$M$14/Page5_GMC_MCI!$K$14&lt;INDEX(Min_Table,L1318),Page5_GMC_MCI!$M$14/Page5_GMC_MCI!$K$14&gt;INDEX(Max_Table,L1318)))</f>
        <v>0</v>
      </c>
      <c r="D1318" s="1454" t="b">
        <f>OR(AND(Page5_GMC_MCI!$L14&lt;&gt;0,Page5_GMC_MCI!$M14=0),AND(Page5_GMC_MCI!$M14&lt;&gt;0,Page5_GMC_MCI!$L14=0))</f>
        <v>0</v>
      </c>
      <c r="E1318" s="1454" t="b">
        <f>IF(Page5_GMC_MCI!$K$14=0,FALSE,OR(Page5_GMC_MCI!$M$14/Page5_GMC_MCI!$K$14&lt;INDEX(Min_Table,M1318),Page5_GMC_MCI!$M$14/Page5_GMC_MCI!$K$14&gt;INDEX(Max_Table,M1318)))</f>
        <v>0</v>
      </c>
      <c r="F1318" s="1454"/>
      <c r="G1318" s="1444" t="str">
        <f t="shared" si="174"/>
        <v/>
      </c>
      <c r="H1318" s="1447" t="str">
        <f>IF(C1318=TRUE,Comments!$B$20&amp;DOLLAR(INDEX(Min_Table,L1318),0)&amp;Comments!$B$18&amp;DOLLAR(INDEX(Max_Table,L1318),0)&amp;Comments!$B$19&amp;DOLLAR(Page5_GMC_MCI!$M$14/Page5_GMC_MCI!$K$14,0),"")</f>
        <v/>
      </c>
      <c r="I1318" s="1446" t="str">
        <f>IF(D1318=TRUE,Comments!$B$24,"")</f>
        <v/>
      </c>
      <c r="J1318" s="1446" t="str">
        <f>IF(E1318=TRUE,Comments!$B$22&amp;DOLLAR(INDEX(Min_Table,M1318),0)&amp;Comments!$B$18&amp;DOLLAR(INDEX(Max_Table,M1318),0)&amp;Comments!$B$19&amp;IFERROR(DOLLAR(Page5_GMC_MCI!$M$14/Page5_GMC_MCI!$K$14,0),0),"")</f>
        <v/>
      </c>
      <c r="K1318" s="1452"/>
      <c r="L1318" s="611">
        <f>ROW(OR_VEH!$A$667)</f>
        <v>667</v>
      </c>
      <c r="M1318" s="611">
        <f>ROW(OR_VEH!$A$263)</f>
        <v>263</v>
      </c>
      <c r="N1318" s="611" t="str">
        <f>"CPTE # "&amp;Page5_GMC_MCI!$E$14&amp;"  "&amp;Page5_GMC_MCI!$C$14&amp;" - COÛT DES VENTES - AAD"</f>
        <v>CPTE # 410F  NE PAS UTILISER - COÛT DES VENTES - AAD</v>
      </c>
      <c r="O1318" s="611" t="str">
        <f t="shared" si="183"/>
        <v/>
      </c>
      <c r="P1318" s="611" t="str">
        <f t="shared" si="175"/>
        <v>Page5_GMC_MCI!M</v>
      </c>
      <c r="Q1318" s="611">
        <f t="shared" si="176"/>
        <v>14</v>
      </c>
      <c r="R1318" s="1447">
        <f t="shared" ca="1" si="177"/>
        <v>0</v>
      </c>
      <c r="S1318" s="1447">
        <f t="shared" ca="1" si="178"/>
        <v>0</v>
      </c>
      <c r="T1318" s="611">
        <v>22</v>
      </c>
      <c r="V1318" s="2557" t="str">
        <f t="shared" ca="1" si="182"/>
        <v/>
      </c>
      <c r="W1318" s="611" t="str">
        <f t="shared" ca="1" si="180"/>
        <v>Page5_GMC_MCI, Ligne 11 [Page5_GMC_MCI!M14]  -</v>
      </c>
    </row>
    <row r="1319" spans="1:23">
      <c r="A1319" s="1443" t="str">
        <f>celladdr(Page5_GMC_MCI!M15)</f>
        <v>Page5_GMC_MCI!M15</v>
      </c>
      <c r="B1319" s="1456" t="s">
        <v>1086</v>
      </c>
      <c r="C1319" s="1451" t="b">
        <f>IF(Page5_GMC_MCI!$K$15=0,FALSE,OR(Page5_GMC_MCI!$M$15/Page5_GMC_MCI!$K$15&lt;INDEX(Min_Table,L1319),Page5_GMC_MCI!$M$15/Page5_GMC_MCI!$K$15&gt;INDEX(Max_Table,L1319)))</f>
        <v>0</v>
      </c>
      <c r="D1319" s="1454" t="b">
        <f>OR(AND(Page5_GMC_MCI!$L15&lt;&gt;0,Page5_GMC_MCI!$M15=0),AND(Page5_GMC_MCI!$M15&lt;&gt;0,Page5_GMC_MCI!$L15=0))</f>
        <v>0</v>
      </c>
      <c r="E1319" s="1454" t="b">
        <f>IF(Page5_GMC_MCI!$K$15=0,FALSE,OR(Page5_GMC_MCI!$M$15/Page5_GMC_MCI!$K$15&lt;INDEX(Min_Table,M1319),Page5_GMC_MCI!$M$15/Page5_GMC_MCI!$K$15&gt;INDEX(Max_Table,M1319)))</f>
        <v>0</v>
      </c>
      <c r="F1319" s="1454"/>
      <c r="G1319" s="1444" t="str">
        <f t="shared" si="174"/>
        <v/>
      </c>
      <c r="H1319" s="1447" t="str">
        <f>IF(C1319=TRUE,Comments!$B$20&amp;DOLLAR(INDEX(Min_Table,L1319),0)&amp;Comments!$B$18&amp;DOLLAR(INDEX(Max_Table,L1319),0)&amp;Comments!$B$19&amp;DOLLAR(Page5_GMC_MCI!$M$15/Page5_GMC_MCI!$K$15,0),"")</f>
        <v/>
      </c>
      <c r="I1319" s="1446" t="str">
        <f>IF(D1319=TRUE,Comments!$B$24,"")</f>
        <v/>
      </c>
      <c r="J1319" s="1446" t="str">
        <f>IF(E1319=TRUE,Comments!$B$22&amp;DOLLAR(INDEX(Min_Table,M1319),0)&amp;Comments!$B$18&amp;DOLLAR(INDEX(Max_Table,M1319),0)&amp;Comments!$B$19&amp;IFERROR(DOLLAR(Page5_GMC_MCI!$M$15/Page5_GMC_MCI!$K$15,0),0),"")</f>
        <v/>
      </c>
      <c r="K1319" s="1452"/>
      <c r="L1319" s="611">
        <f>ROW(OR_VEH!$A$667)</f>
        <v>667</v>
      </c>
      <c r="M1319" s="611">
        <f>ROW(OR_VEH!$A$264)</f>
        <v>264</v>
      </c>
      <c r="N1319" s="611" t="str">
        <f>"CPTE # "&amp;Page5_GMC_MCI!$E$15&amp;"  "&amp;Page5_GMC_MCI!$C$15&amp;" - COÛT DES VENTES - AAD"</f>
        <v>CPTE # 411F  NE PAS UTILISER - COÛT DES VENTES - AAD</v>
      </c>
      <c r="O1319" s="611" t="str">
        <f t="shared" si="183"/>
        <v/>
      </c>
      <c r="P1319" s="611" t="str">
        <f t="shared" si="175"/>
        <v>Page5_GMC_MCI!M</v>
      </c>
      <c r="Q1319" s="611">
        <f t="shared" si="176"/>
        <v>15</v>
      </c>
      <c r="R1319" s="1447">
        <f t="shared" ca="1" si="177"/>
        <v>0</v>
      </c>
      <c r="S1319" s="1447">
        <f t="shared" ca="1" si="178"/>
        <v>0</v>
      </c>
      <c r="T1319" s="611">
        <v>22</v>
      </c>
      <c r="V1319" s="2557" t="str">
        <f t="shared" ca="1" si="182"/>
        <v/>
      </c>
      <c r="W1319" s="611" t="str">
        <f t="shared" ca="1" si="180"/>
        <v>Page5_GMC_MCI, Ligne 12 [Page5_GMC_MCI!M15]  -</v>
      </c>
    </row>
    <row r="1320" spans="1:23">
      <c r="A1320" s="1443" t="str">
        <f>celladdr(Page5_GMC_MCI!M16)</f>
        <v>Page5_GMC_MCI!M16</v>
      </c>
      <c r="B1320" s="1456" t="s">
        <v>1086</v>
      </c>
      <c r="C1320" s="1451" t="b">
        <f>IF(Page5_GMC_MCI!$K$16=0,FALSE,OR(Page5_GMC_MCI!$M$16/Page5_GMC_MCI!$K$16&lt;INDEX(Min_Table,L1320),Page5_GMC_MCI!$M$16/Page5_GMC_MCI!$K$16&gt;INDEX(Max_Table,L1320)))</f>
        <v>0</v>
      </c>
      <c r="D1320" s="1454" t="b">
        <f>OR(AND(Page5_GMC_MCI!$L16&lt;&gt;0,Page5_GMC_MCI!$M16=0),AND(Page5_GMC_MCI!$M16&lt;&gt;0,Page5_GMC_MCI!$L16=0))</f>
        <v>0</v>
      </c>
      <c r="E1320" s="1454" t="b">
        <f>IF(Page5_GMC_MCI!$K$16=0,FALSE,OR(Page5_GMC_MCI!$M$16/Page5_GMC_MCI!$K$16&lt;INDEX(Min_Table,M1320),Page5_GMC_MCI!$M$16/Page5_GMC_MCI!$K$16&gt;INDEX(Max_Table,M1320)))</f>
        <v>0</v>
      </c>
      <c r="F1320" s="1454"/>
      <c r="G1320" s="1444" t="str">
        <f t="shared" si="174"/>
        <v/>
      </c>
      <c r="H1320" s="1447" t="str">
        <f>IF(C1320=TRUE,Comments!$B$20&amp;DOLLAR(INDEX(Min_Table,L1320),0)&amp;Comments!$B$18&amp;DOLLAR(INDEX(Max_Table,L1320),0)&amp;Comments!$B$19&amp;DOLLAR(Page5_GMC_MCI!$M$16/Page5_GMC_MCI!$K$16,0),"")</f>
        <v/>
      </c>
      <c r="I1320" s="1446" t="str">
        <f>IF(D1320=TRUE,Comments!$B$24,"")</f>
        <v/>
      </c>
      <c r="J1320" s="1446" t="str">
        <f>IF(E1320=TRUE,Comments!$B$22&amp;DOLLAR(INDEX(Min_Table,M1320),0)&amp;Comments!$B$18&amp;DOLLAR(INDEX(Max_Table,M1320),0)&amp;Comments!$B$19&amp;IFERROR(DOLLAR(Page5_GMC_MCI!$M$16/Page5_GMC_MCI!$K$16,0),0),"")</f>
        <v/>
      </c>
      <c r="K1320" s="1452"/>
      <c r="L1320" s="611">
        <f>ROW(OR_VEH!$A$667)</f>
        <v>667</v>
      </c>
      <c r="M1320" s="611">
        <f>ROW(OR_VEH!$A$265)</f>
        <v>265</v>
      </c>
      <c r="N1320" s="611" t="str">
        <f>"CPTE # "&amp;Page5_GMC_MCI!$E$16&amp;"  "&amp;Page5_GMC_MCI!$C$16&amp;" - COÛT DES VENTES - AAD"</f>
        <v>CPTE # 412F  NE PAS UTILISER - COÛT DES VENTES - AAD</v>
      </c>
      <c r="O1320" s="611" t="str">
        <f t="shared" si="183"/>
        <v/>
      </c>
      <c r="P1320" s="611" t="str">
        <f t="shared" si="175"/>
        <v>Page5_GMC_MCI!M</v>
      </c>
      <c r="Q1320" s="611">
        <f t="shared" si="176"/>
        <v>16</v>
      </c>
      <c r="R1320" s="1447">
        <f t="shared" ca="1" si="177"/>
        <v>0</v>
      </c>
      <c r="S1320" s="1447">
        <f t="shared" ca="1" si="178"/>
        <v>0</v>
      </c>
      <c r="T1320" s="611">
        <v>22</v>
      </c>
      <c r="V1320" s="2557" t="str">
        <f t="shared" ca="1" si="182"/>
        <v/>
      </c>
      <c r="W1320" s="611" t="str">
        <f t="shared" ca="1" si="180"/>
        <v>Page5_GMC_MCI, Ligne 13 [Page5_GMC_MCI!M16]  -</v>
      </c>
    </row>
    <row r="1321" spans="1:23">
      <c r="A1321" s="1443" t="str">
        <f>celladdr(Page5_GMC_MCI!M17)</f>
        <v>Page5_GMC_MCI!M17</v>
      </c>
      <c r="B1321" s="1456" t="s">
        <v>1086</v>
      </c>
      <c r="C1321" s="1451" t="b">
        <f>IF(Page5_GMC_MCI!$K$17=0,FALSE,OR(Page5_GMC_MCI!$M$17/Page5_GMC_MCI!$K$17&lt;INDEX(Min_Table,L1321),Page5_GMC_MCI!$M$17/Page5_GMC_MCI!$K$17&gt;INDEX(Max_Table,L1321)))</f>
        <v>0</v>
      </c>
      <c r="D1321" s="1454" t="b">
        <f>OR(AND(Page5_GMC_MCI!$L17&lt;&gt;0,Page5_GMC_MCI!$M17=0),AND(Page5_GMC_MCI!$M17&lt;&gt;0,Page5_GMC_MCI!$L17=0))</f>
        <v>0</v>
      </c>
      <c r="E1321" s="1454" t="b">
        <f>IF(Page5_GMC_MCI!$K$17=0,FALSE,OR(Page5_GMC_MCI!$M$17/Page5_GMC_MCI!$K$17&lt;INDEX(Min_Table,M1321),Page5_GMC_MCI!$M$17/Page5_GMC_MCI!$K$17&gt;INDEX(Max_Table,M1321)))</f>
        <v>0</v>
      </c>
      <c r="F1321" s="1454"/>
      <c r="G1321" s="1444" t="str">
        <f t="shared" si="174"/>
        <v/>
      </c>
      <c r="H1321" s="1447" t="str">
        <f>IF(C1321=TRUE,Comments!$B$20&amp;DOLLAR(INDEX(Min_Table,L1321),0)&amp;Comments!$B$18&amp;DOLLAR(INDEX(Max_Table,L1321),0)&amp;Comments!$B$19&amp;DOLLAR(Page5_GMC_MCI!$M$17/Page5_GMC_MCI!$K$17,0),"")</f>
        <v/>
      </c>
      <c r="I1321" s="1446" t="str">
        <f>IF(D1321=TRUE,Comments!$B$24,"")</f>
        <v/>
      </c>
      <c r="J1321" s="1446" t="str">
        <f>IF(E1321=TRUE,Comments!$B$22&amp;DOLLAR(INDEX(Min_Table,M1321),0)&amp;Comments!$B$18&amp;DOLLAR(INDEX(Max_Table,M1321),0)&amp;Comments!$B$19&amp;IFERROR(DOLLAR(Page5_GMC_MCI!$M$17/Page5_GMC_MCI!$K$17,0),0),"")</f>
        <v/>
      </c>
      <c r="K1321" s="1452"/>
      <c r="L1321" s="611">
        <f>ROW(OR_VEH!$A$667)</f>
        <v>667</v>
      </c>
      <c r="M1321" s="611">
        <f>ROW(OR_VEH!$A$266)</f>
        <v>266</v>
      </c>
      <c r="N1321" s="611" t="str">
        <f>"CPTE # "&amp;Page5_GMC_MCI!$E$17&amp;"  "&amp;Page5_GMC_MCI!$C$17&amp;" - COÛT DES VENTES - AAD"</f>
        <v>CPTE # 413F  NE PAS UTILISER - COÛT DES VENTES - AAD</v>
      </c>
      <c r="O1321" s="611" t="str">
        <f t="shared" si="183"/>
        <v/>
      </c>
      <c r="P1321" s="611" t="str">
        <f t="shared" si="175"/>
        <v>Page5_GMC_MCI!M</v>
      </c>
      <c r="Q1321" s="611">
        <f t="shared" si="176"/>
        <v>17</v>
      </c>
      <c r="R1321" s="1447">
        <f t="shared" ca="1" si="177"/>
        <v>0</v>
      </c>
      <c r="S1321" s="1447">
        <f t="shared" ca="1" si="178"/>
        <v>0</v>
      </c>
      <c r="T1321" s="611">
        <v>22</v>
      </c>
      <c r="V1321" s="2557" t="str">
        <f t="shared" ca="1" si="182"/>
        <v/>
      </c>
      <c r="W1321" s="611" t="str">
        <f t="shared" ca="1" si="180"/>
        <v>Page5_GMC_MCI, Ligne 14 [Page5_GMC_MCI!M17]  -</v>
      </c>
    </row>
    <row r="1322" spans="1:23">
      <c r="A1322" s="1443" t="str">
        <f>celladdr(Page5_GMC_MCI!M18)</f>
        <v>Page5_GMC_MCI!M18</v>
      </c>
      <c r="B1322" s="1456" t="s">
        <v>1086</v>
      </c>
      <c r="C1322" s="1451" t="b">
        <f>IF(Page5_GMC_MCI!$K$18=0,FALSE,OR(Page5_GMC_MCI!$M$18/Page5_GMC_MCI!$K$18&lt;INDEX(Min_Table,L1322),Page5_GMC_MCI!$M$18/Page5_GMC_MCI!$K$18&gt;INDEX(Max_Table,L1322)))</f>
        <v>0</v>
      </c>
      <c r="D1322" s="1454" t="b">
        <f>OR(AND(Page5_GMC_MCI!$L18&lt;&gt;0,Page5_GMC_MCI!$M18=0),AND(Page5_GMC_MCI!$M18&lt;&gt;0,Page5_GMC_MCI!$L18=0))</f>
        <v>0</v>
      </c>
      <c r="E1322" s="1454" t="b">
        <f>IF(Page5_GMC_MCI!$K$18=0,FALSE,OR(Page5_GMC_MCI!$M$18/Page5_GMC_MCI!$K$18&lt;INDEX(Min_Table,M1322),Page5_GMC_MCI!$M$18/Page5_GMC_MCI!$K$18&gt;INDEX(Max_Table,M1322)))</f>
        <v>0</v>
      </c>
      <c r="F1322" s="1454"/>
      <c r="G1322" s="1444" t="str">
        <f t="shared" si="174"/>
        <v/>
      </c>
      <c r="H1322" s="1447" t="str">
        <f>IF(C1322=TRUE,Comments!$B$20&amp;DOLLAR(INDEX(Min_Table,L1322),0)&amp;Comments!$B$18&amp;DOLLAR(INDEX(Max_Table,L1322),0)&amp;Comments!$B$19&amp;DOLLAR(Page5_GMC_MCI!$M$18/Page5_GMC_MCI!$K$18,0),"")</f>
        <v/>
      </c>
      <c r="I1322" s="1446" t="str">
        <f>IF(D1322=TRUE,Comments!$B$24,"")</f>
        <v/>
      </c>
      <c r="J1322" s="1446" t="str">
        <f>IF(E1322=TRUE,Comments!$B$22&amp;DOLLAR(INDEX(Min_Table,M1322),0)&amp;Comments!$B$18&amp;DOLLAR(INDEX(Max_Table,M1322),0)&amp;Comments!$B$19&amp;IFERROR(DOLLAR(Page5_GMC_MCI!$M$18/Page5_GMC_MCI!$K$18,0),0),"")</f>
        <v/>
      </c>
      <c r="K1322" s="1452"/>
      <c r="L1322" s="611">
        <f>ROW(OR_VEH!$A$667)</f>
        <v>667</v>
      </c>
      <c r="M1322" s="611">
        <f>ROW(OR_VEH!$A$267)</f>
        <v>267</v>
      </c>
      <c r="N1322" s="611" t="str">
        <f>"CPTE # "&amp;Page5_GMC_MCI!$E$18&amp;"  "&amp;Page5_GMC_MCI!$C$18&amp;" - COÛT DES VENTES - AAD"</f>
        <v>CPTE # 414F  NE PAS UTILISER - COÛT DES VENTES - AAD</v>
      </c>
      <c r="O1322" s="611" t="str">
        <f t="shared" si="183"/>
        <v/>
      </c>
      <c r="P1322" s="611" t="str">
        <f t="shared" si="175"/>
        <v>Page5_GMC_MCI!M</v>
      </c>
      <c r="Q1322" s="611">
        <f t="shared" si="176"/>
        <v>18</v>
      </c>
      <c r="R1322" s="1447">
        <f t="shared" ca="1" si="177"/>
        <v>0</v>
      </c>
      <c r="S1322" s="1447">
        <f t="shared" ca="1" si="178"/>
        <v>0</v>
      </c>
      <c r="T1322" s="611">
        <v>22</v>
      </c>
      <c r="V1322" s="2557" t="str">
        <f t="shared" ca="1" si="182"/>
        <v/>
      </c>
      <c r="W1322" s="611" t="str">
        <f t="shared" ca="1" si="180"/>
        <v>Page5_GMC_MCI, Ligne 15 [Page5_GMC_MCI!M18]  -</v>
      </c>
    </row>
    <row r="1323" spans="1:23">
      <c r="A1323" s="1443" t="str">
        <f>celladdr(Page5_GMC_MCI!M19)</f>
        <v>Page5_GMC_MCI!M19</v>
      </c>
      <c r="B1323" s="1456" t="s">
        <v>1086</v>
      </c>
      <c r="C1323" s="1451" t="b">
        <f>IF(Page5_GMC_MCI!$K$19=0,FALSE,OR(Page5_GMC_MCI!$M$19/Page5_GMC_MCI!$K$19&lt;INDEX(Min_Table,L1323),Page5_GMC_MCI!$M$19/Page5_GMC_MCI!$K$19&gt;INDEX(Max_Table,L1323)))</f>
        <v>0</v>
      </c>
      <c r="D1323" s="1454" t="b">
        <f>OR(AND(Page5_GMC_MCI!$L19&lt;&gt;0,Page5_GMC_MCI!$M19=0),AND(Page5_GMC_MCI!$M19&lt;&gt;0,Page5_GMC_MCI!$L19=0))</f>
        <v>0</v>
      </c>
      <c r="E1323" s="1454" t="b">
        <f>IF(Page5_GMC_MCI!$K$19=0,FALSE,OR(Page5_GMC_MCI!$M$19/Page5_GMC_MCI!$K$19&lt;INDEX(Min_Table,M1323),Page5_GMC_MCI!$M$19/Page5_GMC_MCI!$K$19&gt;INDEX(Max_Table,M1323)))</f>
        <v>0</v>
      </c>
      <c r="F1323" s="1454"/>
      <c r="G1323" s="1444" t="str">
        <f t="shared" si="174"/>
        <v/>
      </c>
      <c r="H1323" s="1447" t="str">
        <f>IF(C1323=TRUE,Comments!$B$20&amp;DOLLAR(INDEX(Min_Table,L1323),0)&amp;Comments!$B$18&amp;DOLLAR(INDEX(Max_Table,L1323),0)&amp;Comments!$B$19&amp;DOLLAR(Page5_GMC_MCI!$M$19/Page5_GMC_MCI!$K$19,0),"")</f>
        <v/>
      </c>
      <c r="I1323" s="1446" t="str">
        <f>IF(D1323=TRUE,Comments!$B$24,"")</f>
        <v/>
      </c>
      <c r="J1323" s="1446" t="str">
        <f>IF(E1323=TRUE,Comments!$B$22&amp;DOLLAR(INDEX(Min_Table,M1323),0)&amp;Comments!$B$18&amp;DOLLAR(INDEX(Max_Table,M1323),0)&amp;Comments!$B$19&amp;IFERROR(DOLLAR(Page5_GMC_MCI!$M$19/Page5_GMC_MCI!$K$19,0),0),"")</f>
        <v/>
      </c>
      <c r="K1323" s="1452"/>
      <c r="L1323" s="611">
        <f>ROW(OR_VEH!$A$667)</f>
        <v>667</v>
      </c>
      <c r="M1323" s="611">
        <f>ROW(OR_VEH!$A$268)</f>
        <v>268</v>
      </c>
      <c r="N1323" s="611" t="str">
        <f>"CPTE # "&amp;Page5_GMC_MCI!$E$19&amp;"  "&amp;Page5_GMC_MCI!$C$19&amp;" - COÛT DES VENTES - AAD"</f>
        <v>CPTE # 415F  NE PAS UTILISER - COÛT DES VENTES - AAD</v>
      </c>
      <c r="O1323" s="611" t="str">
        <f t="shared" si="183"/>
        <v/>
      </c>
      <c r="P1323" s="611" t="str">
        <f t="shared" si="175"/>
        <v>Page5_GMC_MCI!M</v>
      </c>
      <c r="Q1323" s="611">
        <f t="shared" si="176"/>
        <v>19</v>
      </c>
      <c r="R1323" s="1447">
        <f t="shared" ca="1" si="177"/>
        <v>0</v>
      </c>
      <c r="S1323" s="1447">
        <f t="shared" ca="1" si="178"/>
        <v>0</v>
      </c>
      <c r="T1323" s="611">
        <v>22</v>
      </c>
      <c r="V1323" s="2557" t="str">
        <f t="shared" ca="1" si="182"/>
        <v/>
      </c>
      <c r="W1323" s="611" t="str">
        <f t="shared" ca="1" si="180"/>
        <v>Page5_GMC_MCI, Ligne 16 [Page5_GMC_MCI!M19]  -</v>
      </c>
    </row>
    <row r="1324" spans="1:23">
      <c r="A1324" s="1443" t="str">
        <f>celladdr(Page5_GMC_MCI!M20)</f>
        <v>Page5_GMC_MCI!M20</v>
      </c>
      <c r="B1324" s="1456" t="s">
        <v>1086</v>
      </c>
      <c r="C1324" s="1451"/>
      <c r="D1324" s="1454"/>
      <c r="E1324" s="1454"/>
      <c r="F1324" s="1454"/>
      <c r="G1324" s="1444" t="str">
        <f t="shared" si="174"/>
        <v/>
      </c>
      <c r="I1324" s="1446"/>
      <c r="J1324" s="1446"/>
      <c r="K1324" s="1452"/>
      <c r="L1324" s="611">
        <f>ROW(OR_VEH!$A$667)</f>
        <v>667</v>
      </c>
      <c r="M1324" s="611">
        <f>ROW(OR_VEH!$A$269)</f>
        <v>269</v>
      </c>
      <c r="N1324" s="611" t="str">
        <f>"CPTE # "&amp;Page5_GMC_MCI!$E$20&amp;"  "&amp;Page5_GMC_MCI!$C$20&amp;" - COÛT DES VENTES - AAD"</f>
        <v>CPTE # 416F  POUR USAGE FUTUR - COÛT DES VENTES - AAD</v>
      </c>
      <c r="O1324" s="611" t="str">
        <f t="shared" si="183"/>
        <v/>
      </c>
      <c r="P1324" s="611" t="str">
        <f t="shared" si="175"/>
        <v>Page5_GMC_MCI!M</v>
      </c>
      <c r="Q1324" s="611">
        <f t="shared" si="176"/>
        <v>20</v>
      </c>
      <c r="R1324" s="1447">
        <f t="shared" ca="1" si="177"/>
        <v>0</v>
      </c>
      <c r="S1324" s="1447">
        <f t="shared" ca="1" si="178"/>
        <v>0</v>
      </c>
      <c r="T1324" s="611">
        <v>22</v>
      </c>
      <c r="V1324" s="2557" t="str">
        <f t="shared" ca="1" si="182"/>
        <v/>
      </c>
      <c r="W1324" s="611" t="str">
        <f t="shared" ca="1" si="180"/>
        <v>Page5_GMC_MCI, Ligne 17 [Page5_GMC_MCI!M20]  -</v>
      </c>
    </row>
    <row r="1325" spans="1:23">
      <c r="A1325" s="1443" t="str">
        <f>celladdr(Page5_GMC_MCI!M21)</f>
        <v>Page5_GMC_MCI!M21</v>
      </c>
      <c r="B1325" s="1456" t="s">
        <v>1086</v>
      </c>
      <c r="C1325" s="1451" t="b">
        <f>IF(Page5_GMC_MCI!$K$21=0,FALSE,OR(Page5_GMC_MCI!$M$21/Page5_GMC_MCI!$K$21&lt;INDEX(Min_Table,L1325),Page5_GMC_MCI!$M$21/Page5_GMC_MCI!$K$21&gt;INDEX(Max_Table,L1325)))</f>
        <v>0</v>
      </c>
      <c r="D1325" s="1454" t="b">
        <f>OR(AND(Page5_GMC_MCI!$L21&lt;&gt;0,Page5_GMC_MCI!$M21=0),AND(Page5_GMC_MCI!$M21&lt;&gt;0,Page5_GMC_MCI!$L21=0))</f>
        <v>0</v>
      </c>
      <c r="E1325" s="1454" t="b">
        <f>IF(Page5_GMC_MCI!$K$21=0,FALSE,OR(Page5_GMC_MCI!$M$21/Page5_GMC_MCI!$K$21&lt;INDEX(Min_Table,M1325),Page5_GMC_MCI!$M$21/Page5_GMC_MCI!$K$21&gt;INDEX(Max_Table,M1325)))</f>
        <v>0</v>
      </c>
      <c r="F1325" s="1454"/>
      <c r="G1325" s="1444" t="str">
        <f t="shared" si="174"/>
        <v/>
      </c>
      <c r="H1325" s="1447" t="str">
        <f>IF(C1325=TRUE,Comments!$B$20&amp;DOLLAR(INDEX(Min_Table,L1325),0)&amp;Comments!$B$18&amp;DOLLAR(INDEX(Max_Table,L1325),0)&amp;Comments!$B$19&amp;DOLLAR(Page5_GMC_MCI!$M$21/Page5_GMC_MCI!$K$21,0),"")</f>
        <v/>
      </c>
      <c r="I1325" s="1446" t="str">
        <f>IF(D1325=TRUE,Comments!$B$24,"")</f>
        <v/>
      </c>
      <c r="J1325" s="1446" t="str">
        <f>IF(E1325=TRUE,Comments!$B$22&amp;DOLLAR(INDEX(Min_Table,M1325),0)&amp;Comments!$B$18&amp;DOLLAR(INDEX(Max_Table,M1325),0)&amp;Comments!$B$19&amp;IFERROR(DOLLAR(Page5_GMC_MCI!$M$21/Page5_GMC_MCI!$K$21,0),0),"")</f>
        <v/>
      </c>
      <c r="K1325" s="1452"/>
      <c r="L1325" s="611">
        <f>ROW(OR_VEH!$A$667)</f>
        <v>667</v>
      </c>
      <c r="M1325" s="611">
        <f>ROW(OR_VEH!$A$270)</f>
        <v>270</v>
      </c>
      <c r="N1325" s="611" t="str">
        <f>"CPTE # "&amp;Page5_GMC_MCI!$E$21&amp;"  "&amp;Page5_GMC_MCI!$C$21&amp;" - COÛT DES VENTES - AAD"</f>
        <v>CPTE # 417F  NE PAS UTILISER - COÛT DES VENTES - AAD</v>
      </c>
      <c r="O1325" s="611" t="str">
        <f t="shared" si="183"/>
        <v/>
      </c>
      <c r="P1325" s="611" t="str">
        <f t="shared" si="175"/>
        <v>Page5_GMC_MCI!M</v>
      </c>
      <c r="Q1325" s="611">
        <f t="shared" si="176"/>
        <v>21</v>
      </c>
      <c r="R1325" s="1447">
        <f t="shared" ca="1" si="177"/>
        <v>0</v>
      </c>
      <c r="S1325" s="1447">
        <f t="shared" ca="1" si="178"/>
        <v>0</v>
      </c>
      <c r="T1325" s="611">
        <v>22</v>
      </c>
      <c r="V1325" s="2557" t="str">
        <f t="shared" ca="1" si="182"/>
        <v/>
      </c>
      <c r="W1325" s="611" t="str">
        <f t="shared" ca="1" si="180"/>
        <v>Page5_GMC_MCI, Ligne 18 [Page5_GMC_MCI!M21]  -</v>
      </c>
    </row>
    <row r="1326" spans="1:23">
      <c r="A1326" s="1443" t="str">
        <f>celladdr(Page5_GMC_MCI!M22)</f>
        <v>Page5_GMC_MCI!M22</v>
      </c>
      <c r="B1326" s="1456" t="s">
        <v>1086</v>
      </c>
      <c r="C1326" s="1451" t="b">
        <f>IF(Page5_GMC_MCI!$K$22=0,FALSE,OR(Page5_GMC_MCI!$M$22/Page5_GMC_MCI!$K$22&lt;INDEX(Min_Table,L1326),Page5_GMC_MCI!$M$22/Page5_GMC_MCI!$K$22&gt;INDEX(Max_Table,L1326)))</f>
        <v>0</v>
      </c>
      <c r="D1326" s="1454" t="b">
        <f>OR(AND(Page5_GMC_MCI!$L22&lt;&gt;0,Page5_GMC_MCI!$M22=0),AND(Page5_GMC_MCI!$M22&lt;&gt;0,Page5_GMC_MCI!$L22=0))</f>
        <v>0</v>
      </c>
      <c r="E1326" s="1454" t="b">
        <f>IF(Page5_GMC_MCI!$K$22=0,FALSE,OR(Page5_GMC_MCI!$M$22/Page5_GMC_MCI!$K$22&lt;INDEX(Min_Table,M1326),Page5_GMC_MCI!$M$22/Page5_GMC_MCI!$K$22&gt;INDEX(Max_Table,M1326)))</f>
        <v>0</v>
      </c>
      <c r="F1326" s="1454"/>
      <c r="G1326" s="1444" t="str">
        <f t="shared" si="174"/>
        <v/>
      </c>
      <c r="H1326" s="1447" t="str">
        <f>IF(C1326=TRUE,Comments!$B$20&amp;DOLLAR(INDEX(Min_Table,L1326),0)&amp;Comments!$B$18&amp;DOLLAR(INDEX(Max_Table,L1326),0)&amp;Comments!$B$19&amp;DOLLAR(Page5_GMC_MCI!$M$22/Page5_GMC_MCI!$K$22,0),"")</f>
        <v/>
      </c>
      <c r="I1326" s="1446" t="str">
        <f>IF(D1326=TRUE,Comments!$B$24,"")</f>
        <v/>
      </c>
      <c r="J1326" s="1446" t="str">
        <f>IF(E1326=TRUE,Comments!$B$22&amp;DOLLAR(INDEX(Min_Table,M1326),0)&amp;Comments!$B$18&amp;DOLLAR(INDEX(Max_Table,M1326),0)&amp;Comments!$B$19&amp;IFERROR(DOLLAR(Page5_GMC_MCI!$M$22/Page5_GMC_MCI!$K$22,0),0),"")</f>
        <v/>
      </c>
      <c r="K1326" s="1452"/>
      <c r="L1326" s="611">
        <f>ROW(OR_VEH!$A$667)</f>
        <v>667</v>
      </c>
      <c r="M1326" s="611">
        <f>ROW(OR_VEH!$A$271)</f>
        <v>271</v>
      </c>
      <c r="N1326" s="611" t="str">
        <f>"CPTE # "&amp;Page5_GMC_MCI!$E$22&amp;"  "&amp;Page5_GMC_MCI!$C$22&amp;" - COÛT DES VENTES - AAD"</f>
        <v>CPTE # 418F  AUTRES GMC - COÛT DES VENTES - AAD</v>
      </c>
      <c r="O1326" s="611" t="str">
        <f t="shared" si="183"/>
        <v/>
      </c>
      <c r="P1326" s="611" t="str">
        <f t="shared" si="175"/>
        <v>Page5_GMC_MCI!M</v>
      </c>
      <c r="Q1326" s="611">
        <f t="shared" si="176"/>
        <v>22</v>
      </c>
      <c r="R1326" s="1447">
        <f t="shared" ca="1" si="177"/>
        <v>0</v>
      </c>
      <c r="S1326" s="1447">
        <f t="shared" ca="1" si="178"/>
        <v>0</v>
      </c>
      <c r="T1326" s="611">
        <v>22</v>
      </c>
      <c r="V1326" s="2557" t="str">
        <f t="shared" ca="1" si="182"/>
        <v/>
      </c>
      <c r="W1326" s="611" t="str">
        <f t="shared" ca="1" si="180"/>
        <v>Page5_GMC_MCI, Ligne 19 [Page5_GMC_MCI!M22]  -</v>
      </c>
    </row>
    <row r="1327" spans="1:23">
      <c r="A1327" s="1443" t="str">
        <f>celladdr(Page5_GMC_MCI!M23)</f>
        <v>Page5_GMC_MCI!M23</v>
      </c>
      <c r="B1327" s="1444" t="s">
        <v>1086</v>
      </c>
      <c r="C1327" s="1451"/>
      <c r="D1327" s="1454"/>
      <c r="E1327" s="1454"/>
      <c r="F1327" s="1454"/>
      <c r="G1327" s="1444" t="str">
        <f t="shared" si="174"/>
        <v/>
      </c>
      <c r="H1327" s="1447" t="str">
        <f>IF(C1327=TRUE,Comments!$B$26,"")</f>
        <v/>
      </c>
      <c r="I1327" s="1446" t="str">
        <f>IF(D1327=TRUE,Comments!$B$24,"")</f>
        <v/>
      </c>
      <c r="J1327" s="1446"/>
      <c r="K1327" s="1452"/>
      <c r="O1327" s="611" t="str">
        <f t="shared" si="183"/>
        <v/>
      </c>
      <c r="P1327" s="611" t="str">
        <f t="shared" si="175"/>
        <v>Page5_GMC_MCI!M</v>
      </c>
      <c r="Q1327" s="611">
        <f t="shared" si="176"/>
        <v>23</v>
      </c>
      <c r="R1327" s="1447">
        <f t="shared" ca="1" si="177"/>
        <v>0</v>
      </c>
      <c r="S1327" s="1447">
        <f t="shared" ca="1" si="178"/>
        <v>0</v>
      </c>
      <c r="V1327" s="2557" t="str">
        <f t="shared" ca="1" si="182"/>
        <v/>
      </c>
      <c r="W1327" s="611" t="str">
        <f t="shared" ca="1" si="180"/>
        <v>Page5_GMC_MCI, Ligne 20 [Page5_GMC_MCI!M23]  -</v>
      </c>
    </row>
    <row r="1328" spans="1:23">
      <c r="A1328" s="1443" t="str">
        <f>celladdr(Page5_GMC_MCI!M24)</f>
        <v>Page5_GMC_MCI!M24</v>
      </c>
      <c r="B1328" s="1456" t="s">
        <v>1086</v>
      </c>
      <c r="C1328" s="1451" t="b">
        <f>IF(Page5_GMC_MCI!$K$24=0,FALSE,OR(Page5_GMC_MCI!$M$24/Page5_GMC_MCI!$K$24&lt;INDEX(Min_Table,L1328),Page5_GMC_MCI!$M$24/Page5_GMC_MCI!$K$24&gt;INDEX(Max_Table,L1328)))</f>
        <v>0</v>
      </c>
      <c r="D1328" s="1454" t="b">
        <f>OR(AND(Page5_GMC_MCI!$L24&lt;&gt;0,Page5_GMC_MCI!$M24=0),AND(Page5_GMC_MCI!$M24&lt;&gt;0,Page5_GMC_MCI!$L24=0))</f>
        <v>0</v>
      </c>
      <c r="E1328" s="1454" t="b">
        <f>IF(Page5_GMC_MCI!$K$24=0,FALSE,OR(Page5_GMC_MCI!$M$24/Page5_GMC_MCI!$K$24&lt;INDEX(Min_Table,M1328),Page5_GMC_MCI!$M$24/Page5_GMC_MCI!$K$24&gt;INDEX(Max_Table,M1328)))</f>
        <v>0</v>
      </c>
      <c r="F1328" s="1454"/>
      <c r="G1328" s="1444" t="str">
        <f t="shared" si="174"/>
        <v/>
      </c>
      <c r="H1328" s="1447" t="str">
        <f>IF(C1328=TRUE,Comments!$B$20&amp;DOLLAR(INDEX(Min_Table,L1328),0)&amp;Comments!$B$18&amp;DOLLAR(INDEX(Max_Table,L1328),0)&amp;Comments!$B$19&amp;DOLLAR(Page5_GMC_MCI!$M$24/Page5_GMC_MCI!$K$24,0),"")</f>
        <v/>
      </c>
      <c r="I1328" s="1446" t="str">
        <f>IF(D1328=TRUE,Comments!$B$24,"")</f>
        <v/>
      </c>
      <c r="J1328" s="1446" t="str">
        <f>IF(E1328=TRUE,Comments!$B$22&amp;DOLLAR(INDEX(Min_Table,M1328),0)&amp;Comments!$B$18&amp;DOLLAR(INDEX(Max_Table,M1328),0)&amp;Comments!$B$19&amp;IFERROR(DOLLAR(Page5_GMC_MCI!$M$24/Page5_GMC_MCI!$K$24,0),0),"")</f>
        <v/>
      </c>
      <c r="K1328" s="1452"/>
      <c r="L1328" s="611">
        <f>ROW(OR_VEH!$A$667)</f>
        <v>667</v>
      </c>
      <c r="M1328" s="611">
        <f>ROW(OR_VEH!$A$273)</f>
        <v>273</v>
      </c>
      <c r="N1328" s="611" t="str">
        <f>"CPTE # "&amp;Page5_GMC_MCI!$E$24&amp;"  "&amp;Page5_GMC_MCI!$C$24&amp;" - COÛT DES VENTES - AAD"</f>
        <v>CPTE # 419F  MÉMO* VENTES INTERNET VOITURES - COÛT DES VENTES - AAD</v>
      </c>
      <c r="O1328" s="611" t="str">
        <f t="shared" si="183"/>
        <v/>
      </c>
      <c r="P1328" s="611" t="str">
        <f t="shared" si="175"/>
        <v>Page5_GMC_MCI!M</v>
      </c>
      <c r="Q1328" s="611">
        <f t="shared" si="176"/>
        <v>24</v>
      </c>
      <c r="R1328" s="1447">
        <f t="shared" ca="1" si="177"/>
        <v>0</v>
      </c>
      <c r="S1328" s="1447">
        <f t="shared" ca="1" si="178"/>
        <v>0</v>
      </c>
      <c r="T1328" s="611">
        <v>22</v>
      </c>
      <c r="V1328" s="2557" t="str">
        <f t="shared" ca="1" si="182"/>
        <v/>
      </c>
      <c r="W1328" s="611" t="str">
        <f t="shared" ca="1" si="180"/>
        <v>Page5_GMC_MCI, Ligne 21 [Page5_GMC_MCI!M24]  -</v>
      </c>
    </row>
    <row r="1329" spans="1:23">
      <c r="A1329" s="1443" t="str">
        <f>celladdr(Page5_GMC_MCI!M25)</f>
        <v>Page5_GMC_MCI!M25</v>
      </c>
      <c r="B1329" s="1456" t="s">
        <v>1086</v>
      </c>
      <c r="C1329" s="1451" t="b">
        <f>IF(Page5_GMC_MCI!$K$25=0,FALSE,OR(Page5_GMC_MCI!$M$25/Page5_GMC_MCI!$K$25&lt;INDEX(Min_Table,L1329),Page5_GMC_MCI!$M$25/Page5_GMC_MCI!$K$25&gt;INDEX(Max_Table,L1329)))</f>
        <v>0</v>
      </c>
      <c r="D1329" s="1454" t="b">
        <f>OR(AND(Page5_GMC_MCI!$L25&lt;&gt;0,Page5_GMC_MCI!$M25=0),AND(Page5_GMC_MCI!$M25&lt;&gt;0,Page5_GMC_MCI!$L25=0))</f>
        <v>0</v>
      </c>
      <c r="E1329" s="1454" t="b">
        <f>IF(Page5_GMC_MCI!$K$25=0,FALSE,OR(Page5_GMC_MCI!$M$25/Page5_GMC_MCI!$K$25&lt;INDEX(Min_Table,M1329),Page5_GMC_MCI!$M$25/Page5_GMC_MCI!$K$25&gt;INDEX(Max_Table,M1329)))</f>
        <v>0</v>
      </c>
      <c r="F1329" s="1454"/>
      <c r="G1329" s="1444" t="str">
        <f t="shared" si="174"/>
        <v/>
      </c>
      <c r="H1329" s="1447" t="str">
        <f>IF(C1329=TRUE,Comments!$B$20&amp;DOLLAR(INDEX(Min_Table,L1329),0)&amp;Comments!$B$18&amp;DOLLAR(INDEX(Max_Table,L1329),0)&amp;Comments!$B$19&amp;DOLLAR(Page5_GMC_MCI!$M$25/Page5_GMC_MCI!$K$25,0),"")</f>
        <v/>
      </c>
      <c r="I1329" s="1446" t="str">
        <f>IF(D1329=TRUE,Comments!$B$24,"")</f>
        <v/>
      </c>
      <c r="J1329" s="1446" t="str">
        <f>IF(E1329=TRUE,Comments!$B$22&amp;DOLLAR(INDEX(Min_Table,M1329),0)&amp;Comments!$B$18&amp;DOLLAR(INDEX(Max_Table,M1329),0)&amp;Comments!$B$19&amp;IFERROR(DOLLAR(Page5_GMC_MCI!$M$25/Page5_GMC_MCI!$K$25,0),0),"")</f>
        <v/>
      </c>
      <c r="K1329" s="1452"/>
      <c r="L1329" s="611">
        <f>ROW(OR_VEH!$A$667)</f>
        <v>667</v>
      </c>
      <c r="M1329" s="611">
        <f>ROW(OR_VEH!$A$274)</f>
        <v>274</v>
      </c>
      <c r="N1329" s="611" t="str">
        <f>"CPTE # "&amp;Page5_GMC_MCI!$E$25&amp;"  "&amp;Page5_GMC_MCI!$C$25&amp;" - COÛT DES VENTES - AAD"</f>
        <v>CPTE # DE PG PARCS  TOTAL PARCS - VOITURES - COÛT DES VENTES - AAD</v>
      </c>
      <c r="O1329" s="611" t="str">
        <f t="shared" si="183"/>
        <v/>
      </c>
      <c r="P1329" s="611" t="str">
        <f t="shared" si="175"/>
        <v>Page5_GMC_MCI!M</v>
      </c>
      <c r="Q1329" s="611">
        <f t="shared" si="176"/>
        <v>25</v>
      </c>
      <c r="R1329" s="1447">
        <f t="shared" ca="1" si="177"/>
        <v>0</v>
      </c>
      <c r="S1329" s="1447">
        <f t="shared" ca="1" si="178"/>
        <v>0</v>
      </c>
      <c r="T1329" s="611">
        <v>22</v>
      </c>
      <c r="V1329" s="2557" t="str">
        <f t="shared" ca="1" si="182"/>
        <v/>
      </c>
      <c r="W1329" s="611" t="str">
        <f t="shared" ca="1" si="180"/>
        <v>Page5_GMC_MCI, Ligne 22 [Page5_GMC_MCI!M25]  -</v>
      </c>
    </row>
    <row r="1330" spans="1:23">
      <c r="A1330" s="1443" t="str">
        <f>celladdr(Page5_GMC_MCI!M26)</f>
        <v>Page5_GMC_MCI!M26</v>
      </c>
      <c r="B1330" s="1456" t="s">
        <v>1086</v>
      </c>
      <c r="C1330" s="1451" t="b">
        <f>IF(Page5_GMC_MCI!$K$26=0,FALSE,OR(Page5_GMC_MCI!$M$26/Page5_GMC_MCI!$K$26&lt;INDEX(Min_Table,L1330),Page5_GMC_MCI!$M$26/Page5_GMC_MCI!$K$26&gt;INDEX(Max_Table,L1330)))</f>
        <v>0</v>
      </c>
      <c r="D1330" s="1454" t="b">
        <f>OR(AND(Page5_GMC_MCI!$L26&lt;&gt;0,Page5_GMC_MCI!$M26=0),AND(Page5_GMC_MCI!$M26&lt;&gt;0,Page5_GMC_MCI!$L26=0))</f>
        <v>0</v>
      </c>
      <c r="E1330" s="1454" t="b">
        <f>IF(Page5_GMC_MCI!$K$26=0,FALSE,OR(Page5_GMC_MCI!$M$26/Page5_GMC_MCI!$K$26&lt;INDEX(Min_Table,M1330),Page5_GMC_MCI!$M$26/Page5_GMC_MCI!$K$26&gt;INDEX(Max_Table,M1330)))</f>
        <v>0</v>
      </c>
      <c r="F1330" s="1454"/>
      <c r="G1330" s="1444" t="str">
        <f t="shared" si="174"/>
        <v/>
      </c>
      <c r="H1330" s="1447" t="str">
        <f>IF(C1330=TRUE,Comments!$B$20&amp;DOLLAR(INDEX(Min_Table,L1330),0)&amp;Comments!$B$18&amp;DOLLAR(INDEX(Max_Table,L1330),0)&amp;Comments!$B$19&amp;DOLLAR(Page5_GMC_MCI!$M$26/Page5_GMC_MCI!$K$26,0),"")</f>
        <v/>
      </c>
      <c r="I1330" s="1446" t="str">
        <f>IF(D1330=TRUE,Comments!$B$24,"")</f>
        <v/>
      </c>
      <c r="J1330" s="1446" t="str">
        <f>IF(E1330=TRUE,Comments!$B$22&amp;DOLLAR(INDEX(Min_Table,M1330),0)&amp;Comments!$B$18&amp;DOLLAR(INDEX(Max_Table,M1330),0)&amp;Comments!$B$19&amp;IFERROR(DOLLAR(Page5_GMC_MCI!$M$26/Page5_GMC_MCI!$K$26,0),0),"")</f>
        <v/>
      </c>
      <c r="K1330" s="1452"/>
      <c r="L1330" s="611">
        <f>ROW(OR_VEH!$A$667)</f>
        <v>667</v>
      </c>
      <c r="M1330" s="611">
        <f>ROW(OR_VEH!$A$275)</f>
        <v>275</v>
      </c>
      <c r="N1330" s="611" t="str">
        <f>"CPTE # "&amp;Page5_GMC_MCI!$E$26&amp;"  "&amp;Page5_GMC_MCI!$C$26&amp;" - COÛT DES VENTES - AAD"</f>
        <v>CPTE # 421F  TOTAL INTERNE - VOITURES - COÛT DES VENTES - AAD</v>
      </c>
      <c r="O1330" s="611" t="str">
        <f t="shared" si="183"/>
        <v/>
      </c>
      <c r="P1330" s="611" t="str">
        <f t="shared" si="175"/>
        <v>Page5_GMC_MCI!M</v>
      </c>
      <c r="Q1330" s="611">
        <f t="shared" si="176"/>
        <v>26</v>
      </c>
      <c r="R1330" s="1447">
        <f t="shared" ca="1" si="177"/>
        <v>0</v>
      </c>
      <c r="S1330" s="1447">
        <f t="shared" ca="1" si="178"/>
        <v>0</v>
      </c>
      <c r="T1330" s="611">
        <v>22</v>
      </c>
      <c r="V1330" s="2557" t="str">
        <f t="shared" ca="1" si="182"/>
        <v/>
      </c>
      <c r="W1330" s="611" t="str">
        <f t="shared" ca="1" si="180"/>
        <v>Page5_GMC_MCI, Ligne 23 [Page5_GMC_MCI!M26]  -</v>
      </c>
    </row>
    <row r="1331" spans="1:23">
      <c r="A1331" s="1443" t="str">
        <f>celladdr(Page5_GMC_MCI!M27)</f>
        <v>Page5_GMC_MCI!M27</v>
      </c>
      <c r="B1331" s="1444" t="s">
        <v>1086</v>
      </c>
      <c r="C1331" s="1451"/>
      <c r="D1331" s="1454"/>
      <c r="E1331" s="1454"/>
      <c r="F1331" s="1454"/>
      <c r="G1331" s="1444" t="str">
        <f t="shared" si="174"/>
        <v/>
      </c>
      <c r="H1331" s="1447" t="str">
        <f>IF(C1331=TRUE,Comments!$B$26,"")</f>
        <v/>
      </c>
      <c r="I1331" s="1446" t="str">
        <f>IF(D1331=TRUE,Comments!$B$24,"")</f>
        <v/>
      </c>
      <c r="J1331" s="1446"/>
      <c r="K1331" s="1452"/>
      <c r="O1331" s="611" t="str">
        <f t="shared" si="183"/>
        <v/>
      </c>
      <c r="P1331" s="611" t="str">
        <f t="shared" si="175"/>
        <v>Page5_GMC_MCI!M</v>
      </c>
      <c r="Q1331" s="611">
        <f t="shared" si="176"/>
        <v>27</v>
      </c>
      <c r="R1331" s="1447">
        <f t="shared" ca="1" si="177"/>
        <v>0</v>
      </c>
      <c r="S1331" s="1447">
        <f t="shared" ca="1" si="178"/>
        <v>0</v>
      </c>
      <c r="V1331" s="2557" t="str">
        <f t="shared" ca="1" si="182"/>
        <v/>
      </c>
      <c r="W1331" s="611" t="str">
        <f t="shared" ca="1" si="180"/>
        <v>Page5_GMC_MCI, Ligne 24 [Page5_GMC_MCI!M27]  -</v>
      </c>
    </row>
    <row r="1332" spans="1:23">
      <c r="A1332" s="1443" t="str">
        <f>celladdr(Page5_GMC_MCI!M28)</f>
        <v>Page5_GMC_MCI!M28</v>
      </c>
      <c r="B1332" s="1456" t="s">
        <v>1086</v>
      </c>
      <c r="C1332" s="1451" t="b">
        <f>IF(Page5_GMC_MCI!$K$28=0,FALSE,OR(Page5_GMC_MCI!$M$28/Page5_GMC_MCI!$K$28&lt;INDEX(Min_Table,L1332),Page5_GMC_MCI!$M$28/Page5_GMC_MCI!$K$28&gt;INDEX(Max_Table,L1332)))</f>
        <v>0</v>
      </c>
      <c r="D1332" s="1454" t="b">
        <f>OR(AND(Page5_GMC_MCI!$L28&lt;&gt;0,Page5_GMC_MCI!$M28=0),AND(Page5_GMC_MCI!$M28&lt;&gt;0,Page5_GMC_MCI!$L28=0))</f>
        <v>0</v>
      </c>
      <c r="E1332" s="1454" t="b">
        <f>IF(Page5_GMC_MCI!$K$28=0,FALSE,OR(Page5_GMC_MCI!$M$28/Page5_GMC_MCI!$K$28&lt;INDEX(Min_Table,M1332),Page5_GMC_MCI!$M$28/Page5_GMC_MCI!$K$28&gt;INDEX(Max_Table,M1332)))</f>
        <v>0</v>
      </c>
      <c r="F1332" s="1454"/>
      <c r="G1332" s="1444" t="str">
        <f t="shared" si="174"/>
        <v/>
      </c>
      <c r="H1332" s="1447" t="str">
        <f>IF(C1332=TRUE,Comments!$B$20&amp;DOLLAR(INDEX(Min_Table,L1332),0)&amp;Comments!$B$18&amp;DOLLAR(INDEX(Max_Table,L1332),0)&amp;Comments!$B$19&amp;DOLLAR(Page5_GMC_MCI!$M$28/Page5_GMC_MCI!$K$28,0),"")</f>
        <v/>
      </c>
      <c r="I1332" s="1446" t="str">
        <f>IF(D1332=TRUE,Comments!$B$24,"")</f>
        <v/>
      </c>
      <c r="J1332" s="1446" t="str">
        <f>IF(E1332=TRUE,Comments!$B$22&amp;DOLLAR(INDEX(Min_Table,M1332),0)&amp;Comments!$B$18&amp;DOLLAR(INDEX(Max_Table,M1332),0)&amp;Comments!$B$19&amp;IFERROR(DOLLAR(Page5_GMC_MCI!$M$28/Page5_GMC_MCI!$K$28,0),0),"")</f>
        <v/>
      </c>
      <c r="K1332" s="1452"/>
      <c r="L1332" s="611">
        <f>ROW(OR_VEH!$A$667)</f>
        <v>667</v>
      </c>
      <c r="M1332" s="611">
        <f>ROW(OR_VEH!$A$277)</f>
        <v>277</v>
      </c>
      <c r="N1332" s="611" t="str">
        <f>"CPTE # "&amp;Page5_GMC_MCI!$E$28&amp;"  "&amp;Page5_GMC_MCI!$C$28&amp;" - COÛT DES VENTES - AAD"</f>
        <v>CPTE # 423F  NE PAS UTILISER - COÛT DES VENTES - AAD</v>
      </c>
      <c r="O1332" s="611" t="str">
        <f t="shared" si="183"/>
        <v/>
      </c>
      <c r="P1332" s="611" t="str">
        <f t="shared" si="175"/>
        <v>Page5_GMC_MCI!M</v>
      </c>
      <c r="Q1332" s="611">
        <f t="shared" si="176"/>
        <v>28</v>
      </c>
      <c r="R1332" s="1447">
        <f t="shared" ca="1" si="177"/>
        <v>0</v>
      </c>
      <c r="S1332" s="1447">
        <f t="shared" ca="1" si="178"/>
        <v>0</v>
      </c>
      <c r="T1332" s="611">
        <v>22</v>
      </c>
      <c r="V1332" s="2557" t="str">
        <f t="shared" ca="1" si="182"/>
        <v/>
      </c>
      <c r="W1332" s="611" t="str">
        <f t="shared" ca="1" si="180"/>
        <v>Page5_GMC_MCI, Ligne 25 [Page5_GMC_MCI!M28]  -</v>
      </c>
    </row>
    <row r="1333" spans="1:23">
      <c r="A1333" s="1443" t="str">
        <f>celladdr(Page5_GMC_MCI!M29)</f>
        <v>Page5_GMC_MCI!M29</v>
      </c>
      <c r="B1333" s="1456" t="s">
        <v>1086</v>
      </c>
      <c r="C1333" s="1451" t="b">
        <f>IF(Page5_GMC_MCI!$K$29=0,FALSE,OR(Page5_GMC_MCI!$M$29/Page5_GMC_MCI!$K$29&lt;INDEX(Min_Table,L1333),Page5_GMC_MCI!$M$29/Page5_GMC_MCI!$K$29&gt;INDEX(Max_Table,L1333)))</f>
        <v>0</v>
      </c>
      <c r="D1333" s="1454" t="b">
        <f>OR(AND(Page5_GMC_MCI!$L29&lt;&gt;0,Page5_GMC_MCI!$M29=0),AND(Page5_GMC_MCI!$M29&lt;&gt;0,Page5_GMC_MCI!$L29=0))</f>
        <v>0</v>
      </c>
      <c r="E1333" s="1454" t="b">
        <f>IF(Page5_GMC_MCI!$K$29=0,FALSE,OR(Page5_GMC_MCI!$M$29/Page5_GMC_MCI!$K$29&lt;INDEX(Min_Table,M1333),Page5_GMC_MCI!$M$29/Page5_GMC_MCI!$K$29&gt;INDEX(Max_Table,M1333)))</f>
        <v>0</v>
      </c>
      <c r="F1333" s="1454"/>
      <c r="G1333" s="1444" t="str">
        <f t="shared" si="174"/>
        <v/>
      </c>
      <c r="H1333" s="1447" t="str">
        <f>IF(C1333=TRUE,Comments!$B$20&amp;DOLLAR(INDEX(Min_Table,L1333),0)&amp;Comments!$B$18&amp;DOLLAR(INDEX(Max_Table,L1333),0)&amp;Comments!$B$19&amp;DOLLAR(Page5_GMC_MCI!$M$29/Page5_GMC_MCI!$K$29,0),"")</f>
        <v/>
      </c>
      <c r="I1333" s="1446" t="str">
        <f>IF(D1333=TRUE,Comments!$B$24,"")</f>
        <v/>
      </c>
      <c r="J1333" s="1446" t="str">
        <f>IF(E1333=TRUE,Comments!$B$22&amp;DOLLAR(INDEX(Min_Table,M1333),0)&amp;Comments!$B$18&amp;DOLLAR(INDEX(Max_Table,M1333),0)&amp;Comments!$B$19&amp;IFERROR(DOLLAR(Page5_GMC_MCI!$M$29/Page5_GMC_MCI!$K$29,0),0),"")</f>
        <v/>
      </c>
      <c r="K1333" s="1452"/>
      <c r="L1333" s="611">
        <f>ROW(OR_VEH!$A$667)</f>
        <v>667</v>
      </c>
      <c r="M1333" s="611">
        <f>ROW(OR_VEH!$A$278)</f>
        <v>278</v>
      </c>
      <c r="N1333" s="611" t="str">
        <f>"CPTE # "&amp;Page5_GMC_MCI!$E$29&amp;"  "&amp;Page5_GMC_MCI!$C$29&amp;" - COÛT DES VENTES - AAD"</f>
        <v>CPTE # 424F  TERRAIN - COÛT DES VENTES - AAD</v>
      </c>
      <c r="O1333" s="611" t="str">
        <f t="shared" si="183"/>
        <v/>
      </c>
      <c r="P1333" s="611" t="str">
        <f t="shared" si="175"/>
        <v>Page5_GMC_MCI!M</v>
      </c>
      <c r="Q1333" s="611">
        <f t="shared" si="176"/>
        <v>29</v>
      </c>
      <c r="R1333" s="1447">
        <f t="shared" ca="1" si="177"/>
        <v>0</v>
      </c>
      <c r="S1333" s="1447">
        <f t="shared" ca="1" si="178"/>
        <v>0</v>
      </c>
      <c r="T1333" s="611">
        <v>22</v>
      </c>
      <c r="V1333" s="2557" t="str">
        <f t="shared" ca="1" si="182"/>
        <v/>
      </c>
      <c r="W1333" s="611" t="str">
        <f t="shared" ca="1" si="180"/>
        <v>Page5_GMC_MCI, Ligne 26 [Page5_GMC_MCI!M29]  -</v>
      </c>
    </row>
    <row r="1334" spans="1:23">
      <c r="A1334" s="1443" t="str">
        <f>celladdr(Page5_GMC_MCI!M30)</f>
        <v>Page5_GMC_MCI!M30</v>
      </c>
      <c r="B1334" s="1456" t="s">
        <v>1086</v>
      </c>
      <c r="C1334" s="1451" t="b">
        <f>IF(Page5_GMC_MCI!$K$30=0,FALSE,OR(Page5_GMC_MCI!$M$30/Page5_GMC_MCI!$K$30&lt;INDEX(Min_Table,L1334),Page5_GMC_MCI!$M$30/Page5_GMC_MCI!$K$30&gt;INDEX(Max_Table,L1334)))</f>
        <v>0</v>
      </c>
      <c r="D1334" s="1454" t="b">
        <f>OR(AND(Page5_GMC_MCI!$L30&lt;&gt;0,Page5_GMC_MCI!$M30=0),AND(Page5_GMC_MCI!$M30&lt;&gt;0,Page5_GMC_MCI!$L30=0))</f>
        <v>0</v>
      </c>
      <c r="E1334" s="1454" t="b">
        <f>IF(Page5_GMC_MCI!$K$30=0,FALSE,OR(Page5_GMC_MCI!$M$30/Page5_GMC_MCI!$K$30&lt;INDEX(Min_Table,M1334),Page5_GMC_MCI!$M$30/Page5_GMC_MCI!$K$30&gt;INDEX(Max_Table,M1334)))</f>
        <v>0</v>
      </c>
      <c r="F1334" s="1454"/>
      <c r="G1334" s="1444" t="str">
        <f t="shared" si="174"/>
        <v/>
      </c>
      <c r="H1334" s="1447" t="str">
        <f>IF(C1334=TRUE,Comments!$B$20&amp;DOLLAR(INDEX(Min_Table,L1334),0)&amp;Comments!$B$18&amp;DOLLAR(INDEX(Max_Table,L1334),0)&amp;Comments!$B$19&amp;DOLLAR(Page5_GMC_MCI!$M$30/Page5_GMC_MCI!$K$30,0),"")</f>
        <v/>
      </c>
      <c r="I1334" s="1446" t="str">
        <f>IF(D1334=TRUE,Comments!$B$24,"")</f>
        <v/>
      </c>
      <c r="J1334" s="1446" t="str">
        <f>IF(E1334=TRUE,Comments!$B$22&amp;DOLLAR(INDEX(Min_Table,M1334),0)&amp;Comments!$B$18&amp;DOLLAR(INDEX(Max_Table,M1334),0)&amp;Comments!$B$19&amp;IFERROR(DOLLAR(Page5_GMC_MCI!$M$30/Page5_GMC_MCI!$K$30,0),0),"")</f>
        <v/>
      </c>
      <c r="K1334" s="1452"/>
      <c r="L1334" s="611">
        <f>ROW(OR_VEH!$A$667)</f>
        <v>667</v>
      </c>
      <c r="M1334" s="611">
        <f>ROW(OR_VEH!$A$279)</f>
        <v>279</v>
      </c>
      <c r="N1334" s="611" t="str">
        <f>"CPTE # "&amp;Page5_GMC_MCI!$E$30&amp;"  "&amp;Page5_GMC_MCI!$C$30&amp;" - COÛT DES VENTES - AAD"</f>
        <v>CPTE # 425F  SAVANA - COÛT DES VENTES - AAD</v>
      </c>
      <c r="O1334" s="611" t="str">
        <f t="shared" si="183"/>
        <v/>
      </c>
      <c r="P1334" s="611" t="str">
        <f t="shared" si="175"/>
        <v>Page5_GMC_MCI!M</v>
      </c>
      <c r="Q1334" s="611">
        <f t="shared" si="176"/>
        <v>30</v>
      </c>
      <c r="R1334" s="1447">
        <f t="shared" ca="1" si="177"/>
        <v>0</v>
      </c>
      <c r="S1334" s="1447">
        <f t="shared" ca="1" si="178"/>
        <v>0</v>
      </c>
      <c r="T1334" s="611">
        <v>22</v>
      </c>
      <c r="V1334" s="2557" t="str">
        <f t="shared" ca="1" si="182"/>
        <v/>
      </c>
      <c r="W1334" s="611" t="str">
        <f t="shared" ca="1" si="180"/>
        <v>Page5_GMC_MCI, Ligne 27 [Page5_GMC_MCI!M30]  -</v>
      </c>
    </row>
    <row r="1335" spans="1:23">
      <c r="A1335" s="1443" t="str">
        <f>celladdr(Page5_GMC_MCI!M31)</f>
        <v>Page5_GMC_MCI!M31</v>
      </c>
      <c r="B1335" s="1456" t="s">
        <v>1086</v>
      </c>
      <c r="C1335" s="1451" t="b">
        <f>IF(Page5_GMC_MCI!$K$31=0,FALSE,OR(Page5_GMC_MCI!$M$31/Page5_GMC_MCI!$K$31&lt;INDEX(Min_Table,L1335),Page5_GMC_MCI!$M$31/Page5_GMC_MCI!$K$31&gt;INDEX(Max_Table,L1335)))</f>
        <v>0</v>
      </c>
      <c r="D1335" s="1454" t="b">
        <f>OR(AND(Page5_GMC_MCI!$L31&lt;&gt;0,Page5_GMC_MCI!$M31=0),AND(Page5_GMC_MCI!$M31&lt;&gt;0,Page5_GMC_MCI!$L31=0))</f>
        <v>0</v>
      </c>
      <c r="E1335" s="1454" t="b">
        <f>IF(Page5_GMC_MCI!$K$31=0,FALSE,OR(Page5_GMC_MCI!$M$31/Page5_GMC_MCI!$K$31&lt;INDEX(Min_Table,M1335),Page5_GMC_MCI!$M$31/Page5_GMC_MCI!$K$31&gt;INDEX(Max_Table,M1335)))</f>
        <v>0</v>
      </c>
      <c r="F1335" s="1454"/>
      <c r="G1335" s="1444" t="str">
        <f t="shared" si="174"/>
        <v/>
      </c>
      <c r="H1335" s="1447" t="str">
        <f>IF(C1335=TRUE,Comments!$B$20&amp;DOLLAR(INDEX(Min_Table,L1335),0)&amp;Comments!$B$18&amp;DOLLAR(INDEX(Max_Table,L1335),0)&amp;Comments!$B$19&amp;DOLLAR(Page5_GMC_MCI!$M$31/Page5_GMC_MCI!$K$31,0),"")</f>
        <v/>
      </c>
      <c r="I1335" s="1446" t="str">
        <f>IF(D1335=TRUE,Comments!$B$24,"")</f>
        <v/>
      </c>
      <c r="J1335" s="1446" t="str">
        <f>IF(E1335=TRUE,Comments!$B$22&amp;DOLLAR(INDEX(Min_Table,M1335),0)&amp;Comments!$B$18&amp;DOLLAR(INDEX(Max_Table,M1335),0)&amp;Comments!$B$19&amp;IFERROR(DOLLAR(Page5_GMC_MCI!$M$31/Page5_GMC_MCI!$K$31,0),0),"")</f>
        <v/>
      </c>
      <c r="K1335" s="1452"/>
      <c r="L1335" s="611">
        <f>ROW(OR_VEH!$A$667)</f>
        <v>667</v>
      </c>
      <c r="M1335" s="611">
        <f>ROW(OR_VEH!$A$280)</f>
        <v>280</v>
      </c>
      <c r="N1335" s="611" t="str">
        <f>"CPTE # "&amp;Page5_GMC_MCI!$E$31&amp;"  "&amp;Page5_GMC_MCI!$C$31&amp;" - COÛT DES VENTES - AAD"</f>
        <v>CPTE # 426F  CANYON - COÛT DES VENTES - AAD</v>
      </c>
      <c r="O1335" s="611" t="str">
        <f t="shared" si="183"/>
        <v/>
      </c>
      <c r="P1335" s="611" t="str">
        <f t="shared" si="175"/>
        <v>Page5_GMC_MCI!M</v>
      </c>
      <c r="Q1335" s="611">
        <f t="shared" si="176"/>
        <v>31</v>
      </c>
      <c r="R1335" s="1447">
        <f t="shared" ca="1" si="177"/>
        <v>0</v>
      </c>
      <c r="S1335" s="1447">
        <f t="shared" ca="1" si="178"/>
        <v>0</v>
      </c>
      <c r="T1335" s="611">
        <v>22</v>
      </c>
      <c r="V1335" s="2557" t="str">
        <f t="shared" ca="1" si="182"/>
        <v/>
      </c>
      <c r="W1335" s="611" t="str">
        <f t="shared" ca="1" si="180"/>
        <v>Page5_GMC_MCI, Ligne 28 [Page5_GMC_MCI!M31]  -</v>
      </c>
    </row>
    <row r="1336" spans="1:23">
      <c r="A1336" s="1443" t="str">
        <f>celladdr(Page5_GMC_MCI!M32)</f>
        <v>Page5_GMC_MCI!M32</v>
      </c>
      <c r="B1336" s="1456" t="s">
        <v>1086</v>
      </c>
      <c r="C1336" s="1451" t="b">
        <f>IF(Page5_GMC_MCI!$K$32=0,FALSE,OR(Page5_GMC_MCI!$M$32/Page5_GMC_MCI!$K$32&lt;INDEX(Min_Table,L1336),Page5_GMC_MCI!$M$32/Page5_GMC_MCI!$K$32&gt;INDEX(Max_Table,L1336)))</f>
        <v>0</v>
      </c>
      <c r="D1336" s="1454" t="b">
        <f>OR(AND(Page5_GMC_MCI!$L32&lt;&gt;0,Page5_GMC_MCI!$M32=0),AND(Page5_GMC_MCI!$M32&lt;&gt;0,Page5_GMC_MCI!$L32=0))</f>
        <v>0</v>
      </c>
      <c r="E1336" s="1454" t="b">
        <f>IF(Page5_GMC_MCI!$K$32=0,FALSE,OR(Page5_GMC_MCI!$M$32/Page5_GMC_MCI!$K$32&lt;INDEX(Min_Table,M1336),Page5_GMC_MCI!$M$32/Page5_GMC_MCI!$K$32&gt;INDEX(Max_Table,M1336)))</f>
        <v>0</v>
      </c>
      <c r="F1336" s="1454"/>
      <c r="G1336" s="1444" t="str">
        <f t="shared" si="174"/>
        <v/>
      </c>
      <c r="H1336" s="1447" t="str">
        <f>IF(C1336=TRUE,Comments!$B$20&amp;DOLLAR(INDEX(Min_Table,L1336),0)&amp;Comments!$B$18&amp;DOLLAR(INDEX(Max_Table,L1336),0)&amp;Comments!$B$19&amp;DOLLAR(Page5_GMC_MCI!$M$32/Page5_GMC_MCI!$K$32,0),"")</f>
        <v/>
      </c>
      <c r="I1336" s="1446" t="str">
        <f>IF(D1339=TRUE,Comments!$B$24,"")</f>
        <v/>
      </c>
      <c r="J1336" s="1446" t="str">
        <f>IF(E1336=TRUE,Comments!$B$22&amp;DOLLAR(INDEX(Min_Table,M1336),0)&amp;Comments!$B$18&amp;DOLLAR(INDEX(Max_Table,M1336),0)&amp;Comments!$B$19&amp;IFERROR(DOLLAR(Page5_GMC_MCI!$M$32/Page5_GMC_MCI!$K$32,0),0),"")</f>
        <v/>
      </c>
      <c r="K1336" s="1452"/>
      <c r="L1336" s="611">
        <f>ROW(OR_VEH!$A$667)</f>
        <v>667</v>
      </c>
      <c r="M1336" s="611">
        <f>ROW(OR_VEH!$A$281)</f>
        <v>281</v>
      </c>
      <c r="N1336" s="611" t="str">
        <f>"CPTE # "&amp;Page5_GMC_MCI!$E$32&amp;"  "&amp;Page5_GMC_MCI!$C$32&amp;" - COÛT DES VENTES - AAD"</f>
        <v>CPTE # 427F  NE PAS UTILISER - COÛT DES VENTES - AAD</v>
      </c>
      <c r="O1336" s="611" t="str">
        <f t="shared" si="183"/>
        <v/>
      </c>
      <c r="P1336" s="611" t="str">
        <f t="shared" si="175"/>
        <v>Page5_GMC_MCI!M</v>
      </c>
      <c r="Q1336" s="611">
        <f t="shared" si="176"/>
        <v>32</v>
      </c>
      <c r="R1336" s="1447">
        <f t="shared" ca="1" si="177"/>
        <v>0</v>
      </c>
      <c r="S1336" s="1447">
        <f t="shared" ca="1" si="178"/>
        <v>0</v>
      </c>
      <c r="T1336" s="611">
        <v>22</v>
      </c>
      <c r="V1336" s="2557" t="str">
        <f t="shared" ca="1" si="182"/>
        <v/>
      </c>
      <c r="W1336" s="611" t="str">
        <f t="shared" ca="1" si="180"/>
        <v>Page5_GMC_MCI, Ligne 29 [Page5_GMC_MCI!M32]  -</v>
      </c>
    </row>
    <row r="1337" spans="1:23">
      <c r="A1337" s="1443" t="str">
        <f>celladdr(Page5_GMC_MCI!M33)</f>
        <v>Page5_GMC_MCI!M33</v>
      </c>
      <c r="B1337" s="1456" t="s">
        <v>1086</v>
      </c>
      <c r="C1337" s="1451" t="b">
        <f>IF(Page5_GMC_MCI!$K$33=0,FALSE,OR(Page5_GMC_MCI!$M$33/Page5_GMC_MCI!$K$33&lt;INDEX(Min_Table,L1337),Page5_GMC_MCI!$M$33/Page5_GMC_MCI!$K$33&gt;INDEX(Max_Table,L1337)))</f>
        <v>0</v>
      </c>
      <c r="D1337" s="1454" t="b">
        <f>OR(AND(Page5_GMC_MCI!$L33&lt;&gt;0,Page5_GMC_MCI!$M33=0),AND(Page5_GMC_MCI!$M33&lt;&gt;0,Page5_GMC_MCI!$L33=0))</f>
        <v>0</v>
      </c>
      <c r="E1337" s="1454" t="b">
        <f>IF(Page5_GMC_MCI!$K$33=0,FALSE,OR(Page5_GMC_MCI!$M$33/Page5_GMC_MCI!$K$33&lt;INDEX(Min_Table,M1337),Page5_GMC_MCI!$M$33/Page5_GMC_MCI!$K$33&gt;INDEX(Max_Table,M1337)))</f>
        <v>0</v>
      </c>
      <c r="F1337" s="1454"/>
      <c r="G1337" s="1444" t="str">
        <f t="shared" si="174"/>
        <v/>
      </c>
      <c r="H1337" s="1447" t="str">
        <f>IF(C1337=TRUE,Comments!$B$20&amp;DOLLAR(INDEX(Min_Table,L1337),0)&amp;Comments!$B$18&amp;DOLLAR(INDEX(Max_Table,L1337),0)&amp;Comments!$B$19&amp;DOLLAR(Page5_GMC_MCI!$M$33/Page5_GMC_MCI!$K$33,0),"")</f>
        <v/>
      </c>
      <c r="I1337" s="1446" t="str">
        <f>IF(D1337=TRUE,Comments!$B$24,"")</f>
        <v/>
      </c>
      <c r="J1337" s="1446" t="str">
        <f>IF(E1337=TRUE,Comments!$B$22&amp;DOLLAR(INDEX(Min_Table,M1337),0)&amp;Comments!$B$18&amp;DOLLAR(INDEX(Max_Table,M1337),0)&amp;Comments!$B$19&amp;IFERROR(DOLLAR(Page5_GMC_MCI!$M$33/Page5_GMC_MCI!$K$33,0),0),"")</f>
        <v/>
      </c>
      <c r="K1337" s="1452"/>
      <c r="L1337" s="611">
        <f>ROW(OR_VEH!$A$667)</f>
        <v>667</v>
      </c>
      <c r="M1337" s="611">
        <f>ROW(OR_VEH!$A$282)</f>
        <v>282</v>
      </c>
      <c r="N1337" s="611" t="str">
        <f>"CPTE # "&amp;Page5_GMC_MCI!$E$33&amp;"  "&amp;Page5_GMC_MCI!$C$33&amp;" - COÛT DES VENTES - AAD"</f>
        <v>CPTE # 428F  NE PAS UTILISER - COÛT DES VENTES - AAD</v>
      </c>
      <c r="O1337" s="611" t="str">
        <f t="shared" ref="O1337:O1368" si="184">IF(A1337=A1336,"TRUE","")</f>
        <v/>
      </c>
      <c r="P1337" s="611" t="str">
        <f t="shared" si="175"/>
        <v>Page5_GMC_MCI!M</v>
      </c>
      <c r="Q1337" s="611">
        <f t="shared" si="176"/>
        <v>33</v>
      </c>
      <c r="R1337" s="1447">
        <f t="shared" ca="1" si="177"/>
        <v>0</v>
      </c>
      <c r="S1337" s="1447">
        <f t="shared" ca="1" si="178"/>
        <v>0</v>
      </c>
      <c r="T1337" s="611">
        <v>22</v>
      </c>
      <c r="V1337" s="2557" t="str">
        <f t="shared" ca="1" si="182"/>
        <v/>
      </c>
      <c r="W1337" s="611" t="str">
        <f t="shared" ca="1" si="180"/>
        <v>Page5_GMC_MCI, Ligne 30 [Page5_GMC_MCI!M33]  -</v>
      </c>
    </row>
    <row r="1338" spans="1:23">
      <c r="A1338" s="1443" t="str">
        <f>celladdr(Page5_GMC_MCI!M34)</f>
        <v>Page5_GMC_MCI!M34</v>
      </c>
      <c r="B1338" s="1456" t="s">
        <v>1086</v>
      </c>
      <c r="C1338" s="1451" t="b">
        <f>IF(Page5_GMC_MCI!$K$34=0,FALSE,OR(Page5_GMC_MCI!$M$34/Page5_GMC_MCI!$K$34&lt;INDEX(Min_Table,L1338),Page5_GMC_MCI!$M$34/Page5_GMC_MCI!$K$34&gt;INDEX(Max_Table,L1338)))</f>
        <v>0</v>
      </c>
      <c r="D1338" s="1454" t="b">
        <f>OR(AND(Page5_GMC_MCI!$L34&lt;&gt;0,Page5_GMC_MCI!$M34=0),AND(Page5_GMC_MCI!$M34&lt;&gt;0,Page5_GMC_MCI!$L34=0))</f>
        <v>0</v>
      </c>
      <c r="E1338" s="1454" t="b">
        <f>IF(Page5_GMC_MCI!$K$34=0,FALSE,OR(Page5_GMC_MCI!$M$34/Page5_GMC_MCI!$K$34&lt;INDEX(Min_Table,M1338),Page5_GMC_MCI!$M$34/Page5_GMC_MCI!$K$34&gt;INDEX(Max_Table,M1338)))</f>
        <v>0</v>
      </c>
      <c r="F1338" s="1454"/>
      <c r="G1338" s="1444" t="str">
        <f t="shared" si="174"/>
        <v/>
      </c>
      <c r="H1338" s="1447" t="str">
        <f>IF(C1338=TRUE,Comments!$B$20&amp;DOLLAR(INDEX(Min_Table,L1338),0)&amp;Comments!$B$18&amp;DOLLAR(INDEX(Max_Table,L1338),0)&amp;Comments!$B$19&amp;DOLLAR(Page5_GMC_MCI!$M$34/Page5_GMC_MCI!$K$34,0),"")</f>
        <v/>
      </c>
      <c r="I1338" s="1446" t="str">
        <f>IF(D1338=TRUE,Comments!$B$24,"")</f>
        <v/>
      </c>
      <c r="J1338" s="1446" t="str">
        <f>IF(E1338=TRUE,Comments!$B$22&amp;DOLLAR(INDEX(Min_Table,M1338),0)&amp;Comments!$B$18&amp;DOLLAR(INDEX(Max_Table,M1338),0)&amp;Comments!$B$19&amp;IFERROR(DOLLAR(Page5_GMC_MCI!$M$34/Page5_GMC_MCI!$K$34,0),0),"")</f>
        <v/>
      </c>
      <c r="K1338" s="1452"/>
      <c r="L1338" s="611">
        <f>ROW(OR_VEH!$A$667)</f>
        <v>667</v>
      </c>
      <c r="M1338" s="611">
        <f>ROW(OR_VEH!$A$283)</f>
        <v>283</v>
      </c>
      <c r="N1338" s="611" t="str">
        <f>"CPTE # "&amp;Page5_GMC_MCI!$E$34&amp;"  "&amp;Page5_GMC_MCI!$C$34&amp;" - COÛT DES VENTES - AAD"</f>
        <v>CPTE # 429F  NE PAS UTILISER - COÛT DES VENTES - AAD</v>
      </c>
      <c r="O1338" s="611" t="str">
        <f t="shared" si="184"/>
        <v/>
      </c>
      <c r="P1338" s="611" t="str">
        <f t="shared" si="175"/>
        <v>Page5_GMC_MCI!M</v>
      </c>
      <c r="Q1338" s="611">
        <f t="shared" si="176"/>
        <v>34</v>
      </c>
      <c r="R1338" s="1447">
        <f t="shared" ca="1" si="177"/>
        <v>0</v>
      </c>
      <c r="S1338" s="1447">
        <f t="shared" ca="1" si="178"/>
        <v>0</v>
      </c>
      <c r="T1338" s="611">
        <v>22</v>
      </c>
      <c r="V1338" s="2557" t="str">
        <f t="shared" ca="1" si="182"/>
        <v/>
      </c>
      <c r="W1338" s="611" t="str">
        <f t="shared" ca="1" si="180"/>
        <v>Page5_GMC_MCI, Ligne 31 [Page5_GMC_MCI!M34]  -</v>
      </c>
    </row>
    <row r="1339" spans="1:23">
      <c r="A1339" s="1443" t="str">
        <f>celladdr(Page5_GMC_MCI!M35)</f>
        <v>Page5_GMC_MCI!M35</v>
      </c>
      <c r="B1339" s="1456" t="s">
        <v>1086</v>
      </c>
      <c r="C1339" s="1451" t="b">
        <f>IF(Page5_GMC_MCI!$K$35=0,FALSE,OR(Page5_GMC_MCI!$M$35/Page5_GMC_MCI!$K$35&lt;INDEX(Min_Table,L1339),Page5_GMC_MCI!$M$35/Page5_GMC_MCI!$K$35&gt;INDEX(Max_Table,L1339)))</f>
        <v>0</v>
      </c>
      <c r="D1339" s="1454" t="b">
        <f>OR(AND(Page5_GMC_MCI!$L35&lt;&gt;0,Page5_GMC_MCI!$M35=0),AND(Page5_GMC_MCI!$M35&lt;&gt;0,Page5_GMC_MCI!$L35=0))</f>
        <v>0</v>
      </c>
      <c r="E1339" s="1454" t="b">
        <f>IF(Page5_GMC_MCI!$K$35=0,FALSE,OR(Page5_GMC_MCI!$M$35/Page5_GMC_MCI!$K$35&lt;INDEX(Min_Table,M1339),Page5_GMC_MCI!$M$35/Page5_GMC_MCI!$K$35&gt;INDEX(Max_Table,M1339)))</f>
        <v>0</v>
      </c>
      <c r="F1339" s="1454"/>
      <c r="G1339" s="1444" t="str">
        <f t="shared" si="174"/>
        <v/>
      </c>
      <c r="H1339" s="1447" t="str">
        <f>IF(C1339=TRUE,Comments!$B$20&amp;DOLLAR(INDEX(Min_Table,L1339),0)&amp;Comments!$B$18&amp;DOLLAR(INDEX(Max_Table,L1339),0)&amp;Comments!$B$19&amp;DOLLAR(Page5_GMC_MCI!$M$35/Page5_GMC_MCI!$K$35,0),"")</f>
        <v/>
      </c>
      <c r="I1339" s="1446" t="str">
        <f>IF(D1339=TRUE,Comments!$B$24,"")</f>
        <v/>
      </c>
      <c r="J1339" s="1446" t="str">
        <f>IF(E1339=TRUE,Comments!$B$22&amp;DOLLAR(INDEX(Min_Table,M1339),0)&amp;Comments!$B$18&amp;DOLLAR(INDEX(Max_Table,M1339),0)&amp;Comments!$B$19&amp;IFERROR(DOLLAR(Page5_GMC_MCI!$M$35/Page5_GMC_MCI!$K$35,0),0),"")</f>
        <v/>
      </c>
      <c r="K1339" s="1452"/>
      <c r="L1339" s="611">
        <f>ROW(OR_VEH!$A$667)</f>
        <v>667</v>
      </c>
      <c r="M1339" s="611">
        <f>ROW(OR_VEH!$A$284)</f>
        <v>284</v>
      </c>
      <c r="N1339" s="611" t="str">
        <f>"CPTE # "&amp;Page5_GMC_MCI!$E$35&amp;"  "&amp;Page5_GMC_MCI!$C$35&amp;" - COÛT DES VENTES - AAD"</f>
        <v>CPTE # 430F  YUKON/XL - COÛT DES VENTES - AAD</v>
      </c>
      <c r="O1339" s="611" t="str">
        <f t="shared" si="184"/>
        <v/>
      </c>
      <c r="P1339" s="611" t="str">
        <f t="shared" si="175"/>
        <v>Page5_GMC_MCI!M</v>
      </c>
      <c r="Q1339" s="611">
        <f t="shared" si="176"/>
        <v>35</v>
      </c>
      <c r="R1339" s="1447">
        <f t="shared" ca="1" si="177"/>
        <v>0</v>
      </c>
      <c r="S1339" s="1447">
        <f t="shared" ca="1" si="178"/>
        <v>0</v>
      </c>
      <c r="T1339" s="611">
        <v>22</v>
      </c>
      <c r="V1339" s="2557" t="str">
        <f t="shared" ca="1" si="182"/>
        <v/>
      </c>
      <c r="W1339" s="611" t="str">
        <f t="shared" ca="1" si="180"/>
        <v>Page5_GMC_MCI, Ligne 32 [Page5_GMC_MCI!M35]  -</v>
      </c>
    </row>
    <row r="1340" spans="1:23">
      <c r="A1340" s="1443" t="str">
        <f>celladdr(Page5_GMC_MCI!M36)</f>
        <v>Page5_GMC_MCI!M36</v>
      </c>
      <c r="B1340" s="1456" t="s">
        <v>1086</v>
      </c>
      <c r="C1340" s="1451" t="b">
        <f>IF(Page5_GMC_MCI!$K$36=0,FALSE,OR(Page5_GMC_MCI!$M$36/Page5_GMC_MCI!$K$36&lt;INDEX(Min_Table,L1340),Page5_GMC_MCI!$M$36/Page5_GMC_MCI!$K$36&gt;INDEX(Max_Table,L1340)))</f>
        <v>0</v>
      </c>
      <c r="D1340" s="1454" t="b">
        <f>OR(AND(Page5_GMC_MCI!$L36&lt;&gt;0,Page5_GMC_MCI!$M36=0),AND(Page5_GMC_MCI!$M36&lt;&gt;0,Page5_GMC_MCI!$L36=0))</f>
        <v>0</v>
      </c>
      <c r="E1340" s="1454" t="b">
        <f>IF(Page5_GMC_MCI!$K$36=0,FALSE,OR(Page5_GMC_MCI!$M$36/Page5_GMC_MCI!$K$36&lt;INDEX(Min_Table,M1340),Page5_GMC_MCI!$M$36/Page5_GMC_MCI!$K$36&gt;INDEX(Max_Table,M1340)))</f>
        <v>0</v>
      </c>
      <c r="F1340" s="1454"/>
      <c r="G1340" s="1444" t="str">
        <f t="shared" si="174"/>
        <v/>
      </c>
      <c r="H1340" s="1447" t="str">
        <f>IF(C1340=TRUE,Comments!$B$20&amp;DOLLAR(INDEX(Min_Table,L1340),0)&amp;Comments!$B$18&amp;DOLLAR(INDEX(Max_Table,L1340),0)&amp;Comments!$B$19&amp;DOLLAR(Page5_GMC_MCI!$M$36/Page5_GMC_MCI!$K$36,0),"")</f>
        <v/>
      </c>
      <c r="I1340" s="1446" t="str">
        <f>IF(D1340=TRUE,Comments!$B$24,"")</f>
        <v/>
      </c>
      <c r="J1340" s="1446" t="str">
        <f>IF(E1340=TRUE,Comments!$B$22&amp;DOLLAR(INDEX(Min_Table,M1340),0)&amp;Comments!$B$18&amp;DOLLAR(INDEX(Max_Table,M1340),0)&amp;Comments!$B$19&amp;IFERROR(DOLLAR(Page5_GMC_MCI!$M$36/Page5_GMC_MCI!$K$36,0),0),"")</f>
        <v/>
      </c>
      <c r="K1340" s="1452"/>
      <c r="L1340" s="611">
        <f>ROW(OR_VEH!$A$667)</f>
        <v>667</v>
      </c>
      <c r="M1340" s="611">
        <f>ROW(OR_VEH!$A$285)</f>
        <v>285</v>
      </c>
      <c r="N1340" s="611" t="str">
        <f>"CPTE # "&amp;Page5_GMC_MCI!$E$36&amp;"  "&amp;Page5_GMC_MCI!$C$36&amp;" - COÛT DES VENTES - AAD"</f>
        <v>CPTE # 431F  LD 1500 SIERRA - COÛT DES VENTES - AAD</v>
      </c>
      <c r="O1340" s="611" t="str">
        <f t="shared" si="184"/>
        <v/>
      </c>
      <c r="P1340" s="611" t="str">
        <f t="shared" si="175"/>
        <v>Page5_GMC_MCI!M</v>
      </c>
      <c r="Q1340" s="611">
        <f t="shared" si="176"/>
        <v>36</v>
      </c>
      <c r="R1340" s="1447">
        <f t="shared" ca="1" si="177"/>
        <v>0</v>
      </c>
      <c r="S1340" s="1447">
        <f t="shared" ca="1" si="178"/>
        <v>0</v>
      </c>
      <c r="T1340" s="611">
        <v>22</v>
      </c>
      <c r="V1340" s="2557" t="str">
        <f t="shared" ca="1" si="182"/>
        <v/>
      </c>
      <c r="W1340" s="611" t="str">
        <f t="shared" ca="1" si="180"/>
        <v>Page5_GMC_MCI, Ligne 33 [Page5_GMC_MCI!M36]  -</v>
      </c>
    </row>
    <row r="1341" spans="1:23">
      <c r="A1341" s="1443" t="str">
        <f>celladdr(Page5_GMC_MCI!M37)</f>
        <v>Page5_GMC_MCI!M37</v>
      </c>
      <c r="B1341" s="1456" t="s">
        <v>1086</v>
      </c>
      <c r="C1341" s="1451" t="b">
        <f>IF(Page5_GMC_MCI!$K$37=0,FALSE,OR(Page5_GMC_MCI!$M$37/Page5_GMC_MCI!$K$37&lt;INDEX(Min_Table,L1341),Page5_GMC_MCI!$M$37/Page5_GMC_MCI!$K$37&gt;INDEX(Max_Table,L1341)))</f>
        <v>0</v>
      </c>
      <c r="D1341" s="1454" t="b">
        <f>OR(AND(Page5_GMC_MCI!$L37&lt;&gt;0,Page5_GMC_MCI!$M37=0),AND(Page5_GMC_MCI!$M37&lt;&gt;0,Page5_GMC_MCI!$L37=0))</f>
        <v>0</v>
      </c>
      <c r="E1341" s="1454" t="b">
        <f>IF(Page5_GMC_MCI!$K$37=0,FALSE,OR(Page5_GMC_MCI!$M$37/Page5_GMC_MCI!$K$37&lt;INDEX(Min_Table,M1341),Page5_GMC_MCI!$M$37/Page5_GMC_MCI!$K$37&gt;INDEX(Max_Table,M1341)))</f>
        <v>0</v>
      </c>
      <c r="F1341" s="1454"/>
      <c r="G1341" s="1444" t="str">
        <f t="shared" si="174"/>
        <v/>
      </c>
      <c r="H1341" s="1447" t="str">
        <f>IF(C1341=TRUE,Comments!$B$20&amp;DOLLAR(INDEX(Min_Table,L1341),0)&amp;Comments!$B$18&amp;DOLLAR(INDEX(Max_Table,L1341),0)&amp;Comments!$B$19&amp;DOLLAR(Page5_GMC_MCI!$M$37/Page5_GMC_MCI!$K$37,0),"")</f>
        <v/>
      </c>
      <c r="I1341" s="1446" t="str">
        <f>IF(D1341=TRUE,Comments!$B$24,"")</f>
        <v/>
      </c>
      <c r="J1341" s="1446" t="str">
        <f>IF(E1341=TRUE,Comments!$B$22&amp;DOLLAR(INDEX(Min_Table,M1341),0)&amp;Comments!$B$18&amp;DOLLAR(INDEX(Max_Table,M1341),0)&amp;Comments!$B$19&amp;IFERROR(DOLLAR(Page5_GMC_MCI!$M$37/Page5_GMC_MCI!$K$37,0),0),"")</f>
        <v/>
      </c>
      <c r="K1341" s="1452"/>
      <c r="L1341" s="611">
        <f>ROW(OR_VEH!$A$667)</f>
        <v>667</v>
      </c>
      <c r="M1341" s="611">
        <f>ROW(OR_VEH!$A$286)</f>
        <v>286</v>
      </c>
      <c r="N1341" s="611" t="str">
        <f>"CPTE # "&amp;Page5_GMC_MCI!$E$37&amp;"  "&amp;Page5_GMC_MCI!$C$37&amp;" - COÛT DES VENTES - AAD"</f>
        <v>CPTE # 432F  LD 2500 SIERRA - COÛT DES VENTES - AAD</v>
      </c>
      <c r="O1341" s="611" t="str">
        <f t="shared" si="184"/>
        <v/>
      </c>
      <c r="P1341" s="611" t="str">
        <f t="shared" si="175"/>
        <v>Page5_GMC_MCI!M</v>
      </c>
      <c r="Q1341" s="611">
        <f t="shared" si="176"/>
        <v>37</v>
      </c>
      <c r="R1341" s="1447">
        <f t="shared" ca="1" si="177"/>
        <v>0</v>
      </c>
      <c r="S1341" s="1447">
        <f t="shared" ca="1" si="178"/>
        <v>0</v>
      </c>
      <c r="T1341" s="611">
        <v>22</v>
      </c>
      <c r="V1341" s="2557" t="str">
        <f t="shared" ca="1" si="182"/>
        <v/>
      </c>
      <c r="W1341" s="611" t="str">
        <f t="shared" ca="1" si="180"/>
        <v>Page5_GMC_MCI, Ligne 34 [Page5_GMC_MCI!M37]  -</v>
      </c>
    </row>
    <row r="1342" spans="1:23">
      <c r="A1342" s="1443" t="str">
        <f>celladdr(Page5_GMC_MCI!M38)</f>
        <v>Page5_GMC_MCI!M38</v>
      </c>
      <c r="B1342" s="1456" t="s">
        <v>1086</v>
      </c>
      <c r="C1342" s="1451" t="b">
        <f>IF(Page5_GMC_MCI!$K$38=0,FALSE,OR(Page5_GMC_MCI!$M$38/Page5_GMC_MCI!$K$38&lt;INDEX(Min_Table,L1342),Page5_GMC_MCI!$M$38/Page5_GMC_MCI!$K$38&gt;INDEX(Max_Table,L1342)))</f>
        <v>0</v>
      </c>
      <c r="D1342" s="1454" t="b">
        <f>OR(AND(Page5_GMC_MCI!$L38&lt;&gt;0,Page5_GMC_MCI!$M38=0),AND(Page5_GMC_MCI!$M38&lt;&gt;0,Page5_GMC_MCI!$L38=0))</f>
        <v>0</v>
      </c>
      <c r="E1342" s="1454" t="b">
        <f>IF(Page5_GMC_MCI!$K$38=0,FALSE,OR(Page5_GMC_MCI!$M$38/Page5_GMC_MCI!$K$38&lt;INDEX(Min_Table,M1342),Page5_GMC_MCI!$M$38/Page5_GMC_MCI!$K$38&gt;INDEX(Max_Table,M1342)))</f>
        <v>0</v>
      </c>
      <c r="F1342" s="1454"/>
      <c r="G1342" s="1444" t="str">
        <f t="shared" si="174"/>
        <v/>
      </c>
      <c r="H1342" s="1447" t="str">
        <f>IF(C1342=TRUE,Comments!$B$20&amp;DOLLAR(INDEX(Min_Table,L1342),0)&amp;Comments!$B$18&amp;DOLLAR(INDEX(Max_Table,L1342),0)&amp;Comments!$B$19&amp;DOLLAR(Page5_GMC_MCI!$M$38/Page5_GMC_MCI!$K$38,0),"")</f>
        <v/>
      </c>
      <c r="I1342" s="1446" t="str">
        <f>IF(D1342=TRUE,Comments!$B$24,"")</f>
        <v/>
      </c>
      <c r="J1342" s="1446" t="str">
        <f>IF(E1342=TRUE,Comments!$B$22&amp;DOLLAR(INDEX(Min_Table,M1342),0)&amp;Comments!$B$18&amp;DOLLAR(INDEX(Max_Table,M1342),0)&amp;Comments!$B$19&amp;IFERROR(DOLLAR(Page5_GMC_MCI!$M$38/Page5_GMC_MCI!$K$38,0),0),"")</f>
        <v/>
      </c>
      <c r="K1342" s="1452"/>
      <c r="L1342" s="611">
        <f>ROW(OR_VEH!$A$667)</f>
        <v>667</v>
      </c>
      <c r="M1342" s="611">
        <f>ROW(OR_VEH!$A$287)</f>
        <v>287</v>
      </c>
      <c r="N1342" s="611" t="str">
        <f>"CPTE # "&amp;Page5_GMC_MCI!$E$38&amp;"  "&amp;Page5_GMC_MCI!$C$38&amp;" - COÛT DES VENTES - AAD"</f>
        <v>CPTE # 433F  LD 3500 SIERRA - COÛT DES VENTES - AAD</v>
      </c>
      <c r="O1342" s="611" t="str">
        <f t="shared" si="184"/>
        <v/>
      </c>
      <c r="P1342" s="611" t="str">
        <f t="shared" si="175"/>
        <v>Page5_GMC_MCI!M</v>
      </c>
      <c r="Q1342" s="611">
        <f t="shared" si="176"/>
        <v>38</v>
      </c>
      <c r="R1342" s="1447">
        <f t="shared" ca="1" si="177"/>
        <v>0</v>
      </c>
      <c r="S1342" s="1447">
        <f t="shared" ca="1" si="178"/>
        <v>0</v>
      </c>
      <c r="T1342" s="611">
        <v>22</v>
      </c>
      <c r="V1342" s="2557" t="str">
        <f t="shared" ca="1" si="182"/>
        <v/>
      </c>
      <c r="W1342" s="611" t="str">
        <f t="shared" ca="1" si="180"/>
        <v>Page5_GMC_MCI, Ligne 35 [Page5_GMC_MCI!M38]  -</v>
      </c>
    </row>
    <row r="1343" spans="1:23">
      <c r="A1343" s="1443" t="str">
        <f>celladdr(Page5_GMC_MCI!M39)</f>
        <v>Page5_GMC_MCI!M39</v>
      </c>
      <c r="B1343" s="1456" t="s">
        <v>1086</v>
      </c>
      <c r="C1343" s="1451" t="b">
        <f>IF(Page5_GMC_MCI!$K$39=0,FALSE,OR(Page5_GMC_MCI!$M$39/Page5_GMC_MCI!$K$39&lt;INDEX(Min_Table,L1343),Page5_GMC_MCI!$M$39/Page5_GMC_MCI!$K$39&gt;INDEX(Max_Table,L1343)))</f>
        <v>0</v>
      </c>
      <c r="D1343" s="1454" t="b">
        <f>OR(AND(Page5_GMC_MCI!$L39&lt;&gt;0,Page5_GMC_MCI!$M39=0),AND(Page5_GMC_MCI!$M39&lt;&gt;0,Page5_GMC_MCI!$L39=0))</f>
        <v>0</v>
      </c>
      <c r="E1343" s="1454" t="b">
        <f>IF(Page5_GMC_MCI!$K$39=0,FALSE,OR(Page5_GMC_MCI!$M$39/Page5_GMC_MCI!$K$39&lt;INDEX(Min_Table,M1343),Page5_GMC_MCI!$M$39/Page5_GMC_MCI!$K$39&gt;INDEX(Max_Table,M1343)))</f>
        <v>0</v>
      </c>
      <c r="F1343" s="1454"/>
      <c r="G1343" s="1444" t="str">
        <f t="shared" si="174"/>
        <v/>
      </c>
      <c r="H1343" s="1447" t="str">
        <f>IF(C1343=TRUE,Comments!$B$20&amp;DOLLAR(INDEX(Min_Table,L1343),0)&amp;Comments!$B$18&amp;DOLLAR(INDEX(Max_Table,L1343),0)&amp;Comments!$B$19&amp;DOLLAR(Page5_GMC_MCI!$M$39/Page5_GMC_MCI!$K$39,0),"")</f>
        <v/>
      </c>
      <c r="I1343" s="1446" t="str">
        <f>IF(D1343=TRUE,Comments!$B$24,"")</f>
        <v/>
      </c>
      <c r="J1343" s="1446" t="str">
        <f>IF(E1343=TRUE,Comments!$B$22&amp;DOLLAR(INDEX(Min_Table,M1343),0)&amp;Comments!$B$18&amp;DOLLAR(INDEX(Max_Table,M1343),0)&amp;Comments!$B$19&amp;IFERROR(DOLLAR(Page5_GMC_MCI!$M$39/Page5_GMC_MCI!$K$39,0),0),"")</f>
        <v/>
      </c>
      <c r="K1343" s="1452"/>
      <c r="L1343" s="611">
        <f>ROW(OR_VEH!$A$667)</f>
        <v>667</v>
      </c>
      <c r="M1343" s="611">
        <f>ROW(OR_VEH!$A$288)</f>
        <v>288</v>
      </c>
      <c r="N1343" s="611" t="str">
        <f>"CPTE # "&amp;Page5_GMC_MCI!$E$39&amp;"  "&amp;Page5_GMC_MCI!$C$39&amp;" - COÛT DES VENTES - AAD"</f>
        <v>CPTE # 434F  NE PAS UTILISER - COÛT DES VENTES - AAD</v>
      </c>
      <c r="O1343" s="611" t="str">
        <f t="shared" si="184"/>
        <v/>
      </c>
      <c r="P1343" s="611" t="str">
        <f t="shared" si="175"/>
        <v>Page5_GMC_MCI!M</v>
      </c>
      <c r="Q1343" s="611">
        <f t="shared" si="176"/>
        <v>39</v>
      </c>
      <c r="R1343" s="1447">
        <f t="shared" ca="1" si="177"/>
        <v>0</v>
      </c>
      <c r="S1343" s="1447">
        <f t="shared" ca="1" si="178"/>
        <v>0</v>
      </c>
      <c r="T1343" s="611">
        <v>22</v>
      </c>
      <c r="V1343" s="2557" t="str">
        <f t="shared" ca="1" si="182"/>
        <v/>
      </c>
      <c r="W1343" s="611" t="str">
        <f t="shared" ca="1" si="180"/>
        <v>Page5_GMC_MCI, Ligne 36 [Page5_GMC_MCI!M39]  -</v>
      </c>
    </row>
    <row r="1344" spans="1:23">
      <c r="A1344" s="1443" t="str">
        <f>celladdr(Page5_GMC_MCI!M40)</f>
        <v>Page5_GMC_MCI!M40</v>
      </c>
      <c r="B1344" s="1456" t="s">
        <v>1086</v>
      </c>
      <c r="C1344" s="1451" t="b">
        <f>IF(Page5_GMC_MCI!$K$40=0,FALSE,OR(Page5_GMC_MCI!$M$40/Page5_GMC_MCI!$K$40&lt;INDEX(Min_Table,L1344),Page5_GMC_MCI!$M$40/Page5_GMC_MCI!$K$40&gt;INDEX(Max_Table,L1344)))</f>
        <v>0</v>
      </c>
      <c r="D1344" s="1454" t="b">
        <f>OR(AND(Page5_GMC_MCI!$L40&lt;&gt;0,Page5_GMC_MCI!$M40=0),AND(Page5_GMC_MCI!$M40&lt;&gt;0,Page5_GMC_MCI!$L40=0))</f>
        <v>0</v>
      </c>
      <c r="E1344" s="1454" t="b">
        <f>IF(Page5_GMC_MCI!$K$40=0,FALSE,OR(Page5_GMC_MCI!$M$40/Page5_GMC_MCI!$K$40&lt;INDEX(Min_Table,M1344),Page5_GMC_MCI!$M$40/Page5_GMC_MCI!$K$40&gt;INDEX(Max_Table,M1344)))</f>
        <v>0</v>
      </c>
      <c r="F1344" s="1454"/>
      <c r="G1344" s="1444" t="str">
        <f t="shared" si="174"/>
        <v/>
      </c>
      <c r="H1344" s="1447" t="str">
        <f>IF(C1344=TRUE,Comments!$B$20&amp;DOLLAR(INDEX(Min_Table,L1344),0)&amp;Comments!$B$18&amp;DOLLAR(INDEX(Max_Table,L1344),0)&amp;Comments!$B$19&amp;DOLLAR(Page5_GMC_MCI!$M$40/Page5_GMC_MCI!$K$40,0),"")</f>
        <v/>
      </c>
      <c r="I1344" s="1446" t="str">
        <f>IF(D1344=TRUE,Comments!$B$24,"")</f>
        <v/>
      </c>
      <c r="J1344" s="1446" t="str">
        <f>IF(E1344=TRUE,Comments!$B$22&amp;DOLLAR(INDEX(Min_Table,M1344),0)&amp;Comments!$B$18&amp;DOLLAR(INDEX(Max_Table,M1344),0)&amp;Comments!$B$19&amp;IFERROR(DOLLAR(Page5_GMC_MCI!$M$40/Page5_GMC_MCI!$K$40,0),0),"")</f>
        <v/>
      </c>
      <c r="K1344" s="1452"/>
      <c r="L1344" s="611">
        <f>ROW(OR_VEH!$A$667)</f>
        <v>667</v>
      </c>
      <c r="M1344" s="611">
        <f>ROW(OR_VEH!$A$289)</f>
        <v>289</v>
      </c>
      <c r="N1344" s="611" t="str">
        <f>"CPTE # "&amp;Page5_GMC_MCI!$E$40&amp;"  "&amp;Page5_GMC_MCI!$C$40&amp;" - COÛT DES VENTES - AAD"</f>
        <v>CPTE # 435F  NE PAS UTILISER - COÛT DES VENTES - AAD</v>
      </c>
      <c r="O1344" s="611" t="str">
        <f t="shared" si="184"/>
        <v/>
      </c>
      <c r="P1344" s="611" t="str">
        <f t="shared" si="175"/>
        <v>Page5_GMC_MCI!M</v>
      </c>
      <c r="Q1344" s="611">
        <f t="shared" si="176"/>
        <v>40</v>
      </c>
      <c r="R1344" s="1447">
        <f t="shared" ca="1" si="177"/>
        <v>0</v>
      </c>
      <c r="S1344" s="1447">
        <f t="shared" ca="1" si="178"/>
        <v>0</v>
      </c>
      <c r="T1344" s="611">
        <v>22</v>
      </c>
      <c r="V1344" s="2557" t="str">
        <f t="shared" ca="1" si="182"/>
        <v/>
      </c>
      <c r="W1344" s="611" t="str">
        <f t="shared" ca="1" si="180"/>
        <v>Page5_GMC_MCI, Ligne 37 [Page5_GMC_MCI!M40]  -</v>
      </c>
    </row>
    <row r="1345" spans="1:23">
      <c r="A1345" s="1443" t="str">
        <f>celladdr(Page5_GMC_MCI!M41)</f>
        <v>Page5_GMC_MCI!M41</v>
      </c>
      <c r="B1345" s="1456" t="s">
        <v>1086</v>
      </c>
      <c r="C1345" s="1451" t="b">
        <f>IF(Page5_GMC_MCI!$K$41=0,FALSE,OR(Page5_GMC_MCI!$M$41/Page5_GMC_MCI!$K$41&lt;INDEX(Min_Table,L1345),Page5_GMC_MCI!$M$41/Page5_GMC_MCI!$K$41&gt;INDEX(Max_Table,L1345)))</f>
        <v>0</v>
      </c>
      <c r="D1345" s="1454" t="b">
        <f>OR(AND(Page5_GMC_MCI!$L41&lt;&gt;0,Page5_GMC_MCI!$M41=0),AND(Page5_GMC_MCI!$M41&lt;&gt;0,Page5_GMC_MCI!$L41=0))</f>
        <v>0</v>
      </c>
      <c r="E1345" s="1454" t="b">
        <f>IF(Page5_GMC_MCI!$K$41=0,FALSE,OR(Page5_GMC_MCI!$M$41/Page5_GMC_MCI!$K$41&lt;INDEX(Min_Table,M1345),Page5_GMC_MCI!$M$41/Page5_GMC_MCI!$K$41&gt;INDEX(Max_Table,M1345)))</f>
        <v>0</v>
      </c>
      <c r="F1345" s="1454"/>
      <c r="G1345" s="1444" t="str">
        <f t="shared" si="174"/>
        <v/>
      </c>
      <c r="H1345" s="1447" t="str">
        <f>IF(C1345=TRUE,Comments!$B$20&amp;DOLLAR(INDEX(Min_Table,L1345),0)&amp;Comments!$B$18&amp;DOLLAR(INDEX(Max_Table,L1345),0)&amp;Comments!$B$19&amp;DOLLAR(Page5_GMC_MCI!$M$41/Page5_GMC_MCI!$K$41,0),"")</f>
        <v/>
      </c>
      <c r="I1345" s="1446" t="str">
        <f>IF(D1345=TRUE,Comments!$B$24,"")</f>
        <v/>
      </c>
      <c r="J1345" s="1446" t="str">
        <f>IF(E1345=TRUE,Comments!$B$22&amp;DOLLAR(INDEX(Min_Table,M1345),0)&amp;Comments!$B$18&amp;DOLLAR(INDEX(Max_Table,M1345),0)&amp;Comments!$B$19&amp;IFERROR(DOLLAR(Page5_GMC_MCI!$M$41/Page5_GMC_MCI!$K$41,0),0),"")</f>
        <v/>
      </c>
      <c r="K1345" s="1452"/>
      <c r="L1345" s="611">
        <f>ROW(OR_VEH!$A$667)</f>
        <v>667</v>
      </c>
      <c r="M1345" s="611">
        <f>ROW(OR_VEH!$A$290)</f>
        <v>290</v>
      </c>
      <c r="N1345" s="611" t="str">
        <f>"CPTE # "&amp;Page5_GMC_MCI!$E$41&amp;"  "&amp;Page5_GMC_MCI!$C$41&amp;" - COÛT DES VENTES - AAD"</f>
        <v>CPTE # 436F  ACADIA - COÛT DES VENTES - AAD</v>
      </c>
      <c r="O1345" s="611" t="str">
        <f t="shared" si="184"/>
        <v/>
      </c>
      <c r="P1345" s="611" t="str">
        <f t="shared" si="175"/>
        <v>Page5_GMC_MCI!M</v>
      </c>
      <c r="Q1345" s="611">
        <f t="shared" si="176"/>
        <v>41</v>
      </c>
      <c r="R1345" s="1447">
        <f t="shared" ca="1" si="177"/>
        <v>0</v>
      </c>
      <c r="S1345" s="1447">
        <f t="shared" ca="1" si="178"/>
        <v>0</v>
      </c>
      <c r="T1345" s="611">
        <v>22</v>
      </c>
      <c r="V1345" s="2557" t="str">
        <f t="shared" ca="1" si="182"/>
        <v/>
      </c>
      <c r="W1345" s="611" t="str">
        <f t="shared" ca="1" si="180"/>
        <v>Page5_GMC_MCI, Ligne 38 [Page5_GMC_MCI!M41]  -</v>
      </c>
    </row>
    <row r="1346" spans="1:23">
      <c r="A1346" s="1443" t="str">
        <f>celladdr(Page5_GMC_MCI!M42)</f>
        <v>Page5_GMC_MCI!M42</v>
      </c>
      <c r="B1346" s="1456" t="s">
        <v>1086</v>
      </c>
      <c r="C1346" s="1451"/>
      <c r="D1346" s="1454"/>
      <c r="E1346" s="1454"/>
      <c r="F1346" s="1454"/>
      <c r="G1346" s="1444" t="str">
        <f t="shared" ref="G1346:G1409" si="185">IF(H1346&amp;I1346&amp;J1346&amp;K1346&lt;&gt;"","No.de ref. du commentaire.: "&amp;W1346&amp;" "&amp;N1346&amp;" "&amp;H1346&amp;I1346&amp;IF(OR(C1346=TRUE,D1346=TRUE),"",J1346&amp;K1346&amp;V1346),"")</f>
        <v/>
      </c>
      <c r="I1346" s="1446"/>
      <c r="J1346" s="1446"/>
      <c r="K1346" s="1452"/>
      <c r="L1346" s="611">
        <f>ROW(OR_VEH!$A$667)</f>
        <v>667</v>
      </c>
      <c r="M1346" s="611">
        <f>ROW(OR_VEH!$A$291)</f>
        <v>291</v>
      </c>
      <c r="N1346" s="611" t="str">
        <f>"CPTE # "&amp;Page5_GMC_MCI!$E$42&amp;"  "&amp;Page5_GMC_MCI!$C$42&amp;" - COÛT DES VENTES - AAD"</f>
        <v>CPTE # 437F  POUR USAGE FUTUR - COÛT DES VENTES - AAD</v>
      </c>
      <c r="O1346" s="611" t="str">
        <f t="shared" si="184"/>
        <v/>
      </c>
      <c r="P1346" s="611" t="str">
        <f t="shared" ref="P1346:P1409" si="186">LEFT(A1346,FIND("!",A1346)+1)</f>
        <v>Page5_GMC_MCI!M</v>
      </c>
      <c r="Q1346" s="611">
        <f t="shared" ref="Q1346:Q1409" si="187">VALUE(RIGHT(A1346,LEN(A1346)-FIND("!",A1346)-1))</f>
        <v>42</v>
      </c>
      <c r="R1346" s="1447">
        <f t="shared" ref="R1346:R1409" ca="1" si="188">IF(E1346=TRUE,INDIRECT("Comments!$D$"&amp;T1346),0)</f>
        <v>0</v>
      </c>
      <c r="S1346" s="1447">
        <f t="shared" ref="S1346:S1409" ca="1" si="189">IF(F1346=TRUE,INDIRECT("Comments!$D$"&amp;U1346),0)</f>
        <v>0</v>
      </c>
      <c r="T1346" s="611">
        <v>22</v>
      </c>
      <c r="V1346" s="2557" t="str">
        <f t="shared" ca="1" si="182"/>
        <v/>
      </c>
      <c r="W1346" s="611" t="str">
        <f t="shared" ref="W1346:W1409" ca="1" si="190">LEFT(A1346,FIND("!",A1346,1)-1)&amp;", Ligne "&amp;INDIRECT(ADDRESS(ROW(INDIRECT(A1346)),IF(INDIRECT(ADDRESS(ROW(INDIRECT(A1346)),1,,,LEFT(A1346,FIND("!",A1346,1)-1)))="",2,1),,,LEFT(A1346,FIND("!",A1346,1)-1)))&amp;" ["&amp;A1346&amp;"] "&amp;" -"</f>
        <v>Page5_GMC_MCI, Ligne 39 [Page5_GMC_MCI!M42]  -</v>
      </c>
    </row>
    <row r="1347" spans="1:23">
      <c r="A1347" s="1443" t="str">
        <f>celladdr(Page5_GMC_MCI!M43)</f>
        <v>Page5_GMC_MCI!M43</v>
      </c>
      <c r="B1347" s="1456" t="s">
        <v>1086</v>
      </c>
      <c r="C1347" s="1451" t="b">
        <f>IF(Page5_GMC_MCI!$K$43=0,FALSE,OR(Page5_GMC_MCI!$M$43/Page5_GMC_MCI!$K$43&lt;INDEX(Min_Table,L1347),Page5_GMC_MCI!$M$43/Page5_GMC_MCI!$K$43&gt;INDEX(Max_Table,L1347)))</f>
        <v>0</v>
      </c>
      <c r="D1347" s="1454" t="b">
        <f>OR(AND(Page5_GMC_MCI!$L43&lt;&gt;0,Page5_GMC_MCI!$M43=0),AND(Page5_GMC_MCI!$M43&lt;&gt;0,Page5_GMC_MCI!$L43=0))</f>
        <v>0</v>
      </c>
      <c r="E1347" s="1454" t="b">
        <f>IF(Page5_GMC_MCI!$K$43=0,FALSE,OR(Page5_GMC_MCI!$M$43/Page5_GMC_MCI!$K$43&lt;INDEX(Min_Table,M1347),Page5_GMC_MCI!$M$43/Page5_GMC_MCI!$K$43&gt;INDEX(Max_Table,M1347)))</f>
        <v>0</v>
      </c>
      <c r="F1347" s="1454"/>
      <c r="G1347" s="1444" t="str">
        <f t="shared" si="185"/>
        <v/>
      </c>
      <c r="H1347" s="1447" t="str">
        <f>IF(C1347=TRUE,Comments!$B$20&amp;DOLLAR(INDEX(Min_Table,L1347),0)&amp;Comments!$B$18&amp;DOLLAR(INDEX(Max_Table,L1347),0)&amp;Comments!$B$19&amp;DOLLAR(Page5_GMC_MCI!$M$43/Page5_GMC_MCI!$K$43,0),"")</f>
        <v/>
      </c>
      <c r="I1347" s="1446" t="str">
        <f>IF(D1347=TRUE,Comments!$B$24,"")</f>
        <v/>
      </c>
      <c r="J1347" s="1446" t="str">
        <f>IF(E1347=TRUE,Comments!$B$22&amp;DOLLAR(INDEX(Min_Table,M1347),0)&amp;Comments!$B$18&amp;DOLLAR(INDEX(Max_Table,M1347),0)&amp;Comments!$B$19&amp;IFERROR(DOLLAR(Page5_GMC_MCI!$M$43/Page5_GMC_MCI!$K$43,0),0),"")</f>
        <v/>
      </c>
      <c r="K1347" s="1452"/>
      <c r="L1347" s="611">
        <f>ROW(OR_VEH!$A$667)</f>
        <v>667</v>
      </c>
      <c r="M1347" s="611">
        <f>ROW(OR_VEH!$A$292)</f>
        <v>292</v>
      </c>
      <c r="N1347" s="611" t="str">
        <f>"CPTE # "&amp;Page5_GMC_MCI!$E$43&amp;"  "&amp;Page5_GMC_MCI!$C$43&amp;" - COÛT DES VENTES - AAD"</f>
        <v>CPTE # 438F  AUTRES CAMIONS GMC - COÛT DES VENTES - AAD</v>
      </c>
      <c r="O1347" s="611" t="str">
        <f t="shared" si="184"/>
        <v/>
      </c>
      <c r="P1347" s="611" t="str">
        <f t="shared" si="186"/>
        <v>Page5_GMC_MCI!M</v>
      </c>
      <c r="Q1347" s="611">
        <f t="shared" si="187"/>
        <v>43</v>
      </c>
      <c r="R1347" s="1447">
        <f t="shared" ca="1" si="188"/>
        <v>0</v>
      </c>
      <c r="S1347" s="1447">
        <f t="shared" ca="1" si="189"/>
        <v>0</v>
      </c>
      <c r="T1347" s="611">
        <v>22</v>
      </c>
      <c r="V1347" s="2557" t="str">
        <f t="shared" ca="1" si="182"/>
        <v/>
      </c>
      <c r="W1347" s="611" t="str">
        <f t="shared" ca="1" si="190"/>
        <v>Page5_GMC_MCI, Ligne 40 [Page5_GMC_MCI!M43]  -</v>
      </c>
    </row>
    <row r="1348" spans="1:23">
      <c r="A1348" s="1443" t="str">
        <f>celladdr(Page5_GMC_MCI!M44)</f>
        <v>Page5_GMC_MCI!M44</v>
      </c>
      <c r="B1348" s="1444" t="s">
        <v>1086</v>
      </c>
      <c r="C1348" s="1451"/>
      <c r="D1348" s="1454"/>
      <c r="E1348" s="1454"/>
      <c r="F1348" s="1454"/>
      <c r="G1348" s="1444" t="str">
        <f t="shared" si="185"/>
        <v/>
      </c>
      <c r="H1348" s="1447" t="str">
        <f>IF(C1348=TRUE,Comments!$B$26,"")</f>
        <v/>
      </c>
      <c r="I1348" s="1446" t="str">
        <f>IF(D1348=TRUE,Comments!$B$24,"")</f>
        <v/>
      </c>
      <c r="J1348" s="1446"/>
      <c r="K1348" s="1452"/>
      <c r="O1348" s="611" t="str">
        <f t="shared" si="184"/>
        <v/>
      </c>
      <c r="P1348" s="611" t="str">
        <f t="shared" si="186"/>
        <v>Page5_GMC_MCI!M</v>
      </c>
      <c r="Q1348" s="611">
        <f t="shared" si="187"/>
        <v>44</v>
      </c>
      <c r="R1348" s="1447">
        <f t="shared" ca="1" si="188"/>
        <v>0</v>
      </c>
      <c r="S1348" s="1447">
        <f t="shared" ca="1" si="189"/>
        <v>0</v>
      </c>
      <c r="V1348" s="2557" t="str">
        <f t="shared" ca="1" si="182"/>
        <v/>
      </c>
      <c r="W1348" s="611" t="str">
        <f t="shared" ca="1" si="190"/>
        <v>Page5_GMC_MCI, Ligne 41 [Page5_GMC_MCI!M44]  -</v>
      </c>
    </row>
    <row r="1349" spans="1:23">
      <c r="A1349" s="1443" t="str">
        <f>celladdr(Page5_GMC_MCI!M45)</f>
        <v>Page5_GMC_MCI!M45</v>
      </c>
      <c r="B1349" s="1456" t="s">
        <v>1086</v>
      </c>
      <c r="C1349" s="1451" t="b">
        <f>IF(Page5_GMC_MCI!$K$45=0,FALSE,OR(Page5_GMC_MCI!$M$45/Page5_GMC_MCI!$K$45&lt;INDEX(Min_Table,L1349),Page5_GMC_MCI!$M$45/Page5_GMC_MCI!$K$45&gt;INDEX(Max_Table,L1349)))</f>
        <v>0</v>
      </c>
      <c r="D1349" s="1454" t="b">
        <f>OR(AND(Page5_GMC_MCI!$L45&lt;&gt;0,Page5_GMC_MCI!$M45=0),AND(Page5_GMC_MCI!$M45&lt;&gt;0,Page5_GMC_MCI!$L45=0))</f>
        <v>0</v>
      </c>
      <c r="E1349" s="1454" t="b">
        <f>IF(Page5_GMC_MCI!$K$45=0,FALSE,OR(Page5_GMC_MCI!$M$45/Page5_GMC_MCI!$K$45&lt;INDEX(Min_Table,M1349),Page5_GMC_MCI!$M$45/Page5_GMC_MCI!$K$45&gt;INDEX(Max_Table,M1349)))</f>
        <v>0</v>
      </c>
      <c r="F1349" s="1454"/>
      <c r="G1349" s="1444" t="str">
        <f t="shared" si="185"/>
        <v/>
      </c>
      <c r="H1349" s="1447" t="str">
        <f>IF(C1349=TRUE,Comments!$B$20&amp;DOLLAR(INDEX(Min_Table,L1349),0)&amp;Comments!$B$18&amp;DOLLAR(INDEX(Max_Table,L1349),0)&amp;Comments!$B$19&amp;DOLLAR(Page5_GMC_MCI!$M$45/Page5_GMC_MCI!$K$45,0),"")</f>
        <v/>
      </c>
      <c r="I1349" s="1446" t="str">
        <f>IF(D1349=TRUE,Comments!$B$24,"")</f>
        <v/>
      </c>
      <c r="J1349" s="1446" t="str">
        <f>IF(E1349=TRUE,Comments!$B$22&amp;DOLLAR(INDEX(Min_Table,M1349),0)&amp;Comments!$B$18&amp;DOLLAR(INDEX(Max_Table,M1349),0)&amp;Comments!$B$19&amp;IFERROR(DOLLAR(Page5_GMC_MCI!$M$45/Page5_GMC_MCI!$K$45,0),0),"")</f>
        <v/>
      </c>
      <c r="K1349" s="1452"/>
      <c r="L1349" s="611">
        <f>ROW(OR_VEH!$A$667)</f>
        <v>667</v>
      </c>
      <c r="M1349" s="611">
        <f>ROW(OR_VEH!$A$294)</f>
        <v>294</v>
      </c>
      <c r="N1349" s="611" t="str">
        <f>"CPTE # "&amp;Page5_GMC_MCI!$E$45&amp;"  "&amp;Page5_GMC_MCI!$C$45&amp;" - COÛT DES VENTES - AAD"</f>
        <v>CPTE # 439F  MÉMO* VENTES INTERNET CAMIONS - COÛT DES VENTES - AAD</v>
      </c>
      <c r="O1349" s="611" t="str">
        <f t="shared" si="184"/>
        <v/>
      </c>
      <c r="P1349" s="611" t="str">
        <f t="shared" si="186"/>
        <v>Page5_GMC_MCI!M</v>
      </c>
      <c r="Q1349" s="611">
        <f t="shared" si="187"/>
        <v>45</v>
      </c>
      <c r="R1349" s="1447">
        <f t="shared" ca="1" si="188"/>
        <v>0</v>
      </c>
      <c r="S1349" s="1447">
        <f t="shared" ca="1" si="189"/>
        <v>0</v>
      </c>
      <c r="T1349" s="611">
        <v>22</v>
      </c>
      <c r="V1349" s="2557" t="str">
        <f t="shared" ca="1" si="182"/>
        <v/>
      </c>
      <c r="W1349" s="611" t="str">
        <f t="shared" ca="1" si="190"/>
        <v>Page5_GMC_MCI, Ligne 42 [Page5_GMC_MCI!M45]  -</v>
      </c>
    </row>
    <row r="1350" spans="1:23">
      <c r="A1350" s="1443" t="str">
        <f>celladdr(Page5_GMC_MCI!M46)</f>
        <v>Page5_GMC_MCI!M46</v>
      </c>
      <c r="B1350" s="1456" t="s">
        <v>1086</v>
      </c>
      <c r="C1350" s="1451" t="b">
        <f>IF(Page5_GMC_MCI!$K$46=0,FALSE,OR(Page5_GMC_MCI!$M$46/Page5_GMC_MCI!$K$46&lt;INDEX(Min_Table,L1350),Page5_GMC_MCI!$M$46/Page5_GMC_MCI!$K$46&gt;INDEX(Max_Table,L1350)))</f>
        <v>0</v>
      </c>
      <c r="D1350" s="1454" t="b">
        <f>OR(AND(Page5_GMC_MCI!$L46&lt;&gt;0,Page5_GMC_MCI!$M46=0),AND(Page5_GMC_MCI!$M46&lt;&gt;0,Page5_GMC_MCI!$L46=0))</f>
        <v>0</v>
      </c>
      <c r="E1350" s="1454" t="b">
        <f>IF(Page5_GMC_MCI!$K$46=0,FALSE,OR(Page5_GMC_MCI!$M$46/Page5_GMC_MCI!$K$46&lt;INDEX(Min_Table,M1350),Page5_GMC_MCI!$M$46/Page5_GMC_MCI!$K$46&gt;INDEX(Max_Table,M1350)))</f>
        <v>0</v>
      </c>
      <c r="F1350" s="1454"/>
      <c r="G1350" s="1444" t="str">
        <f t="shared" si="185"/>
        <v/>
      </c>
      <c r="H1350" s="1447" t="str">
        <f>IF(C1350=TRUE,Comments!$B$20&amp;DOLLAR(INDEX(Min_Table,L1350),0)&amp;Comments!$B$18&amp;DOLLAR(INDEX(Max_Table,L1350),0)&amp;Comments!$B$19&amp;DOLLAR(Page5_GMC_MCI!$M$46/Page5_GMC_MCI!$K$46,0),"")</f>
        <v/>
      </c>
      <c r="I1350" s="1446" t="str">
        <f>IF(D1350=TRUE,Comments!$B$24,"")</f>
        <v/>
      </c>
      <c r="J1350" s="1446" t="str">
        <f>IF(E1350=TRUE,Comments!$B$22&amp;DOLLAR(INDEX(Min_Table,M1350),0)&amp;Comments!$B$18&amp;DOLLAR(INDEX(Max_Table,M1350),0)&amp;Comments!$B$19&amp;IFERROR(DOLLAR(Page5_GMC_MCI!$M$46/Page5_GMC_MCI!$K$46,0),0),"")</f>
        <v/>
      </c>
      <c r="K1350" s="1452"/>
      <c r="L1350" s="611">
        <f>ROW(OR_VEH!$A$667)</f>
        <v>667</v>
      </c>
      <c r="M1350" s="611">
        <f>ROW(OR_VEH!$A$295)</f>
        <v>295</v>
      </c>
      <c r="N1350" s="611" t="str">
        <f>"CPTE # "&amp;Page5_GMC_MCI!$E$46&amp;"  "&amp;Page5_GMC_MCI!$C$46&amp;" - COÛT DES VENTES - AAD"</f>
        <v>CPTE # DE PG PARCS  TOTAL PARCS - CAMIONS - COÛT DES VENTES - AAD</v>
      </c>
      <c r="O1350" s="611" t="str">
        <f t="shared" si="184"/>
        <v/>
      </c>
      <c r="P1350" s="611" t="str">
        <f t="shared" si="186"/>
        <v>Page5_GMC_MCI!M</v>
      </c>
      <c r="Q1350" s="611">
        <f t="shared" si="187"/>
        <v>46</v>
      </c>
      <c r="R1350" s="1447">
        <f t="shared" ca="1" si="188"/>
        <v>0</v>
      </c>
      <c r="S1350" s="1447">
        <f t="shared" ca="1" si="189"/>
        <v>0</v>
      </c>
      <c r="T1350" s="611">
        <v>22</v>
      </c>
      <c r="V1350" s="2557" t="str">
        <f t="shared" ca="1" si="182"/>
        <v/>
      </c>
      <c r="W1350" s="611" t="str">
        <f t="shared" ca="1" si="190"/>
        <v>Page5_GMC_MCI, Ligne 43 [Page5_GMC_MCI!M46]  -</v>
      </c>
    </row>
    <row r="1351" spans="1:23">
      <c r="A1351" s="1443" t="str">
        <f>celladdr(Page5_GMC_MCI!M47)</f>
        <v>Page5_GMC_MCI!M47</v>
      </c>
      <c r="B1351" s="1456" t="s">
        <v>1086</v>
      </c>
      <c r="C1351" s="1451" t="b">
        <f>IF(Page5_GMC_MCI!$K$47=0,FALSE,OR(Page5_GMC_MCI!$M$47/Page5_GMC_MCI!$K$47&lt;INDEX(Min_Table,L1351),Page5_GMC_MCI!$M$47/Page5_GMC_MCI!$K$47&gt;INDEX(Max_Table,L1351)))</f>
        <v>0</v>
      </c>
      <c r="D1351" s="1454" t="b">
        <f>OR(AND(Page5_GMC_MCI!$L47&lt;&gt;0,Page5_GMC_MCI!$M47=0),AND(Page5_GMC_MCI!$M47&lt;&gt;0,Page5_GMC_MCI!$L47=0))</f>
        <v>0</v>
      </c>
      <c r="E1351" s="1454" t="b">
        <f>IF(Page5_GMC_MCI!$K$47=0,FALSE,OR(Page5_GMC_MCI!$M$47/Page5_GMC_MCI!$K$47&lt;INDEX(Min_Table,M1351),Page5_GMC_MCI!$M$47/Page5_GMC_MCI!$K$47&gt;INDEX(Max_Table,M1351)))</f>
        <v>0</v>
      </c>
      <c r="F1351" s="1454"/>
      <c r="G1351" s="1444" t="str">
        <f t="shared" si="185"/>
        <v/>
      </c>
      <c r="H1351" s="1447" t="str">
        <f>IF(C1351=TRUE,Comments!$B$20&amp;DOLLAR(INDEX(Min_Table,L1351),0)&amp;Comments!$B$18&amp;DOLLAR(INDEX(Max_Table,L1351),0)&amp;Comments!$B$19&amp;DOLLAR(Page5_GMC_MCI!$M$47/Page5_GMC_MCI!$K$47,0),"")</f>
        <v/>
      </c>
      <c r="I1351" s="1446" t="str">
        <f>IF(D1351=TRUE,Comments!$B$24,"")</f>
        <v/>
      </c>
      <c r="J1351" s="1446" t="str">
        <f>IF(E1351=TRUE,Comments!$B$22&amp;DOLLAR(INDEX(Min_Table,M1351),0)&amp;Comments!$B$18&amp;DOLLAR(INDEX(Max_Table,M1351),0)&amp;Comments!$B$19&amp;IFERROR(DOLLAR(Page5_GMC_MCI!$M$47/Page5_GMC_MCI!$K$47,0),0),"")</f>
        <v/>
      </c>
      <c r="K1351" s="1452"/>
      <c r="L1351" s="611">
        <f>ROW(OR_VEH!$A$667)</f>
        <v>667</v>
      </c>
      <c r="M1351" s="611">
        <f>ROW(OR_VEH!$A$296)</f>
        <v>296</v>
      </c>
      <c r="N1351" s="611" t="str">
        <f>"CPTE # "&amp;Page5_GMC_MCI!$E$47&amp;"  "&amp;Page5_GMC_MCI!$C$47&amp;" - COÛT DES VENTES - AAD"</f>
        <v>CPTE # 441F  TOTAL IINTERNE - CAMIONS  - COÛT DES VENTES - AAD</v>
      </c>
      <c r="O1351" s="611" t="str">
        <f t="shared" si="184"/>
        <v/>
      </c>
      <c r="P1351" s="611" t="str">
        <f t="shared" si="186"/>
        <v>Page5_GMC_MCI!M</v>
      </c>
      <c r="Q1351" s="611">
        <f t="shared" si="187"/>
        <v>47</v>
      </c>
      <c r="R1351" s="1447">
        <f t="shared" ca="1" si="188"/>
        <v>0</v>
      </c>
      <c r="S1351" s="1447">
        <f t="shared" ca="1" si="189"/>
        <v>0</v>
      </c>
      <c r="T1351" s="611">
        <v>22</v>
      </c>
      <c r="V1351" s="2557" t="str">
        <f t="shared" ca="1" si="182"/>
        <v/>
      </c>
      <c r="W1351" s="611" t="str">
        <f t="shared" ca="1" si="190"/>
        <v>Page5_GMC_MCI, Ligne 44 [Page5_GMC_MCI!M47]  -</v>
      </c>
    </row>
    <row r="1352" spans="1:23">
      <c r="A1352" s="1443" t="str">
        <f>celladdr(Page5_GMC_MCI!M48)</f>
        <v>Page5_GMC_MCI!M48</v>
      </c>
      <c r="B1352" s="1444" t="s">
        <v>1086</v>
      </c>
      <c r="C1352" s="1451"/>
      <c r="D1352" s="1454"/>
      <c r="E1352" s="1454"/>
      <c r="F1352" s="1454"/>
      <c r="G1352" s="1444" t="str">
        <f t="shared" si="185"/>
        <v/>
      </c>
      <c r="H1352" s="1447" t="str">
        <f>IF(C1352=TRUE,Comments!$B$26,"")</f>
        <v/>
      </c>
      <c r="I1352" s="1446" t="str">
        <f>IF(D1352=TRUE,Comments!$B$24,"")</f>
        <v/>
      </c>
      <c r="J1352" s="1446"/>
      <c r="K1352" s="1452"/>
      <c r="O1352" s="611" t="str">
        <f t="shared" si="184"/>
        <v/>
      </c>
      <c r="P1352" s="611" t="str">
        <f t="shared" si="186"/>
        <v>Page5_GMC_MCI!M</v>
      </c>
      <c r="Q1352" s="611">
        <f t="shared" si="187"/>
        <v>48</v>
      </c>
      <c r="R1352" s="1447">
        <f t="shared" ca="1" si="188"/>
        <v>0</v>
      </c>
      <c r="S1352" s="1447">
        <f t="shared" ca="1" si="189"/>
        <v>0</v>
      </c>
      <c r="V1352" s="2557" t="str">
        <f t="shared" ca="1" si="182"/>
        <v/>
      </c>
      <c r="W1352" s="611" t="str">
        <f t="shared" ca="1" si="190"/>
        <v>Page5_GMC_MCI, Ligne 45 [Page5_GMC_MCI!M48]  -</v>
      </c>
    </row>
    <row r="1353" spans="1:23">
      <c r="A1353" s="1443" t="str">
        <f>celladdr(Page5_GMC_MCI!M49)</f>
        <v>Page5_GMC_MCI!M49</v>
      </c>
      <c r="B1353" s="1456" t="s">
        <v>1086</v>
      </c>
      <c r="C1353" s="1451"/>
      <c r="D1353" s="1454" t="b">
        <f>OR(AND(Page5_GMC_MCI!$L49&lt;&gt;0,Page5_GMC_MCI!$M49=0),AND(Page5_GMC_MCI!$M49&lt;&gt;0,Page5_GMC_MCI!$L49=0))</f>
        <v>0</v>
      </c>
      <c r="E1353" s="1454"/>
      <c r="F1353" s="1454"/>
      <c r="G1353" s="1444" t="str">
        <f t="shared" si="185"/>
        <v/>
      </c>
      <c r="I1353" s="1446" t="str">
        <f>IF(D1353=TRUE,Comments!$B$24,"")</f>
        <v/>
      </c>
      <c r="J1353" s="1446"/>
      <c r="K1353" s="1452"/>
      <c r="N1353" s="611" t="str">
        <f>"CPTE # "&amp;Page5_GMC_MCI!$E$49&amp;"  "&amp;Page5_GMC_MCI!$C$49&amp;" - COÛT DES VENTES - AAD"</f>
        <v>CPTE #      - COÛT DES VENTES - AAD</v>
      </c>
      <c r="O1353" s="611" t="str">
        <f t="shared" si="184"/>
        <v/>
      </c>
      <c r="P1353" s="611" t="str">
        <f t="shared" si="186"/>
        <v>Page5_GMC_MCI!M</v>
      </c>
      <c r="Q1353" s="611">
        <f t="shared" si="187"/>
        <v>49</v>
      </c>
      <c r="R1353" s="1447">
        <f t="shared" ca="1" si="188"/>
        <v>0</v>
      </c>
      <c r="S1353" s="1447">
        <f t="shared" ca="1" si="189"/>
        <v>0</v>
      </c>
      <c r="V1353" s="2557" t="str">
        <f t="shared" ca="1" si="182"/>
        <v/>
      </c>
      <c r="W1353" s="611" t="str">
        <f t="shared" ca="1" si="190"/>
        <v>Page5_GMC_MCI, Ligne 46 [Page5_GMC_MCI!M49]  -</v>
      </c>
    </row>
    <row r="1354" spans="1:23">
      <c r="A1354" s="1443" t="str">
        <f>celladdr(Page5_GMC_MCI!M50)</f>
        <v>Page5_GMC_MCI!M50</v>
      </c>
      <c r="B1354" s="1456" t="s">
        <v>1086</v>
      </c>
      <c r="C1354" s="1451"/>
      <c r="D1354" s="1454" t="b">
        <f>OR(AND(Page5_GMC_MCI!$L50&lt;&gt;0,Page5_GMC_MCI!$M50=0),AND(Page5_GMC_MCI!$M50&lt;&gt;0,Page5_GMC_MCI!$L50=0))</f>
        <v>0</v>
      </c>
      <c r="E1354" s="1454"/>
      <c r="F1354" s="1454"/>
      <c r="G1354" s="1444" t="str">
        <f t="shared" si="185"/>
        <v/>
      </c>
      <c r="I1354" s="1446" t="str">
        <f>IF(D1354=TRUE,Comments!$B$24,"")</f>
        <v/>
      </c>
      <c r="J1354" s="1446"/>
      <c r="K1354" s="1452"/>
      <c r="N1354" s="611" t="str">
        <f>"CPTE # "&amp;Page5_GMC_MCI!$E$50&amp;"  "&amp;Page5_GMC_MCI!$C$50&amp;" - COÛT DES VENTES - AAD"</f>
        <v>CPTE # 457F  ACCESSOIRES - COÛT DES VENTES - AAD</v>
      </c>
      <c r="O1354" s="611" t="str">
        <f t="shared" si="184"/>
        <v/>
      </c>
      <c r="P1354" s="611" t="str">
        <f t="shared" si="186"/>
        <v>Page5_GMC_MCI!M</v>
      </c>
      <c r="Q1354" s="611">
        <f t="shared" si="187"/>
        <v>50</v>
      </c>
      <c r="R1354" s="1447">
        <f t="shared" ca="1" si="188"/>
        <v>0</v>
      </c>
      <c r="S1354" s="1447">
        <f t="shared" ca="1" si="189"/>
        <v>0</v>
      </c>
      <c r="V1354" s="2557" t="str">
        <f t="shared" ca="1" si="182"/>
        <v/>
      </c>
      <c r="W1354" s="611" t="str">
        <f t="shared" ca="1" si="190"/>
        <v>Page5_GMC_MCI, Ligne 47 [Page5_GMC_MCI!M50]  -</v>
      </c>
    </row>
    <row r="1355" spans="1:23">
      <c r="A1355" s="1443" t="str">
        <f>celladdr(Page5_GMC_MCI!N51)</f>
        <v>Page5_GMC_MCI!N51</v>
      </c>
      <c r="B1355" s="1455" t="s">
        <v>1086</v>
      </c>
      <c r="C1355" s="1445" t="b">
        <f>Page5_GMC_MCI!$N$51&lt;&gt;Page5_GMC_MCI!$N$48+Page5_GMC_MCI!$N$49+Page5_GMC_MCI!$N$27+Page5_GMC_MCI!$N$50</f>
        <v>0</v>
      </c>
      <c r="D1355" s="1454"/>
      <c r="F1355" s="1454"/>
      <c r="G1355" s="1444" t="str">
        <f t="shared" si="185"/>
        <v/>
      </c>
      <c r="H1355" s="1446" t="str">
        <f>IF(C1355=TRUE,Comments!$B$39&amp;DOLLAR(Page5_GMC_MCI!$N$51-(Page5_GMC_MCI!$N$48+Page5_GMC_MCI!$N$49+Page5_GMC_MCI!$N$27+Page5_GMC_MCI!$N$50),0),"")</f>
        <v/>
      </c>
      <c r="I1355" s="1452"/>
      <c r="J1355" s="1452"/>
      <c r="K1355" s="1452"/>
      <c r="N1355" s="611" t="str">
        <f>Page5_GMC_MCI!$B$1&amp;" TOTAL VÉHICULES NEUFS - PROFIT BRUT - AAD"</f>
        <v>GMC TOTAL VÉHICULES NEUFS - PROFIT BRUT - AAD</v>
      </c>
      <c r="O1355" s="611" t="str">
        <f t="shared" si="184"/>
        <v/>
      </c>
      <c r="P1355" s="611" t="str">
        <f t="shared" si="186"/>
        <v>Page5_GMC_MCI!N</v>
      </c>
      <c r="Q1355" s="611">
        <f t="shared" si="187"/>
        <v>51</v>
      </c>
      <c r="R1355" s="1447">
        <f t="shared" ca="1" si="188"/>
        <v>0</v>
      </c>
      <c r="S1355" s="1447">
        <f t="shared" ca="1" si="189"/>
        <v>0</v>
      </c>
      <c r="V1355" s="2557" t="str">
        <f t="shared" ca="1" si="182"/>
        <v/>
      </c>
      <c r="W1355" s="611" t="str">
        <f t="shared" ca="1" si="190"/>
        <v>Page5_GMC_MCI, Ligne 48 [Page5_GMC_MCI!N51]  -</v>
      </c>
    </row>
    <row r="1356" spans="1:23">
      <c r="A1356" s="1443" t="str">
        <f>celladdr(Page5_CAD_VE!F51)</f>
        <v>Page5_CAD_VE!F51</v>
      </c>
      <c r="B1356" s="1453" t="s">
        <v>1086</v>
      </c>
      <c r="C1356" s="1445" t="b">
        <f>Page5_CAD_VE!$F$51&lt;&gt;Page5_CAD_VE!$F$48+Page5_CAD_VE!$F$27</f>
        <v>0</v>
      </c>
      <c r="D1356" s="1454"/>
      <c r="F1356" s="1454"/>
      <c r="G1356" s="1444" t="str">
        <f t="shared" si="185"/>
        <v/>
      </c>
      <c r="H1356" s="1446" t="str">
        <f>IF(C1356=TRUE,Comments!$B$38&amp;Page5_CAD_VE!$F$51-(Page5_CAD_VE!$F$48+Page5_CAD_VE!$F$27),"")</f>
        <v/>
      </c>
      <c r="I1356" s="1452"/>
      <c r="J1356" s="1452"/>
      <c r="K1356" s="1452"/>
      <c r="N1356" s="611" t="str">
        <f>Page5_CAD_VE!$B$1&amp;" TOTAL VÉHICULES NEUFS  - UNITÉS - MOIS"</f>
        <v>CADILLAC - VE TOTAL VÉHICULES NEUFS  - UNITÉS - MOIS</v>
      </c>
      <c r="O1356" s="611" t="str">
        <f t="shared" si="184"/>
        <v/>
      </c>
      <c r="P1356" s="611" t="str">
        <f t="shared" si="186"/>
        <v>Page5_CAD_VE!F</v>
      </c>
      <c r="Q1356" s="611">
        <f t="shared" si="187"/>
        <v>51</v>
      </c>
      <c r="R1356" s="1447">
        <f t="shared" ca="1" si="188"/>
        <v>0</v>
      </c>
      <c r="S1356" s="1447">
        <f t="shared" ca="1" si="189"/>
        <v>0</v>
      </c>
      <c r="V1356" s="2557" t="str">
        <f t="shared" ca="1" si="182"/>
        <v/>
      </c>
      <c r="W1356" s="611" t="str">
        <f t="shared" ca="1" si="190"/>
        <v>Page5_CAD_VE, Ligne 48 [Page5_CAD_VE!F51]  -</v>
      </c>
    </row>
    <row r="1357" spans="1:23">
      <c r="A1357" s="1443" t="str">
        <f>celladdr(Page5_CAD_VE!I51)</f>
        <v>Page5_CAD_VE!I51</v>
      </c>
      <c r="B1357" s="1455" t="s">
        <v>1086</v>
      </c>
      <c r="C1357" s="1445" t="b">
        <f>Page5_CAD_VE!$I$51&lt;&gt;Page5_CAD_VE!$I$48+Page5_CAD_VE!$I$49+Page5_CAD_VE!$I$27+Page5_CAD_VE!$I$50</f>
        <v>0</v>
      </c>
      <c r="D1357" s="1454"/>
      <c r="F1357" s="1454"/>
      <c r="G1357" s="1444" t="str">
        <f t="shared" si="185"/>
        <v/>
      </c>
      <c r="H1357" s="1446" t="str">
        <f>IF(C1357=TRUE,Comments!$B$39&amp;DOLLAR(Page5_CAD_VE!$I$51-(Page5_CAD_VE!$I$48+Page5_CAD_VE!$I$49+Page5_CAD_VE!$I$27+Page5_CAD_VE!$I$50),0),"")</f>
        <v/>
      </c>
      <c r="I1357" s="1452"/>
      <c r="J1357" s="1452"/>
      <c r="K1357" s="1452"/>
      <c r="N1357" s="611" t="str">
        <f>Page5_CAD_VE!$B$1&amp;" TOTAL VÉHICULES NEUFS - PROFIT BRUT - MOIS"</f>
        <v>CADILLAC - VE TOTAL VÉHICULES NEUFS - PROFIT BRUT - MOIS</v>
      </c>
      <c r="O1357" s="611" t="str">
        <f t="shared" si="184"/>
        <v/>
      </c>
      <c r="P1357" s="611" t="str">
        <f t="shared" si="186"/>
        <v>Page5_CAD_VE!I</v>
      </c>
      <c r="Q1357" s="611">
        <f t="shared" si="187"/>
        <v>51</v>
      </c>
      <c r="R1357" s="1447">
        <f t="shared" ca="1" si="188"/>
        <v>0</v>
      </c>
      <c r="S1357" s="1447">
        <f t="shared" ca="1" si="189"/>
        <v>0</v>
      </c>
      <c r="V1357" s="2557" t="str">
        <f t="shared" ca="1" si="182"/>
        <v/>
      </c>
      <c r="W1357" s="611" t="str">
        <f t="shared" ca="1" si="190"/>
        <v>Page5_CAD_VE, Ligne 48 [Page5_CAD_VE!I51]  -</v>
      </c>
    </row>
    <row r="1358" spans="1:23">
      <c r="A1358" s="1443" t="str">
        <f>celladdr(Page5_CAD_VE!K4)</f>
        <v>Page5_CAD_VE!K4</v>
      </c>
      <c r="B1358" s="1464" t="s">
        <v>1086</v>
      </c>
      <c r="C1358" s="1451" t="b">
        <f>Page5_CAD_VE!$K$4&lt;0</f>
        <v>0</v>
      </c>
      <c r="D1358" s="1454" t="b">
        <f>OR(AND(Page5_CAD_VE!$K4&gt;0,Page5_CAD_VE!$M4=0),AND(Page5_CAD_VE!$M4&lt;&gt;0,Page5_CAD_VE!$K4=0))</f>
        <v>0</v>
      </c>
      <c r="E1358" s="1454"/>
      <c r="F1358" s="1454"/>
      <c r="G1358" s="1444" t="str">
        <f t="shared" si="185"/>
        <v/>
      </c>
      <c r="H1358" s="1447" t="str">
        <f>IF(C1358=TRUE,Comments!$B$26,"")</f>
        <v/>
      </c>
      <c r="I1358" s="1446" t="str">
        <f>IF(D1358=TRUE,Comments!$B$21,"")</f>
        <v/>
      </c>
      <c r="J1358" s="1446"/>
      <c r="K1358" s="1452"/>
      <c r="N1358" s="611" t="str">
        <f>"CPTE # "&amp;Page5_CAD_VE!$E$4&amp;"  "&amp;Page5_CAD_VE!$C$4&amp;" - UNITÉS - AAD"</f>
        <v>CPTE # 400G  CELESTIQ - UNITÉS - AAD</v>
      </c>
      <c r="O1358" s="611" t="str">
        <f t="shared" si="184"/>
        <v/>
      </c>
      <c r="P1358" s="611" t="str">
        <f t="shared" si="186"/>
        <v>Page5_CAD_VE!K</v>
      </c>
      <c r="Q1358" s="611">
        <f t="shared" si="187"/>
        <v>4</v>
      </c>
      <c r="R1358" s="1447">
        <f t="shared" ca="1" si="188"/>
        <v>0</v>
      </c>
      <c r="S1358" s="1447">
        <f t="shared" ca="1" si="189"/>
        <v>0</v>
      </c>
      <c r="V1358" s="2557" t="str">
        <f t="shared" ca="1" si="182"/>
        <v/>
      </c>
      <c r="W1358" s="611" t="str">
        <f t="shared" ca="1" si="190"/>
        <v>Page5_CAD_VE, Ligne 1 [Page5_CAD_VE!K4]  -</v>
      </c>
    </row>
    <row r="1359" spans="1:23">
      <c r="A1359" s="1443" t="str">
        <f>celladdr(Page5_CAD_VE!K5)</f>
        <v>Page5_CAD_VE!K5</v>
      </c>
      <c r="B1359" s="1464" t="s">
        <v>1086</v>
      </c>
      <c r="C1359" s="1451" t="b">
        <f>Page5_CAD_VE!$K$5&lt;0</f>
        <v>0</v>
      </c>
      <c r="D1359" s="1454" t="b">
        <f>OR(AND(Page5_CAD_VE!$K5&gt;0,Page5_CAD_VE!$M5=0),AND(Page5_CAD_VE!$M5&lt;&gt;0,Page5_CAD_VE!$K5=0))</f>
        <v>0</v>
      </c>
      <c r="E1359" s="1454"/>
      <c r="F1359" s="1454"/>
      <c r="G1359" s="1444" t="str">
        <f t="shared" si="185"/>
        <v/>
      </c>
      <c r="H1359" s="1447" t="str">
        <f>IF(C1359=TRUE,Comments!$B$26,"")</f>
        <v/>
      </c>
      <c r="I1359" s="1446" t="str">
        <f>IF(D1359=TRUE,Comments!$B$21,"")</f>
        <v/>
      </c>
      <c r="J1359" s="1446"/>
      <c r="K1359" s="1452"/>
      <c r="N1359" s="611" t="str">
        <f>"CPTE # "&amp;Page5_CAD_VE!$E$5&amp;"  "&amp;Page5_CAD_VE!$C$5&amp;" - UNITÉS - AAD"</f>
        <v>CPTE # 401G  NE PAS UTILISER - UNITÉS - AAD</v>
      </c>
      <c r="O1359" s="611" t="str">
        <f t="shared" si="184"/>
        <v/>
      </c>
      <c r="P1359" s="611" t="str">
        <f t="shared" si="186"/>
        <v>Page5_CAD_VE!K</v>
      </c>
      <c r="Q1359" s="611">
        <f t="shared" si="187"/>
        <v>5</v>
      </c>
      <c r="R1359" s="1447">
        <f t="shared" ca="1" si="188"/>
        <v>0</v>
      </c>
      <c r="S1359" s="1447">
        <f t="shared" ca="1" si="189"/>
        <v>0</v>
      </c>
      <c r="V1359" s="2557" t="str">
        <f t="shared" ca="1" si="182"/>
        <v/>
      </c>
      <c r="W1359" s="611" t="str">
        <f t="shared" ca="1" si="190"/>
        <v>Page5_CAD_VE, Ligne 2 [Page5_CAD_VE!K5]  -</v>
      </c>
    </row>
    <row r="1360" spans="1:23">
      <c r="A1360" s="1443" t="str">
        <f>celladdr(Page5_CAD_VE!K6)</f>
        <v>Page5_CAD_VE!K6</v>
      </c>
      <c r="B1360" s="1464" t="s">
        <v>1086</v>
      </c>
      <c r="C1360" s="1451" t="b">
        <f>Page5_CAD_VE!$K$6&lt;0</f>
        <v>0</v>
      </c>
      <c r="D1360" s="1454" t="b">
        <f>OR(AND(Page5_CAD_VE!$K6&gt;0,Page5_CAD_VE!$M6=0),AND(Page5_CAD_VE!$M6&lt;&gt;0,Page5_CAD_VE!$K6=0))</f>
        <v>0</v>
      </c>
      <c r="E1360" s="1454"/>
      <c r="F1360" s="1454"/>
      <c r="G1360" s="1444" t="str">
        <f t="shared" si="185"/>
        <v/>
      </c>
      <c r="H1360" s="1447" t="str">
        <f>IF(C1360=TRUE,Comments!$B$26,"")</f>
        <v/>
      </c>
      <c r="I1360" s="1446" t="str">
        <f>IF(D1360=TRUE,Comments!$B$21,"")</f>
        <v/>
      </c>
      <c r="J1360" s="1446"/>
      <c r="K1360" s="1452"/>
      <c r="N1360" s="611" t="str">
        <f>"CPTE # "&amp;Page5_CAD_VE!$E$6&amp;"  "&amp;Page5_CAD_VE!$C$6&amp;" - UNITÉS - AAD"</f>
        <v>CPTE # 402G  NE PAS UTILISER - UNITÉS - AAD</v>
      </c>
      <c r="O1360" s="611" t="str">
        <f t="shared" si="184"/>
        <v/>
      </c>
      <c r="P1360" s="611" t="str">
        <f t="shared" si="186"/>
        <v>Page5_CAD_VE!K</v>
      </c>
      <c r="Q1360" s="611">
        <f t="shared" si="187"/>
        <v>6</v>
      </c>
      <c r="R1360" s="1447">
        <f t="shared" ca="1" si="188"/>
        <v>0</v>
      </c>
      <c r="S1360" s="1447">
        <f t="shared" ca="1" si="189"/>
        <v>0</v>
      </c>
      <c r="V1360" s="2557" t="str">
        <f t="shared" ca="1" si="182"/>
        <v/>
      </c>
      <c r="W1360" s="611" t="str">
        <f t="shared" ca="1" si="190"/>
        <v>Page5_CAD_VE, Ligne 3 [Page5_CAD_VE!K6]  -</v>
      </c>
    </row>
    <row r="1361" spans="1:23">
      <c r="A1361" s="1443" t="str">
        <f>celladdr(Page5_CAD_VE!K7)</f>
        <v>Page5_CAD_VE!K7</v>
      </c>
      <c r="B1361" s="1464" t="s">
        <v>1086</v>
      </c>
      <c r="C1361" s="1451" t="b">
        <f>Page5_CAD_VE!$K$7&lt;0</f>
        <v>0</v>
      </c>
      <c r="D1361" s="1454" t="b">
        <f>OR(AND(Page5_CAD_VE!$K7&gt;0,Page5_CAD_VE!$M7=0),AND(Page5_CAD_VE!$M7&lt;&gt;0,Page5_CAD_VE!$K7=0))</f>
        <v>0</v>
      </c>
      <c r="E1361" s="1454"/>
      <c r="F1361" s="1454"/>
      <c r="G1361" s="1444" t="str">
        <f t="shared" si="185"/>
        <v/>
      </c>
      <c r="H1361" s="1447" t="str">
        <f>IF(C1361=TRUE,Comments!$B$26,"")</f>
        <v/>
      </c>
      <c r="I1361" s="1446" t="str">
        <f>IF(D1361=TRUE,Comments!$B$21,"")</f>
        <v/>
      </c>
      <c r="J1361" s="1446"/>
      <c r="K1361" s="1452"/>
      <c r="N1361" s="611" t="str">
        <f>"CPTE # "&amp;Page5_CAD_VE!$E$7&amp;"  "&amp;Page5_CAD_VE!$C$7&amp;" - UNITÉS - AAD"</f>
        <v>CPTE # 403G  NE PAS UTILISER - UNITÉS - AAD</v>
      </c>
      <c r="O1361" s="611" t="str">
        <f t="shared" si="184"/>
        <v/>
      </c>
      <c r="P1361" s="611" t="str">
        <f t="shared" si="186"/>
        <v>Page5_CAD_VE!K</v>
      </c>
      <c r="Q1361" s="611">
        <f t="shared" si="187"/>
        <v>7</v>
      </c>
      <c r="R1361" s="1447">
        <f t="shared" ca="1" si="188"/>
        <v>0</v>
      </c>
      <c r="S1361" s="1447">
        <f t="shared" ca="1" si="189"/>
        <v>0</v>
      </c>
      <c r="V1361" s="2557" t="str">
        <f t="shared" ca="1" si="182"/>
        <v/>
      </c>
      <c r="W1361" s="611" t="str">
        <f t="shared" ca="1" si="190"/>
        <v>Page5_CAD_VE, Ligne 4 [Page5_CAD_VE!K7]  -</v>
      </c>
    </row>
    <row r="1362" spans="1:23">
      <c r="A1362" s="1443" t="str">
        <f>celladdr(Page5_CAD_VE!K8)</f>
        <v>Page5_CAD_VE!K8</v>
      </c>
      <c r="B1362" s="1464" t="s">
        <v>1086</v>
      </c>
      <c r="C1362" s="1451" t="b">
        <f>Page5_CAD_VE!$K$8&lt;0</f>
        <v>0</v>
      </c>
      <c r="D1362" s="1454" t="b">
        <f>OR(AND(Page5_CAD_VE!$K8&gt;0,Page5_CAD_VE!$M8=0),AND(Page5_CAD_VE!$M8&lt;&gt;0,Page5_CAD_VE!$K8=0))</f>
        <v>0</v>
      </c>
      <c r="E1362" s="1454"/>
      <c r="F1362" s="1454"/>
      <c r="G1362" s="1444" t="str">
        <f t="shared" si="185"/>
        <v/>
      </c>
      <c r="H1362" s="1447" t="str">
        <f>IF(C1362=TRUE,Comments!$B$26,"")</f>
        <v/>
      </c>
      <c r="I1362" s="1446" t="str">
        <f>IF(D1362=TRUE,Comments!$B$21,"")</f>
        <v/>
      </c>
      <c r="J1362" s="1446"/>
      <c r="K1362" s="1452"/>
      <c r="N1362" s="611" t="str">
        <f>"CPTE # "&amp;Page5_CAD_VE!$E$8&amp;"  "&amp;Page5_CAD_VE!$C$8&amp;" - UNITÉS - AAD"</f>
        <v>CPTE # 404G  NE PAS UTILISER - UNITÉS - AAD</v>
      </c>
      <c r="O1362" s="611" t="str">
        <f t="shared" si="184"/>
        <v/>
      </c>
      <c r="P1362" s="611" t="str">
        <f t="shared" si="186"/>
        <v>Page5_CAD_VE!K</v>
      </c>
      <c r="Q1362" s="611">
        <f t="shared" si="187"/>
        <v>8</v>
      </c>
      <c r="R1362" s="1447">
        <f t="shared" ca="1" si="188"/>
        <v>0</v>
      </c>
      <c r="S1362" s="1447">
        <f t="shared" ca="1" si="189"/>
        <v>0</v>
      </c>
      <c r="V1362" s="2557" t="str">
        <f t="shared" ca="1" si="182"/>
        <v/>
      </c>
      <c r="W1362" s="611" t="str">
        <f t="shared" ca="1" si="190"/>
        <v>Page5_CAD_VE, Ligne 5 [Page5_CAD_VE!K8]  -</v>
      </c>
    </row>
    <row r="1363" spans="1:23">
      <c r="A1363" s="1443" t="str">
        <f>celladdr(Page5_CAD_VE!K9)</f>
        <v>Page5_CAD_VE!K9</v>
      </c>
      <c r="B1363" s="1464" t="s">
        <v>1086</v>
      </c>
      <c r="C1363" s="1451" t="b">
        <f>Page5_CAD_VE!$K$9&lt;0</f>
        <v>0</v>
      </c>
      <c r="D1363" s="1454" t="b">
        <f>OR(AND(Page5_CAD_VE!$K9&gt;0,Page5_CAD_VE!$M9=0),AND(Page5_CAD_VE!$M9&lt;&gt;0,Page5_CAD_VE!$K9=0))</f>
        <v>0</v>
      </c>
      <c r="E1363" s="1454"/>
      <c r="F1363" s="1454"/>
      <c r="G1363" s="1444" t="str">
        <f t="shared" si="185"/>
        <v/>
      </c>
      <c r="H1363" s="1447" t="str">
        <f>IF(C1363=TRUE,Comments!$B$26,"")</f>
        <v/>
      </c>
      <c r="I1363" s="1446" t="str">
        <f>IF(D1363=TRUE,Comments!$B$21,"")</f>
        <v/>
      </c>
      <c r="J1363" s="1446"/>
      <c r="K1363" s="1452"/>
      <c r="N1363" s="611" t="str">
        <f>"CPTE # "&amp;Page5_CAD_VE!$E$9&amp;"  "&amp;Page5_CAD_VE!$C$9&amp;" - UNITÉS - AAD"</f>
        <v>CPTE # 405G  NE PAS UTILISER - UNITÉS - AAD</v>
      </c>
      <c r="O1363" s="611" t="str">
        <f t="shared" si="184"/>
        <v/>
      </c>
      <c r="P1363" s="611" t="str">
        <f t="shared" si="186"/>
        <v>Page5_CAD_VE!K</v>
      </c>
      <c r="Q1363" s="611">
        <f t="shared" si="187"/>
        <v>9</v>
      </c>
      <c r="R1363" s="1447">
        <f t="shared" ca="1" si="188"/>
        <v>0</v>
      </c>
      <c r="S1363" s="1447">
        <f t="shared" ca="1" si="189"/>
        <v>0</v>
      </c>
      <c r="V1363" s="2557" t="str">
        <f t="shared" ca="1" si="182"/>
        <v/>
      </c>
      <c r="W1363" s="611" t="str">
        <f t="shared" ca="1" si="190"/>
        <v>Page5_CAD_VE, Ligne 6 [Page5_CAD_VE!K9]  -</v>
      </c>
    </row>
    <row r="1364" spans="1:23">
      <c r="A1364" s="1443" t="str">
        <f>celladdr(Page5_CAD_VE!K10)</f>
        <v>Page5_CAD_VE!K10</v>
      </c>
      <c r="B1364" s="1464" t="s">
        <v>1086</v>
      </c>
      <c r="C1364" s="1451" t="b">
        <f>Page5_CAD_VE!$K$10&lt;0</f>
        <v>0</v>
      </c>
      <c r="D1364" s="1454" t="b">
        <f>OR(AND(Page5_CAD_VE!$K10&gt;0,Page5_CAD_VE!$M10=0),AND(Page5_CAD_VE!$M10&lt;&gt;0,Page5_CAD_VE!$K10=0))</f>
        <v>0</v>
      </c>
      <c r="E1364" s="1454"/>
      <c r="F1364" s="1454"/>
      <c r="G1364" s="1444" t="str">
        <f t="shared" si="185"/>
        <v/>
      </c>
      <c r="H1364" s="1447" t="str">
        <f>IF(C1364=TRUE,Comments!$B$26,"")</f>
        <v/>
      </c>
      <c r="I1364" s="1446" t="str">
        <f>IF(D1364=TRUE,Comments!$B$21,"")</f>
        <v/>
      </c>
      <c r="J1364" s="1446"/>
      <c r="K1364" s="1452"/>
      <c r="N1364" s="611" t="str">
        <f>"CPTE # "&amp;Page5_CAD_VE!$E$10&amp;"  "&amp;Page5_CAD_VE!$C$10&amp;" - UNITÉS - AAD"</f>
        <v>CPTE # 406G  NE PAS UTILISER - UNITÉS - AAD</v>
      </c>
      <c r="O1364" s="611" t="str">
        <f t="shared" si="184"/>
        <v/>
      </c>
      <c r="P1364" s="611" t="str">
        <f t="shared" si="186"/>
        <v>Page5_CAD_VE!K</v>
      </c>
      <c r="Q1364" s="611">
        <f t="shared" si="187"/>
        <v>10</v>
      </c>
      <c r="R1364" s="1447">
        <f t="shared" ca="1" si="188"/>
        <v>0</v>
      </c>
      <c r="S1364" s="1447">
        <f t="shared" ca="1" si="189"/>
        <v>0</v>
      </c>
      <c r="V1364" s="2557" t="str">
        <f t="shared" ca="1" si="182"/>
        <v/>
      </c>
      <c r="W1364" s="611" t="str">
        <f t="shared" ca="1" si="190"/>
        <v>Page5_CAD_VE, Ligne 7 [Page5_CAD_VE!K10]  -</v>
      </c>
    </row>
    <row r="1365" spans="1:23">
      <c r="A1365" s="1443" t="str">
        <f>celladdr(Page5_CAD_VE!K11)</f>
        <v>Page5_CAD_VE!K11</v>
      </c>
      <c r="B1365" s="1464" t="s">
        <v>1086</v>
      </c>
      <c r="C1365" s="1451" t="b">
        <f>Page5_CAD_VE!$K$11&lt;0</f>
        <v>0</v>
      </c>
      <c r="D1365" s="1454" t="b">
        <f>OR(AND(Page5_CAD_VE!$K11&gt;0,Page5_CAD_VE!$M11=0),AND(Page5_CAD_VE!$M11&lt;&gt;0,Page5_CAD_VE!$K11=0))</f>
        <v>0</v>
      </c>
      <c r="E1365" s="1454"/>
      <c r="F1365" s="1454"/>
      <c r="G1365" s="1444" t="str">
        <f t="shared" si="185"/>
        <v/>
      </c>
      <c r="H1365" s="1447" t="str">
        <f>IF(C1365=TRUE,Comments!$B$26,"")</f>
        <v/>
      </c>
      <c r="I1365" s="1446" t="str">
        <f>IF(D1365=TRUE,Comments!$B$21,"")</f>
        <v/>
      </c>
      <c r="J1365" s="1446"/>
      <c r="K1365" s="1452"/>
      <c r="N1365" s="611" t="str">
        <f>"CPTE # "&amp;Page5_CAD_VE!$E$11&amp;"  "&amp;Page5_CAD_VE!$C$11&amp;" - UNITÉS - AAD"</f>
        <v>CPTE # 407G  NE PAS UTILISER - UNITÉS - AAD</v>
      </c>
      <c r="O1365" s="611" t="str">
        <f t="shared" si="184"/>
        <v/>
      </c>
      <c r="P1365" s="611" t="str">
        <f t="shared" si="186"/>
        <v>Page5_CAD_VE!K</v>
      </c>
      <c r="Q1365" s="611">
        <f t="shared" si="187"/>
        <v>11</v>
      </c>
      <c r="R1365" s="1447">
        <f t="shared" ca="1" si="188"/>
        <v>0</v>
      </c>
      <c r="S1365" s="1447">
        <f t="shared" ca="1" si="189"/>
        <v>0</v>
      </c>
      <c r="V1365" s="2557" t="str">
        <f t="shared" ca="1" si="182"/>
        <v/>
      </c>
      <c r="W1365" s="611" t="str">
        <f t="shared" ca="1" si="190"/>
        <v>Page5_CAD_VE, Ligne 8 [Page5_CAD_VE!K11]  -</v>
      </c>
    </row>
    <row r="1366" spans="1:23">
      <c r="A1366" s="1443" t="str">
        <f>celladdr(Page5_CAD_VE!K12)</f>
        <v>Page5_CAD_VE!K12</v>
      </c>
      <c r="B1366" s="1464" t="s">
        <v>1086</v>
      </c>
      <c r="C1366" s="1451" t="b">
        <f>Page5_CAD_VE!$K$12&lt;0</f>
        <v>0</v>
      </c>
      <c r="D1366" s="1454" t="b">
        <f>OR(AND(Page5_CAD_VE!$K12&gt;0,Page5_CAD_VE!$M12=0),AND(Page5_CAD_VE!$M12&lt;&gt;0,Page5_CAD_VE!$K12=0))</f>
        <v>0</v>
      </c>
      <c r="E1366" s="1454"/>
      <c r="F1366" s="1454"/>
      <c r="G1366" s="1444" t="str">
        <f t="shared" si="185"/>
        <v/>
      </c>
      <c r="H1366" s="1447" t="str">
        <f>IF(C1366=TRUE,Comments!$B$26,"")</f>
        <v/>
      </c>
      <c r="I1366" s="1446" t="str">
        <f>IF(D1366=TRUE,Comments!$B$21,"")</f>
        <v/>
      </c>
      <c r="J1366" s="1446"/>
      <c r="K1366" s="1452"/>
      <c r="N1366" s="611" t="str">
        <f>"CPTE # "&amp;Page5_CAD_VE!$E$12&amp;"  "&amp;Page5_CAD_VE!$C$12&amp;" - UNITÉS - AAD"</f>
        <v>CPTE # 408G  NE PAS UTILISER - UNITÉS - AAD</v>
      </c>
      <c r="O1366" s="611" t="str">
        <f t="shared" si="184"/>
        <v/>
      </c>
      <c r="P1366" s="611" t="str">
        <f t="shared" si="186"/>
        <v>Page5_CAD_VE!K</v>
      </c>
      <c r="Q1366" s="611">
        <f t="shared" si="187"/>
        <v>12</v>
      </c>
      <c r="R1366" s="1447">
        <f t="shared" ca="1" si="188"/>
        <v>0</v>
      </c>
      <c r="S1366" s="1447">
        <f t="shared" ca="1" si="189"/>
        <v>0</v>
      </c>
      <c r="V1366" s="2557" t="str">
        <f t="shared" ca="1" si="182"/>
        <v/>
      </c>
      <c r="W1366" s="611" t="str">
        <f t="shared" ca="1" si="190"/>
        <v>Page5_CAD_VE, Ligne 9 [Page5_CAD_VE!K12]  -</v>
      </c>
    </row>
    <row r="1367" spans="1:23">
      <c r="A1367" s="1443" t="str">
        <f>celladdr(Page5_CAD_VE!K13)</f>
        <v>Page5_CAD_VE!K13</v>
      </c>
      <c r="B1367" s="1464" t="s">
        <v>1086</v>
      </c>
      <c r="C1367" s="1451" t="b">
        <f>Page5_CAD_VE!$K$13&lt;0</f>
        <v>0</v>
      </c>
      <c r="D1367" s="1454" t="b">
        <f>OR(AND(Page5_CAD_VE!$K13&gt;0,Page5_CAD_VE!$M13=0),AND(Page5_CAD_VE!$M13&lt;&gt;0,Page5_CAD_VE!$K13=0))</f>
        <v>0</v>
      </c>
      <c r="E1367" s="1454"/>
      <c r="F1367" s="1454"/>
      <c r="G1367" s="1444" t="str">
        <f t="shared" si="185"/>
        <v/>
      </c>
      <c r="H1367" s="1447" t="str">
        <f>IF(C1367=TRUE,Comments!$B$26,"")</f>
        <v/>
      </c>
      <c r="I1367" s="1446" t="str">
        <f>IF(D1367=TRUE,Comments!$B$21,"")</f>
        <v/>
      </c>
      <c r="J1367" s="1446"/>
      <c r="K1367" s="1452"/>
      <c r="N1367" s="611" t="str">
        <f>"CPTE # "&amp;Page5_CAD_VE!$E$13&amp;"  "&amp;Page5_CAD_VE!$C$13&amp;" - UNITÉS - AAD"</f>
        <v>CPTE # 409G  NE PAS UTILISER - UNITÉS - AAD</v>
      </c>
      <c r="O1367" s="611" t="str">
        <f t="shared" si="184"/>
        <v/>
      </c>
      <c r="P1367" s="611" t="str">
        <f t="shared" si="186"/>
        <v>Page5_CAD_VE!K</v>
      </c>
      <c r="Q1367" s="611">
        <f t="shared" si="187"/>
        <v>13</v>
      </c>
      <c r="R1367" s="1447">
        <f t="shared" ca="1" si="188"/>
        <v>0</v>
      </c>
      <c r="S1367" s="1447">
        <f t="shared" ca="1" si="189"/>
        <v>0</v>
      </c>
      <c r="V1367" s="2557" t="str">
        <f t="shared" ca="1" si="182"/>
        <v/>
      </c>
      <c r="W1367" s="611" t="str">
        <f t="shared" ca="1" si="190"/>
        <v>Page5_CAD_VE, Ligne 10 [Page5_CAD_VE!K13]  -</v>
      </c>
    </row>
    <row r="1368" spans="1:23">
      <c r="A1368" s="1443" t="str">
        <f>celladdr(Page5_CAD_VE!K14)</f>
        <v>Page5_CAD_VE!K14</v>
      </c>
      <c r="B1368" s="1464" t="s">
        <v>1086</v>
      </c>
      <c r="C1368" s="1451" t="b">
        <f>Page5_CAD_VE!$K$14&lt;0</f>
        <v>0</v>
      </c>
      <c r="D1368" s="1454" t="b">
        <f>OR(AND(Page5_CAD_VE!$K14&gt;0,Page5_CAD_VE!$M14=0),AND(Page5_CAD_VE!$M14&lt;&gt;0,Page5_CAD_VE!$K14=0))</f>
        <v>0</v>
      </c>
      <c r="E1368" s="1454"/>
      <c r="F1368" s="1454"/>
      <c r="G1368" s="1444" t="str">
        <f t="shared" si="185"/>
        <v/>
      </c>
      <c r="H1368" s="1447" t="str">
        <f>IF(C1368=TRUE,Comments!$B$26,"")</f>
        <v/>
      </c>
      <c r="I1368" s="1446" t="str">
        <f>IF(D1368=TRUE,Comments!$B$21,"")</f>
        <v/>
      </c>
      <c r="J1368" s="1446"/>
      <c r="K1368" s="1452"/>
      <c r="N1368" s="611" t="str">
        <f>"CPTE # "&amp;Page5_CAD_VE!$E$14&amp;"  "&amp;Page5_CAD_VE!$C$14&amp;" - UNITÉS - AAD"</f>
        <v>CPTE # 410G  NE PAS UTILISER - UNITÉS - AAD</v>
      </c>
      <c r="O1368" s="611" t="str">
        <f t="shared" si="184"/>
        <v/>
      </c>
      <c r="P1368" s="611" t="str">
        <f t="shared" si="186"/>
        <v>Page5_CAD_VE!K</v>
      </c>
      <c r="Q1368" s="611">
        <f t="shared" si="187"/>
        <v>14</v>
      </c>
      <c r="R1368" s="1447">
        <f t="shared" ca="1" si="188"/>
        <v>0</v>
      </c>
      <c r="S1368" s="1447">
        <f t="shared" ca="1" si="189"/>
        <v>0</v>
      </c>
      <c r="V1368" s="2557" t="str">
        <f t="shared" ref="V1368:V1431" ca="1" si="191">IF(SUM(R1368+S1368)=0,"","
*** "&amp;TEXT(SUM(R1368+S1368),"0,0")&amp;" Points de précision seront déduits suite à cette(ces) erreur(s) !")</f>
        <v/>
      </c>
      <c r="W1368" s="611" t="str">
        <f t="shared" ca="1" si="190"/>
        <v>Page5_CAD_VE, Ligne 11 [Page5_CAD_VE!K14]  -</v>
      </c>
    </row>
    <row r="1369" spans="1:23">
      <c r="A1369" s="1443" t="str">
        <f>celladdr(Page5_CAD_VE!K15)</f>
        <v>Page5_CAD_VE!K15</v>
      </c>
      <c r="B1369" s="1464" t="s">
        <v>1086</v>
      </c>
      <c r="C1369" s="1451" t="b">
        <f>Page5_CAD_VE!$K$15&lt;0</f>
        <v>0</v>
      </c>
      <c r="D1369" s="1454" t="b">
        <f>OR(AND(Page5_CAD_VE!$K15&gt;0,Page5_CAD_VE!$M15=0),AND(Page5_CAD_VE!$M15&lt;&gt;0,Page5_CAD_VE!$K15=0))</f>
        <v>0</v>
      </c>
      <c r="E1369" s="1454"/>
      <c r="F1369" s="1454"/>
      <c r="G1369" s="1444" t="str">
        <f t="shared" si="185"/>
        <v/>
      </c>
      <c r="H1369" s="1447" t="str">
        <f>IF(C1369=TRUE,Comments!$B$26,"")</f>
        <v/>
      </c>
      <c r="I1369" s="1446" t="str">
        <f>IF(D1369=TRUE,Comments!$B$21,"")</f>
        <v/>
      </c>
      <c r="J1369" s="1446"/>
      <c r="K1369" s="1452"/>
      <c r="N1369" s="611" t="str">
        <f>"CPTE # "&amp;Page5_CAD_VE!$E$15&amp;"  "&amp;Page5_CAD_VE!$C$15&amp;" - UNITÉS - AAD"</f>
        <v>CPTE # 411G  NE PAS UTILISER - UNITÉS - AAD</v>
      </c>
      <c r="O1369" s="611" t="str">
        <f t="shared" ref="O1369:O1400" si="192">IF(A1369=A1368,"TRUE","")</f>
        <v/>
      </c>
      <c r="P1369" s="611" t="str">
        <f t="shared" si="186"/>
        <v>Page5_CAD_VE!K</v>
      </c>
      <c r="Q1369" s="611">
        <f t="shared" si="187"/>
        <v>15</v>
      </c>
      <c r="R1369" s="1447">
        <f t="shared" ca="1" si="188"/>
        <v>0</v>
      </c>
      <c r="S1369" s="1447">
        <f t="shared" ca="1" si="189"/>
        <v>0</v>
      </c>
      <c r="V1369" s="2557" t="str">
        <f t="shared" ca="1" si="191"/>
        <v/>
      </c>
      <c r="W1369" s="611" t="str">
        <f t="shared" ca="1" si="190"/>
        <v>Page5_CAD_VE, Ligne 12 [Page5_CAD_VE!K15]  -</v>
      </c>
    </row>
    <row r="1370" spans="1:23">
      <c r="A1370" s="1443" t="str">
        <f>celladdr(Page5_CAD_VE!K16)</f>
        <v>Page5_CAD_VE!K16</v>
      </c>
      <c r="B1370" s="1464" t="s">
        <v>1086</v>
      </c>
      <c r="C1370" s="1451" t="b">
        <f>Page5_CAD_VE!$K$16&lt;0</f>
        <v>0</v>
      </c>
      <c r="D1370" s="1454" t="b">
        <f>OR(AND(Page5_CAD_VE!$K16&gt;0,Page5_CAD_VE!$M16=0),AND(Page5_CAD_VE!$M16&lt;&gt;0,Page5_CAD_VE!$K16=0))</f>
        <v>0</v>
      </c>
      <c r="E1370" s="1454"/>
      <c r="F1370" s="1454"/>
      <c r="G1370" s="1444" t="str">
        <f t="shared" si="185"/>
        <v/>
      </c>
      <c r="H1370" s="1447" t="str">
        <f>IF(C1370=TRUE,Comments!$B$26,"")</f>
        <v/>
      </c>
      <c r="I1370" s="1446" t="str">
        <f>IF(D1370=TRUE,Comments!$B$21,"")</f>
        <v/>
      </c>
      <c r="J1370" s="1446"/>
      <c r="K1370" s="1452"/>
      <c r="N1370" s="611" t="str">
        <f>"CPTE # "&amp;Page5_CAD_VE!$E$16&amp;"  "&amp;Page5_CAD_VE!$C$16&amp;" - UNITÉS - AAD"</f>
        <v>CPTE # 412G  NE PAS UTILISER - UNITÉS - AAD</v>
      </c>
      <c r="O1370" s="611" t="str">
        <f t="shared" si="192"/>
        <v/>
      </c>
      <c r="P1370" s="611" t="str">
        <f t="shared" si="186"/>
        <v>Page5_CAD_VE!K</v>
      </c>
      <c r="Q1370" s="611">
        <f t="shared" si="187"/>
        <v>16</v>
      </c>
      <c r="R1370" s="1447">
        <f t="shared" ca="1" si="188"/>
        <v>0</v>
      </c>
      <c r="S1370" s="1447">
        <f t="shared" ca="1" si="189"/>
        <v>0</v>
      </c>
      <c r="V1370" s="2557" t="str">
        <f t="shared" ca="1" si="191"/>
        <v/>
      </c>
      <c r="W1370" s="611" t="str">
        <f t="shared" ca="1" si="190"/>
        <v>Page5_CAD_VE, Ligne 13 [Page5_CAD_VE!K16]  -</v>
      </c>
    </row>
    <row r="1371" spans="1:23">
      <c r="A1371" s="1443" t="str">
        <f>celladdr(Page5_CAD_VE!K17)</f>
        <v>Page5_CAD_VE!K17</v>
      </c>
      <c r="B1371" s="1464" t="s">
        <v>1086</v>
      </c>
      <c r="C1371" s="1451" t="b">
        <f>Page5_CAD_VE!$K$17&lt;0</f>
        <v>0</v>
      </c>
      <c r="D1371" s="1454" t="b">
        <f>OR(AND(Page5_CAD_VE!$K17&gt;0,Page5_CAD_VE!$M17=0),AND(Page5_CAD_VE!$M17&lt;&gt;0,Page5_CAD_VE!$K17=0))</f>
        <v>0</v>
      </c>
      <c r="E1371" s="1454"/>
      <c r="F1371" s="1454"/>
      <c r="G1371" s="1444" t="str">
        <f t="shared" si="185"/>
        <v/>
      </c>
      <c r="H1371" s="1447" t="str">
        <f>IF(C1371=TRUE,Comments!$B$26,"")</f>
        <v/>
      </c>
      <c r="I1371" s="1446" t="str">
        <f>IF(D1371=TRUE,Comments!$B$21,"")</f>
        <v/>
      </c>
      <c r="J1371" s="1446"/>
      <c r="K1371" s="1452"/>
      <c r="N1371" s="611" t="str">
        <f>"CPTE # "&amp;Page5_CAD_VE!$E$17&amp;"  "&amp;Page5_CAD_VE!$C$17&amp;" - UNITÉS - AAD"</f>
        <v>CPTE # 413G  NE PAS UTILISER - UNITÉS - AAD</v>
      </c>
      <c r="O1371" s="611" t="str">
        <f t="shared" si="192"/>
        <v/>
      </c>
      <c r="P1371" s="611" t="str">
        <f t="shared" si="186"/>
        <v>Page5_CAD_VE!K</v>
      </c>
      <c r="Q1371" s="611">
        <f t="shared" si="187"/>
        <v>17</v>
      </c>
      <c r="R1371" s="1447">
        <f t="shared" ca="1" si="188"/>
        <v>0</v>
      </c>
      <c r="S1371" s="1447">
        <f t="shared" ca="1" si="189"/>
        <v>0</v>
      </c>
      <c r="V1371" s="2557" t="str">
        <f t="shared" ca="1" si="191"/>
        <v/>
      </c>
      <c r="W1371" s="611" t="str">
        <f t="shared" ca="1" si="190"/>
        <v>Page5_CAD_VE, Ligne 14 [Page5_CAD_VE!K17]  -</v>
      </c>
    </row>
    <row r="1372" spans="1:23">
      <c r="A1372" s="1443" t="str">
        <f>celladdr(Page5_CAD_VE!K18)</f>
        <v>Page5_CAD_VE!K18</v>
      </c>
      <c r="B1372" s="1464" t="s">
        <v>1086</v>
      </c>
      <c r="C1372" s="1451" t="b">
        <f>Page5_CAD_VE!$K$18&lt;0</f>
        <v>0</v>
      </c>
      <c r="D1372" s="1454" t="b">
        <f>OR(AND(Page5_CAD_VE!$K18&gt;0,Page5_CAD_VE!$M18=0),AND(Page5_CAD_VE!$M18&lt;&gt;0,Page5_CAD_VE!$K18=0))</f>
        <v>0</v>
      </c>
      <c r="E1372" s="1454"/>
      <c r="F1372" s="1454"/>
      <c r="G1372" s="1444" t="str">
        <f t="shared" si="185"/>
        <v/>
      </c>
      <c r="H1372" s="1447" t="str">
        <f>IF(C1372=TRUE,Comments!$B$26,"")</f>
        <v/>
      </c>
      <c r="I1372" s="1446" t="str">
        <f>IF(D1372=TRUE,Comments!$B$21,"")</f>
        <v/>
      </c>
      <c r="J1372" s="1446"/>
      <c r="K1372" s="1452"/>
      <c r="N1372" s="611" t="str">
        <f>"CPTE # "&amp;Page5_CAD_VE!$E$18&amp;"  "&amp;Page5_CAD_VE!$C$18&amp;" - UNITÉS - AAD"</f>
        <v>CPTE # 414G  NE PAS UTILISER - UNITÉS - AAD</v>
      </c>
      <c r="O1372" s="611" t="str">
        <f t="shared" si="192"/>
        <v/>
      </c>
      <c r="P1372" s="611" t="str">
        <f t="shared" si="186"/>
        <v>Page5_CAD_VE!K</v>
      </c>
      <c r="Q1372" s="611">
        <f t="shared" si="187"/>
        <v>18</v>
      </c>
      <c r="R1372" s="1447">
        <f t="shared" ca="1" si="188"/>
        <v>0</v>
      </c>
      <c r="S1372" s="1447">
        <f t="shared" ca="1" si="189"/>
        <v>0</v>
      </c>
      <c r="V1372" s="2557" t="str">
        <f t="shared" ca="1" si="191"/>
        <v/>
      </c>
      <c r="W1372" s="611" t="str">
        <f t="shared" ca="1" si="190"/>
        <v>Page5_CAD_VE, Ligne 15 [Page5_CAD_VE!K18]  -</v>
      </c>
    </row>
    <row r="1373" spans="1:23">
      <c r="A1373" s="1443" t="str">
        <f>celladdr(Page5_CAD_VE!K19)</f>
        <v>Page5_CAD_VE!K19</v>
      </c>
      <c r="B1373" s="1464" t="s">
        <v>1086</v>
      </c>
      <c r="C1373" s="1451" t="b">
        <f>Page5_CAD_VE!$K$19&lt;0</f>
        <v>0</v>
      </c>
      <c r="D1373" s="1454" t="b">
        <f>OR(AND(Page5_CAD_VE!$K19&gt;0,Page5_CAD_VE!$M19=0),AND(Page5_CAD_VE!$M19&lt;&gt;0,Page5_CAD_VE!$K19=0))</f>
        <v>0</v>
      </c>
      <c r="E1373" s="1454"/>
      <c r="F1373" s="1454"/>
      <c r="G1373" s="1444" t="str">
        <f t="shared" si="185"/>
        <v/>
      </c>
      <c r="H1373" s="1447" t="str">
        <f>IF(C1373=TRUE,Comments!$B$26,"")</f>
        <v/>
      </c>
      <c r="I1373" s="1446" t="str">
        <f>IF(D1373=TRUE,Comments!$B$21,"")</f>
        <v/>
      </c>
      <c r="J1373" s="1446"/>
      <c r="K1373" s="1452"/>
      <c r="N1373" s="611" t="str">
        <f>"CPTE # "&amp;Page5_CAD_VE!$E$19&amp;"  "&amp;Page5_CAD_VE!$C$19&amp;" - UNITÉS - AAD"</f>
        <v>CPTE # 415G  NE PAS UTILISER - UNITÉS - AAD</v>
      </c>
      <c r="O1373" s="611" t="str">
        <f t="shared" si="192"/>
        <v/>
      </c>
      <c r="P1373" s="611" t="str">
        <f t="shared" si="186"/>
        <v>Page5_CAD_VE!K</v>
      </c>
      <c r="Q1373" s="611">
        <f t="shared" si="187"/>
        <v>19</v>
      </c>
      <c r="R1373" s="1447">
        <f t="shared" ca="1" si="188"/>
        <v>0</v>
      </c>
      <c r="S1373" s="1447">
        <f t="shared" ca="1" si="189"/>
        <v>0</v>
      </c>
      <c r="V1373" s="2557" t="str">
        <f t="shared" ca="1" si="191"/>
        <v/>
      </c>
      <c r="W1373" s="611" t="str">
        <f t="shared" ca="1" si="190"/>
        <v>Page5_CAD_VE, Ligne 16 [Page5_CAD_VE!K19]  -</v>
      </c>
    </row>
    <row r="1374" spans="1:23">
      <c r="A1374" s="1443" t="str">
        <f>celladdr(Page5_CAD_VE!K20)</f>
        <v>Page5_CAD_VE!K20</v>
      </c>
      <c r="B1374" s="1464" t="s">
        <v>1086</v>
      </c>
      <c r="C1374" s="1451" t="b">
        <f>Page5_CAD_VE!$K$20&lt;0</f>
        <v>0</v>
      </c>
      <c r="D1374" s="1454" t="b">
        <f>OR(AND(Page5_CAD_VE!$K20&gt;0,Page5_CAD_VE!$M20=0),AND(Page5_CAD_VE!$M20&lt;&gt;0,Page5_CAD_VE!$K20=0))</f>
        <v>0</v>
      </c>
      <c r="E1374" s="1454"/>
      <c r="F1374" s="1454"/>
      <c r="G1374" s="1444" t="str">
        <f t="shared" si="185"/>
        <v/>
      </c>
      <c r="H1374" s="1447" t="str">
        <f>IF(C1374=TRUE,Comments!$B$26,"")</f>
        <v/>
      </c>
      <c r="I1374" s="1446" t="str">
        <f>IF(D1374=TRUE,Comments!$B$21,"")</f>
        <v/>
      </c>
      <c r="J1374" s="1446"/>
      <c r="K1374" s="1452"/>
      <c r="N1374" s="611" t="str">
        <f>"CPTE # "&amp;Page5_CAD_VE!$E$20&amp;"  "&amp;Page5_CAD_VE!$C$20&amp;" - UNITÉS - AAD"</f>
        <v>CPTE # 416G  NE PAS UTILISER - UNITÉS - AAD</v>
      </c>
      <c r="O1374" s="611" t="str">
        <f t="shared" si="192"/>
        <v/>
      </c>
      <c r="P1374" s="611" t="str">
        <f t="shared" si="186"/>
        <v>Page5_CAD_VE!K</v>
      </c>
      <c r="Q1374" s="611">
        <f t="shared" si="187"/>
        <v>20</v>
      </c>
      <c r="R1374" s="1447">
        <f t="shared" ca="1" si="188"/>
        <v>0</v>
      </c>
      <c r="S1374" s="1447">
        <f t="shared" ca="1" si="189"/>
        <v>0</v>
      </c>
      <c r="V1374" s="2557" t="str">
        <f t="shared" ca="1" si="191"/>
        <v/>
      </c>
      <c r="W1374" s="611" t="str">
        <f t="shared" ca="1" si="190"/>
        <v>Page5_CAD_VE, Ligne 17 [Page5_CAD_VE!K20]  -</v>
      </c>
    </row>
    <row r="1375" spans="1:23">
      <c r="A1375" s="1443" t="str">
        <f>celladdr(Page5_CAD_VE!K21)</f>
        <v>Page5_CAD_VE!K21</v>
      </c>
      <c r="B1375" s="1464" t="s">
        <v>1086</v>
      </c>
      <c r="C1375" s="1451" t="b">
        <f>Page5_CAD_VE!$K$21&lt;0</f>
        <v>0</v>
      </c>
      <c r="D1375" s="1454" t="b">
        <f>OR(AND(Page5_CAD_VE!$K21&gt;0,Page5_CAD_VE!$M21=0),AND(Page5_CAD_VE!$M21&lt;&gt;0,Page5_CAD_VE!$K21=0))</f>
        <v>0</v>
      </c>
      <c r="E1375" s="1454"/>
      <c r="F1375" s="1454"/>
      <c r="G1375" s="1444" t="str">
        <f t="shared" si="185"/>
        <v/>
      </c>
      <c r="H1375" s="1447" t="str">
        <f>IF(C1375=TRUE,Comments!$B$26,"")</f>
        <v/>
      </c>
      <c r="I1375" s="1446" t="str">
        <f>IF(D1375=TRUE,Comments!$B$21,"")</f>
        <v/>
      </c>
      <c r="J1375" s="1446"/>
      <c r="K1375" s="1452"/>
      <c r="N1375" s="611" t="str">
        <f>"CPTE # "&amp;Page5_CAD_VE!$E$21&amp;"  "&amp;Page5_CAD_VE!$C$21&amp;" - UNITÉS - AAD"</f>
        <v>CPTE # 417G  NE PAS UTILISER - UNITÉS - AAD</v>
      </c>
      <c r="O1375" s="611" t="str">
        <f t="shared" si="192"/>
        <v/>
      </c>
      <c r="P1375" s="611" t="str">
        <f t="shared" si="186"/>
        <v>Page5_CAD_VE!K</v>
      </c>
      <c r="Q1375" s="611">
        <f t="shared" si="187"/>
        <v>21</v>
      </c>
      <c r="R1375" s="1447">
        <f t="shared" ca="1" si="188"/>
        <v>0</v>
      </c>
      <c r="S1375" s="1447">
        <f t="shared" ca="1" si="189"/>
        <v>0</v>
      </c>
      <c r="V1375" s="2557" t="str">
        <f t="shared" ca="1" si="191"/>
        <v/>
      </c>
      <c r="W1375" s="611" t="str">
        <f t="shared" ca="1" si="190"/>
        <v>Page5_CAD_VE, Ligne 18 [Page5_CAD_VE!K21]  -</v>
      </c>
    </row>
    <row r="1376" spans="1:23">
      <c r="A1376" s="1443" t="str">
        <f>celladdr(Page5_CAD_VE!K22)</f>
        <v>Page5_CAD_VE!K22</v>
      </c>
      <c r="B1376" s="1464" t="s">
        <v>1086</v>
      </c>
      <c r="C1376" s="1451" t="b">
        <f>Page5_CAD_VE!$K$22&lt;0</f>
        <v>0</v>
      </c>
      <c r="D1376" s="1454" t="b">
        <f>OR(AND(Page5_CAD_VE!$K22&gt;0,Page5_CAD_VE!$M22=0),AND(Page5_CAD_VE!$M22&lt;&gt;0,Page5_CAD_VE!$K22=0))</f>
        <v>0</v>
      </c>
      <c r="E1376" s="1454"/>
      <c r="F1376" s="1454"/>
      <c r="G1376" s="1444" t="str">
        <f t="shared" si="185"/>
        <v/>
      </c>
      <c r="H1376" s="1447" t="str">
        <f>IF(C1376=TRUE,Comments!$B$26,"")</f>
        <v/>
      </c>
      <c r="I1376" s="1446" t="str">
        <f>IF(D1376=TRUE,Comments!$B$21,"")</f>
        <v/>
      </c>
      <c r="J1376" s="1446"/>
      <c r="K1376" s="1452"/>
      <c r="N1376" s="611" t="str">
        <f>"CPTE # "&amp;Page5_CAD_VE!$E$22&amp;"  "&amp;Page5_CAD_VE!$C$22&amp;" - UNITÉS - AAD"</f>
        <v>CPTE # 418G  NE PAS UTILISER - UNITÉS - AAD</v>
      </c>
      <c r="O1376" s="611" t="str">
        <f t="shared" si="192"/>
        <v/>
      </c>
      <c r="P1376" s="611" t="str">
        <f t="shared" si="186"/>
        <v>Page5_CAD_VE!K</v>
      </c>
      <c r="Q1376" s="611">
        <f t="shared" si="187"/>
        <v>22</v>
      </c>
      <c r="R1376" s="1447">
        <f t="shared" ca="1" si="188"/>
        <v>0</v>
      </c>
      <c r="S1376" s="1447">
        <f t="shared" ca="1" si="189"/>
        <v>0</v>
      </c>
      <c r="V1376" s="2557" t="str">
        <f t="shared" ca="1" si="191"/>
        <v/>
      </c>
      <c r="W1376" s="611" t="str">
        <f t="shared" ca="1" si="190"/>
        <v>Page5_CAD_VE, Ligne 19 [Page5_CAD_VE!K22]  -</v>
      </c>
    </row>
    <row r="1377" spans="1:23">
      <c r="A1377" s="1443" t="str">
        <f>celladdr(Page5_CAD_VE!K23)</f>
        <v>Page5_CAD_VE!K23</v>
      </c>
      <c r="B1377" s="1444" t="s">
        <v>1086</v>
      </c>
      <c r="C1377" s="1451"/>
      <c r="D1377" s="1454"/>
      <c r="E1377" s="1454"/>
      <c r="F1377" s="1454"/>
      <c r="G1377" s="1444" t="str">
        <f t="shared" si="185"/>
        <v/>
      </c>
      <c r="H1377" s="1447" t="str">
        <f>IF(C1377=TRUE,Comments!$B$26,"")</f>
        <v/>
      </c>
      <c r="I1377" s="1446" t="str">
        <f>IF(D1377=TRUE,Comments!$B$21,"")</f>
        <v/>
      </c>
      <c r="J1377" s="1446"/>
      <c r="K1377" s="1452"/>
      <c r="O1377" s="611" t="str">
        <f t="shared" si="192"/>
        <v/>
      </c>
      <c r="P1377" s="611" t="str">
        <f t="shared" si="186"/>
        <v>Page5_CAD_VE!K</v>
      </c>
      <c r="Q1377" s="611">
        <f t="shared" si="187"/>
        <v>23</v>
      </c>
      <c r="R1377" s="1447">
        <f t="shared" ca="1" si="188"/>
        <v>0</v>
      </c>
      <c r="S1377" s="1447">
        <f t="shared" ca="1" si="189"/>
        <v>0</v>
      </c>
      <c r="V1377" s="2557" t="str">
        <f t="shared" ca="1" si="191"/>
        <v/>
      </c>
      <c r="W1377" s="611" t="str">
        <f t="shared" ca="1" si="190"/>
        <v>Page5_CAD_VE, Ligne 20 [Page5_CAD_VE!K23]  -</v>
      </c>
    </row>
    <row r="1378" spans="1:23">
      <c r="A1378" s="1443" t="str">
        <f>celladdr(Page5_CAD_VE!K24)</f>
        <v>Page5_CAD_VE!K24</v>
      </c>
      <c r="B1378" s="1464" t="s">
        <v>1086</v>
      </c>
      <c r="C1378" s="1451" t="b">
        <f>Page5_CAD_VE!$K$24&lt;0</f>
        <v>0</v>
      </c>
      <c r="D1378" s="1454" t="b">
        <f>OR(AND(Page5_CAD_VE!$K24&gt;0,Page5_CAD_VE!$M24=0),AND(Page5_CAD_VE!$M24&lt;&gt;0,Page5_CAD_VE!$K24=0))</f>
        <v>0</v>
      </c>
      <c r="E1378" s="1454"/>
      <c r="F1378" s="1454"/>
      <c r="G1378" s="1444" t="str">
        <f t="shared" si="185"/>
        <v/>
      </c>
      <c r="H1378" s="1447" t="str">
        <f>IF(C1378=TRUE,Comments!$B$26,"")</f>
        <v/>
      </c>
      <c r="I1378" s="1446" t="str">
        <f>IF(D1378=TRUE,Comments!$B$21,"")</f>
        <v/>
      </c>
      <c r="J1378" s="1446"/>
      <c r="K1378" s="1452"/>
      <c r="N1378" s="611" t="str">
        <f>"CPTE # "&amp;Page5_CAD_VE!$E$24&amp;"  "&amp;Page5_CAD_VE!$C$24&amp;" - UNITÉS - AAD"</f>
        <v>CPTE # 419G  MÉMO* VENTES INTERNET VOITURES - UNITÉS - AAD</v>
      </c>
      <c r="O1378" s="611" t="str">
        <f t="shared" si="192"/>
        <v/>
      </c>
      <c r="P1378" s="611" t="str">
        <f t="shared" si="186"/>
        <v>Page5_CAD_VE!K</v>
      </c>
      <c r="Q1378" s="611">
        <f t="shared" si="187"/>
        <v>24</v>
      </c>
      <c r="R1378" s="1447">
        <f t="shared" ca="1" si="188"/>
        <v>0</v>
      </c>
      <c r="S1378" s="1447">
        <f t="shared" ca="1" si="189"/>
        <v>0</v>
      </c>
      <c r="V1378" s="2557" t="str">
        <f t="shared" ca="1" si="191"/>
        <v/>
      </c>
      <c r="W1378" s="611" t="str">
        <f t="shared" ca="1" si="190"/>
        <v>Page5_CAD_VE, Ligne 21 [Page5_CAD_VE!K24]  -</v>
      </c>
    </row>
    <row r="1379" spans="1:23">
      <c r="A1379" s="1443" t="str">
        <f>celladdr(Page5_CAD_VE!K25)</f>
        <v>Page5_CAD_VE!K25</v>
      </c>
      <c r="B1379" s="1464" t="s">
        <v>1086</v>
      </c>
      <c r="C1379" s="1451" t="b">
        <f>Page5_CAD_VE!$K$25&lt;0</f>
        <v>0</v>
      </c>
      <c r="D1379" s="1454" t="b">
        <f>OR(AND(Page5_CAD_VE!$K25&gt;0,Page5_CAD_VE!$M25=0),AND(Page5_CAD_VE!$M25&lt;&gt;0,Page5_CAD_VE!$K25=0))</f>
        <v>0</v>
      </c>
      <c r="E1379" s="1454" t="b">
        <f>ROUND(Page5_CAD_VE!K25,2) &lt;&gt; ROUND(Page5_PARCS_GOUV!K9+Page5_PARCS_GOUV!K45,2)</f>
        <v>0</v>
      </c>
      <c r="F1379" s="1454"/>
      <c r="G1379" s="1444" t="str">
        <f t="shared" si="185"/>
        <v/>
      </c>
      <c r="H1379" s="1447" t="str">
        <f>IF(C1379=TRUE,Comments!$B$26,"")</f>
        <v/>
      </c>
      <c r="I1379" s="1446" t="str">
        <f>IF(D1379=TRUE,Comments!$B$21,"")</f>
        <v/>
      </c>
      <c r="J1379" s="1446" t="str">
        <f>IF(E1379=TRUE, Comments!$B$100,"")</f>
        <v/>
      </c>
      <c r="K1379" s="1452"/>
      <c r="N1379" s="611" t="str">
        <f>"CPTE # "&amp;Page5_CAD_VE!$E$25&amp;"  "&amp;Page5_CAD_VE!$C$25&amp;" - UNITÉS - AAD"</f>
        <v>CPTE # DE PG PARCS  TOTAL PARCS - VOITURES - UNITÉS - AAD</v>
      </c>
      <c r="O1379" s="611" t="str">
        <f t="shared" si="192"/>
        <v/>
      </c>
      <c r="P1379" s="611" t="str">
        <f t="shared" si="186"/>
        <v>Page5_CAD_VE!K</v>
      </c>
      <c r="Q1379" s="611">
        <f t="shared" si="187"/>
        <v>25</v>
      </c>
      <c r="R1379" s="1447">
        <f t="shared" ca="1" si="188"/>
        <v>0</v>
      </c>
      <c r="S1379" s="1447">
        <f t="shared" ca="1" si="189"/>
        <v>0</v>
      </c>
      <c r="T1379" s="611">
        <v>100</v>
      </c>
      <c r="V1379" s="2557" t="str">
        <f t="shared" ca="1" si="191"/>
        <v/>
      </c>
      <c r="W1379" s="611" t="str">
        <f t="shared" ca="1" si="190"/>
        <v>Page5_CAD_VE, Ligne 22 [Page5_CAD_VE!K25]  -</v>
      </c>
    </row>
    <row r="1380" spans="1:23">
      <c r="A1380" s="1443" t="str">
        <f>celladdr(Page5_CAD_VE!K26)</f>
        <v>Page5_CAD_VE!K26</v>
      </c>
      <c r="B1380" s="1464" t="s">
        <v>1086</v>
      </c>
      <c r="C1380" s="1451" t="b">
        <f>Page5_CAD_VE!$K$26&lt;0</f>
        <v>0</v>
      </c>
      <c r="D1380" s="1454" t="b">
        <f>OR(AND(Page5_CAD_VE!$K26&gt;0,Page5_CAD_VE!$M26=0),AND(Page5_CAD_VE!$M26&lt;&gt;0,Page5_CAD_VE!$K26=0))</f>
        <v>0</v>
      </c>
      <c r="E1380" s="1454"/>
      <c r="F1380" s="1454"/>
      <c r="G1380" s="1444" t="str">
        <f t="shared" si="185"/>
        <v/>
      </c>
      <c r="H1380" s="1447" t="str">
        <f>IF(C1380=TRUE,Comments!$B$26,"")</f>
        <v/>
      </c>
      <c r="I1380" s="1446" t="str">
        <f>IF(D1380=TRUE,Comments!$B$21,"")</f>
        <v/>
      </c>
      <c r="J1380" s="1446"/>
      <c r="K1380" s="1452"/>
      <c r="N1380" s="611" t="str">
        <f>"CPTE # "&amp;Page5_CAD_VE!$E$26&amp;"  "&amp;Page5_CAD_VE!$C$26&amp;" - UNITÉS - AAD"</f>
        <v>CPTE # 421G  TOTAL INTERNE - VOITURES - UNITÉS - AAD</v>
      </c>
      <c r="O1380" s="611" t="str">
        <f t="shared" si="192"/>
        <v/>
      </c>
      <c r="P1380" s="611" t="str">
        <f t="shared" si="186"/>
        <v>Page5_CAD_VE!K</v>
      </c>
      <c r="Q1380" s="611">
        <f t="shared" si="187"/>
        <v>26</v>
      </c>
      <c r="R1380" s="1447">
        <f t="shared" ca="1" si="188"/>
        <v>0</v>
      </c>
      <c r="S1380" s="1447">
        <f t="shared" ca="1" si="189"/>
        <v>0</v>
      </c>
      <c r="V1380" s="2557" t="str">
        <f t="shared" ca="1" si="191"/>
        <v/>
      </c>
      <c r="W1380" s="611" t="str">
        <f t="shared" ca="1" si="190"/>
        <v>Page5_CAD_VE, Ligne 23 [Page5_CAD_VE!K26]  -</v>
      </c>
    </row>
    <row r="1381" spans="1:23">
      <c r="A1381" s="1443" t="str">
        <f>celladdr(Page5_CAD_VE!K27)</f>
        <v>Page5_CAD_VE!K27</v>
      </c>
      <c r="B1381" s="1444" t="s">
        <v>1086</v>
      </c>
      <c r="C1381" s="1451"/>
      <c r="D1381" s="1454"/>
      <c r="E1381" s="1454"/>
      <c r="F1381" s="1454"/>
      <c r="G1381" s="1444" t="str">
        <f t="shared" si="185"/>
        <v/>
      </c>
      <c r="H1381" s="1447" t="str">
        <f>IF(C1381=TRUE,Comments!$B$26,"")</f>
        <v/>
      </c>
      <c r="I1381" s="1446" t="str">
        <f>IF(D1381=TRUE,Comments!$B$21,"")</f>
        <v/>
      </c>
      <c r="J1381" s="1446"/>
      <c r="K1381" s="1452"/>
      <c r="O1381" s="611" t="str">
        <f t="shared" si="192"/>
        <v/>
      </c>
      <c r="P1381" s="611" t="str">
        <f t="shared" si="186"/>
        <v>Page5_CAD_VE!K</v>
      </c>
      <c r="Q1381" s="611">
        <f t="shared" si="187"/>
        <v>27</v>
      </c>
      <c r="R1381" s="1447">
        <f t="shared" ca="1" si="188"/>
        <v>0</v>
      </c>
      <c r="S1381" s="1447">
        <f t="shared" ca="1" si="189"/>
        <v>0</v>
      </c>
      <c r="V1381" s="2557" t="str">
        <f t="shared" ca="1" si="191"/>
        <v/>
      </c>
      <c r="W1381" s="611" t="str">
        <f t="shared" ca="1" si="190"/>
        <v>Page5_CAD_VE, Ligne 24 [Page5_CAD_VE!K27]  -</v>
      </c>
    </row>
    <row r="1382" spans="1:23">
      <c r="A1382" s="1443" t="str">
        <f>celladdr(Page5_CAD_VE!K28)</f>
        <v>Page5_CAD_VE!K28</v>
      </c>
      <c r="B1382" s="1464" t="s">
        <v>1086</v>
      </c>
      <c r="C1382" s="1451" t="b">
        <f>Page5_CAD_VE!$K$28&lt;0</f>
        <v>0</v>
      </c>
      <c r="D1382" s="1454" t="b">
        <f>OR(AND(Page5_CAD_VE!$K28&gt;0,Page5_CAD_VE!$M28=0),AND(Page5_CAD_VE!$M28&lt;&gt;0,Page5_CAD_VE!$K28=0))</f>
        <v>0</v>
      </c>
      <c r="E1382" s="1454"/>
      <c r="F1382" s="1454"/>
      <c r="G1382" s="1444" t="str">
        <f t="shared" si="185"/>
        <v/>
      </c>
      <c r="H1382" s="1447" t="str">
        <f>IF(C1382=TRUE,Comments!$B$26,"")</f>
        <v/>
      </c>
      <c r="I1382" s="1446" t="str">
        <f>IF(D1382=TRUE,Comments!$B$21,"")</f>
        <v/>
      </c>
      <c r="J1382" s="1446"/>
      <c r="K1382" s="1452"/>
      <c r="N1382" s="611" t="str">
        <f>"CPTE # "&amp;Page5_CAD_VE!$E$28&amp;"  "&amp;Page5_CAD_VE!$C$28&amp;" - UNITÉS - AAD"</f>
        <v>CPTE # 423G  LYRIQ - UNITÉS - AAD</v>
      </c>
      <c r="O1382" s="611" t="str">
        <f t="shared" si="192"/>
        <v/>
      </c>
      <c r="P1382" s="611" t="str">
        <f t="shared" si="186"/>
        <v>Page5_CAD_VE!K</v>
      </c>
      <c r="Q1382" s="611">
        <f t="shared" si="187"/>
        <v>28</v>
      </c>
      <c r="R1382" s="1447">
        <f t="shared" ca="1" si="188"/>
        <v>0</v>
      </c>
      <c r="S1382" s="1447">
        <f t="shared" ca="1" si="189"/>
        <v>0</v>
      </c>
      <c r="V1382" s="2557" t="str">
        <f t="shared" ca="1" si="191"/>
        <v/>
      </c>
      <c r="W1382" s="611" t="str">
        <f t="shared" ca="1" si="190"/>
        <v>Page5_CAD_VE, Ligne 25 [Page5_CAD_VE!K28]  -</v>
      </c>
    </row>
    <row r="1383" spans="1:23">
      <c r="A1383" s="1443" t="str">
        <f>celladdr(Page5_CAD_VE!K29)</f>
        <v>Page5_CAD_VE!K29</v>
      </c>
      <c r="B1383" s="1464" t="s">
        <v>1086</v>
      </c>
      <c r="C1383" s="1451" t="b">
        <f>Page5_CAD_VE!$K$29&lt;0</f>
        <v>0</v>
      </c>
      <c r="D1383" s="1454" t="b">
        <f>OR(AND(Page5_CAD_VE!$K29&gt;0,Page5_CAD_VE!$M29=0),AND(Page5_CAD_VE!$M29&lt;&gt;0,Page5_CAD_VE!$K29=0))</f>
        <v>0</v>
      </c>
      <c r="E1383" s="1454"/>
      <c r="F1383" s="1454"/>
      <c r="G1383" s="1444" t="str">
        <f t="shared" si="185"/>
        <v/>
      </c>
      <c r="H1383" s="1447" t="str">
        <f>IF(C1383=TRUE,Comments!$B$26,"")</f>
        <v/>
      </c>
      <c r="I1383" s="1446" t="str">
        <f>IF(D1383=TRUE,Comments!$B$21,"")</f>
        <v/>
      </c>
      <c r="J1383" s="1446"/>
      <c r="K1383" s="1452"/>
      <c r="N1383" s="611" t="str">
        <f>"CPTE # "&amp;Page5_CAD_VE!$E$29&amp;"  "&amp;Page5_CAD_VE!$C$29&amp;" - UNITÉS - AAD"</f>
        <v>CPTE # 424G  OPTIQ - UNITÉS - AAD</v>
      </c>
      <c r="O1383" s="611" t="str">
        <f t="shared" si="192"/>
        <v/>
      </c>
      <c r="P1383" s="611" t="str">
        <f t="shared" si="186"/>
        <v>Page5_CAD_VE!K</v>
      </c>
      <c r="Q1383" s="611">
        <f t="shared" si="187"/>
        <v>29</v>
      </c>
      <c r="R1383" s="1447">
        <f t="shared" ca="1" si="188"/>
        <v>0</v>
      </c>
      <c r="S1383" s="1447">
        <f t="shared" ca="1" si="189"/>
        <v>0</v>
      </c>
      <c r="V1383" s="2557" t="str">
        <f t="shared" ca="1" si="191"/>
        <v/>
      </c>
      <c r="W1383" s="611" t="str">
        <f t="shared" ca="1" si="190"/>
        <v>Page5_CAD_VE, Ligne 26 [Page5_CAD_VE!K29]  -</v>
      </c>
    </row>
    <row r="1384" spans="1:23">
      <c r="A1384" s="1443" t="str">
        <f>celladdr(Page5_CAD_VE!K30)</f>
        <v>Page5_CAD_VE!K30</v>
      </c>
      <c r="B1384" s="1464" t="s">
        <v>1086</v>
      </c>
      <c r="C1384" s="1451" t="b">
        <f>Page5_CAD_VE!$K$30&lt;0</f>
        <v>0</v>
      </c>
      <c r="D1384" s="1454" t="b">
        <f>OR(AND(Page5_CAD_VE!$K30&gt;0,Page5_CAD_VE!$M30=0),AND(Page5_CAD_VE!$M30&lt;&gt;0,Page5_CAD_VE!$K30=0))</f>
        <v>0</v>
      </c>
      <c r="E1384" s="1454"/>
      <c r="F1384" s="1454"/>
      <c r="G1384" s="1444" t="str">
        <f t="shared" si="185"/>
        <v/>
      </c>
      <c r="H1384" s="1447" t="str">
        <f>IF(C1384=TRUE,Comments!$B$26,"")</f>
        <v/>
      </c>
      <c r="I1384" s="1446" t="str">
        <f>IF(D1384=TRUE,Comments!$B$21,"")</f>
        <v/>
      </c>
      <c r="J1384" s="1446"/>
      <c r="K1384" s="1452"/>
      <c r="N1384" s="611" t="str">
        <f>"CPTE # "&amp;Page5_CAD_VE!$E$30&amp;"  "&amp;Page5_CAD_VE!$C$30&amp;" - UNITÉS - AAD"</f>
        <v>CPTE # 425G  ESCALADE IQ - UNITÉS - AAD</v>
      </c>
      <c r="O1384" s="611" t="str">
        <f t="shared" si="192"/>
        <v/>
      </c>
      <c r="P1384" s="611" t="str">
        <f t="shared" si="186"/>
        <v>Page5_CAD_VE!K</v>
      </c>
      <c r="Q1384" s="611">
        <f t="shared" si="187"/>
        <v>30</v>
      </c>
      <c r="R1384" s="1447">
        <f t="shared" ca="1" si="188"/>
        <v>0</v>
      </c>
      <c r="S1384" s="1447">
        <f t="shared" ca="1" si="189"/>
        <v>0</v>
      </c>
      <c r="V1384" s="2557" t="str">
        <f t="shared" ca="1" si="191"/>
        <v/>
      </c>
      <c r="W1384" s="611" t="str">
        <f t="shared" ca="1" si="190"/>
        <v>Page5_CAD_VE, Ligne 27 [Page5_CAD_VE!K30]  -</v>
      </c>
    </row>
    <row r="1385" spans="1:23">
      <c r="A1385" s="1443" t="str">
        <f>celladdr(Page5_CAD_VE!K31)</f>
        <v>Page5_CAD_VE!K31</v>
      </c>
      <c r="B1385" s="1464" t="s">
        <v>1086</v>
      </c>
      <c r="C1385" s="1451" t="b">
        <f>Page5_CAD_VE!$K$31&lt;0</f>
        <v>0</v>
      </c>
      <c r="D1385" s="1454" t="b">
        <f>OR(AND(Page5_CAD_VE!$K31&gt;0,Page5_CAD_VE!$M31=0),AND(Page5_CAD_VE!$M31&lt;&gt;0,Page5_CAD_VE!$K31=0))</f>
        <v>0</v>
      </c>
      <c r="E1385" s="1454"/>
      <c r="F1385" s="1454"/>
      <c r="G1385" s="1444" t="str">
        <f t="shared" si="185"/>
        <v/>
      </c>
      <c r="H1385" s="1447" t="str">
        <f>IF(C1385=TRUE,Comments!$B$26,"")</f>
        <v/>
      </c>
      <c r="I1385" s="1446" t="str">
        <f>IF(D1385=TRUE,Comments!$B$21,"")</f>
        <v/>
      </c>
      <c r="J1385" s="1446"/>
      <c r="K1385" s="1452"/>
      <c r="N1385" s="611" t="str">
        <f>"CPTE # "&amp;Page5_CAD_VE!$E$31&amp;"  "&amp;Page5_CAD_VE!$C$31&amp;" - UNITÉS - AAD"</f>
        <v>CPTE # 426G  VISTIQ - UNITÉS - AAD</v>
      </c>
      <c r="O1385" s="611" t="str">
        <f t="shared" si="192"/>
        <v/>
      </c>
      <c r="P1385" s="611" t="str">
        <f t="shared" si="186"/>
        <v>Page5_CAD_VE!K</v>
      </c>
      <c r="Q1385" s="611">
        <f t="shared" si="187"/>
        <v>31</v>
      </c>
      <c r="R1385" s="1447">
        <f t="shared" ca="1" si="188"/>
        <v>0</v>
      </c>
      <c r="S1385" s="1447">
        <f t="shared" ca="1" si="189"/>
        <v>0</v>
      </c>
      <c r="V1385" s="2557" t="str">
        <f t="shared" ca="1" si="191"/>
        <v/>
      </c>
      <c r="W1385" s="611" t="str">
        <f t="shared" ca="1" si="190"/>
        <v>Page5_CAD_VE, Ligne 28 [Page5_CAD_VE!K31]  -</v>
      </c>
    </row>
    <row r="1386" spans="1:23">
      <c r="A1386" s="1443" t="str">
        <f>celladdr(Page5_CAD_VE!K32)</f>
        <v>Page5_CAD_VE!K32</v>
      </c>
      <c r="B1386" s="1464" t="s">
        <v>1086</v>
      </c>
      <c r="C1386" s="1451" t="b">
        <f>Page5_CAD_VE!$K$32&lt;0</f>
        <v>0</v>
      </c>
      <c r="D1386" s="1454" t="b">
        <f>OR(AND(Page5_CAD_VE!$K32&gt;0,Page5_CAD_VE!$M32=0),AND(Page5_CAD_VE!$M32&lt;&gt;0,Page5_CAD_VE!$K32=0))</f>
        <v>0</v>
      </c>
      <c r="E1386" s="1454"/>
      <c r="F1386" s="1454"/>
      <c r="G1386" s="1444" t="str">
        <f t="shared" si="185"/>
        <v/>
      </c>
      <c r="H1386" s="1447" t="str">
        <f>IF(C1386=TRUE,Comments!$B$26,"")</f>
        <v/>
      </c>
      <c r="I1386" s="1446" t="str">
        <f>IF(D1386=TRUE,Comments!$B$21,"")</f>
        <v/>
      </c>
      <c r="J1386" s="1446"/>
      <c r="K1386" s="1452"/>
      <c r="N1386" s="611" t="str">
        <f>"CPTE # "&amp;Page5_CAD_VE!$E$32&amp;"  "&amp;Page5_CAD_VE!$C$32&amp;" - UNITÉS - AAD"</f>
        <v>CPTE # 427G  ESCALADE IQL - UNITÉS - AAD</v>
      </c>
      <c r="O1386" s="611" t="str">
        <f t="shared" si="192"/>
        <v/>
      </c>
      <c r="P1386" s="611" t="str">
        <f t="shared" si="186"/>
        <v>Page5_CAD_VE!K</v>
      </c>
      <c r="Q1386" s="611">
        <f t="shared" si="187"/>
        <v>32</v>
      </c>
      <c r="R1386" s="1447">
        <f t="shared" ca="1" si="188"/>
        <v>0</v>
      </c>
      <c r="S1386" s="1447">
        <f t="shared" ca="1" si="189"/>
        <v>0</v>
      </c>
      <c r="V1386" s="2557" t="str">
        <f t="shared" ca="1" si="191"/>
        <v/>
      </c>
      <c r="W1386" s="611" t="str">
        <f t="shared" ca="1" si="190"/>
        <v>Page5_CAD_VE, Ligne 29 [Page5_CAD_VE!K32]  -</v>
      </c>
    </row>
    <row r="1387" spans="1:23">
      <c r="A1387" s="1443" t="str">
        <f>celladdr(Page5_CAD_VE!K33)</f>
        <v>Page5_CAD_VE!K33</v>
      </c>
      <c r="B1387" s="1464" t="s">
        <v>1086</v>
      </c>
      <c r="C1387" s="1451" t="b">
        <f>Page5_CAD_VE!$K$33&lt;0</f>
        <v>0</v>
      </c>
      <c r="D1387" s="1454" t="b">
        <f>OR(AND(Page5_CAD_VE!$K33&gt;0,Page5_CAD_VE!$M33=0),AND(Page5_CAD_VE!$M33&lt;&gt;0,Page5_CAD_VE!$K33=0))</f>
        <v>0</v>
      </c>
      <c r="E1387" s="1454"/>
      <c r="F1387" s="1454"/>
      <c r="G1387" s="1444" t="str">
        <f t="shared" si="185"/>
        <v/>
      </c>
      <c r="H1387" s="1447" t="str">
        <f>IF(C1387=TRUE,Comments!$B$26,"")</f>
        <v/>
      </c>
      <c r="I1387" s="1446" t="str">
        <f>IF(D1387=TRUE,Comments!$B$21,"")</f>
        <v/>
      </c>
      <c r="J1387" s="1446"/>
      <c r="K1387" s="1452"/>
      <c r="N1387" s="611" t="str">
        <f>"CPTE # "&amp;Page5_CAD_VE!$E$33&amp;"  "&amp;Page5_CAD_VE!$C$33&amp;" - UNITÉS - AAD"</f>
        <v>CPTE # 428G  NE PAS UTILISER - UNITÉS - AAD</v>
      </c>
      <c r="O1387" s="611" t="str">
        <f t="shared" si="192"/>
        <v/>
      </c>
      <c r="P1387" s="611" t="str">
        <f t="shared" si="186"/>
        <v>Page5_CAD_VE!K</v>
      </c>
      <c r="Q1387" s="611">
        <f t="shared" si="187"/>
        <v>33</v>
      </c>
      <c r="R1387" s="1447">
        <f t="shared" ca="1" si="188"/>
        <v>0</v>
      </c>
      <c r="S1387" s="1447">
        <f t="shared" ca="1" si="189"/>
        <v>0</v>
      </c>
      <c r="V1387" s="2557" t="str">
        <f t="shared" ca="1" si="191"/>
        <v/>
      </c>
      <c r="W1387" s="611" t="str">
        <f t="shared" ca="1" si="190"/>
        <v>Page5_CAD_VE, Ligne 30 [Page5_CAD_VE!K33]  -</v>
      </c>
    </row>
    <row r="1388" spans="1:23">
      <c r="A1388" s="1443" t="str">
        <f>celladdr(Page5_CAD_VE!K34)</f>
        <v>Page5_CAD_VE!K34</v>
      </c>
      <c r="B1388" s="1464" t="s">
        <v>1086</v>
      </c>
      <c r="C1388" s="1451" t="b">
        <f>Page5_CAD_VE!$K$34&lt;0</f>
        <v>0</v>
      </c>
      <c r="D1388" s="1454" t="b">
        <f>OR(AND(Page5_CAD_VE!$K34&gt;0,Page5_CAD_VE!$M34=0),AND(Page5_CAD_VE!$M34&lt;&gt;0,Page5_CAD_VE!$K34=0))</f>
        <v>0</v>
      </c>
      <c r="E1388" s="1454"/>
      <c r="F1388" s="1454"/>
      <c r="G1388" s="1444" t="str">
        <f t="shared" si="185"/>
        <v/>
      </c>
      <c r="H1388" s="1447" t="str">
        <f>IF(C1388=TRUE,Comments!$B$26,"")</f>
        <v/>
      </c>
      <c r="I1388" s="1446" t="str">
        <f>IF(D1388=TRUE,Comments!$B$21,"")</f>
        <v/>
      </c>
      <c r="J1388" s="1446"/>
      <c r="K1388" s="1452"/>
      <c r="N1388" s="611" t="str">
        <f>"CPTE # "&amp;Page5_CAD_VE!$E$34&amp;"  "&amp;Page5_CAD_VE!$C$34&amp;" - UNITÉS - AAD"</f>
        <v>CPTE # 429G  NE PAS UTILISER - UNITÉS - AAD</v>
      </c>
      <c r="O1388" s="611" t="str">
        <f t="shared" si="192"/>
        <v/>
      </c>
      <c r="P1388" s="611" t="str">
        <f t="shared" si="186"/>
        <v>Page5_CAD_VE!K</v>
      </c>
      <c r="Q1388" s="611">
        <f t="shared" si="187"/>
        <v>34</v>
      </c>
      <c r="R1388" s="1447">
        <f t="shared" ca="1" si="188"/>
        <v>0</v>
      </c>
      <c r="S1388" s="1447">
        <f t="shared" ca="1" si="189"/>
        <v>0</v>
      </c>
      <c r="V1388" s="2557" t="str">
        <f t="shared" ca="1" si="191"/>
        <v/>
      </c>
      <c r="W1388" s="611" t="str">
        <f t="shared" ca="1" si="190"/>
        <v>Page5_CAD_VE, Ligne 31 [Page5_CAD_VE!K34]  -</v>
      </c>
    </row>
    <row r="1389" spans="1:23">
      <c r="A1389" s="1443" t="str">
        <f>celladdr(Page5_CAD_VE!K35)</f>
        <v>Page5_CAD_VE!K35</v>
      </c>
      <c r="B1389" s="1464" t="s">
        <v>1086</v>
      </c>
      <c r="C1389" s="1451" t="b">
        <f>Page5_CAD_VE!$K$35&lt;0</f>
        <v>0</v>
      </c>
      <c r="D1389" s="1454" t="b">
        <f>OR(AND(Page5_CAD_VE!$K35&gt;0,Page5_CAD_VE!$M35=0),AND(Page5_CAD_VE!$M35&lt;&gt;0,Page5_CAD_VE!$K35=0))</f>
        <v>0</v>
      </c>
      <c r="E1389" s="1454"/>
      <c r="F1389" s="1454"/>
      <c r="G1389" s="1444" t="str">
        <f t="shared" si="185"/>
        <v/>
      </c>
      <c r="H1389" s="1447" t="str">
        <f>IF(C1389=TRUE,Comments!$B$26,"")</f>
        <v/>
      </c>
      <c r="I1389" s="1446" t="str">
        <f>IF(D1389=TRUE,Comments!$B$21,"")</f>
        <v/>
      </c>
      <c r="J1389" s="1446"/>
      <c r="K1389" s="1452"/>
      <c r="N1389" s="611" t="str">
        <f>"CPTE # "&amp;Page5_CAD_VE!$E$35&amp;"  "&amp;Page5_CAD_VE!$C$35&amp;" - UNITÉS - AAD"</f>
        <v>CPTE # 430G  NE PAS UTILISER - UNITÉS - AAD</v>
      </c>
      <c r="O1389" s="611" t="str">
        <f t="shared" si="192"/>
        <v/>
      </c>
      <c r="P1389" s="611" t="str">
        <f t="shared" si="186"/>
        <v>Page5_CAD_VE!K</v>
      </c>
      <c r="Q1389" s="611">
        <f t="shared" si="187"/>
        <v>35</v>
      </c>
      <c r="R1389" s="1447">
        <f t="shared" ca="1" si="188"/>
        <v>0</v>
      </c>
      <c r="S1389" s="1447">
        <f t="shared" ca="1" si="189"/>
        <v>0</v>
      </c>
      <c r="V1389" s="2557" t="str">
        <f t="shared" ca="1" si="191"/>
        <v/>
      </c>
      <c r="W1389" s="611" t="str">
        <f t="shared" ca="1" si="190"/>
        <v>Page5_CAD_VE, Ligne 32 [Page5_CAD_VE!K35]  -</v>
      </c>
    </row>
    <row r="1390" spans="1:23">
      <c r="A1390" s="1443" t="str">
        <f>celladdr(Page5_CAD_VE!K36)</f>
        <v>Page5_CAD_VE!K36</v>
      </c>
      <c r="B1390" s="1464" t="s">
        <v>1086</v>
      </c>
      <c r="C1390" s="1451" t="b">
        <f>Page5_CAD_VE!$K$36&lt;0</f>
        <v>0</v>
      </c>
      <c r="D1390" s="1454" t="b">
        <f>OR(AND(Page5_CAD_VE!$K36&gt;0,Page5_CAD_VE!$M36=0),AND(Page5_CAD_VE!$M36&lt;&gt;0,Page5_CAD_VE!$K36=0))</f>
        <v>0</v>
      </c>
      <c r="E1390" s="1454"/>
      <c r="F1390" s="1454"/>
      <c r="G1390" s="1444" t="str">
        <f t="shared" si="185"/>
        <v/>
      </c>
      <c r="H1390" s="1447" t="str">
        <f>IF(C1390=TRUE,Comments!$B$26,"")</f>
        <v/>
      </c>
      <c r="I1390" s="1446" t="str">
        <f>IF(D1390=TRUE,Comments!$B$21,"")</f>
        <v/>
      </c>
      <c r="J1390" s="1446"/>
      <c r="K1390" s="1452"/>
      <c r="N1390" s="611" t="str">
        <f>"CPTE # "&amp;Page5_CAD_VE!$E$36&amp;"  "&amp;Page5_CAD_VE!$C$36&amp;" - UNITÉS - AAD"</f>
        <v>CPTE # 431G  NE PAS UTILISER - UNITÉS - AAD</v>
      </c>
      <c r="O1390" s="611" t="str">
        <f t="shared" si="192"/>
        <v/>
      </c>
      <c r="P1390" s="611" t="str">
        <f t="shared" si="186"/>
        <v>Page5_CAD_VE!K</v>
      </c>
      <c r="Q1390" s="611">
        <f t="shared" si="187"/>
        <v>36</v>
      </c>
      <c r="R1390" s="1447">
        <f t="shared" ca="1" si="188"/>
        <v>0</v>
      </c>
      <c r="S1390" s="1447">
        <f t="shared" ca="1" si="189"/>
        <v>0</v>
      </c>
      <c r="V1390" s="2557" t="str">
        <f t="shared" ca="1" si="191"/>
        <v/>
      </c>
      <c r="W1390" s="611" t="str">
        <f t="shared" ca="1" si="190"/>
        <v>Page5_CAD_VE, Ligne 33 [Page5_CAD_VE!K36]  -</v>
      </c>
    </row>
    <row r="1391" spans="1:23">
      <c r="A1391" s="1443" t="str">
        <f>celladdr(Page5_CAD_VE!K37)</f>
        <v>Page5_CAD_VE!K37</v>
      </c>
      <c r="B1391" s="1464" t="s">
        <v>1086</v>
      </c>
      <c r="C1391" s="1451" t="b">
        <f>Page5_CAD_VE!$K$37&lt;0</f>
        <v>0</v>
      </c>
      <c r="D1391" s="1454" t="b">
        <f>OR(AND(Page5_CAD_VE!$K37&gt;0,Page5_CAD_VE!$M37=0),AND(Page5_CAD_VE!$M37&lt;&gt;0,Page5_CAD_VE!$K37=0))</f>
        <v>0</v>
      </c>
      <c r="E1391" s="1454"/>
      <c r="F1391" s="1454"/>
      <c r="G1391" s="1444" t="str">
        <f t="shared" si="185"/>
        <v/>
      </c>
      <c r="H1391" s="1447" t="str">
        <f>IF(C1391=TRUE,Comments!$B$26,"")</f>
        <v/>
      </c>
      <c r="I1391" s="1446" t="str">
        <f>IF(D1391=TRUE,Comments!$B$21,"")</f>
        <v/>
      </c>
      <c r="J1391" s="1446"/>
      <c r="K1391" s="1452"/>
      <c r="N1391" s="611" t="str">
        <f>"CPTE # "&amp;Page5_CAD_VE!$E$37&amp;"  "&amp;Page5_CAD_VE!$C$37&amp;" - UNITÉS - AAD"</f>
        <v>CPTE # 432G  NE PAS UTILISER - UNITÉS - AAD</v>
      </c>
      <c r="O1391" s="611" t="str">
        <f t="shared" si="192"/>
        <v/>
      </c>
      <c r="P1391" s="611" t="str">
        <f t="shared" si="186"/>
        <v>Page5_CAD_VE!K</v>
      </c>
      <c r="Q1391" s="611">
        <f t="shared" si="187"/>
        <v>37</v>
      </c>
      <c r="R1391" s="1447">
        <f t="shared" ca="1" si="188"/>
        <v>0</v>
      </c>
      <c r="S1391" s="1447">
        <f t="shared" ca="1" si="189"/>
        <v>0</v>
      </c>
      <c r="V1391" s="2557" t="str">
        <f t="shared" ca="1" si="191"/>
        <v/>
      </c>
      <c r="W1391" s="611" t="str">
        <f t="shared" ca="1" si="190"/>
        <v>Page5_CAD_VE, Ligne 34 [Page5_CAD_VE!K37]  -</v>
      </c>
    </row>
    <row r="1392" spans="1:23">
      <c r="A1392" s="1443" t="str">
        <f>celladdr(Page5_CAD_VE!K38)</f>
        <v>Page5_CAD_VE!K38</v>
      </c>
      <c r="B1392" s="1464" t="s">
        <v>1086</v>
      </c>
      <c r="C1392" s="1451" t="b">
        <f>Page5_CAD_VE!$K$38&lt;0</f>
        <v>0</v>
      </c>
      <c r="D1392" s="1454" t="b">
        <f>OR(AND(Page5_CAD_VE!$K38&gt;0,Page5_CAD_VE!$M38=0),AND(Page5_CAD_VE!$M38&lt;&gt;0,Page5_CAD_VE!$K38=0))</f>
        <v>0</v>
      </c>
      <c r="E1392" s="1454"/>
      <c r="F1392" s="1454"/>
      <c r="G1392" s="1444" t="str">
        <f t="shared" si="185"/>
        <v/>
      </c>
      <c r="H1392" s="1447" t="str">
        <f>IF(C1392=TRUE,Comments!$B$26,"")</f>
        <v/>
      </c>
      <c r="I1392" s="1446" t="str">
        <f>IF(D1392=TRUE,Comments!$B$21,"")</f>
        <v/>
      </c>
      <c r="J1392" s="1446"/>
      <c r="K1392" s="1452"/>
      <c r="N1392" s="611" t="str">
        <f>"CPTE # "&amp;Page5_CAD_VE!$E$38&amp;"  "&amp;Page5_CAD_VE!$C$38&amp;" - UNITÉS - AAD"</f>
        <v>CPTE # 433G  NE PAS UTILISER - UNITÉS - AAD</v>
      </c>
      <c r="O1392" s="611" t="str">
        <f t="shared" si="192"/>
        <v/>
      </c>
      <c r="P1392" s="611" t="str">
        <f t="shared" si="186"/>
        <v>Page5_CAD_VE!K</v>
      </c>
      <c r="Q1392" s="611">
        <f t="shared" si="187"/>
        <v>38</v>
      </c>
      <c r="R1392" s="1447">
        <f t="shared" ca="1" si="188"/>
        <v>0</v>
      </c>
      <c r="S1392" s="1447">
        <f t="shared" ca="1" si="189"/>
        <v>0</v>
      </c>
      <c r="V1392" s="2557" t="str">
        <f t="shared" ca="1" si="191"/>
        <v/>
      </c>
      <c r="W1392" s="611" t="str">
        <f t="shared" ca="1" si="190"/>
        <v>Page5_CAD_VE, Ligne 35 [Page5_CAD_VE!K38]  -</v>
      </c>
    </row>
    <row r="1393" spans="1:23">
      <c r="A1393" s="1443" t="str">
        <f>celladdr(Page5_CAD_VE!K39)</f>
        <v>Page5_CAD_VE!K39</v>
      </c>
      <c r="B1393" s="1464" t="s">
        <v>1086</v>
      </c>
      <c r="C1393" s="1451" t="b">
        <f>Page5_CAD_VE!$K$39&lt;0</f>
        <v>0</v>
      </c>
      <c r="D1393" s="1454" t="b">
        <f>OR(AND(Page5_CAD_VE!$K39&gt;0,Page5_CAD_VE!$M39=0),AND(Page5_CAD_VE!$M39&lt;&gt;0,Page5_CAD_VE!$K39=0))</f>
        <v>0</v>
      </c>
      <c r="E1393" s="1454"/>
      <c r="F1393" s="1454"/>
      <c r="G1393" s="1444" t="str">
        <f t="shared" si="185"/>
        <v/>
      </c>
      <c r="H1393" s="1447" t="str">
        <f>IF(C1393=TRUE,Comments!$B$26,"")</f>
        <v/>
      </c>
      <c r="I1393" s="1446" t="str">
        <f>IF(D1393=TRUE,Comments!$B$21,"")</f>
        <v/>
      </c>
      <c r="J1393" s="1446"/>
      <c r="K1393" s="1452"/>
      <c r="N1393" s="611" t="str">
        <f>"CPTE # "&amp;Page5_CAD_VE!$E$39&amp;"  "&amp;Page5_CAD_VE!$C$39&amp;" - UNITÉS - AAD"</f>
        <v>CPTE # 434G  NE PAS UTILISER - UNITÉS - AAD</v>
      </c>
      <c r="O1393" s="611" t="str">
        <f t="shared" si="192"/>
        <v/>
      </c>
      <c r="P1393" s="611" t="str">
        <f t="shared" si="186"/>
        <v>Page5_CAD_VE!K</v>
      </c>
      <c r="Q1393" s="611">
        <f t="shared" si="187"/>
        <v>39</v>
      </c>
      <c r="R1393" s="1447">
        <f t="shared" ca="1" si="188"/>
        <v>0</v>
      </c>
      <c r="S1393" s="1447">
        <f t="shared" ca="1" si="189"/>
        <v>0</v>
      </c>
      <c r="V1393" s="2557" t="str">
        <f t="shared" ca="1" si="191"/>
        <v/>
      </c>
      <c r="W1393" s="611" t="str">
        <f t="shared" ca="1" si="190"/>
        <v>Page5_CAD_VE, Ligne 36 [Page5_CAD_VE!K39]  -</v>
      </c>
    </row>
    <row r="1394" spans="1:23">
      <c r="A1394" s="1443" t="str">
        <f>celladdr(Page5_CAD_VE!K40)</f>
        <v>Page5_CAD_VE!K40</v>
      </c>
      <c r="B1394" s="1464" t="s">
        <v>1086</v>
      </c>
      <c r="C1394" s="1451" t="b">
        <f>Page5_CAD_VE!$K$40&lt;0</f>
        <v>0</v>
      </c>
      <c r="D1394" s="1454" t="b">
        <f>OR(AND(Page5_CAD_VE!$K40&gt;0,Page5_CAD_VE!$M40=0),AND(Page5_CAD_VE!$M40&lt;&gt;0,Page5_CAD_VE!$K40=0))</f>
        <v>0</v>
      </c>
      <c r="E1394" s="1454"/>
      <c r="F1394" s="1454"/>
      <c r="G1394" s="1444" t="str">
        <f t="shared" si="185"/>
        <v/>
      </c>
      <c r="H1394" s="1447" t="str">
        <f>IF(C1394=TRUE,Comments!$B$26,"")</f>
        <v/>
      </c>
      <c r="I1394" s="1446" t="str">
        <f>IF(D1394=TRUE,Comments!$B$21,"")</f>
        <v/>
      </c>
      <c r="J1394" s="1446"/>
      <c r="K1394" s="1452"/>
      <c r="N1394" s="611" t="str">
        <f>"CPTE # "&amp;Page5_CAD_VE!$E$40&amp;"  "&amp;Page5_CAD_VE!$C$40&amp;" - UNITÉS - AAD"</f>
        <v>CPTE # 435G  NE PAS UTILISER - UNITÉS - AAD</v>
      </c>
      <c r="O1394" s="611" t="str">
        <f t="shared" si="192"/>
        <v/>
      </c>
      <c r="P1394" s="611" t="str">
        <f t="shared" si="186"/>
        <v>Page5_CAD_VE!K</v>
      </c>
      <c r="Q1394" s="611">
        <f t="shared" si="187"/>
        <v>40</v>
      </c>
      <c r="R1394" s="1447">
        <f t="shared" ca="1" si="188"/>
        <v>0</v>
      </c>
      <c r="S1394" s="1447">
        <f t="shared" ca="1" si="189"/>
        <v>0</v>
      </c>
      <c r="V1394" s="2557" t="str">
        <f t="shared" ca="1" si="191"/>
        <v/>
      </c>
      <c r="W1394" s="611" t="str">
        <f t="shared" ca="1" si="190"/>
        <v>Page5_CAD_VE, Ligne 37 [Page5_CAD_VE!K40]  -</v>
      </c>
    </row>
    <row r="1395" spans="1:23">
      <c r="A1395" s="1443" t="str">
        <f>celladdr(Page5_CAD_VE!K41)</f>
        <v>Page5_CAD_VE!K41</v>
      </c>
      <c r="B1395" s="1464" t="s">
        <v>1086</v>
      </c>
      <c r="C1395" s="1451" t="b">
        <f>Page5_CAD_VE!$K$41&lt;0</f>
        <v>0</v>
      </c>
      <c r="D1395" s="1454" t="b">
        <f>OR(AND(Page5_CAD_VE!$K41&gt;0,Page5_CAD_VE!$M41=0),AND(Page5_CAD_VE!$M41&lt;&gt;0,Page5_CAD_VE!$K41=0))</f>
        <v>0</v>
      </c>
      <c r="E1395" s="1454"/>
      <c r="F1395" s="1454"/>
      <c r="G1395" s="1444" t="str">
        <f t="shared" si="185"/>
        <v/>
      </c>
      <c r="H1395" s="1447" t="str">
        <f>IF(C1395=TRUE,Comments!$B$26,"")</f>
        <v/>
      </c>
      <c r="I1395" s="1446" t="str">
        <f>IF(D1395=TRUE,Comments!$B$21,"")</f>
        <v/>
      </c>
      <c r="J1395" s="1446"/>
      <c r="K1395" s="1452"/>
      <c r="N1395" s="611" t="str">
        <f>"CPTE # "&amp;Page5_CAD_VE!$E$41&amp;"  "&amp;Page5_CAD_VE!$C$41&amp;" - UNITÉS - AAD"</f>
        <v>CPTE # 436G  NE PAS UTILISER - UNITÉS - AAD</v>
      </c>
      <c r="O1395" s="611" t="str">
        <f t="shared" si="192"/>
        <v/>
      </c>
      <c r="P1395" s="611" t="str">
        <f t="shared" si="186"/>
        <v>Page5_CAD_VE!K</v>
      </c>
      <c r="Q1395" s="611">
        <f t="shared" si="187"/>
        <v>41</v>
      </c>
      <c r="R1395" s="1447">
        <f t="shared" ca="1" si="188"/>
        <v>0</v>
      </c>
      <c r="S1395" s="1447">
        <f t="shared" ca="1" si="189"/>
        <v>0</v>
      </c>
      <c r="V1395" s="2557" t="str">
        <f t="shared" ca="1" si="191"/>
        <v/>
      </c>
      <c r="W1395" s="611" t="str">
        <f t="shared" ca="1" si="190"/>
        <v>Page5_CAD_VE, Ligne 38 [Page5_CAD_VE!K41]  -</v>
      </c>
    </row>
    <row r="1396" spans="1:23">
      <c r="A1396" s="1443" t="str">
        <f>celladdr(Page5_CAD_VE!K42)</f>
        <v>Page5_CAD_VE!K42</v>
      </c>
      <c r="B1396" s="1464" t="s">
        <v>1086</v>
      </c>
      <c r="C1396" s="1451" t="b">
        <f>Page5_CAD_VE!$K$42&lt;0</f>
        <v>0</v>
      </c>
      <c r="D1396" s="1454" t="b">
        <f>OR(AND(Page5_CAD_VE!$K42&gt;0,Page5_CAD_VE!$M42=0),AND(Page5_CAD_VE!$M42&lt;&gt;0,Page5_CAD_VE!$K42=0))</f>
        <v>0</v>
      </c>
      <c r="E1396" s="1454"/>
      <c r="F1396" s="1454"/>
      <c r="G1396" s="1444" t="str">
        <f t="shared" si="185"/>
        <v/>
      </c>
      <c r="H1396" s="1447" t="str">
        <f>IF(C1396=TRUE,Comments!$B$26,"")</f>
        <v/>
      </c>
      <c r="I1396" s="1446" t="str">
        <f>IF(D1396=TRUE,Comments!$B$21,"")</f>
        <v/>
      </c>
      <c r="J1396" s="1446"/>
      <c r="K1396" s="1452"/>
      <c r="N1396" s="611" t="str">
        <f>"CPTE # "&amp;Page5_CAD_VE!$E$42&amp;"  "&amp;Page5_CAD_VE!$C$42&amp;" - UNITÉS - AAD"</f>
        <v>CPTE # 437G  NE PAS UTILISER - UNITÉS - AAD</v>
      </c>
      <c r="O1396" s="611" t="str">
        <f t="shared" si="192"/>
        <v/>
      </c>
      <c r="P1396" s="611" t="str">
        <f t="shared" si="186"/>
        <v>Page5_CAD_VE!K</v>
      </c>
      <c r="Q1396" s="611">
        <f t="shared" si="187"/>
        <v>42</v>
      </c>
      <c r="R1396" s="1447">
        <f t="shared" ca="1" si="188"/>
        <v>0</v>
      </c>
      <c r="S1396" s="1447">
        <f t="shared" ca="1" si="189"/>
        <v>0</v>
      </c>
      <c r="V1396" s="2557" t="str">
        <f t="shared" ca="1" si="191"/>
        <v/>
      </c>
      <c r="W1396" s="611" t="str">
        <f t="shared" ca="1" si="190"/>
        <v>Page5_CAD_VE, Ligne 39 [Page5_CAD_VE!K42]  -</v>
      </c>
    </row>
    <row r="1397" spans="1:23">
      <c r="A1397" s="1443" t="str">
        <f>celladdr(Page5_CAD_VE!K43)</f>
        <v>Page5_CAD_VE!K43</v>
      </c>
      <c r="B1397" s="1464" t="s">
        <v>1086</v>
      </c>
      <c r="C1397" s="1451" t="b">
        <f>Page5_CAD_VE!$K$43&lt;0</f>
        <v>0</v>
      </c>
      <c r="D1397" s="1454" t="b">
        <f>OR(AND(Page5_CAD_VE!$K43&gt;0,Page5_CAD_VE!$M43=0),AND(Page5_CAD_VE!$M43&lt;&gt;0,Page5_CAD_VE!$K43=0))</f>
        <v>0</v>
      </c>
      <c r="E1397" s="1454"/>
      <c r="F1397" s="1454"/>
      <c r="G1397" s="1444" t="str">
        <f t="shared" si="185"/>
        <v/>
      </c>
      <c r="H1397" s="1447" t="str">
        <f>IF(C1397=TRUE,Comments!$B$26,"")</f>
        <v/>
      </c>
      <c r="I1397" s="1446" t="str">
        <f>IF(D1397=TRUE,Comments!$B$21,"")</f>
        <v/>
      </c>
      <c r="J1397" s="1446"/>
      <c r="K1397" s="1452"/>
      <c r="N1397" s="611" t="str">
        <f>"CPTE # "&amp;Page5_CAD_VE!$E$43&amp;"  "&amp;Page5_CAD_VE!$C$43&amp;" - UNITÉS - AAD"</f>
        <v>CPTE # 438G  NE PAS UTILISER - UNITÉS - AAD</v>
      </c>
      <c r="O1397" s="611" t="str">
        <f t="shared" si="192"/>
        <v/>
      </c>
      <c r="P1397" s="611" t="str">
        <f t="shared" si="186"/>
        <v>Page5_CAD_VE!K</v>
      </c>
      <c r="Q1397" s="611">
        <f t="shared" si="187"/>
        <v>43</v>
      </c>
      <c r="R1397" s="1447">
        <f t="shared" ca="1" si="188"/>
        <v>0</v>
      </c>
      <c r="S1397" s="1447">
        <f t="shared" ca="1" si="189"/>
        <v>0</v>
      </c>
      <c r="V1397" s="2557" t="str">
        <f t="shared" ca="1" si="191"/>
        <v/>
      </c>
      <c r="W1397" s="611" t="str">
        <f t="shared" ca="1" si="190"/>
        <v>Page5_CAD_VE, Ligne 40 [Page5_CAD_VE!K43]  -</v>
      </c>
    </row>
    <row r="1398" spans="1:23">
      <c r="A1398" s="1443" t="str">
        <f>celladdr(Page5_CAD_VE!K44)</f>
        <v>Page5_CAD_VE!K44</v>
      </c>
      <c r="B1398" s="1444" t="s">
        <v>1086</v>
      </c>
      <c r="C1398" s="1451"/>
      <c r="D1398" s="1454"/>
      <c r="E1398" s="1454"/>
      <c r="F1398" s="1454"/>
      <c r="G1398" s="1444" t="str">
        <f t="shared" si="185"/>
        <v/>
      </c>
      <c r="H1398" s="1447" t="str">
        <f>IF(C1398=TRUE,Comments!$B$26,"")</f>
        <v/>
      </c>
      <c r="I1398" s="1446" t="str">
        <f>IF(D1398=TRUE,Comments!$B$21,"")</f>
        <v/>
      </c>
      <c r="J1398" s="1446"/>
      <c r="K1398" s="1452"/>
      <c r="O1398" s="611" t="str">
        <f t="shared" si="192"/>
        <v/>
      </c>
      <c r="P1398" s="611" t="str">
        <f t="shared" si="186"/>
        <v>Page5_CAD_VE!K</v>
      </c>
      <c r="Q1398" s="611">
        <f t="shared" si="187"/>
        <v>44</v>
      </c>
      <c r="R1398" s="1447">
        <f t="shared" ca="1" si="188"/>
        <v>0</v>
      </c>
      <c r="S1398" s="1447">
        <f t="shared" ca="1" si="189"/>
        <v>0</v>
      </c>
      <c r="V1398" s="2557" t="str">
        <f t="shared" ca="1" si="191"/>
        <v/>
      </c>
      <c r="W1398" s="611" t="str">
        <f t="shared" ca="1" si="190"/>
        <v>Page5_CAD_VE, Ligne 41 [Page5_CAD_VE!K44]  -</v>
      </c>
    </row>
    <row r="1399" spans="1:23">
      <c r="A1399" s="1443" t="str">
        <f>celladdr(Page5_CAD_VE!K45)</f>
        <v>Page5_CAD_VE!K45</v>
      </c>
      <c r="B1399" s="1464" t="s">
        <v>1086</v>
      </c>
      <c r="C1399" s="1451" t="b">
        <f>Page5_CAD_VE!$K$45&lt;0</f>
        <v>0</v>
      </c>
      <c r="D1399" s="1454" t="b">
        <f>OR(AND(Page5_CAD_VE!$K45&gt;0,Page5_CAD_VE!$M45=0),AND(Page5_CAD_VE!$M45&lt;&gt;0,Page5_CAD_VE!$K45=0))</f>
        <v>0</v>
      </c>
      <c r="E1399" s="1454"/>
      <c r="F1399" s="1454"/>
      <c r="G1399" s="1444" t="str">
        <f t="shared" si="185"/>
        <v/>
      </c>
      <c r="H1399" s="1447" t="str">
        <f>IF(C1399=TRUE,Comments!$B$26,"")</f>
        <v/>
      </c>
      <c r="I1399" s="1446" t="str">
        <f>IF(D1399=TRUE,Comments!$B$21,"")</f>
        <v/>
      </c>
      <c r="J1399" s="1446"/>
      <c r="K1399" s="1452"/>
      <c r="N1399" s="611" t="str">
        <f>"CPTE # "&amp;Page5_CAD_VE!$E$45&amp;"  "&amp;Page5_CAD_VE!$C$45&amp;" - UNITÉS - AAD"</f>
        <v>CPTE # 439G  MÉMO* VENTES INTERNET CAMIONS - UNITÉS - AAD</v>
      </c>
      <c r="O1399" s="611" t="str">
        <f t="shared" si="192"/>
        <v/>
      </c>
      <c r="P1399" s="611" t="str">
        <f t="shared" si="186"/>
        <v>Page5_CAD_VE!K</v>
      </c>
      <c r="Q1399" s="611">
        <f t="shared" si="187"/>
        <v>45</v>
      </c>
      <c r="R1399" s="1447">
        <f t="shared" ca="1" si="188"/>
        <v>0</v>
      </c>
      <c r="S1399" s="1447">
        <f t="shared" ca="1" si="189"/>
        <v>0</v>
      </c>
      <c r="V1399" s="2557" t="str">
        <f t="shared" ca="1" si="191"/>
        <v/>
      </c>
      <c r="W1399" s="611" t="str">
        <f t="shared" ca="1" si="190"/>
        <v>Page5_CAD_VE, Ligne 42 [Page5_CAD_VE!K45]  -</v>
      </c>
    </row>
    <row r="1400" spans="1:23">
      <c r="A1400" s="1443" t="str">
        <f>celladdr(Page5_CAD_VE!K46)</f>
        <v>Page5_CAD_VE!K46</v>
      </c>
      <c r="B1400" s="1464" t="s">
        <v>1086</v>
      </c>
      <c r="C1400" s="1451" t="b">
        <f>Page5_CAD_VE!$K$46&lt;0</f>
        <v>0</v>
      </c>
      <c r="D1400" s="1454" t="b">
        <f>OR(AND(Page5_CAD_VE!$K46&gt;0,Page5_CAD_VE!$M46=0),AND(Page5_CAD_VE!$M46&lt;&gt;0,Page5_CAD_VE!$K46=0))</f>
        <v>0</v>
      </c>
      <c r="E1400" s="1454" t="b">
        <f>ROUND(Page5_BUI_VE!K46+ Page5_CAD_VE!K46,2)&lt;&gt;ROUND(Page5_PARCS_GOUV!K13+Page5_PARCS_GOUV!K15+Page5_PARCS_GOUV!K17+Page5_PARCS_GOUV!K49+Page5_PARCS_GOUV!K51+Page5_PARCS_GOUV!K53,2)</f>
        <v>0</v>
      </c>
      <c r="F1400" s="1454"/>
      <c r="G1400" s="1444" t="str">
        <f t="shared" si="185"/>
        <v/>
      </c>
      <c r="H1400" s="1447" t="str">
        <f>IF(C1400=TRUE,Comments!$B$26,"")</f>
        <v/>
      </c>
      <c r="I1400" s="1446" t="str">
        <f>IF(D1400=TRUE,Comments!$B$21,"")</f>
        <v/>
      </c>
      <c r="J1400" s="1446" t="str">
        <f>IF(E1400=TRUE, Comments!$B$100,"")</f>
        <v/>
      </c>
      <c r="K1400" s="1452"/>
      <c r="N1400" s="611" t="str">
        <f>"CPTE # "&amp;Page5_CAD_VE!$E$46&amp;"  "&amp;Page5_CAD_VE!$C$46&amp;" - UNITÉS - AAD"</f>
        <v>CPTE # DE PG PARCS  TOTAL PARCS - CAMIONS - UNITÉS - AAD</v>
      </c>
      <c r="O1400" s="611" t="str">
        <f t="shared" si="192"/>
        <v/>
      </c>
      <c r="P1400" s="611" t="str">
        <f t="shared" si="186"/>
        <v>Page5_CAD_VE!K</v>
      </c>
      <c r="Q1400" s="611">
        <f t="shared" si="187"/>
        <v>46</v>
      </c>
      <c r="R1400" s="1447">
        <f t="shared" ca="1" si="188"/>
        <v>0</v>
      </c>
      <c r="S1400" s="1447">
        <f t="shared" ca="1" si="189"/>
        <v>0</v>
      </c>
      <c r="T1400" s="611">
        <v>100</v>
      </c>
      <c r="V1400" s="2557" t="str">
        <f t="shared" ca="1" si="191"/>
        <v/>
      </c>
      <c r="W1400" s="611" t="str">
        <f t="shared" ca="1" si="190"/>
        <v>Page5_CAD_VE, Ligne 43 [Page5_CAD_VE!K46]  -</v>
      </c>
    </row>
    <row r="1401" spans="1:23">
      <c r="A1401" s="1443" t="str">
        <f>celladdr(Page5_CAD_VE!K47)</f>
        <v>Page5_CAD_VE!K47</v>
      </c>
      <c r="B1401" s="1464" t="s">
        <v>1086</v>
      </c>
      <c r="C1401" s="1451" t="b">
        <f>Page5_CAD_VE!$K$47&lt;0</f>
        <v>0</v>
      </c>
      <c r="D1401" s="1454" t="b">
        <f>OR(AND(Page5_CAD_VE!$K47&gt;0,Page5_CAD_VE!$M47=0),AND(Page5_CAD_VE!$M47&lt;&gt;0,Page5_CAD_VE!$K47=0))</f>
        <v>0</v>
      </c>
      <c r="E1401" s="1454"/>
      <c r="F1401" s="1454"/>
      <c r="G1401" s="1444" t="str">
        <f t="shared" si="185"/>
        <v/>
      </c>
      <c r="H1401" s="1447" t="str">
        <f>IF(C1401=TRUE,Comments!$B$26,"")</f>
        <v/>
      </c>
      <c r="I1401" s="1446" t="str">
        <f>IF(D1401=TRUE,Comments!$B$21,"")</f>
        <v/>
      </c>
      <c r="J1401" s="1446"/>
      <c r="K1401" s="1452"/>
      <c r="N1401" s="611" t="str">
        <f>"CPTE # "&amp;Page5_CAD_VE!$E$47&amp;"  "&amp;Page5_CAD_VE!$C$47&amp;" - UNITÉS - AAD"</f>
        <v>CPTE # 441G  TOTAL IINTERNE - CAMIONS  - UNITÉS - AAD</v>
      </c>
      <c r="O1401" s="611" t="str">
        <f t="shared" ref="O1401:O1427" si="193">IF(A1401=A1400,"TRUE","")</f>
        <v/>
      </c>
      <c r="P1401" s="611" t="str">
        <f t="shared" si="186"/>
        <v>Page5_CAD_VE!K</v>
      </c>
      <c r="Q1401" s="611">
        <f t="shared" si="187"/>
        <v>47</v>
      </c>
      <c r="R1401" s="1447">
        <f t="shared" ca="1" si="188"/>
        <v>0</v>
      </c>
      <c r="S1401" s="1447">
        <f t="shared" ca="1" si="189"/>
        <v>0</v>
      </c>
      <c r="V1401" s="2557" t="str">
        <f t="shared" ca="1" si="191"/>
        <v/>
      </c>
      <c r="W1401" s="611" t="str">
        <f t="shared" ca="1" si="190"/>
        <v>Page5_CAD_VE, Ligne 44 [Page5_CAD_VE!K47]  -</v>
      </c>
    </row>
    <row r="1402" spans="1:23">
      <c r="A1402" s="1443" t="str">
        <f>celladdr(Page5_CAD_VE!K48)</f>
        <v>Page5_CAD_VE!K48</v>
      </c>
      <c r="B1402" s="1444" t="s">
        <v>1086</v>
      </c>
      <c r="C1402" s="1451"/>
      <c r="D1402" s="1454"/>
      <c r="E1402" s="1454"/>
      <c r="F1402" s="1454"/>
      <c r="G1402" s="1444" t="str">
        <f t="shared" si="185"/>
        <v/>
      </c>
      <c r="H1402" s="1447" t="str">
        <f>IF(C1402=TRUE,Comments!$B$26,"")</f>
        <v/>
      </c>
      <c r="I1402" s="1446" t="str">
        <f>IF(D1402=TRUE,Comments!$B$21,"")</f>
        <v/>
      </c>
      <c r="J1402" s="1446"/>
      <c r="K1402" s="1452"/>
      <c r="O1402" s="611" t="str">
        <f t="shared" si="193"/>
        <v/>
      </c>
      <c r="P1402" s="611" t="str">
        <f t="shared" si="186"/>
        <v>Page5_CAD_VE!K</v>
      </c>
      <c r="Q1402" s="611">
        <f t="shared" si="187"/>
        <v>48</v>
      </c>
      <c r="R1402" s="1447">
        <f t="shared" ca="1" si="188"/>
        <v>0</v>
      </c>
      <c r="S1402" s="1447">
        <f t="shared" ca="1" si="189"/>
        <v>0</v>
      </c>
      <c r="V1402" s="2557" t="str">
        <f t="shared" ca="1" si="191"/>
        <v/>
      </c>
      <c r="W1402" s="611" t="str">
        <f t="shared" ca="1" si="190"/>
        <v>Page5_CAD_VE, Ligne 45 [Page5_CAD_VE!K48]  -</v>
      </c>
    </row>
    <row r="1403" spans="1:23">
      <c r="A1403" s="1443" t="str">
        <f>celladdr(Page5_CAD_VE!K49)</f>
        <v>Page5_CAD_VE!K49</v>
      </c>
      <c r="B1403" s="1464" t="s">
        <v>1086</v>
      </c>
      <c r="C1403" s="1451"/>
      <c r="D1403" s="1454" t="b">
        <f>OR(AND(Page5_CAD_VE!$K49&gt;0,Page5_CAD_VE!$M49=0),AND(Page5_CAD_VE!$M49&lt;&gt;0,Page5_CAD_VE!$K49=0))</f>
        <v>0</v>
      </c>
      <c r="E1403" s="1454"/>
      <c r="F1403" s="1454"/>
      <c r="G1403" s="1444" t="str">
        <f t="shared" si="185"/>
        <v/>
      </c>
      <c r="I1403" s="1446" t="str">
        <f>IF(D1403=TRUE,Comments!$B$24,"")</f>
        <v/>
      </c>
      <c r="J1403" s="1446"/>
      <c r="K1403" s="1452"/>
      <c r="N1403" s="611" t="str">
        <f>"CPTE # "&amp;Page5_CAD_VE!$E$49&amp;"  "&amp;Page5_CAD_VE!$C$49&amp;" - UNITÉS - AAD"</f>
        <v>CPTE #      - UNITÉS - AAD</v>
      </c>
      <c r="O1403" s="611" t="str">
        <f t="shared" si="193"/>
        <v/>
      </c>
      <c r="P1403" s="611" t="str">
        <f t="shared" si="186"/>
        <v>Page5_CAD_VE!K</v>
      </c>
      <c r="Q1403" s="611">
        <f t="shared" si="187"/>
        <v>49</v>
      </c>
      <c r="R1403" s="1447">
        <f t="shared" ca="1" si="188"/>
        <v>0</v>
      </c>
      <c r="S1403" s="1447">
        <f t="shared" ca="1" si="189"/>
        <v>0</v>
      </c>
      <c r="V1403" s="2557" t="str">
        <f t="shared" ca="1" si="191"/>
        <v/>
      </c>
      <c r="W1403" s="611" t="str">
        <f t="shared" ca="1" si="190"/>
        <v>Page5_CAD_VE, Ligne 46 [Page5_CAD_VE!K49]  -</v>
      </c>
    </row>
    <row r="1404" spans="1:23">
      <c r="A1404" s="1443" t="str">
        <f>celladdr(Page5_CAD_VE!K50)</f>
        <v>Page5_CAD_VE!K50</v>
      </c>
      <c r="B1404" s="1464" t="s">
        <v>1086</v>
      </c>
      <c r="C1404" s="1451"/>
      <c r="D1404" s="1454" t="b">
        <f>OR(AND(Page5_CAD_VE!$K50&gt;0,Page5_CAD_VE!$M50=0),AND(Page5_CAD_VE!$M50&lt;&gt;0,Page5_CAD_VE!$K50=0))</f>
        <v>0</v>
      </c>
      <c r="E1404" s="1454"/>
      <c r="F1404" s="1454"/>
      <c r="G1404" s="1444" t="str">
        <f t="shared" si="185"/>
        <v/>
      </c>
      <c r="I1404" s="1446" t="str">
        <f>IF(D1404=TRUE,Comments!$B$21,"")</f>
        <v/>
      </c>
      <c r="J1404" s="1446"/>
      <c r="K1404" s="1452"/>
      <c r="N1404" s="611" t="str">
        <f>"CPTE # "&amp;Page5_CAD_VE!$E$50&amp;"  "&amp;Page5_CAD_VE!$C$50&amp;" - UNITÉS - AAD"</f>
        <v>CPTE # 457G  ACCESSOIRES - UNITÉS - AAD</v>
      </c>
      <c r="O1404" s="611" t="str">
        <f t="shared" si="193"/>
        <v/>
      </c>
      <c r="P1404" s="611" t="str">
        <f t="shared" si="186"/>
        <v>Page5_CAD_VE!K</v>
      </c>
      <c r="Q1404" s="611">
        <f t="shared" si="187"/>
        <v>50</v>
      </c>
      <c r="R1404" s="1447">
        <f t="shared" ca="1" si="188"/>
        <v>0</v>
      </c>
      <c r="S1404" s="1447">
        <f t="shared" ca="1" si="189"/>
        <v>0</v>
      </c>
      <c r="V1404" s="2557" t="str">
        <f t="shared" ca="1" si="191"/>
        <v/>
      </c>
      <c r="W1404" s="611" t="str">
        <f t="shared" ca="1" si="190"/>
        <v>Page5_CAD_VE, Ligne 47 [Page5_CAD_VE!K50]  -</v>
      </c>
    </row>
    <row r="1405" spans="1:23">
      <c r="A1405" s="1443" t="str">
        <f>celladdr(Page5_CAD_VE!K51)</f>
        <v>Page5_CAD_VE!K51</v>
      </c>
      <c r="B1405" s="1453" t="s">
        <v>1086</v>
      </c>
      <c r="C1405" s="1445" t="b">
        <f>Page5_CAD_VE!$K$51&lt;&gt;Page5_CAD_VE!$K$48+Page5_CAD_VE!$K$27</f>
        <v>0</v>
      </c>
      <c r="D1405" s="1454"/>
      <c r="F1405" s="1454"/>
      <c r="G1405" s="1444" t="str">
        <f t="shared" si="185"/>
        <v/>
      </c>
      <c r="H1405" s="1446" t="str">
        <f>IF(C1405=TRUE,Comments!$B$38&amp;Page5_CAD_VE!$K$51-(Page5_CAD_VE!$K$48+Page5_CAD_VE!$K$27),"")</f>
        <v/>
      </c>
      <c r="I1405" s="1452"/>
      <c r="J1405" s="1452"/>
      <c r="K1405" s="1452"/>
      <c r="N1405" s="611" t="str">
        <f>Page5_CAD_VE!$B$1&amp;" TOTAL VÉHICULES NEUFS  - UNITÉS - AAD"</f>
        <v>CADILLAC - VE TOTAL VÉHICULES NEUFS  - UNITÉS - AAD</v>
      </c>
      <c r="O1405" s="611" t="str">
        <f t="shared" si="193"/>
        <v/>
      </c>
      <c r="P1405" s="611" t="str">
        <f t="shared" si="186"/>
        <v>Page5_CAD_VE!K</v>
      </c>
      <c r="Q1405" s="611">
        <f t="shared" si="187"/>
        <v>51</v>
      </c>
      <c r="R1405" s="1447">
        <f t="shared" ca="1" si="188"/>
        <v>0</v>
      </c>
      <c r="S1405" s="1447">
        <f t="shared" ca="1" si="189"/>
        <v>0</v>
      </c>
      <c r="V1405" s="2557" t="str">
        <f t="shared" ca="1" si="191"/>
        <v/>
      </c>
      <c r="W1405" s="611" t="str">
        <f t="shared" ca="1" si="190"/>
        <v>Page5_CAD_VE, Ligne 48 [Page5_CAD_VE!K51]  -</v>
      </c>
    </row>
    <row r="1406" spans="1:23">
      <c r="A1406" s="1443" t="str">
        <f>celladdr(Page5_CAD_VE!L4)</f>
        <v>Page5_CAD_VE!L4</v>
      </c>
      <c r="B1406" s="1456" t="s">
        <v>1086</v>
      </c>
      <c r="C1406" s="1451" t="b">
        <f>Page5_CAD_VE!$L$4&lt;0</f>
        <v>0</v>
      </c>
      <c r="D1406" s="1454" t="b">
        <f>OR(AND(Page5_CAD_VE!$L4&lt;&gt;0,Page5_CAD_VE!$M4=0),AND(Page5_CAD_VE!$M4&lt;&gt;0,Page5_CAD_VE!$L4=0))</f>
        <v>0</v>
      </c>
      <c r="E1406" s="1454"/>
      <c r="F1406" s="1454"/>
      <c r="G1406" s="1444" t="str">
        <f t="shared" si="185"/>
        <v/>
      </c>
      <c r="H1406" s="1447" t="str">
        <f>IF(C1406=TRUE,Comments!$B$23,"")</f>
        <v/>
      </c>
      <c r="I1406" s="1446" t="str">
        <f>IF(D1406=TRUE,Comments!$B$24,"")</f>
        <v/>
      </c>
      <c r="J1406" s="1446"/>
      <c r="K1406" s="1452"/>
      <c r="N1406" s="611" t="str">
        <f>"CPTE # "&amp;Page5_CAD_VE!$E$4&amp;"  "&amp;Page5_CAD_VE!$C$4&amp;" - CHIFFRE D'AFFAIRES RÉALISÉ - AAD"</f>
        <v>CPTE # 400G  CELESTIQ - CHIFFRE D'AFFAIRES RÉALISÉ - AAD</v>
      </c>
      <c r="O1406" s="611" t="str">
        <f t="shared" si="193"/>
        <v/>
      </c>
      <c r="P1406" s="611" t="str">
        <f t="shared" si="186"/>
        <v>Page5_CAD_VE!L</v>
      </c>
      <c r="Q1406" s="611">
        <f t="shared" si="187"/>
        <v>4</v>
      </c>
      <c r="R1406" s="1447">
        <f t="shared" ca="1" si="188"/>
        <v>0</v>
      </c>
      <c r="S1406" s="1447">
        <f t="shared" ca="1" si="189"/>
        <v>0</v>
      </c>
      <c r="V1406" s="2557" t="str">
        <f t="shared" ca="1" si="191"/>
        <v/>
      </c>
      <c r="W1406" s="611" t="str">
        <f t="shared" ca="1" si="190"/>
        <v>Page5_CAD_VE, Ligne 1 [Page5_CAD_VE!L4]  -</v>
      </c>
    </row>
    <row r="1407" spans="1:23">
      <c r="A1407" s="1443" t="str">
        <f>celladdr(Page5_CAD_VE!L5)</f>
        <v>Page5_CAD_VE!L5</v>
      </c>
      <c r="B1407" s="1456" t="s">
        <v>1086</v>
      </c>
      <c r="C1407" s="1451" t="b">
        <f>Page5_CAD_VE!$L$5&lt;0</f>
        <v>0</v>
      </c>
      <c r="D1407" s="1454" t="b">
        <f>OR(AND(Page5_CAD_VE!$L5&lt;&gt;0,Page5_CAD_VE!$M5=0),AND(Page5_CAD_VE!$M5&lt;&gt;0,Page5_CAD_VE!$L5=0))</f>
        <v>0</v>
      </c>
      <c r="E1407" s="1454"/>
      <c r="F1407" s="1454"/>
      <c r="G1407" s="1444" t="str">
        <f t="shared" si="185"/>
        <v/>
      </c>
      <c r="H1407" s="1447" t="str">
        <f>IF(C1407=TRUE,Comments!$B$23,"")</f>
        <v/>
      </c>
      <c r="I1407" s="1446" t="str">
        <f>IF(D1407=TRUE,Comments!$B$24,"")</f>
        <v/>
      </c>
      <c r="J1407" s="1446"/>
      <c r="K1407" s="1452"/>
      <c r="N1407" s="611" t="str">
        <f>"CPTE # "&amp;Page5_CAD_VE!$E$5&amp;"  "&amp;Page5_CAD_VE!$C$5&amp;" - CHIFFRE D'AFFAIRES RÉALISÉ - AAD"</f>
        <v>CPTE # 401G  NE PAS UTILISER - CHIFFRE D'AFFAIRES RÉALISÉ - AAD</v>
      </c>
      <c r="O1407" s="611" t="str">
        <f t="shared" si="193"/>
        <v/>
      </c>
      <c r="P1407" s="611" t="str">
        <f t="shared" si="186"/>
        <v>Page5_CAD_VE!L</v>
      </c>
      <c r="Q1407" s="611">
        <f t="shared" si="187"/>
        <v>5</v>
      </c>
      <c r="R1407" s="1447">
        <f t="shared" ca="1" si="188"/>
        <v>0</v>
      </c>
      <c r="S1407" s="1447">
        <f t="shared" ca="1" si="189"/>
        <v>0</v>
      </c>
      <c r="V1407" s="2557" t="str">
        <f t="shared" ca="1" si="191"/>
        <v/>
      </c>
      <c r="W1407" s="611" t="str">
        <f t="shared" ca="1" si="190"/>
        <v>Page5_CAD_VE, Ligne 2 [Page5_CAD_VE!L5]  -</v>
      </c>
    </row>
    <row r="1408" spans="1:23">
      <c r="A1408" s="1443" t="str">
        <f>celladdr(Page5_CAD_VE!L6)</f>
        <v>Page5_CAD_VE!L6</v>
      </c>
      <c r="B1408" s="1456" t="s">
        <v>1086</v>
      </c>
      <c r="C1408" s="1451" t="b">
        <f>Page5_CAD_VE!$L$6&lt;0</f>
        <v>0</v>
      </c>
      <c r="D1408" s="1454" t="b">
        <f>OR(AND(Page5_CAD_VE!$L6&lt;&gt;0,Page5_CAD_VE!$M6=0),AND(Page5_CAD_VE!$M6&lt;&gt;0,Page5_CAD_VE!$L6=0))</f>
        <v>0</v>
      </c>
      <c r="E1408" s="1454"/>
      <c r="F1408" s="1454"/>
      <c r="G1408" s="1444" t="str">
        <f t="shared" si="185"/>
        <v/>
      </c>
      <c r="H1408" s="1447" t="str">
        <f>IF(C1408=TRUE,Comments!$B$23,"")</f>
        <v/>
      </c>
      <c r="I1408" s="1446" t="str">
        <f>IF(D1408=TRUE,Comments!$B$24,"")</f>
        <v/>
      </c>
      <c r="J1408" s="1446"/>
      <c r="K1408" s="1452"/>
      <c r="N1408" s="611" t="str">
        <f>"CPTE # "&amp;Page5_CAD_VE!$E$6&amp;"  "&amp;Page5_CAD_VE!$C$6&amp;" - CHIFFRE D'AFFAIRES RÉALISÉ - AAD"</f>
        <v>CPTE # 402G  NE PAS UTILISER - CHIFFRE D'AFFAIRES RÉALISÉ - AAD</v>
      </c>
      <c r="O1408" s="611" t="str">
        <f t="shared" si="193"/>
        <v/>
      </c>
      <c r="P1408" s="611" t="str">
        <f t="shared" si="186"/>
        <v>Page5_CAD_VE!L</v>
      </c>
      <c r="Q1408" s="611">
        <f t="shared" si="187"/>
        <v>6</v>
      </c>
      <c r="R1408" s="1447">
        <f t="shared" ca="1" si="188"/>
        <v>0</v>
      </c>
      <c r="S1408" s="1447">
        <f t="shared" ca="1" si="189"/>
        <v>0</v>
      </c>
      <c r="V1408" s="2557" t="str">
        <f t="shared" ca="1" si="191"/>
        <v/>
      </c>
      <c r="W1408" s="611" t="str">
        <f t="shared" ca="1" si="190"/>
        <v>Page5_CAD_VE, Ligne 3 [Page5_CAD_VE!L6]  -</v>
      </c>
    </row>
    <row r="1409" spans="1:23">
      <c r="A1409" s="1443" t="str">
        <f>celladdr(Page5_CAD_VE!L7)</f>
        <v>Page5_CAD_VE!L7</v>
      </c>
      <c r="B1409" s="1456" t="s">
        <v>1086</v>
      </c>
      <c r="C1409" s="1451" t="b">
        <f>Page5_CAD_VE!$L$7&lt;0</f>
        <v>0</v>
      </c>
      <c r="D1409" s="1454" t="b">
        <f>OR(AND(Page5_CAD_VE!$L7&lt;&gt;0,Page5_CAD_VE!$M7=0),AND(Page5_CAD_VE!$M7&lt;&gt;0,Page5_CAD_VE!$L7=0))</f>
        <v>0</v>
      </c>
      <c r="E1409" s="1454"/>
      <c r="F1409" s="1454"/>
      <c r="G1409" s="1444" t="str">
        <f t="shared" si="185"/>
        <v/>
      </c>
      <c r="H1409" s="1447" t="str">
        <f>IF(C1409=TRUE,Comments!$B$23,"")</f>
        <v/>
      </c>
      <c r="I1409" s="1446" t="str">
        <f>IF(D1409=TRUE,Comments!$B$24,"")</f>
        <v/>
      </c>
      <c r="J1409" s="1446"/>
      <c r="K1409" s="1452"/>
      <c r="N1409" s="611" t="str">
        <f>"CPTE # "&amp;Page5_CAD_VE!$E$7&amp;"  "&amp;Page5_CAD_VE!$C$7&amp;" - CHIFFRE D'AFFAIRES RÉALISÉ - AAD"</f>
        <v>CPTE # 403G  NE PAS UTILISER - CHIFFRE D'AFFAIRES RÉALISÉ - AAD</v>
      </c>
      <c r="O1409" s="611" t="str">
        <f t="shared" si="193"/>
        <v/>
      </c>
      <c r="P1409" s="611" t="str">
        <f t="shared" si="186"/>
        <v>Page5_CAD_VE!L</v>
      </c>
      <c r="Q1409" s="611">
        <f t="shared" si="187"/>
        <v>7</v>
      </c>
      <c r="R1409" s="1447">
        <f t="shared" ca="1" si="188"/>
        <v>0</v>
      </c>
      <c r="S1409" s="1447">
        <f t="shared" ca="1" si="189"/>
        <v>0</v>
      </c>
      <c r="V1409" s="2557" t="str">
        <f t="shared" ca="1" si="191"/>
        <v/>
      </c>
      <c r="W1409" s="611" t="str">
        <f t="shared" ca="1" si="190"/>
        <v>Page5_CAD_VE, Ligne 4 [Page5_CAD_VE!L7]  -</v>
      </c>
    </row>
    <row r="1410" spans="1:23">
      <c r="A1410" s="1443" t="str">
        <f>celladdr(Page5_CAD_VE!L8)</f>
        <v>Page5_CAD_VE!L8</v>
      </c>
      <c r="B1410" s="1456" t="s">
        <v>1086</v>
      </c>
      <c r="C1410" s="1451" t="b">
        <f>Page5_CAD_VE!$L$8&lt;0</f>
        <v>0</v>
      </c>
      <c r="D1410" s="1454" t="b">
        <f>OR(AND(Page5_CAD_VE!$L8&lt;&gt;0,Page5_CAD_VE!$M8=0),AND(Page5_CAD_VE!$M8&lt;&gt;0,Page5_CAD_VE!$L8=0))</f>
        <v>0</v>
      </c>
      <c r="E1410" s="1454"/>
      <c r="F1410" s="1454"/>
      <c r="G1410" s="1444" t="str">
        <f t="shared" ref="G1410:G1473" si="194">IF(H1410&amp;I1410&amp;J1410&amp;K1410&lt;&gt;"","No.de ref. du commentaire.: "&amp;W1410&amp;" "&amp;N1410&amp;" "&amp;H1410&amp;I1410&amp;IF(OR(C1410=TRUE,D1410=TRUE),"",J1410&amp;K1410&amp;V1410),"")</f>
        <v/>
      </c>
      <c r="H1410" s="1447" t="str">
        <f>IF(C1410=TRUE,Comments!$B$23,"")</f>
        <v/>
      </c>
      <c r="I1410" s="1446" t="str">
        <f>IF(D1410=TRUE,Comments!$B$24,"")</f>
        <v/>
      </c>
      <c r="J1410" s="1446"/>
      <c r="K1410" s="1452"/>
      <c r="N1410" s="611" t="str">
        <f>"CPTE # "&amp;Page5_CAD_VE!$E$8&amp;"  "&amp;Page5_CAD_VE!$C$8&amp;" - CHIFFRE D'AFFAIRES RÉALISÉ - AAD"</f>
        <v>CPTE # 404G  NE PAS UTILISER - CHIFFRE D'AFFAIRES RÉALISÉ - AAD</v>
      </c>
      <c r="O1410" s="611" t="str">
        <f t="shared" si="193"/>
        <v/>
      </c>
      <c r="P1410" s="611" t="str">
        <f t="shared" ref="P1410:P1473" si="195">LEFT(A1410,FIND("!",A1410)+1)</f>
        <v>Page5_CAD_VE!L</v>
      </c>
      <c r="Q1410" s="611">
        <f t="shared" ref="Q1410:Q1473" si="196">VALUE(RIGHT(A1410,LEN(A1410)-FIND("!",A1410)-1))</f>
        <v>8</v>
      </c>
      <c r="R1410" s="1447">
        <f t="shared" ref="R1410:R1473" ca="1" si="197">IF(E1410=TRUE,INDIRECT("Comments!$D$"&amp;T1410),0)</f>
        <v>0</v>
      </c>
      <c r="S1410" s="1447">
        <f t="shared" ref="S1410:S1473" ca="1" si="198">IF(F1410=TRUE,INDIRECT("Comments!$D$"&amp;U1410),0)</f>
        <v>0</v>
      </c>
      <c r="V1410" s="2557" t="str">
        <f t="shared" ca="1" si="191"/>
        <v/>
      </c>
      <c r="W1410" s="611" t="str">
        <f t="shared" ref="W1410:W1473" ca="1" si="199">LEFT(A1410,FIND("!",A1410,1)-1)&amp;", Ligne "&amp;INDIRECT(ADDRESS(ROW(INDIRECT(A1410)),IF(INDIRECT(ADDRESS(ROW(INDIRECT(A1410)),1,,,LEFT(A1410,FIND("!",A1410,1)-1)))="",2,1),,,LEFT(A1410,FIND("!",A1410,1)-1)))&amp;" ["&amp;A1410&amp;"] "&amp;" -"</f>
        <v>Page5_CAD_VE, Ligne 5 [Page5_CAD_VE!L8]  -</v>
      </c>
    </row>
    <row r="1411" spans="1:23">
      <c r="A1411" s="1443" t="str">
        <f>celladdr(Page5_CAD_VE!L9)</f>
        <v>Page5_CAD_VE!L9</v>
      </c>
      <c r="B1411" s="1456" t="s">
        <v>1086</v>
      </c>
      <c r="C1411" s="1451" t="b">
        <f>Page5_CAD_VE!$L$9&lt;0</f>
        <v>0</v>
      </c>
      <c r="D1411" s="1454" t="b">
        <f>OR(AND(Page5_CAD_VE!$L9&lt;&gt;0,Page5_CAD_VE!$M9=0),AND(Page5_CAD_VE!$M9&lt;&gt;0,Page5_CAD_VE!$L9=0))</f>
        <v>0</v>
      </c>
      <c r="E1411" s="1454"/>
      <c r="F1411" s="1454"/>
      <c r="G1411" s="1444" t="str">
        <f t="shared" si="194"/>
        <v/>
      </c>
      <c r="H1411" s="1447" t="str">
        <f>IF(C1411=TRUE,Comments!$B$23,"")</f>
        <v/>
      </c>
      <c r="I1411" s="1446" t="str">
        <f>IF(D1411=TRUE,Comments!$B$24,"")</f>
        <v/>
      </c>
      <c r="J1411" s="1446"/>
      <c r="K1411" s="1452"/>
      <c r="N1411" s="611" t="str">
        <f>"CPTE # "&amp;Page5_CAD_VE!$E$9&amp;"  "&amp;Page5_CAD_VE!$C$9&amp;" - CHIFFRE D'AFFAIRES RÉALISÉ - AAD"</f>
        <v>CPTE # 405G  NE PAS UTILISER - CHIFFRE D'AFFAIRES RÉALISÉ - AAD</v>
      </c>
      <c r="O1411" s="611" t="str">
        <f t="shared" si="193"/>
        <v/>
      </c>
      <c r="P1411" s="611" t="str">
        <f t="shared" si="195"/>
        <v>Page5_CAD_VE!L</v>
      </c>
      <c r="Q1411" s="611">
        <f t="shared" si="196"/>
        <v>9</v>
      </c>
      <c r="R1411" s="1447">
        <f t="shared" ca="1" si="197"/>
        <v>0</v>
      </c>
      <c r="S1411" s="1447">
        <f t="shared" ca="1" si="198"/>
        <v>0</v>
      </c>
      <c r="V1411" s="2557" t="str">
        <f t="shared" ca="1" si="191"/>
        <v/>
      </c>
      <c r="W1411" s="611" t="str">
        <f t="shared" ca="1" si="199"/>
        <v>Page5_CAD_VE, Ligne 6 [Page5_CAD_VE!L9]  -</v>
      </c>
    </row>
    <row r="1412" spans="1:23">
      <c r="A1412" s="1443" t="str">
        <f>celladdr(Page5_CAD_VE!L10)</f>
        <v>Page5_CAD_VE!L10</v>
      </c>
      <c r="B1412" s="1456" t="s">
        <v>1086</v>
      </c>
      <c r="C1412" s="1451" t="b">
        <f>Page5_CAD_VE!$L$10&lt;0</f>
        <v>0</v>
      </c>
      <c r="D1412" s="1454" t="b">
        <f>OR(AND(Page5_CAD_VE!$L10&lt;&gt;0,Page5_CAD_VE!$M10=0),AND(Page5_CAD_VE!$M10&lt;&gt;0,Page5_CAD_VE!$L10=0))</f>
        <v>0</v>
      </c>
      <c r="E1412" s="1454"/>
      <c r="F1412" s="1454"/>
      <c r="G1412" s="1444" t="str">
        <f t="shared" si="194"/>
        <v/>
      </c>
      <c r="H1412" s="1447" t="str">
        <f>IF(C1412=TRUE,Comments!$B$23,"")</f>
        <v/>
      </c>
      <c r="I1412" s="1446" t="str">
        <f>IF(D1412=TRUE,Comments!$B$24,"")</f>
        <v/>
      </c>
      <c r="J1412" s="1446"/>
      <c r="K1412" s="1452"/>
      <c r="N1412" s="611" t="str">
        <f>"CPTE # "&amp;Page5_CAD_VE!$E$10&amp;"  "&amp;Page5_CAD_VE!$C$10&amp;" - CHIFFRE D'AFFAIRES RÉALISÉ - AAD"</f>
        <v>CPTE # 406G  NE PAS UTILISER - CHIFFRE D'AFFAIRES RÉALISÉ - AAD</v>
      </c>
      <c r="O1412" s="611" t="str">
        <f t="shared" si="193"/>
        <v/>
      </c>
      <c r="P1412" s="611" t="str">
        <f t="shared" si="195"/>
        <v>Page5_CAD_VE!L</v>
      </c>
      <c r="Q1412" s="611">
        <f t="shared" si="196"/>
        <v>10</v>
      </c>
      <c r="R1412" s="1447">
        <f t="shared" ca="1" si="197"/>
        <v>0</v>
      </c>
      <c r="S1412" s="1447">
        <f t="shared" ca="1" si="198"/>
        <v>0</v>
      </c>
      <c r="V1412" s="2557" t="str">
        <f t="shared" ca="1" si="191"/>
        <v/>
      </c>
      <c r="W1412" s="611" t="str">
        <f t="shared" ca="1" si="199"/>
        <v>Page5_CAD_VE, Ligne 7 [Page5_CAD_VE!L10]  -</v>
      </c>
    </row>
    <row r="1413" spans="1:23">
      <c r="A1413" s="1443" t="str">
        <f>celladdr(Page5_CAD_VE!L11)</f>
        <v>Page5_CAD_VE!L11</v>
      </c>
      <c r="B1413" s="1456" t="s">
        <v>1086</v>
      </c>
      <c r="C1413" s="1451" t="b">
        <f>Page5_CAD_VE!$L$11&lt;0</f>
        <v>0</v>
      </c>
      <c r="D1413" s="1454" t="b">
        <f>OR(AND(Page5_CAD_VE!$L11&lt;&gt;0,Page5_CAD_VE!$M11=0),AND(Page5_CAD_VE!$M11&lt;&gt;0,Page5_CAD_VE!$L11=0))</f>
        <v>0</v>
      </c>
      <c r="E1413" s="1454"/>
      <c r="F1413" s="1454"/>
      <c r="G1413" s="1444" t="str">
        <f t="shared" si="194"/>
        <v/>
      </c>
      <c r="H1413" s="1447" t="str">
        <f>IF(C1413=TRUE,Comments!$B$23,"")</f>
        <v/>
      </c>
      <c r="I1413" s="1446" t="str">
        <f>IF(D1413=TRUE,Comments!$B$24,"")</f>
        <v/>
      </c>
      <c r="J1413" s="1446"/>
      <c r="K1413" s="1452"/>
      <c r="N1413" s="611" t="str">
        <f>"CPTE # "&amp;Page5_CAD_VE!$E$11&amp;"  "&amp;Page5_CAD_VE!$C$11&amp;" - CHIFFRE D'AFFAIRES RÉALISÉ - AAD"</f>
        <v>CPTE # 407G  NE PAS UTILISER - CHIFFRE D'AFFAIRES RÉALISÉ - AAD</v>
      </c>
      <c r="O1413" s="611" t="str">
        <f t="shared" si="193"/>
        <v/>
      </c>
      <c r="P1413" s="611" t="str">
        <f t="shared" si="195"/>
        <v>Page5_CAD_VE!L</v>
      </c>
      <c r="Q1413" s="611">
        <f t="shared" si="196"/>
        <v>11</v>
      </c>
      <c r="R1413" s="1447">
        <f t="shared" ca="1" si="197"/>
        <v>0</v>
      </c>
      <c r="S1413" s="1447">
        <f t="shared" ca="1" si="198"/>
        <v>0</v>
      </c>
      <c r="V1413" s="2557" t="str">
        <f t="shared" ca="1" si="191"/>
        <v/>
      </c>
      <c r="W1413" s="611" t="str">
        <f t="shared" ca="1" si="199"/>
        <v>Page5_CAD_VE, Ligne 8 [Page5_CAD_VE!L11]  -</v>
      </c>
    </row>
    <row r="1414" spans="1:23">
      <c r="A1414" s="1443" t="str">
        <f>celladdr(Page5_CAD_VE!L12)</f>
        <v>Page5_CAD_VE!L12</v>
      </c>
      <c r="B1414" s="1456" t="s">
        <v>1086</v>
      </c>
      <c r="C1414" s="1451" t="b">
        <f>Page5_CAD_VE!$L$12&lt;0</f>
        <v>0</v>
      </c>
      <c r="D1414" s="1454" t="b">
        <f>OR(AND(Page5_CAD_VE!$L12&lt;&gt;0,Page5_CAD_VE!$M12=0),AND(Page5_CAD_VE!$M12&lt;&gt;0,Page5_CAD_VE!$L12=0))</f>
        <v>0</v>
      </c>
      <c r="E1414" s="1454"/>
      <c r="F1414" s="1454"/>
      <c r="G1414" s="1444" t="str">
        <f t="shared" si="194"/>
        <v/>
      </c>
      <c r="H1414" s="1447" t="str">
        <f>IF(C1414=TRUE,Comments!$B$23,"")</f>
        <v/>
      </c>
      <c r="I1414" s="1446" t="str">
        <f>IF(D1414=TRUE,Comments!$B$24,"")</f>
        <v/>
      </c>
      <c r="J1414" s="1446"/>
      <c r="K1414" s="1452"/>
      <c r="N1414" s="611" t="str">
        <f>"CPTE # "&amp;Page5_CAD_VE!$E$12&amp;"  "&amp;Page5_CAD_VE!$C$12&amp;" - CHIFFRE D'AFFAIRES RÉALISÉ - AAD"</f>
        <v>CPTE # 408G  NE PAS UTILISER - CHIFFRE D'AFFAIRES RÉALISÉ - AAD</v>
      </c>
      <c r="O1414" s="611" t="str">
        <f t="shared" si="193"/>
        <v/>
      </c>
      <c r="P1414" s="611" t="str">
        <f t="shared" si="195"/>
        <v>Page5_CAD_VE!L</v>
      </c>
      <c r="Q1414" s="611">
        <f t="shared" si="196"/>
        <v>12</v>
      </c>
      <c r="R1414" s="1447">
        <f t="shared" ca="1" si="197"/>
        <v>0</v>
      </c>
      <c r="S1414" s="1447">
        <f t="shared" ca="1" si="198"/>
        <v>0</v>
      </c>
      <c r="V1414" s="2557" t="str">
        <f t="shared" ca="1" si="191"/>
        <v/>
      </c>
      <c r="W1414" s="611" t="str">
        <f t="shared" ca="1" si="199"/>
        <v>Page5_CAD_VE, Ligne 9 [Page5_CAD_VE!L12]  -</v>
      </c>
    </row>
    <row r="1415" spans="1:23">
      <c r="A1415" s="1443" t="str">
        <f>celladdr(Page5_CAD_VE!L13)</f>
        <v>Page5_CAD_VE!L13</v>
      </c>
      <c r="B1415" s="1456" t="s">
        <v>1086</v>
      </c>
      <c r="C1415" s="1451" t="b">
        <f>Page5_CAD_VE!$L$13&lt;0</f>
        <v>0</v>
      </c>
      <c r="D1415" s="1454" t="b">
        <f>OR(AND(Page5_CAD_VE!$L13&lt;&gt;0,Page5_CAD_VE!$M13=0),AND(Page5_CAD_VE!$M13&lt;&gt;0,Page5_CAD_VE!$L13=0))</f>
        <v>0</v>
      </c>
      <c r="E1415" s="1454"/>
      <c r="F1415" s="1454"/>
      <c r="G1415" s="1444" t="str">
        <f t="shared" si="194"/>
        <v/>
      </c>
      <c r="H1415" s="1447" t="str">
        <f>IF(C1415=TRUE,Comments!$B$23,"")</f>
        <v/>
      </c>
      <c r="I1415" s="1446" t="str">
        <f>IF(D1415=TRUE,Comments!$B$24,"")</f>
        <v/>
      </c>
      <c r="J1415" s="1446"/>
      <c r="K1415" s="1452"/>
      <c r="N1415" s="611" t="str">
        <f>"CPTE # "&amp;Page5_CAD_VE!$E$13&amp;"  "&amp;Page5_CAD_VE!$C$13&amp;" - CHIFFRE D'AFFAIRES RÉALISÉ - AAD"</f>
        <v>CPTE # 409G  NE PAS UTILISER - CHIFFRE D'AFFAIRES RÉALISÉ - AAD</v>
      </c>
      <c r="O1415" s="611" t="str">
        <f t="shared" si="193"/>
        <v/>
      </c>
      <c r="P1415" s="611" t="str">
        <f t="shared" si="195"/>
        <v>Page5_CAD_VE!L</v>
      </c>
      <c r="Q1415" s="611">
        <f t="shared" si="196"/>
        <v>13</v>
      </c>
      <c r="R1415" s="1447">
        <f t="shared" ca="1" si="197"/>
        <v>0</v>
      </c>
      <c r="S1415" s="1447">
        <f t="shared" ca="1" si="198"/>
        <v>0</v>
      </c>
      <c r="V1415" s="2557" t="str">
        <f t="shared" ca="1" si="191"/>
        <v/>
      </c>
      <c r="W1415" s="611" t="str">
        <f t="shared" ca="1" si="199"/>
        <v>Page5_CAD_VE, Ligne 10 [Page5_CAD_VE!L13]  -</v>
      </c>
    </row>
    <row r="1416" spans="1:23">
      <c r="A1416" s="1443" t="str">
        <f>celladdr(Page5_CAD_VE!L14)</f>
        <v>Page5_CAD_VE!L14</v>
      </c>
      <c r="B1416" s="1456" t="s">
        <v>1086</v>
      </c>
      <c r="C1416" s="1451" t="b">
        <f>Page5_CAD_VE!$L$14&lt;0</f>
        <v>0</v>
      </c>
      <c r="D1416" s="1454" t="b">
        <f>OR(AND(Page5_CAD_VE!$L14&lt;&gt;0,Page5_CAD_VE!$M14=0),AND(Page5_CAD_VE!$M14&lt;&gt;0,Page5_CAD_VE!$L14=0))</f>
        <v>0</v>
      </c>
      <c r="E1416" s="1454"/>
      <c r="F1416" s="1454"/>
      <c r="G1416" s="1444" t="str">
        <f t="shared" si="194"/>
        <v/>
      </c>
      <c r="H1416" s="1447" t="str">
        <f>IF(C1416=TRUE,Comments!$B$23,"")</f>
        <v/>
      </c>
      <c r="I1416" s="1446" t="str">
        <f>IF(D1416=TRUE,Comments!$B$24,"")</f>
        <v/>
      </c>
      <c r="J1416" s="1446"/>
      <c r="K1416" s="1452"/>
      <c r="N1416" s="611" t="str">
        <f>"CPTE # "&amp;Page5_CAD_VE!$E$14&amp;"  "&amp;Page5_CAD_VE!$C$14&amp;" - CHIFFRE D'AFFAIRES RÉALISÉ - AAD"</f>
        <v>CPTE # 410G  NE PAS UTILISER - CHIFFRE D'AFFAIRES RÉALISÉ - AAD</v>
      </c>
      <c r="O1416" s="611" t="str">
        <f t="shared" si="193"/>
        <v/>
      </c>
      <c r="P1416" s="611" t="str">
        <f t="shared" si="195"/>
        <v>Page5_CAD_VE!L</v>
      </c>
      <c r="Q1416" s="611">
        <f t="shared" si="196"/>
        <v>14</v>
      </c>
      <c r="R1416" s="1447">
        <f t="shared" ca="1" si="197"/>
        <v>0</v>
      </c>
      <c r="S1416" s="1447">
        <f t="shared" ca="1" si="198"/>
        <v>0</v>
      </c>
      <c r="V1416" s="2557" t="str">
        <f t="shared" ca="1" si="191"/>
        <v/>
      </c>
      <c r="W1416" s="611" t="str">
        <f t="shared" ca="1" si="199"/>
        <v>Page5_CAD_VE, Ligne 11 [Page5_CAD_VE!L14]  -</v>
      </c>
    </row>
    <row r="1417" spans="1:23">
      <c r="A1417" s="1443" t="str">
        <f>celladdr(Page5_CAD_VE!L15)</f>
        <v>Page5_CAD_VE!L15</v>
      </c>
      <c r="B1417" s="1456" t="s">
        <v>1086</v>
      </c>
      <c r="C1417" s="1451" t="b">
        <f>Page5_CAD_VE!$L$15&lt;0</f>
        <v>0</v>
      </c>
      <c r="D1417" s="1454" t="b">
        <f>OR(AND(Page5_CAD_VE!$L15&lt;&gt;0,Page5_CAD_VE!$M15=0),AND(Page5_CAD_VE!$M15&lt;&gt;0,Page5_CAD_VE!$L15=0))</f>
        <v>0</v>
      </c>
      <c r="E1417" s="1454"/>
      <c r="F1417" s="1454"/>
      <c r="G1417" s="1444" t="str">
        <f t="shared" si="194"/>
        <v/>
      </c>
      <c r="H1417" s="1447" t="str">
        <f>IF(C1417=TRUE,Comments!$B$23,"")</f>
        <v/>
      </c>
      <c r="I1417" s="1446" t="str">
        <f>IF(D1417=TRUE,Comments!$B$24,"")</f>
        <v/>
      </c>
      <c r="J1417" s="1446"/>
      <c r="K1417" s="1452"/>
      <c r="N1417" s="611" t="str">
        <f>"CPTE # "&amp;Page5_CAD_VE!$E$15&amp;"  "&amp;Page5_CAD_VE!$C$15&amp;" - CHIFFRE D'AFFAIRES RÉALISÉ - AAD"</f>
        <v>CPTE # 411G  NE PAS UTILISER - CHIFFRE D'AFFAIRES RÉALISÉ - AAD</v>
      </c>
      <c r="O1417" s="611" t="str">
        <f t="shared" si="193"/>
        <v/>
      </c>
      <c r="P1417" s="611" t="str">
        <f t="shared" si="195"/>
        <v>Page5_CAD_VE!L</v>
      </c>
      <c r="Q1417" s="611">
        <f t="shared" si="196"/>
        <v>15</v>
      </c>
      <c r="R1417" s="1447">
        <f t="shared" ca="1" si="197"/>
        <v>0</v>
      </c>
      <c r="S1417" s="1447">
        <f t="shared" ca="1" si="198"/>
        <v>0</v>
      </c>
      <c r="V1417" s="2557" t="str">
        <f t="shared" ca="1" si="191"/>
        <v/>
      </c>
      <c r="W1417" s="611" t="str">
        <f t="shared" ca="1" si="199"/>
        <v>Page5_CAD_VE, Ligne 12 [Page5_CAD_VE!L15]  -</v>
      </c>
    </row>
    <row r="1418" spans="1:23">
      <c r="A1418" s="1443" t="str">
        <f>celladdr(Page5_CAD_VE!L16)</f>
        <v>Page5_CAD_VE!L16</v>
      </c>
      <c r="B1418" s="1456" t="s">
        <v>1086</v>
      </c>
      <c r="C1418" s="1451" t="b">
        <f>Page5_CAD_VE!$L$16&lt;0</f>
        <v>0</v>
      </c>
      <c r="D1418" s="1454" t="b">
        <f>OR(AND(Page5_CAD_VE!$L16&lt;&gt;0,Page5_CAD_VE!$M16=0),AND(Page5_CAD_VE!$M16&lt;&gt;0,Page5_CAD_VE!$L16=0))</f>
        <v>0</v>
      </c>
      <c r="E1418" s="1454"/>
      <c r="F1418" s="1454"/>
      <c r="G1418" s="1444" t="str">
        <f t="shared" si="194"/>
        <v/>
      </c>
      <c r="H1418" s="1447" t="str">
        <f>IF(C1418=TRUE,Comments!$B$23,"")</f>
        <v/>
      </c>
      <c r="I1418" s="1446" t="str">
        <f>IF(D1418=TRUE,Comments!$B$24,"")</f>
        <v/>
      </c>
      <c r="J1418" s="1446"/>
      <c r="K1418" s="1452"/>
      <c r="N1418" s="611" t="str">
        <f>"CPTE # "&amp;Page5_CAD_VE!$E$16&amp;"  "&amp;Page5_CAD_VE!$C$16&amp;" - CHIFFRE D'AFFAIRES RÉALISÉ - AAD"</f>
        <v>CPTE # 412G  NE PAS UTILISER - CHIFFRE D'AFFAIRES RÉALISÉ - AAD</v>
      </c>
      <c r="O1418" s="611" t="str">
        <f t="shared" si="193"/>
        <v/>
      </c>
      <c r="P1418" s="611" t="str">
        <f t="shared" si="195"/>
        <v>Page5_CAD_VE!L</v>
      </c>
      <c r="Q1418" s="611">
        <f t="shared" si="196"/>
        <v>16</v>
      </c>
      <c r="R1418" s="1447">
        <f t="shared" ca="1" si="197"/>
        <v>0</v>
      </c>
      <c r="S1418" s="1447">
        <f t="shared" ca="1" si="198"/>
        <v>0</v>
      </c>
      <c r="V1418" s="2557" t="str">
        <f t="shared" ca="1" si="191"/>
        <v/>
      </c>
      <c r="W1418" s="611" t="str">
        <f t="shared" ca="1" si="199"/>
        <v>Page5_CAD_VE, Ligne 13 [Page5_CAD_VE!L16]  -</v>
      </c>
    </row>
    <row r="1419" spans="1:23">
      <c r="A1419" s="1443" t="str">
        <f>celladdr(Page5_CAD_VE!L17)</f>
        <v>Page5_CAD_VE!L17</v>
      </c>
      <c r="B1419" s="1456" t="s">
        <v>1086</v>
      </c>
      <c r="C1419" s="1451" t="b">
        <f>Page5_CAD_VE!$L$17&lt;0</f>
        <v>0</v>
      </c>
      <c r="D1419" s="1454" t="b">
        <f>OR(AND(Page5_CAD_VE!$L17&lt;&gt;0,Page5_CAD_VE!$M17=0),AND(Page5_CAD_VE!$M17&lt;&gt;0,Page5_CAD_VE!$L17=0))</f>
        <v>0</v>
      </c>
      <c r="E1419" s="1454"/>
      <c r="F1419" s="1454"/>
      <c r="G1419" s="1444" t="str">
        <f t="shared" si="194"/>
        <v/>
      </c>
      <c r="H1419" s="1447" t="str">
        <f>IF(C1419=TRUE,Comments!$B$23,"")</f>
        <v/>
      </c>
      <c r="I1419" s="1446" t="str">
        <f>IF(D1419=TRUE,Comments!$B$24,"")</f>
        <v/>
      </c>
      <c r="J1419" s="1446"/>
      <c r="K1419" s="1452"/>
      <c r="N1419" s="611" t="str">
        <f>"CPTE # "&amp;Page5_CAD_VE!$E$17&amp;"  "&amp;Page5_CAD_VE!$C$17&amp;" - CHIFFRE D'AFFAIRES RÉALISÉ - AAD"</f>
        <v>CPTE # 413G  NE PAS UTILISER - CHIFFRE D'AFFAIRES RÉALISÉ - AAD</v>
      </c>
      <c r="O1419" s="611" t="str">
        <f t="shared" si="193"/>
        <v/>
      </c>
      <c r="P1419" s="611" t="str">
        <f t="shared" si="195"/>
        <v>Page5_CAD_VE!L</v>
      </c>
      <c r="Q1419" s="611">
        <f t="shared" si="196"/>
        <v>17</v>
      </c>
      <c r="R1419" s="1447">
        <f t="shared" ca="1" si="197"/>
        <v>0</v>
      </c>
      <c r="S1419" s="1447">
        <f t="shared" ca="1" si="198"/>
        <v>0</v>
      </c>
      <c r="V1419" s="2557" t="str">
        <f t="shared" ca="1" si="191"/>
        <v/>
      </c>
      <c r="W1419" s="611" t="str">
        <f t="shared" ca="1" si="199"/>
        <v>Page5_CAD_VE, Ligne 14 [Page5_CAD_VE!L17]  -</v>
      </c>
    </row>
    <row r="1420" spans="1:23">
      <c r="A1420" s="1443" t="str">
        <f>celladdr(Page5_CAD_VE!L18)</f>
        <v>Page5_CAD_VE!L18</v>
      </c>
      <c r="B1420" s="1456" t="s">
        <v>1086</v>
      </c>
      <c r="C1420" s="1451" t="b">
        <f>Page5_CAD_VE!$L$18&lt;0</f>
        <v>0</v>
      </c>
      <c r="D1420" s="1454" t="b">
        <f>OR(AND(Page5_CAD_VE!$L18&lt;&gt;0,Page5_CAD_VE!$M18=0),AND(Page5_CAD_VE!$M18&lt;&gt;0,Page5_CAD_VE!$L18=0))</f>
        <v>0</v>
      </c>
      <c r="E1420" s="1454"/>
      <c r="F1420" s="1454"/>
      <c r="G1420" s="1444" t="str">
        <f t="shared" si="194"/>
        <v/>
      </c>
      <c r="H1420" s="1447" t="str">
        <f>IF(C1420=TRUE,Comments!$B$23,"")</f>
        <v/>
      </c>
      <c r="I1420" s="1446" t="str">
        <f>IF(D1420=TRUE,Comments!$B$24,"")</f>
        <v/>
      </c>
      <c r="J1420" s="1446"/>
      <c r="K1420" s="1452"/>
      <c r="N1420" s="611" t="str">
        <f>"CPTE # "&amp;Page5_CAD_VE!$E$18&amp;"  "&amp;Page5_CAD_VE!$C$18&amp;" - CHIFFRE D'AFFAIRES RÉALISÉ - AAD"</f>
        <v>CPTE # 414G  NE PAS UTILISER - CHIFFRE D'AFFAIRES RÉALISÉ - AAD</v>
      </c>
      <c r="O1420" s="611" t="str">
        <f t="shared" si="193"/>
        <v/>
      </c>
      <c r="P1420" s="611" t="str">
        <f t="shared" si="195"/>
        <v>Page5_CAD_VE!L</v>
      </c>
      <c r="Q1420" s="611">
        <f t="shared" si="196"/>
        <v>18</v>
      </c>
      <c r="R1420" s="1447">
        <f t="shared" ca="1" si="197"/>
        <v>0</v>
      </c>
      <c r="S1420" s="1447">
        <f t="shared" ca="1" si="198"/>
        <v>0</v>
      </c>
      <c r="V1420" s="2557" t="str">
        <f t="shared" ca="1" si="191"/>
        <v/>
      </c>
      <c r="W1420" s="611" t="str">
        <f t="shared" ca="1" si="199"/>
        <v>Page5_CAD_VE, Ligne 15 [Page5_CAD_VE!L18]  -</v>
      </c>
    </row>
    <row r="1421" spans="1:23">
      <c r="A1421" s="1443" t="str">
        <f>celladdr(Page5_CAD_VE!L19)</f>
        <v>Page5_CAD_VE!L19</v>
      </c>
      <c r="B1421" s="1456" t="s">
        <v>1086</v>
      </c>
      <c r="C1421" s="1451" t="b">
        <f>Page5_CAD_VE!$L$19&lt;0</f>
        <v>0</v>
      </c>
      <c r="D1421" s="1454" t="b">
        <f>OR(AND(Page5_CAD_VE!$L19&lt;&gt;0,Page5_CAD_VE!$M19=0),AND(Page5_CAD_VE!$M19&lt;&gt;0,Page5_CAD_VE!$L19=0))</f>
        <v>0</v>
      </c>
      <c r="E1421" s="1454"/>
      <c r="F1421" s="1454"/>
      <c r="G1421" s="1444" t="str">
        <f t="shared" si="194"/>
        <v/>
      </c>
      <c r="H1421" s="1447" t="str">
        <f>IF(C1421=TRUE,Comments!$B$23,"")</f>
        <v/>
      </c>
      <c r="I1421" s="1446" t="str">
        <f>IF(D1421=TRUE,Comments!$B$24,"")</f>
        <v/>
      </c>
      <c r="J1421" s="1446"/>
      <c r="K1421" s="1452"/>
      <c r="N1421" s="611" t="str">
        <f>"CPTE # "&amp;Page5_CAD_VE!$E$19&amp;"  "&amp;Page5_CAD_VE!$C$19&amp;" - CHIFFRE D'AFFAIRES RÉALISÉ - AAD"</f>
        <v>CPTE # 415G  NE PAS UTILISER - CHIFFRE D'AFFAIRES RÉALISÉ - AAD</v>
      </c>
      <c r="O1421" s="611" t="str">
        <f t="shared" si="193"/>
        <v/>
      </c>
      <c r="P1421" s="611" t="str">
        <f t="shared" si="195"/>
        <v>Page5_CAD_VE!L</v>
      </c>
      <c r="Q1421" s="611">
        <f t="shared" si="196"/>
        <v>19</v>
      </c>
      <c r="R1421" s="1447">
        <f t="shared" ca="1" si="197"/>
        <v>0</v>
      </c>
      <c r="S1421" s="1447">
        <f t="shared" ca="1" si="198"/>
        <v>0</v>
      </c>
      <c r="V1421" s="2557" t="str">
        <f t="shared" ca="1" si="191"/>
        <v/>
      </c>
      <c r="W1421" s="611" t="str">
        <f t="shared" ca="1" si="199"/>
        <v>Page5_CAD_VE, Ligne 16 [Page5_CAD_VE!L19]  -</v>
      </c>
    </row>
    <row r="1422" spans="1:23">
      <c r="A1422" s="1443" t="str">
        <f>celladdr(Page5_CAD_VE!L20)</f>
        <v>Page5_CAD_VE!L20</v>
      </c>
      <c r="B1422" s="1456" t="s">
        <v>1086</v>
      </c>
      <c r="C1422" s="1451" t="b">
        <f>Page5_CAD_VE!$L$20&lt;0</f>
        <v>0</v>
      </c>
      <c r="D1422" s="1454" t="b">
        <f>OR(AND(Page5_CAD_VE!$L20&lt;&gt;0,Page5_CAD_VE!$M20=0),AND(Page5_CAD_VE!$M20&lt;&gt;0,Page5_CAD_VE!$L20=0))</f>
        <v>0</v>
      </c>
      <c r="E1422" s="1454"/>
      <c r="F1422" s="1454"/>
      <c r="G1422" s="1444" t="str">
        <f t="shared" si="194"/>
        <v/>
      </c>
      <c r="H1422" s="1447" t="str">
        <f>IF(C1422=TRUE,Comments!$B$23,"")</f>
        <v/>
      </c>
      <c r="I1422" s="1446" t="str">
        <f>IF(D1422=TRUE,Comments!$B$24,"")</f>
        <v/>
      </c>
      <c r="J1422" s="1446"/>
      <c r="K1422" s="1452"/>
      <c r="N1422" s="611" t="str">
        <f>"CPTE # "&amp;Page5_CAD_VE!$E$20&amp;"  "&amp;Page5_CAD_VE!$C$20&amp;" - CHIFFRE D'AFFAIRES RÉALISÉ - AAD"</f>
        <v>CPTE # 416G  NE PAS UTILISER - CHIFFRE D'AFFAIRES RÉALISÉ - AAD</v>
      </c>
      <c r="O1422" s="611" t="str">
        <f t="shared" si="193"/>
        <v/>
      </c>
      <c r="P1422" s="611" t="str">
        <f t="shared" si="195"/>
        <v>Page5_CAD_VE!L</v>
      </c>
      <c r="Q1422" s="611">
        <f t="shared" si="196"/>
        <v>20</v>
      </c>
      <c r="R1422" s="1447">
        <f t="shared" ca="1" si="197"/>
        <v>0</v>
      </c>
      <c r="S1422" s="1447">
        <f t="shared" ca="1" si="198"/>
        <v>0</v>
      </c>
      <c r="V1422" s="2557" t="str">
        <f t="shared" ca="1" si="191"/>
        <v/>
      </c>
      <c r="W1422" s="611" t="str">
        <f t="shared" ca="1" si="199"/>
        <v>Page5_CAD_VE, Ligne 17 [Page5_CAD_VE!L20]  -</v>
      </c>
    </row>
    <row r="1423" spans="1:23">
      <c r="A1423" s="1443" t="str">
        <f>celladdr(Page5_CAD_VE!L21)</f>
        <v>Page5_CAD_VE!L21</v>
      </c>
      <c r="B1423" s="1456" t="s">
        <v>1086</v>
      </c>
      <c r="C1423" s="1451" t="b">
        <f>Page5_CAD_VE!$L$21&lt;0</f>
        <v>0</v>
      </c>
      <c r="D1423" s="1454" t="b">
        <f>OR(AND(Page5_CAD_VE!$L21&lt;&gt;0,Page5_CAD_VE!$M21=0),AND(Page5_CAD_VE!$M21&lt;&gt;0,Page5_CAD_VE!$L21=0))</f>
        <v>0</v>
      </c>
      <c r="E1423" s="1454"/>
      <c r="F1423" s="1454"/>
      <c r="G1423" s="1444" t="str">
        <f t="shared" si="194"/>
        <v/>
      </c>
      <c r="H1423" s="1447" t="str">
        <f>IF(C1423=TRUE,Comments!$B$23,"")</f>
        <v/>
      </c>
      <c r="I1423" s="1446" t="str">
        <f>IF(D1423=TRUE,Comments!$B$24,"")</f>
        <v/>
      </c>
      <c r="J1423" s="1446"/>
      <c r="K1423" s="1452"/>
      <c r="N1423" s="611" t="str">
        <f>"CPTE # "&amp;Page5_CAD_VE!$E$21&amp;"  "&amp;Page5_CAD_VE!$C$21&amp;" - CHIFFRE D'AFFAIRES RÉALISÉ - AAD"</f>
        <v>CPTE # 417G  NE PAS UTILISER - CHIFFRE D'AFFAIRES RÉALISÉ - AAD</v>
      </c>
      <c r="O1423" s="611" t="str">
        <f t="shared" si="193"/>
        <v/>
      </c>
      <c r="P1423" s="611" t="str">
        <f t="shared" si="195"/>
        <v>Page5_CAD_VE!L</v>
      </c>
      <c r="Q1423" s="611">
        <f t="shared" si="196"/>
        <v>21</v>
      </c>
      <c r="R1423" s="1447">
        <f t="shared" ca="1" si="197"/>
        <v>0</v>
      </c>
      <c r="S1423" s="1447">
        <f t="shared" ca="1" si="198"/>
        <v>0</v>
      </c>
      <c r="V1423" s="2557" t="str">
        <f t="shared" ca="1" si="191"/>
        <v/>
      </c>
      <c r="W1423" s="611" t="str">
        <f t="shared" ca="1" si="199"/>
        <v>Page5_CAD_VE, Ligne 18 [Page5_CAD_VE!L21]  -</v>
      </c>
    </row>
    <row r="1424" spans="1:23">
      <c r="A1424" s="1443" t="str">
        <f>celladdr(Page5_CAD_VE!L22)</f>
        <v>Page5_CAD_VE!L22</v>
      </c>
      <c r="B1424" s="1456" t="s">
        <v>1086</v>
      </c>
      <c r="C1424" s="1451" t="b">
        <f>Page5_CAD_VE!$L$22&lt;0</f>
        <v>0</v>
      </c>
      <c r="D1424" s="1454" t="b">
        <f>OR(AND(Page5_CAD_VE!$L22&lt;&gt;0,Page5_CAD_VE!$M22=0),AND(Page5_CAD_VE!$M22&lt;&gt;0,Page5_CAD_VE!$L22=0))</f>
        <v>0</v>
      </c>
      <c r="E1424" s="1454"/>
      <c r="F1424" s="1454"/>
      <c r="G1424" s="1444" t="str">
        <f t="shared" si="194"/>
        <v/>
      </c>
      <c r="H1424" s="1447" t="str">
        <f>IF(C1424=TRUE,Comments!$B$23,"")</f>
        <v/>
      </c>
      <c r="I1424" s="1446" t="str">
        <f>IF(D1424=TRUE,Comments!$B$24,"")</f>
        <v/>
      </c>
      <c r="J1424" s="1446"/>
      <c r="K1424" s="1452"/>
      <c r="N1424" s="611" t="str">
        <f>"CPTE # "&amp;Page5_CAD_VE!$E$22&amp;"  "&amp;Page5_CAD_VE!$C$22&amp;" - CHIFFRE D'AFFAIRES RÉALISÉ - AAD"</f>
        <v>CPTE # 418G  NE PAS UTILISER - CHIFFRE D'AFFAIRES RÉALISÉ - AAD</v>
      </c>
      <c r="O1424" s="611" t="str">
        <f t="shared" si="193"/>
        <v/>
      </c>
      <c r="P1424" s="611" t="str">
        <f t="shared" si="195"/>
        <v>Page5_CAD_VE!L</v>
      </c>
      <c r="Q1424" s="611">
        <f t="shared" si="196"/>
        <v>22</v>
      </c>
      <c r="R1424" s="1447">
        <f t="shared" ca="1" si="197"/>
        <v>0</v>
      </c>
      <c r="S1424" s="1447">
        <f t="shared" ca="1" si="198"/>
        <v>0</v>
      </c>
      <c r="V1424" s="2557" t="str">
        <f t="shared" ca="1" si="191"/>
        <v/>
      </c>
      <c r="W1424" s="611" t="str">
        <f t="shared" ca="1" si="199"/>
        <v>Page5_CAD_VE, Ligne 19 [Page5_CAD_VE!L22]  -</v>
      </c>
    </row>
    <row r="1425" spans="1:23">
      <c r="A1425" s="1443" t="str">
        <f>celladdr(Page5_CAD_VE!L23)</f>
        <v>Page5_CAD_VE!L23</v>
      </c>
      <c r="B1425" s="1444" t="s">
        <v>1086</v>
      </c>
      <c r="C1425" s="1451"/>
      <c r="D1425" s="1454"/>
      <c r="E1425" s="1454"/>
      <c r="F1425" s="1454"/>
      <c r="G1425" s="1444" t="str">
        <f t="shared" si="194"/>
        <v/>
      </c>
      <c r="H1425" s="1447" t="str">
        <f>IF(C1425=TRUE,Comments!$B$26,"")</f>
        <v/>
      </c>
      <c r="I1425" s="1446" t="str">
        <f>IF(D1425=TRUE,Comments!$B$24,"")</f>
        <v/>
      </c>
      <c r="J1425" s="1446"/>
      <c r="K1425" s="1452"/>
      <c r="O1425" s="611" t="str">
        <f t="shared" si="193"/>
        <v/>
      </c>
      <c r="P1425" s="611" t="str">
        <f t="shared" si="195"/>
        <v>Page5_CAD_VE!L</v>
      </c>
      <c r="Q1425" s="611">
        <f t="shared" si="196"/>
        <v>23</v>
      </c>
      <c r="R1425" s="1447">
        <f t="shared" ca="1" si="197"/>
        <v>0</v>
      </c>
      <c r="S1425" s="1447">
        <f t="shared" ca="1" si="198"/>
        <v>0</v>
      </c>
      <c r="V1425" s="2557" t="str">
        <f t="shared" ca="1" si="191"/>
        <v/>
      </c>
      <c r="W1425" s="611" t="str">
        <f t="shared" ca="1" si="199"/>
        <v>Page5_CAD_VE, Ligne 20 [Page5_CAD_VE!L23]  -</v>
      </c>
    </row>
    <row r="1426" spans="1:23">
      <c r="A1426" s="1443" t="str">
        <f>celladdr(Page5_CAD_VE!L24)</f>
        <v>Page5_CAD_VE!L24</v>
      </c>
      <c r="B1426" s="1456" t="s">
        <v>1086</v>
      </c>
      <c r="C1426" s="1451" t="b">
        <f>Page5_CAD_VE!$L$24&lt;0</f>
        <v>0</v>
      </c>
      <c r="D1426" s="1454" t="b">
        <f>OR(AND(Page5_CAD_VE!$L24&lt;&gt;0,Page5_CAD_VE!$M24=0),AND(Page5_CAD_VE!$M24&lt;&gt;0,Page5_CAD_VE!$L24=0))</f>
        <v>0</v>
      </c>
      <c r="E1426" s="1454"/>
      <c r="F1426" s="1454"/>
      <c r="G1426" s="1444" t="str">
        <f t="shared" si="194"/>
        <v/>
      </c>
      <c r="H1426" s="1447" t="str">
        <f>IF(C1426=TRUE,Comments!$B$23,"")</f>
        <v/>
      </c>
      <c r="I1426" s="1446" t="str">
        <f>IF(D1426=TRUE,Comments!$B$24,"")</f>
        <v/>
      </c>
      <c r="J1426" s="1446"/>
      <c r="K1426" s="1452"/>
      <c r="N1426" s="611" t="str">
        <f>"CPTE # "&amp;Page5_CAD_VE!$E$24&amp;"  "&amp;Page5_CAD_VE!$C$24&amp;" - CHIFFRE D'AFFAIRES RÉALISÉ - AAD"</f>
        <v>CPTE # 419G  MÉMO* VENTES INTERNET VOITURES - CHIFFRE D'AFFAIRES RÉALISÉ - AAD</v>
      </c>
      <c r="O1426" s="611" t="str">
        <f t="shared" si="193"/>
        <v/>
      </c>
      <c r="P1426" s="611" t="str">
        <f t="shared" si="195"/>
        <v>Page5_CAD_VE!L</v>
      </c>
      <c r="Q1426" s="611">
        <f t="shared" si="196"/>
        <v>24</v>
      </c>
      <c r="R1426" s="1447">
        <f t="shared" ca="1" si="197"/>
        <v>0</v>
      </c>
      <c r="S1426" s="1447">
        <f t="shared" ca="1" si="198"/>
        <v>0</v>
      </c>
      <c r="V1426" s="2557" t="str">
        <f t="shared" ca="1" si="191"/>
        <v/>
      </c>
      <c r="W1426" s="611" t="str">
        <f t="shared" ca="1" si="199"/>
        <v>Page5_CAD_VE, Ligne 21 [Page5_CAD_VE!L24]  -</v>
      </c>
    </row>
    <row r="1427" spans="1:23">
      <c r="A1427" s="1443" t="str">
        <f>celladdr(Page5_CAD_VE!L25)</f>
        <v>Page5_CAD_VE!L25</v>
      </c>
      <c r="B1427" s="1456" t="s">
        <v>1086</v>
      </c>
      <c r="C1427" s="1451" t="b">
        <f>Page5_CAD_VE!$L$25&lt;0</f>
        <v>0</v>
      </c>
      <c r="D1427" s="1454" t="b">
        <f>OR(AND(Page5_CAD_VE!$L25&lt;&gt;0,Page5_CAD_VE!$M25=0),AND(Page5_CAD_VE!$M25&lt;&gt;0,Page5_CAD_VE!$L25=0))</f>
        <v>0</v>
      </c>
      <c r="E1427" s="1454" t="b">
        <f>ROUND(Page5_CAD_VE!L25,2) &lt;&gt; ROUND(Page5_PARCS_GOUV!L9+Page5_PARCS_GOUV!L45,2)</f>
        <v>0</v>
      </c>
      <c r="F1427" s="1454"/>
      <c r="G1427" s="1444" t="str">
        <f t="shared" si="194"/>
        <v/>
      </c>
      <c r="H1427" s="1447" t="str">
        <f>IF(C1427=TRUE,Comments!$B$23,"")</f>
        <v/>
      </c>
      <c r="I1427" s="1446" t="str">
        <f>IF(D1427=TRUE,Comments!$B$24,"")</f>
        <v/>
      </c>
      <c r="J1427" s="1446" t="str">
        <f>IF(E1427=TRUE, Comments!$B$101,"")</f>
        <v/>
      </c>
      <c r="K1427" s="1452"/>
      <c r="N1427" s="611" t="str">
        <f>"CPTE # "&amp;Page5_CAD_VE!$E$25&amp;"  "&amp;Page5_CAD_VE!$C$25&amp;" - CHIFFRE D'AFFAIRES RÉALISÉ - AAD"</f>
        <v>CPTE # DE PG PARCS  TOTAL PARCS - VOITURES - CHIFFRE D'AFFAIRES RÉALISÉ - AAD</v>
      </c>
      <c r="O1427" s="611" t="str">
        <f t="shared" si="193"/>
        <v/>
      </c>
      <c r="P1427" s="611" t="str">
        <f t="shared" si="195"/>
        <v>Page5_CAD_VE!L</v>
      </c>
      <c r="Q1427" s="611">
        <f t="shared" si="196"/>
        <v>25</v>
      </c>
      <c r="R1427" s="1447">
        <f t="shared" ca="1" si="197"/>
        <v>0</v>
      </c>
      <c r="S1427" s="1447">
        <f t="shared" ca="1" si="198"/>
        <v>0</v>
      </c>
      <c r="T1427" s="611">
        <v>101</v>
      </c>
      <c r="V1427" s="2557" t="str">
        <f t="shared" ca="1" si="191"/>
        <v/>
      </c>
      <c r="W1427" s="611" t="str">
        <f t="shared" ca="1" si="199"/>
        <v>Page5_CAD_VE, Ligne 22 [Page5_CAD_VE!L25]  -</v>
      </c>
    </row>
    <row r="1428" spans="1:23">
      <c r="A1428" s="1443" t="str">
        <f>celladdr(Page5_CAD_VE!N25)</f>
        <v>Page5_CAD_VE!N25</v>
      </c>
      <c r="B1428" s="1456" t="s">
        <v>1086</v>
      </c>
      <c r="C1428" s="1451"/>
      <c r="D1428" s="1454"/>
      <c r="E1428" s="1454" t="b">
        <f>ROUND(Page5_CAD_VE!N25,2) &lt;&gt; ROUND(Page5_PARCS_GOUV!N9+Page5_PARCS_GOUV!N45,2)</f>
        <v>0</v>
      </c>
      <c r="F1428" s="1454"/>
      <c r="G1428" s="1444" t="str">
        <f t="shared" si="194"/>
        <v/>
      </c>
      <c r="I1428" s="1446"/>
      <c r="J1428" s="1446" t="str">
        <f>IF(E1428=TRUE, Comments!$B$102,"")</f>
        <v/>
      </c>
      <c r="K1428" s="1452"/>
      <c r="N1428" s="611" t="str">
        <f>"CPTE # "&amp;Page5_CAD_VE!$E$25&amp;"  "&amp;Page5_CAD_VE!$C$25&amp;" -PROFIT BRUT - AAD"</f>
        <v>CPTE # DE PG PARCS  TOTAL PARCS - VOITURES -PROFIT BRUT - AAD</v>
      </c>
      <c r="P1428" s="611" t="str">
        <f t="shared" si="195"/>
        <v>Page5_CAD_VE!N</v>
      </c>
      <c r="Q1428" s="611">
        <f t="shared" si="196"/>
        <v>25</v>
      </c>
      <c r="R1428" s="1447">
        <f t="shared" ca="1" si="197"/>
        <v>0</v>
      </c>
      <c r="S1428" s="1447">
        <f t="shared" ca="1" si="198"/>
        <v>0</v>
      </c>
      <c r="T1428" s="611">
        <v>102</v>
      </c>
      <c r="V1428" s="2557" t="str">
        <f t="shared" ca="1" si="191"/>
        <v/>
      </c>
      <c r="W1428" s="611" t="str">
        <f t="shared" ca="1" si="199"/>
        <v>Page5_CAD_VE, Ligne 22 [Page5_CAD_VE!N25]  -</v>
      </c>
    </row>
    <row r="1429" spans="1:23">
      <c r="A1429" s="1443" t="str">
        <f>celladdr(Page5_CAD_VE!L26)</f>
        <v>Page5_CAD_VE!L26</v>
      </c>
      <c r="B1429" s="1456" t="s">
        <v>1086</v>
      </c>
      <c r="C1429" s="1451" t="b">
        <f>Page5_CAD_VE!$L$26&lt;0</f>
        <v>0</v>
      </c>
      <c r="D1429" s="1454" t="b">
        <f>OR(AND(Page5_CAD_VE!$L26&lt;&gt;0,Page5_CAD_VE!$M26=0),AND(Page5_CAD_VE!$M26&lt;&gt;0,Page5_CAD_VE!$L26=0))</f>
        <v>0</v>
      </c>
      <c r="E1429" s="1454"/>
      <c r="F1429" s="1454"/>
      <c r="G1429" s="1444" t="str">
        <f t="shared" si="194"/>
        <v/>
      </c>
      <c r="H1429" s="1447" t="str">
        <f>IF(C1429=TRUE,Comments!$B$23,"")</f>
        <v/>
      </c>
      <c r="I1429" s="1446" t="str">
        <f>IF(D1429=TRUE,Comments!$B$24,"")</f>
        <v/>
      </c>
      <c r="J1429" s="1446"/>
      <c r="K1429" s="1452"/>
      <c r="N1429" s="611" t="str">
        <f>"CPTE # "&amp;Page5_CAD_VE!$E$26&amp;"  "&amp;Page5_CAD_VE!$C$26&amp;" - CHIFFRE D'AFFAIRES RÉALISÉ - AAD"</f>
        <v>CPTE # 421G  TOTAL INTERNE - VOITURES - CHIFFRE D'AFFAIRES RÉALISÉ - AAD</v>
      </c>
      <c r="O1429" s="611" t="str">
        <f>IF(A1429=A1427,"TRUE","")</f>
        <v/>
      </c>
      <c r="P1429" s="611" t="str">
        <f t="shared" si="195"/>
        <v>Page5_CAD_VE!L</v>
      </c>
      <c r="Q1429" s="611">
        <f t="shared" si="196"/>
        <v>26</v>
      </c>
      <c r="R1429" s="1447">
        <f t="shared" ca="1" si="197"/>
        <v>0</v>
      </c>
      <c r="S1429" s="1447">
        <f t="shared" ca="1" si="198"/>
        <v>0</v>
      </c>
      <c r="V1429" s="2557" t="str">
        <f t="shared" ca="1" si="191"/>
        <v/>
      </c>
      <c r="W1429" s="611" t="str">
        <f t="shared" ca="1" si="199"/>
        <v>Page5_CAD_VE, Ligne 23 [Page5_CAD_VE!L26]  -</v>
      </c>
    </row>
    <row r="1430" spans="1:23">
      <c r="A1430" s="1443" t="str">
        <f>celladdr(Page5_CAD_VE!L27)</f>
        <v>Page5_CAD_VE!L27</v>
      </c>
      <c r="B1430" s="1444" t="s">
        <v>1086</v>
      </c>
      <c r="C1430" s="1451"/>
      <c r="D1430" s="1454"/>
      <c r="E1430" s="1454"/>
      <c r="F1430" s="1454"/>
      <c r="G1430" s="1444" t="str">
        <f t="shared" si="194"/>
        <v/>
      </c>
      <c r="H1430" s="1447" t="str">
        <f>IF(C1430=TRUE,Comments!$B$26,"")</f>
        <v/>
      </c>
      <c r="I1430" s="1446" t="str">
        <f>IF(D1430=TRUE,Comments!$B$24,"")</f>
        <v/>
      </c>
      <c r="J1430" s="1446"/>
      <c r="K1430" s="1452"/>
      <c r="O1430" s="611" t="str">
        <f t="shared" ref="O1430:O1450" si="200">IF(A1430=A1429,"TRUE","")</f>
        <v/>
      </c>
      <c r="P1430" s="611" t="str">
        <f t="shared" si="195"/>
        <v>Page5_CAD_VE!L</v>
      </c>
      <c r="Q1430" s="611">
        <f t="shared" si="196"/>
        <v>27</v>
      </c>
      <c r="R1430" s="1447">
        <f t="shared" ca="1" si="197"/>
        <v>0</v>
      </c>
      <c r="S1430" s="1447">
        <f t="shared" ca="1" si="198"/>
        <v>0</v>
      </c>
      <c r="V1430" s="2557" t="str">
        <f t="shared" ca="1" si="191"/>
        <v/>
      </c>
      <c r="W1430" s="611" t="str">
        <f t="shared" ca="1" si="199"/>
        <v>Page5_CAD_VE, Ligne 24 [Page5_CAD_VE!L27]  -</v>
      </c>
    </row>
    <row r="1431" spans="1:23">
      <c r="A1431" s="1443" t="str">
        <f>celladdr(Page5_CAD_VE!L28)</f>
        <v>Page5_CAD_VE!L28</v>
      </c>
      <c r="B1431" s="1456" t="s">
        <v>1086</v>
      </c>
      <c r="C1431" s="1451" t="b">
        <f>Page5_CAD_VE!$L$28&lt;0</f>
        <v>0</v>
      </c>
      <c r="D1431" s="1454" t="b">
        <f>OR(AND(Page5_CAD_VE!$L28&lt;&gt;0,Page5_CAD_VE!$M28=0),AND(Page5_CAD_VE!$M28&lt;&gt;0,Page5_CAD_VE!$L28=0))</f>
        <v>0</v>
      </c>
      <c r="E1431" s="1454"/>
      <c r="F1431" s="1454"/>
      <c r="G1431" s="1444" t="str">
        <f t="shared" si="194"/>
        <v/>
      </c>
      <c r="H1431" s="1447" t="str">
        <f>IF(C1431=TRUE,Comments!$B$23,"")</f>
        <v/>
      </c>
      <c r="I1431" s="1446" t="str">
        <f>IF(D1431=TRUE,Comments!$B$24,"")</f>
        <v/>
      </c>
      <c r="J1431" s="1446"/>
      <c r="K1431" s="1452"/>
      <c r="N1431" s="611" t="str">
        <f>"CPTE # "&amp;Page5_CAD_VE!$E$28&amp;"  "&amp;Page5_CAD_VE!$C$28&amp;" - CHIFFRE D'AFFAIRES RÉALISÉ - AAD"</f>
        <v>CPTE # 423G  LYRIQ - CHIFFRE D'AFFAIRES RÉALISÉ - AAD</v>
      </c>
      <c r="O1431" s="611" t="str">
        <f t="shared" si="200"/>
        <v/>
      </c>
      <c r="P1431" s="611" t="str">
        <f t="shared" si="195"/>
        <v>Page5_CAD_VE!L</v>
      </c>
      <c r="Q1431" s="611">
        <f t="shared" si="196"/>
        <v>28</v>
      </c>
      <c r="R1431" s="1447">
        <f t="shared" ca="1" si="197"/>
        <v>0</v>
      </c>
      <c r="S1431" s="1447">
        <f t="shared" ca="1" si="198"/>
        <v>0</v>
      </c>
      <c r="V1431" s="2557" t="str">
        <f t="shared" ca="1" si="191"/>
        <v/>
      </c>
      <c r="W1431" s="611" t="str">
        <f t="shared" ca="1" si="199"/>
        <v>Page5_CAD_VE, Ligne 25 [Page5_CAD_VE!L28]  -</v>
      </c>
    </row>
    <row r="1432" spans="1:23">
      <c r="A1432" s="1443" t="str">
        <f>celladdr(Page5_CAD_VE!L29)</f>
        <v>Page5_CAD_VE!L29</v>
      </c>
      <c r="B1432" s="1456" t="s">
        <v>1086</v>
      </c>
      <c r="C1432" s="1451" t="b">
        <f>Page5_CAD_VE!$L$29&lt;0</f>
        <v>0</v>
      </c>
      <c r="D1432" s="1454" t="b">
        <f>OR(AND(Page5_CAD_VE!$L29&lt;&gt;0,Page5_CAD_VE!$M29=0),AND(Page5_CAD_VE!$M29&lt;&gt;0,Page5_CAD_VE!$L29=0))</f>
        <v>0</v>
      </c>
      <c r="E1432" s="1454"/>
      <c r="F1432" s="1454"/>
      <c r="G1432" s="1444" t="str">
        <f t="shared" si="194"/>
        <v/>
      </c>
      <c r="H1432" s="1447" t="str">
        <f>IF(C1432=TRUE,Comments!$B$23,"")</f>
        <v/>
      </c>
      <c r="I1432" s="1446" t="str">
        <f>IF(D1432=TRUE,Comments!$B$24,"")</f>
        <v/>
      </c>
      <c r="J1432" s="1446"/>
      <c r="K1432" s="1452"/>
      <c r="N1432" s="611" t="str">
        <f>"CPTE # "&amp;Page5_CAD_VE!$E$29&amp;"  "&amp;Page5_CAD_VE!$C$29&amp;" - CHIFFRE D'AFFAIRES RÉALISÉ - AAD"</f>
        <v>CPTE # 424G  OPTIQ - CHIFFRE D'AFFAIRES RÉALISÉ - AAD</v>
      </c>
      <c r="O1432" s="611" t="str">
        <f t="shared" si="200"/>
        <v/>
      </c>
      <c r="P1432" s="611" t="str">
        <f t="shared" si="195"/>
        <v>Page5_CAD_VE!L</v>
      </c>
      <c r="Q1432" s="611">
        <f t="shared" si="196"/>
        <v>29</v>
      </c>
      <c r="R1432" s="1447">
        <f t="shared" ca="1" si="197"/>
        <v>0</v>
      </c>
      <c r="S1432" s="1447">
        <f t="shared" ca="1" si="198"/>
        <v>0</v>
      </c>
      <c r="V1432" s="2557" t="str">
        <f t="shared" ref="V1432:V1495" ca="1" si="201">IF(SUM(R1432+S1432)=0,"","
*** "&amp;TEXT(SUM(R1432+S1432),"0,0")&amp;" Points de précision seront déduits suite à cette(ces) erreur(s) !")</f>
        <v/>
      </c>
      <c r="W1432" s="611" t="str">
        <f t="shared" ca="1" si="199"/>
        <v>Page5_CAD_VE, Ligne 26 [Page5_CAD_VE!L29]  -</v>
      </c>
    </row>
    <row r="1433" spans="1:23">
      <c r="A1433" s="1443" t="str">
        <f>celladdr(Page5_CAD_VE!L30)</f>
        <v>Page5_CAD_VE!L30</v>
      </c>
      <c r="B1433" s="1456" t="s">
        <v>1086</v>
      </c>
      <c r="C1433" s="1451" t="b">
        <f>Page5_CAD_VE!$L$30&lt;0</f>
        <v>0</v>
      </c>
      <c r="D1433" s="1454" t="b">
        <f>OR(AND(Page5_CAD_VE!$L30&lt;&gt;0,Page5_CAD_VE!$M30=0),AND(Page5_CAD_VE!$M30&lt;&gt;0,Page5_CAD_VE!$L30=0))</f>
        <v>0</v>
      </c>
      <c r="E1433" s="1454"/>
      <c r="F1433" s="1454"/>
      <c r="G1433" s="1444" t="str">
        <f t="shared" si="194"/>
        <v/>
      </c>
      <c r="H1433" s="1447" t="str">
        <f>IF(C1433=TRUE,Comments!$B$23,"")</f>
        <v/>
      </c>
      <c r="I1433" s="1446" t="str">
        <f>IF(D1433=TRUE,Comments!$B$24,"")</f>
        <v/>
      </c>
      <c r="J1433" s="1446"/>
      <c r="K1433" s="1452"/>
      <c r="N1433" s="611" t="str">
        <f>"CPTE # "&amp;Page5_CAD_VE!$E$30&amp;"  "&amp;Page5_CAD_VE!$C$30&amp;" - CHIFFRE D'AFFAIRES RÉALISÉ - AAD"</f>
        <v>CPTE # 425G  ESCALADE IQ - CHIFFRE D'AFFAIRES RÉALISÉ - AAD</v>
      </c>
      <c r="O1433" s="611" t="str">
        <f t="shared" si="200"/>
        <v/>
      </c>
      <c r="P1433" s="611" t="str">
        <f t="shared" si="195"/>
        <v>Page5_CAD_VE!L</v>
      </c>
      <c r="Q1433" s="611">
        <f t="shared" si="196"/>
        <v>30</v>
      </c>
      <c r="R1433" s="1447">
        <f t="shared" ca="1" si="197"/>
        <v>0</v>
      </c>
      <c r="S1433" s="1447">
        <f t="shared" ca="1" si="198"/>
        <v>0</v>
      </c>
      <c r="V1433" s="2557" t="str">
        <f t="shared" ca="1" si="201"/>
        <v/>
      </c>
      <c r="W1433" s="611" t="str">
        <f t="shared" ca="1" si="199"/>
        <v>Page5_CAD_VE, Ligne 27 [Page5_CAD_VE!L30]  -</v>
      </c>
    </row>
    <row r="1434" spans="1:23">
      <c r="A1434" s="1443" t="str">
        <f>celladdr(Page5_CAD_VE!L31)</f>
        <v>Page5_CAD_VE!L31</v>
      </c>
      <c r="B1434" s="1456" t="s">
        <v>1086</v>
      </c>
      <c r="C1434" s="1451" t="b">
        <f>Page5_CAD_VE!$L$31&lt;0</f>
        <v>0</v>
      </c>
      <c r="D1434" s="1454" t="b">
        <f>OR(AND(Page5_CAD_VE!$L31&lt;&gt;0,Page5_CAD_VE!$M31=0),AND(Page5_CAD_VE!$M31&lt;&gt;0,Page5_CAD_VE!$L31=0))</f>
        <v>0</v>
      </c>
      <c r="E1434" s="1454"/>
      <c r="F1434" s="1454"/>
      <c r="G1434" s="1444" t="str">
        <f t="shared" si="194"/>
        <v/>
      </c>
      <c r="H1434" s="1447" t="str">
        <f>IF(C1434=TRUE,Comments!$B$23,"")</f>
        <v/>
      </c>
      <c r="I1434" s="1446" t="str">
        <f>IF(D1434=TRUE,Comments!$B$24,"")</f>
        <v/>
      </c>
      <c r="J1434" s="1446"/>
      <c r="K1434" s="1452"/>
      <c r="N1434" s="611" t="str">
        <f>"CPTE # "&amp;Page5_CAD_VE!$E$31&amp;"  "&amp;Page5_CAD_VE!$C$31&amp;" - CHIFFRE D'AFFAIRES RÉALISÉ - AAD"</f>
        <v>CPTE # 426G  VISTIQ - CHIFFRE D'AFFAIRES RÉALISÉ - AAD</v>
      </c>
      <c r="O1434" s="611" t="str">
        <f t="shared" si="200"/>
        <v/>
      </c>
      <c r="P1434" s="611" t="str">
        <f t="shared" si="195"/>
        <v>Page5_CAD_VE!L</v>
      </c>
      <c r="Q1434" s="611">
        <f t="shared" si="196"/>
        <v>31</v>
      </c>
      <c r="R1434" s="1447">
        <f t="shared" ca="1" si="197"/>
        <v>0</v>
      </c>
      <c r="S1434" s="1447">
        <f t="shared" ca="1" si="198"/>
        <v>0</v>
      </c>
      <c r="V1434" s="2557" t="str">
        <f t="shared" ca="1" si="201"/>
        <v/>
      </c>
      <c r="W1434" s="611" t="str">
        <f t="shared" ca="1" si="199"/>
        <v>Page5_CAD_VE, Ligne 28 [Page5_CAD_VE!L31]  -</v>
      </c>
    </row>
    <row r="1435" spans="1:23">
      <c r="A1435" s="1443" t="str">
        <f>celladdr(Page5_CAD_VE!L32)</f>
        <v>Page5_CAD_VE!L32</v>
      </c>
      <c r="B1435" s="1456" t="s">
        <v>1086</v>
      </c>
      <c r="C1435" s="1451" t="b">
        <f>Page5_CAD_VE!$L$32&lt;0</f>
        <v>0</v>
      </c>
      <c r="D1435" s="1454" t="b">
        <f>OR(AND(Page5_CAD_VE!$L32&lt;&gt;0,Page5_CAD_VE!$M32=0),AND(Page5_CAD_VE!$M32&lt;&gt;0,Page5_CAD_VE!$L32=0))</f>
        <v>0</v>
      </c>
      <c r="E1435" s="1454"/>
      <c r="F1435" s="1454"/>
      <c r="G1435" s="1444" t="str">
        <f t="shared" si="194"/>
        <v/>
      </c>
      <c r="H1435" s="1447" t="str">
        <f>IF(C1435=TRUE,Comments!$B$23,"")</f>
        <v/>
      </c>
      <c r="I1435" s="1446" t="str">
        <f>IF(D1435=TRUE,Comments!$B$24,"")</f>
        <v/>
      </c>
      <c r="J1435" s="1446"/>
      <c r="K1435" s="1452"/>
      <c r="N1435" s="611" t="str">
        <f>"CPTE # "&amp;Page5_CAD_VE!$E$32&amp;"  "&amp;Page5_CAD_VE!$C$32&amp;" - CHIFFRE D'AFFAIRES RÉALISÉ - AAD"</f>
        <v>CPTE # 427G  ESCALADE IQL - CHIFFRE D'AFFAIRES RÉALISÉ - AAD</v>
      </c>
      <c r="O1435" s="611" t="str">
        <f t="shared" si="200"/>
        <v/>
      </c>
      <c r="P1435" s="611" t="str">
        <f t="shared" si="195"/>
        <v>Page5_CAD_VE!L</v>
      </c>
      <c r="Q1435" s="611">
        <f t="shared" si="196"/>
        <v>32</v>
      </c>
      <c r="R1435" s="1447">
        <f t="shared" ca="1" si="197"/>
        <v>0</v>
      </c>
      <c r="S1435" s="1447">
        <f t="shared" ca="1" si="198"/>
        <v>0</v>
      </c>
      <c r="V1435" s="2557" t="str">
        <f t="shared" ca="1" si="201"/>
        <v/>
      </c>
      <c r="W1435" s="611" t="str">
        <f t="shared" ca="1" si="199"/>
        <v>Page5_CAD_VE, Ligne 29 [Page5_CAD_VE!L32]  -</v>
      </c>
    </row>
    <row r="1436" spans="1:23">
      <c r="A1436" s="1443" t="str">
        <f>celladdr(Page5_CAD_VE!L33)</f>
        <v>Page5_CAD_VE!L33</v>
      </c>
      <c r="B1436" s="1456" t="s">
        <v>1086</v>
      </c>
      <c r="C1436" s="1451" t="b">
        <f>Page5_CAD_VE!$L$33&lt;0</f>
        <v>0</v>
      </c>
      <c r="D1436" s="1454" t="b">
        <f>OR(AND(Page5_CAD_VE!$L33&lt;&gt;0,Page5_CAD_VE!$M33=0),AND(Page5_CAD_VE!$M33&lt;&gt;0,Page5_CAD_VE!$L33=0))</f>
        <v>0</v>
      </c>
      <c r="E1436" s="1454"/>
      <c r="F1436" s="1454"/>
      <c r="G1436" s="1444" t="str">
        <f t="shared" si="194"/>
        <v/>
      </c>
      <c r="H1436" s="1447" t="str">
        <f>IF(C1436=TRUE,Comments!$B$23,"")</f>
        <v/>
      </c>
      <c r="I1436" s="1446" t="str">
        <f>IF(D1436=TRUE,Comments!$B$24,"")</f>
        <v/>
      </c>
      <c r="J1436" s="1446"/>
      <c r="K1436" s="1452"/>
      <c r="N1436" s="611" t="str">
        <f>"CPTE # "&amp;Page5_CAD_VE!$E$33&amp;"  "&amp;Page5_CAD_VE!$C$33&amp;" - CHIFFRE D'AFFAIRES RÉALISÉ - AAD"</f>
        <v>CPTE # 428G  NE PAS UTILISER - CHIFFRE D'AFFAIRES RÉALISÉ - AAD</v>
      </c>
      <c r="O1436" s="611" t="str">
        <f t="shared" si="200"/>
        <v/>
      </c>
      <c r="P1436" s="611" t="str">
        <f t="shared" si="195"/>
        <v>Page5_CAD_VE!L</v>
      </c>
      <c r="Q1436" s="611">
        <f t="shared" si="196"/>
        <v>33</v>
      </c>
      <c r="R1436" s="1447">
        <f t="shared" ca="1" si="197"/>
        <v>0</v>
      </c>
      <c r="S1436" s="1447">
        <f t="shared" ca="1" si="198"/>
        <v>0</v>
      </c>
      <c r="V1436" s="2557" t="str">
        <f t="shared" ca="1" si="201"/>
        <v/>
      </c>
      <c r="W1436" s="611" t="str">
        <f t="shared" ca="1" si="199"/>
        <v>Page5_CAD_VE, Ligne 30 [Page5_CAD_VE!L33]  -</v>
      </c>
    </row>
    <row r="1437" spans="1:23">
      <c r="A1437" s="1443" t="str">
        <f>celladdr(Page5_CAD_VE!L34)</f>
        <v>Page5_CAD_VE!L34</v>
      </c>
      <c r="B1437" s="1456" t="s">
        <v>1086</v>
      </c>
      <c r="C1437" s="1451" t="b">
        <f>Page5_CAD_VE!$L$34&lt;0</f>
        <v>0</v>
      </c>
      <c r="D1437" s="1454" t="b">
        <f>OR(AND(Page5_CAD_VE!$L34&lt;&gt;0,Page5_CAD_VE!$M34=0),AND(Page5_CAD_VE!$M34&lt;&gt;0,Page5_CAD_VE!$L34=0))</f>
        <v>0</v>
      </c>
      <c r="E1437" s="1454"/>
      <c r="F1437" s="1454"/>
      <c r="G1437" s="1444" t="str">
        <f t="shared" si="194"/>
        <v/>
      </c>
      <c r="H1437" s="1447" t="str">
        <f>IF(C1437=TRUE,Comments!$B$23,"")</f>
        <v/>
      </c>
      <c r="I1437" s="1446" t="str">
        <f>IF(D1440=TRUE,Comments!$B$24,"")</f>
        <v/>
      </c>
      <c r="J1437" s="1446"/>
      <c r="K1437" s="1452"/>
      <c r="N1437" s="611" t="str">
        <f>"CPTE # "&amp;Page5_CAD_VE!$E$34&amp;"  "&amp;Page5_CAD_VE!$C$34&amp;" - CHIFFRE D'AFFAIRES RÉALISÉ - AAD"</f>
        <v>CPTE # 429G  NE PAS UTILISER - CHIFFRE D'AFFAIRES RÉALISÉ - AAD</v>
      </c>
      <c r="O1437" s="611" t="str">
        <f t="shared" si="200"/>
        <v/>
      </c>
      <c r="P1437" s="611" t="str">
        <f t="shared" si="195"/>
        <v>Page5_CAD_VE!L</v>
      </c>
      <c r="Q1437" s="611">
        <f t="shared" si="196"/>
        <v>34</v>
      </c>
      <c r="R1437" s="1447">
        <f t="shared" ca="1" si="197"/>
        <v>0</v>
      </c>
      <c r="S1437" s="1447">
        <f t="shared" ca="1" si="198"/>
        <v>0</v>
      </c>
      <c r="V1437" s="2557" t="str">
        <f t="shared" ca="1" si="201"/>
        <v/>
      </c>
      <c r="W1437" s="611" t="str">
        <f t="shared" ca="1" si="199"/>
        <v>Page5_CAD_VE, Ligne 31 [Page5_CAD_VE!L34]  -</v>
      </c>
    </row>
    <row r="1438" spans="1:23">
      <c r="A1438" s="1443" t="str">
        <f>celladdr(Page5_CAD_VE!L35)</f>
        <v>Page5_CAD_VE!L35</v>
      </c>
      <c r="B1438" s="1456" t="s">
        <v>1086</v>
      </c>
      <c r="C1438" s="1451" t="b">
        <f>Page5_CAD_VE!$L$35&lt;0</f>
        <v>0</v>
      </c>
      <c r="D1438" s="1454" t="b">
        <f>OR(AND(Page5_CAD_VE!$L35&lt;&gt;0,Page5_CAD_VE!$M35=0),AND(Page5_CAD_VE!$M35&lt;&gt;0,Page5_CAD_VE!$L35=0))</f>
        <v>0</v>
      </c>
      <c r="E1438" s="1454"/>
      <c r="F1438" s="1454"/>
      <c r="G1438" s="1444" t="str">
        <f t="shared" si="194"/>
        <v/>
      </c>
      <c r="H1438" s="1447" t="str">
        <f>IF(C1438=TRUE,Comments!$B$23,"")</f>
        <v/>
      </c>
      <c r="I1438" s="1446" t="str">
        <f>IF(D1438=TRUE,Comments!$B$24,"")</f>
        <v/>
      </c>
      <c r="J1438" s="1446"/>
      <c r="K1438" s="1452"/>
      <c r="N1438" s="611" t="str">
        <f>"CPTE # "&amp;Page5_CAD_VE!$E$35&amp;"  "&amp;Page5_CAD_VE!$C$35&amp;" - CHIFFRE D'AFFAIRES RÉALISÉ - AAD"</f>
        <v>CPTE # 430G  NE PAS UTILISER - CHIFFRE D'AFFAIRES RÉALISÉ - AAD</v>
      </c>
      <c r="O1438" s="611" t="str">
        <f t="shared" si="200"/>
        <v/>
      </c>
      <c r="P1438" s="611" t="str">
        <f t="shared" si="195"/>
        <v>Page5_CAD_VE!L</v>
      </c>
      <c r="Q1438" s="611">
        <f t="shared" si="196"/>
        <v>35</v>
      </c>
      <c r="R1438" s="1447">
        <f t="shared" ca="1" si="197"/>
        <v>0</v>
      </c>
      <c r="S1438" s="1447">
        <f t="shared" ca="1" si="198"/>
        <v>0</v>
      </c>
      <c r="V1438" s="2557" t="str">
        <f t="shared" ca="1" si="201"/>
        <v/>
      </c>
      <c r="W1438" s="611" t="str">
        <f t="shared" ca="1" si="199"/>
        <v>Page5_CAD_VE, Ligne 32 [Page5_CAD_VE!L35]  -</v>
      </c>
    </row>
    <row r="1439" spans="1:23">
      <c r="A1439" s="1443" t="str">
        <f>celladdr(Page5_CAD_VE!L36)</f>
        <v>Page5_CAD_VE!L36</v>
      </c>
      <c r="B1439" s="1456" t="s">
        <v>1086</v>
      </c>
      <c r="C1439" s="1451" t="b">
        <f>Page5_CAD_VE!$L$36&lt;0</f>
        <v>0</v>
      </c>
      <c r="D1439" s="1454" t="b">
        <f>OR(AND(Page5_CAD_VE!$L36&lt;&gt;0,Page5_CAD_VE!$M36=0),AND(Page5_CAD_VE!$M36&lt;&gt;0,Page5_CAD_VE!$L36=0))</f>
        <v>0</v>
      </c>
      <c r="E1439" s="1454"/>
      <c r="F1439" s="1454"/>
      <c r="G1439" s="1444" t="str">
        <f t="shared" si="194"/>
        <v/>
      </c>
      <c r="H1439" s="1447" t="str">
        <f>IF(C1439=TRUE,Comments!$B$23,"")</f>
        <v/>
      </c>
      <c r="I1439" s="1446" t="str">
        <f>IF(D1439=TRUE,Comments!$B$24,"")</f>
        <v/>
      </c>
      <c r="J1439" s="1446"/>
      <c r="K1439" s="1452"/>
      <c r="N1439" s="611" t="str">
        <f>"CPTE # "&amp;Page5_CAD_VE!$E$36&amp;"  "&amp;Page5_CAD_VE!$C$36&amp;" - CHIFFRE D'AFFAIRES RÉALISÉ - AAD"</f>
        <v>CPTE # 431G  NE PAS UTILISER - CHIFFRE D'AFFAIRES RÉALISÉ - AAD</v>
      </c>
      <c r="O1439" s="611" t="str">
        <f t="shared" si="200"/>
        <v/>
      </c>
      <c r="P1439" s="611" t="str">
        <f t="shared" si="195"/>
        <v>Page5_CAD_VE!L</v>
      </c>
      <c r="Q1439" s="611">
        <f t="shared" si="196"/>
        <v>36</v>
      </c>
      <c r="R1439" s="1447">
        <f t="shared" ca="1" si="197"/>
        <v>0</v>
      </c>
      <c r="S1439" s="1447">
        <f t="shared" ca="1" si="198"/>
        <v>0</v>
      </c>
      <c r="V1439" s="2557" t="str">
        <f t="shared" ca="1" si="201"/>
        <v/>
      </c>
      <c r="W1439" s="611" t="str">
        <f t="shared" ca="1" si="199"/>
        <v>Page5_CAD_VE, Ligne 33 [Page5_CAD_VE!L36]  -</v>
      </c>
    </row>
    <row r="1440" spans="1:23">
      <c r="A1440" s="1443" t="str">
        <f>celladdr(Page5_CAD_VE!L37)</f>
        <v>Page5_CAD_VE!L37</v>
      </c>
      <c r="B1440" s="1456" t="s">
        <v>1086</v>
      </c>
      <c r="C1440" s="1451" t="b">
        <f>Page5_CAD_VE!$L$37&lt;0</f>
        <v>0</v>
      </c>
      <c r="D1440" s="1454" t="b">
        <f>OR(AND(Page5_CAD_VE!$L37&lt;&gt;0,Page5_CAD_VE!$M37=0),AND(Page5_CAD_VE!$M37&lt;&gt;0,Page5_CAD_VE!$L37=0))</f>
        <v>0</v>
      </c>
      <c r="E1440" s="1454"/>
      <c r="F1440" s="1454"/>
      <c r="G1440" s="1444" t="str">
        <f t="shared" si="194"/>
        <v/>
      </c>
      <c r="H1440" s="1447" t="str">
        <f>IF(C1440=TRUE,Comments!$B$23,"")</f>
        <v/>
      </c>
      <c r="I1440" s="1446" t="str">
        <f>IF(D1440=TRUE,Comments!$B$24,"")</f>
        <v/>
      </c>
      <c r="J1440" s="1446"/>
      <c r="K1440" s="1452"/>
      <c r="N1440" s="611" t="str">
        <f>"CPTE # "&amp;Page5_CAD_VE!$E$37&amp;"  "&amp;Page5_CAD_VE!$C$37&amp;" - CHIFFRE D'AFFAIRES RÉALISÉ - AAD"</f>
        <v>CPTE # 432G  NE PAS UTILISER - CHIFFRE D'AFFAIRES RÉALISÉ - AAD</v>
      </c>
      <c r="O1440" s="611" t="str">
        <f t="shared" si="200"/>
        <v/>
      </c>
      <c r="P1440" s="611" t="str">
        <f t="shared" si="195"/>
        <v>Page5_CAD_VE!L</v>
      </c>
      <c r="Q1440" s="611">
        <f t="shared" si="196"/>
        <v>37</v>
      </c>
      <c r="R1440" s="1447">
        <f t="shared" ca="1" si="197"/>
        <v>0</v>
      </c>
      <c r="S1440" s="1447">
        <f t="shared" ca="1" si="198"/>
        <v>0</v>
      </c>
      <c r="V1440" s="2557" t="str">
        <f t="shared" ca="1" si="201"/>
        <v/>
      </c>
      <c r="W1440" s="611" t="str">
        <f t="shared" ca="1" si="199"/>
        <v>Page5_CAD_VE, Ligne 34 [Page5_CAD_VE!L37]  -</v>
      </c>
    </row>
    <row r="1441" spans="1:23">
      <c r="A1441" s="1443" t="str">
        <f>celladdr(Page5_CAD_VE!L38)</f>
        <v>Page5_CAD_VE!L38</v>
      </c>
      <c r="B1441" s="1456" t="s">
        <v>1086</v>
      </c>
      <c r="C1441" s="1451" t="b">
        <f>Page5_CAD_VE!$L$38&lt;0</f>
        <v>0</v>
      </c>
      <c r="D1441" s="1454" t="b">
        <f>OR(AND(Page5_CAD_VE!$L38&lt;&gt;0,Page5_CAD_VE!$M38=0),AND(Page5_CAD_VE!$M38&lt;&gt;0,Page5_CAD_VE!$L38=0))</f>
        <v>0</v>
      </c>
      <c r="E1441" s="1454"/>
      <c r="F1441" s="1454"/>
      <c r="G1441" s="1444" t="str">
        <f t="shared" si="194"/>
        <v/>
      </c>
      <c r="H1441" s="1447" t="str">
        <f>IF(C1441=TRUE,Comments!$B$23,"")</f>
        <v/>
      </c>
      <c r="I1441" s="1446" t="str">
        <f>IF(D1441=TRUE,Comments!$B$24,"")</f>
        <v/>
      </c>
      <c r="J1441" s="1446"/>
      <c r="K1441" s="1452"/>
      <c r="N1441" s="611" t="str">
        <f>"CPTE # "&amp;Page5_CAD_VE!$E$38&amp;"  "&amp;Page5_CAD_VE!$C$38&amp;" - CHIFFRE D'AFFAIRES RÉALISÉ - AAD"</f>
        <v>CPTE # 433G  NE PAS UTILISER - CHIFFRE D'AFFAIRES RÉALISÉ - AAD</v>
      </c>
      <c r="O1441" s="611" t="str">
        <f t="shared" si="200"/>
        <v/>
      </c>
      <c r="P1441" s="611" t="str">
        <f t="shared" si="195"/>
        <v>Page5_CAD_VE!L</v>
      </c>
      <c r="Q1441" s="611">
        <f t="shared" si="196"/>
        <v>38</v>
      </c>
      <c r="R1441" s="1447">
        <f t="shared" ca="1" si="197"/>
        <v>0</v>
      </c>
      <c r="S1441" s="1447">
        <f t="shared" ca="1" si="198"/>
        <v>0</v>
      </c>
      <c r="V1441" s="2557" t="str">
        <f t="shared" ca="1" si="201"/>
        <v/>
      </c>
      <c r="W1441" s="611" t="str">
        <f t="shared" ca="1" si="199"/>
        <v>Page5_CAD_VE, Ligne 35 [Page5_CAD_VE!L38]  -</v>
      </c>
    </row>
    <row r="1442" spans="1:23">
      <c r="A1442" s="1443" t="str">
        <f>celladdr(Page5_CAD_VE!L39)</f>
        <v>Page5_CAD_VE!L39</v>
      </c>
      <c r="B1442" s="1456" t="s">
        <v>1086</v>
      </c>
      <c r="C1442" s="1451" t="b">
        <f>Page5_CAD_VE!$L$39&lt;0</f>
        <v>0</v>
      </c>
      <c r="D1442" s="1454" t="b">
        <f>OR(AND(Page5_CAD_VE!$L39&lt;&gt;0,Page5_CAD_VE!$M39=0),AND(Page5_CAD_VE!$M39&lt;&gt;0,Page5_CAD_VE!$L39=0))</f>
        <v>0</v>
      </c>
      <c r="E1442" s="1454"/>
      <c r="F1442" s="1454"/>
      <c r="G1442" s="1444" t="str">
        <f t="shared" si="194"/>
        <v/>
      </c>
      <c r="H1442" s="1447" t="str">
        <f>IF(C1442=TRUE,Comments!$B$23,"")</f>
        <v/>
      </c>
      <c r="I1442" s="1446" t="str">
        <f>IF(D1442=TRUE,Comments!$B$24,"")</f>
        <v/>
      </c>
      <c r="J1442" s="1446"/>
      <c r="K1442" s="1452"/>
      <c r="N1442" s="611" t="str">
        <f>"CPTE # "&amp;Page5_CAD_VE!$E$39&amp;"  "&amp;Page5_CAD_VE!$C$39&amp;" - CHIFFRE D'AFFAIRES RÉALISÉ - AAD"</f>
        <v>CPTE # 434G  NE PAS UTILISER - CHIFFRE D'AFFAIRES RÉALISÉ - AAD</v>
      </c>
      <c r="O1442" s="611" t="str">
        <f t="shared" si="200"/>
        <v/>
      </c>
      <c r="P1442" s="611" t="str">
        <f t="shared" si="195"/>
        <v>Page5_CAD_VE!L</v>
      </c>
      <c r="Q1442" s="611">
        <f t="shared" si="196"/>
        <v>39</v>
      </c>
      <c r="R1442" s="1447">
        <f t="shared" ca="1" si="197"/>
        <v>0</v>
      </c>
      <c r="S1442" s="1447">
        <f t="shared" ca="1" si="198"/>
        <v>0</v>
      </c>
      <c r="V1442" s="2557" t="str">
        <f t="shared" ca="1" si="201"/>
        <v/>
      </c>
      <c r="W1442" s="611" t="str">
        <f t="shared" ca="1" si="199"/>
        <v>Page5_CAD_VE, Ligne 36 [Page5_CAD_VE!L39]  -</v>
      </c>
    </row>
    <row r="1443" spans="1:23">
      <c r="A1443" s="1443" t="str">
        <f>celladdr(Page5_CAD_VE!L40)</f>
        <v>Page5_CAD_VE!L40</v>
      </c>
      <c r="B1443" s="1456" t="s">
        <v>1086</v>
      </c>
      <c r="C1443" s="1451" t="b">
        <f>Page5_CAD_VE!$L$40&lt;0</f>
        <v>0</v>
      </c>
      <c r="D1443" s="1454" t="b">
        <f>OR(AND(Page5_CAD_VE!$L40&lt;&gt;0,Page5_CAD_VE!$M40=0),AND(Page5_CAD_VE!$M40&lt;&gt;0,Page5_CAD_VE!$L40=0))</f>
        <v>0</v>
      </c>
      <c r="E1443" s="1454"/>
      <c r="F1443" s="1454"/>
      <c r="G1443" s="1444" t="str">
        <f t="shared" si="194"/>
        <v/>
      </c>
      <c r="H1443" s="1447" t="str">
        <f>IF(C1443=TRUE,Comments!$B$23,"")</f>
        <v/>
      </c>
      <c r="I1443" s="1446" t="str">
        <f>IF(D1443=TRUE,Comments!$B$24,"")</f>
        <v/>
      </c>
      <c r="J1443" s="1446"/>
      <c r="K1443" s="1452"/>
      <c r="N1443" s="611" t="str">
        <f>"CPTE # "&amp;Page5_CAD_VE!$E$40&amp;"  "&amp;Page5_CAD_VE!$C$40&amp;" - CHIFFRE D'AFFAIRES RÉALISÉ - AAD"</f>
        <v>CPTE # 435G  NE PAS UTILISER - CHIFFRE D'AFFAIRES RÉALISÉ - AAD</v>
      </c>
      <c r="O1443" s="611" t="str">
        <f t="shared" si="200"/>
        <v/>
      </c>
      <c r="P1443" s="611" t="str">
        <f t="shared" si="195"/>
        <v>Page5_CAD_VE!L</v>
      </c>
      <c r="Q1443" s="611">
        <f t="shared" si="196"/>
        <v>40</v>
      </c>
      <c r="R1443" s="1447">
        <f t="shared" ca="1" si="197"/>
        <v>0</v>
      </c>
      <c r="S1443" s="1447">
        <f t="shared" ca="1" si="198"/>
        <v>0</v>
      </c>
      <c r="V1443" s="2557" t="str">
        <f t="shared" ca="1" si="201"/>
        <v/>
      </c>
      <c r="W1443" s="611" t="str">
        <f t="shared" ca="1" si="199"/>
        <v>Page5_CAD_VE, Ligne 37 [Page5_CAD_VE!L40]  -</v>
      </c>
    </row>
    <row r="1444" spans="1:23">
      <c r="A1444" s="1443" t="str">
        <f>celladdr(Page5_CAD_VE!L41)</f>
        <v>Page5_CAD_VE!L41</v>
      </c>
      <c r="B1444" s="1456" t="s">
        <v>1086</v>
      </c>
      <c r="C1444" s="1451" t="b">
        <f>Page5_CAD_VE!$L$41&lt;0</f>
        <v>0</v>
      </c>
      <c r="D1444" s="1454" t="b">
        <f>OR(AND(Page5_CAD_VE!$L41&lt;&gt;0,Page5_CAD_VE!$M41=0),AND(Page5_CAD_VE!$M41&lt;&gt;0,Page5_CAD_VE!$L41=0))</f>
        <v>0</v>
      </c>
      <c r="E1444" s="1454"/>
      <c r="F1444" s="1454"/>
      <c r="G1444" s="1444" t="str">
        <f t="shared" si="194"/>
        <v/>
      </c>
      <c r="H1444" s="1447" t="str">
        <f>IF(C1444=TRUE,Comments!$B$23,"")</f>
        <v/>
      </c>
      <c r="I1444" s="1446" t="str">
        <f>IF(D1444=TRUE,Comments!$B$24,"")</f>
        <v/>
      </c>
      <c r="J1444" s="1446"/>
      <c r="K1444" s="1452"/>
      <c r="N1444" s="611" t="str">
        <f>"CPTE # "&amp;Page5_CAD_VE!$E$41&amp;"  "&amp;Page5_CAD_VE!$C$41&amp;" - CHIFFRE D'AFFAIRES RÉALISÉ - AAD"</f>
        <v>CPTE # 436G  NE PAS UTILISER - CHIFFRE D'AFFAIRES RÉALISÉ - AAD</v>
      </c>
      <c r="O1444" s="611" t="str">
        <f t="shared" si="200"/>
        <v/>
      </c>
      <c r="P1444" s="611" t="str">
        <f t="shared" si="195"/>
        <v>Page5_CAD_VE!L</v>
      </c>
      <c r="Q1444" s="611">
        <f t="shared" si="196"/>
        <v>41</v>
      </c>
      <c r="R1444" s="1447">
        <f t="shared" ca="1" si="197"/>
        <v>0</v>
      </c>
      <c r="S1444" s="1447">
        <f t="shared" ca="1" si="198"/>
        <v>0</v>
      </c>
      <c r="V1444" s="2557" t="str">
        <f t="shared" ca="1" si="201"/>
        <v/>
      </c>
      <c r="W1444" s="611" t="str">
        <f t="shared" ca="1" si="199"/>
        <v>Page5_CAD_VE, Ligne 38 [Page5_CAD_VE!L41]  -</v>
      </c>
    </row>
    <row r="1445" spans="1:23">
      <c r="A1445" s="1443" t="str">
        <f>celladdr(Page5_CAD_VE!L42)</f>
        <v>Page5_CAD_VE!L42</v>
      </c>
      <c r="B1445" s="1456" t="s">
        <v>1086</v>
      </c>
      <c r="C1445" s="1451" t="b">
        <f>Page5_CAD_VE!$L$42&lt;0</f>
        <v>0</v>
      </c>
      <c r="D1445" s="1454" t="b">
        <f>OR(AND(Page5_CAD_VE!$L42&lt;&gt;0,Page5_CAD_VE!$M42=0),AND(Page5_CAD_VE!$M42&lt;&gt;0,Page5_CAD_VE!$L42=0))</f>
        <v>0</v>
      </c>
      <c r="E1445" s="1454"/>
      <c r="F1445" s="1454"/>
      <c r="G1445" s="1444" t="str">
        <f t="shared" si="194"/>
        <v/>
      </c>
      <c r="H1445" s="1447" t="str">
        <f>IF(C1445=TRUE,Comments!$B$23,"")</f>
        <v/>
      </c>
      <c r="I1445" s="1446" t="str">
        <f>IF(D1445=TRUE,Comments!$B$24,"")</f>
        <v/>
      </c>
      <c r="J1445" s="1446"/>
      <c r="K1445" s="1452"/>
      <c r="N1445" s="611" t="str">
        <f>"CPTE # "&amp;Page5_CAD_VE!$E$42&amp;"  "&amp;Page5_CAD_VE!$C$42&amp;" - CHIFFRE D'AFFAIRES RÉALISÉ - AAD"</f>
        <v>CPTE # 437G  NE PAS UTILISER - CHIFFRE D'AFFAIRES RÉALISÉ - AAD</v>
      </c>
      <c r="O1445" s="611" t="str">
        <f t="shared" si="200"/>
        <v/>
      </c>
      <c r="P1445" s="611" t="str">
        <f t="shared" si="195"/>
        <v>Page5_CAD_VE!L</v>
      </c>
      <c r="Q1445" s="611">
        <f t="shared" si="196"/>
        <v>42</v>
      </c>
      <c r="R1445" s="1447">
        <f t="shared" ca="1" si="197"/>
        <v>0</v>
      </c>
      <c r="S1445" s="1447">
        <f t="shared" ca="1" si="198"/>
        <v>0</v>
      </c>
      <c r="V1445" s="2557" t="str">
        <f t="shared" ca="1" si="201"/>
        <v/>
      </c>
      <c r="W1445" s="611" t="str">
        <f t="shared" ca="1" si="199"/>
        <v>Page5_CAD_VE, Ligne 39 [Page5_CAD_VE!L42]  -</v>
      </c>
    </row>
    <row r="1446" spans="1:23">
      <c r="A1446" s="1443" t="str">
        <f>celladdr(Page5_CAD_VE!L43)</f>
        <v>Page5_CAD_VE!L43</v>
      </c>
      <c r="B1446" s="1456" t="s">
        <v>1086</v>
      </c>
      <c r="C1446" s="1451" t="b">
        <f>Page5_CAD_VE!$L$43&lt;0</f>
        <v>0</v>
      </c>
      <c r="D1446" s="1454" t="b">
        <f>OR(AND(Page5_CAD_VE!$L43&lt;&gt;0,Page5_CAD_VE!$M43=0),AND(Page5_CAD_VE!$M43&lt;&gt;0,Page5_CAD_VE!$L43=0))</f>
        <v>0</v>
      </c>
      <c r="E1446" s="1454"/>
      <c r="F1446" s="1454"/>
      <c r="G1446" s="1444" t="str">
        <f t="shared" si="194"/>
        <v/>
      </c>
      <c r="H1446" s="1447" t="str">
        <f>IF(C1446=TRUE,Comments!$B$23,"")</f>
        <v/>
      </c>
      <c r="I1446" s="1446" t="str">
        <f>IF(D1446=TRUE,Comments!$B$24,"")</f>
        <v/>
      </c>
      <c r="J1446" s="1446"/>
      <c r="K1446" s="1452"/>
      <c r="N1446" s="611" t="str">
        <f>"CPTE # "&amp;Page5_CAD_VE!$E$43&amp;"  "&amp;Page5_CAD_VE!$C$43&amp;" - CHIFFRE D'AFFAIRES RÉALISÉ - AAD"</f>
        <v>CPTE # 438G  NE PAS UTILISER - CHIFFRE D'AFFAIRES RÉALISÉ - AAD</v>
      </c>
      <c r="O1446" s="611" t="str">
        <f t="shared" si="200"/>
        <v/>
      </c>
      <c r="P1446" s="611" t="str">
        <f t="shared" si="195"/>
        <v>Page5_CAD_VE!L</v>
      </c>
      <c r="Q1446" s="611">
        <f t="shared" si="196"/>
        <v>43</v>
      </c>
      <c r="R1446" s="1447">
        <f t="shared" ca="1" si="197"/>
        <v>0</v>
      </c>
      <c r="S1446" s="1447">
        <f t="shared" ca="1" si="198"/>
        <v>0</v>
      </c>
      <c r="V1446" s="2557" t="str">
        <f t="shared" ca="1" si="201"/>
        <v/>
      </c>
      <c r="W1446" s="611" t="str">
        <f t="shared" ca="1" si="199"/>
        <v>Page5_CAD_VE, Ligne 40 [Page5_CAD_VE!L43]  -</v>
      </c>
    </row>
    <row r="1447" spans="1:23">
      <c r="A1447" s="1443" t="str">
        <f>celladdr(Page5_CAD_VE!L44)</f>
        <v>Page5_CAD_VE!L44</v>
      </c>
      <c r="B1447" s="1444" t="s">
        <v>1086</v>
      </c>
      <c r="C1447" s="1451"/>
      <c r="D1447" s="1454"/>
      <c r="E1447" s="1454"/>
      <c r="F1447" s="1454"/>
      <c r="G1447" s="1444" t="str">
        <f t="shared" si="194"/>
        <v/>
      </c>
      <c r="H1447" s="1447" t="str">
        <f>IF(C1447=TRUE,Comments!$B$26,"")</f>
        <v/>
      </c>
      <c r="I1447" s="1446" t="str">
        <f>IF(D1447=TRUE,Comments!$B$24,"")</f>
        <v/>
      </c>
      <c r="J1447" s="1446"/>
      <c r="K1447" s="1452"/>
      <c r="O1447" s="611" t="str">
        <f t="shared" si="200"/>
        <v/>
      </c>
      <c r="P1447" s="611" t="str">
        <f t="shared" si="195"/>
        <v>Page5_CAD_VE!L</v>
      </c>
      <c r="Q1447" s="611">
        <f t="shared" si="196"/>
        <v>44</v>
      </c>
      <c r="R1447" s="1447">
        <f t="shared" ca="1" si="197"/>
        <v>0</v>
      </c>
      <c r="S1447" s="1447">
        <f t="shared" ca="1" si="198"/>
        <v>0</v>
      </c>
      <c r="V1447" s="2557" t="str">
        <f t="shared" ca="1" si="201"/>
        <v/>
      </c>
      <c r="W1447" s="611" t="str">
        <f t="shared" ca="1" si="199"/>
        <v>Page5_CAD_VE, Ligne 41 [Page5_CAD_VE!L44]  -</v>
      </c>
    </row>
    <row r="1448" spans="1:23">
      <c r="A1448" s="1443" t="str">
        <f>celladdr(Page5_CAD_VE!L45)</f>
        <v>Page5_CAD_VE!L45</v>
      </c>
      <c r="B1448" s="1456" t="s">
        <v>1086</v>
      </c>
      <c r="C1448" s="1451" t="b">
        <f>Page5_CAD_VE!$L$45&lt;0</f>
        <v>0</v>
      </c>
      <c r="D1448" s="1454" t="b">
        <f>OR(AND(Page5_CAD_VE!$L45&lt;&gt;0,Page5_CAD_VE!$M45=0),AND(Page5_CAD_VE!$M45&lt;&gt;0,Page5_CAD_VE!$L45=0))</f>
        <v>0</v>
      </c>
      <c r="E1448" s="1454"/>
      <c r="F1448" s="1454"/>
      <c r="G1448" s="1444" t="str">
        <f t="shared" si="194"/>
        <v/>
      </c>
      <c r="H1448" s="1447" t="str">
        <f>IF(C1448=TRUE,Comments!$B$23,"")</f>
        <v/>
      </c>
      <c r="I1448" s="1446" t="str">
        <f>IF(D1448=TRUE,Comments!$B$24,"")</f>
        <v/>
      </c>
      <c r="J1448" s="1446"/>
      <c r="K1448" s="1452"/>
      <c r="N1448" s="611" t="str">
        <f>"CPTE # "&amp;Page5_CAD_VE!$E$45&amp;"  "&amp;Page5_CAD_VE!$C$45&amp;" - CHIFFRE D'AFFAIRES RÉALISÉ - AAD"</f>
        <v>CPTE # 439G  MÉMO* VENTES INTERNET CAMIONS - CHIFFRE D'AFFAIRES RÉALISÉ - AAD</v>
      </c>
      <c r="O1448" s="611" t="str">
        <f t="shared" si="200"/>
        <v/>
      </c>
      <c r="P1448" s="611" t="str">
        <f t="shared" si="195"/>
        <v>Page5_CAD_VE!L</v>
      </c>
      <c r="Q1448" s="611">
        <f t="shared" si="196"/>
        <v>45</v>
      </c>
      <c r="R1448" s="1447">
        <f t="shared" ca="1" si="197"/>
        <v>0</v>
      </c>
      <c r="S1448" s="1447">
        <f t="shared" ca="1" si="198"/>
        <v>0</v>
      </c>
      <c r="V1448" s="2557" t="str">
        <f t="shared" ca="1" si="201"/>
        <v/>
      </c>
      <c r="W1448" s="611" t="str">
        <f t="shared" ca="1" si="199"/>
        <v>Page5_CAD_VE, Ligne 42 [Page5_CAD_VE!L45]  -</v>
      </c>
    </row>
    <row r="1449" spans="1:23">
      <c r="A1449" s="1443" t="str">
        <f>celladdr(Page5_CAD_VE!L46)</f>
        <v>Page5_CAD_VE!L46</v>
      </c>
      <c r="B1449" s="1456" t="s">
        <v>1086</v>
      </c>
      <c r="C1449" s="1451" t="b">
        <f>Page5_CAD_VE!$L$46&lt;0</f>
        <v>0</v>
      </c>
      <c r="D1449" s="1454" t="b">
        <f>OR(AND(Page5_CAD_VE!$L46&lt;&gt;0,Page5_CAD_VE!$M46=0),AND(Page5_CAD_VE!$M46&lt;&gt;0,Page5_CAD_VE!$L46=0))</f>
        <v>0</v>
      </c>
      <c r="E1449" s="1454" t="b">
        <f>ROUND(Page5_BUI_VE!L46+ Page5_CAD_VE!L46,2)&lt;&gt;ROUND(Page5_PARCS_GOUV!L13+Page5_PARCS_GOUV!L15+Page5_PARCS_GOUV!L17+Page5_PARCS_GOUV!L49+Page5_PARCS_GOUV!L51+Page5_PARCS_GOUV!L53,2)</f>
        <v>0</v>
      </c>
      <c r="F1449" s="1454"/>
      <c r="G1449" s="1444" t="str">
        <f t="shared" si="194"/>
        <v/>
      </c>
      <c r="H1449" s="1447" t="str">
        <f>IF(C1449=TRUE,Comments!$B$23,"")</f>
        <v/>
      </c>
      <c r="I1449" s="1446" t="str">
        <f>IF(D1449=TRUE,Comments!$B$24,"")</f>
        <v/>
      </c>
      <c r="J1449" s="1446" t="str">
        <f>IF(E1449=TRUE, Comments!$B$101,"")</f>
        <v/>
      </c>
      <c r="K1449" s="1452"/>
      <c r="N1449" s="611" t="str">
        <f>"CPTE # "&amp;Page5_CAD_VE!$E$46&amp;"  "&amp;Page5_CAD_VE!$C$46&amp;" - CHIFFRE D'AFFAIRES RÉALISÉ - AAD"</f>
        <v>CPTE # DE PG PARCS  TOTAL PARCS - CAMIONS - CHIFFRE D'AFFAIRES RÉALISÉ - AAD</v>
      </c>
      <c r="O1449" s="611" t="str">
        <f t="shared" si="200"/>
        <v/>
      </c>
      <c r="P1449" s="611" t="str">
        <f t="shared" si="195"/>
        <v>Page5_CAD_VE!L</v>
      </c>
      <c r="Q1449" s="611">
        <f t="shared" si="196"/>
        <v>46</v>
      </c>
      <c r="R1449" s="1447">
        <f t="shared" ca="1" si="197"/>
        <v>0</v>
      </c>
      <c r="S1449" s="1447">
        <f t="shared" ca="1" si="198"/>
        <v>0</v>
      </c>
      <c r="T1449" s="611">
        <v>101</v>
      </c>
      <c r="V1449" s="2557" t="str">
        <f t="shared" ca="1" si="201"/>
        <v/>
      </c>
      <c r="W1449" s="611" t="str">
        <f t="shared" ca="1" si="199"/>
        <v>Page5_CAD_VE, Ligne 43 [Page5_CAD_VE!L46]  -</v>
      </c>
    </row>
    <row r="1450" spans="1:23">
      <c r="A1450" s="1443" t="str">
        <f>celladdr(Page5_CAD_VE!N46)</f>
        <v>Page5_CAD_VE!N46</v>
      </c>
      <c r="B1450" s="1456" t="s">
        <v>1086</v>
      </c>
      <c r="C1450" s="1451"/>
      <c r="D1450" s="1454"/>
      <c r="E1450" s="1454" t="b">
        <f>ROUND(Page5_BUI_VE!N46+ Page5_CAD_VE!N46,2)&lt;&gt;ROUND(Page5_PARCS_GOUV!N13+Page5_PARCS_GOUV!N15+Page5_PARCS_GOUV!N17+Page5_PARCS_GOUV!N49+Page5_PARCS_GOUV!N51+Page5_PARCS_GOUV!N53,2)</f>
        <v>0</v>
      </c>
      <c r="F1450" s="1454"/>
      <c r="G1450" s="1444" t="str">
        <f t="shared" si="194"/>
        <v/>
      </c>
      <c r="I1450" s="1446"/>
      <c r="J1450" s="1446" t="str">
        <f>IF(E1450=TRUE, Comments!$B$102,"")</f>
        <v/>
      </c>
      <c r="K1450" s="1452"/>
      <c r="N1450" s="611" t="str">
        <f>"CPTE # "&amp;Page5_CAD_VE!$E$46&amp;"  "&amp;Page5_CAD_VE!$C$46&amp;" - PROFIT BRUT - AAD"</f>
        <v>CPTE # DE PG PARCS  TOTAL PARCS - CAMIONS - PROFIT BRUT - AAD</v>
      </c>
      <c r="O1450" s="611" t="str">
        <f t="shared" si="200"/>
        <v/>
      </c>
      <c r="P1450" s="611" t="str">
        <f t="shared" si="195"/>
        <v>Page5_CAD_VE!N</v>
      </c>
      <c r="Q1450" s="611">
        <f t="shared" si="196"/>
        <v>46</v>
      </c>
      <c r="R1450" s="1447">
        <f t="shared" ca="1" si="197"/>
        <v>0</v>
      </c>
      <c r="S1450" s="1447">
        <f t="shared" ca="1" si="198"/>
        <v>0</v>
      </c>
      <c r="T1450" s="611">
        <v>102</v>
      </c>
      <c r="V1450" s="2557" t="str">
        <f t="shared" ca="1" si="201"/>
        <v/>
      </c>
      <c r="W1450" s="611" t="str">
        <f t="shared" ca="1" si="199"/>
        <v>Page5_CAD_VE, Ligne 43 [Page5_CAD_VE!N46]  -</v>
      </c>
    </row>
    <row r="1451" spans="1:23">
      <c r="A1451" s="1443" t="str">
        <f>celladdr(Page5_CAD_VE!L47)</f>
        <v>Page5_CAD_VE!L47</v>
      </c>
      <c r="B1451" s="1456" t="s">
        <v>1086</v>
      </c>
      <c r="C1451" s="1451" t="b">
        <f>Page5_CAD_VE!$L$47&lt;0</f>
        <v>0</v>
      </c>
      <c r="D1451" s="1454" t="b">
        <f>OR(AND(Page5_CAD_VE!$L47&lt;&gt;0,Page5_CAD_VE!$M47=0),AND(Page5_CAD_VE!$M47&lt;&gt;0,Page5_CAD_VE!$L47=0))</f>
        <v>0</v>
      </c>
      <c r="E1451" s="1454"/>
      <c r="F1451" s="1454"/>
      <c r="G1451" s="1444" t="str">
        <f t="shared" si="194"/>
        <v/>
      </c>
      <c r="H1451" s="1447" t="str">
        <f>IF(C1451=TRUE,Comments!$B$23,"")</f>
        <v/>
      </c>
      <c r="I1451" s="1446" t="str">
        <f>IF(D1451=TRUE,Comments!$B$24,"")</f>
        <v/>
      </c>
      <c r="J1451" s="1446"/>
      <c r="K1451" s="1452"/>
      <c r="N1451" s="611" t="str">
        <f>"CPTE # "&amp;Page5_CAD_VE!$E$47&amp;"  "&amp;Page5_CAD_VE!$C$47&amp;" - CHIFFRE D'AFFAIRES RÉALISÉ - AAD"</f>
        <v>CPTE # 441G  TOTAL IINTERNE - CAMIONS  - CHIFFRE D'AFFAIRES RÉALISÉ - AAD</v>
      </c>
      <c r="O1451" s="611" t="str">
        <f>IF(A1451=A1449,"TRUE","")</f>
        <v/>
      </c>
      <c r="P1451" s="611" t="str">
        <f t="shared" si="195"/>
        <v>Page5_CAD_VE!L</v>
      </c>
      <c r="Q1451" s="611">
        <f t="shared" si="196"/>
        <v>47</v>
      </c>
      <c r="R1451" s="1447">
        <f t="shared" ca="1" si="197"/>
        <v>0</v>
      </c>
      <c r="S1451" s="1447">
        <f t="shared" ca="1" si="198"/>
        <v>0</v>
      </c>
      <c r="V1451" s="2557" t="str">
        <f t="shared" ca="1" si="201"/>
        <v/>
      </c>
      <c r="W1451" s="611" t="str">
        <f t="shared" ca="1" si="199"/>
        <v>Page5_CAD_VE, Ligne 44 [Page5_CAD_VE!L47]  -</v>
      </c>
    </row>
    <row r="1452" spans="1:23">
      <c r="A1452" s="1443" t="str">
        <f>celladdr(Page5_CAD_VE!L48)</f>
        <v>Page5_CAD_VE!L48</v>
      </c>
      <c r="B1452" s="1444" t="s">
        <v>1086</v>
      </c>
      <c r="C1452" s="1451"/>
      <c r="D1452" s="1454"/>
      <c r="E1452" s="1454"/>
      <c r="F1452" s="1454"/>
      <c r="G1452" s="1444" t="str">
        <f t="shared" si="194"/>
        <v/>
      </c>
      <c r="H1452" s="1447" t="str">
        <f>IF(C1452=TRUE,Comments!$B$26,"")</f>
        <v/>
      </c>
      <c r="I1452" s="1446" t="str">
        <f>IF(D1452=TRUE,Comments!$B$24,"")</f>
        <v/>
      </c>
      <c r="J1452" s="1446"/>
      <c r="K1452" s="1452"/>
      <c r="O1452" s="611" t="str">
        <f t="shared" ref="O1452:O1483" si="202">IF(A1452=A1451,"TRUE","")</f>
        <v/>
      </c>
      <c r="P1452" s="611" t="str">
        <f t="shared" si="195"/>
        <v>Page5_CAD_VE!L</v>
      </c>
      <c r="Q1452" s="611">
        <f t="shared" si="196"/>
        <v>48</v>
      </c>
      <c r="R1452" s="1447">
        <f t="shared" ca="1" si="197"/>
        <v>0</v>
      </c>
      <c r="S1452" s="1447">
        <f t="shared" ca="1" si="198"/>
        <v>0</v>
      </c>
      <c r="V1452" s="2557" t="str">
        <f t="shared" ca="1" si="201"/>
        <v/>
      </c>
      <c r="W1452" s="611" t="str">
        <f t="shared" ca="1" si="199"/>
        <v>Page5_CAD_VE, Ligne 45 [Page5_CAD_VE!L48]  -</v>
      </c>
    </row>
    <row r="1453" spans="1:23">
      <c r="A1453" s="1443" t="str">
        <f>celladdr(Page5_CAD_VE!L49)</f>
        <v>Page5_CAD_VE!L49</v>
      </c>
      <c r="B1453" s="1456" t="s">
        <v>1086</v>
      </c>
      <c r="C1453" s="1451" t="b">
        <f>Page5_CAD_VE!$L$49&lt;0</f>
        <v>0</v>
      </c>
      <c r="D1453" s="1454" t="b">
        <f>OR(AND(Page5_CAD_VE!$L49&lt;&gt;0,Page5_CAD_VE!$M49=0),AND(Page5_CAD_VE!$M49&lt;&gt;0,Page5_CAD_VE!$L49=0))</f>
        <v>0</v>
      </c>
      <c r="E1453" s="1454"/>
      <c r="F1453" s="1454"/>
      <c r="G1453" s="1444" t="str">
        <f t="shared" si="194"/>
        <v/>
      </c>
      <c r="H1453" s="1447" t="str">
        <f>IF(C1453=TRUE,Comments!$B$23,"")</f>
        <v/>
      </c>
      <c r="I1453" s="1446" t="str">
        <f>IF(D1453=TRUE,Comments!$B$24,"")</f>
        <v/>
      </c>
      <c r="J1453" s="1446"/>
      <c r="K1453" s="1452"/>
      <c r="N1453" s="611" t="str">
        <f>"CPTE # "&amp;Page5_CAD_VE!$E$49&amp;"  "&amp;Page5_CAD_VE!$C$49&amp;" - CHIFFRE D'AFFAIRES RÉALISÉ - AAD"</f>
        <v>CPTE #      - CHIFFRE D'AFFAIRES RÉALISÉ - AAD</v>
      </c>
      <c r="O1453" s="611" t="str">
        <f t="shared" si="202"/>
        <v/>
      </c>
      <c r="P1453" s="611" t="str">
        <f t="shared" si="195"/>
        <v>Page5_CAD_VE!L</v>
      </c>
      <c r="Q1453" s="611">
        <f t="shared" si="196"/>
        <v>49</v>
      </c>
      <c r="R1453" s="1447">
        <f t="shared" ca="1" si="197"/>
        <v>0</v>
      </c>
      <c r="S1453" s="1447">
        <f t="shared" ca="1" si="198"/>
        <v>0</v>
      </c>
      <c r="V1453" s="2557" t="str">
        <f t="shared" ca="1" si="201"/>
        <v/>
      </c>
      <c r="W1453" s="611" t="str">
        <f t="shared" ca="1" si="199"/>
        <v>Page5_CAD_VE, Ligne 46 [Page5_CAD_VE!L49]  -</v>
      </c>
    </row>
    <row r="1454" spans="1:23">
      <c r="A1454" s="1443" t="str">
        <f>celladdr(Page5_CAD_VE!L50)</f>
        <v>Page5_CAD_VE!L50</v>
      </c>
      <c r="B1454" s="1456" t="s">
        <v>1086</v>
      </c>
      <c r="C1454" s="1451" t="b">
        <f>Page5_CAD_VE!$L$50&lt;0</f>
        <v>0</v>
      </c>
      <c r="D1454" s="1454" t="b">
        <f>OR(AND(Page5_CAD_VE!$L50&lt;&gt;0,Page5_CAD_VE!$M50=0),AND(Page5_CAD_VE!$M50&lt;&gt;0,Page5_CAD_VE!$L50=0))</f>
        <v>0</v>
      </c>
      <c r="E1454" s="1454"/>
      <c r="F1454" s="1454"/>
      <c r="G1454" s="1444" t="str">
        <f t="shared" si="194"/>
        <v/>
      </c>
      <c r="H1454" s="1447" t="str">
        <f>IF(C1454=TRUE,Comments!$B$23,"")</f>
        <v/>
      </c>
      <c r="I1454" s="1446" t="str">
        <f>IF(D1454=TRUE,Comments!$B$24,"")</f>
        <v/>
      </c>
      <c r="J1454" s="1446"/>
      <c r="K1454" s="1452"/>
      <c r="N1454" s="611" t="str">
        <f>"CPTE # "&amp;Page5_CAD_VE!$E$50&amp;"  "&amp;Page5_CAD_VE!$C$50&amp;" - CHIFFRE D'AFFAIRES RÉALISÉ - AAD"</f>
        <v>CPTE # 457G  ACCESSOIRES - CHIFFRE D'AFFAIRES RÉALISÉ - AAD</v>
      </c>
      <c r="O1454" s="611" t="str">
        <f t="shared" si="202"/>
        <v/>
      </c>
      <c r="P1454" s="611" t="str">
        <f t="shared" si="195"/>
        <v>Page5_CAD_VE!L</v>
      </c>
      <c r="Q1454" s="611">
        <f t="shared" si="196"/>
        <v>50</v>
      </c>
      <c r="R1454" s="1447">
        <f t="shared" ca="1" si="197"/>
        <v>0</v>
      </c>
      <c r="S1454" s="1447">
        <f t="shared" ca="1" si="198"/>
        <v>0</v>
      </c>
      <c r="V1454" s="2557" t="str">
        <f t="shared" ca="1" si="201"/>
        <v/>
      </c>
      <c r="W1454" s="611" t="str">
        <f t="shared" ca="1" si="199"/>
        <v>Page5_CAD_VE, Ligne 47 [Page5_CAD_VE!L50]  -</v>
      </c>
    </row>
    <row r="1455" spans="1:23">
      <c r="A1455" s="1443" t="str">
        <f>celladdr(Page5_CAD_VE!M4)</f>
        <v>Page5_CAD_VE!M4</v>
      </c>
      <c r="B1455" s="1456" t="s">
        <v>1086</v>
      </c>
      <c r="C1455" s="1451" t="b">
        <f>IF(Page5_CAD_VE!$K$4=0,FALSE,OR(Page5_CAD_VE!$M$4/Page5_CAD_VE!$K$4&lt;INDEX(Min_Table,L1455),Page5_CAD_VE!$M$4/Page5_CAD_VE!$K$4&gt;INDEX(Max_Table,L1455)))</f>
        <v>0</v>
      </c>
      <c r="D1455" s="1454" t="b">
        <f>OR(AND(Page5_CAD_VE!$L4&lt;&gt;0,Page5_CAD_VE!$M4=0),AND(Page5_CAD_VE!$M4&lt;&gt;0,Page5_CAD_VE!$L4=0))</f>
        <v>0</v>
      </c>
      <c r="E1455" s="1454" t="b">
        <f>IF(Page5_CAD_VE!$K$4=0,FALSE,OR(Page5_CAD_VE!$M$4/Page5_CAD_VE!$K$4&lt;INDEX(Min_Table,M1455),Page5_CAD_VE!$M$4/Page5_CAD_VE!$K$4&gt;INDEX(Max_Table,M1455)))</f>
        <v>0</v>
      </c>
      <c r="F1455" s="1454"/>
      <c r="G1455" s="1444" t="str">
        <f t="shared" si="194"/>
        <v/>
      </c>
      <c r="H1455" s="1447" t="str">
        <f>IF(C1455=TRUE,Comments!$B$20&amp;DOLLAR(INDEX(Min_Table,L1455),0)&amp;Comments!$B$18&amp;DOLLAR(INDEX(Max_Table,L1455),0)&amp;Comments!$B$19&amp;DOLLAR(Page5_CAD_VE!$M$4/Page5_CAD_VE!$K$4,0),"")</f>
        <v/>
      </c>
      <c r="I1455" s="1446" t="str">
        <f>IF(D1455=TRUE,Comments!$B$24,"")</f>
        <v/>
      </c>
      <c r="J1455" s="1446" t="str">
        <f>IF(E1455=TRUE,Comments!$B$22&amp;DOLLAR(INDEX(Min_Table,M1455),0)&amp;Comments!$B$18&amp;DOLLAR(INDEX(Max_Table,M1455),0)&amp;Comments!$B$19&amp;IFERROR(DOLLAR(Page5_CAD_VE!$M$4/Page5_CAD_VE!$K$4,0),0),"")</f>
        <v/>
      </c>
      <c r="K1455" s="1452"/>
      <c r="L1455" s="611">
        <f>ROW(OR_VEH!$A$667)</f>
        <v>667</v>
      </c>
      <c r="M1455" s="611">
        <f>ROW(OR_VEH!$A$303)</f>
        <v>303</v>
      </c>
      <c r="N1455" s="611" t="str">
        <f>"CPTE # "&amp;Page5_CAD_VE!$E$4&amp;"  "&amp;Page5_CAD_VE!$C$4&amp;" - COÛT DES VENTES - AAD"</f>
        <v>CPTE # 400G  CELESTIQ - COÛT DES VENTES - AAD</v>
      </c>
      <c r="O1455" s="611" t="str">
        <f t="shared" si="202"/>
        <v/>
      </c>
      <c r="P1455" s="611" t="str">
        <f t="shared" si="195"/>
        <v>Page5_CAD_VE!M</v>
      </c>
      <c r="Q1455" s="611">
        <f t="shared" si="196"/>
        <v>4</v>
      </c>
      <c r="R1455" s="1447">
        <f t="shared" ca="1" si="197"/>
        <v>0</v>
      </c>
      <c r="S1455" s="1447">
        <f t="shared" ca="1" si="198"/>
        <v>0</v>
      </c>
      <c r="T1455" s="611">
        <v>22</v>
      </c>
      <c r="V1455" s="2557" t="str">
        <f t="shared" ca="1" si="201"/>
        <v/>
      </c>
      <c r="W1455" s="611" t="str">
        <f t="shared" ca="1" si="199"/>
        <v>Page5_CAD_VE, Ligne 1 [Page5_CAD_VE!M4]  -</v>
      </c>
    </row>
    <row r="1456" spans="1:23">
      <c r="A1456" s="1443" t="str">
        <f>celladdr(Page5_CAD_VE!M5)</f>
        <v>Page5_CAD_VE!M5</v>
      </c>
      <c r="B1456" s="1456" t="s">
        <v>1086</v>
      </c>
      <c r="C1456" s="1451" t="b">
        <f>IF(Page5_CAD_VE!$K$5=0,FALSE,OR(Page5_CAD_VE!$M$5/Page5_CAD_VE!$K$5&lt;INDEX(Min_Table,L1456),Page5_CAD_VE!$M$5/Page5_CAD_VE!$K$5&gt;INDEX(Max_Table,L1456)))</f>
        <v>0</v>
      </c>
      <c r="D1456" s="1454" t="b">
        <f>OR(AND(Page5_CAD_VE!$L5&lt;&gt;0,Page5_CAD_VE!$M5=0),AND(Page5_CAD_VE!$M5&lt;&gt;0,Page5_CAD_VE!$L5=0))</f>
        <v>0</v>
      </c>
      <c r="E1456" s="1454" t="b">
        <f>IF(Page5_CAD_VE!$K$5=0,FALSE,OR(Page5_CAD_VE!$M$5/Page5_CAD_VE!$K$5&lt;INDEX(Min_Table,M1456),Page5_CAD_VE!$M$5/Page5_CAD_VE!$K$5&gt;INDEX(Max_Table,M1456)))</f>
        <v>0</v>
      </c>
      <c r="F1456" s="1454"/>
      <c r="G1456" s="1444" t="str">
        <f t="shared" si="194"/>
        <v/>
      </c>
      <c r="H1456" s="1447" t="str">
        <f>IF(C1456=TRUE,Comments!$B$20&amp;DOLLAR(INDEX(Min_Table,L1456),0)&amp;Comments!$B$18&amp;DOLLAR(INDEX(Max_Table,L1456),0)&amp;Comments!$B$19&amp;DOLLAR(Page5_CAD_VE!$M$5/Page5_CAD_VE!$K$5,0),"")</f>
        <v/>
      </c>
      <c r="I1456" s="1446" t="str">
        <f>IF(D1456=TRUE,Comments!$B$24,"")</f>
        <v/>
      </c>
      <c r="J1456" s="1446" t="str">
        <f>IF(E1456=TRUE,Comments!$B$22&amp;DOLLAR(INDEX(Min_Table,M1456),0)&amp;Comments!$B$18&amp;DOLLAR(INDEX(Max_Table,M1456),0)&amp;Comments!$B$19&amp;IFERROR(DOLLAR(Page5_CAD_VE!$M$5/Page5_CAD_VE!$K$5,0),0),"")</f>
        <v/>
      </c>
      <c r="K1456" s="1452"/>
      <c r="L1456" s="611">
        <f>ROW(OR_VEH!$A$667)</f>
        <v>667</v>
      </c>
      <c r="M1456" s="611">
        <f>ROW(OR_VEH!$A$304)</f>
        <v>304</v>
      </c>
      <c r="N1456" s="611" t="str">
        <f>"CPTE # "&amp;Page5_CAD_VE!$E$5&amp;"  "&amp;Page5_CAD_VE!$C$5&amp;" - COÛT DES VENTES - AAD"</f>
        <v>CPTE # 401G  NE PAS UTILISER - COÛT DES VENTES - AAD</v>
      </c>
      <c r="O1456" s="611" t="str">
        <f t="shared" si="202"/>
        <v/>
      </c>
      <c r="P1456" s="611" t="str">
        <f t="shared" si="195"/>
        <v>Page5_CAD_VE!M</v>
      </c>
      <c r="Q1456" s="611">
        <f t="shared" si="196"/>
        <v>5</v>
      </c>
      <c r="R1456" s="1447">
        <f t="shared" ca="1" si="197"/>
        <v>0</v>
      </c>
      <c r="S1456" s="1447">
        <f t="shared" ca="1" si="198"/>
        <v>0</v>
      </c>
      <c r="T1456" s="611">
        <v>22</v>
      </c>
      <c r="V1456" s="2557" t="str">
        <f t="shared" ca="1" si="201"/>
        <v/>
      </c>
      <c r="W1456" s="611" t="str">
        <f t="shared" ca="1" si="199"/>
        <v>Page5_CAD_VE, Ligne 2 [Page5_CAD_VE!M5]  -</v>
      </c>
    </row>
    <row r="1457" spans="1:23">
      <c r="A1457" s="1443" t="str">
        <f>celladdr(Page5_CAD_VE!M6)</f>
        <v>Page5_CAD_VE!M6</v>
      </c>
      <c r="B1457" s="1456" t="s">
        <v>1086</v>
      </c>
      <c r="C1457" s="1451" t="b">
        <f>IF(Page5_CAD_VE!$K$6=0,FALSE,OR(Page5_CAD_VE!$M$6/Page5_CAD_VE!$K$6&lt;INDEX(Min_Table,L1457),Page5_CAD_VE!$M$6/Page5_CAD_VE!$K$6&gt;INDEX(Max_Table,L1457)))</f>
        <v>0</v>
      </c>
      <c r="D1457" s="1454" t="b">
        <f>OR(AND(Page5_CAD_VE!$L6&lt;&gt;0,Page5_CAD_VE!$M6=0),AND(Page5_CAD_VE!$M6&lt;&gt;0,Page5_CAD_VE!$L6=0))</f>
        <v>0</v>
      </c>
      <c r="E1457" s="1454" t="b">
        <f>IF(Page5_CAD_VE!$K$6=0,FALSE,OR(Page5_CAD_VE!$M$6/Page5_CAD_VE!$K$6&lt;INDEX(Min_Table,M1457),Page5_CAD_VE!$M$6/Page5_CAD_VE!$K$6&gt;INDEX(Max_Table,M1457)))</f>
        <v>0</v>
      </c>
      <c r="F1457" s="1454"/>
      <c r="G1457" s="1444" t="str">
        <f t="shared" si="194"/>
        <v/>
      </c>
      <c r="H1457" s="1447" t="str">
        <f>IF(C1457=TRUE,Comments!$B$20&amp;DOLLAR(INDEX(Min_Table,L1457),0)&amp;Comments!$B$18&amp;DOLLAR(INDEX(Max_Table,L1457),0)&amp;Comments!$B$19&amp;DOLLAR(Page5_CAD_VE!$M$6/Page5_CAD_VE!$K$6,0),"")</f>
        <v/>
      </c>
      <c r="I1457" s="1446" t="str">
        <f>IF(D1457=TRUE,Comments!$B$24,"")</f>
        <v/>
      </c>
      <c r="J1457" s="1446" t="str">
        <f>IF(E1457=TRUE,Comments!$B$22&amp;DOLLAR(INDEX(Min_Table,M1457),0)&amp;Comments!$B$18&amp;DOLLAR(INDEX(Max_Table,M1457),0)&amp;Comments!$B$19&amp;IFERROR(DOLLAR(Page5_CAD_VE!$M$6/Page5_CAD_VE!$K$6,0),0),"")</f>
        <v/>
      </c>
      <c r="K1457" s="1452"/>
      <c r="L1457" s="611">
        <f>ROW(OR_VEH!$A$667)</f>
        <v>667</v>
      </c>
      <c r="M1457" s="611">
        <f>ROW(OR_VEH!$A$305)</f>
        <v>305</v>
      </c>
      <c r="N1457" s="611" t="str">
        <f>"CPTE # "&amp;Page5_CAD_VE!$E$6&amp;"  "&amp;Page5_CAD_VE!$C$6&amp;" - COÛT DES VENTES - AAD"</f>
        <v>CPTE # 402G  NE PAS UTILISER - COÛT DES VENTES - AAD</v>
      </c>
      <c r="O1457" s="611" t="str">
        <f t="shared" si="202"/>
        <v/>
      </c>
      <c r="P1457" s="611" t="str">
        <f t="shared" si="195"/>
        <v>Page5_CAD_VE!M</v>
      </c>
      <c r="Q1457" s="611">
        <f t="shared" si="196"/>
        <v>6</v>
      </c>
      <c r="R1457" s="1447">
        <f t="shared" ca="1" si="197"/>
        <v>0</v>
      </c>
      <c r="S1457" s="1447">
        <f t="shared" ca="1" si="198"/>
        <v>0</v>
      </c>
      <c r="T1457" s="611">
        <v>22</v>
      </c>
      <c r="V1457" s="2557" t="str">
        <f t="shared" ca="1" si="201"/>
        <v/>
      </c>
      <c r="W1457" s="611" t="str">
        <f t="shared" ca="1" si="199"/>
        <v>Page5_CAD_VE, Ligne 3 [Page5_CAD_VE!M6]  -</v>
      </c>
    </row>
    <row r="1458" spans="1:23">
      <c r="A1458" s="1443" t="str">
        <f>celladdr(Page5_CAD_VE!M7)</f>
        <v>Page5_CAD_VE!M7</v>
      </c>
      <c r="B1458" s="1456" t="s">
        <v>1086</v>
      </c>
      <c r="C1458" s="1451" t="b">
        <f>IF(Page5_CAD_VE!$K$7=0,FALSE,OR(Page5_CAD_VE!$M$7/Page5_CAD_VE!$K$7&lt;INDEX(Min_Table,L1458),Page5_CAD_VE!$M$7/Page5_CAD_VE!$K$7&gt;INDEX(Max_Table,L1458)))</f>
        <v>0</v>
      </c>
      <c r="D1458" s="1454" t="b">
        <f>OR(AND(Page5_CAD_VE!$L7&lt;&gt;0,Page5_CAD_VE!$M7=0),AND(Page5_CAD_VE!$M7&lt;&gt;0,Page5_CAD_VE!$L7=0))</f>
        <v>0</v>
      </c>
      <c r="E1458" s="1454" t="b">
        <f>IF(Page5_CAD_VE!$K$7=0,FALSE,OR(Page5_CAD_VE!$M$7/Page5_CAD_VE!$K$7&lt;INDEX(Min_Table,M1458),Page5_CAD_VE!$M$7/Page5_CAD_VE!$K$7&gt;INDEX(Max_Table,M1458)))</f>
        <v>0</v>
      </c>
      <c r="F1458" s="1454"/>
      <c r="G1458" s="1444" t="str">
        <f t="shared" si="194"/>
        <v/>
      </c>
      <c r="H1458" s="1447" t="str">
        <f>IF(C1458=TRUE,Comments!$B$20&amp;DOLLAR(INDEX(Min_Table,L1458),0)&amp;Comments!$B$18&amp;DOLLAR(INDEX(Max_Table,L1458),0)&amp;Comments!$B$19&amp;DOLLAR(Page5_CAD_VE!$M$7/Page5_CAD_VE!$K$7,0),"")</f>
        <v/>
      </c>
      <c r="I1458" s="1446" t="str">
        <f>IF(D1458=TRUE,Comments!$B$24,"")</f>
        <v/>
      </c>
      <c r="J1458" s="1446" t="str">
        <f>IF(E1458=TRUE,Comments!$B$22&amp;DOLLAR(INDEX(Min_Table,M1458),0)&amp;Comments!$B$18&amp;DOLLAR(INDEX(Max_Table,M1458),0)&amp;Comments!$B$19&amp;IFERROR(DOLLAR(Page5_CAD_VE!$M$7/Page5_CAD_VE!$K$7,0),0),"")</f>
        <v/>
      </c>
      <c r="K1458" s="1452"/>
      <c r="L1458" s="611">
        <f>ROW(OR_VEH!$A$667)</f>
        <v>667</v>
      </c>
      <c r="M1458" s="611">
        <f>ROW(OR_VEH!$A$306)</f>
        <v>306</v>
      </c>
      <c r="N1458" s="611" t="str">
        <f>"CPTE # "&amp;Page5_CAD_VE!$E$7&amp;"  "&amp;Page5_CAD_VE!$C$7&amp;" - COÛT DES VENTES - AAD"</f>
        <v>CPTE # 403G  NE PAS UTILISER - COÛT DES VENTES - AAD</v>
      </c>
      <c r="O1458" s="611" t="str">
        <f t="shared" si="202"/>
        <v/>
      </c>
      <c r="P1458" s="611" t="str">
        <f t="shared" si="195"/>
        <v>Page5_CAD_VE!M</v>
      </c>
      <c r="Q1458" s="611">
        <f t="shared" si="196"/>
        <v>7</v>
      </c>
      <c r="R1458" s="1447">
        <f t="shared" ca="1" si="197"/>
        <v>0</v>
      </c>
      <c r="S1458" s="1447">
        <f t="shared" ca="1" si="198"/>
        <v>0</v>
      </c>
      <c r="T1458" s="611">
        <v>22</v>
      </c>
      <c r="V1458" s="2557" t="str">
        <f t="shared" ca="1" si="201"/>
        <v/>
      </c>
      <c r="W1458" s="611" t="str">
        <f t="shared" ca="1" si="199"/>
        <v>Page5_CAD_VE, Ligne 4 [Page5_CAD_VE!M7]  -</v>
      </c>
    </row>
    <row r="1459" spans="1:23">
      <c r="A1459" s="1443" t="str">
        <f>celladdr(Page5_CAD_VE!M8)</f>
        <v>Page5_CAD_VE!M8</v>
      </c>
      <c r="B1459" s="1456" t="s">
        <v>1086</v>
      </c>
      <c r="C1459" s="1451" t="b">
        <f>IF(Page5_CAD_VE!$K$8=0,FALSE,OR(Page5_CAD_VE!$M$8/Page5_CAD_VE!$K$8&lt;INDEX(Min_Table,L1459),Page5_CAD_VE!$M$8/Page5_CAD_VE!$K$8&gt;INDEX(Max_Table,L1459)))</f>
        <v>0</v>
      </c>
      <c r="D1459" s="1454" t="b">
        <f>OR(AND(Page5_CAD_VE!$L8&lt;&gt;0,Page5_CAD_VE!$M8=0),AND(Page5_CAD_VE!$M8&lt;&gt;0,Page5_CAD_VE!$L8=0))</f>
        <v>0</v>
      </c>
      <c r="E1459" s="1454" t="b">
        <f>IF(Page5_CAD_VE!$K$8=0,FALSE,OR(Page5_CAD_VE!$M$8/Page5_CAD_VE!$K$8&lt;INDEX(Min_Table,M1459),Page5_CAD_VE!$M$8/Page5_CAD_VE!$K$8&gt;INDEX(Max_Table,M1459)))</f>
        <v>0</v>
      </c>
      <c r="F1459" s="1454"/>
      <c r="G1459" s="1444" t="str">
        <f t="shared" si="194"/>
        <v/>
      </c>
      <c r="H1459" s="1447" t="str">
        <f>IF(C1459=TRUE,Comments!$B$20&amp;DOLLAR(INDEX(Min_Table,L1459),0)&amp;Comments!$B$18&amp;DOLLAR(INDEX(Max_Table,L1459),0)&amp;Comments!$B$19&amp;DOLLAR(Page5_CAD_VE!$M$8/Page5_CAD_VE!$K$8,0),"")</f>
        <v/>
      </c>
      <c r="I1459" s="1446" t="str">
        <f>IF(D1459=TRUE,Comments!$B$24,"")</f>
        <v/>
      </c>
      <c r="J1459" s="1446" t="str">
        <f>IF(E1459=TRUE,Comments!$B$22&amp;DOLLAR(INDEX(Min_Table,M1459),0)&amp;Comments!$B$18&amp;DOLLAR(INDEX(Max_Table,M1459),0)&amp;Comments!$B$19&amp;IFERROR(DOLLAR(Page5_CAD_VE!$M$8/Page5_CAD_VE!$K$8,0),0),"")</f>
        <v/>
      </c>
      <c r="K1459" s="1452"/>
      <c r="L1459" s="611">
        <f>ROW(OR_VEH!$A$667)</f>
        <v>667</v>
      </c>
      <c r="M1459" s="611">
        <f>ROW(OR_VEH!$A$307)</f>
        <v>307</v>
      </c>
      <c r="N1459" s="611" t="str">
        <f>"CPTE # "&amp;Page5_CAD_VE!$E$8&amp;"  "&amp;Page5_CAD_VE!$C$8&amp;" - COÛT DES VENTES - AAD"</f>
        <v>CPTE # 404G  NE PAS UTILISER - COÛT DES VENTES - AAD</v>
      </c>
      <c r="O1459" s="611" t="str">
        <f t="shared" si="202"/>
        <v/>
      </c>
      <c r="P1459" s="611" t="str">
        <f t="shared" si="195"/>
        <v>Page5_CAD_VE!M</v>
      </c>
      <c r="Q1459" s="611">
        <f t="shared" si="196"/>
        <v>8</v>
      </c>
      <c r="R1459" s="1447">
        <f t="shared" ca="1" si="197"/>
        <v>0</v>
      </c>
      <c r="S1459" s="1447">
        <f t="shared" ca="1" si="198"/>
        <v>0</v>
      </c>
      <c r="T1459" s="611">
        <v>22</v>
      </c>
      <c r="V1459" s="2557" t="str">
        <f t="shared" ca="1" si="201"/>
        <v/>
      </c>
      <c r="W1459" s="611" t="str">
        <f t="shared" ca="1" si="199"/>
        <v>Page5_CAD_VE, Ligne 5 [Page5_CAD_VE!M8]  -</v>
      </c>
    </row>
    <row r="1460" spans="1:23">
      <c r="A1460" s="1443" t="str">
        <f>celladdr(Page5_CAD_VE!M9)</f>
        <v>Page5_CAD_VE!M9</v>
      </c>
      <c r="B1460" s="1456" t="s">
        <v>1086</v>
      </c>
      <c r="C1460" s="1451" t="b">
        <f>IF(Page5_CAD_VE!$K$9=0,FALSE,OR(Page5_CAD_VE!$M$9/Page5_CAD_VE!$K$9&lt;INDEX(Min_Table,L1460),Page5_CAD_VE!$M$9/Page5_CAD_VE!$K$9&gt;INDEX(Max_Table,L1460)))</f>
        <v>0</v>
      </c>
      <c r="D1460" s="1454" t="b">
        <f>OR(AND(Page5_CAD_VE!$L9&lt;&gt;0,Page5_CAD_VE!$M9=0),AND(Page5_CAD_VE!$M9&lt;&gt;0,Page5_CAD_VE!$L9=0))</f>
        <v>0</v>
      </c>
      <c r="E1460" s="1454" t="b">
        <f>IF(Page5_CAD_VE!$K$9=0,FALSE,OR(Page5_CAD_VE!$M$9/Page5_CAD_VE!$K$9&lt;INDEX(Min_Table,M1460),Page5_CAD_VE!$M$9/Page5_CAD_VE!$K$9&gt;INDEX(Max_Table,M1460)))</f>
        <v>0</v>
      </c>
      <c r="F1460" s="1454"/>
      <c r="G1460" s="1444" t="str">
        <f t="shared" si="194"/>
        <v/>
      </c>
      <c r="H1460" s="1447" t="str">
        <f>IF(C1460=TRUE,Comments!$B$20&amp;DOLLAR(INDEX(Min_Table,L1460),0)&amp;Comments!$B$18&amp;DOLLAR(INDEX(Max_Table,L1460),0)&amp;Comments!$B$19&amp;DOLLAR(Page5_CAD_VE!$M$9/Page5_CAD_VE!$K$9,0),"")</f>
        <v/>
      </c>
      <c r="I1460" s="1446" t="str">
        <f>IF(D1460=TRUE,Comments!$B$24,"")</f>
        <v/>
      </c>
      <c r="J1460" s="1446" t="str">
        <f>IF(E1460=TRUE,Comments!$B$22&amp;DOLLAR(INDEX(Min_Table,M1460),0)&amp;Comments!$B$18&amp;DOLLAR(INDEX(Max_Table,M1460),0)&amp;Comments!$B$19&amp;IFERROR(DOLLAR(Page5_CAD_VE!$M$9/Page5_CAD_VE!$K$9,0),0),"")</f>
        <v/>
      </c>
      <c r="K1460" s="1452"/>
      <c r="L1460" s="611">
        <f>ROW(OR_VEH!$A$667)</f>
        <v>667</v>
      </c>
      <c r="M1460" s="611">
        <f>ROW(OR_VEH!$A$308)</f>
        <v>308</v>
      </c>
      <c r="N1460" s="611" t="str">
        <f>"CPTE # "&amp;Page5_CAD_VE!$E$9&amp;"  "&amp;Page5_CAD_VE!$C$9&amp;" - COÛT DES VENTES - AAD"</f>
        <v>CPTE # 405G  NE PAS UTILISER - COÛT DES VENTES - AAD</v>
      </c>
      <c r="O1460" s="611" t="str">
        <f t="shared" si="202"/>
        <v/>
      </c>
      <c r="P1460" s="611" t="str">
        <f t="shared" si="195"/>
        <v>Page5_CAD_VE!M</v>
      </c>
      <c r="Q1460" s="611">
        <f t="shared" si="196"/>
        <v>9</v>
      </c>
      <c r="R1460" s="1447">
        <f t="shared" ca="1" si="197"/>
        <v>0</v>
      </c>
      <c r="S1460" s="1447">
        <f t="shared" ca="1" si="198"/>
        <v>0</v>
      </c>
      <c r="T1460" s="611">
        <v>22</v>
      </c>
      <c r="V1460" s="2557" t="str">
        <f t="shared" ca="1" si="201"/>
        <v/>
      </c>
      <c r="W1460" s="611" t="str">
        <f t="shared" ca="1" si="199"/>
        <v>Page5_CAD_VE, Ligne 6 [Page5_CAD_VE!M9]  -</v>
      </c>
    </row>
    <row r="1461" spans="1:23">
      <c r="A1461" s="1443" t="str">
        <f>celladdr(Page5_CAD_VE!M10)</f>
        <v>Page5_CAD_VE!M10</v>
      </c>
      <c r="B1461" s="1456" t="s">
        <v>1086</v>
      </c>
      <c r="C1461" s="1451" t="b">
        <f>IF(Page5_CAD_VE!$K$10=0,FALSE,OR(Page5_CAD_VE!$M$10/Page5_CAD_VE!$K$10&lt;INDEX(Min_Table,L1461),Page5_CAD_VE!$M$10/Page5_CAD_VE!$K$10&gt;INDEX(Max_Table,L1461)))</f>
        <v>0</v>
      </c>
      <c r="D1461" s="1454" t="b">
        <f>OR(AND(Page5_CAD_VE!$L10&lt;&gt;0,Page5_CAD_VE!$M10=0),AND(Page5_CAD_VE!$M10&lt;&gt;0,Page5_CAD_VE!$L10=0))</f>
        <v>0</v>
      </c>
      <c r="E1461" s="1454" t="b">
        <f>IF(Page5_CAD_VE!$K$10=0,FALSE,OR(Page5_CAD_VE!$M$10/Page5_CAD_VE!$K$10&lt;INDEX(Min_Table,M1461),Page5_CAD_VE!$M$10/Page5_CAD_VE!$K$10&gt;INDEX(Max_Table,M1461)))</f>
        <v>0</v>
      </c>
      <c r="F1461" s="1454"/>
      <c r="G1461" s="1444" t="str">
        <f t="shared" si="194"/>
        <v/>
      </c>
      <c r="H1461" s="1447" t="str">
        <f>IF(C1461=TRUE,Comments!$B$20&amp;DOLLAR(INDEX(Min_Table,L1461),0)&amp;Comments!$B$18&amp;DOLLAR(INDEX(Max_Table,L1461),0)&amp;Comments!$B$19&amp;DOLLAR(Page5_CAD_VE!$M$10/Page5_CAD_VE!$K$10,0),"")</f>
        <v/>
      </c>
      <c r="I1461" s="1446" t="str">
        <f>IF(D1461=TRUE,Comments!$B$24,"")</f>
        <v/>
      </c>
      <c r="J1461" s="1446" t="str">
        <f>IF(E1461=TRUE,Comments!$B$22&amp;DOLLAR(INDEX(Min_Table,M1461),0)&amp;Comments!$B$18&amp;DOLLAR(INDEX(Max_Table,M1461),0)&amp;Comments!$B$19&amp;IFERROR(DOLLAR(Page5_CAD_VE!$M$10/Page5_CAD_VE!$K$10,0),0),"")</f>
        <v/>
      </c>
      <c r="K1461" s="1452"/>
      <c r="L1461" s="611">
        <f>ROW(OR_VEH!$A$667)</f>
        <v>667</v>
      </c>
      <c r="M1461" s="611">
        <f>ROW(OR_VEH!$A$309)</f>
        <v>309</v>
      </c>
      <c r="N1461" s="611" t="str">
        <f>"CPTE # "&amp;Page5_CAD_VE!$E$10&amp;"  "&amp;Page5_CAD_VE!$C$10&amp;" - COÛT DES VENTES - AAD"</f>
        <v>CPTE # 406G  NE PAS UTILISER - COÛT DES VENTES - AAD</v>
      </c>
      <c r="O1461" s="611" t="str">
        <f t="shared" si="202"/>
        <v/>
      </c>
      <c r="P1461" s="611" t="str">
        <f t="shared" si="195"/>
        <v>Page5_CAD_VE!M</v>
      </c>
      <c r="Q1461" s="611">
        <f t="shared" si="196"/>
        <v>10</v>
      </c>
      <c r="R1461" s="1447">
        <f t="shared" ca="1" si="197"/>
        <v>0</v>
      </c>
      <c r="S1461" s="1447">
        <f t="shared" ca="1" si="198"/>
        <v>0</v>
      </c>
      <c r="T1461" s="611">
        <v>22</v>
      </c>
      <c r="V1461" s="2557" t="str">
        <f t="shared" ca="1" si="201"/>
        <v/>
      </c>
      <c r="W1461" s="611" t="str">
        <f t="shared" ca="1" si="199"/>
        <v>Page5_CAD_VE, Ligne 7 [Page5_CAD_VE!M10]  -</v>
      </c>
    </row>
    <row r="1462" spans="1:23">
      <c r="A1462" s="1443" t="str">
        <f>celladdr(Page5_CAD_VE!M11)</f>
        <v>Page5_CAD_VE!M11</v>
      </c>
      <c r="B1462" s="1456" t="s">
        <v>1086</v>
      </c>
      <c r="C1462" s="1451" t="b">
        <f>IF(Page5_CAD_VE!$K$11=0,FALSE,OR(Page5_CAD_VE!$M$11/Page5_CAD_VE!$K$11&lt;INDEX(Min_Table,L1462),Page5_CAD_VE!$M$11/Page5_CAD_VE!$K$11&gt;INDEX(Max_Table,L1462)))</f>
        <v>0</v>
      </c>
      <c r="D1462" s="1454" t="b">
        <f>OR(AND(Page5_CAD_VE!$L11&lt;&gt;0,Page5_CAD_VE!$M11=0),AND(Page5_CAD_VE!$M11&lt;&gt;0,Page5_CAD_VE!$L11=0))</f>
        <v>0</v>
      </c>
      <c r="E1462" s="1454" t="b">
        <f>IF(Page5_CAD_VE!$K$11=0,FALSE,OR(Page5_CAD_VE!$M$11/Page5_CAD_VE!$K$11&lt;INDEX(Min_Table,M1462),Page5_CAD_VE!$M$11/Page5_CAD_VE!$K$11&gt;INDEX(Max_Table,M1462)))</f>
        <v>0</v>
      </c>
      <c r="F1462" s="1454"/>
      <c r="G1462" s="1444" t="str">
        <f t="shared" si="194"/>
        <v/>
      </c>
      <c r="H1462" s="1447" t="str">
        <f>IF(C1462=TRUE,Comments!$B$20&amp;DOLLAR(INDEX(Min_Table,L1462),0)&amp;Comments!$B$18&amp;DOLLAR(INDEX(Max_Table,L1462),0)&amp;Comments!$B$19&amp;DOLLAR(Page5_CAD_VE!$M$11/Page5_CAD_VE!$K$11,0),"")</f>
        <v/>
      </c>
      <c r="I1462" s="1446" t="str">
        <f>IF(D1462=TRUE,Comments!$B$24,"")</f>
        <v/>
      </c>
      <c r="J1462" s="1446" t="str">
        <f>IF(E1462=TRUE,Comments!$B$22&amp;DOLLAR(INDEX(Min_Table,M1462),0)&amp;Comments!$B$18&amp;DOLLAR(INDEX(Max_Table,M1462),0)&amp;Comments!$B$19&amp;IFERROR(DOLLAR(Page5_CAD_VE!$M$11/Page5_CAD_VE!$K$11,0),0),"")</f>
        <v/>
      </c>
      <c r="K1462" s="1452"/>
      <c r="L1462" s="611">
        <f>ROW(OR_VEH!$A$667)</f>
        <v>667</v>
      </c>
      <c r="M1462" s="611">
        <f>ROW(OR_VEH!$A$310)</f>
        <v>310</v>
      </c>
      <c r="N1462" s="611" t="str">
        <f>"CPTE # "&amp;Page5_CAD_VE!$E$11&amp;"  "&amp;Page5_CAD_VE!$C$11&amp;" - COÛT DES VENTES - AAD"</f>
        <v>CPTE # 407G  NE PAS UTILISER - COÛT DES VENTES - AAD</v>
      </c>
      <c r="O1462" s="611" t="str">
        <f t="shared" si="202"/>
        <v/>
      </c>
      <c r="P1462" s="611" t="str">
        <f t="shared" si="195"/>
        <v>Page5_CAD_VE!M</v>
      </c>
      <c r="Q1462" s="611">
        <f t="shared" si="196"/>
        <v>11</v>
      </c>
      <c r="R1462" s="1447">
        <f t="shared" ca="1" si="197"/>
        <v>0</v>
      </c>
      <c r="S1462" s="1447">
        <f t="shared" ca="1" si="198"/>
        <v>0</v>
      </c>
      <c r="T1462" s="611">
        <v>22</v>
      </c>
      <c r="V1462" s="2557" t="str">
        <f t="shared" ca="1" si="201"/>
        <v/>
      </c>
      <c r="W1462" s="611" t="str">
        <f t="shared" ca="1" si="199"/>
        <v>Page5_CAD_VE, Ligne 8 [Page5_CAD_VE!M11]  -</v>
      </c>
    </row>
    <row r="1463" spans="1:23">
      <c r="A1463" s="1443" t="str">
        <f>celladdr(Page5_CAD_VE!M12)</f>
        <v>Page5_CAD_VE!M12</v>
      </c>
      <c r="B1463" s="1456" t="s">
        <v>1086</v>
      </c>
      <c r="C1463" s="1451" t="b">
        <f>IF(Page5_CAD_VE!$K$12=0,FALSE,OR(Page5_CAD_VE!$M$12/Page5_CAD_VE!$K$12&lt;INDEX(Min_Table,L1463),Page5_CAD_VE!$M$12/Page5_CAD_VE!$K$12&gt;INDEX(Max_Table,L1463)))</f>
        <v>0</v>
      </c>
      <c r="D1463" s="1454" t="b">
        <f>OR(AND(Page5_CAD_VE!$L12&lt;&gt;0,Page5_CAD_VE!$M12=0),AND(Page5_CAD_VE!$M12&lt;&gt;0,Page5_CAD_VE!$L12=0))</f>
        <v>0</v>
      </c>
      <c r="E1463" s="1454" t="b">
        <f>IF(Page5_CAD_VE!$K$12=0,FALSE,OR(Page5_CAD_VE!$M$12/Page5_CAD_VE!$K$12&lt;INDEX(Min_Table,M1463),Page5_CAD_VE!$M$12/Page5_CAD_VE!$K$12&gt;INDEX(Max_Table,M1463)))</f>
        <v>0</v>
      </c>
      <c r="F1463" s="1454"/>
      <c r="G1463" s="1444" t="str">
        <f t="shared" si="194"/>
        <v/>
      </c>
      <c r="H1463" s="1447" t="str">
        <f>IF(C1463=TRUE,Comments!$B$20&amp;DOLLAR(INDEX(Min_Table,L1463),0)&amp;Comments!$B$18&amp;DOLLAR(INDEX(Max_Table,L1463),0)&amp;Comments!$B$19&amp;DOLLAR(Page5_CAD_VE!$M$12/Page5_CAD_VE!$K$12,0),"")</f>
        <v/>
      </c>
      <c r="I1463" s="1446" t="str">
        <f>IF(D1463=TRUE,Comments!$B$24,"")</f>
        <v/>
      </c>
      <c r="J1463" s="1446" t="str">
        <f>IF(E1463=TRUE,Comments!$B$22&amp;DOLLAR(INDEX(Min_Table,M1463),0)&amp;Comments!$B$18&amp;DOLLAR(INDEX(Max_Table,M1463),0)&amp;Comments!$B$19&amp;IFERROR(DOLLAR(Page5_CAD_VE!$M$12/Page5_CAD_VE!$K$12,0),0),"")</f>
        <v/>
      </c>
      <c r="K1463" s="1452"/>
      <c r="L1463" s="611">
        <f>ROW(OR_VEH!$A$667)</f>
        <v>667</v>
      </c>
      <c r="M1463" s="611">
        <f>ROW(OR_VEH!$A$311)</f>
        <v>311</v>
      </c>
      <c r="N1463" s="611" t="str">
        <f>"CPTE # "&amp;Page5_CAD_VE!$E$12&amp;"  "&amp;Page5_CAD_VE!$C$12&amp;" - COÛT DES VENTES - AAD"</f>
        <v>CPTE # 408G  NE PAS UTILISER - COÛT DES VENTES - AAD</v>
      </c>
      <c r="O1463" s="611" t="str">
        <f t="shared" si="202"/>
        <v/>
      </c>
      <c r="P1463" s="611" t="str">
        <f t="shared" si="195"/>
        <v>Page5_CAD_VE!M</v>
      </c>
      <c r="Q1463" s="611">
        <f t="shared" si="196"/>
        <v>12</v>
      </c>
      <c r="R1463" s="1447">
        <f t="shared" ca="1" si="197"/>
        <v>0</v>
      </c>
      <c r="S1463" s="1447">
        <f t="shared" ca="1" si="198"/>
        <v>0</v>
      </c>
      <c r="T1463" s="611">
        <v>22</v>
      </c>
      <c r="V1463" s="2557" t="str">
        <f t="shared" ca="1" si="201"/>
        <v/>
      </c>
      <c r="W1463" s="611" t="str">
        <f t="shared" ca="1" si="199"/>
        <v>Page5_CAD_VE, Ligne 9 [Page5_CAD_VE!M12]  -</v>
      </c>
    </row>
    <row r="1464" spans="1:23">
      <c r="A1464" s="1443" t="str">
        <f>celladdr(Page5_CAD_VE!M13)</f>
        <v>Page5_CAD_VE!M13</v>
      </c>
      <c r="B1464" s="1456" t="s">
        <v>1086</v>
      </c>
      <c r="C1464" s="1451" t="b">
        <f>IF(Page5_CAD_VE!$K$13=0,FALSE,OR(Page5_CAD_VE!$M$13/Page5_CAD_VE!$K$13&lt;INDEX(Min_Table,L1464),Page5_CAD_VE!$M$13/Page5_CAD_VE!$K$13&gt;INDEX(Max_Table,L1464)))</f>
        <v>0</v>
      </c>
      <c r="D1464" s="1454" t="b">
        <f>OR(AND(Page5_CAD_VE!$L13&lt;&gt;0,Page5_CAD_VE!$M13=0),AND(Page5_CAD_VE!$M13&lt;&gt;0,Page5_CAD_VE!$L13=0))</f>
        <v>0</v>
      </c>
      <c r="E1464" s="1454" t="b">
        <f>IF(Page5_CAD_VE!$K$13=0,FALSE,OR(Page5_CAD_VE!$M$13/Page5_CAD_VE!$K$13&lt;INDEX(Min_Table,M1464),Page5_CAD_VE!$M$13/Page5_CAD_VE!$K$13&gt;INDEX(Max_Table,M1464)))</f>
        <v>0</v>
      </c>
      <c r="F1464" s="1454"/>
      <c r="G1464" s="1444" t="str">
        <f t="shared" si="194"/>
        <v/>
      </c>
      <c r="H1464" s="1447" t="str">
        <f>IF(C1464=TRUE,Comments!$B$20&amp;DOLLAR(INDEX(Min_Table,L1464),0)&amp;Comments!$B$18&amp;DOLLAR(INDEX(Max_Table,L1464),0)&amp;Comments!$B$19&amp;DOLLAR(Page5_CAD_VE!$M$13/Page5_CAD_VE!$K$13,0),"")</f>
        <v/>
      </c>
      <c r="I1464" s="1446" t="str">
        <f>IF(D1464=TRUE,Comments!$B$24,"")</f>
        <v/>
      </c>
      <c r="J1464" s="1446" t="str">
        <f>IF(E1464=TRUE,Comments!$B$22&amp;DOLLAR(INDEX(Min_Table,M1464),0)&amp;Comments!$B$18&amp;DOLLAR(INDEX(Max_Table,M1464),0)&amp;Comments!$B$19&amp;IFERROR(DOLLAR(Page5_CAD_VE!$M$13/Page5_CAD_VE!$K$13,0),0),"")</f>
        <v/>
      </c>
      <c r="K1464" s="1452"/>
      <c r="L1464" s="611">
        <f>ROW(OR_VEH!$A$667)</f>
        <v>667</v>
      </c>
      <c r="M1464" s="611">
        <f>ROW(OR_VEH!$A$312)</f>
        <v>312</v>
      </c>
      <c r="N1464" s="611" t="str">
        <f>"CPTE # "&amp;Page5_CAD_VE!$E$13&amp;"  "&amp;Page5_CAD_VE!$C$13&amp;" - COÛT DES VENTES - AAD"</f>
        <v>CPTE # 409G  NE PAS UTILISER - COÛT DES VENTES - AAD</v>
      </c>
      <c r="O1464" s="611" t="str">
        <f t="shared" si="202"/>
        <v/>
      </c>
      <c r="P1464" s="611" t="str">
        <f t="shared" si="195"/>
        <v>Page5_CAD_VE!M</v>
      </c>
      <c r="Q1464" s="611">
        <f t="shared" si="196"/>
        <v>13</v>
      </c>
      <c r="R1464" s="1447">
        <f t="shared" ca="1" si="197"/>
        <v>0</v>
      </c>
      <c r="S1464" s="1447">
        <f t="shared" ca="1" si="198"/>
        <v>0</v>
      </c>
      <c r="T1464" s="611">
        <v>22</v>
      </c>
      <c r="V1464" s="2557" t="str">
        <f t="shared" ca="1" si="201"/>
        <v/>
      </c>
      <c r="W1464" s="611" t="str">
        <f t="shared" ca="1" si="199"/>
        <v>Page5_CAD_VE, Ligne 10 [Page5_CAD_VE!M13]  -</v>
      </c>
    </row>
    <row r="1465" spans="1:23">
      <c r="A1465" s="1443" t="str">
        <f>celladdr(Page5_CAD_VE!M14)</f>
        <v>Page5_CAD_VE!M14</v>
      </c>
      <c r="B1465" s="1456" t="s">
        <v>1086</v>
      </c>
      <c r="C1465" s="1451" t="b">
        <f>IF(Page5_CAD_VE!$K$14=0,FALSE,OR(Page5_CAD_VE!$M$14/Page5_CAD_VE!$K$14&lt;INDEX(Min_Table,L1465),Page5_CAD_VE!$M$14/Page5_CAD_VE!$K$14&gt;INDEX(Max_Table,L1465)))</f>
        <v>0</v>
      </c>
      <c r="D1465" s="1454" t="b">
        <f>OR(AND(Page5_CAD_VE!$L14&lt;&gt;0,Page5_CAD_VE!$M14=0),AND(Page5_CAD_VE!$M14&lt;&gt;0,Page5_CAD_VE!$L14=0))</f>
        <v>0</v>
      </c>
      <c r="E1465" s="1454" t="b">
        <f>IF(Page5_CAD_VE!$K$14=0,FALSE,OR(Page5_CAD_VE!$M$14/Page5_CAD_VE!$K$14&lt;INDEX(Min_Table,M1465),Page5_CAD_VE!$M$14/Page5_CAD_VE!$K$14&gt;INDEX(Max_Table,M1465)))</f>
        <v>0</v>
      </c>
      <c r="F1465" s="1454"/>
      <c r="G1465" s="1444" t="str">
        <f t="shared" si="194"/>
        <v/>
      </c>
      <c r="H1465" s="1447" t="str">
        <f>IF(C1465=TRUE,Comments!$B$20&amp;DOLLAR(INDEX(Min_Table,L1465),0)&amp;Comments!$B$18&amp;DOLLAR(INDEX(Max_Table,L1465),0)&amp;Comments!$B$19&amp;DOLLAR(Page5_CAD_VE!$M$14/Page5_CAD_VE!$K$14,0),"")</f>
        <v/>
      </c>
      <c r="I1465" s="1446" t="str">
        <f>IF(D1465=TRUE,Comments!$B$24,"")</f>
        <v/>
      </c>
      <c r="J1465" s="1446" t="str">
        <f>IF(E1465=TRUE,Comments!$B$22&amp;DOLLAR(INDEX(Min_Table,M1465),0)&amp;Comments!$B$18&amp;DOLLAR(INDEX(Max_Table,M1465),0)&amp;Comments!$B$19&amp;IFERROR(DOLLAR(Page5_CAD_VE!$M$14/Page5_CAD_VE!$K$14,0),0),"")</f>
        <v/>
      </c>
      <c r="K1465" s="1452"/>
      <c r="L1465" s="611">
        <f>ROW(OR_VEH!$A$667)</f>
        <v>667</v>
      </c>
      <c r="M1465" s="611">
        <f>ROW(OR_VEH!$A$313)</f>
        <v>313</v>
      </c>
      <c r="N1465" s="611" t="str">
        <f>"CPTE # "&amp;Page5_CAD_VE!$E$14&amp;"  "&amp;Page5_CAD_VE!$C$14&amp;" - COÛT DES VENTES - AAD"</f>
        <v>CPTE # 410G  NE PAS UTILISER - COÛT DES VENTES - AAD</v>
      </c>
      <c r="O1465" s="611" t="str">
        <f t="shared" si="202"/>
        <v/>
      </c>
      <c r="P1465" s="611" t="str">
        <f t="shared" si="195"/>
        <v>Page5_CAD_VE!M</v>
      </c>
      <c r="Q1465" s="611">
        <f t="shared" si="196"/>
        <v>14</v>
      </c>
      <c r="R1465" s="1447">
        <f t="shared" ca="1" si="197"/>
        <v>0</v>
      </c>
      <c r="S1465" s="1447">
        <f t="shared" ca="1" si="198"/>
        <v>0</v>
      </c>
      <c r="T1465" s="611">
        <v>22</v>
      </c>
      <c r="V1465" s="2557" t="str">
        <f t="shared" ca="1" si="201"/>
        <v/>
      </c>
      <c r="W1465" s="611" t="str">
        <f t="shared" ca="1" si="199"/>
        <v>Page5_CAD_VE, Ligne 11 [Page5_CAD_VE!M14]  -</v>
      </c>
    </row>
    <row r="1466" spans="1:23">
      <c r="A1466" s="1443" t="str">
        <f>celladdr(Page5_CAD_VE!M15)</f>
        <v>Page5_CAD_VE!M15</v>
      </c>
      <c r="B1466" s="1456" t="s">
        <v>1086</v>
      </c>
      <c r="C1466" s="1451" t="b">
        <f>IF(Page5_CAD_VE!$K$15=0,FALSE,OR(Page5_CAD_VE!$M$15/Page5_CAD_VE!$K$15&lt;INDEX(Min_Table,L1466),Page5_CAD_VE!$M$15/Page5_CAD_VE!$K$15&gt;INDEX(Max_Table,L1466)))</f>
        <v>0</v>
      </c>
      <c r="D1466" s="1454" t="b">
        <f>OR(AND(Page5_CAD_VE!$L15&lt;&gt;0,Page5_CAD_VE!$M15=0),AND(Page5_CAD_VE!$M15&lt;&gt;0,Page5_CAD_VE!$L15=0))</f>
        <v>0</v>
      </c>
      <c r="E1466" s="1454" t="b">
        <f>IF(Page5_CAD_VE!$K$15=0,FALSE,OR(Page5_CAD_VE!$M$15/Page5_CAD_VE!$K$15&lt;INDEX(Min_Table,M1466),Page5_CAD_VE!$M$15/Page5_CAD_VE!$K$15&gt;INDEX(Max_Table,M1466)))</f>
        <v>0</v>
      </c>
      <c r="F1466" s="1454"/>
      <c r="G1466" s="1444" t="str">
        <f t="shared" si="194"/>
        <v/>
      </c>
      <c r="H1466" s="1447" t="str">
        <f>IF(C1466=TRUE,Comments!$B$20&amp;DOLLAR(INDEX(Min_Table,L1466),0)&amp;Comments!$B$18&amp;DOLLAR(INDEX(Max_Table,L1466),0)&amp;Comments!$B$19&amp;DOLLAR(Page5_CAD_VE!$M$15/Page5_CAD_VE!$K$15,0),"")</f>
        <v/>
      </c>
      <c r="I1466" s="1446" t="str">
        <f>IF(D1466=TRUE,Comments!$B$24,"")</f>
        <v/>
      </c>
      <c r="J1466" s="1446" t="str">
        <f>IF(E1466=TRUE,Comments!$B$22&amp;DOLLAR(INDEX(Min_Table,M1466),0)&amp;Comments!$B$18&amp;DOLLAR(INDEX(Max_Table,M1466),0)&amp;Comments!$B$19&amp;IFERROR(DOLLAR(Page5_CAD_VE!$M$15/Page5_CAD_VE!$K$15,0),0),"")</f>
        <v/>
      </c>
      <c r="K1466" s="1452"/>
      <c r="L1466" s="611">
        <f>ROW(OR_VEH!$A$667)</f>
        <v>667</v>
      </c>
      <c r="M1466" s="611">
        <f>ROW(OR_VEH!$A$314)</f>
        <v>314</v>
      </c>
      <c r="N1466" s="611" t="str">
        <f>"CPTE # "&amp;Page5_CAD_VE!$E$15&amp;"  "&amp;Page5_CAD_VE!$C$15&amp;" - COÛT DES VENTES - AAD"</f>
        <v>CPTE # 411G  NE PAS UTILISER - COÛT DES VENTES - AAD</v>
      </c>
      <c r="O1466" s="611" t="str">
        <f t="shared" si="202"/>
        <v/>
      </c>
      <c r="P1466" s="611" t="str">
        <f t="shared" si="195"/>
        <v>Page5_CAD_VE!M</v>
      </c>
      <c r="Q1466" s="611">
        <f t="shared" si="196"/>
        <v>15</v>
      </c>
      <c r="R1466" s="1447">
        <f t="shared" ca="1" si="197"/>
        <v>0</v>
      </c>
      <c r="S1466" s="1447">
        <f t="shared" ca="1" si="198"/>
        <v>0</v>
      </c>
      <c r="T1466" s="611">
        <v>22</v>
      </c>
      <c r="V1466" s="2557" t="str">
        <f t="shared" ca="1" si="201"/>
        <v/>
      </c>
      <c r="W1466" s="611" t="str">
        <f t="shared" ca="1" si="199"/>
        <v>Page5_CAD_VE, Ligne 12 [Page5_CAD_VE!M15]  -</v>
      </c>
    </row>
    <row r="1467" spans="1:23">
      <c r="A1467" s="1443" t="str">
        <f>celladdr(Page5_CAD_VE!M16)</f>
        <v>Page5_CAD_VE!M16</v>
      </c>
      <c r="B1467" s="1456" t="s">
        <v>1086</v>
      </c>
      <c r="C1467" s="1451" t="b">
        <f>IF(Page5_CAD_VE!$K$16=0,FALSE,OR(Page5_CAD_VE!$M$16/Page5_CAD_VE!$K$16&lt;INDEX(Min_Table,L1467),Page5_CAD_VE!$M$16/Page5_CAD_VE!$K$16&gt;INDEX(Max_Table,L1467)))</f>
        <v>0</v>
      </c>
      <c r="D1467" s="1454" t="b">
        <f>OR(AND(Page5_CAD_VE!$L16&lt;&gt;0,Page5_CAD_VE!$M16=0),AND(Page5_CAD_VE!$M16&lt;&gt;0,Page5_CAD_VE!$L16=0))</f>
        <v>0</v>
      </c>
      <c r="E1467" s="1454" t="b">
        <f>IF(Page5_CAD_VE!$K$16=0,FALSE,OR(Page5_CAD_VE!$M$16/Page5_CAD_VE!$K$16&lt;INDEX(Min_Table,M1467),Page5_CAD_VE!$M$16/Page5_CAD_VE!$K$16&gt;INDEX(Max_Table,M1467)))</f>
        <v>0</v>
      </c>
      <c r="F1467" s="1454"/>
      <c r="G1467" s="1444" t="str">
        <f t="shared" si="194"/>
        <v/>
      </c>
      <c r="H1467" s="1447" t="str">
        <f>IF(C1467=TRUE,Comments!$B$20&amp;DOLLAR(INDEX(Min_Table,L1467),0)&amp;Comments!$B$18&amp;DOLLAR(INDEX(Max_Table,L1467),0)&amp;Comments!$B$19&amp;DOLLAR(Page5_CAD_VE!$M$16/Page5_CAD_VE!$K$16,0),"")</f>
        <v/>
      </c>
      <c r="I1467" s="1446" t="str">
        <f>IF(D1467=TRUE,Comments!$B$24,"")</f>
        <v/>
      </c>
      <c r="J1467" s="1446" t="str">
        <f>IF(E1467=TRUE,Comments!$B$22&amp;DOLLAR(INDEX(Min_Table,M1467),0)&amp;Comments!$B$18&amp;DOLLAR(INDEX(Max_Table,M1467),0)&amp;Comments!$B$19&amp;IFERROR(DOLLAR(Page5_CAD_VE!$M$16/Page5_CAD_VE!$K$16,0),0),"")</f>
        <v/>
      </c>
      <c r="K1467" s="1452"/>
      <c r="L1467" s="611">
        <f>ROW(OR_VEH!$A$667)</f>
        <v>667</v>
      </c>
      <c r="M1467" s="611">
        <f>ROW(OR_VEH!$A$315)</f>
        <v>315</v>
      </c>
      <c r="N1467" s="611" t="str">
        <f>"CPTE # "&amp;Page5_CAD_VE!$E$16&amp;"  "&amp;Page5_CAD_VE!$C$16&amp;" - COÛT DES VENTES - AAD"</f>
        <v>CPTE # 412G  NE PAS UTILISER - COÛT DES VENTES - AAD</v>
      </c>
      <c r="O1467" s="611" t="str">
        <f t="shared" si="202"/>
        <v/>
      </c>
      <c r="P1467" s="611" t="str">
        <f t="shared" si="195"/>
        <v>Page5_CAD_VE!M</v>
      </c>
      <c r="Q1467" s="611">
        <f t="shared" si="196"/>
        <v>16</v>
      </c>
      <c r="R1467" s="1447">
        <f t="shared" ca="1" si="197"/>
        <v>0</v>
      </c>
      <c r="S1467" s="1447">
        <f t="shared" ca="1" si="198"/>
        <v>0</v>
      </c>
      <c r="T1467" s="611">
        <v>22</v>
      </c>
      <c r="V1467" s="2557" t="str">
        <f t="shared" ca="1" si="201"/>
        <v/>
      </c>
      <c r="W1467" s="611" t="str">
        <f t="shared" ca="1" si="199"/>
        <v>Page5_CAD_VE, Ligne 13 [Page5_CAD_VE!M16]  -</v>
      </c>
    </row>
    <row r="1468" spans="1:23">
      <c r="A1468" s="1443" t="str">
        <f>celladdr(Page5_CAD_VE!M17)</f>
        <v>Page5_CAD_VE!M17</v>
      </c>
      <c r="B1468" s="1456" t="s">
        <v>1086</v>
      </c>
      <c r="C1468" s="1451" t="b">
        <f>IF(Page5_CAD_VE!$K$17=0,FALSE,OR(Page5_CAD_VE!$M$17/Page5_CAD_VE!$K$17&lt;INDEX(Min_Table,L1468),Page5_CAD_VE!$M$17/Page5_CAD_VE!$K$17&gt;INDEX(Max_Table,L1468)))</f>
        <v>0</v>
      </c>
      <c r="D1468" s="1454" t="b">
        <f>OR(AND(Page5_CAD_VE!$L17&lt;&gt;0,Page5_CAD_VE!$M17=0),AND(Page5_CAD_VE!$M17&lt;&gt;0,Page5_CAD_VE!$L17=0))</f>
        <v>0</v>
      </c>
      <c r="E1468" s="1454" t="b">
        <f>IF(Page5_CAD_VE!$K$17=0,FALSE,OR(Page5_CAD_VE!$M$17/Page5_CAD_VE!$K$17&lt;INDEX(Min_Table,M1468),Page5_CAD_VE!$M$17/Page5_CAD_VE!$K$17&gt;INDEX(Max_Table,M1468)))</f>
        <v>0</v>
      </c>
      <c r="F1468" s="1454"/>
      <c r="G1468" s="1444" t="str">
        <f t="shared" si="194"/>
        <v/>
      </c>
      <c r="H1468" s="1447" t="str">
        <f>IF(C1468=TRUE,Comments!$B$20&amp;DOLLAR(INDEX(Min_Table,L1468),0)&amp;Comments!$B$18&amp;DOLLAR(INDEX(Max_Table,L1468),0)&amp;Comments!$B$19&amp;DOLLAR(Page5_CAD_VE!$M$17/Page5_CAD_VE!$K$17,0),"")</f>
        <v/>
      </c>
      <c r="I1468" s="1446" t="str">
        <f>IF(D1468=TRUE,Comments!$B$24,"")</f>
        <v/>
      </c>
      <c r="J1468" s="1446" t="str">
        <f>IF(E1468=TRUE,Comments!$B$22&amp;DOLLAR(INDEX(Min_Table,M1468),0)&amp;Comments!$B$18&amp;DOLLAR(INDEX(Max_Table,M1468),0)&amp;Comments!$B$19&amp;IFERROR(DOLLAR(Page5_CAD_VE!$M$17/Page5_CAD_VE!$K$17,0),0),"")</f>
        <v/>
      </c>
      <c r="K1468" s="1452"/>
      <c r="L1468" s="611">
        <f>ROW(OR_VEH!$A$667)</f>
        <v>667</v>
      </c>
      <c r="M1468" s="611">
        <f>ROW(OR_VEH!$A$316)</f>
        <v>316</v>
      </c>
      <c r="N1468" s="611" t="str">
        <f>"CPTE # "&amp;Page5_CAD_VE!$E$17&amp;"  "&amp;Page5_CAD_VE!$C$17&amp;" - COÛT DES VENTES - AAD"</f>
        <v>CPTE # 413G  NE PAS UTILISER - COÛT DES VENTES - AAD</v>
      </c>
      <c r="O1468" s="611" t="str">
        <f t="shared" si="202"/>
        <v/>
      </c>
      <c r="P1468" s="611" t="str">
        <f t="shared" si="195"/>
        <v>Page5_CAD_VE!M</v>
      </c>
      <c r="Q1468" s="611">
        <f t="shared" si="196"/>
        <v>17</v>
      </c>
      <c r="R1468" s="1447">
        <f t="shared" ca="1" si="197"/>
        <v>0</v>
      </c>
      <c r="S1468" s="1447">
        <f t="shared" ca="1" si="198"/>
        <v>0</v>
      </c>
      <c r="T1468" s="611">
        <v>22</v>
      </c>
      <c r="V1468" s="2557" t="str">
        <f t="shared" ca="1" si="201"/>
        <v/>
      </c>
      <c r="W1468" s="611" t="str">
        <f t="shared" ca="1" si="199"/>
        <v>Page5_CAD_VE, Ligne 14 [Page5_CAD_VE!M17]  -</v>
      </c>
    </row>
    <row r="1469" spans="1:23">
      <c r="A1469" s="1443" t="str">
        <f>celladdr(Page5_CAD_VE!M18)</f>
        <v>Page5_CAD_VE!M18</v>
      </c>
      <c r="B1469" s="1456" t="s">
        <v>1086</v>
      </c>
      <c r="C1469" s="1451" t="b">
        <f>IF(Page5_CAD_VE!$K$18=0,FALSE,OR(Page5_CAD_VE!$M$18/Page5_CAD_VE!$K$18&lt;INDEX(Min_Table,L1469),Page5_CAD_VE!$M$18/Page5_CAD_VE!$K$18&gt;INDEX(Max_Table,L1469)))</f>
        <v>0</v>
      </c>
      <c r="D1469" s="1454" t="b">
        <f>OR(AND(Page5_CAD_VE!$L18&lt;&gt;0,Page5_CAD_VE!$M18=0),AND(Page5_CAD_VE!$M18&lt;&gt;0,Page5_CAD_VE!$L18=0))</f>
        <v>0</v>
      </c>
      <c r="E1469" s="1454" t="b">
        <f>IF(Page5_CAD_VE!$K$18=0,FALSE,OR(Page5_CAD_VE!$M$18/Page5_CAD_VE!$K$18&lt;INDEX(Min_Table,M1469),Page5_CAD_VE!$M$18/Page5_CAD_VE!$K$18&gt;INDEX(Max_Table,M1469)))</f>
        <v>0</v>
      </c>
      <c r="F1469" s="1454"/>
      <c r="G1469" s="1444" t="str">
        <f t="shared" si="194"/>
        <v/>
      </c>
      <c r="H1469" s="1447" t="str">
        <f>IF(C1469=TRUE,Comments!$B$20&amp;DOLLAR(INDEX(Min_Table,L1469),0)&amp;Comments!$B$18&amp;DOLLAR(INDEX(Max_Table,L1469),0)&amp;Comments!$B$19&amp;DOLLAR(Page5_CAD_VE!$M$18/Page5_CAD_VE!$K$18,0),"")</f>
        <v/>
      </c>
      <c r="I1469" s="1446" t="str">
        <f>IF(D1469=TRUE,Comments!$B$24,"")</f>
        <v/>
      </c>
      <c r="J1469" s="1446" t="str">
        <f>IF(E1469=TRUE,Comments!$B$22&amp;DOLLAR(INDEX(Min_Table,M1469),0)&amp;Comments!$B$18&amp;DOLLAR(INDEX(Max_Table,M1469),0)&amp;Comments!$B$19&amp;IFERROR(DOLLAR(Page5_CAD_VE!$M$18/Page5_CAD_VE!$K$18,0),0),"")</f>
        <v/>
      </c>
      <c r="K1469" s="1452"/>
      <c r="L1469" s="611">
        <f>ROW(OR_VEH!$A$667)</f>
        <v>667</v>
      </c>
      <c r="M1469" s="611">
        <f>ROW(OR_VEH!$A$317)</f>
        <v>317</v>
      </c>
      <c r="N1469" s="611" t="str">
        <f>"CPTE # "&amp;Page5_CAD_VE!$E$18&amp;"  "&amp;Page5_CAD_VE!$C$18&amp;" - COÛT DES VENTES - AAD"</f>
        <v>CPTE # 414G  NE PAS UTILISER - COÛT DES VENTES - AAD</v>
      </c>
      <c r="O1469" s="611" t="str">
        <f t="shared" si="202"/>
        <v/>
      </c>
      <c r="P1469" s="611" t="str">
        <f t="shared" si="195"/>
        <v>Page5_CAD_VE!M</v>
      </c>
      <c r="Q1469" s="611">
        <f t="shared" si="196"/>
        <v>18</v>
      </c>
      <c r="R1469" s="1447">
        <f t="shared" ca="1" si="197"/>
        <v>0</v>
      </c>
      <c r="S1469" s="1447">
        <f t="shared" ca="1" si="198"/>
        <v>0</v>
      </c>
      <c r="T1469" s="611">
        <v>22</v>
      </c>
      <c r="V1469" s="2557" t="str">
        <f t="shared" ca="1" si="201"/>
        <v/>
      </c>
      <c r="W1469" s="611" t="str">
        <f t="shared" ca="1" si="199"/>
        <v>Page5_CAD_VE, Ligne 15 [Page5_CAD_VE!M18]  -</v>
      </c>
    </row>
    <row r="1470" spans="1:23">
      <c r="A1470" s="1443" t="str">
        <f>celladdr(Page5_CAD_VE!M19)</f>
        <v>Page5_CAD_VE!M19</v>
      </c>
      <c r="B1470" s="1456" t="s">
        <v>1086</v>
      </c>
      <c r="C1470" s="1451" t="b">
        <f>IF(Page5_CAD_VE!$K$19=0,FALSE,OR(Page5_CAD_VE!$M$19/Page5_CAD_VE!$K$19&lt;INDEX(Min_Table,L1470),Page5_CAD_VE!$M$19/Page5_CAD_VE!$K$19&gt;INDEX(Max_Table,L1470)))</f>
        <v>0</v>
      </c>
      <c r="D1470" s="1454" t="b">
        <f>OR(AND(Page5_CAD_VE!$L19&lt;&gt;0,Page5_CAD_VE!$M19=0),AND(Page5_CAD_VE!$M19&lt;&gt;0,Page5_CAD_VE!$L19=0))</f>
        <v>0</v>
      </c>
      <c r="E1470" s="1454" t="b">
        <f>IF(Page5_CAD_VE!$K$19=0,FALSE,OR(Page5_CAD_VE!$M$19/Page5_CAD_VE!$K$19&lt;INDEX(Min_Table,M1470),Page5_CAD_VE!$M$19/Page5_CAD_VE!$K$19&gt;INDEX(Max_Table,M1470)))</f>
        <v>0</v>
      </c>
      <c r="F1470" s="1454"/>
      <c r="G1470" s="1444" t="str">
        <f t="shared" si="194"/>
        <v/>
      </c>
      <c r="H1470" s="1447" t="str">
        <f>IF(C1470=TRUE,Comments!$B$20&amp;DOLLAR(INDEX(Min_Table,L1470),0)&amp;Comments!$B$18&amp;DOLLAR(INDEX(Max_Table,L1470),0)&amp;Comments!$B$19&amp;DOLLAR(Page5_CAD_VE!$M$19/Page5_CAD_VE!$K$19,0),"")</f>
        <v/>
      </c>
      <c r="I1470" s="1446" t="str">
        <f>IF(D1470=TRUE,Comments!$B$24,"")</f>
        <v/>
      </c>
      <c r="J1470" s="1446" t="str">
        <f>IF(E1470=TRUE,Comments!$B$22&amp;DOLLAR(INDEX(Min_Table,M1470),0)&amp;Comments!$B$18&amp;DOLLAR(INDEX(Max_Table,M1470),0)&amp;Comments!$B$19&amp;IFERROR(DOLLAR(Page5_CAD_VE!$M$19/Page5_CAD_VE!$K$19,0),0),"")</f>
        <v/>
      </c>
      <c r="K1470" s="1452"/>
      <c r="L1470" s="611">
        <f>ROW(OR_VEH!$A$667)</f>
        <v>667</v>
      </c>
      <c r="M1470" s="611">
        <f>ROW(OR_VEH!$A$318)</f>
        <v>318</v>
      </c>
      <c r="N1470" s="611" t="str">
        <f>"CPTE # "&amp;Page5_CAD_VE!$E$19&amp;"  "&amp;Page5_CAD_VE!$C$19&amp;" - COÛT DES VENTES - AAD"</f>
        <v>CPTE # 415G  NE PAS UTILISER - COÛT DES VENTES - AAD</v>
      </c>
      <c r="O1470" s="611" t="str">
        <f t="shared" si="202"/>
        <v/>
      </c>
      <c r="P1470" s="611" t="str">
        <f t="shared" si="195"/>
        <v>Page5_CAD_VE!M</v>
      </c>
      <c r="Q1470" s="611">
        <f t="shared" si="196"/>
        <v>19</v>
      </c>
      <c r="R1470" s="1447">
        <f t="shared" ca="1" si="197"/>
        <v>0</v>
      </c>
      <c r="S1470" s="1447">
        <f t="shared" ca="1" si="198"/>
        <v>0</v>
      </c>
      <c r="T1470" s="611">
        <v>22</v>
      </c>
      <c r="V1470" s="2557" t="str">
        <f t="shared" ca="1" si="201"/>
        <v/>
      </c>
      <c r="W1470" s="611" t="str">
        <f t="shared" ca="1" si="199"/>
        <v>Page5_CAD_VE, Ligne 16 [Page5_CAD_VE!M19]  -</v>
      </c>
    </row>
    <row r="1471" spans="1:23">
      <c r="A1471" s="1443" t="str">
        <f>celladdr(Page5_CAD_VE!M20)</f>
        <v>Page5_CAD_VE!M20</v>
      </c>
      <c r="B1471" s="1456" t="s">
        <v>1086</v>
      </c>
      <c r="C1471" s="1451" t="b">
        <f>IF(Page5_CAD_VE!$K$20=0,FALSE,OR(Page5_CAD_VE!$M$20/Page5_CAD_VE!$K$20&lt;INDEX(Min_Table,L1471),Page5_CAD_VE!$M$20/Page5_CAD_VE!$K$20&gt;INDEX(Max_Table,L1471)))</f>
        <v>0</v>
      </c>
      <c r="D1471" s="1454" t="b">
        <f>OR(AND(Page5_CAD_VE!$L20&lt;&gt;0,Page5_CAD_VE!$M20=0),AND(Page5_CAD_VE!$M20&lt;&gt;0,Page5_CAD_VE!$L20=0))</f>
        <v>0</v>
      </c>
      <c r="E1471" s="1454" t="b">
        <f>IF(Page5_CAD_VE!$K$20=0,FALSE,OR(Page5_CAD_VE!$M$20/Page5_CAD_VE!$K$20&lt;INDEX(Min_Table,M1471),Page5_CAD_VE!$M$20/Page5_CAD_VE!$K$20&gt;INDEX(Max_Table,M1471)))</f>
        <v>0</v>
      </c>
      <c r="F1471" s="1454"/>
      <c r="G1471" s="1444" t="str">
        <f t="shared" si="194"/>
        <v/>
      </c>
      <c r="H1471" s="1447" t="str">
        <f>IF(C1471=TRUE,Comments!$B$20&amp;DOLLAR(INDEX(Min_Table,L1471),0)&amp;Comments!$B$18&amp;DOLLAR(INDEX(Max_Table,L1471),0)&amp;Comments!$B$19&amp;DOLLAR(Page5_CAD_VE!$M$20/Page5_CAD_VE!$K$20,0),"")</f>
        <v/>
      </c>
      <c r="I1471" s="1446" t="str">
        <f>IF(D1471=TRUE,Comments!$B$24,"")</f>
        <v/>
      </c>
      <c r="J1471" s="1446" t="str">
        <f>IF(E1471=TRUE,Comments!$B$22&amp;DOLLAR(INDEX(Min_Table,M1471),0)&amp;Comments!$B$18&amp;DOLLAR(INDEX(Max_Table,M1471),0)&amp;Comments!$B$19&amp;IFERROR(DOLLAR(Page5_CAD_VE!$M$20/Page5_CAD_VE!$K$20,0),0),"")</f>
        <v/>
      </c>
      <c r="K1471" s="1452"/>
      <c r="L1471" s="611">
        <f>ROW(OR_VEH!$A$667)</f>
        <v>667</v>
      </c>
      <c r="M1471" s="611">
        <f>ROW(OR_VEH!$A$319)</f>
        <v>319</v>
      </c>
      <c r="N1471" s="611" t="str">
        <f>"CPTE # "&amp;Page5_CAD_VE!$E$20&amp;"  "&amp;Page5_CAD_VE!$C$20&amp;" - COÛT DES VENTES - AAD"</f>
        <v>CPTE # 416G  NE PAS UTILISER - COÛT DES VENTES - AAD</v>
      </c>
      <c r="O1471" s="611" t="str">
        <f t="shared" si="202"/>
        <v/>
      </c>
      <c r="P1471" s="611" t="str">
        <f t="shared" si="195"/>
        <v>Page5_CAD_VE!M</v>
      </c>
      <c r="Q1471" s="611">
        <f t="shared" si="196"/>
        <v>20</v>
      </c>
      <c r="R1471" s="1447">
        <f t="shared" ca="1" si="197"/>
        <v>0</v>
      </c>
      <c r="S1471" s="1447">
        <f t="shared" ca="1" si="198"/>
        <v>0</v>
      </c>
      <c r="T1471" s="611">
        <v>22</v>
      </c>
      <c r="V1471" s="2557" t="str">
        <f t="shared" ca="1" si="201"/>
        <v/>
      </c>
      <c r="W1471" s="611" t="str">
        <f t="shared" ca="1" si="199"/>
        <v>Page5_CAD_VE, Ligne 17 [Page5_CAD_VE!M20]  -</v>
      </c>
    </row>
    <row r="1472" spans="1:23">
      <c r="A1472" s="1443" t="str">
        <f>celladdr(Page5_CAD_VE!M21)</f>
        <v>Page5_CAD_VE!M21</v>
      </c>
      <c r="B1472" s="1456" t="s">
        <v>1086</v>
      </c>
      <c r="C1472" s="1451" t="b">
        <f>IF(Page5_CAD_VE!$K$21=0,FALSE,OR(Page5_CAD_VE!$M$21/Page5_CAD_VE!$K$21&lt;INDEX(Min_Table,L1472),Page5_CAD_VE!$M$21/Page5_CAD_VE!$K$21&gt;INDEX(Max_Table,L1472)))</f>
        <v>0</v>
      </c>
      <c r="D1472" s="1454" t="b">
        <f>OR(AND(Page5_CAD_VE!$L21&lt;&gt;0,Page5_CAD_VE!$M21=0),AND(Page5_CAD_VE!$M21&lt;&gt;0,Page5_CAD_VE!$L21=0))</f>
        <v>0</v>
      </c>
      <c r="E1472" s="1454" t="b">
        <f>IF(Page5_CAD_VE!$K$21=0,FALSE,OR(Page5_CAD_VE!$M$21/Page5_CAD_VE!$K$21&lt;INDEX(Min_Table,M1472),Page5_CAD_VE!$M$21/Page5_CAD_VE!$K$21&gt;INDEX(Max_Table,M1472)))</f>
        <v>0</v>
      </c>
      <c r="F1472" s="1454"/>
      <c r="G1472" s="1444" t="str">
        <f t="shared" si="194"/>
        <v/>
      </c>
      <c r="H1472" s="1447" t="str">
        <f>IF(C1472=TRUE,Comments!$B$20&amp;DOLLAR(INDEX(Min_Table,L1472),0)&amp;Comments!$B$18&amp;DOLLAR(INDEX(Max_Table,L1472),0)&amp;Comments!$B$19&amp;DOLLAR(Page5_CAD_VE!$M$21/Page5_CAD_VE!$K$21,0),"")</f>
        <v/>
      </c>
      <c r="I1472" s="1446" t="str">
        <f>IF(D1472=TRUE,Comments!$B$24,"")</f>
        <v/>
      </c>
      <c r="J1472" s="1446" t="str">
        <f>IF(E1472=TRUE,Comments!$B$22&amp;DOLLAR(INDEX(Min_Table,M1472),0)&amp;Comments!$B$18&amp;DOLLAR(INDEX(Max_Table,M1472),0)&amp;Comments!$B$19&amp;IFERROR(DOLLAR(Page5_CAD_VE!$M$21/Page5_CAD_VE!$K$21,0),0),"")</f>
        <v/>
      </c>
      <c r="K1472" s="1452"/>
      <c r="L1472" s="611">
        <f>ROW(OR_VEH!$A$667)</f>
        <v>667</v>
      </c>
      <c r="M1472" s="611">
        <f>ROW(OR_VEH!$A$320)</f>
        <v>320</v>
      </c>
      <c r="N1472" s="611" t="str">
        <f>"CPTE # "&amp;Page5_CAD_VE!$E$21&amp;"  "&amp;Page5_CAD_VE!$C$21&amp;" - COÛT DES VENTES - AAD"</f>
        <v>CPTE # 417G  NE PAS UTILISER - COÛT DES VENTES - AAD</v>
      </c>
      <c r="O1472" s="611" t="str">
        <f t="shared" si="202"/>
        <v/>
      </c>
      <c r="P1472" s="611" t="str">
        <f t="shared" si="195"/>
        <v>Page5_CAD_VE!M</v>
      </c>
      <c r="Q1472" s="611">
        <f t="shared" si="196"/>
        <v>21</v>
      </c>
      <c r="R1472" s="1447">
        <f t="shared" ca="1" si="197"/>
        <v>0</v>
      </c>
      <c r="S1472" s="1447">
        <f t="shared" ca="1" si="198"/>
        <v>0</v>
      </c>
      <c r="T1472" s="611">
        <v>22</v>
      </c>
      <c r="V1472" s="2557" t="str">
        <f t="shared" ca="1" si="201"/>
        <v/>
      </c>
      <c r="W1472" s="611" t="str">
        <f t="shared" ca="1" si="199"/>
        <v>Page5_CAD_VE, Ligne 18 [Page5_CAD_VE!M21]  -</v>
      </c>
    </row>
    <row r="1473" spans="1:23">
      <c r="A1473" s="1443" t="str">
        <f>celladdr(Page5_CAD_VE!M22)</f>
        <v>Page5_CAD_VE!M22</v>
      </c>
      <c r="B1473" s="1456" t="s">
        <v>1086</v>
      </c>
      <c r="C1473" s="1451" t="b">
        <f>IF(Page5_CAD_VE!$K$22=0,FALSE,OR(Page5_CAD_VE!$M$22/Page5_CAD_VE!$K$22&lt;INDEX(Min_Table,L1473),Page5_CAD_VE!$M$22/Page5_CAD_VE!$K$22&gt;INDEX(Max_Table,L1473)))</f>
        <v>0</v>
      </c>
      <c r="D1473" s="1454" t="b">
        <f>OR(AND(Page5_CAD_VE!$L22&lt;&gt;0,Page5_CAD_VE!$M22=0),AND(Page5_CAD_VE!$M22&lt;&gt;0,Page5_CAD_VE!$L22=0))</f>
        <v>0</v>
      </c>
      <c r="E1473" s="1454" t="b">
        <f>IF(Page5_CAD_VE!$K$22=0,FALSE,OR(Page5_CAD_VE!$M$22/Page5_CAD_VE!$K$22&lt;INDEX(Min_Table,M1473),Page5_CAD_VE!$M$22/Page5_CAD_VE!$K$22&gt;INDEX(Max_Table,M1473)))</f>
        <v>0</v>
      </c>
      <c r="F1473" s="1454"/>
      <c r="G1473" s="1444" t="str">
        <f t="shared" si="194"/>
        <v/>
      </c>
      <c r="H1473" s="1447" t="str">
        <f>IF(C1473=TRUE,Comments!$B$20&amp;DOLLAR(INDEX(Min_Table,L1473),0)&amp;Comments!$B$18&amp;DOLLAR(INDEX(Max_Table,L1473),0)&amp;Comments!$B$19&amp;DOLLAR(Page5_CAD_VE!$M$22/Page5_CAD_VE!$K$22,0),"")</f>
        <v/>
      </c>
      <c r="I1473" s="1446" t="str">
        <f>IF(D1473=TRUE,Comments!$B$24,"")</f>
        <v/>
      </c>
      <c r="J1473" s="1446" t="str">
        <f>IF(E1473=TRUE,Comments!$B$22&amp;DOLLAR(INDEX(Min_Table,M1473),0)&amp;Comments!$B$18&amp;DOLLAR(INDEX(Max_Table,M1473),0)&amp;Comments!$B$19&amp;IFERROR(DOLLAR(Page5_CAD_VE!$M$22/Page5_CAD_VE!$K$22,0),0),"")</f>
        <v/>
      </c>
      <c r="K1473" s="1452"/>
      <c r="L1473" s="611">
        <f>ROW(OR_VEH!$A$667)</f>
        <v>667</v>
      </c>
      <c r="M1473" s="611">
        <f>ROW(OR_VEH!$A$321)</f>
        <v>321</v>
      </c>
      <c r="N1473" s="611" t="str">
        <f>"CPTE # "&amp;Page5_CAD_VE!$E$22&amp;"  "&amp;Page5_CAD_VE!$C$22&amp;" - COÛT DES VENTES - AAD"</f>
        <v>CPTE # 418G  NE PAS UTILISER - COÛT DES VENTES - AAD</v>
      </c>
      <c r="O1473" s="611" t="str">
        <f t="shared" si="202"/>
        <v/>
      </c>
      <c r="P1473" s="611" t="str">
        <f t="shared" si="195"/>
        <v>Page5_CAD_VE!M</v>
      </c>
      <c r="Q1473" s="611">
        <f t="shared" si="196"/>
        <v>22</v>
      </c>
      <c r="R1473" s="1447">
        <f t="shared" ca="1" si="197"/>
        <v>0</v>
      </c>
      <c r="S1473" s="1447">
        <f t="shared" ca="1" si="198"/>
        <v>0</v>
      </c>
      <c r="T1473" s="611">
        <v>22</v>
      </c>
      <c r="V1473" s="2557" t="str">
        <f t="shared" ca="1" si="201"/>
        <v/>
      </c>
      <c r="W1473" s="611" t="str">
        <f t="shared" ca="1" si="199"/>
        <v>Page5_CAD_VE, Ligne 19 [Page5_CAD_VE!M22]  -</v>
      </c>
    </row>
    <row r="1474" spans="1:23">
      <c r="A1474" s="1443" t="str">
        <f>celladdr(Page5_CAD_VE!M23)</f>
        <v>Page5_CAD_VE!M23</v>
      </c>
      <c r="B1474" s="1444" t="s">
        <v>1086</v>
      </c>
      <c r="C1474" s="1451"/>
      <c r="D1474" s="1454"/>
      <c r="E1474" s="1454"/>
      <c r="F1474" s="1454"/>
      <c r="G1474" s="1444" t="str">
        <f t="shared" ref="G1474:G1537" si="203">IF(H1474&amp;I1474&amp;J1474&amp;K1474&lt;&gt;"","No.de ref. du commentaire.: "&amp;W1474&amp;" "&amp;N1474&amp;" "&amp;H1474&amp;I1474&amp;IF(OR(C1474=TRUE,D1474=TRUE),"",J1474&amp;K1474&amp;V1474),"")</f>
        <v/>
      </c>
      <c r="H1474" s="1447" t="str">
        <f>IF(C1474=TRUE,Comments!$B$26,"")</f>
        <v/>
      </c>
      <c r="I1474" s="1446" t="str">
        <f>IF(D1474=TRUE,Comments!$B$24,"")</f>
        <v/>
      </c>
      <c r="J1474" s="1446"/>
      <c r="K1474" s="1452"/>
      <c r="O1474" s="611" t="str">
        <f t="shared" si="202"/>
        <v/>
      </c>
      <c r="P1474" s="611" t="str">
        <f t="shared" ref="P1474:P1537" si="204">LEFT(A1474,FIND("!",A1474)+1)</f>
        <v>Page5_CAD_VE!M</v>
      </c>
      <c r="Q1474" s="611">
        <f t="shared" ref="Q1474:Q1537" si="205">VALUE(RIGHT(A1474,LEN(A1474)-FIND("!",A1474)-1))</f>
        <v>23</v>
      </c>
      <c r="R1474" s="1447">
        <f t="shared" ref="R1474:R1537" ca="1" si="206">IF(E1474=TRUE,INDIRECT("Comments!$D$"&amp;T1474),0)</f>
        <v>0</v>
      </c>
      <c r="S1474" s="1447">
        <f t="shared" ref="S1474:S1537" ca="1" si="207">IF(F1474=TRUE,INDIRECT("Comments!$D$"&amp;U1474),0)</f>
        <v>0</v>
      </c>
      <c r="V1474" s="2557" t="str">
        <f t="shared" ca="1" si="201"/>
        <v/>
      </c>
      <c r="W1474" s="611" t="str">
        <f t="shared" ref="W1474:W1537" ca="1" si="208">LEFT(A1474,FIND("!",A1474,1)-1)&amp;", Ligne "&amp;INDIRECT(ADDRESS(ROW(INDIRECT(A1474)),IF(INDIRECT(ADDRESS(ROW(INDIRECT(A1474)),1,,,LEFT(A1474,FIND("!",A1474,1)-1)))="",2,1),,,LEFT(A1474,FIND("!",A1474,1)-1)))&amp;" ["&amp;A1474&amp;"] "&amp;" -"</f>
        <v>Page5_CAD_VE, Ligne 20 [Page5_CAD_VE!M23]  -</v>
      </c>
    </row>
    <row r="1475" spans="1:23">
      <c r="A1475" s="1443" t="str">
        <f>celladdr(Page5_CAD_VE!M24)</f>
        <v>Page5_CAD_VE!M24</v>
      </c>
      <c r="B1475" s="1456" t="s">
        <v>1086</v>
      </c>
      <c r="C1475" s="1451" t="b">
        <f>IF(Page5_CAD_VE!$K$24=0,FALSE,OR(Page5_CAD_VE!$M$24/Page5_CAD_VE!$K$24&lt;INDEX(Min_Table,L1475),Page5_CAD_VE!$M$24/Page5_CAD_VE!$K$24&gt;INDEX(Max_Table,L1475)))</f>
        <v>0</v>
      </c>
      <c r="D1475" s="1454" t="b">
        <f>OR(AND(Page5_CAD_VE!$L24&lt;&gt;0,Page5_CAD_VE!$M24=0),AND(Page5_CAD_VE!$M24&lt;&gt;0,Page5_CAD_VE!$L24=0))</f>
        <v>0</v>
      </c>
      <c r="E1475" s="1454" t="b">
        <f>IF(Page5_CAD_VE!$K$24=0,FALSE,OR(Page5_CAD_VE!$M$24/Page5_CAD_VE!$K$24&lt;INDEX(Min_Table,M1475),Page5_CAD_VE!$M$24/Page5_CAD_VE!$K$24&gt;INDEX(Max_Table,M1475)))</f>
        <v>0</v>
      </c>
      <c r="F1475" s="1454"/>
      <c r="G1475" s="1444" t="str">
        <f t="shared" si="203"/>
        <v/>
      </c>
      <c r="H1475" s="1447" t="str">
        <f>IF(C1475=TRUE,Comments!$B$20&amp;DOLLAR(INDEX(Min_Table,L1475),0)&amp;Comments!$B$18&amp;DOLLAR(INDEX(Max_Table,L1475),0)&amp;Comments!$B$19&amp;DOLLAR(Page5_CAD_VE!$M$24/Page5_CAD_VE!$K$24,0),"")</f>
        <v/>
      </c>
      <c r="I1475" s="1446" t="str">
        <f>IF(D1475=TRUE,Comments!$B$24,"")</f>
        <v/>
      </c>
      <c r="J1475" s="1446" t="str">
        <f>IF(E1475=TRUE,Comments!$B$22&amp;DOLLAR(INDEX(Min_Table,M1475),0)&amp;Comments!$B$18&amp;DOLLAR(INDEX(Max_Table,M1475),0)&amp;Comments!$B$19&amp;IFERROR(DOLLAR(Page5_CAD_VE!$M$24/Page5_CAD_VE!$K$24,0),0),"")</f>
        <v/>
      </c>
      <c r="K1475" s="1452"/>
      <c r="L1475" s="611">
        <f>ROW(OR_VEH!$A$667)</f>
        <v>667</v>
      </c>
      <c r="M1475" s="611">
        <f>ROW(OR_VEH!$A$323)</f>
        <v>323</v>
      </c>
      <c r="N1475" s="611" t="str">
        <f>"CPTE # "&amp;Page5_CAD_VE!$E$24&amp;"  "&amp;Page5_CAD_VE!$C$24&amp;" - COÛT DES VENTES - AAD"</f>
        <v>CPTE # 419G  MÉMO* VENTES INTERNET VOITURES - COÛT DES VENTES - AAD</v>
      </c>
      <c r="O1475" s="611" t="str">
        <f t="shared" si="202"/>
        <v/>
      </c>
      <c r="P1475" s="611" t="str">
        <f t="shared" si="204"/>
        <v>Page5_CAD_VE!M</v>
      </c>
      <c r="Q1475" s="611">
        <f t="shared" si="205"/>
        <v>24</v>
      </c>
      <c r="R1475" s="1447">
        <f t="shared" ca="1" si="206"/>
        <v>0</v>
      </c>
      <c r="S1475" s="1447">
        <f t="shared" ca="1" si="207"/>
        <v>0</v>
      </c>
      <c r="T1475" s="611">
        <v>22</v>
      </c>
      <c r="V1475" s="2557" t="str">
        <f t="shared" ca="1" si="201"/>
        <v/>
      </c>
      <c r="W1475" s="611" t="str">
        <f t="shared" ca="1" si="208"/>
        <v>Page5_CAD_VE, Ligne 21 [Page5_CAD_VE!M24]  -</v>
      </c>
    </row>
    <row r="1476" spans="1:23">
      <c r="A1476" s="1443" t="str">
        <f>celladdr(Page5_CAD_VE!M25)</f>
        <v>Page5_CAD_VE!M25</v>
      </c>
      <c r="B1476" s="1456" t="s">
        <v>1086</v>
      </c>
      <c r="C1476" s="1451" t="b">
        <f>IF(Page5_CAD_VE!$K$25=0,FALSE,OR(Page5_CAD_VE!$M$25/Page5_CAD_VE!$K$25&lt;INDEX(Min_Table,L1476),Page5_CAD_VE!$M$25/Page5_CAD_VE!$K$25&gt;INDEX(Max_Table,L1476)))</f>
        <v>0</v>
      </c>
      <c r="D1476" s="1454" t="b">
        <f>OR(AND(Page5_CAD_VE!$L25&lt;&gt;0,Page5_CAD_VE!$M25=0),AND(Page5_CAD_VE!$M25&lt;&gt;0,Page5_CAD_VE!$L25=0))</f>
        <v>0</v>
      </c>
      <c r="E1476" s="1454" t="b">
        <f>IF(Page5_CAD_VE!$K$25=0,FALSE,OR(Page5_CAD_VE!$M$25/Page5_CAD_VE!$K$25&lt;INDEX(Min_Table,M1476),Page5_CAD_VE!$M$25/Page5_CAD_VE!$K$25&gt;INDEX(Max_Table,M1476)))</f>
        <v>0</v>
      </c>
      <c r="F1476" s="1454"/>
      <c r="G1476" s="1444" t="str">
        <f t="shared" si="203"/>
        <v/>
      </c>
      <c r="H1476" s="1447" t="str">
        <f>IF(C1476=TRUE,Comments!$B$20&amp;DOLLAR(INDEX(Min_Table,L1476),0)&amp;Comments!$B$18&amp;DOLLAR(INDEX(Max_Table,L1476),0)&amp;Comments!$B$19&amp;DOLLAR(Page5_CAD_VE!$M$25/Page5_CAD_VE!$K$25,0),"")</f>
        <v/>
      </c>
      <c r="I1476" s="1446" t="str">
        <f>IF(D1476=TRUE,Comments!$B$24,"")</f>
        <v/>
      </c>
      <c r="J1476" s="1446" t="str">
        <f>IF(E1476=TRUE,Comments!$B$22&amp;DOLLAR(INDEX(Min_Table,M1476),0)&amp;Comments!$B$18&amp;DOLLAR(INDEX(Max_Table,M1476),0)&amp;Comments!$B$19&amp;IFERROR(DOLLAR(Page5_CAD_VE!$M$25/Page5_CAD_VE!$K$25,0),0),"")</f>
        <v/>
      </c>
      <c r="K1476" s="1452"/>
      <c r="L1476" s="611">
        <f>ROW(OR_VEH!$A$667)</f>
        <v>667</v>
      </c>
      <c r="M1476" s="611">
        <f>ROW(OR_VEH!$A$324)</f>
        <v>324</v>
      </c>
      <c r="N1476" s="611" t="str">
        <f>"CPTE # "&amp;Page5_CAD_VE!$E$25&amp;"  "&amp;Page5_CAD_VE!$C$25&amp;" - COÛT DES VENTES - AAD"</f>
        <v>CPTE # DE PG PARCS  TOTAL PARCS - VOITURES - COÛT DES VENTES - AAD</v>
      </c>
      <c r="O1476" s="611" t="str">
        <f t="shared" si="202"/>
        <v/>
      </c>
      <c r="P1476" s="611" t="str">
        <f t="shared" si="204"/>
        <v>Page5_CAD_VE!M</v>
      </c>
      <c r="Q1476" s="611">
        <f t="shared" si="205"/>
        <v>25</v>
      </c>
      <c r="R1476" s="1447">
        <f t="shared" ca="1" si="206"/>
        <v>0</v>
      </c>
      <c r="S1476" s="1447">
        <f t="shared" ca="1" si="207"/>
        <v>0</v>
      </c>
      <c r="T1476" s="611">
        <v>22</v>
      </c>
      <c r="V1476" s="2557" t="str">
        <f t="shared" ca="1" si="201"/>
        <v/>
      </c>
      <c r="W1476" s="611" t="str">
        <f t="shared" ca="1" si="208"/>
        <v>Page5_CAD_VE, Ligne 22 [Page5_CAD_VE!M25]  -</v>
      </c>
    </row>
    <row r="1477" spans="1:23">
      <c r="A1477" s="1443" t="str">
        <f>celladdr(Page5_CAD_VE!M26)</f>
        <v>Page5_CAD_VE!M26</v>
      </c>
      <c r="B1477" s="1456" t="s">
        <v>1086</v>
      </c>
      <c r="C1477" s="1451" t="b">
        <f>IF(Page5_CAD_VE!$K$26=0,FALSE,OR(Page5_CAD_VE!$M$26/Page5_CAD_VE!$K$26&lt;INDEX(Min_Table,L1477),Page5_CAD_VE!$M$26/Page5_CAD_VE!$K$26&gt;INDEX(Max_Table,L1477)))</f>
        <v>0</v>
      </c>
      <c r="D1477" s="1454" t="b">
        <f>OR(AND(Page5_CAD_VE!$L26&lt;&gt;0,Page5_CAD_VE!$M26=0),AND(Page5_CAD_VE!$M26&lt;&gt;0,Page5_CAD_VE!$L26=0))</f>
        <v>0</v>
      </c>
      <c r="E1477" s="1454" t="b">
        <f>IF(Page5_CAD_VE!$K$26=0,FALSE,OR(Page5_CAD_VE!$M$26/Page5_CAD_VE!$K$26&lt;INDEX(Min_Table,M1477),Page5_CAD_VE!$M$26/Page5_CAD_VE!$K$26&gt;INDEX(Max_Table,M1477)))</f>
        <v>0</v>
      </c>
      <c r="F1477" s="1454"/>
      <c r="G1477" s="1444" t="str">
        <f t="shared" si="203"/>
        <v/>
      </c>
      <c r="H1477" s="1447" t="str">
        <f>IF(C1477=TRUE,Comments!$B$20&amp;DOLLAR(INDEX(Min_Table,L1477),0)&amp;Comments!$B$18&amp;DOLLAR(INDEX(Max_Table,L1477),0)&amp;Comments!$B$19&amp;DOLLAR(Page5_CAD_VE!$M$26/Page5_CAD_VE!$K$26,0),"")</f>
        <v/>
      </c>
      <c r="I1477" s="1446" t="str">
        <f>IF(D1477=TRUE,Comments!$B$24,"")</f>
        <v/>
      </c>
      <c r="J1477" s="1446" t="str">
        <f>IF(E1477=TRUE,Comments!$B$22&amp;DOLLAR(INDEX(Min_Table,M1477),0)&amp;Comments!$B$18&amp;DOLLAR(INDEX(Max_Table,M1477),0)&amp;Comments!$B$19&amp;IFERROR(DOLLAR(Page5_CAD_VE!$M$26/Page5_CAD_VE!$K$26,0),0),"")</f>
        <v/>
      </c>
      <c r="K1477" s="1452"/>
      <c r="L1477" s="611">
        <f>ROW(OR_VEH!$A$667)</f>
        <v>667</v>
      </c>
      <c r="M1477" s="611">
        <f>ROW(OR_VEH!$A$325)</f>
        <v>325</v>
      </c>
      <c r="N1477" s="611" t="str">
        <f>"CPTE # "&amp;Page5_CAD_VE!$E$26&amp;"  "&amp;Page5_CAD_VE!$C$26&amp;" - COÛT DES VENTES - AAD"</f>
        <v>CPTE # 421G  TOTAL INTERNE - VOITURES - COÛT DES VENTES - AAD</v>
      </c>
      <c r="O1477" s="611" t="str">
        <f t="shared" si="202"/>
        <v/>
      </c>
      <c r="P1477" s="611" t="str">
        <f t="shared" si="204"/>
        <v>Page5_CAD_VE!M</v>
      </c>
      <c r="Q1477" s="611">
        <f t="shared" si="205"/>
        <v>26</v>
      </c>
      <c r="R1477" s="1447">
        <f t="shared" ca="1" si="206"/>
        <v>0</v>
      </c>
      <c r="S1477" s="1447">
        <f t="shared" ca="1" si="207"/>
        <v>0</v>
      </c>
      <c r="T1477" s="611">
        <v>22</v>
      </c>
      <c r="V1477" s="2557" t="str">
        <f t="shared" ca="1" si="201"/>
        <v/>
      </c>
      <c r="W1477" s="611" t="str">
        <f t="shared" ca="1" si="208"/>
        <v>Page5_CAD_VE, Ligne 23 [Page5_CAD_VE!M26]  -</v>
      </c>
    </row>
    <row r="1478" spans="1:23">
      <c r="A1478" s="1443" t="str">
        <f>celladdr(Page5_CAD_VE!M27)</f>
        <v>Page5_CAD_VE!M27</v>
      </c>
      <c r="B1478" s="1444" t="s">
        <v>1086</v>
      </c>
      <c r="C1478" s="1451"/>
      <c r="D1478" s="1454"/>
      <c r="E1478" s="1454"/>
      <c r="F1478" s="1454"/>
      <c r="G1478" s="1444" t="str">
        <f t="shared" si="203"/>
        <v/>
      </c>
      <c r="H1478" s="1447" t="str">
        <f>IF(C1478=TRUE,Comments!$B$26,"")</f>
        <v/>
      </c>
      <c r="I1478" s="1446" t="str">
        <f>IF(D1478=TRUE,Comments!$B$24,"")</f>
        <v/>
      </c>
      <c r="J1478" s="1446"/>
      <c r="K1478" s="1452"/>
      <c r="O1478" s="611" t="str">
        <f t="shared" si="202"/>
        <v/>
      </c>
      <c r="P1478" s="611" t="str">
        <f t="shared" si="204"/>
        <v>Page5_CAD_VE!M</v>
      </c>
      <c r="Q1478" s="611">
        <f t="shared" si="205"/>
        <v>27</v>
      </c>
      <c r="R1478" s="1447">
        <f t="shared" ca="1" si="206"/>
        <v>0</v>
      </c>
      <c r="S1478" s="1447">
        <f t="shared" ca="1" si="207"/>
        <v>0</v>
      </c>
      <c r="V1478" s="2557" t="str">
        <f t="shared" ca="1" si="201"/>
        <v/>
      </c>
      <c r="W1478" s="611" t="str">
        <f t="shared" ca="1" si="208"/>
        <v>Page5_CAD_VE, Ligne 24 [Page5_CAD_VE!M27]  -</v>
      </c>
    </row>
    <row r="1479" spans="1:23">
      <c r="A1479" s="1443" t="str">
        <f>celladdr(Page5_CAD_VE!M28)</f>
        <v>Page5_CAD_VE!M28</v>
      </c>
      <c r="B1479" s="1456" t="s">
        <v>1086</v>
      </c>
      <c r="C1479" s="1451" t="b">
        <f>IF(Page5_CAD_VE!$K$28=0,FALSE,OR(Page5_CAD_VE!$M$28/Page5_CAD_VE!$K$28&lt;INDEX(Min_Table,L1479),Page5_CAD_VE!$M$28/Page5_CAD_VE!$K$28&gt;INDEX(Max_Table,L1479)))</f>
        <v>0</v>
      </c>
      <c r="D1479" s="1454" t="b">
        <f>OR(AND(Page5_CAD_VE!$L28&lt;&gt;0,Page5_CAD_VE!$M28=0),AND(Page5_CAD_VE!$M28&lt;&gt;0,Page5_CAD_VE!$L28=0))</f>
        <v>0</v>
      </c>
      <c r="E1479" s="1454" t="b">
        <f>IF(Page5_CAD_VE!$K$28=0,FALSE,OR(Page5_CAD_VE!$M$28/Page5_CAD_VE!$K$28&lt;INDEX(Min_Table,M1479),Page5_CAD_VE!$M$28/Page5_CAD_VE!$K$28&gt;INDEX(Max_Table,M1479)))</f>
        <v>0</v>
      </c>
      <c r="F1479" s="1454"/>
      <c r="G1479" s="1444" t="str">
        <f t="shared" si="203"/>
        <v/>
      </c>
      <c r="H1479" s="1447" t="str">
        <f>IF(C1479=TRUE,Comments!$B$20&amp;DOLLAR(INDEX(Min_Table,L1479),0)&amp;Comments!$B$18&amp;DOLLAR(INDEX(Max_Table,L1479),0)&amp;Comments!$B$19&amp;DOLLAR(Page5_CAD_VE!$M$28/Page5_CAD_VE!$K$28,0),"")</f>
        <v/>
      </c>
      <c r="I1479" s="1446" t="str">
        <f>IF(D1479=TRUE,Comments!$B$24,"")</f>
        <v/>
      </c>
      <c r="J1479" s="1446" t="str">
        <f>IF(E1479=TRUE,Comments!$B$22&amp;DOLLAR(INDEX(Min_Table,M1479),0)&amp;Comments!$B$18&amp;DOLLAR(INDEX(Max_Table,M1479),0)&amp;Comments!$B$19&amp;IFERROR(DOLLAR(Page5_CAD_VE!$M$28/Page5_CAD_VE!$K$28,0),0),"")</f>
        <v/>
      </c>
      <c r="K1479" s="1452"/>
      <c r="L1479" s="611">
        <f>ROW(OR_VEH!$A$667)</f>
        <v>667</v>
      </c>
      <c r="M1479" s="611">
        <f>ROW(OR_VEH!$A$327)</f>
        <v>327</v>
      </c>
      <c r="N1479" s="611" t="str">
        <f>"CPTE # "&amp;Page5_CAD_VE!$E$28&amp;"  "&amp;Page5_CAD_VE!$C$28&amp;" - COÛT DES VENTES - AAD"</f>
        <v>CPTE # 423G  LYRIQ - COÛT DES VENTES - AAD</v>
      </c>
      <c r="O1479" s="611" t="str">
        <f t="shared" si="202"/>
        <v/>
      </c>
      <c r="P1479" s="611" t="str">
        <f t="shared" si="204"/>
        <v>Page5_CAD_VE!M</v>
      </c>
      <c r="Q1479" s="611">
        <f t="shared" si="205"/>
        <v>28</v>
      </c>
      <c r="R1479" s="1447">
        <f t="shared" ca="1" si="206"/>
        <v>0</v>
      </c>
      <c r="S1479" s="1447">
        <f t="shared" ca="1" si="207"/>
        <v>0</v>
      </c>
      <c r="T1479" s="611">
        <v>22</v>
      </c>
      <c r="V1479" s="2557" t="str">
        <f t="shared" ca="1" si="201"/>
        <v/>
      </c>
      <c r="W1479" s="611" t="str">
        <f t="shared" ca="1" si="208"/>
        <v>Page5_CAD_VE, Ligne 25 [Page5_CAD_VE!M28]  -</v>
      </c>
    </row>
    <row r="1480" spans="1:23">
      <c r="A1480" s="1443" t="str">
        <f>celladdr(Page5_CAD_VE!M29)</f>
        <v>Page5_CAD_VE!M29</v>
      </c>
      <c r="B1480" s="1456" t="s">
        <v>1086</v>
      </c>
      <c r="C1480" s="1451" t="b">
        <f>IF(Page5_CAD_VE!$K$29=0,FALSE,OR(Page5_CAD_VE!$M$29/Page5_CAD_VE!$K$29&lt;INDEX(Min_Table,L1480),Page5_CAD_VE!$M$29/Page5_CAD_VE!$K$29&gt;INDEX(Max_Table,L1480)))</f>
        <v>0</v>
      </c>
      <c r="D1480" s="1454" t="b">
        <f>OR(AND(Page5_CAD_VE!$L29&lt;&gt;0,Page5_CAD_VE!$M29=0),AND(Page5_CAD_VE!$M29&lt;&gt;0,Page5_CAD_VE!$L29=0))</f>
        <v>0</v>
      </c>
      <c r="E1480" s="1454" t="b">
        <f>IF(Page5_CAD_VE!$K$29=0,FALSE,OR(Page5_CAD_VE!$M$29/Page5_CAD_VE!$K$29&lt;INDEX(Min_Table,M1480),Page5_CAD_VE!$M$29/Page5_CAD_VE!$K$29&gt;INDEX(Max_Table,M1480)))</f>
        <v>0</v>
      </c>
      <c r="F1480" s="1454"/>
      <c r="G1480" s="1444" t="str">
        <f t="shared" si="203"/>
        <v/>
      </c>
      <c r="H1480" s="1447" t="str">
        <f>IF(C1480=TRUE,Comments!$B$20&amp;DOLLAR(INDEX(Min_Table,L1480),0)&amp;Comments!$B$18&amp;DOLLAR(INDEX(Max_Table,L1480),0)&amp;Comments!$B$19&amp;DOLLAR(Page5_CAD_VE!$M$29/Page5_CAD_VE!$K$29,0),"")</f>
        <v/>
      </c>
      <c r="I1480" s="1446" t="str">
        <f>IF(D1480=TRUE,Comments!$B$24,"")</f>
        <v/>
      </c>
      <c r="J1480" s="1446" t="str">
        <f>IF(E1480=TRUE,Comments!$B$22&amp;DOLLAR(INDEX(Min_Table,M1480),0)&amp;Comments!$B$18&amp;DOLLAR(INDEX(Max_Table,M1480),0)&amp;Comments!$B$19&amp;IFERROR(DOLLAR(Page5_CAD_VE!$M$29/Page5_CAD_VE!$K$29,0),0),"")</f>
        <v/>
      </c>
      <c r="K1480" s="1452"/>
      <c r="L1480" s="611">
        <f>ROW(OR_VEH!$A$667)</f>
        <v>667</v>
      </c>
      <c r="M1480" s="611">
        <f>ROW(OR_VEH!$A$328)</f>
        <v>328</v>
      </c>
      <c r="N1480" s="611" t="str">
        <f>"CPTE # "&amp;Page5_CAD_VE!$E$29&amp;"  "&amp;Page5_CAD_VE!$C$29&amp;" - COÛT DES VENTES - AAD"</f>
        <v>CPTE # 424G  OPTIQ - COÛT DES VENTES - AAD</v>
      </c>
      <c r="O1480" s="611" t="str">
        <f t="shared" si="202"/>
        <v/>
      </c>
      <c r="P1480" s="611" t="str">
        <f t="shared" si="204"/>
        <v>Page5_CAD_VE!M</v>
      </c>
      <c r="Q1480" s="611">
        <f t="shared" si="205"/>
        <v>29</v>
      </c>
      <c r="R1480" s="1447">
        <f t="shared" ca="1" si="206"/>
        <v>0</v>
      </c>
      <c r="S1480" s="1447">
        <f t="shared" ca="1" si="207"/>
        <v>0</v>
      </c>
      <c r="T1480" s="611">
        <v>22</v>
      </c>
      <c r="V1480" s="2557" t="str">
        <f t="shared" ca="1" si="201"/>
        <v/>
      </c>
      <c r="W1480" s="611" t="str">
        <f t="shared" ca="1" si="208"/>
        <v>Page5_CAD_VE, Ligne 26 [Page5_CAD_VE!M29]  -</v>
      </c>
    </row>
    <row r="1481" spans="1:23">
      <c r="A1481" s="1443" t="str">
        <f>celladdr(Page5_CAD_VE!M30)</f>
        <v>Page5_CAD_VE!M30</v>
      </c>
      <c r="B1481" s="1456" t="s">
        <v>1086</v>
      </c>
      <c r="C1481" s="1451" t="b">
        <f>IF(Page5_CAD_VE!$K$30=0,FALSE,OR(Page5_CAD_VE!$M$30/Page5_CAD_VE!$K$30&lt;INDEX(Min_Table,L1481),Page5_CAD_VE!$M$30/Page5_CAD_VE!$K$30&gt;INDEX(Max_Table,L1481)))</f>
        <v>0</v>
      </c>
      <c r="D1481" s="1454" t="b">
        <f>OR(AND(Page5_CAD_VE!$L30&lt;&gt;0,Page5_CAD_VE!$M30=0),AND(Page5_CAD_VE!$M30&lt;&gt;0,Page5_CAD_VE!$L30=0))</f>
        <v>0</v>
      </c>
      <c r="E1481" s="1454" t="b">
        <f>IF(Page5_CAD_VE!$K$30=0,FALSE,OR(Page5_CAD_VE!$M$30/Page5_CAD_VE!$K$30&lt;INDEX(Min_Table,M1481),Page5_CAD_VE!$M$30/Page5_CAD_VE!$K$30&gt;INDEX(Max_Table,M1481)))</f>
        <v>0</v>
      </c>
      <c r="F1481" s="1454"/>
      <c r="G1481" s="1444" t="str">
        <f t="shared" si="203"/>
        <v/>
      </c>
      <c r="H1481" s="1447" t="str">
        <f>IF(C1481=TRUE,Comments!$B$20&amp;DOLLAR(INDEX(Min_Table,L1481),0)&amp;Comments!$B$18&amp;DOLLAR(INDEX(Max_Table,L1481),0)&amp;Comments!$B$19&amp;DOLLAR(Page5_CAD_VE!$M$30/Page5_CAD_VE!$K$30,0),"")</f>
        <v/>
      </c>
      <c r="I1481" s="1446" t="str">
        <f>IF(D1481=TRUE,Comments!$B$24,"")</f>
        <v/>
      </c>
      <c r="J1481" s="1446" t="str">
        <f>IF(E1481=TRUE,Comments!$B$22&amp;DOLLAR(INDEX(Min_Table,M1481),0)&amp;Comments!$B$18&amp;DOLLAR(INDEX(Max_Table,M1481),0)&amp;Comments!$B$19&amp;IFERROR(DOLLAR(Page5_CAD_VE!$M$30/Page5_CAD_VE!$K$30,0),0),"")</f>
        <v/>
      </c>
      <c r="K1481" s="1452"/>
      <c r="L1481" s="611">
        <f>ROW(OR_VEH!$A$667)</f>
        <v>667</v>
      </c>
      <c r="M1481" s="611">
        <f>ROW(OR_VEH!$A$329)</f>
        <v>329</v>
      </c>
      <c r="N1481" s="611" t="str">
        <f>"CPTE # "&amp;Page5_CAD_VE!$E$30&amp;"  "&amp;Page5_CAD_VE!$C$30&amp;" - COÛT DES VENTES - AAD"</f>
        <v>CPTE # 425G  ESCALADE IQ - COÛT DES VENTES - AAD</v>
      </c>
      <c r="O1481" s="611" t="str">
        <f t="shared" si="202"/>
        <v/>
      </c>
      <c r="P1481" s="611" t="str">
        <f t="shared" si="204"/>
        <v>Page5_CAD_VE!M</v>
      </c>
      <c r="Q1481" s="611">
        <f t="shared" si="205"/>
        <v>30</v>
      </c>
      <c r="R1481" s="1447">
        <f t="shared" ca="1" si="206"/>
        <v>0</v>
      </c>
      <c r="S1481" s="1447">
        <f t="shared" ca="1" si="207"/>
        <v>0</v>
      </c>
      <c r="T1481" s="611">
        <v>22</v>
      </c>
      <c r="V1481" s="2557" t="str">
        <f t="shared" ca="1" si="201"/>
        <v/>
      </c>
      <c r="W1481" s="611" t="str">
        <f t="shared" ca="1" si="208"/>
        <v>Page5_CAD_VE, Ligne 27 [Page5_CAD_VE!M30]  -</v>
      </c>
    </row>
    <row r="1482" spans="1:23">
      <c r="A1482" s="1443" t="str">
        <f>celladdr(Page5_CAD_VE!M31)</f>
        <v>Page5_CAD_VE!M31</v>
      </c>
      <c r="B1482" s="1456" t="s">
        <v>1086</v>
      </c>
      <c r="C1482" s="1451" t="b">
        <f>IF(Page5_CAD_VE!$K$31=0,FALSE,OR(Page5_CAD_VE!$M$31/Page5_CAD_VE!$K$31&lt;INDEX(Min_Table,L1482),Page5_CAD_VE!$M$31/Page5_CAD_VE!$K$31&gt;INDEX(Max_Table,L1482)))</f>
        <v>0</v>
      </c>
      <c r="D1482" s="1454" t="b">
        <f>OR(AND(Page5_CAD_VE!$L31&lt;&gt;0,Page5_CAD_VE!$M31=0),AND(Page5_CAD_VE!$M31&lt;&gt;0,Page5_CAD_VE!$L31=0))</f>
        <v>0</v>
      </c>
      <c r="E1482" s="1454" t="b">
        <f>IF(Page5_CAD_VE!$K$31=0,FALSE,OR(Page5_CAD_VE!$M$31/Page5_CAD_VE!$K$31&lt;INDEX(Min_Table,M1482),Page5_CAD_VE!$M$31/Page5_CAD_VE!$K$31&gt;INDEX(Max_Table,M1482)))</f>
        <v>0</v>
      </c>
      <c r="F1482" s="1454"/>
      <c r="G1482" s="1444" t="str">
        <f t="shared" si="203"/>
        <v/>
      </c>
      <c r="H1482" s="1447" t="str">
        <f>IF(C1482=TRUE,Comments!$B$20&amp;DOLLAR(INDEX(Min_Table,L1482),0)&amp;Comments!$B$18&amp;DOLLAR(INDEX(Max_Table,L1482),0)&amp;Comments!$B$19&amp;DOLLAR(Page5_CAD_VE!$M$31/Page5_CAD_VE!$K$31,0),"")</f>
        <v/>
      </c>
      <c r="I1482" s="1446" t="str">
        <f>IF(D1482=TRUE,Comments!$B$24,"")</f>
        <v/>
      </c>
      <c r="J1482" s="1446" t="str">
        <f>IF(E1482=TRUE,Comments!$B$22&amp;DOLLAR(INDEX(Min_Table,M1482),0)&amp;Comments!$B$18&amp;DOLLAR(INDEX(Max_Table,M1482),0)&amp;Comments!$B$19&amp;IFERROR(DOLLAR(Page5_CAD_VE!$M$31/Page5_CAD_VE!$K$31,0),0),"")</f>
        <v/>
      </c>
      <c r="K1482" s="1452"/>
      <c r="L1482" s="611">
        <f>ROW(OR_VEH!$A$667)</f>
        <v>667</v>
      </c>
      <c r="M1482" s="611">
        <f>ROW(OR_VEH!$A$330)</f>
        <v>330</v>
      </c>
      <c r="N1482" s="611" t="str">
        <f>"CPTE # "&amp;Page5_CAD_VE!$E$31&amp;"  "&amp;Page5_CAD_VE!$C$31&amp;" - COÛT DES VENTES - AAD"</f>
        <v>CPTE # 426G  VISTIQ - COÛT DES VENTES - AAD</v>
      </c>
      <c r="O1482" s="611" t="str">
        <f t="shared" si="202"/>
        <v/>
      </c>
      <c r="P1482" s="611" t="str">
        <f t="shared" si="204"/>
        <v>Page5_CAD_VE!M</v>
      </c>
      <c r="Q1482" s="611">
        <f t="shared" si="205"/>
        <v>31</v>
      </c>
      <c r="R1482" s="1447">
        <f t="shared" ca="1" si="206"/>
        <v>0</v>
      </c>
      <c r="S1482" s="1447">
        <f t="shared" ca="1" si="207"/>
        <v>0</v>
      </c>
      <c r="T1482" s="611">
        <v>22</v>
      </c>
      <c r="V1482" s="2557" t="str">
        <f t="shared" ca="1" si="201"/>
        <v/>
      </c>
      <c r="W1482" s="611" t="str">
        <f t="shared" ca="1" si="208"/>
        <v>Page5_CAD_VE, Ligne 28 [Page5_CAD_VE!M31]  -</v>
      </c>
    </row>
    <row r="1483" spans="1:23">
      <c r="A1483" s="1443" t="str">
        <f>celladdr(Page5_CAD_VE!M32)</f>
        <v>Page5_CAD_VE!M32</v>
      </c>
      <c r="B1483" s="1456" t="s">
        <v>1086</v>
      </c>
      <c r="C1483" s="1451" t="b">
        <f>IF(Page5_CAD_VE!$K$32=0,FALSE,OR(Page5_CAD_VE!$M$32/Page5_CAD_VE!$K$32&lt;INDEX(Min_Table,L1483),Page5_CAD_VE!$M$32/Page5_CAD_VE!$K$32&gt;INDEX(Max_Table,L1483)))</f>
        <v>0</v>
      </c>
      <c r="D1483" s="1454" t="b">
        <f>OR(AND(Page5_CAD_VE!$L32&lt;&gt;0,Page5_CAD_VE!$M32=0),AND(Page5_CAD_VE!$M32&lt;&gt;0,Page5_CAD_VE!$L32=0))</f>
        <v>0</v>
      </c>
      <c r="E1483" s="1454" t="b">
        <f>IF(Page5_CAD_VE!$K$32=0,FALSE,OR(Page5_CAD_VE!$M$32/Page5_CAD_VE!$K$32&lt;INDEX(Min_Table,M1483),Page5_CAD_VE!$M$32/Page5_CAD_VE!$K$32&gt;INDEX(Max_Table,M1483)))</f>
        <v>0</v>
      </c>
      <c r="F1483" s="1454"/>
      <c r="G1483" s="1444" t="str">
        <f t="shared" si="203"/>
        <v/>
      </c>
      <c r="H1483" s="1447" t="str">
        <f>IF(C1483=TRUE,Comments!$B$20&amp;DOLLAR(INDEX(Min_Table,L1483),0)&amp;Comments!$B$18&amp;DOLLAR(INDEX(Max_Table,L1483),0)&amp;Comments!$B$19&amp;DOLLAR(Page5_CAD_VE!$M$32/Page5_CAD_VE!$K$32,0),"")</f>
        <v/>
      </c>
      <c r="I1483" s="1446" t="str">
        <f>IF(D1483=TRUE,Comments!$B$24,"")</f>
        <v/>
      </c>
      <c r="J1483" s="1446" t="str">
        <f>IF(E1483=TRUE,Comments!$B$22&amp;DOLLAR(INDEX(Min_Table,M1483),0)&amp;Comments!$B$18&amp;DOLLAR(INDEX(Max_Table,M1483),0)&amp;Comments!$B$19&amp;IFERROR(DOLLAR(Page5_CAD_VE!$M$32/Page5_CAD_VE!$K$32,0),0),"")</f>
        <v/>
      </c>
      <c r="K1483" s="1452"/>
      <c r="L1483" s="611">
        <f>ROW(OR_VEH!$A$667)</f>
        <v>667</v>
      </c>
      <c r="M1483" s="611">
        <f>ROW(OR_VEH!$A$331)</f>
        <v>331</v>
      </c>
      <c r="N1483" s="611" t="str">
        <f>"CPTE # "&amp;Page5_CAD_VE!$E$32&amp;"  "&amp;Page5_CAD_VE!$C$32&amp;" - COÛT DES VENTES - AAD"</f>
        <v>CPTE # 427G  ESCALADE IQL - COÛT DES VENTES - AAD</v>
      </c>
      <c r="O1483" s="611" t="str">
        <f t="shared" si="202"/>
        <v/>
      </c>
      <c r="P1483" s="611" t="str">
        <f t="shared" si="204"/>
        <v>Page5_CAD_VE!M</v>
      </c>
      <c r="Q1483" s="611">
        <f t="shared" si="205"/>
        <v>32</v>
      </c>
      <c r="R1483" s="1447">
        <f t="shared" ca="1" si="206"/>
        <v>0</v>
      </c>
      <c r="S1483" s="1447">
        <f t="shared" ca="1" si="207"/>
        <v>0</v>
      </c>
      <c r="T1483" s="611">
        <v>22</v>
      </c>
      <c r="V1483" s="2557" t="str">
        <f t="shared" ca="1" si="201"/>
        <v/>
      </c>
      <c r="W1483" s="611" t="str">
        <f t="shared" ca="1" si="208"/>
        <v>Page5_CAD_VE, Ligne 29 [Page5_CAD_VE!M32]  -</v>
      </c>
    </row>
    <row r="1484" spans="1:23">
      <c r="A1484" s="1443" t="str">
        <f>celladdr(Page5_CAD_VE!M33)</f>
        <v>Page5_CAD_VE!M33</v>
      </c>
      <c r="B1484" s="1456" t="s">
        <v>1086</v>
      </c>
      <c r="C1484" s="1451" t="b">
        <f>IF(Page5_CAD_VE!$K$33=0,FALSE,OR(Page5_CAD_VE!$M$33/Page5_CAD_VE!$K$33&lt;INDEX(Min_Table,L1484),Page5_CAD_VE!$M$33/Page5_CAD_VE!$K$33&gt;INDEX(Max_Table,L1484)))</f>
        <v>0</v>
      </c>
      <c r="D1484" s="1454" t="b">
        <f>OR(AND(Page5_CAD_VE!$L33&lt;&gt;0,Page5_CAD_VE!$M33=0),AND(Page5_CAD_VE!$M33&lt;&gt;0,Page5_CAD_VE!$L33=0))</f>
        <v>0</v>
      </c>
      <c r="E1484" s="1454" t="b">
        <f>IF(Page5_CAD_VE!$K$33=0,FALSE,OR(Page5_CAD_VE!$M$33/Page5_CAD_VE!$K$33&lt;INDEX(Min_Table,M1484),Page5_CAD_VE!$M$33/Page5_CAD_VE!$K$33&gt;INDEX(Max_Table,M1484)))</f>
        <v>0</v>
      </c>
      <c r="F1484" s="1454"/>
      <c r="G1484" s="1444" t="str">
        <f t="shared" si="203"/>
        <v/>
      </c>
      <c r="H1484" s="1447" t="str">
        <f>IF(C1484=TRUE,Comments!$B$20&amp;DOLLAR(INDEX(Min_Table,L1484),0)&amp;Comments!$B$18&amp;DOLLAR(INDEX(Max_Table,L1484),0)&amp;Comments!$B$19&amp;DOLLAR(Page5_CAD_VE!$M$33/Page5_CAD_VE!$K$33,0),"")</f>
        <v/>
      </c>
      <c r="I1484" s="1446" t="str">
        <f>IF(D1484=TRUE,Comments!$B$24,"")</f>
        <v/>
      </c>
      <c r="J1484" s="1446" t="str">
        <f>IF(E1484=TRUE,Comments!$B$22&amp;DOLLAR(INDEX(Min_Table,M1484),0)&amp;Comments!$B$18&amp;DOLLAR(INDEX(Max_Table,M1484),0)&amp;Comments!$B$19&amp;IFERROR(DOLLAR(Page5_CAD_VE!$M$33/Page5_CAD_VE!$K$33,0),0),"")</f>
        <v/>
      </c>
      <c r="K1484" s="1452"/>
      <c r="L1484" s="611">
        <f>ROW(OR_VEH!$A$667)</f>
        <v>667</v>
      </c>
      <c r="M1484" s="611">
        <f>ROW(OR_VEH!$A$332)</f>
        <v>332</v>
      </c>
      <c r="N1484" s="611" t="str">
        <f>"CPTE # "&amp;Page5_CAD_VE!$E$33&amp;"  "&amp;Page5_CAD_VE!$C$33&amp;" - COÛT DES VENTES - AAD"</f>
        <v>CPTE # 428G  NE PAS UTILISER - COÛT DES VENTES - AAD</v>
      </c>
      <c r="O1484" s="611" t="str">
        <f t="shared" ref="O1484:O1515" si="209">IF(A1484=A1483,"TRUE","")</f>
        <v/>
      </c>
      <c r="P1484" s="611" t="str">
        <f t="shared" si="204"/>
        <v>Page5_CAD_VE!M</v>
      </c>
      <c r="Q1484" s="611">
        <f t="shared" si="205"/>
        <v>33</v>
      </c>
      <c r="R1484" s="1447">
        <f t="shared" ca="1" si="206"/>
        <v>0</v>
      </c>
      <c r="S1484" s="1447">
        <f t="shared" ca="1" si="207"/>
        <v>0</v>
      </c>
      <c r="T1484" s="611">
        <v>22</v>
      </c>
      <c r="V1484" s="2557" t="str">
        <f t="shared" ca="1" si="201"/>
        <v/>
      </c>
      <c r="W1484" s="611" t="str">
        <f t="shared" ca="1" si="208"/>
        <v>Page5_CAD_VE, Ligne 30 [Page5_CAD_VE!M33]  -</v>
      </c>
    </row>
    <row r="1485" spans="1:23">
      <c r="A1485" s="1443" t="str">
        <f>celladdr(Page5_CAD_VE!M34)</f>
        <v>Page5_CAD_VE!M34</v>
      </c>
      <c r="B1485" s="1456" t="s">
        <v>1086</v>
      </c>
      <c r="C1485" s="1451" t="b">
        <f>IF(Page5_CAD_VE!$K$34=0,FALSE,OR(Page5_CAD_VE!$M$34/Page5_CAD_VE!$K$34&lt;INDEX(Min_Table,L1485),Page5_CAD_VE!$M$34/Page5_CAD_VE!$K$34&gt;INDEX(Max_Table,L1485)))</f>
        <v>0</v>
      </c>
      <c r="D1485" s="1454" t="b">
        <f>OR(AND(Page5_CAD_VE!$L34&lt;&gt;0,Page5_CAD_VE!$M34=0),AND(Page5_CAD_VE!$M34&lt;&gt;0,Page5_CAD_VE!$L34=0))</f>
        <v>0</v>
      </c>
      <c r="E1485" s="1454" t="b">
        <f>IF(Page5_CAD_VE!$K$34=0,FALSE,OR(Page5_CAD_VE!$M$34/Page5_CAD_VE!$K$34&lt;INDEX(Min_Table,M1485),Page5_CAD_VE!$M$34/Page5_CAD_VE!$K$34&gt;INDEX(Max_Table,M1485)))</f>
        <v>0</v>
      </c>
      <c r="F1485" s="1454"/>
      <c r="G1485" s="1444" t="str">
        <f t="shared" si="203"/>
        <v/>
      </c>
      <c r="H1485" s="1447" t="str">
        <f>IF(C1485=TRUE,Comments!$B$20&amp;DOLLAR(INDEX(Min_Table,L1485),0)&amp;Comments!$B$18&amp;DOLLAR(INDEX(Max_Table,L1485),0)&amp;Comments!$B$19&amp;DOLLAR(Page5_CAD_VE!$M$34/Page5_CAD_VE!$K$34,0),"")</f>
        <v/>
      </c>
      <c r="I1485" s="1446" t="str">
        <f>IF(D1485=TRUE,Comments!$B$24,"")</f>
        <v/>
      </c>
      <c r="J1485" s="1446" t="str">
        <f>IF(E1485=TRUE,Comments!$B$22&amp;DOLLAR(INDEX(Min_Table,M1485),0)&amp;Comments!$B$18&amp;DOLLAR(INDEX(Max_Table,M1485),0)&amp;Comments!$B$19&amp;IFERROR(DOLLAR(Page5_CAD_VE!$M$34/Page5_CAD_VE!$K$34,0),0),"")</f>
        <v/>
      </c>
      <c r="K1485" s="1452"/>
      <c r="L1485" s="611">
        <f>ROW(OR_VEH!$A$667)</f>
        <v>667</v>
      </c>
      <c r="M1485" s="611">
        <f>ROW(OR_VEH!$A$333)</f>
        <v>333</v>
      </c>
      <c r="N1485" s="611" t="str">
        <f>"CPTE # "&amp;Page5_CAD_VE!$E$34&amp;"  "&amp;Page5_CAD_VE!$C$34&amp;" - COÛT DES VENTES - AAD"</f>
        <v>CPTE # 429G  NE PAS UTILISER - COÛT DES VENTES - AAD</v>
      </c>
      <c r="O1485" s="611" t="str">
        <f t="shared" si="209"/>
        <v/>
      </c>
      <c r="P1485" s="611" t="str">
        <f t="shared" si="204"/>
        <v>Page5_CAD_VE!M</v>
      </c>
      <c r="Q1485" s="611">
        <f t="shared" si="205"/>
        <v>34</v>
      </c>
      <c r="R1485" s="1447">
        <f t="shared" ca="1" si="206"/>
        <v>0</v>
      </c>
      <c r="S1485" s="1447">
        <f t="shared" ca="1" si="207"/>
        <v>0</v>
      </c>
      <c r="T1485" s="611">
        <v>22</v>
      </c>
      <c r="V1485" s="2557" t="str">
        <f t="shared" ca="1" si="201"/>
        <v/>
      </c>
      <c r="W1485" s="611" t="str">
        <f t="shared" ca="1" si="208"/>
        <v>Page5_CAD_VE, Ligne 31 [Page5_CAD_VE!M34]  -</v>
      </c>
    </row>
    <row r="1486" spans="1:23">
      <c r="A1486" s="1443" t="str">
        <f>celladdr(Page5_CAD_VE!M35)</f>
        <v>Page5_CAD_VE!M35</v>
      </c>
      <c r="B1486" s="1456" t="s">
        <v>1086</v>
      </c>
      <c r="C1486" s="1451" t="b">
        <f>IF(Page5_CAD_VE!$K$35=0,FALSE,OR(Page5_CAD_VE!$M$35/Page5_CAD_VE!$K$35&lt;INDEX(Min_Table,L1486),Page5_CAD_VE!$M$35/Page5_CAD_VE!$K$35&gt;INDEX(Max_Table,L1486)))</f>
        <v>0</v>
      </c>
      <c r="D1486" s="1454" t="b">
        <f>OR(AND(Page5_CAD_VE!$L35&lt;&gt;0,Page5_CAD_VE!$M35=0),AND(Page5_CAD_VE!$M35&lt;&gt;0,Page5_CAD_VE!$L35=0))</f>
        <v>0</v>
      </c>
      <c r="E1486" s="1454" t="b">
        <f>IF(Page5_CAD_VE!$K$35=0,FALSE,OR(Page5_CAD_VE!$M$35/Page5_CAD_VE!$K$35&lt;INDEX(Min_Table,M1486),Page5_CAD_VE!$M$35/Page5_CAD_VE!$K$35&gt;INDEX(Max_Table,M1486)))</f>
        <v>0</v>
      </c>
      <c r="F1486" s="1454"/>
      <c r="G1486" s="1444" t="str">
        <f t="shared" si="203"/>
        <v/>
      </c>
      <c r="H1486" s="1447" t="str">
        <f>IF(C1486=TRUE,Comments!$B$20&amp;DOLLAR(INDEX(Min_Table,L1486),0)&amp;Comments!$B$18&amp;DOLLAR(INDEX(Max_Table,L1486),0)&amp;Comments!$B$19&amp;DOLLAR(Page5_CAD_VE!$M$35/Page5_CAD_VE!$K$35,0),"")</f>
        <v/>
      </c>
      <c r="I1486" s="1446" t="str">
        <f>IF(D1486=TRUE,Comments!$B$24,"")</f>
        <v/>
      </c>
      <c r="J1486" s="1446" t="str">
        <f>IF(E1486=TRUE,Comments!$B$22&amp;DOLLAR(INDEX(Min_Table,M1486),0)&amp;Comments!$B$18&amp;DOLLAR(INDEX(Max_Table,M1486),0)&amp;Comments!$B$19&amp;IFERROR(DOLLAR(Page5_CAD_VE!$M$35/Page5_CAD_VE!$K$35,0),0),"")</f>
        <v/>
      </c>
      <c r="K1486" s="1452"/>
      <c r="L1486" s="611">
        <f>ROW(OR_VEH!$A$667)</f>
        <v>667</v>
      </c>
      <c r="M1486" s="611">
        <f>ROW(OR_VEH!$A$334)</f>
        <v>334</v>
      </c>
      <c r="N1486" s="611" t="str">
        <f>"CPTE # "&amp;Page5_CAD_VE!$E$35&amp;"  "&amp;Page5_CAD_VE!$C$35&amp;" - COÛT DES VENTES - AAD"</f>
        <v>CPTE # 430G  NE PAS UTILISER - COÛT DES VENTES - AAD</v>
      </c>
      <c r="O1486" s="611" t="str">
        <f t="shared" si="209"/>
        <v/>
      </c>
      <c r="P1486" s="611" t="str">
        <f t="shared" si="204"/>
        <v>Page5_CAD_VE!M</v>
      </c>
      <c r="Q1486" s="611">
        <f t="shared" si="205"/>
        <v>35</v>
      </c>
      <c r="R1486" s="1447">
        <f t="shared" ca="1" si="206"/>
        <v>0</v>
      </c>
      <c r="S1486" s="1447">
        <f t="shared" ca="1" si="207"/>
        <v>0</v>
      </c>
      <c r="T1486" s="611">
        <v>22</v>
      </c>
      <c r="V1486" s="2557" t="str">
        <f t="shared" ca="1" si="201"/>
        <v/>
      </c>
      <c r="W1486" s="611" t="str">
        <f t="shared" ca="1" si="208"/>
        <v>Page5_CAD_VE, Ligne 32 [Page5_CAD_VE!M35]  -</v>
      </c>
    </row>
    <row r="1487" spans="1:23">
      <c r="A1487" s="1443" t="str">
        <f>celladdr(Page5_CAD_VE!M36)</f>
        <v>Page5_CAD_VE!M36</v>
      </c>
      <c r="B1487" s="1456" t="s">
        <v>1086</v>
      </c>
      <c r="C1487" s="1451" t="b">
        <f>IF(Page5_CAD_VE!$K$36=0,FALSE,OR(Page5_CAD_VE!$M$36/Page5_CAD_VE!$K$36&lt;INDEX(Min_Table,L1487),Page5_CAD_VE!$M$36/Page5_CAD_VE!$K$36&gt;INDEX(Max_Table,L1487)))</f>
        <v>0</v>
      </c>
      <c r="D1487" s="1454" t="b">
        <f>OR(AND(Page5_CAD_VE!$L36&lt;&gt;0,Page5_CAD_VE!$M36=0),AND(Page5_CAD_VE!$M36&lt;&gt;0,Page5_CAD_VE!$L36=0))</f>
        <v>0</v>
      </c>
      <c r="E1487" s="1454" t="b">
        <f>IF(Page5_CAD_VE!$K$36=0,FALSE,OR(Page5_CAD_VE!$M$36/Page5_CAD_VE!$K$36&lt;INDEX(Min_Table,M1487),Page5_CAD_VE!$M$36/Page5_CAD_VE!$K$36&gt;INDEX(Max_Table,M1487)))</f>
        <v>0</v>
      </c>
      <c r="F1487" s="1454"/>
      <c r="G1487" s="1444" t="str">
        <f t="shared" si="203"/>
        <v/>
      </c>
      <c r="H1487" s="1447" t="str">
        <f>IF(C1487=TRUE,Comments!$B$20&amp;DOLLAR(INDEX(Min_Table,L1487),0)&amp;Comments!$B$18&amp;DOLLAR(INDEX(Max_Table,L1487),0)&amp;Comments!$B$19&amp;DOLLAR(Page5_CAD_VE!$M$36/Page5_CAD_VE!$K$36,0),"")</f>
        <v/>
      </c>
      <c r="I1487" s="1446" t="str">
        <f>IF(D1487=TRUE,Comments!$B$24,"")</f>
        <v/>
      </c>
      <c r="J1487" s="1446" t="str">
        <f>IF(E1487=TRUE,Comments!$B$22&amp;DOLLAR(INDEX(Min_Table,M1487),0)&amp;Comments!$B$18&amp;DOLLAR(INDEX(Max_Table,M1487),0)&amp;Comments!$B$19&amp;IFERROR(DOLLAR(Page5_CAD_VE!$M$36/Page5_CAD_VE!$K$36,0),0),"")</f>
        <v/>
      </c>
      <c r="K1487" s="1452"/>
      <c r="L1487" s="611">
        <f>ROW(OR_VEH!$A$667)</f>
        <v>667</v>
      </c>
      <c r="M1487" s="611">
        <f>ROW(OR_VEH!$A$335)</f>
        <v>335</v>
      </c>
      <c r="N1487" s="611" t="str">
        <f>"CPTE # "&amp;Page5_CAD_VE!$E$36&amp;"  "&amp;Page5_CAD_VE!$C$36&amp;" - COÛT DES VENTES - AAD"</f>
        <v>CPTE # 431G  NE PAS UTILISER - COÛT DES VENTES - AAD</v>
      </c>
      <c r="O1487" s="611" t="str">
        <f t="shared" si="209"/>
        <v/>
      </c>
      <c r="P1487" s="611" t="str">
        <f t="shared" si="204"/>
        <v>Page5_CAD_VE!M</v>
      </c>
      <c r="Q1487" s="611">
        <f t="shared" si="205"/>
        <v>36</v>
      </c>
      <c r="R1487" s="1447">
        <f t="shared" ca="1" si="206"/>
        <v>0</v>
      </c>
      <c r="S1487" s="1447">
        <f t="shared" ca="1" si="207"/>
        <v>0</v>
      </c>
      <c r="T1487" s="611">
        <v>22</v>
      </c>
      <c r="V1487" s="2557" t="str">
        <f t="shared" ca="1" si="201"/>
        <v/>
      </c>
      <c r="W1487" s="611" t="str">
        <f t="shared" ca="1" si="208"/>
        <v>Page5_CAD_VE, Ligne 33 [Page5_CAD_VE!M36]  -</v>
      </c>
    </row>
    <row r="1488" spans="1:23">
      <c r="A1488" s="1443" t="str">
        <f>celladdr(Page5_CAD_VE!M37)</f>
        <v>Page5_CAD_VE!M37</v>
      </c>
      <c r="B1488" s="1456" t="s">
        <v>1086</v>
      </c>
      <c r="C1488" s="1451" t="b">
        <f>IF(Page5_CAD_VE!$K$37=0,FALSE,OR(Page5_CAD_VE!$M$37/Page5_CAD_VE!$K$37&lt;INDEX(Min_Table,L1488),Page5_CAD_VE!$M$37/Page5_CAD_VE!$K$37&gt;INDEX(Max_Table,L1488)))</f>
        <v>0</v>
      </c>
      <c r="D1488" s="1454" t="b">
        <f>OR(AND(Page5_CAD_VE!$L37&lt;&gt;0,Page5_CAD_VE!$M37=0),AND(Page5_CAD_VE!$M37&lt;&gt;0,Page5_CAD_VE!$L37=0))</f>
        <v>0</v>
      </c>
      <c r="E1488" s="1454" t="b">
        <f>IF(Page5_CAD_VE!$K$37=0,FALSE,OR(Page5_CAD_VE!$M$37/Page5_CAD_VE!$K$37&lt;INDEX(Min_Table,M1488),Page5_CAD_VE!$M$37/Page5_CAD_VE!$K$37&gt;INDEX(Max_Table,M1488)))</f>
        <v>0</v>
      </c>
      <c r="F1488" s="1454"/>
      <c r="G1488" s="1444" t="str">
        <f t="shared" si="203"/>
        <v/>
      </c>
      <c r="H1488" s="1447" t="str">
        <f>IF(C1488=TRUE,Comments!$B$20&amp;DOLLAR(INDEX(Min_Table,L1488),0)&amp;Comments!$B$18&amp;DOLLAR(INDEX(Max_Table,L1488),0)&amp;Comments!$B$19&amp;DOLLAR(Page5_CAD_VE!$M$37/Page5_CAD_VE!$K$37,0),"")</f>
        <v/>
      </c>
      <c r="I1488" s="1446" t="str">
        <f>IF(D1488=TRUE,Comments!$B$24,"")</f>
        <v/>
      </c>
      <c r="J1488" s="1446" t="str">
        <f>IF(E1488=TRUE,Comments!$B$22&amp;DOLLAR(INDEX(Min_Table,M1488),0)&amp;Comments!$B$18&amp;DOLLAR(INDEX(Max_Table,M1488),0)&amp;Comments!$B$19&amp;IFERROR(DOLLAR(Page5_CAD_VE!$M$37/Page5_CAD_VE!$K$37,0),0),"")</f>
        <v/>
      </c>
      <c r="K1488" s="1452"/>
      <c r="L1488" s="611">
        <f>ROW(OR_VEH!$A$667)</f>
        <v>667</v>
      </c>
      <c r="M1488" s="611">
        <f>ROW(OR_VEH!$A$336)</f>
        <v>336</v>
      </c>
      <c r="N1488" s="611" t="str">
        <f>"CPTE # "&amp;Page5_CAD_VE!$E$37&amp;"  "&amp;Page5_CAD_VE!$C$37&amp;" - COÛT DES VENTES - AAD"</f>
        <v>CPTE # 432G  NE PAS UTILISER - COÛT DES VENTES - AAD</v>
      </c>
      <c r="O1488" s="611" t="str">
        <f t="shared" si="209"/>
        <v/>
      </c>
      <c r="P1488" s="611" t="str">
        <f t="shared" si="204"/>
        <v>Page5_CAD_VE!M</v>
      </c>
      <c r="Q1488" s="611">
        <f t="shared" si="205"/>
        <v>37</v>
      </c>
      <c r="R1488" s="1447">
        <f t="shared" ca="1" si="206"/>
        <v>0</v>
      </c>
      <c r="S1488" s="1447">
        <f t="shared" ca="1" si="207"/>
        <v>0</v>
      </c>
      <c r="T1488" s="611">
        <v>22</v>
      </c>
      <c r="V1488" s="2557" t="str">
        <f t="shared" ca="1" si="201"/>
        <v/>
      </c>
      <c r="W1488" s="611" t="str">
        <f t="shared" ca="1" si="208"/>
        <v>Page5_CAD_VE, Ligne 34 [Page5_CAD_VE!M37]  -</v>
      </c>
    </row>
    <row r="1489" spans="1:23">
      <c r="A1489" s="1443" t="str">
        <f>celladdr(Page5_CAD_VE!M38)</f>
        <v>Page5_CAD_VE!M38</v>
      </c>
      <c r="B1489" s="1456" t="s">
        <v>1086</v>
      </c>
      <c r="C1489" s="1451" t="b">
        <f>IF(Page5_CAD_VE!$K$38=0,FALSE,OR(Page5_CAD_VE!$M$38/Page5_CAD_VE!$K$38&lt;INDEX(Min_Table,L1489),Page5_CAD_VE!$M$38/Page5_CAD_VE!$K$38&gt;INDEX(Max_Table,L1489)))</f>
        <v>0</v>
      </c>
      <c r="D1489" s="1454" t="b">
        <f>OR(AND(Page5_CAD_VE!$L38&lt;&gt;0,Page5_CAD_VE!$M38=0),AND(Page5_CAD_VE!$M38&lt;&gt;0,Page5_CAD_VE!$L38=0))</f>
        <v>0</v>
      </c>
      <c r="E1489" s="1454" t="b">
        <f>IF(Page5_CAD_VE!$K$38=0,FALSE,OR(Page5_CAD_VE!$M$38/Page5_CAD_VE!$K$38&lt;INDEX(Min_Table,M1489),Page5_CAD_VE!$M$38/Page5_CAD_VE!$K$38&gt;INDEX(Max_Table,M1489)))</f>
        <v>0</v>
      </c>
      <c r="F1489" s="1454"/>
      <c r="G1489" s="1444" t="str">
        <f t="shared" si="203"/>
        <v/>
      </c>
      <c r="H1489" s="1447" t="str">
        <f>IF(C1489=TRUE,Comments!$B$20&amp;DOLLAR(INDEX(Min_Table,L1489),0)&amp;Comments!$B$18&amp;DOLLAR(INDEX(Max_Table,L1489),0)&amp;Comments!$B$19&amp;DOLLAR(Page5_CAD_VE!$M$38/Page5_CAD_VE!$K$38,0),"")</f>
        <v/>
      </c>
      <c r="I1489" s="1446" t="str">
        <f>IF(D1489=TRUE,Comments!$B$24,"")</f>
        <v/>
      </c>
      <c r="J1489" s="1446" t="str">
        <f>IF(E1489=TRUE,Comments!$B$22&amp;DOLLAR(INDEX(Min_Table,M1489),0)&amp;Comments!$B$18&amp;DOLLAR(INDEX(Max_Table,M1489),0)&amp;Comments!$B$19&amp;IFERROR(DOLLAR(Page5_CAD_VE!$M$38/Page5_CAD_VE!$K$38,0),0),"")</f>
        <v/>
      </c>
      <c r="K1489" s="1452"/>
      <c r="L1489" s="611">
        <f>ROW(OR_VEH!$A$667)</f>
        <v>667</v>
      </c>
      <c r="M1489" s="611">
        <f>ROW(OR_VEH!$A$337)</f>
        <v>337</v>
      </c>
      <c r="N1489" s="611" t="str">
        <f>"CPTE # "&amp;Page5_CAD_VE!$E$38&amp;"  "&amp;Page5_CAD_VE!$C$38&amp;" - COÛT DES VENTES - AAD"</f>
        <v>CPTE # 433G  NE PAS UTILISER - COÛT DES VENTES - AAD</v>
      </c>
      <c r="O1489" s="611" t="str">
        <f t="shared" si="209"/>
        <v/>
      </c>
      <c r="P1489" s="611" t="str">
        <f t="shared" si="204"/>
        <v>Page5_CAD_VE!M</v>
      </c>
      <c r="Q1489" s="611">
        <f t="shared" si="205"/>
        <v>38</v>
      </c>
      <c r="R1489" s="1447">
        <f t="shared" ca="1" si="206"/>
        <v>0</v>
      </c>
      <c r="S1489" s="1447">
        <f t="shared" ca="1" si="207"/>
        <v>0</v>
      </c>
      <c r="T1489" s="611">
        <v>22</v>
      </c>
      <c r="V1489" s="2557" t="str">
        <f t="shared" ca="1" si="201"/>
        <v/>
      </c>
      <c r="W1489" s="611" t="str">
        <f t="shared" ca="1" si="208"/>
        <v>Page5_CAD_VE, Ligne 35 [Page5_CAD_VE!M38]  -</v>
      </c>
    </row>
    <row r="1490" spans="1:23">
      <c r="A1490" s="1443" t="str">
        <f>celladdr(Page5_CAD_VE!M39)</f>
        <v>Page5_CAD_VE!M39</v>
      </c>
      <c r="B1490" s="1456" t="s">
        <v>1086</v>
      </c>
      <c r="C1490" s="1451" t="b">
        <f>IF(Page5_CAD_VE!$K$39=0,FALSE,OR(Page5_CAD_VE!$M$39/Page5_CAD_VE!$K$39&lt;INDEX(Min_Table,L1490),Page5_CAD_VE!$M$39/Page5_CAD_VE!$K$39&gt;INDEX(Max_Table,L1490)))</f>
        <v>0</v>
      </c>
      <c r="D1490" s="1454" t="b">
        <f>OR(AND(Page5_CAD_VE!$L39&lt;&gt;0,Page5_CAD_VE!$M39=0),AND(Page5_CAD_VE!$M39&lt;&gt;0,Page5_CAD_VE!$L39=0))</f>
        <v>0</v>
      </c>
      <c r="E1490" s="1454" t="b">
        <f>IF(Page5_CAD_VE!$K$39=0,FALSE,OR(Page5_CAD_VE!$M$39/Page5_CAD_VE!$K$39&lt;INDEX(Min_Table,M1490),Page5_CAD_VE!$M$39/Page5_CAD_VE!$K$39&gt;INDEX(Max_Table,M1490)))</f>
        <v>0</v>
      </c>
      <c r="F1490" s="1454"/>
      <c r="G1490" s="1444" t="str">
        <f t="shared" si="203"/>
        <v/>
      </c>
      <c r="H1490" s="1447" t="str">
        <f>IF(C1490=TRUE,Comments!$B$20&amp;DOLLAR(INDEX(Min_Table,L1490),0)&amp;Comments!$B$18&amp;DOLLAR(INDEX(Max_Table,L1490),0)&amp;Comments!$B$19&amp;DOLLAR(Page5_CAD_VE!$M$39/Page5_CAD_VE!$K$39,0),"")</f>
        <v/>
      </c>
      <c r="I1490" s="1446" t="str">
        <f>IF(D1490=TRUE,Comments!$B$24,"")</f>
        <v/>
      </c>
      <c r="J1490" s="1446" t="str">
        <f>IF(E1490=TRUE,Comments!$B$22&amp;DOLLAR(INDEX(Min_Table,M1490),0)&amp;Comments!$B$18&amp;DOLLAR(INDEX(Max_Table,M1490),0)&amp;Comments!$B$19&amp;IFERROR(DOLLAR(Page5_CAD_VE!$M$39/Page5_CAD_VE!$K$39,0),0),"")</f>
        <v/>
      </c>
      <c r="K1490" s="1452"/>
      <c r="L1490" s="611">
        <f>ROW(OR_VEH!$A$667)</f>
        <v>667</v>
      </c>
      <c r="M1490" s="611">
        <f>ROW(OR_VEH!$A$338)</f>
        <v>338</v>
      </c>
      <c r="N1490" s="611" t="str">
        <f>"CPTE # "&amp;Page5_CAD_VE!$E$39&amp;"  "&amp;Page5_CAD_VE!$C$39&amp;" - COÛT DES VENTES - AAD"</f>
        <v>CPTE # 434G  NE PAS UTILISER - COÛT DES VENTES - AAD</v>
      </c>
      <c r="O1490" s="611" t="str">
        <f t="shared" si="209"/>
        <v/>
      </c>
      <c r="P1490" s="611" t="str">
        <f t="shared" si="204"/>
        <v>Page5_CAD_VE!M</v>
      </c>
      <c r="Q1490" s="611">
        <f t="shared" si="205"/>
        <v>39</v>
      </c>
      <c r="R1490" s="1447">
        <f t="shared" ca="1" si="206"/>
        <v>0</v>
      </c>
      <c r="S1490" s="1447">
        <f t="shared" ca="1" si="207"/>
        <v>0</v>
      </c>
      <c r="T1490" s="611">
        <v>22</v>
      </c>
      <c r="V1490" s="2557" t="str">
        <f t="shared" ca="1" si="201"/>
        <v/>
      </c>
      <c r="W1490" s="611" t="str">
        <f t="shared" ca="1" si="208"/>
        <v>Page5_CAD_VE, Ligne 36 [Page5_CAD_VE!M39]  -</v>
      </c>
    </row>
    <row r="1491" spans="1:23">
      <c r="A1491" s="1443" t="str">
        <f>celladdr(Page5_CAD_VE!M40)</f>
        <v>Page5_CAD_VE!M40</v>
      </c>
      <c r="B1491" s="1456" t="s">
        <v>1086</v>
      </c>
      <c r="C1491" s="1451" t="b">
        <f>IF(Page5_CAD_VE!$K$40=0,FALSE,OR(Page5_CAD_VE!$M$40/Page5_CAD_VE!$K$40&lt;INDEX(Min_Table,L1491),Page5_CAD_VE!$M$40/Page5_CAD_VE!$K$40&gt;INDEX(Max_Table,L1491)))</f>
        <v>0</v>
      </c>
      <c r="D1491" s="1454" t="b">
        <f>OR(AND(Page5_CAD_VE!$L40&lt;&gt;0,Page5_CAD_VE!$M40=0),AND(Page5_CAD_VE!$M40&lt;&gt;0,Page5_CAD_VE!$L40=0))</f>
        <v>0</v>
      </c>
      <c r="E1491" s="1454" t="b">
        <f>IF(Page5_CAD_VE!$K$40=0,FALSE,OR(Page5_CAD_VE!$M$40/Page5_CAD_VE!$K$40&lt;INDEX(Min_Table,M1491),Page5_CAD_VE!$M$40/Page5_CAD_VE!$K$40&gt;INDEX(Max_Table,M1491)))</f>
        <v>0</v>
      </c>
      <c r="F1491" s="1454"/>
      <c r="G1491" s="1444" t="str">
        <f t="shared" si="203"/>
        <v/>
      </c>
      <c r="H1491" s="1447" t="str">
        <f>IF(C1491=TRUE,Comments!$B$20&amp;DOLLAR(INDEX(Min_Table,L1491),0)&amp;Comments!$B$18&amp;DOLLAR(INDEX(Max_Table,L1491),0)&amp;Comments!$B$19&amp;DOLLAR(Page5_CAD_VE!$M$40/Page5_CAD_VE!$K$40,0),"")</f>
        <v/>
      </c>
      <c r="I1491" s="1446" t="str">
        <f>IF(D1491=TRUE,Comments!$B$24,"")</f>
        <v/>
      </c>
      <c r="J1491" s="1446" t="str">
        <f>IF(E1491=TRUE,Comments!$B$22&amp;DOLLAR(INDEX(Min_Table,M1491),0)&amp;Comments!$B$18&amp;DOLLAR(INDEX(Max_Table,M1491),0)&amp;Comments!$B$19&amp;IFERROR(DOLLAR(Page5_CAD_VE!$M$40/Page5_CAD_VE!$K$40,0),0),"")</f>
        <v/>
      </c>
      <c r="K1491" s="1452"/>
      <c r="L1491" s="611">
        <f>ROW(OR_VEH!$A$667)</f>
        <v>667</v>
      </c>
      <c r="M1491" s="611">
        <f>ROW(OR_VEH!$A$339)</f>
        <v>339</v>
      </c>
      <c r="N1491" s="611" t="str">
        <f>"CPTE # "&amp;Page5_CAD_VE!$E$40&amp;"  "&amp;Page5_CAD_VE!$C$40&amp;" - COÛT DES VENTES - AAD"</f>
        <v>CPTE # 435G  NE PAS UTILISER - COÛT DES VENTES - AAD</v>
      </c>
      <c r="O1491" s="611" t="str">
        <f t="shared" si="209"/>
        <v/>
      </c>
      <c r="P1491" s="611" t="str">
        <f t="shared" si="204"/>
        <v>Page5_CAD_VE!M</v>
      </c>
      <c r="Q1491" s="611">
        <f t="shared" si="205"/>
        <v>40</v>
      </c>
      <c r="R1491" s="1447">
        <f t="shared" ca="1" si="206"/>
        <v>0</v>
      </c>
      <c r="S1491" s="1447">
        <f t="shared" ca="1" si="207"/>
        <v>0</v>
      </c>
      <c r="T1491" s="611">
        <v>22</v>
      </c>
      <c r="V1491" s="2557" t="str">
        <f t="shared" ca="1" si="201"/>
        <v/>
      </c>
      <c r="W1491" s="611" t="str">
        <f t="shared" ca="1" si="208"/>
        <v>Page5_CAD_VE, Ligne 37 [Page5_CAD_VE!M40]  -</v>
      </c>
    </row>
    <row r="1492" spans="1:23">
      <c r="A1492" s="1443" t="str">
        <f>celladdr(Page5_CAD_VE!M41)</f>
        <v>Page5_CAD_VE!M41</v>
      </c>
      <c r="B1492" s="1456" t="s">
        <v>1086</v>
      </c>
      <c r="C1492" s="1451" t="b">
        <f>IF(Page5_CAD_VE!$K$41=0,FALSE,OR(Page5_CAD_VE!$M$41/Page5_CAD_VE!$K$41&lt;INDEX(Min_Table,L1492),Page5_CAD_VE!$M$41/Page5_CAD_VE!$K$41&gt;INDEX(Max_Table,L1492)))</f>
        <v>0</v>
      </c>
      <c r="D1492" s="1454" t="b">
        <f>OR(AND(Page5_CAD_VE!$L41&lt;&gt;0,Page5_CAD_VE!$M41=0),AND(Page5_CAD_VE!$M41&lt;&gt;0,Page5_CAD_VE!$L41=0))</f>
        <v>0</v>
      </c>
      <c r="E1492" s="1454" t="b">
        <f>IF(Page5_CAD_VE!$K$41=0,FALSE,OR(Page5_CAD_VE!$M$41/Page5_CAD_VE!$K$41&lt;INDEX(Min_Table,M1492),Page5_CAD_VE!$M$41/Page5_CAD_VE!$K$41&gt;INDEX(Max_Table,M1492)))</f>
        <v>0</v>
      </c>
      <c r="F1492" s="1454"/>
      <c r="G1492" s="1444" t="str">
        <f t="shared" si="203"/>
        <v/>
      </c>
      <c r="H1492" s="1447" t="str">
        <f>IF(C1492=TRUE,Comments!$B$20&amp;DOLLAR(INDEX(Min_Table,L1492),0)&amp;Comments!$B$18&amp;DOLLAR(INDEX(Max_Table,L1492),0)&amp;Comments!$B$19&amp;DOLLAR(Page5_CAD_VE!$M$41/Page5_CAD_VE!$K$41,0),"")</f>
        <v/>
      </c>
      <c r="I1492" s="1446" t="str">
        <f>IF(D1492=TRUE,Comments!$B$24,"")</f>
        <v/>
      </c>
      <c r="J1492" s="1446" t="str">
        <f>IF(E1492=TRUE,Comments!$B$22&amp;DOLLAR(INDEX(Min_Table,M1492),0)&amp;Comments!$B$18&amp;DOLLAR(INDEX(Max_Table,M1492),0)&amp;Comments!$B$19&amp;IFERROR(DOLLAR(Page5_CAD_VE!$M$41/Page5_CAD_VE!$K$41,0),0),"")</f>
        <v/>
      </c>
      <c r="K1492" s="1452"/>
      <c r="L1492" s="611">
        <f>ROW(OR_VEH!$A$667)</f>
        <v>667</v>
      </c>
      <c r="M1492" s="611">
        <f>ROW(OR_VEH!$A$340)</f>
        <v>340</v>
      </c>
      <c r="N1492" s="611" t="str">
        <f>"CPTE # "&amp;Page5_CAD_VE!$E$41&amp;"  "&amp;Page5_CAD_VE!$C$41&amp;" - COÛT DES VENTES - AAD"</f>
        <v>CPTE # 436G  NE PAS UTILISER - COÛT DES VENTES - AAD</v>
      </c>
      <c r="O1492" s="611" t="str">
        <f t="shared" si="209"/>
        <v/>
      </c>
      <c r="P1492" s="611" t="str">
        <f t="shared" si="204"/>
        <v>Page5_CAD_VE!M</v>
      </c>
      <c r="Q1492" s="611">
        <f t="shared" si="205"/>
        <v>41</v>
      </c>
      <c r="R1492" s="1447">
        <f t="shared" ca="1" si="206"/>
        <v>0</v>
      </c>
      <c r="S1492" s="1447">
        <f t="shared" ca="1" si="207"/>
        <v>0</v>
      </c>
      <c r="T1492" s="611">
        <v>22</v>
      </c>
      <c r="V1492" s="2557" t="str">
        <f t="shared" ca="1" si="201"/>
        <v/>
      </c>
      <c r="W1492" s="611" t="str">
        <f t="shared" ca="1" si="208"/>
        <v>Page5_CAD_VE, Ligne 38 [Page5_CAD_VE!M41]  -</v>
      </c>
    </row>
    <row r="1493" spans="1:23">
      <c r="A1493" s="1443" t="str">
        <f>celladdr(Page5_CAD_VE!M42)</f>
        <v>Page5_CAD_VE!M42</v>
      </c>
      <c r="B1493" s="1456" t="s">
        <v>1086</v>
      </c>
      <c r="C1493" s="1451" t="b">
        <f>IF(Page5_CAD_VE!$K$42=0,FALSE,OR(Page5_CAD_VE!$M$42/Page5_CAD_VE!$K$42&lt;INDEX(Min_Table,L1493),Page5_CAD_VE!$M$42/Page5_CAD_VE!$K$42&gt;INDEX(Max_Table,L1493)))</f>
        <v>0</v>
      </c>
      <c r="D1493" s="1454" t="b">
        <f>OR(AND(Page5_CAD_VE!$L42&lt;&gt;0,Page5_CAD_VE!$M42=0),AND(Page5_CAD_VE!$M42&lt;&gt;0,Page5_CAD_VE!$L42=0))</f>
        <v>0</v>
      </c>
      <c r="E1493" s="1454" t="b">
        <f>IF(Page5_CAD_VE!$K$42=0,FALSE,OR(Page5_CAD_VE!$M$42/Page5_CAD_VE!$K$42&lt;INDEX(Min_Table,M1493),Page5_CAD_VE!$M$42/Page5_CAD_VE!$K$42&gt;INDEX(Max_Table,M1493)))</f>
        <v>0</v>
      </c>
      <c r="F1493" s="1454"/>
      <c r="G1493" s="1444" t="str">
        <f t="shared" si="203"/>
        <v/>
      </c>
      <c r="H1493" s="1447" t="str">
        <f>IF(C1493=TRUE,Comments!$B$20&amp;DOLLAR(INDEX(Min_Table,L1493),0)&amp;Comments!$B$18&amp;DOLLAR(INDEX(Max_Table,L1493),0)&amp;Comments!$B$19&amp;DOLLAR(Page5_CAD_VE!$M$42/Page5_CAD_VE!$K$42,0),"")</f>
        <v/>
      </c>
      <c r="I1493" s="1446" t="str">
        <f>IF(D1493=TRUE,Comments!$B$24,"")</f>
        <v/>
      </c>
      <c r="J1493" s="1446" t="str">
        <f>IF(E1493=TRUE,Comments!$B$22&amp;DOLLAR(INDEX(Min_Table,M1493),0)&amp;Comments!$B$18&amp;DOLLAR(INDEX(Max_Table,M1493),0)&amp;Comments!$B$19&amp;IFERROR(DOLLAR(Page5_CAD_VE!$M$42/Page5_CAD_VE!$K$42,0),0),"")</f>
        <v/>
      </c>
      <c r="K1493" s="1452"/>
      <c r="L1493" s="611">
        <f>ROW(OR_VEH!$A$667)</f>
        <v>667</v>
      </c>
      <c r="M1493" s="611">
        <f>ROW(OR_VEH!$A$341)</f>
        <v>341</v>
      </c>
      <c r="N1493" s="611" t="str">
        <f>"CPTE # "&amp;Page5_CAD_VE!$E$42&amp;"  "&amp;Page5_CAD_VE!$C$42&amp;" - COÛT DES VENTES - AAD"</f>
        <v>CPTE # 437G  NE PAS UTILISER - COÛT DES VENTES - AAD</v>
      </c>
      <c r="O1493" s="611" t="str">
        <f t="shared" si="209"/>
        <v/>
      </c>
      <c r="P1493" s="611" t="str">
        <f t="shared" si="204"/>
        <v>Page5_CAD_VE!M</v>
      </c>
      <c r="Q1493" s="611">
        <f t="shared" si="205"/>
        <v>42</v>
      </c>
      <c r="R1493" s="1447">
        <f t="shared" ca="1" si="206"/>
        <v>0</v>
      </c>
      <c r="S1493" s="1447">
        <f t="shared" ca="1" si="207"/>
        <v>0</v>
      </c>
      <c r="T1493" s="611">
        <v>22</v>
      </c>
      <c r="V1493" s="2557" t="str">
        <f t="shared" ca="1" si="201"/>
        <v/>
      </c>
      <c r="W1493" s="611" t="str">
        <f t="shared" ca="1" si="208"/>
        <v>Page5_CAD_VE, Ligne 39 [Page5_CAD_VE!M42]  -</v>
      </c>
    </row>
    <row r="1494" spans="1:23">
      <c r="A1494" s="1443" t="str">
        <f>celladdr(Page5_CAD_VE!M43)</f>
        <v>Page5_CAD_VE!M43</v>
      </c>
      <c r="B1494" s="1456" t="s">
        <v>1086</v>
      </c>
      <c r="C1494" s="1451" t="b">
        <f>IF(Page5_CAD_VE!$K$43=0,FALSE,OR(Page5_CAD_VE!$M$43/Page5_CAD_VE!$K$43&lt;INDEX(Min_Table,L1494),Page5_CAD_VE!$M$43/Page5_CAD_VE!$K$43&gt;INDEX(Max_Table,L1494)))</f>
        <v>0</v>
      </c>
      <c r="D1494" s="1454" t="b">
        <f>OR(AND(Page5_CAD_VE!$L43&lt;&gt;0,Page5_CAD_VE!$M43=0),AND(Page5_CAD_VE!$M43&lt;&gt;0,Page5_CAD_VE!$L43=0))</f>
        <v>0</v>
      </c>
      <c r="E1494" s="1454" t="b">
        <f>IF(Page5_CAD_VE!$K$43=0,FALSE,OR(Page5_CAD_VE!$M$43/Page5_CAD_VE!$K$43&lt;INDEX(Min_Table,M1494),Page5_CAD_VE!$M$43/Page5_CAD_VE!$K$43&gt;INDEX(Max_Table,M1494)))</f>
        <v>0</v>
      </c>
      <c r="F1494" s="1454"/>
      <c r="G1494" s="1444" t="str">
        <f t="shared" si="203"/>
        <v/>
      </c>
      <c r="H1494" s="1447" t="str">
        <f>IF(C1494=TRUE,Comments!$B$20&amp;DOLLAR(INDEX(Min_Table,L1494),0)&amp;Comments!$B$18&amp;DOLLAR(INDEX(Max_Table,L1494),0)&amp;Comments!$B$19&amp;DOLLAR(Page5_CAD_VE!$M$43/Page5_CAD_VE!$K$43,0),"")</f>
        <v/>
      </c>
      <c r="I1494" s="1446" t="str">
        <f>IF(D1494=TRUE,Comments!$B$24,"")</f>
        <v/>
      </c>
      <c r="J1494" s="1446" t="str">
        <f>IF(E1494=TRUE,Comments!$B$22&amp;DOLLAR(INDEX(Min_Table,M1494),0)&amp;Comments!$B$18&amp;DOLLAR(INDEX(Max_Table,M1494),0)&amp;Comments!$B$19&amp;IFERROR(DOLLAR(Page5_CAD_VE!$M$43/Page5_CAD_VE!$K$43,0),0),"")</f>
        <v/>
      </c>
      <c r="K1494" s="1452"/>
      <c r="L1494" s="611">
        <f>ROW(OR_VEH!$A$667)</f>
        <v>667</v>
      </c>
      <c r="M1494" s="611">
        <f>ROW(OR_VEH!$A$342)</f>
        <v>342</v>
      </c>
      <c r="N1494" s="611" t="str">
        <f>"CPTE # "&amp;Page5_CAD_VE!$E$43&amp;"  "&amp;Page5_CAD_VE!$C$43&amp;" - COÛT DES VENTES - AAD"</f>
        <v>CPTE # 438G  NE PAS UTILISER - COÛT DES VENTES - AAD</v>
      </c>
      <c r="O1494" s="611" t="str">
        <f t="shared" si="209"/>
        <v/>
      </c>
      <c r="P1494" s="611" t="str">
        <f t="shared" si="204"/>
        <v>Page5_CAD_VE!M</v>
      </c>
      <c r="Q1494" s="611">
        <f t="shared" si="205"/>
        <v>43</v>
      </c>
      <c r="R1494" s="1447">
        <f t="shared" ca="1" si="206"/>
        <v>0</v>
      </c>
      <c r="S1494" s="1447">
        <f t="shared" ca="1" si="207"/>
        <v>0</v>
      </c>
      <c r="T1494" s="611">
        <v>22</v>
      </c>
      <c r="V1494" s="2557" t="str">
        <f t="shared" ca="1" si="201"/>
        <v/>
      </c>
      <c r="W1494" s="611" t="str">
        <f t="shared" ca="1" si="208"/>
        <v>Page5_CAD_VE, Ligne 40 [Page5_CAD_VE!M43]  -</v>
      </c>
    </row>
    <row r="1495" spans="1:23">
      <c r="A1495" s="1443" t="str">
        <f>celladdr(Page5_CAD_VE!M44)</f>
        <v>Page5_CAD_VE!M44</v>
      </c>
      <c r="B1495" s="1444" t="s">
        <v>1086</v>
      </c>
      <c r="C1495" s="1451"/>
      <c r="D1495" s="1454"/>
      <c r="E1495" s="1454"/>
      <c r="F1495" s="1454"/>
      <c r="G1495" s="1444" t="str">
        <f t="shared" si="203"/>
        <v/>
      </c>
      <c r="H1495" s="1447" t="str">
        <f>IF(C1495=TRUE,Comments!$B$26,"")</f>
        <v/>
      </c>
      <c r="I1495" s="1446" t="str">
        <f>IF(D1495=TRUE,Comments!$B$24,"")</f>
        <v/>
      </c>
      <c r="J1495" s="1446"/>
      <c r="K1495" s="1452"/>
      <c r="O1495" s="611" t="str">
        <f t="shared" si="209"/>
        <v/>
      </c>
      <c r="P1495" s="611" t="str">
        <f t="shared" si="204"/>
        <v>Page5_CAD_VE!M</v>
      </c>
      <c r="Q1495" s="611">
        <f t="shared" si="205"/>
        <v>44</v>
      </c>
      <c r="R1495" s="1447">
        <f t="shared" ca="1" si="206"/>
        <v>0</v>
      </c>
      <c r="S1495" s="1447">
        <f t="shared" ca="1" si="207"/>
        <v>0</v>
      </c>
      <c r="V1495" s="2557" t="str">
        <f t="shared" ca="1" si="201"/>
        <v/>
      </c>
      <c r="W1495" s="611" t="str">
        <f t="shared" ca="1" si="208"/>
        <v>Page5_CAD_VE, Ligne 41 [Page5_CAD_VE!M44]  -</v>
      </c>
    </row>
    <row r="1496" spans="1:23">
      <c r="A1496" s="1443" t="str">
        <f>celladdr(Page5_CAD_VE!M45)</f>
        <v>Page5_CAD_VE!M45</v>
      </c>
      <c r="B1496" s="1456" t="s">
        <v>1086</v>
      </c>
      <c r="C1496" s="1451" t="b">
        <f>IF(Page5_CAD_VE!$K$45=0,FALSE,OR(Page5_CAD_VE!$M$45/Page5_CAD_VE!$K$45&lt;INDEX(Min_Table,L1496),Page5_CAD_VE!$M$45/Page5_CAD_VE!$K$45&gt;INDEX(Max_Table,L1496)))</f>
        <v>0</v>
      </c>
      <c r="D1496" s="1454" t="b">
        <f>OR(AND(Page5_CAD_VE!$L45&lt;&gt;0,Page5_CAD_VE!$M45=0),AND(Page5_CAD_VE!$M45&lt;&gt;0,Page5_CAD_VE!$L45=0))</f>
        <v>0</v>
      </c>
      <c r="E1496" s="1454" t="b">
        <f>IF(Page5_CAD_VE!$K$45=0,FALSE,OR(Page5_CAD_VE!$M$45/Page5_CAD_VE!$K$45&lt;INDEX(Min_Table,M1496),Page5_CAD_VE!$M$45/Page5_CAD_VE!$K$45&gt;INDEX(Max_Table,M1496)))</f>
        <v>0</v>
      </c>
      <c r="F1496" s="1454"/>
      <c r="G1496" s="1444" t="str">
        <f t="shared" si="203"/>
        <v/>
      </c>
      <c r="H1496" s="1447" t="str">
        <f>IF(C1496=TRUE,Comments!$B$20&amp;DOLLAR(INDEX(Min_Table,L1496),0)&amp;Comments!$B$18&amp;DOLLAR(INDEX(Max_Table,L1496),0)&amp;Comments!$B$19&amp;DOLLAR(Page5_CAD_VE!$M$45/Page5_CAD_VE!$K$45,0),"")</f>
        <v/>
      </c>
      <c r="I1496" s="1446" t="str">
        <f>IF(D1496=TRUE,Comments!$B$24,"")</f>
        <v/>
      </c>
      <c r="J1496" s="1446" t="str">
        <f>IF(E1496=TRUE,Comments!$B$22&amp;DOLLAR(INDEX(Min_Table,M1496),0)&amp;Comments!$B$18&amp;DOLLAR(INDEX(Max_Table,M1496),0)&amp;Comments!$B$19&amp;IFERROR(DOLLAR(Page5_CAD_VE!$M$45/Page5_CAD_VE!$K$45,0),0),"")</f>
        <v/>
      </c>
      <c r="K1496" s="1452"/>
      <c r="L1496" s="611">
        <f>ROW(OR_VEH!$A$667)</f>
        <v>667</v>
      </c>
      <c r="M1496" s="611">
        <f>ROW(OR_VEH!$A$344)</f>
        <v>344</v>
      </c>
      <c r="N1496" s="611" t="str">
        <f>"CPTE # "&amp;Page5_CAD_VE!$E$45&amp;"  "&amp;Page5_CAD_VE!$C$45&amp;" - COÛT DES VENTES - AAD"</f>
        <v>CPTE # 439G  MÉMO* VENTES INTERNET CAMIONS - COÛT DES VENTES - AAD</v>
      </c>
      <c r="O1496" s="611" t="str">
        <f t="shared" si="209"/>
        <v/>
      </c>
      <c r="P1496" s="611" t="str">
        <f t="shared" si="204"/>
        <v>Page5_CAD_VE!M</v>
      </c>
      <c r="Q1496" s="611">
        <f t="shared" si="205"/>
        <v>45</v>
      </c>
      <c r="R1496" s="1447">
        <f t="shared" ca="1" si="206"/>
        <v>0</v>
      </c>
      <c r="S1496" s="1447">
        <f t="shared" ca="1" si="207"/>
        <v>0</v>
      </c>
      <c r="T1496" s="611">
        <v>22</v>
      </c>
      <c r="V1496" s="2557" t="str">
        <f t="shared" ref="V1496:V1559" ca="1" si="210">IF(SUM(R1496+S1496)=0,"","
*** "&amp;TEXT(SUM(R1496+S1496),"0,0")&amp;" Points de précision seront déduits suite à cette(ces) erreur(s) !")</f>
        <v/>
      </c>
      <c r="W1496" s="611" t="str">
        <f t="shared" ca="1" si="208"/>
        <v>Page5_CAD_VE, Ligne 42 [Page5_CAD_VE!M45]  -</v>
      </c>
    </row>
    <row r="1497" spans="1:23">
      <c r="A1497" s="1443" t="str">
        <f>celladdr(Page5_CAD_VE!M46)</f>
        <v>Page5_CAD_VE!M46</v>
      </c>
      <c r="B1497" s="1456" t="s">
        <v>1086</v>
      </c>
      <c r="C1497" s="1451" t="b">
        <f>IF(Page5_CAD_VE!$K$46=0,FALSE,OR(Page5_CAD_VE!$M$46/Page5_CAD_VE!$K$46&lt;INDEX(Min_Table,L1497),Page5_CAD_VE!$M$46/Page5_CAD_VE!$K$46&gt;INDEX(Max_Table,L1497)))</f>
        <v>0</v>
      </c>
      <c r="D1497" s="1454" t="b">
        <f>OR(AND(Page5_CAD_VE!$L46&lt;&gt;0,Page5_CAD_VE!$M46=0),AND(Page5_CAD_VE!$M46&lt;&gt;0,Page5_CAD_VE!$L46=0))</f>
        <v>0</v>
      </c>
      <c r="E1497" s="1454" t="b">
        <f>IF(Page5_CAD_VE!$K$46=0,FALSE,OR(Page5_CAD_VE!$M$46/Page5_CAD_VE!$K$46&lt;INDEX(Min_Table,M1497),Page5_CAD_VE!$M$46/Page5_CAD_VE!$K$46&gt;INDEX(Max_Table,M1497)))</f>
        <v>0</v>
      </c>
      <c r="F1497" s="1454"/>
      <c r="G1497" s="1444" t="str">
        <f t="shared" si="203"/>
        <v/>
      </c>
      <c r="H1497" s="1447" t="str">
        <f>IF(C1497=TRUE,Comments!$B$20&amp;DOLLAR(INDEX(Min_Table,L1497),0)&amp;Comments!$B$18&amp;DOLLAR(INDEX(Max_Table,L1497),0)&amp;Comments!$B$19&amp;DOLLAR(Page5_CAD_VE!$M$46/Page5_CAD_VE!$K$46,0),"")</f>
        <v/>
      </c>
      <c r="I1497" s="1446" t="str">
        <f>IF(D1497=TRUE,Comments!$B$24,"")</f>
        <v/>
      </c>
      <c r="J1497" s="1446" t="str">
        <f>IF(E1497=TRUE,Comments!$B$22&amp;DOLLAR(INDEX(Min_Table,M1497),0)&amp;Comments!$B$18&amp;DOLLAR(INDEX(Max_Table,M1497),0)&amp;Comments!$B$19&amp;IFERROR(DOLLAR(Page5_CAD_VE!$M$46/Page5_CAD_VE!$K$46,0),0),"")</f>
        <v/>
      </c>
      <c r="K1497" s="1452"/>
      <c r="L1497" s="611">
        <f>ROW(OR_VEH!$A$667)</f>
        <v>667</v>
      </c>
      <c r="M1497" s="611">
        <f>ROW(OR_VEH!$A$345)</f>
        <v>345</v>
      </c>
      <c r="N1497" s="611" t="str">
        <f>"CPTE # "&amp;Page5_CAD_VE!$E$46&amp;"  "&amp;Page5_CAD_VE!$C$46&amp;" - COÛT DES VENTES - AAD"</f>
        <v>CPTE # DE PG PARCS  TOTAL PARCS - CAMIONS - COÛT DES VENTES - AAD</v>
      </c>
      <c r="O1497" s="611" t="str">
        <f t="shared" si="209"/>
        <v/>
      </c>
      <c r="P1497" s="611" t="str">
        <f t="shared" si="204"/>
        <v>Page5_CAD_VE!M</v>
      </c>
      <c r="Q1497" s="611">
        <f t="shared" si="205"/>
        <v>46</v>
      </c>
      <c r="R1497" s="1447">
        <f t="shared" ca="1" si="206"/>
        <v>0</v>
      </c>
      <c r="S1497" s="1447">
        <f t="shared" ca="1" si="207"/>
        <v>0</v>
      </c>
      <c r="T1497" s="611">
        <v>22</v>
      </c>
      <c r="V1497" s="2557" t="str">
        <f t="shared" ca="1" si="210"/>
        <v/>
      </c>
      <c r="W1497" s="611" t="str">
        <f t="shared" ca="1" si="208"/>
        <v>Page5_CAD_VE, Ligne 43 [Page5_CAD_VE!M46]  -</v>
      </c>
    </row>
    <row r="1498" spans="1:23">
      <c r="A1498" s="1443" t="str">
        <f>celladdr(Page5_CAD_VE!M47)</f>
        <v>Page5_CAD_VE!M47</v>
      </c>
      <c r="B1498" s="1456" t="s">
        <v>1086</v>
      </c>
      <c r="C1498" s="1451" t="b">
        <f>IF(Page5_CAD_VE!$K$47=0,FALSE,OR(Page5_CAD_VE!$M$47/Page5_CAD_VE!$K$47&lt;INDEX(Min_Table,L1498),Page5_CAD_VE!$M$47/Page5_CAD_VE!$K$47&gt;INDEX(Max_Table,L1498)))</f>
        <v>0</v>
      </c>
      <c r="D1498" s="1454" t="b">
        <f>OR(AND(Page5_CAD_VE!$L47&lt;&gt;0,Page5_CAD_VE!$M47=0),AND(Page5_CAD_VE!$M47&lt;&gt;0,Page5_CAD_VE!$L47=0))</f>
        <v>0</v>
      </c>
      <c r="E1498" s="1454" t="b">
        <f>IF(Page5_CAD_VE!$K$47=0,FALSE,OR(Page5_CAD_VE!$M$47/Page5_CAD_VE!$K$47&lt;INDEX(Min_Table,M1498),Page5_CAD_VE!$M$47/Page5_CAD_VE!$K$47&gt;INDEX(Max_Table,M1498)))</f>
        <v>0</v>
      </c>
      <c r="F1498" s="1454"/>
      <c r="G1498" s="1444" t="str">
        <f t="shared" si="203"/>
        <v/>
      </c>
      <c r="H1498" s="1447" t="str">
        <f>IF(C1498=TRUE,Comments!$B$20&amp;DOLLAR(INDEX(Min_Table,L1498),0)&amp;Comments!$B$18&amp;DOLLAR(INDEX(Max_Table,L1498),0)&amp;Comments!$B$19&amp;DOLLAR(Page5_CAD_VE!$M$47/Page5_CAD_VE!$K$47,0),"")</f>
        <v/>
      </c>
      <c r="I1498" s="1446" t="str">
        <f>IF(D1498=TRUE,Comments!$B$24,"")</f>
        <v/>
      </c>
      <c r="J1498" s="1446" t="str">
        <f>IF(E1498=TRUE,Comments!$B$22&amp;DOLLAR(INDEX(Min_Table,M1498),0)&amp;Comments!$B$18&amp;DOLLAR(INDEX(Max_Table,M1498),0)&amp;Comments!$B$19&amp;IFERROR(DOLLAR(Page5_CAD_VE!$M$47/Page5_CAD_VE!$K$47,0),0),"")</f>
        <v/>
      </c>
      <c r="K1498" s="1452"/>
      <c r="L1498" s="611">
        <f>ROW(OR_VEH!$A$667)</f>
        <v>667</v>
      </c>
      <c r="M1498" s="611">
        <f>ROW(OR_VEH!$A$346)</f>
        <v>346</v>
      </c>
      <c r="N1498" s="611" t="str">
        <f>"CPTE # "&amp;Page5_CAD_VE!$E$47&amp;"  "&amp;Page5_CAD_VE!$C$47&amp;" - COÛT DES VENTES - AAD"</f>
        <v>CPTE # 441G  TOTAL IINTERNE - CAMIONS  - COÛT DES VENTES - AAD</v>
      </c>
      <c r="O1498" s="611" t="str">
        <f t="shared" si="209"/>
        <v/>
      </c>
      <c r="P1498" s="611" t="str">
        <f t="shared" si="204"/>
        <v>Page5_CAD_VE!M</v>
      </c>
      <c r="Q1498" s="611">
        <f t="shared" si="205"/>
        <v>47</v>
      </c>
      <c r="R1498" s="1447">
        <f t="shared" ca="1" si="206"/>
        <v>0</v>
      </c>
      <c r="S1498" s="1447">
        <f t="shared" ca="1" si="207"/>
        <v>0</v>
      </c>
      <c r="T1498" s="611">
        <v>22</v>
      </c>
      <c r="V1498" s="2557" t="str">
        <f t="shared" ca="1" si="210"/>
        <v/>
      </c>
      <c r="W1498" s="611" t="str">
        <f t="shared" ca="1" si="208"/>
        <v>Page5_CAD_VE, Ligne 44 [Page5_CAD_VE!M47]  -</v>
      </c>
    </row>
    <row r="1499" spans="1:23">
      <c r="A1499" s="1443" t="str">
        <f>celladdr(Page5_CAD_VE!M48)</f>
        <v>Page5_CAD_VE!M48</v>
      </c>
      <c r="B1499" s="1444" t="s">
        <v>1086</v>
      </c>
      <c r="C1499" s="1451"/>
      <c r="D1499" s="1454"/>
      <c r="E1499" s="1454"/>
      <c r="F1499" s="1454"/>
      <c r="G1499" s="1444" t="str">
        <f t="shared" si="203"/>
        <v/>
      </c>
      <c r="H1499" s="1447" t="str">
        <f>IF(C1499=TRUE,Comments!$B$26,"")</f>
        <v/>
      </c>
      <c r="I1499" s="1446" t="str">
        <f>IF(D1499=TRUE,Comments!$B$24,"")</f>
        <v/>
      </c>
      <c r="J1499" s="1446"/>
      <c r="K1499" s="1452"/>
      <c r="O1499" s="611" t="str">
        <f t="shared" si="209"/>
        <v/>
      </c>
      <c r="P1499" s="611" t="str">
        <f t="shared" si="204"/>
        <v>Page5_CAD_VE!M</v>
      </c>
      <c r="Q1499" s="611">
        <f t="shared" si="205"/>
        <v>48</v>
      </c>
      <c r="R1499" s="1447">
        <f t="shared" ca="1" si="206"/>
        <v>0</v>
      </c>
      <c r="S1499" s="1447">
        <f t="shared" ca="1" si="207"/>
        <v>0</v>
      </c>
      <c r="V1499" s="2557" t="str">
        <f t="shared" ca="1" si="210"/>
        <v/>
      </c>
      <c r="W1499" s="611" t="str">
        <f t="shared" ca="1" si="208"/>
        <v>Page5_CAD_VE, Ligne 45 [Page5_CAD_VE!M48]  -</v>
      </c>
    </row>
    <row r="1500" spans="1:23">
      <c r="A1500" s="1443" t="str">
        <f>celladdr(Page5_CAD_VE!M49)</f>
        <v>Page5_CAD_VE!M49</v>
      </c>
      <c r="B1500" s="1456" t="s">
        <v>1086</v>
      </c>
      <c r="C1500" s="1451"/>
      <c r="D1500" s="1454" t="b">
        <f>OR(AND(Page5_CAD_VE!$L49&lt;&gt;0,Page5_CAD_VE!$M49=0),AND(Page5_CAD_VE!$M49&lt;&gt;0,Page5_CAD_VE!$L49=0))</f>
        <v>0</v>
      </c>
      <c r="E1500" s="1454"/>
      <c r="F1500" s="1454"/>
      <c r="G1500" s="1444" t="str">
        <f t="shared" si="203"/>
        <v/>
      </c>
      <c r="I1500" s="1446" t="str">
        <f>IF(D1500=TRUE,Comments!$B$24,"")</f>
        <v/>
      </c>
      <c r="J1500" s="1446"/>
      <c r="K1500" s="1452"/>
      <c r="N1500" s="611" t="str">
        <f>"CPTE # "&amp;Page5_CAD_VE!$E$49&amp;"  "&amp;Page5_CAD_VE!$C$49&amp;" - COÛT DES VENTES - AAD"</f>
        <v>CPTE #      - COÛT DES VENTES - AAD</v>
      </c>
      <c r="O1500" s="611" t="str">
        <f t="shared" si="209"/>
        <v/>
      </c>
      <c r="P1500" s="611" t="str">
        <f t="shared" si="204"/>
        <v>Page5_CAD_VE!M</v>
      </c>
      <c r="Q1500" s="611">
        <f t="shared" si="205"/>
        <v>49</v>
      </c>
      <c r="R1500" s="1447">
        <f t="shared" ca="1" si="206"/>
        <v>0</v>
      </c>
      <c r="S1500" s="1447">
        <f t="shared" ca="1" si="207"/>
        <v>0</v>
      </c>
      <c r="V1500" s="2557" t="str">
        <f t="shared" ca="1" si="210"/>
        <v/>
      </c>
      <c r="W1500" s="611" t="str">
        <f t="shared" ca="1" si="208"/>
        <v>Page5_CAD_VE, Ligne 46 [Page5_CAD_VE!M49]  -</v>
      </c>
    </row>
    <row r="1501" spans="1:23">
      <c r="A1501" s="1443" t="str">
        <f>celladdr(Page5_CAD_VE!M50)</f>
        <v>Page5_CAD_VE!M50</v>
      </c>
      <c r="B1501" s="1456" t="s">
        <v>1086</v>
      </c>
      <c r="C1501" s="1451"/>
      <c r="D1501" s="1454" t="b">
        <f>OR(AND(Page5_CAD_VE!$L50&lt;&gt;0,Page5_CAD_VE!$M50=0),AND(Page5_CAD_VE!$M50&lt;&gt;0,Page5_CAD_VE!$L50=0))</f>
        <v>0</v>
      </c>
      <c r="E1501" s="1454"/>
      <c r="F1501" s="1454"/>
      <c r="G1501" s="1444" t="str">
        <f t="shared" si="203"/>
        <v/>
      </c>
      <c r="I1501" s="1446" t="str">
        <f>IF(D1501=TRUE,Comments!$B$24,"")</f>
        <v/>
      </c>
      <c r="J1501" s="1446"/>
      <c r="K1501" s="1452"/>
      <c r="N1501" s="611" t="str">
        <f>"CPTE # "&amp;Page5_CAD_VE!$E$50&amp;"  "&amp;Page5_CAD_VE!$C$50&amp;" - COÛT DES VENTES - AAD"</f>
        <v>CPTE # 457G  ACCESSOIRES - COÛT DES VENTES - AAD</v>
      </c>
      <c r="O1501" s="611" t="str">
        <f t="shared" si="209"/>
        <v/>
      </c>
      <c r="P1501" s="611" t="str">
        <f t="shared" si="204"/>
        <v>Page5_CAD_VE!M</v>
      </c>
      <c r="Q1501" s="611">
        <f t="shared" si="205"/>
        <v>50</v>
      </c>
      <c r="R1501" s="1447">
        <f t="shared" ca="1" si="206"/>
        <v>0</v>
      </c>
      <c r="S1501" s="1447">
        <f t="shared" ca="1" si="207"/>
        <v>0</v>
      </c>
      <c r="V1501" s="2557" t="str">
        <f t="shared" ca="1" si="210"/>
        <v/>
      </c>
      <c r="W1501" s="611" t="str">
        <f t="shared" ca="1" si="208"/>
        <v>Page5_CAD_VE, Ligne 47 [Page5_CAD_VE!M50]  -</v>
      </c>
    </row>
    <row r="1502" spans="1:23">
      <c r="A1502" s="1443" t="str">
        <f>celladdr(Page5_CAD_VE!N51)</f>
        <v>Page5_CAD_VE!N51</v>
      </c>
      <c r="B1502" s="1455" t="s">
        <v>1086</v>
      </c>
      <c r="C1502" s="1445" t="b">
        <f>Page5_CAD_VE!$N$51&lt;&gt;Page5_CAD_VE!$N$48+Page5_CAD_VE!$N$49+Page5_CAD_VE!$N$27+Page5_CAD_VE!$N$50</f>
        <v>0</v>
      </c>
      <c r="D1502" s="1454"/>
      <c r="F1502" s="1454"/>
      <c r="G1502" s="1444" t="str">
        <f t="shared" si="203"/>
        <v/>
      </c>
      <c r="H1502" s="1446" t="str">
        <f>IF(C1502=TRUE,Comments!$B$39&amp;DOLLAR(Page5_CAD_VE!$N$51-(Page5_CAD_VE!$N$48+Page5_CAD_VE!$N$49+Page5_CAD_VE!$N$27+Page5_CAD_VE!$N$50),0),"")</f>
        <v/>
      </c>
      <c r="I1502" s="1452"/>
      <c r="J1502" s="1452"/>
      <c r="K1502" s="1452"/>
      <c r="N1502" s="611" t="str">
        <f>Page5_CAD_VE!$B$1&amp;" TOTAL VÉHICULES NEUFS - PROFIT BRUT - AAD"</f>
        <v>CADILLAC - VE TOTAL VÉHICULES NEUFS - PROFIT BRUT - AAD</v>
      </c>
      <c r="O1502" s="611" t="str">
        <f t="shared" si="209"/>
        <v/>
      </c>
      <c r="P1502" s="611" t="str">
        <f t="shared" si="204"/>
        <v>Page5_CAD_VE!N</v>
      </c>
      <c r="Q1502" s="611">
        <f t="shared" si="205"/>
        <v>51</v>
      </c>
      <c r="R1502" s="1447">
        <f t="shared" ca="1" si="206"/>
        <v>0</v>
      </c>
      <c r="S1502" s="1447">
        <f t="shared" ca="1" si="207"/>
        <v>0</v>
      </c>
      <c r="V1502" s="2557" t="str">
        <f t="shared" ca="1" si="210"/>
        <v/>
      </c>
      <c r="W1502" s="611" t="str">
        <f t="shared" ca="1" si="208"/>
        <v>Page5_CAD_VE, Ligne 48 [Page5_CAD_VE!N51]  -</v>
      </c>
    </row>
    <row r="1503" spans="1:23">
      <c r="A1503" s="1443" t="str">
        <f>celladdr(Page5_GMC_VE!F51)</f>
        <v>Page5_GMC_VE!F51</v>
      </c>
      <c r="B1503" s="1453" t="s">
        <v>1086</v>
      </c>
      <c r="C1503" s="1445" t="b">
        <f>Page5_GMC_VE!$F$51&lt;&gt;Page5_GMC_VE!$F$48+Page5_GMC_VE!$F$27</f>
        <v>0</v>
      </c>
      <c r="D1503" s="1454"/>
      <c r="F1503" s="1454"/>
      <c r="G1503" s="1444" t="str">
        <f t="shared" si="203"/>
        <v/>
      </c>
      <c r="H1503" s="1446" t="str">
        <f>IF(C1503=TRUE,Comments!$B$38&amp;Page5_GMC_VE!$F$51-(Page5_GMC_VE!$F$48+Page5_GMC_VE!$F$27),"")</f>
        <v/>
      </c>
      <c r="I1503" s="1452"/>
      <c r="J1503" s="1452"/>
      <c r="K1503" s="1452"/>
      <c r="N1503" s="611" t="str">
        <f>Page5_GMC_VE!$B$1&amp;" TOTAL VÉHICULES NEUFS  - UNITÉS - MOIS"</f>
        <v>GMC - VE TOTAL VÉHICULES NEUFS  - UNITÉS - MOIS</v>
      </c>
      <c r="O1503" s="611" t="str">
        <f t="shared" si="209"/>
        <v/>
      </c>
      <c r="P1503" s="611" t="str">
        <f t="shared" si="204"/>
        <v>Page5_GMC_VE!F</v>
      </c>
      <c r="Q1503" s="611">
        <f t="shared" si="205"/>
        <v>51</v>
      </c>
      <c r="R1503" s="1447">
        <f t="shared" ca="1" si="206"/>
        <v>0</v>
      </c>
      <c r="S1503" s="1447">
        <f t="shared" ca="1" si="207"/>
        <v>0</v>
      </c>
      <c r="V1503" s="2557" t="str">
        <f t="shared" ca="1" si="210"/>
        <v/>
      </c>
      <c r="W1503" s="611" t="str">
        <f t="shared" ca="1" si="208"/>
        <v>Page5_GMC_VE, Ligne 48 [Page5_GMC_VE!F51]  -</v>
      </c>
    </row>
    <row r="1504" spans="1:23">
      <c r="A1504" s="1443" t="str">
        <f>celladdr(Page5_GMC_VE!I51)</f>
        <v>Page5_GMC_VE!I51</v>
      </c>
      <c r="B1504" s="1455" t="s">
        <v>1086</v>
      </c>
      <c r="C1504" s="1445" t="b">
        <f>Page5_GMC_VE!$I$51&lt;&gt;Page5_GMC_VE!$I$48+Page5_GMC_VE!$I$49+Page5_GMC_VE!$I$27+Page5_GMC_VE!$I$50</f>
        <v>0</v>
      </c>
      <c r="D1504" s="1454"/>
      <c r="F1504" s="1454"/>
      <c r="G1504" s="1444" t="str">
        <f t="shared" si="203"/>
        <v/>
      </c>
      <c r="H1504" s="1446" t="str">
        <f>IF(C1504=TRUE,Comments!$B$39&amp;DOLLAR(Page5_GMC_VE!$I$51-(Page5_GMC_VE!$I$48+Page5_GMC_VE!$I$49+Page5_GMC_VE!$I$27+Page5_GMC_VE!$I$50),0),"")</f>
        <v/>
      </c>
      <c r="I1504" s="1452"/>
      <c r="J1504" s="1452"/>
      <c r="K1504" s="1452"/>
      <c r="N1504" s="611" t="str">
        <f>Page5_GMC_VE!$B$1&amp;" TOTAL VÉHICULES NEUFS - PROFIT BRUT - MOIS"</f>
        <v>GMC - VE TOTAL VÉHICULES NEUFS - PROFIT BRUT - MOIS</v>
      </c>
      <c r="O1504" s="611" t="str">
        <f t="shared" si="209"/>
        <v/>
      </c>
      <c r="P1504" s="611" t="str">
        <f t="shared" si="204"/>
        <v>Page5_GMC_VE!I</v>
      </c>
      <c r="Q1504" s="611">
        <f t="shared" si="205"/>
        <v>51</v>
      </c>
      <c r="R1504" s="1447">
        <f t="shared" ca="1" si="206"/>
        <v>0</v>
      </c>
      <c r="S1504" s="1447">
        <f t="shared" ca="1" si="207"/>
        <v>0</v>
      </c>
      <c r="V1504" s="2557" t="str">
        <f t="shared" ca="1" si="210"/>
        <v/>
      </c>
      <c r="W1504" s="611" t="str">
        <f t="shared" ca="1" si="208"/>
        <v>Page5_GMC_VE, Ligne 48 [Page5_GMC_VE!I51]  -</v>
      </c>
    </row>
    <row r="1505" spans="1:23">
      <c r="A1505" s="1443" t="str">
        <f>celladdr(Page5_GMC_VE!K4)</f>
        <v>Page5_GMC_VE!K4</v>
      </c>
      <c r="B1505" s="1464" t="s">
        <v>1086</v>
      </c>
      <c r="C1505" s="1451" t="b">
        <f>Page5_GMC_VE!$K$4&lt;0</f>
        <v>0</v>
      </c>
      <c r="D1505" s="1454" t="b">
        <f>OR(AND(Page5_GMC_VE!$K4&gt;0,Page5_GMC_VE!$M4=0),AND(Page5_GMC_VE!$M4&lt;&gt;0,Page5_GMC_VE!$K4=0))</f>
        <v>0</v>
      </c>
      <c r="E1505" s="1454"/>
      <c r="F1505" s="1454"/>
      <c r="G1505" s="1444" t="str">
        <f t="shared" si="203"/>
        <v/>
      </c>
      <c r="H1505" s="1447" t="str">
        <f>IF(C1505=TRUE,Comments!$B$26,"")</f>
        <v/>
      </c>
      <c r="I1505" s="1446" t="str">
        <f>IF(D1505=TRUE,Comments!$B$21,"")</f>
        <v/>
      </c>
      <c r="J1505" s="1446"/>
      <c r="K1505" s="1452"/>
      <c r="N1505" s="611" t="str">
        <f>"CPTE # "&amp;Page5_GMC_VE!$E$4&amp;"  "&amp;Page5_GMC_VE!$C$4&amp;" - UNITÉS - AAD"</f>
        <v>CPTE # 400H  NE PAS UTILISER - UNITÉS - AAD</v>
      </c>
      <c r="O1505" s="611" t="str">
        <f t="shared" si="209"/>
        <v/>
      </c>
      <c r="P1505" s="611" t="str">
        <f t="shared" si="204"/>
        <v>Page5_GMC_VE!K</v>
      </c>
      <c r="Q1505" s="611">
        <f t="shared" si="205"/>
        <v>4</v>
      </c>
      <c r="R1505" s="1447">
        <f t="shared" ca="1" si="206"/>
        <v>0</v>
      </c>
      <c r="S1505" s="1447">
        <f t="shared" ca="1" si="207"/>
        <v>0</v>
      </c>
      <c r="V1505" s="2557" t="str">
        <f t="shared" ca="1" si="210"/>
        <v/>
      </c>
      <c r="W1505" s="611" t="str">
        <f t="shared" ca="1" si="208"/>
        <v>Page5_GMC_VE, Ligne 1 [Page5_GMC_VE!K4]  -</v>
      </c>
    </row>
    <row r="1506" spans="1:23">
      <c r="A1506" s="1443" t="str">
        <f>celladdr(Page5_GMC_VE!K5)</f>
        <v>Page5_GMC_VE!K5</v>
      </c>
      <c r="B1506" s="1464" t="s">
        <v>1086</v>
      </c>
      <c r="C1506" s="1451" t="b">
        <f>Page5_GMC_VE!$K$5&lt;0</f>
        <v>0</v>
      </c>
      <c r="D1506" s="1454" t="b">
        <f>OR(AND(Page5_GMC_VE!$K5&gt;0,Page5_GMC_VE!$M5=0),AND(Page5_GMC_VE!$M5&lt;&gt;0,Page5_GMC_VE!$K5=0))</f>
        <v>0</v>
      </c>
      <c r="E1506" s="1454"/>
      <c r="F1506" s="1454"/>
      <c r="G1506" s="1444" t="str">
        <f t="shared" si="203"/>
        <v/>
      </c>
      <c r="H1506" s="1447" t="str">
        <f>IF(C1506=TRUE,Comments!$B$26,"")</f>
        <v/>
      </c>
      <c r="I1506" s="1446" t="str">
        <f>IF(D1506=TRUE,Comments!$B$21,"")</f>
        <v/>
      </c>
      <c r="J1506" s="1446"/>
      <c r="K1506" s="1452"/>
      <c r="N1506" s="611" t="str">
        <f>"CPTE # "&amp;Page5_GMC_VE!$E$5&amp;"  "&amp;Page5_GMC_VE!$C$5&amp;" - UNITÉS - AAD"</f>
        <v>CPTE # 401H  NE PAS UTILISER - UNITÉS - AAD</v>
      </c>
      <c r="O1506" s="611" t="str">
        <f t="shared" si="209"/>
        <v/>
      </c>
      <c r="P1506" s="611" t="str">
        <f t="shared" si="204"/>
        <v>Page5_GMC_VE!K</v>
      </c>
      <c r="Q1506" s="611">
        <f t="shared" si="205"/>
        <v>5</v>
      </c>
      <c r="R1506" s="1447">
        <f t="shared" ca="1" si="206"/>
        <v>0</v>
      </c>
      <c r="S1506" s="1447">
        <f t="shared" ca="1" si="207"/>
        <v>0</v>
      </c>
      <c r="V1506" s="2557" t="str">
        <f t="shared" ca="1" si="210"/>
        <v/>
      </c>
      <c r="W1506" s="611" t="str">
        <f t="shared" ca="1" si="208"/>
        <v>Page5_GMC_VE, Ligne 2 [Page5_GMC_VE!K5]  -</v>
      </c>
    </row>
    <row r="1507" spans="1:23">
      <c r="A1507" s="1443" t="str">
        <f>celladdr(Page5_GMC_VE!K6)</f>
        <v>Page5_GMC_VE!K6</v>
      </c>
      <c r="B1507" s="1464" t="s">
        <v>1086</v>
      </c>
      <c r="C1507" s="1451" t="b">
        <f>Page5_GMC_VE!$K$6&lt;0</f>
        <v>0</v>
      </c>
      <c r="D1507" s="1454" t="b">
        <f>OR(AND(Page5_GMC_VE!$K6&gt;0,Page5_GMC_VE!$M6=0),AND(Page5_GMC_VE!$M6&lt;&gt;0,Page5_GMC_VE!$K6=0))</f>
        <v>0</v>
      </c>
      <c r="E1507" s="1454"/>
      <c r="F1507" s="1454"/>
      <c r="G1507" s="1444" t="str">
        <f t="shared" si="203"/>
        <v/>
      </c>
      <c r="H1507" s="1447" t="str">
        <f>IF(C1507=TRUE,Comments!$B$26,"")</f>
        <v/>
      </c>
      <c r="I1507" s="1446" t="str">
        <f>IF(D1507=TRUE,Comments!$B$21,"")</f>
        <v/>
      </c>
      <c r="J1507" s="1446"/>
      <c r="K1507" s="1452"/>
      <c r="N1507" s="611" t="str">
        <f>"CPTE # "&amp;Page5_GMC_VE!$E$6&amp;"  "&amp;Page5_GMC_VE!$C$6&amp;" - UNITÉS - AAD"</f>
        <v>CPTE # 402H  NE PAS UTILISER - UNITÉS - AAD</v>
      </c>
      <c r="O1507" s="611" t="str">
        <f t="shared" si="209"/>
        <v/>
      </c>
      <c r="P1507" s="611" t="str">
        <f t="shared" si="204"/>
        <v>Page5_GMC_VE!K</v>
      </c>
      <c r="Q1507" s="611">
        <f t="shared" si="205"/>
        <v>6</v>
      </c>
      <c r="R1507" s="1447">
        <f t="shared" ca="1" si="206"/>
        <v>0</v>
      </c>
      <c r="S1507" s="1447">
        <f t="shared" ca="1" si="207"/>
        <v>0</v>
      </c>
      <c r="V1507" s="2557" t="str">
        <f t="shared" ca="1" si="210"/>
        <v/>
      </c>
      <c r="W1507" s="611" t="str">
        <f t="shared" ca="1" si="208"/>
        <v>Page5_GMC_VE, Ligne 3 [Page5_GMC_VE!K6]  -</v>
      </c>
    </row>
    <row r="1508" spans="1:23">
      <c r="A1508" s="1443" t="str">
        <f>celladdr(Page5_GMC_VE!K7)</f>
        <v>Page5_GMC_VE!K7</v>
      </c>
      <c r="B1508" s="1464" t="s">
        <v>1086</v>
      </c>
      <c r="C1508" s="1451" t="b">
        <f>Page5_GMC_VE!$K$7&lt;0</f>
        <v>0</v>
      </c>
      <c r="D1508" s="1454" t="b">
        <f>OR(AND(Page5_GMC_VE!$K7&gt;0,Page5_GMC_VE!$M7=0),AND(Page5_GMC_VE!$M7&lt;&gt;0,Page5_GMC_VE!$K7=0))</f>
        <v>0</v>
      </c>
      <c r="E1508" s="1454"/>
      <c r="F1508" s="1454"/>
      <c r="G1508" s="1444" t="str">
        <f t="shared" si="203"/>
        <v/>
      </c>
      <c r="H1508" s="1447" t="str">
        <f>IF(C1508=TRUE,Comments!$B$26,"")</f>
        <v/>
      </c>
      <c r="I1508" s="1446" t="str">
        <f>IF(D1508=TRUE,Comments!$B$21,"")</f>
        <v/>
      </c>
      <c r="J1508" s="1446"/>
      <c r="K1508" s="1452"/>
      <c r="N1508" s="611" t="str">
        <f>"CPTE # "&amp;Page5_GMC_VE!$E$7&amp;"  "&amp;Page5_GMC_VE!$C$7&amp;" - UNITÉS - AAD"</f>
        <v>CPTE # 403H  NE PAS UTILISER - UNITÉS - AAD</v>
      </c>
      <c r="O1508" s="611" t="str">
        <f t="shared" si="209"/>
        <v/>
      </c>
      <c r="P1508" s="611" t="str">
        <f t="shared" si="204"/>
        <v>Page5_GMC_VE!K</v>
      </c>
      <c r="Q1508" s="611">
        <f t="shared" si="205"/>
        <v>7</v>
      </c>
      <c r="R1508" s="1447">
        <f t="shared" ca="1" si="206"/>
        <v>0</v>
      </c>
      <c r="S1508" s="1447">
        <f t="shared" ca="1" si="207"/>
        <v>0</v>
      </c>
      <c r="V1508" s="2557" t="str">
        <f t="shared" ca="1" si="210"/>
        <v/>
      </c>
      <c r="W1508" s="611" t="str">
        <f t="shared" ca="1" si="208"/>
        <v>Page5_GMC_VE, Ligne 4 [Page5_GMC_VE!K7]  -</v>
      </c>
    </row>
    <row r="1509" spans="1:23">
      <c r="A1509" s="1443" t="str">
        <f>celladdr(Page5_GMC_VE!K8)</f>
        <v>Page5_GMC_VE!K8</v>
      </c>
      <c r="B1509" s="1464" t="s">
        <v>1086</v>
      </c>
      <c r="C1509" s="1451" t="b">
        <f>Page5_GMC_VE!$K$8&lt;0</f>
        <v>0</v>
      </c>
      <c r="D1509" s="1454" t="b">
        <f>OR(AND(Page5_GMC_VE!$K8&gt;0,Page5_GMC_VE!$M8=0),AND(Page5_GMC_VE!$M8&lt;&gt;0,Page5_GMC_VE!$K8=0))</f>
        <v>0</v>
      </c>
      <c r="E1509" s="1454"/>
      <c r="F1509" s="1454"/>
      <c r="G1509" s="1444" t="str">
        <f t="shared" si="203"/>
        <v/>
      </c>
      <c r="H1509" s="1447" t="str">
        <f>IF(C1509=TRUE,Comments!$B$26,"")</f>
        <v/>
      </c>
      <c r="I1509" s="1446" t="str">
        <f>IF(D1509=TRUE,Comments!$B$21,"")</f>
        <v/>
      </c>
      <c r="J1509" s="1446"/>
      <c r="K1509" s="1452"/>
      <c r="N1509" s="611" t="str">
        <f>"CPTE # "&amp;Page5_GMC_VE!$E$8&amp;"  "&amp;Page5_GMC_VE!$C$8&amp;" - UNITÉS - AAD"</f>
        <v>CPTE # 404H  NE PAS UTILISER - UNITÉS - AAD</v>
      </c>
      <c r="O1509" s="611" t="str">
        <f t="shared" si="209"/>
        <v/>
      </c>
      <c r="P1509" s="611" t="str">
        <f t="shared" si="204"/>
        <v>Page5_GMC_VE!K</v>
      </c>
      <c r="Q1509" s="611">
        <f t="shared" si="205"/>
        <v>8</v>
      </c>
      <c r="R1509" s="1447">
        <f t="shared" ca="1" si="206"/>
        <v>0</v>
      </c>
      <c r="S1509" s="1447">
        <f t="shared" ca="1" si="207"/>
        <v>0</v>
      </c>
      <c r="V1509" s="2557" t="str">
        <f t="shared" ca="1" si="210"/>
        <v/>
      </c>
      <c r="W1509" s="611" t="str">
        <f t="shared" ca="1" si="208"/>
        <v>Page5_GMC_VE, Ligne 5 [Page5_GMC_VE!K8]  -</v>
      </c>
    </row>
    <row r="1510" spans="1:23">
      <c r="A1510" s="1443" t="str">
        <f>celladdr(Page5_GMC_VE!K9)</f>
        <v>Page5_GMC_VE!K9</v>
      </c>
      <c r="B1510" s="1464" t="s">
        <v>1086</v>
      </c>
      <c r="C1510" s="1451" t="b">
        <f>Page5_GMC_VE!$K$9&lt;0</f>
        <v>0</v>
      </c>
      <c r="D1510" s="1454" t="b">
        <f>OR(AND(Page5_GMC_VE!$K9&gt;0,Page5_GMC_VE!$M9=0),AND(Page5_GMC_VE!$M9&lt;&gt;0,Page5_GMC_VE!$K9=0))</f>
        <v>0</v>
      </c>
      <c r="E1510" s="1454"/>
      <c r="F1510" s="1454"/>
      <c r="G1510" s="1444" t="str">
        <f t="shared" si="203"/>
        <v/>
      </c>
      <c r="H1510" s="1447" t="str">
        <f>IF(C1510=TRUE,Comments!$B$26,"")</f>
        <v/>
      </c>
      <c r="I1510" s="1446" t="str">
        <f>IF(D1510=TRUE,Comments!$B$21,"")</f>
        <v/>
      </c>
      <c r="J1510" s="1446"/>
      <c r="K1510" s="1452"/>
      <c r="N1510" s="611" t="str">
        <f>"CPTE # "&amp;Page5_GMC_VE!$E$9&amp;"  "&amp;Page5_GMC_VE!$C$9&amp;" - UNITÉS - AAD"</f>
        <v>CPTE # 405H  NE PAS UTILISER - UNITÉS - AAD</v>
      </c>
      <c r="O1510" s="611" t="str">
        <f t="shared" si="209"/>
        <v/>
      </c>
      <c r="P1510" s="611" t="str">
        <f t="shared" si="204"/>
        <v>Page5_GMC_VE!K</v>
      </c>
      <c r="Q1510" s="611">
        <f t="shared" si="205"/>
        <v>9</v>
      </c>
      <c r="R1510" s="1447">
        <f t="shared" ca="1" si="206"/>
        <v>0</v>
      </c>
      <c r="S1510" s="1447">
        <f t="shared" ca="1" si="207"/>
        <v>0</v>
      </c>
      <c r="V1510" s="2557" t="str">
        <f t="shared" ca="1" si="210"/>
        <v/>
      </c>
      <c r="W1510" s="611" t="str">
        <f t="shared" ca="1" si="208"/>
        <v>Page5_GMC_VE, Ligne 6 [Page5_GMC_VE!K9]  -</v>
      </c>
    </row>
    <row r="1511" spans="1:23">
      <c r="A1511" s="1443" t="str">
        <f>celladdr(Page5_GMC_VE!K10)</f>
        <v>Page5_GMC_VE!K10</v>
      </c>
      <c r="B1511" s="1464" t="s">
        <v>1086</v>
      </c>
      <c r="C1511" s="1451" t="b">
        <f>Page5_GMC_VE!$K$10&lt;0</f>
        <v>0</v>
      </c>
      <c r="D1511" s="1454" t="b">
        <f>OR(AND(Page5_GMC_VE!$K10&gt;0,Page5_GMC_VE!$M10=0),AND(Page5_GMC_VE!$M10&lt;&gt;0,Page5_GMC_VE!$K10=0))</f>
        <v>0</v>
      </c>
      <c r="E1511" s="1454"/>
      <c r="F1511" s="1454"/>
      <c r="G1511" s="1444" t="str">
        <f t="shared" si="203"/>
        <v/>
      </c>
      <c r="H1511" s="1447" t="str">
        <f>IF(C1511=TRUE,Comments!$B$26,"")</f>
        <v/>
      </c>
      <c r="I1511" s="1446" t="str">
        <f>IF(D1511=TRUE,Comments!$B$21,"")</f>
        <v/>
      </c>
      <c r="J1511" s="1446"/>
      <c r="K1511" s="1452"/>
      <c r="N1511" s="611" t="str">
        <f>"CPTE # "&amp;Page5_GMC_VE!$E$10&amp;"  "&amp;Page5_GMC_VE!$C$10&amp;" - UNITÉS - AAD"</f>
        <v>CPTE # 406H  NE PAS UTILISER - UNITÉS - AAD</v>
      </c>
      <c r="O1511" s="611" t="str">
        <f t="shared" si="209"/>
        <v/>
      </c>
      <c r="P1511" s="611" t="str">
        <f t="shared" si="204"/>
        <v>Page5_GMC_VE!K</v>
      </c>
      <c r="Q1511" s="611">
        <f t="shared" si="205"/>
        <v>10</v>
      </c>
      <c r="R1511" s="1447">
        <f t="shared" ca="1" si="206"/>
        <v>0</v>
      </c>
      <c r="S1511" s="1447">
        <f t="shared" ca="1" si="207"/>
        <v>0</v>
      </c>
      <c r="V1511" s="2557" t="str">
        <f t="shared" ca="1" si="210"/>
        <v/>
      </c>
      <c r="W1511" s="611" t="str">
        <f t="shared" ca="1" si="208"/>
        <v>Page5_GMC_VE, Ligne 7 [Page5_GMC_VE!K10]  -</v>
      </c>
    </row>
    <row r="1512" spans="1:23">
      <c r="A1512" s="1443" t="str">
        <f>celladdr(Page5_GMC_VE!K11)</f>
        <v>Page5_GMC_VE!K11</v>
      </c>
      <c r="B1512" s="1464" t="s">
        <v>1086</v>
      </c>
      <c r="C1512" s="1451" t="b">
        <f>Page5_GMC_VE!$K$11&lt;0</f>
        <v>0</v>
      </c>
      <c r="D1512" s="1454" t="b">
        <f>OR(AND(Page5_GMC_VE!$K11&gt;0,Page5_GMC_VE!$M11=0),AND(Page5_GMC_VE!$M11&lt;&gt;0,Page5_GMC_VE!$K11=0))</f>
        <v>0</v>
      </c>
      <c r="E1512" s="1454"/>
      <c r="F1512" s="1454"/>
      <c r="G1512" s="1444" t="str">
        <f t="shared" si="203"/>
        <v/>
      </c>
      <c r="H1512" s="1447" t="str">
        <f>IF(C1512=TRUE,Comments!$B$26,"")</f>
        <v/>
      </c>
      <c r="I1512" s="1446" t="str">
        <f>IF(D1512=TRUE,Comments!$B$21,"")</f>
        <v/>
      </c>
      <c r="J1512" s="1446"/>
      <c r="K1512" s="1452"/>
      <c r="N1512" s="611" t="str">
        <f>"CPTE # "&amp;Page5_GMC_VE!$E$11&amp;"  "&amp;Page5_GMC_VE!$C$11&amp;" - UNITÉS - AAD"</f>
        <v>CPTE # 407H  NE PAS UTILISER - UNITÉS - AAD</v>
      </c>
      <c r="O1512" s="611" t="str">
        <f t="shared" si="209"/>
        <v/>
      </c>
      <c r="P1512" s="611" t="str">
        <f t="shared" si="204"/>
        <v>Page5_GMC_VE!K</v>
      </c>
      <c r="Q1512" s="611">
        <f t="shared" si="205"/>
        <v>11</v>
      </c>
      <c r="R1512" s="1447">
        <f t="shared" ca="1" si="206"/>
        <v>0</v>
      </c>
      <c r="S1512" s="1447">
        <f t="shared" ca="1" si="207"/>
        <v>0</v>
      </c>
      <c r="V1512" s="2557" t="str">
        <f t="shared" ca="1" si="210"/>
        <v/>
      </c>
      <c r="W1512" s="611" t="str">
        <f t="shared" ca="1" si="208"/>
        <v>Page5_GMC_VE, Ligne 8 [Page5_GMC_VE!K11]  -</v>
      </c>
    </row>
    <row r="1513" spans="1:23">
      <c r="A1513" s="1443" t="str">
        <f>celladdr(Page5_GMC_VE!K12)</f>
        <v>Page5_GMC_VE!K12</v>
      </c>
      <c r="B1513" s="1464" t="s">
        <v>1086</v>
      </c>
      <c r="C1513" s="1451" t="b">
        <f>Page5_GMC_VE!$K$12&lt;0</f>
        <v>0</v>
      </c>
      <c r="D1513" s="1454" t="b">
        <f>OR(AND(Page5_GMC_VE!$K12&gt;0,Page5_GMC_VE!$M12=0),AND(Page5_GMC_VE!$M12&lt;&gt;0,Page5_GMC_VE!$K12=0))</f>
        <v>0</v>
      </c>
      <c r="E1513" s="1454"/>
      <c r="F1513" s="1454"/>
      <c r="G1513" s="1444" t="str">
        <f t="shared" si="203"/>
        <v/>
      </c>
      <c r="H1513" s="1447" t="str">
        <f>IF(C1513=TRUE,Comments!$B$26,"")</f>
        <v/>
      </c>
      <c r="I1513" s="1446" t="str">
        <f>IF(D1513=TRUE,Comments!$B$21,"")</f>
        <v/>
      </c>
      <c r="J1513" s="1446"/>
      <c r="K1513" s="1452"/>
      <c r="N1513" s="611" t="str">
        <f>"CPTE # "&amp;Page5_GMC_VE!$E$12&amp;"  "&amp;Page5_GMC_VE!$C$12&amp;" - UNITÉS - AAD"</f>
        <v>CPTE # 408H  NE PAS UTILISER - UNITÉS - AAD</v>
      </c>
      <c r="O1513" s="611" t="str">
        <f t="shared" si="209"/>
        <v/>
      </c>
      <c r="P1513" s="611" t="str">
        <f t="shared" si="204"/>
        <v>Page5_GMC_VE!K</v>
      </c>
      <c r="Q1513" s="611">
        <f t="shared" si="205"/>
        <v>12</v>
      </c>
      <c r="R1513" s="1447">
        <f t="shared" ca="1" si="206"/>
        <v>0</v>
      </c>
      <c r="S1513" s="1447">
        <f t="shared" ca="1" si="207"/>
        <v>0</v>
      </c>
      <c r="V1513" s="2557" t="str">
        <f t="shared" ca="1" si="210"/>
        <v/>
      </c>
      <c r="W1513" s="611" t="str">
        <f t="shared" ca="1" si="208"/>
        <v>Page5_GMC_VE, Ligne 9 [Page5_GMC_VE!K12]  -</v>
      </c>
    </row>
    <row r="1514" spans="1:23">
      <c r="A1514" s="1443" t="str">
        <f>celladdr(Page5_GMC_VE!K13)</f>
        <v>Page5_GMC_VE!K13</v>
      </c>
      <c r="B1514" s="1464" t="s">
        <v>1086</v>
      </c>
      <c r="C1514" s="1451" t="b">
        <f>Page5_GMC_VE!$K$13&lt;0</f>
        <v>0</v>
      </c>
      <c r="D1514" s="1454" t="b">
        <f>OR(AND(Page5_GMC_VE!$K13&gt;0,Page5_GMC_VE!$M13=0),AND(Page5_GMC_VE!$M13&lt;&gt;0,Page5_GMC_VE!$K13=0))</f>
        <v>0</v>
      </c>
      <c r="E1514" s="1454"/>
      <c r="F1514" s="1454"/>
      <c r="G1514" s="1444" t="str">
        <f t="shared" si="203"/>
        <v/>
      </c>
      <c r="H1514" s="1447" t="str">
        <f>IF(C1514=TRUE,Comments!$B$26,"")</f>
        <v/>
      </c>
      <c r="I1514" s="1446" t="str">
        <f>IF(D1514=TRUE,Comments!$B$21,"")</f>
        <v/>
      </c>
      <c r="J1514" s="1446"/>
      <c r="K1514" s="1452"/>
      <c r="N1514" s="611" t="str">
        <f>"CPTE # "&amp;Page5_GMC_VE!$E$13&amp;"  "&amp;Page5_GMC_VE!$C$13&amp;" - UNITÉS - AAD"</f>
        <v>CPTE # 409H  NE PAS UTILISER - UNITÉS - AAD</v>
      </c>
      <c r="O1514" s="611" t="str">
        <f t="shared" si="209"/>
        <v/>
      </c>
      <c r="P1514" s="611" t="str">
        <f t="shared" si="204"/>
        <v>Page5_GMC_VE!K</v>
      </c>
      <c r="Q1514" s="611">
        <f t="shared" si="205"/>
        <v>13</v>
      </c>
      <c r="R1514" s="1447">
        <f t="shared" ca="1" si="206"/>
        <v>0</v>
      </c>
      <c r="S1514" s="1447">
        <f t="shared" ca="1" si="207"/>
        <v>0</v>
      </c>
      <c r="V1514" s="2557" t="str">
        <f t="shared" ca="1" si="210"/>
        <v/>
      </c>
      <c r="W1514" s="611" t="str">
        <f t="shared" ca="1" si="208"/>
        <v>Page5_GMC_VE, Ligne 10 [Page5_GMC_VE!K13]  -</v>
      </c>
    </row>
    <row r="1515" spans="1:23">
      <c r="A1515" s="1443" t="str">
        <f>celladdr(Page5_GMC_VE!K14)</f>
        <v>Page5_GMC_VE!K14</v>
      </c>
      <c r="B1515" s="1464" t="s">
        <v>1086</v>
      </c>
      <c r="C1515" s="1451" t="b">
        <f>Page5_GMC_VE!$K$14&lt;0</f>
        <v>0</v>
      </c>
      <c r="D1515" s="1454" t="b">
        <f>OR(AND(Page5_GMC_VE!$K14&gt;0,Page5_GMC_VE!$M14=0),AND(Page5_GMC_VE!$M14&lt;&gt;0,Page5_GMC_VE!$K14=0))</f>
        <v>0</v>
      </c>
      <c r="E1515" s="1454"/>
      <c r="F1515" s="1454"/>
      <c r="G1515" s="1444" t="str">
        <f t="shared" si="203"/>
        <v/>
      </c>
      <c r="H1515" s="1447" t="str">
        <f>IF(C1515=TRUE,Comments!$B$26,"")</f>
        <v/>
      </c>
      <c r="I1515" s="1446" t="str">
        <f>IF(D1515=TRUE,Comments!$B$21,"")</f>
        <v/>
      </c>
      <c r="J1515" s="1446"/>
      <c r="K1515" s="1452"/>
      <c r="N1515" s="611" t="str">
        <f>"CPTE # "&amp;Page5_GMC_VE!$E$14&amp;"  "&amp;Page5_GMC_VE!$C$14&amp;" - UNITÉS - AAD"</f>
        <v>CPTE # 410H  NE PAS UTILISER - UNITÉS - AAD</v>
      </c>
      <c r="O1515" s="611" t="str">
        <f t="shared" si="209"/>
        <v/>
      </c>
      <c r="P1515" s="611" t="str">
        <f t="shared" si="204"/>
        <v>Page5_GMC_VE!K</v>
      </c>
      <c r="Q1515" s="611">
        <f t="shared" si="205"/>
        <v>14</v>
      </c>
      <c r="R1515" s="1447">
        <f t="shared" ca="1" si="206"/>
        <v>0</v>
      </c>
      <c r="S1515" s="1447">
        <f t="shared" ca="1" si="207"/>
        <v>0</v>
      </c>
      <c r="V1515" s="2557" t="str">
        <f t="shared" ca="1" si="210"/>
        <v/>
      </c>
      <c r="W1515" s="611" t="str">
        <f t="shared" ca="1" si="208"/>
        <v>Page5_GMC_VE, Ligne 11 [Page5_GMC_VE!K14]  -</v>
      </c>
    </row>
    <row r="1516" spans="1:23">
      <c r="A1516" s="1443" t="str">
        <f>celladdr(Page5_GMC_VE!K15)</f>
        <v>Page5_GMC_VE!K15</v>
      </c>
      <c r="B1516" s="1464" t="s">
        <v>1086</v>
      </c>
      <c r="C1516" s="1451" t="b">
        <f>Page5_GMC_VE!$K$15&lt;0</f>
        <v>0</v>
      </c>
      <c r="D1516" s="1454" t="b">
        <f>OR(AND(Page5_GMC_VE!$K15&gt;0,Page5_GMC_VE!$M15=0),AND(Page5_GMC_VE!$M15&lt;&gt;0,Page5_GMC_VE!$K15=0))</f>
        <v>0</v>
      </c>
      <c r="E1516" s="1454"/>
      <c r="F1516" s="1454"/>
      <c r="G1516" s="1444" t="str">
        <f t="shared" si="203"/>
        <v/>
      </c>
      <c r="H1516" s="1447" t="str">
        <f>IF(C1516=TRUE,Comments!$B$26,"")</f>
        <v/>
      </c>
      <c r="I1516" s="1446" t="str">
        <f>IF(D1516=TRUE,Comments!$B$21,"")</f>
        <v/>
      </c>
      <c r="J1516" s="1446"/>
      <c r="K1516" s="1452"/>
      <c r="N1516" s="611" t="str">
        <f>"CPTE # "&amp;Page5_GMC_VE!$E$15&amp;"  "&amp;Page5_GMC_VE!$C$15&amp;" - UNITÉS - AAD"</f>
        <v>CPTE # 411H  NE PAS UTILISER - UNITÉS - AAD</v>
      </c>
      <c r="O1516" s="611" t="str">
        <f t="shared" ref="O1516:O1547" si="211">IF(A1516=A1515,"TRUE","")</f>
        <v/>
      </c>
      <c r="P1516" s="611" t="str">
        <f t="shared" si="204"/>
        <v>Page5_GMC_VE!K</v>
      </c>
      <c r="Q1516" s="611">
        <f t="shared" si="205"/>
        <v>15</v>
      </c>
      <c r="R1516" s="1447">
        <f t="shared" ca="1" si="206"/>
        <v>0</v>
      </c>
      <c r="S1516" s="1447">
        <f t="shared" ca="1" si="207"/>
        <v>0</v>
      </c>
      <c r="V1516" s="2557" t="str">
        <f t="shared" ca="1" si="210"/>
        <v/>
      </c>
      <c r="W1516" s="611" t="str">
        <f t="shared" ca="1" si="208"/>
        <v>Page5_GMC_VE, Ligne 12 [Page5_GMC_VE!K15]  -</v>
      </c>
    </row>
    <row r="1517" spans="1:23">
      <c r="A1517" s="1443" t="str">
        <f>celladdr(Page5_GMC_VE!K16)</f>
        <v>Page5_GMC_VE!K16</v>
      </c>
      <c r="B1517" s="1464" t="s">
        <v>1086</v>
      </c>
      <c r="C1517" s="1451" t="b">
        <f>Page5_GMC_VE!$K$16&lt;0</f>
        <v>0</v>
      </c>
      <c r="D1517" s="1454" t="b">
        <f>OR(AND(Page5_GMC_VE!$K16&gt;0,Page5_GMC_VE!$M16=0),AND(Page5_GMC_VE!$M16&lt;&gt;0,Page5_GMC_VE!$K16=0))</f>
        <v>0</v>
      </c>
      <c r="E1517" s="1454"/>
      <c r="F1517" s="1454"/>
      <c r="G1517" s="1444" t="str">
        <f t="shared" si="203"/>
        <v/>
      </c>
      <c r="H1517" s="1447" t="str">
        <f>IF(C1517=TRUE,Comments!$B$26,"")</f>
        <v/>
      </c>
      <c r="I1517" s="1446" t="str">
        <f>IF(D1517=TRUE,Comments!$B$21,"")</f>
        <v/>
      </c>
      <c r="J1517" s="1446"/>
      <c r="K1517" s="1452"/>
      <c r="N1517" s="611" t="str">
        <f>"CPTE # "&amp;Page5_GMC_VE!$E$16&amp;"  "&amp;Page5_GMC_VE!$C$16&amp;" - UNITÉS - AAD"</f>
        <v>CPTE # 412H  NE PAS UTILISER - UNITÉS - AAD</v>
      </c>
      <c r="O1517" s="611" t="str">
        <f t="shared" si="211"/>
        <v/>
      </c>
      <c r="P1517" s="611" t="str">
        <f t="shared" si="204"/>
        <v>Page5_GMC_VE!K</v>
      </c>
      <c r="Q1517" s="611">
        <f t="shared" si="205"/>
        <v>16</v>
      </c>
      <c r="R1517" s="1447">
        <f t="shared" ca="1" si="206"/>
        <v>0</v>
      </c>
      <c r="S1517" s="1447">
        <f t="shared" ca="1" si="207"/>
        <v>0</v>
      </c>
      <c r="V1517" s="2557" t="str">
        <f t="shared" ca="1" si="210"/>
        <v/>
      </c>
      <c r="W1517" s="611" t="str">
        <f t="shared" ca="1" si="208"/>
        <v>Page5_GMC_VE, Ligne 13 [Page5_GMC_VE!K16]  -</v>
      </c>
    </row>
    <row r="1518" spans="1:23">
      <c r="A1518" s="1443" t="str">
        <f>celladdr(Page5_GMC_VE!K17)</f>
        <v>Page5_GMC_VE!K17</v>
      </c>
      <c r="B1518" s="1464" t="s">
        <v>1086</v>
      </c>
      <c r="C1518" s="1451" t="b">
        <f>Page5_GMC_VE!$K$17&lt;0</f>
        <v>0</v>
      </c>
      <c r="D1518" s="1454" t="b">
        <f>OR(AND(Page5_GMC_VE!$K17&gt;0,Page5_GMC_VE!$M17=0),AND(Page5_GMC_VE!$M17&lt;&gt;0,Page5_GMC_VE!$K17=0))</f>
        <v>0</v>
      </c>
      <c r="E1518" s="1454"/>
      <c r="F1518" s="1454"/>
      <c r="G1518" s="1444" t="str">
        <f t="shared" si="203"/>
        <v/>
      </c>
      <c r="H1518" s="1447" t="str">
        <f>IF(C1518=TRUE,Comments!$B$26,"")</f>
        <v/>
      </c>
      <c r="I1518" s="1446" t="str">
        <f>IF(D1518=TRUE,Comments!$B$21,"")</f>
        <v/>
      </c>
      <c r="J1518" s="1446"/>
      <c r="K1518" s="1452"/>
      <c r="N1518" s="611" t="str">
        <f>"CPTE # "&amp;Page5_GMC_VE!$E$17&amp;"  "&amp;Page5_GMC_VE!$C$17&amp;" - UNITÉS - AAD"</f>
        <v>CPTE # 413H  NE PAS UTILISER - UNITÉS - AAD</v>
      </c>
      <c r="O1518" s="611" t="str">
        <f t="shared" si="211"/>
        <v/>
      </c>
      <c r="P1518" s="611" t="str">
        <f t="shared" si="204"/>
        <v>Page5_GMC_VE!K</v>
      </c>
      <c r="Q1518" s="611">
        <f t="shared" si="205"/>
        <v>17</v>
      </c>
      <c r="R1518" s="1447">
        <f t="shared" ca="1" si="206"/>
        <v>0</v>
      </c>
      <c r="S1518" s="1447">
        <f t="shared" ca="1" si="207"/>
        <v>0</v>
      </c>
      <c r="V1518" s="2557" t="str">
        <f t="shared" ca="1" si="210"/>
        <v/>
      </c>
      <c r="W1518" s="611" t="str">
        <f t="shared" ca="1" si="208"/>
        <v>Page5_GMC_VE, Ligne 14 [Page5_GMC_VE!K17]  -</v>
      </c>
    </row>
    <row r="1519" spans="1:23">
      <c r="A1519" s="1443" t="str">
        <f>celladdr(Page5_GMC_VE!K18)</f>
        <v>Page5_GMC_VE!K18</v>
      </c>
      <c r="B1519" s="1464" t="s">
        <v>1086</v>
      </c>
      <c r="C1519" s="1451" t="b">
        <f>Page5_GMC_VE!$K$18&lt;0</f>
        <v>0</v>
      </c>
      <c r="D1519" s="1454" t="b">
        <f>OR(AND(Page5_GMC_VE!$K18&gt;0,Page5_GMC_VE!$M18=0),AND(Page5_GMC_VE!$M18&lt;&gt;0,Page5_GMC_VE!$K18=0))</f>
        <v>0</v>
      </c>
      <c r="E1519" s="1454"/>
      <c r="F1519" s="1454"/>
      <c r="G1519" s="1444" t="str">
        <f t="shared" si="203"/>
        <v/>
      </c>
      <c r="H1519" s="1447" t="str">
        <f>IF(C1519=TRUE,Comments!$B$26,"")</f>
        <v/>
      </c>
      <c r="I1519" s="1446" t="str">
        <f>IF(D1519=TRUE,Comments!$B$21,"")</f>
        <v/>
      </c>
      <c r="J1519" s="1446"/>
      <c r="K1519" s="1452"/>
      <c r="N1519" s="611" t="str">
        <f>"CPTE # "&amp;Page5_GMC_VE!$E$18&amp;"  "&amp;Page5_GMC_VE!$C$18&amp;" - UNITÉS - AAD"</f>
        <v>CPTE # 414H  NE PAS UTILISER - UNITÉS - AAD</v>
      </c>
      <c r="O1519" s="611" t="str">
        <f t="shared" si="211"/>
        <v/>
      </c>
      <c r="P1519" s="611" t="str">
        <f t="shared" si="204"/>
        <v>Page5_GMC_VE!K</v>
      </c>
      <c r="Q1519" s="611">
        <f t="shared" si="205"/>
        <v>18</v>
      </c>
      <c r="R1519" s="1447">
        <f t="shared" ca="1" si="206"/>
        <v>0</v>
      </c>
      <c r="S1519" s="1447">
        <f t="shared" ca="1" si="207"/>
        <v>0</v>
      </c>
      <c r="V1519" s="2557" t="str">
        <f t="shared" ca="1" si="210"/>
        <v/>
      </c>
      <c r="W1519" s="611" t="str">
        <f t="shared" ca="1" si="208"/>
        <v>Page5_GMC_VE, Ligne 15 [Page5_GMC_VE!K18]  -</v>
      </c>
    </row>
    <row r="1520" spans="1:23">
      <c r="A1520" s="1443" t="str">
        <f>celladdr(Page5_GMC_VE!K19)</f>
        <v>Page5_GMC_VE!K19</v>
      </c>
      <c r="B1520" s="1464" t="s">
        <v>1086</v>
      </c>
      <c r="C1520" s="1451" t="b">
        <f>Page5_GMC_VE!$K$19&lt;0</f>
        <v>0</v>
      </c>
      <c r="D1520" s="1454" t="b">
        <f>OR(AND(Page5_GMC_VE!$K19&gt;0,Page5_GMC_VE!$M19=0),AND(Page5_GMC_VE!$M19&lt;&gt;0,Page5_GMC_VE!$K19=0))</f>
        <v>0</v>
      </c>
      <c r="E1520" s="1454"/>
      <c r="F1520" s="1454"/>
      <c r="G1520" s="1444" t="str">
        <f t="shared" si="203"/>
        <v/>
      </c>
      <c r="H1520" s="1447" t="str">
        <f>IF(C1520=TRUE,Comments!$B$26,"")</f>
        <v/>
      </c>
      <c r="I1520" s="1446" t="str">
        <f>IF(D1520=TRUE,Comments!$B$21,"")</f>
        <v/>
      </c>
      <c r="J1520" s="1446"/>
      <c r="K1520" s="1452"/>
      <c r="N1520" s="611" t="str">
        <f>"CPTE # "&amp;Page5_GMC_VE!$E$19&amp;"  "&amp;Page5_GMC_VE!$C$19&amp;" - UNITÉS - AAD"</f>
        <v>CPTE # 415H  NE PAS UTILISER - UNITÉS - AAD</v>
      </c>
      <c r="O1520" s="611" t="str">
        <f t="shared" si="211"/>
        <v/>
      </c>
      <c r="P1520" s="611" t="str">
        <f t="shared" si="204"/>
        <v>Page5_GMC_VE!K</v>
      </c>
      <c r="Q1520" s="611">
        <f t="shared" si="205"/>
        <v>19</v>
      </c>
      <c r="R1520" s="1447">
        <f t="shared" ca="1" si="206"/>
        <v>0</v>
      </c>
      <c r="S1520" s="1447">
        <f t="shared" ca="1" si="207"/>
        <v>0</v>
      </c>
      <c r="V1520" s="2557" t="str">
        <f t="shared" ca="1" si="210"/>
        <v/>
      </c>
      <c r="W1520" s="611" t="str">
        <f t="shared" ca="1" si="208"/>
        <v>Page5_GMC_VE, Ligne 16 [Page5_GMC_VE!K19]  -</v>
      </c>
    </row>
    <row r="1521" spans="1:23">
      <c r="A1521" s="1443" t="str">
        <f>celladdr(Page5_GMC_VE!K20)</f>
        <v>Page5_GMC_VE!K20</v>
      </c>
      <c r="B1521" s="1464" t="s">
        <v>1086</v>
      </c>
      <c r="C1521" s="1451" t="b">
        <f>Page5_GMC_VE!$K$20&lt;0</f>
        <v>0</v>
      </c>
      <c r="D1521" s="1454"/>
      <c r="E1521" s="1454"/>
      <c r="F1521" s="1454"/>
      <c r="G1521" s="1444" t="str">
        <f t="shared" si="203"/>
        <v/>
      </c>
      <c r="H1521" s="1447" t="str">
        <f>IF(C1521=TRUE,Comments!$B$26,"")</f>
        <v/>
      </c>
      <c r="I1521" s="1446"/>
      <c r="J1521" s="1446"/>
      <c r="K1521" s="1452"/>
      <c r="N1521" s="611" t="str">
        <f>"CPTE # "&amp;Page5_GMC_VE!$E$20&amp;"  "&amp;Page5_GMC_VE!$C$20&amp;" - UNITÉS - AAD"</f>
        <v>CPTE # 416H  NE PAS UTILISER - UNITÉS - AAD</v>
      </c>
      <c r="O1521" s="611" t="str">
        <f t="shared" si="211"/>
        <v/>
      </c>
      <c r="P1521" s="611" t="str">
        <f t="shared" si="204"/>
        <v>Page5_GMC_VE!K</v>
      </c>
      <c r="Q1521" s="611">
        <f t="shared" si="205"/>
        <v>20</v>
      </c>
      <c r="R1521" s="1447">
        <f t="shared" ca="1" si="206"/>
        <v>0</v>
      </c>
      <c r="S1521" s="1447">
        <f t="shared" ca="1" si="207"/>
        <v>0</v>
      </c>
      <c r="V1521" s="2557" t="str">
        <f t="shared" ca="1" si="210"/>
        <v/>
      </c>
      <c r="W1521" s="611" t="str">
        <f t="shared" ca="1" si="208"/>
        <v>Page5_GMC_VE, Ligne 17 [Page5_GMC_VE!K20]  -</v>
      </c>
    </row>
    <row r="1522" spans="1:23">
      <c r="A1522" s="1443" t="str">
        <f>celladdr(Page5_GMC_VE!K21)</f>
        <v>Page5_GMC_VE!K21</v>
      </c>
      <c r="B1522" s="1464" t="s">
        <v>1086</v>
      </c>
      <c r="C1522" s="1451" t="b">
        <f>Page5_GMC_VE!$K$21&lt;0</f>
        <v>0</v>
      </c>
      <c r="D1522" s="1454" t="b">
        <f>OR(AND(Page5_GMC_VE!$K21&gt;0,Page5_GMC_VE!$M21=0),AND(Page5_GMC_VE!$M21&lt;&gt;0,Page5_GMC_VE!$K21=0))</f>
        <v>0</v>
      </c>
      <c r="E1522" s="1454"/>
      <c r="F1522" s="1454"/>
      <c r="G1522" s="1444" t="str">
        <f t="shared" si="203"/>
        <v/>
      </c>
      <c r="H1522" s="1447" t="str">
        <f>IF(C1522=TRUE,Comments!$B$26,"")</f>
        <v/>
      </c>
      <c r="I1522" s="1446" t="str">
        <f>IF(D1522=TRUE,Comments!$B$21,"")</f>
        <v/>
      </c>
      <c r="J1522" s="1446"/>
      <c r="K1522" s="1452"/>
      <c r="N1522" s="611" t="str">
        <f>"CPTE # "&amp;Page5_GMC_VE!$E$21&amp;"  "&amp;Page5_GMC_VE!$C$21&amp;" - UNITÉS - AAD"</f>
        <v>CPTE # 417H  NE PAS UTILISER - UNITÉS - AAD</v>
      </c>
      <c r="O1522" s="611" t="str">
        <f t="shared" si="211"/>
        <v/>
      </c>
      <c r="P1522" s="611" t="str">
        <f t="shared" si="204"/>
        <v>Page5_GMC_VE!K</v>
      </c>
      <c r="Q1522" s="611">
        <f t="shared" si="205"/>
        <v>21</v>
      </c>
      <c r="R1522" s="1447">
        <f t="shared" ca="1" si="206"/>
        <v>0</v>
      </c>
      <c r="S1522" s="1447">
        <f t="shared" ca="1" si="207"/>
        <v>0</v>
      </c>
      <c r="V1522" s="2557" t="str">
        <f t="shared" ca="1" si="210"/>
        <v/>
      </c>
      <c r="W1522" s="611" t="str">
        <f t="shared" ca="1" si="208"/>
        <v>Page5_GMC_VE, Ligne 18 [Page5_GMC_VE!K21]  -</v>
      </c>
    </row>
    <row r="1523" spans="1:23">
      <c r="A1523" s="1443" t="str">
        <f>celladdr(Page5_GMC_VE!K22)</f>
        <v>Page5_GMC_VE!K22</v>
      </c>
      <c r="B1523" s="1464" t="s">
        <v>1086</v>
      </c>
      <c r="C1523" s="1451" t="b">
        <f>Page5_GMC_VE!$K$22&lt;0</f>
        <v>0</v>
      </c>
      <c r="D1523" s="1454" t="b">
        <f>OR(AND(Page5_GMC_VE!$K22&gt;0,Page5_GMC_VE!$M22=0),AND(Page5_GMC_VE!$M22&lt;&gt;0,Page5_GMC_VE!$K22=0))</f>
        <v>0</v>
      </c>
      <c r="E1523" s="1454"/>
      <c r="F1523" s="1454"/>
      <c r="G1523" s="1444" t="str">
        <f t="shared" si="203"/>
        <v/>
      </c>
      <c r="H1523" s="1447" t="str">
        <f>IF(C1523=TRUE,Comments!$B$26,"")</f>
        <v/>
      </c>
      <c r="I1523" s="1446" t="str">
        <f>IF(D1523=TRUE,Comments!$B$21,"")</f>
        <v/>
      </c>
      <c r="J1523" s="1446"/>
      <c r="K1523" s="1452"/>
      <c r="N1523" s="611" t="str">
        <f>"CPTE # "&amp;Page5_GMC_VE!$E$22&amp;"  "&amp;Page5_GMC_VE!$C$22&amp;" - UNITÉS - AAD"</f>
        <v>CPTE # 418H  NE PAS UTILISER - UNITÉS - AAD</v>
      </c>
      <c r="O1523" s="611" t="str">
        <f t="shared" si="211"/>
        <v/>
      </c>
      <c r="P1523" s="611" t="str">
        <f t="shared" si="204"/>
        <v>Page5_GMC_VE!K</v>
      </c>
      <c r="Q1523" s="611">
        <f t="shared" si="205"/>
        <v>22</v>
      </c>
      <c r="R1523" s="1447">
        <f t="shared" ca="1" si="206"/>
        <v>0</v>
      </c>
      <c r="S1523" s="1447">
        <f t="shared" ca="1" si="207"/>
        <v>0</v>
      </c>
      <c r="V1523" s="2557" t="str">
        <f t="shared" ca="1" si="210"/>
        <v/>
      </c>
      <c r="W1523" s="611" t="str">
        <f t="shared" ca="1" si="208"/>
        <v>Page5_GMC_VE, Ligne 19 [Page5_GMC_VE!K22]  -</v>
      </c>
    </row>
    <row r="1524" spans="1:23">
      <c r="A1524" s="1443" t="str">
        <f>celladdr(Page5_GMC_VE!K23)</f>
        <v>Page5_GMC_VE!K23</v>
      </c>
      <c r="B1524" s="1444" t="s">
        <v>1086</v>
      </c>
      <c r="C1524" s="1451"/>
      <c r="D1524" s="1454"/>
      <c r="E1524" s="1454"/>
      <c r="F1524" s="1454"/>
      <c r="G1524" s="1444" t="str">
        <f t="shared" si="203"/>
        <v/>
      </c>
      <c r="H1524" s="1447" t="str">
        <f>IF(C1524=TRUE,Comments!$B$26,"")</f>
        <v/>
      </c>
      <c r="I1524" s="1446" t="str">
        <f>IF(D1524=TRUE,Comments!$B$21,"")</f>
        <v/>
      </c>
      <c r="J1524" s="1446"/>
      <c r="K1524" s="1452"/>
      <c r="O1524" s="611" t="str">
        <f t="shared" si="211"/>
        <v/>
      </c>
      <c r="P1524" s="611" t="str">
        <f t="shared" si="204"/>
        <v>Page5_GMC_VE!K</v>
      </c>
      <c r="Q1524" s="611">
        <f t="shared" si="205"/>
        <v>23</v>
      </c>
      <c r="R1524" s="1447">
        <f t="shared" ca="1" si="206"/>
        <v>0</v>
      </c>
      <c r="S1524" s="1447">
        <f t="shared" ca="1" si="207"/>
        <v>0</v>
      </c>
      <c r="V1524" s="2557" t="str">
        <f t="shared" ca="1" si="210"/>
        <v/>
      </c>
      <c r="W1524" s="611" t="str">
        <f t="shared" ca="1" si="208"/>
        <v>Page5_GMC_VE, Ligne 20 [Page5_GMC_VE!K23]  -</v>
      </c>
    </row>
    <row r="1525" spans="1:23">
      <c r="A1525" s="1443" t="str">
        <f>celladdr(Page5_GMC_VE!K24)</f>
        <v>Page5_GMC_VE!K24</v>
      </c>
      <c r="B1525" s="1464" t="s">
        <v>1086</v>
      </c>
      <c r="C1525" s="1451" t="b">
        <f>Page5_GMC_VE!$K$24&lt;0</f>
        <v>0</v>
      </c>
      <c r="D1525" s="1454" t="b">
        <f>OR(AND(Page5_GMC_VE!$K24&gt;0,Page5_GMC_VE!$M24=0),AND(Page5_GMC_VE!$M24&lt;&gt;0,Page5_GMC_VE!$K24=0))</f>
        <v>0</v>
      </c>
      <c r="E1525" s="1454"/>
      <c r="F1525" s="1454"/>
      <c r="G1525" s="1444" t="str">
        <f t="shared" si="203"/>
        <v/>
      </c>
      <c r="H1525" s="1447" t="str">
        <f>IF(C1525=TRUE,Comments!$B$26,"")</f>
        <v/>
      </c>
      <c r="I1525" s="1446" t="str">
        <f>IF(D1525=TRUE,Comments!$B$21,"")</f>
        <v/>
      </c>
      <c r="J1525" s="1446"/>
      <c r="K1525" s="1452"/>
      <c r="N1525" s="611" t="str">
        <f>"CPTE # "&amp;Page5_GMC_VE!$E$24&amp;"  "&amp;Page5_GMC_VE!$C$24&amp;" - UNITÉS - AAD"</f>
        <v>CPTE # 419H  MÉMO* VENTES INTERNET VOITURES - UNITÉS - AAD</v>
      </c>
      <c r="O1525" s="611" t="str">
        <f t="shared" si="211"/>
        <v/>
      </c>
      <c r="P1525" s="611" t="str">
        <f t="shared" si="204"/>
        <v>Page5_GMC_VE!K</v>
      </c>
      <c r="Q1525" s="611">
        <f t="shared" si="205"/>
        <v>24</v>
      </c>
      <c r="R1525" s="1447">
        <f t="shared" ca="1" si="206"/>
        <v>0</v>
      </c>
      <c r="S1525" s="1447">
        <f t="shared" ca="1" si="207"/>
        <v>0</v>
      </c>
      <c r="V1525" s="2557" t="str">
        <f t="shared" ca="1" si="210"/>
        <v/>
      </c>
      <c r="W1525" s="611" t="str">
        <f t="shared" ca="1" si="208"/>
        <v>Page5_GMC_VE, Ligne 21 [Page5_GMC_VE!K24]  -</v>
      </c>
    </row>
    <row r="1526" spans="1:23">
      <c r="A1526" s="1443" t="str">
        <f>celladdr(Page5_GMC_VE!K25)</f>
        <v>Page5_GMC_VE!K25</v>
      </c>
      <c r="B1526" s="1464" t="s">
        <v>1086</v>
      </c>
      <c r="C1526" s="1451" t="b">
        <f>Page5_GMC_VE!$K$25&lt;0</f>
        <v>0</v>
      </c>
      <c r="D1526" s="1454" t="b">
        <f>OR(AND(Page5_GMC_VE!$K25&gt;0,Page5_GMC_VE!$M25=0),AND(Page5_GMC_VE!$M25&lt;&gt;0,Page5_GMC_VE!$K25=0))</f>
        <v>0</v>
      </c>
      <c r="E1526" s="1454"/>
      <c r="F1526" s="1454"/>
      <c r="G1526" s="1444" t="str">
        <f t="shared" si="203"/>
        <v/>
      </c>
      <c r="H1526" s="1447" t="str">
        <f>IF(C1526=TRUE,Comments!$B$26,"")</f>
        <v/>
      </c>
      <c r="I1526" s="1446" t="str">
        <f>IF(D1526=TRUE,Comments!$B$21,"")</f>
        <v/>
      </c>
      <c r="J1526" s="1446"/>
      <c r="K1526" s="1452"/>
      <c r="N1526" s="611" t="str">
        <f>"CPTE # "&amp;Page5_GMC_VE!$E$25&amp;"  "&amp;Page5_GMC_VE!$C$25&amp;" - UNITÉS - AAD"</f>
        <v>CPTE # DE PG PARCS  TOTAL PARCS - VOITURES - UNITÉS - AAD</v>
      </c>
      <c r="O1526" s="611" t="str">
        <f t="shared" si="211"/>
        <v/>
      </c>
      <c r="P1526" s="611" t="str">
        <f t="shared" si="204"/>
        <v>Page5_GMC_VE!K</v>
      </c>
      <c r="Q1526" s="611">
        <f t="shared" si="205"/>
        <v>25</v>
      </c>
      <c r="R1526" s="1447">
        <f t="shared" ca="1" si="206"/>
        <v>0</v>
      </c>
      <c r="S1526" s="1447">
        <f t="shared" ca="1" si="207"/>
        <v>0</v>
      </c>
      <c r="V1526" s="2557" t="str">
        <f t="shared" ca="1" si="210"/>
        <v/>
      </c>
      <c r="W1526" s="611" t="str">
        <f t="shared" ca="1" si="208"/>
        <v>Page5_GMC_VE, Ligne 22 [Page5_GMC_VE!K25]  -</v>
      </c>
    </row>
    <row r="1527" spans="1:23">
      <c r="A1527" s="1443" t="str">
        <f>celladdr(Page5_GMC_VE!K26)</f>
        <v>Page5_GMC_VE!K26</v>
      </c>
      <c r="B1527" s="1464" t="s">
        <v>1086</v>
      </c>
      <c r="C1527" s="1451" t="b">
        <f>Page5_GMC_VE!$K$26&lt;0</f>
        <v>0</v>
      </c>
      <c r="D1527" s="1454" t="b">
        <f>OR(AND(Page5_GMC_VE!$K26&gt;0,Page5_GMC_VE!$M26=0),AND(Page5_GMC_VE!$M26&lt;&gt;0,Page5_GMC_VE!$K26=0))</f>
        <v>0</v>
      </c>
      <c r="E1527" s="1454"/>
      <c r="F1527" s="1454"/>
      <c r="G1527" s="1444" t="str">
        <f t="shared" si="203"/>
        <v/>
      </c>
      <c r="H1527" s="1447" t="str">
        <f>IF(C1527=TRUE,Comments!$B$26,"")</f>
        <v/>
      </c>
      <c r="I1527" s="1446" t="str">
        <f>IF(D1527=TRUE,Comments!$B$21,"")</f>
        <v/>
      </c>
      <c r="J1527" s="1446"/>
      <c r="K1527" s="1452"/>
      <c r="N1527" s="611" t="str">
        <f>"CPTE # "&amp;Page5_GMC_VE!$E$26&amp;"  "&amp;Page5_GMC_VE!$C$26&amp;" - UNITÉS - AAD"</f>
        <v>CPTE # 421H  TOTAL INTERNE - VOITURES - UNITÉS - AAD</v>
      </c>
      <c r="O1527" s="611" t="str">
        <f t="shared" si="211"/>
        <v/>
      </c>
      <c r="P1527" s="611" t="str">
        <f t="shared" si="204"/>
        <v>Page5_GMC_VE!K</v>
      </c>
      <c r="Q1527" s="611">
        <f t="shared" si="205"/>
        <v>26</v>
      </c>
      <c r="R1527" s="1447">
        <f t="shared" ca="1" si="206"/>
        <v>0</v>
      </c>
      <c r="S1527" s="1447">
        <f t="shared" ca="1" si="207"/>
        <v>0</v>
      </c>
      <c r="V1527" s="2557" t="str">
        <f t="shared" ca="1" si="210"/>
        <v/>
      </c>
      <c r="W1527" s="611" t="str">
        <f t="shared" ca="1" si="208"/>
        <v>Page5_GMC_VE, Ligne 23 [Page5_GMC_VE!K26]  -</v>
      </c>
    </row>
    <row r="1528" spans="1:23">
      <c r="A1528" s="1443" t="str">
        <f>celladdr(Page5_GMC_VE!K27)</f>
        <v>Page5_GMC_VE!K27</v>
      </c>
      <c r="B1528" s="1444" t="s">
        <v>1086</v>
      </c>
      <c r="C1528" s="1451"/>
      <c r="D1528" s="1454"/>
      <c r="E1528" s="1454"/>
      <c r="F1528" s="1454"/>
      <c r="G1528" s="1444" t="str">
        <f t="shared" si="203"/>
        <v/>
      </c>
      <c r="H1528" s="1447" t="str">
        <f>IF(C1528=TRUE,Comments!$B$26,"")</f>
        <v/>
      </c>
      <c r="I1528" s="1446" t="str">
        <f>IF(D1528=TRUE,Comments!$B$21,"")</f>
        <v/>
      </c>
      <c r="J1528" s="1446"/>
      <c r="K1528" s="1452"/>
      <c r="O1528" s="611" t="str">
        <f t="shared" si="211"/>
        <v/>
      </c>
      <c r="P1528" s="611" t="str">
        <f t="shared" si="204"/>
        <v>Page5_GMC_VE!K</v>
      </c>
      <c r="Q1528" s="611">
        <f t="shared" si="205"/>
        <v>27</v>
      </c>
      <c r="R1528" s="1447">
        <f t="shared" ca="1" si="206"/>
        <v>0</v>
      </c>
      <c r="S1528" s="1447">
        <f t="shared" ca="1" si="207"/>
        <v>0</v>
      </c>
      <c r="V1528" s="2557" t="str">
        <f t="shared" ca="1" si="210"/>
        <v/>
      </c>
      <c r="W1528" s="611" t="str">
        <f t="shared" ca="1" si="208"/>
        <v>Page5_GMC_VE, Ligne 24 [Page5_GMC_VE!K27]  -</v>
      </c>
    </row>
    <row r="1529" spans="1:23">
      <c r="A1529" s="1443" t="str">
        <f>celladdr(Page5_GMC_VE!K28)</f>
        <v>Page5_GMC_VE!K28</v>
      </c>
      <c r="B1529" s="1464" t="s">
        <v>1086</v>
      </c>
      <c r="C1529" s="1451" t="b">
        <f>Page5_GMC_VE!$K$28&lt;0</f>
        <v>0</v>
      </c>
      <c r="D1529" s="1454" t="b">
        <f>OR(AND(Page5_GMC_VE!$K28&gt;0,Page5_GMC_VE!$M28=0),AND(Page5_GMC_VE!$M28&lt;&gt;0,Page5_GMC_VE!$K28=0))</f>
        <v>0</v>
      </c>
      <c r="E1529" s="1454"/>
      <c r="F1529" s="1454"/>
      <c r="G1529" s="1444" t="str">
        <f t="shared" si="203"/>
        <v/>
      </c>
      <c r="H1529" s="1447" t="str">
        <f>IF(C1529=TRUE,Comments!$B$26,"")</f>
        <v/>
      </c>
      <c r="I1529" s="1446" t="str">
        <f>IF(D1529=TRUE,Comments!$B$21,"")</f>
        <v/>
      </c>
      <c r="J1529" s="1446"/>
      <c r="K1529" s="1452"/>
      <c r="N1529" s="611" t="str">
        <f>"CPTE # "&amp;Page5_GMC_VE!$E$28&amp;"  "&amp;Page5_GMC_VE!$C$28&amp;" - UNITÉS - AAD"</f>
        <v>CPTE # 423H  HUMMER EV SUT - UNITÉS - AAD</v>
      </c>
      <c r="O1529" s="611" t="str">
        <f t="shared" si="211"/>
        <v/>
      </c>
      <c r="P1529" s="611" t="str">
        <f t="shared" si="204"/>
        <v>Page5_GMC_VE!K</v>
      </c>
      <c r="Q1529" s="611">
        <f t="shared" si="205"/>
        <v>28</v>
      </c>
      <c r="R1529" s="1447">
        <f t="shared" ca="1" si="206"/>
        <v>0</v>
      </c>
      <c r="S1529" s="1447">
        <f t="shared" ca="1" si="207"/>
        <v>0</v>
      </c>
      <c r="V1529" s="2557" t="str">
        <f t="shared" ca="1" si="210"/>
        <v/>
      </c>
      <c r="W1529" s="611" t="str">
        <f t="shared" ca="1" si="208"/>
        <v>Page5_GMC_VE, Ligne 25 [Page5_GMC_VE!K28]  -</v>
      </c>
    </row>
    <row r="1530" spans="1:23">
      <c r="A1530" s="1443" t="str">
        <f>celladdr(Page5_GMC_VE!K29)</f>
        <v>Page5_GMC_VE!K29</v>
      </c>
      <c r="B1530" s="1464" t="s">
        <v>1086</v>
      </c>
      <c r="C1530" s="1451" t="b">
        <f>Page5_GMC_VE!$K$29&lt;0</f>
        <v>0</v>
      </c>
      <c r="D1530" s="1454" t="b">
        <f>OR(AND(Page5_GMC_VE!$K29&gt;0,Page5_GMC_VE!$M29=0),AND(Page5_GMC_VE!$M29&lt;&gt;0,Page5_GMC_VE!$K29=0))</f>
        <v>0</v>
      </c>
      <c r="E1530" s="1454"/>
      <c r="F1530" s="1454"/>
      <c r="G1530" s="1444" t="str">
        <f t="shared" si="203"/>
        <v/>
      </c>
      <c r="H1530" s="1447" t="str">
        <f>IF(C1530=TRUE,Comments!$B$26,"")</f>
        <v/>
      </c>
      <c r="I1530" s="1446" t="str">
        <f>IF(D1530=TRUE,Comments!$B$21,"")</f>
        <v/>
      </c>
      <c r="J1530" s="1446"/>
      <c r="K1530" s="1452"/>
      <c r="N1530" s="611" t="str">
        <f>"CPTE # "&amp;Page5_GMC_VE!$E$29&amp;"  "&amp;Page5_GMC_VE!$C$29&amp;" - UNITÉS - AAD"</f>
        <v>CPTE # 424H  HUMMER EV SUV - UNITÉS - AAD</v>
      </c>
      <c r="O1530" s="611" t="str">
        <f t="shared" si="211"/>
        <v/>
      </c>
      <c r="P1530" s="611" t="str">
        <f t="shared" si="204"/>
        <v>Page5_GMC_VE!K</v>
      </c>
      <c r="Q1530" s="611">
        <f t="shared" si="205"/>
        <v>29</v>
      </c>
      <c r="R1530" s="1447">
        <f t="shared" ca="1" si="206"/>
        <v>0</v>
      </c>
      <c r="S1530" s="1447">
        <f t="shared" ca="1" si="207"/>
        <v>0</v>
      </c>
      <c r="V1530" s="2557" t="str">
        <f t="shared" ca="1" si="210"/>
        <v/>
      </c>
      <c r="W1530" s="611" t="str">
        <f t="shared" ca="1" si="208"/>
        <v>Page5_GMC_VE, Ligne 26 [Page5_GMC_VE!K29]  -</v>
      </c>
    </row>
    <row r="1531" spans="1:23">
      <c r="A1531" s="1443" t="str">
        <f>celladdr(Page5_GMC_VE!K30)</f>
        <v>Page5_GMC_VE!K30</v>
      </c>
      <c r="B1531" s="1464" t="s">
        <v>1086</v>
      </c>
      <c r="C1531" s="1451" t="b">
        <f>Page5_GMC_VE!$K$30&lt;0</f>
        <v>0</v>
      </c>
      <c r="D1531" s="1454" t="b">
        <f>OR(AND(Page5_GMC_VE!$K30&gt;0,Page5_GMC_VE!$M30=0),AND(Page5_GMC_VE!$M30&lt;&gt;0,Page5_GMC_VE!$K30=0))</f>
        <v>0</v>
      </c>
      <c r="E1531" s="1454"/>
      <c r="F1531" s="1454"/>
      <c r="G1531" s="1444" t="str">
        <f t="shared" si="203"/>
        <v/>
      </c>
      <c r="H1531" s="1447" t="str">
        <f>IF(C1531=TRUE,Comments!$B$26,"")</f>
        <v/>
      </c>
      <c r="I1531" s="1446" t="str">
        <f>IF(D1531=TRUE,Comments!$B$21,"")</f>
        <v/>
      </c>
      <c r="J1531" s="1446"/>
      <c r="K1531" s="1452"/>
      <c r="N1531" s="611" t="str">
        <f>"CPTE # "&amp;Page5_GMC_VE!$E$30&amp;"  "&amp;Page5_GMC_VE!$C$30&amp;" - UNITÉS - AAD"</f>
        <v>CPTE # 425H  SIERRA EV - UNITÉS - AAD</v>
      </c>
      <c r="O1531" s="611" t="str">
        <f t="shared" si="211"/>
        <v/>
      </c>
      <c r="P1531" s="611" t="str">
        <f t="shared" si="204"/>
        <v>Page5_GMC_VE!K</v>
      </c>
      <c r="Q1531" s="611">
        <f t="shared" si="205"/>
        <v>30</v>
      </c>
      <c r="R1531" s="1447">
        <f t="shared" ca="1" si="206"/>
        <v>0</v>
      </c>
      <c r="S1531" s="1447">
        <f t="shared" ca="1" si="207"/>
        <v>0</v>
      </c>
      <c r="V1531" s="2557" t="str">
        <f t="shared" ca="1" si="210"/>
        <v/>
      </c>
      <c r="W1531" s="611" t="str">
        <f t="shared" ca="1" si="208"/>
        <v>Page5_GMC_VE, Ligne 27 [Page5_GMC_VE!K30]  -</v>
      </c>
    </row>
    <row r="1532" spans="1:23">
      <c r="A1532" s="1443" t="str">
        <f>celladdr(Page5_GMC_VE!K31)</f>
        <v>Page5_GMC_VE!K31</v>
      </c>
      <c r="B1532" s="1464" t="s">
        <v>1086</v>
      </c>
      <c r="C1532" s="1451" t="b">
        <f>Page5_GMC_VE!$K$31&lt;0</f>
        <v>0</v>
      </c>
      <c r="D1532" s="1454" t="b">
        <f>OR(AND(Page5_GMC_VE!$K31&gt;0,Page5_GMC_VE!$M31=0),AND(Page5_GMC_VE!$M31&lt;&gt;0,Page5_GMC_VE!$K31=0))</f>
        <v>0</v>
      </c>
      <c r="E1532" s="1454"/>
      <c r="F1532" s="1454"/>
      <c r="G1532" s="1444" t="str">
        <f t="shared" si="203"/>
        <v/>
      </c>
      <c r="H1532" s="1447" t="str">
        <f>IF(C1532=TRUE,Comments!$B$26,"")</f>
        <v/>
      </c>
      <c r="I1532" s="1446" t="str">
        <f>IF(D1532=TRUE,Comments!$B$21,"")</f>
        <v/>
      </c>
      <c r="J1532" s="1446"/>
      <c r="K1532" s="1452"/>
      <c r="N1532" s="611" t="str">
        <f>"CPTE # "&amp;Page5_GMC_VE!$E$31&amp;"  "&amp;Page5_GMC_VE!$C$31&amp;" - UNITÉS - AAD"</f>
        <v>CPTE # 426H  NE PAS UTILISER - UNITÉS - AAD</v>
      </c>
      <c r="O1532" s="611" t="str">
        <f t="shared" si="211"/>
        <v/>
      </c>
      <c r="P1532" s="611" t="str">
        <f t="shared" si="204"/>
        <v>Page5_GMC_VE!K</v>
      </c>
      <c r="Q1532" s="611">
        <f t="shared" si="205"/>
        <v>31</v>
      </c>
      <c r="R1532" s="1447">
        <f t="shared" ca="1" si="206"/>
        <v>0</v>
      </c>
      <c r="S1532" s="1447">
        <f t="shared" ca="1" si="207"/>
        <v>0</v>
      </c>
      <c r="V1532" s="2557" t="str">
        <f t="shared" ca="1" si="210"/>
        <v/>
      </c>
      <c r="W1532" s="611" t="str">
        <f t="shared" ca="1" si="208"/>
        <v>Page5_GMC_VE, Ligne 28 [Page5_GMC_VE!K31]  -</v>
      </c>
    </row>
    <row r="1533" spans="1:23">
      <c r="A1533" s="1443" t="str">
        <f>celladdr(Page5_GMC_VE!K32)</f>
        <v>Page5_GMC_VE!K32</v>
      </c>
      <c r="B1533" s="1464" t="s">
        <v>1086</v>
      </c>
      <c r="C1533" s="1451" t="b">
        <f>Page5_GMC_VE!$K$32&lt;0</f>
        <v>0</v>
      </c>
      <c r="D1533" s="1454" t="b">
        <f>OR(AND(Page5_GMC_VE!$K32&gt;0,Page5_GMC_VE!$M32=0),AND(Page5_GMC_VE!$M32&lt;&gt;0,Page5_GMC_VE!$K32=0))</f>
        <v>0</v>
      </c>
      <c r="E1533" s="1454"/>
      <c r="F1533" s="1454"/>
      <c r="G1533" s="1444" t="str">
        <f t="shared" si="203"/>
        <v/>
      </c>
      <c r="H1533" s="1447" t="str">
        <f>IF(C1533=TRUE,Comments!$B$26,"")</f>
        <v/>
      </c>
      <c r="I1533" s="1446" t="str">
        <f>IF(D1533=TRUE,Comments!$B$21,"")</f>
        <v/>
      </c>
      <c r="J1533" s="1446"/>
      <c r="K1533" s="1452"/>
      <c r="N1533" s="611" t="str">
        <f>"CPTE # "&amp;Page5_GMC_VE!$E$32&amp;"  "&amp;Page5_GMC_VE!$C$32&amp;" - UNITÉS - AAD"</f>
        <v>CPTE # 427H  NE PAS UTILISER - UNITÉS - AAD</v>
      </c>
      <c r="O1533" s="611" t="str">
        <f t="shared" si="211"/>
        <v/>
      </c>
      <c r="P1533" s="611" t="str">
        <f t="shared" si="204"/>
        <v>Page5_GMC_VE!K</v>
      </c>
      <c r="Q1533" s="611">
        <f t="shared" si="205"/>
        <v>32</v>
      </c>
      <c r="R1533" s="1447">
        <f t="shared" ca="1" si="206"/>
        <v>0</v>
      </c>
      <c r="S1533" s="1447">
        <f t="shared" ca="1" si="207"/>
        <v>0</v>
      </c>
      <c r="V1533" s="2557" t="str">
        <f t="shared" ca="1" si="210"/>
        <v/>
      </c>
      <c r="W1533" s="611" t="str">
        <f t="shared" ca="1" si="208"/>
        <v>Page5_GMC_VE, Ligne 29 [Page5_GMC_VE!K32]  -</v>
      </c>
    </row>
    <row r="1534" spans="1:23">
      <c r="A1534" s="1443" t="str">
        <f>celladdr(Page5_GMC_VE!K33)</f>
        <v>Page5_GMC_VE!K33</v>
      </c>
      <c r="B1534" s="1464" t="s">
        <v>1086</v>
      </c>
      <c r="C1534" s="1451" t="b">
        <f>Page5_GMC_VE!$K$33&lt;0</f>
        <v>0</v>
      </c>
      <c r="D1534" s="1454" t="b">
        <f>OR(AND(Page5_GMC_VE!$K33&gt;0,Page5_GMC_VE!$M33=0),AND(Page5_GMC_VE!$M33&lt;&gt;0,Page5_GMC_VE!$K33=0))</f>
        <v>0</v>
      </c>
      <c r="E1534" s="1454"/>
      <c r="F1534" s="1454"/>
      <c r="G1534" s="1444" t="str">
        <f t="shared" si="203"/>
        <v/>
      </c>
      <c r="H1534" s="1447" t="str">
        <f>IF(C1534=TRUE,Comments!$B$26,"")</f>
        <v/>
      </c>
      <c r="I1534" s="1446" t="str">
        <f>IF(D1534=TRUE,Comments!$B$21,"")</f>
        <v/>
      </c>
      <c r="J1534" s="1446"/>
      <c r="K1534" s="1452"/>
      <c r="N1534" s="611" t="str">
        <f>"CPTE # "&amp;Page5_GMC_VE!$E$33&amp;"  "&amp;Page5_GMC_VE!$C$33&amp;" - UNITÉS - AAD"</f>
        <v>CPTE # 428H  NE PAS UTILISER - UNITÉS - AAD</v>
      </c>
      <c r="O1534" s="611" t="str">
        <f t="shared" si="211"/>
        <v/>
      </c>
      <c r="P1534" s="611" t="str">
        <f t="shared" si="204"/>
        <v>Page5_GMC_VE!K</v>
      </c>
      <c r="Q1534" s="611">
        <f t="shared" si="205"/>
        <v>33</v>
      </c>
      <c r="R1534" s="1447">
        <f t="shared" ca="1" si="206"/>
        <v>0</v>
      </c>
      <c r="S1534" s="1447">
        <f t="shared" ca="1" si="207"/>
        <v>0</v>
      </c>
      <c r="V1534" s="2557" t="str">
        <f t="shared" ca="1" si="210"/>
        <v/>
      </c>
      <c r="W1534" s="611" t="str">
        <f t="shared" ca="1" si="208"/>
        <v>Page5_GMC_VE, Ligne 30 [Page5_GMC_VE!K33]  -</v>
      </c>
    </row>
    <row r="1535" spans="1:23">
      <c r="A1535" s="1443" t="str">
        <f>celladdr(Page5_GMC_VE!K34)</f>
        <v>Page5_GMC_VE!K34</v>
      </c>
      <c r="B1535" s="1464" t="s">
        <v>1086</v>
      </c>
      <c r="C1535" s="1451" t="b">
        <f>Page5_GMC_VE!$K$34&lt;0</f>
        <v>0</v>
      </c>
      <c r="D1535" s="1454" t="b">
        <f>OR(AND(Page5_GMC_VE!$K34&gt;0,Page5_GMC_VE!$M34=0),AND(Page5_GMC_VE!$M34&lt;&gt;0,Page5_GMC_VE!$K34=0))</f>
        <v>0</v>
      </c>
      <c r="E1535" s="1454"/>
      <c r="F1535" s="1454"/>
      <c r="G1535" s="1444" t="str">
        <f t="shared" si="203"/>
        <v/>
      </c>
      <c r="H1535" s="1447" t="str">
        <f>IF(C1535=TRUE,Comments!$B$26,"")</f>
        <v/>
      </c>
      <c r="I1535" s="1446" t="str">
        <f>IF(D1535=TRUE,Comments!$B$21,"")</f>
        <v/>
      </c>
      <c r="J1535" s="1446"/>
      <c r="K1535" s="1452"/>
      <c r="N1535" s="611" t="str">
        <f>"CPTE # "&amp;Page5_GMC_VE!$E$34&amp;"  "&amp;Page5_GMC_VE!$C$34&amp;" - UNITÉS - AAD"</f>
        <v>CPTE # 429H  NE PAS UTILISER - UNITÉS - AAD</v>
      </c>
      <c r="O1535" s="611" t="str">
        <f t="shared" si="211"/>
        <v/>
      </c>
      <c r="P1535" s="611" t="str">
        <f t="shared" si="204"/>
        <v>Page5_GMC_VE!K</v>
      </c>
      <c r="Q1535" s="611">
        <f t="shared" si="205"/>
        <v>34</v>
      </c>
      <c r="R1535" s="1447">
        <f t="shared" ca="1" si="206"/>
        <v>0</v>
      </c>
      <c r="S1535" s="1447">
        <f t="shared" ca="1" si="207"/>
        <v>0</v>
      </c>
      <c r="V1535" s="2557" t="str">
        <f t="shared" ca="1" si="210"/>
        <v/>
      </c>
      <c r="W1535" s="611" t="str">
        <f t="shared" ca="1" si="208"/>
        <v>Page5_GMC_VE, Ligne 31 [Page5_GMC_VE!K34]  -</v>
      </c>
    </row>
    <row r="1536" spans="1:23">
      <c r="A1536" s="1443" t="str">
        <f>celladdr(Page5_GMC_VE!K35)</f>
        <v>Page5_GMC_VE!K35</v>
      </c>
      <c r="B1536" s="1464" t="s">
        <v>1086</v>
      </c>
      <c r="C1536" s="1451" t="b">
        <f>Page5_GMC_VE!$K$35&lt;0</f>
        <v>0</v>
      </c>
      <c r="D1536" s="1454" t="b">
        <f>OR(AND(Page5_GMC_VE!$K35&gt;0,Page5_GMC_VE!$M35=0),AND(Page5_GMC_VE!$M35&lt;&gt;0,Page5_GMC_VE!$K35=0))</f>
        <v>0</v>
      </c>
      <c r="E1536" s="1454"/>
      <c r="F1536" s="1454"/>
      <c r="G1536" s="1444" t="str">
        <f t="shared" si="203"/>
        <v/>
      </c>
      <c r="H1536" s="1447" t="str">
        <f>IF(C1536=TRUE,Comments!$B$26,"")</f>
        <v/>
      </c>
      <c r="I1536" s="1446" t="str">
        <f>IF(D1536=TRUE,Comments!$B$21,"")</f>
        <v/>
      </c>
      <c r="J1536" s="1446"/>
      <c r="K1536" s="1452"/>
      <c r="N1536" s="611" t="str">
        <f>"CPTE # "&amp;Page5_GMC_VE!$E$35&amp;"  "&amp;Page5_GMC_VE!$C$35&amp;" - UNITÉS - AAD"</f>
        <v>CPTE # 430H  NE PAS UTILISER - UNITÉS - AAD</v>
      </c>
      <c r="O1536" s="611" t="str">
        <f t="shared" si="211"/>
        <v/>
      </c>
      <c r="P1536" s="611" t="str">
        <f t="shared" si="204"/>
        <v>Page5_GMC_VE!K</v>
      </c>
      <c r="Q1536" s="611">
        <f t="shared" si="205"/>
        <v>35</v>
      </c>
      <c r="R1536" s="1447">
        <f t="shared" ca="1" si="206"/>
        <v>0</v>
      </c>
      <c r="S1536" s="1447">
        <f t="shared" ca="1" si="207"/>
        <v>0</v>
      </c>
      <c r="V1536" s="2557" t="str">
        <f t="shared" ca="1" si="210"/>
        <v/>
      </c>
      <c r="W1536" s="611" t="str">
        <f t="shared" ca="1" si="208"/>
        <v>Page5_GMC_VE, Ligne 32 [Page5_GMC_VE!K35]  -</v>
      </c>
    </row>
    <row r="1537" spans="1:23">
      <c r="A1537" s="1443" t="str">
        <f>celladdr(Page5_GMC_VE!K36)</f>
        <v>Page5_GMC_VE!K36</v>
      </c>
      <c r="B1537" s="1464" t="s">
        <v>1086</v>
      </c>
      <c r="C1537" s="1451" t="b">
        <f>Page5_GMC_VE!$K$36&lt;0</f>
        <v>0</v>
      </c>
      <c r="D1537" s="1454" t="b">
        <f>OR(AND(Page5_GMC_VE!$K36&gt;0,Page5_GMC_VE!$M36=0),AND(Page5_GMC_VE!$M36&lt;&gt;0,Page5_GMC_VE!$K36=0))</f>
        <v>0</v>
      </c>
      <c r="E1537" s="1454"/>
      <c r="F1537" s="1454"/>
      <c r="G1537" s="1444" t="str">
        <f t="shared" si="203"/>
        <v/>
      </c>
      <c r="H1537" s="1447" t="str">
        <f>IF(C1537=TRUE,Comments!$B$26,"")</f>
        <v/>
      </c>
      <c r="I1537" s="1446" t="str">
        <f>IF(D1537=TRUE,Comments!$B$21,"")</f>
        <v/>
      </c>
      <c r="J1537" s="1446"/>
      <c r="K1537" s="1452"/>
      <c r="N1537" s="611" t="str">
        <f>"CPTE # "&amp;Page5_GMC_VE!$E$36&amp;"  "&amp;Page5_GMC_VE!$C$36&amp;" - UNITÉS - AAD"</f>
        <v>CPTE # 431H  NE PAS UTILISER - UNITÉS - AAD</v>
      </c>
      <c r="O1537" s="611" t="str">
        <f t="shared" si="211"/>
        <v/>
      </c>
      <c r="P1537" s="611" t="str">
        <f t="shared" si="204"/>
        <v>Page5_GMC_VE!K</v>
      </c>
      <c r="Q1537" s="611">
        <f t="shared" si="205"/>
        <v>36</v>
      </c>
      <c r="R1537" s="1447">
        <f t="shared" ca="1" si="206"/>
        <v>0</v>
      </c>
      <c r="S1537" s="1447">
        <f t="shared" ca="1" si="207"/>
        <v>0</v>
      </c>
      <c r="V1537" s="2557" t="str">
        <f t="shared" ca="1" si="210"/>
        <v/>
      </c>
      <c r="W1537" s="611" t="str">
        <f t="shared" ca="1" si="208"/>
        <v>Page5_GMC_VE, Ligne 33 [Page5_GMC_VE!K36]  -</v>
      </c>
    </row>
    <row r="1538" spans="1:23">
      <c r="A1538" s="1443" t="str">
        <f>celladdr(Page5_GMC_VE!K37)</f>
        <v>Page5_GMC_VE!K37</v>
      </c>
      <c r="B1538" s="1464" t="s">
        <v>1086</v>
      </c>
      <c r="C1538" s="1451" t="b">
        <f>Page5_GMC_VE!$K$37&lt;0</f>
        <v>0</v>
      </c>
      <c r="D1538" s="1454" t="b">
        <f>OR(AND(Page5_GMC_VE!$K37&gt;0,Page5_GMC_VE!$M37=0),AND(Page5_GMC_VE!$M37&lt;&gt;0,Page5_GMC_VE!$K37=0))</f>
        <v>0</v>
      </c>
      <c r="E1538" s="1454"/>
      <c r="F1538" s="1454"/>
      <c r="G1538" s="1444" t="str">
        <f t="shared" ref="G1538:G1601" si="212">IF(H1538&amp;I1538&amp;J1538&amp;K1538&lt;&gt;"","No.de ref. du commentaire.: "&amp;W1538&amp;" "&amp;N1538&amp;" "&amp;H1538&amp;I1538&amp;IF(OR(C1538=TRUE,D1538=TRUE),"",J1538&amp;K1538&amp;V1538),"")</f>
        <v/>
      </c>
      <c r="H1538" s="1447" t="str">
        <f>IF(C1538=TRUE,Comments!$B$26,"")</f>
        <v/>
      </c>
      <c r="I1538" s="1446" t="str">
        <f>IF(D1538=TRUE,Comments!$B$21,"")</f>
        <v/>
      </c>
      <c r="J1538" s="1446"/>
      <c r="K1538" s="1452"/>
      <c r="N1538" s="611" t="str">
        <f>"CPTE # "&amp;Page5_GMC_VE!$E$37&amp;"  "&amp;Page5_GMC_VE!$C$37&amp;" - UNITÉS - AAD"</f>
        <v>CPTE # 432H  NE PAS UTILISER - UNITÉS - AAD</v>
      </c>
      <c r="O1538" s="611" t="str">
        <f t="shared" si="211"/>
        <v/>
      </c>
      <c r="P1538" s="611" t="str">
        <f t="shared" ref="P1538:P1601" si="213">LEFT(A1538,FIND("!",A1538)+1)</f>
        <v>Page5_GMC_VE!K</v>
      </c>
      <c r="Q1538" s="611">
        <f t="shared" ref="Q1538:Q1601" si="214">VALUE(RIGHT(A1538,LEN(A1538)-FIND("!",A1538)-1))</f>
        <v>37</v>
      </c>
      <c r="R1538" s="1447">
        <f t="shared" ref="R1538:R1601" ca="1" si="215">IF(E1538=TRUE,INDIRECT("Comments!$D$"&amp;T1538),0)</f>
        <v>0</v>
      </c>
      <c r="S1538" s="1447">
        <f t="shared" ref="S1538:S1601" ca="1" si="216">IF(F1538=TRUE,INDIRECT("Comments!$D$"&amp;U1538),0)</f>
        <v>0</v>
      </c>
      <c r="V1538" s="2557" t="str">
        <f t="shared" ca="1" si="210"/>
        <v/>
      </c>
      <c r="W1538" s="611" t="str">
        <f t="shared" ref="W1538:W1601" ca="1" si="217">LEFT(A1538,FIND("!",A1538,1)-1)&amp;", Ligne "&amp;INDIRECT(ADDRESS(ROW(INDIRECT(A1538)),IF(INDIRECT(ADDRESS(ROW(INDIRECT(A1538)),1,,,LEFT(A1538,FIND("!",A1538,1)-1)))="",2,1),,,LEFT(A1538,FIND("!",A1538,1)-1)))&amp;" ["&amp;A1538&amp;"] "&amp;" -"</f>
        <v>Page5_GMC_VE, Ligne 34 [Page5_GMC_VE!K37]  -</v>
      </c>
    </row>
    <row r="1539" spans="1:23">
      <c r="A1539" s="1443" t="str">
        <f>celladdr(Page5_GMC_VE!K38)</f>
        <v>Page5_GMC_VE!K38</v>
      </c>
      <c r="B1539" s="1464" t="s">
        <v>1086</v>
      </c>
      <c r="C1539" s="1451" t="b">
        <f>Page5_GMC_VE!$K$38&lt;0</f>
        <v>0</v>
      </c>
      <c r="D1539" s="1454" t="b">
        <f>OR(AND(Page5_GMC_VE!$K38&gt;0,Page5_GMC_VE!$M38=0),AND(Page5_GMC_VE!$M38&lt;&gt;0,Page5_GMC_VE!$K38=0))</f>
        <v>0</v>
      </c>
      <c r="E1539" s="1454"/>
      <c r="F1539" s="1454"/>
      <c r="G1539" s="1444" t="str">
        <f t="shared" si="212"/>
        <v/>
      </c>
      <c r="H1539" s="1447" t="str">
        <f>IF(C1539=TRUE,Comments!$B$26,"")</f>
        <v/>
      </c>
      <c r="I1539" s="1446" t="str">
        <f>IF(D1539=TRUE,Comments!$B$21,"")</f>
        <v/>
      </c>
      <c r="J1539" s="1446"/>
      <c r="K1539" s="1452"/>
      <c r="N1539" s="611" t="str">
        <f>"CPTE # "&amp;Page5_GMC_VE!$E$38&amp;"  "&amp;Page5_GMC_VE!$C$38&amp;" - UNITÉS - AAD"</f>
        <v>CPTE # 433H  NE PAS UTILISER - UNITÉS - AAD</v>
      </c>
      <c r="O1539" s="611" t="str">
        <f t="shared" si="211"/>
        <v/>
      </c>
      <c r="P1539" s="611" t="str">
        <f t="shared" si="213"/>
        <v>Page5_GMC_VE!K</v>
      </c>
      <c r="Q1539" s="611">
        <f t="shared" si="214"/>
        <v>38</v>
      </c>
      <c r="R1539" s="1447">
        <f t="shared" ca="1" si="215"/>
        <v>0</v>
      </c>
      <c r="S1539" s="1447">
        <f t="shared" ca="1" si="216"/>
        <v>0</v>
      </c>
      <c r="V1539" s="2557" t="str">
        <f t="shared" ca="1" si="210"/>
        <v/>
      </c>
      <c r="W1539" s="611" t="str">
        <f t="shared" ca="1" si="217"/>
        <v>Page5_GMC_VE, Ligne 35 [Page5_GMC_VE!K38]  -</v>
      </c>
    </row>
    <row r="1540" spans="1:23">
      <c r="A1540" s="1443" t="str">
        <f>celladdr(Page5_GMC_VE!K39)</f>
        <v>Page5_GMC_VE!K39</v>
      </c>
      <c r="B1540" s="1464" t="s">
        <v>1086</v>
      </c>
      <c r="C1540" s="1451" t="b">
        <f>Page5_GMC_VE!$K$39&lt;0</f>
        <v>0</v>
      </c>
      <c r="D1540" s="1454" t="b">
        <f>OR(AND(Page5_GMC_VE!$K39&gt;0,Page5_GMC_VE!$M39=0),AND(Page5_GMC_VE!$M39&lt;&gt;0,Page5_GMC_VE!$K39=0))</f>
        <v>0</v>
      </c>
      <c r="E1540" s="1454"/>
      <c r="F1540" s="1454"/>
      <c r="G1540" s="1444" t="str">
        <f t="shared" si="212"/>
        <v/>
      </c>
      <c r="H1540" s="1447" t="str">
        <f>IF(C1540=TRUE,Comments!$B$26,"")</f>
        <v/>
      </c>
      <c r="I1540" s="1446" t="str">
        <f>IF(D1540=TRUE,Comments!$B$21,"")</f>
        <v/>
      </c>
      <c r="J1540" s="1446"/>
      <c r="K1540" s="1452"/>
      <c r="N1540" s="611" t="str">
        <f>"CPTE # "&amp;Page5_GMC_VE!$E$39&amp;"  "&amp;Page5_GMC_VE!$C$39&amp;" - UNITÉS - AAD"</f>
        <v>CPTE # 434H  NE PAS UTILISER - UNITÉS - AAD</v>
      </c>
      <c r="O1540" s="611" t="str">
        <f t="shared" si="211"/>
        <v/>
      </c>
      <c r="P1540" s="611" t="str">
        <f t="shared" si="213"/>
        <v>Page5_GMC_VE!K</v>
      </c>
      <c r="Q1540" s="611">
        <f t="shared" si="214"/>
        <v>39</v>
      </c>
      <c r="R1540" s="1447">
        <f t="shared" ca="1" si="215"/>
        <v>0</v>
      </c>
      <c r="S1540" s="1447">
        <f t="shared" ca="1" si="216"/>
        <v>0</v>
      </c>
      <c r="V1540" s="2557" t="str">
        <f t="shared" ca="1" si="210"/>
        <v/>
      </c>
      <c r="W1540" s="611" t="str">
        <f t="shared" ca="1" si="217"/>
        <v>Page5_GMC_VE, Ligne 36 [Page5_GMC_VE!K39]  -</v>
      </c>
    </row>
    <row r="1541" spans="1:23">
      <c r="A1541" s="1443" t="str">
        <f>celladdr(Page5_GMC_VE!K40)</f>
        <v>Page5_GMC_VE!K40</v>
      </c>
      <c r="B1541" s="1464" t="s">
        <v>1086</v>
      </c>
      <c r="C1541" s="1451" t="b">
        <f>Page5_GMC_VE!$K$40&lt;0</f>
        <v>0</v>
      </c>
      <c r="D1541" s="1454" t="b">
        <f>OR(AND(Page5_GMC_VE!$K40&gt;0,Page5_GMC_VE!$M40=0),AND(Page5_GMC_VE!$M40&lt;&gt;0,Page5_GMC_VE!$K40=0))</f>
        <v>0</v>
      </c>
      <c r="E1541" s="1454"/>
      <c r="F1541" s="1454"/>
      <c r="G1541" s="1444" t="str">
        <f t="shared" si="212"/>
        <v/>
      </c>
      <c r="H1541" s="1447" t="str">
        <f>IF(C1541=TRUE,Comments!$B$26,"")</f>
        <v/>
      </c>
      <c r="I1541" s="1446" t="str">
        <f>IF(D1541=TRUE,Comments!$B$21,"")</f>
        <v/>
      </c>
      <c r="J1541" s="1446"/>
      <c r="K1541" s="1452"/>
      <c r="N1541" s="611" t="str">
        <f>"CPTE # "&amp;Page5_GMC_VE!$E$40&amp;"  "&amp;Page5_GMC_VE!$C$40&amp;" - UNITÉS - AAD"</f>
        <v>CPTE # 435H  NE PAS UTILISER - UNITÉS - AAD</v>
      </c>
      <c r="O1541" s="611" t="str">
        <f t="shared" si="211"/>
        <v/>
      </c>
      <c r="P1541" s="611" t="str">
        <f t="shared" si="213"/>
        <v>Page5_GMC_VE!K</v>
      </c>
      <c r="Q1541" s="611">
        <f t="shared" si="214"/>
        <v>40</v>
      </c>
      <c r="R1541" s="1447">
        <f t="shared" ca="1" si="215"/>
        <v>0</v>
      </c>
      <c r="S1541" s="1447">
        <f t="shared" ca="1" si="216"/>
        <v>0</v>
      </c>
      <c r="V1541" s="2557" t="str">
        <f t="shared" ca="1" si="210"/>
        <v/>
      </c>
      <c r="W1541" s="611" t="str">
        <f t="shared" ca="1" si="217"/>
        <v>Page5_GMC_VE, Ligne 37 [Page5_GMC_VE!K40]  -</v>
      </c>
    </row>
    <row r="1542" spans="1:23">
      <c r="A1542" s="1443" t="str">
        <f>celladdr(Page5_GMC_VE!K41)</f>
        <v>Page5_GMC_VE!K41</v>
      </c>
      <c r="B1542" s="1464" t="s">
        <v>1086</v>
      </c>
      <c r="C1542" s="1451" t="b">
        <f>Page5_GMC_VE!$K$41&lt;0</f>
        <v>0</v>
      </c>
      <c r="D1542" s="1454" t="b">
        <f>OR(AND(Page5_GMC_VE!$K41&gt;0,Page5_GMC_VE!$M41=0),AND(Page5_GMC_VE!$M41&lt;&gt;0,Page5_GMC_VE!$K41=0))</f>
        <v>0</v>
      </c>
      <c r="E1542" s="1454"/>
      <c r="F1542" s="1454"/>
      <c r="G1542" s="1444" t="str">
        <f t="shared" si="212"/>
        <v/>
      </c>
      <c r="H1542" s="1447" t="str">
        <f>IF(C1542=TRUE,Comments!$B$26,"")</f>
        <v/>
      </c>
      <c r="I1542" s="1446" t="str">
        <f>IF(D1542=TRUE,Comments!$B$21,"")</f>
        <v/>
      </c>
      <c r="J1542" s="1446"/>
      <c r="K1542" s="1452"/>
      <c r="N1542" s="611" t="str">
        <f>"CPTE # "&amp;Page5_GMC_VE!$E$41&amp;"  "&amp;Page5_GMC_VE!$C$41&amp;" - UNITÉS - AAD"</f>
        <v>CPTE # 436H  NE PAS UTILISER - UNITÉS - AAD</v>
      </c>
      <c r="O1542" s="611" t="str">
        <f t="shared" si="211"/>
        <v/>
      </c>
      <c r="P1542" s="611" t="str">
        <f t="shared" si="213"/>
        <v>Page5_GMC_VE!K</v>
      </c>
      <c r="Q1542" s="611">
        <f t="shared" si="214"/>
        <v>41</v>
      </c>
      <c r="R1542" s="1447">
        <f t="shared" ca="1" si="215"/>
        <v>0</v>
      </c>
      <c r="S1542" s="1447">
        <f t="shared" ca="1" si="216"/>
        <v>0</v>
      </c>
      <c r="V1542" s="2557" t="str">
        <f t="shared" ca="1" si="210"/>
        <v/>
      </c>
      <c r="W1542" s="611" t="str">
        <f t="shared" ca="1" si="217"/>
        <v>Page5_GMC_VE, Ligne 38 [Page5_GMC_VE!K41]  -</v>
      </c>
    </row>
    <row r="1543" spans="1:23">
      <c r="A1543" s="1443" t="str">
        <f>celladdr(Page5_GMC_VE!K42)</f>
        <v>Page5_GMC_VE!K42</v>
      </c>
      <c r="B1543" s="1464" t="s">
        <v>1086</v>
      </c>
      <c r="C1543" s="1451" t="b">
        <f>Page5_GMC_VE!$K$42&lt;0</f>
        <v>0</v>
      </c>
      <c r="D1543" s="1454"/>
      <c r="E1543" s="1454"/>
      <c r="F1543" s="1454"/>
      <c r="G1543" s="1444" t="str">
        <f t="shared" si="212"/>
        <v/>
      </c>
      <c r="H1543" s="1447" t="str">
        <f>IF(C1543=TRUE,Comments!$B$26,"")</f>
        <v/>
      </c>
      <c r="I1543" s="1446"/>
      <c r="J1543" s="1446"/>
      <c r="K1543" s="1452"/>
      <c r="N1543" s="611" t="str">
        <f>"CPTE # "&amp;Page5_GMC_VE!$E$42&amp;"  "&amp;Page5_GMC_VE!$C$42&amp;" - UNITÉS - AAD"</f>
        <v>CPTE # 437H  NE PAS UTILISER - UNITÉS - AAD</v>
      </c>
      <c r="O1543" s="611" t="str">
        <f t="shared" si="211"/>
        <v/>
      </c>
      <c r="P1543" s="611" t="str">
        <f t="shared" si="213"/>
        <v>Page5_GMC_VE!K</v>
      </c>
      <c r="Q1543" s="611">
        <f t="shared" si="214"/>
        <v>42</v>
      </c>
      <c r="R1543" s="1447">
        <f t="shared" ca="1" si="215"/>
        <v>0</v>
      </c>
      <c r="S1543" s="1447">
        <f t="shared" ca="1" si="216"/>
        <v>0</v>
      </c>
      <c r="V1543" s="2557" t="str">
        <f t="shared" ca="1" si="210"/>
        <v/>
      </c>
      <c r="W1543" s="611" t="str">
        <f t="shared" ca="1" si="217"/>
        <v>Page5_GMC_VE, Ligne 39 [Page5_GMC_VE!K42]  -</v>
      </c>
    </row>
    <row r="1544" spans="1:23">
      <c r="A1544" s="1443" t="str">
        <f>celladdr(Page5_GMC_VE!K43)</f>
        <v>Page5_GMC_VE!K43</v>
      </c>
      <c r="B1544" s="1464" t="s">
        <v>1086</v>
      </c>
      <c r="C1544" s="1451" t="b">
        <f>Page5_GMC_VE!$K$43&lt;0</f>
        <v>0</v>
      </c>
      <c r="D1544" s="1454" t="b">
        <f>OR(AND(Page5_GMC_VE!$K43&gt;0,Page5_GMC_VE!$M43=0),AND(Page5_GMC_VE!$M43&lt;&gt;0,Page5_GMC_VE!$K43=0))</f>
        <v>0</v>
      </c>
      <c r="E1544" s="1454"/>
      <c r="F1544" s="1454"/>
      <c r="G1544" s="1444" t="str">
        <f t="shared" si="212"/>
        <v/>
      </c>
      <c r="H1544" s="1447" t="str">
        <f>IF(C1544=TRUE,Comments!$B$26,"")</f>
        <v/>
      </c>
      <c r="I1544" s="1446" t="str">
        <f>IF(D1544=TRUE,Comments!$B$21,"")</f>
        <v/>
      </c>
      <c r="J1544" s="1446"/>
      <c r="K1544" s="1452"/>
      <c r="N1544" s="611" t="str">
        <f>"CPTE # "&amp;Page5_GMC_VE!$E$43&amp;"  "&amp;Page5_GMC_VE!$C$43&amp;" - UNITÉS - AAD"</f>
        <v>CPTE # 438H  NE PAS UTILISER - UNITÉS - AAD</v>
      </c>
      <c r="O1544" s="611" t="str">
        <f t="shared" si="211"/>
        <v/>
      </c>
      <c r="P1544" s="611" t="str">
        <f t="shared" si="213"/>
        <v>Page5_GMC_VE!K</v>
      </c>
      <c r="Q1544" s="611">
        <f t="shared" si="214"/>
        <v>43</v>
      </c>
      <c r="R1544" s="1447">
        <f t="shared" ca="1" si="215"/>
        <v>0</v>
      </c>
      <c r="S1544" s="1447">
        <f t="shared" ca="1" si="216"/>
        <v>0</v>
      </c>
      <c r="V1544" s="2557" t="str">
        <f t="shared" ca="1" si="210"/>
        <v/>
      </c>
      <c r="W1544" s="611" t="str">
        <f t="shared" ca="1" si="217"/>
        <v>Page5_GMC_VE, Ligne 40 [Page5_GMC_VE!K43]  -</v>
      </c>
    </row>
    <row r="1545" spans="1:23">
      <c r="A1545" s="1443" t="str">
        <f>celladdr(Page5_GMC_VE!K44)</f>
        <v>Page5_GMC_VE!K44</v>
      </c>
      <c r="B1545" s="1444" t="s">
        <v>1086</v>
      </c>
      <c r="C1545" s="1451"/>
      <c r="D1545" s="1454"/>
      <c r="E1545" s="1454"/>
      <c r="F1545" s="1454"/>
      <c r="G1545" s="1444" t="str">
        <f t="shared" si="212"/>
        <v/>
      </c>
      <c r="H1545" s="1447" t="str">
        <f>IF(C1545=TRUE,Comments!$B$26,"")</f>
        <v/>
      </c>
      <c r="I1545" s="1446" t="str">
        <f>IF(D1545=TRUE,Comments!$B$21,"")</f>
        <v/>
      </c>
      <c r="J1545" s="1446"/>
      <c r="K1545" s="1452"/>
      <c r="O1545" s="611" t="str">
        <f t="shared" si="211"/>
        <v/>
      </c>
      <c r="P1545" s="611" t="str">
        <f t="shared" si="213"/>
        <v>Page5_GMC_VE!K</v>
      </c>
      <c r="Q1545" s="611">
        <f t="shared" si="214"/>
        <v>44</v>
      </c>
      <c r="R1545" s="1447">
        <f t="shared" ca="1" si="215"/>
        <v>0</v>
      </c>
      <c r="S1545" s="1447">
        <f t="shared" ca="1" si="216"/>
        <v>0</v>
      </c>
      <c r="V1545" s="2557" t="str">
        <f t="shared" ca="1" si="210"/>
        <v/>
      </c>
      <c r="W1545" s="611" t="str">
        <f t="shared" ca="1" si="217"/>
        <v>Page5_GMC_VE, Ligne 41 [Page5_GMC_VE!K44]  -</v>
      </c>
    </row>
    <row r="1546" spans="1:23">
      <c r="A1546" s="1443" t="str">
        <f>celladdr(Page5_GMC_VE!K45)</f>
        <v>Page5_GMC_VE!K45</v>
      </c>
      <c r="B1546" s="1464" t="s">
        <v>1086</v>
      </c>
      <c r="C1546" s="1451" t="b">
        <f>Page5_GMC_VE!$K$45&lt;0</f>
        <v>0</v>
      </c>
      <c r="D1546" s="1454" t="b">
        <f>OR(AND(Page5_GMC_VE!$K45&gt;0,Page5_GMC_VE!$M45=0),AND(Page5_GMC_VE!$M45&lt;&gt;0,Page5_GMC_VE!$K45=0))</f>
        <v>0</v>
      </c>
      <c r="E1546" s="1454"/>
      <c r="F1546" s="1454"/>
      <c r="G1546" s="1444" t="str">
        <f t="shared" si="212"/>
        <v/>
      </c>
      <c r="H1546" s="1447" t="str">
        <f>IF(C1546=TRUE,Comments!$B$26,"")</f>
        <v/>
      </c>
      <c r="I1546" s="1446" t="str">
        <f>IF(D1546=TRUE,Comments!$B$21,"")</f>
        <v/>
      </c>
      <c r="J1546" s="1446"/>
      <c r="K1546" s="1452"/>
      <c r="N1546" s="611" t="str">
        <f>"CPTE # "&amp;Page5_GMC_VE!$E$45&amp;"  "&amp;Page5_GMC_VE!$C$45&amp;" - UNITÉS - AAD"</f>
        <v>CPTE # 439H  MÉMO* VENTES INTERNET CAMIONS - UNITÉS - AAD</v>
      </c>
      <c r="O1546" s="611" t="str">
        <f t="shared" si="211"/>
        <v/>
      </c>
      <c r="P1546" s="611" t="str">
        <f t="shared" si="213"/>
        <v>Page5_GMC_VE!K</v>
      </c>
      <c r="Q1546" s="611">
        <f t="shared" si="214"/>
        <v>45</v>
      </c>
      <c r="R1546" s="1447">
        <f t="shared" ca="1" si="215"/>
        <v>0</v>
      </c>
      <c r="S1546" s="1447">
        <f t="shared" ca="1" si="216"/>
        <v>0</v>
      </c>
      <c r="V1546" s="2557" t="str">
        <f t="shared" ca="1" si="210"/>
        <v/>
      </c>
      <c r="W1546" s="611" t="str">
        <f t="shared" ca="1" si="217"/>
        <v>Page5_GMC_VE, Ligne 42 [Page5_GMC_VE!K45]  -</v>
      </c>
    </row>
    <row r="1547" spans="1:23">
      <c r="A1547" s="1443" t="str">
        <f>celladdr(Page5_GMC_VE!K46)</f>
        <v>Page5_GMC_VE!K46</v>
      </c>
      <c r="B1547" s="1464" t="s">
        <v>1086</v>
      </c>
      <c r="C1547" s="1451" t="b">
        <f>Page5_GMC_VE!$K$46&lt;0</f>
        <v>0</v>
      </c>
      <c r="D1547" s="1454" t="b">
        <f>OR(AND(Page5_GMC_VE!$K46&gt;0,Page5_GMC_VE!$M46=0),AND(Page5_GMC_VE!$M46&lt;&gt;0,Page5_GMC_VE!$K46=0))</f>
        <v>0</v>
      </c>
      <c r="E1547" s="1454" t="b">
        <f>ROUND(Page5_CHV_VE!K46 + Page5_GMC_VE!K46,2)&lt;&gt;ROUND(Page5_PARCS_GOUV!K19+Page5_PARCS_GOUV!K21+Page5_PARCS_GOUV!K23+Page5_PARCS_GOUV!K28 +Page5_PARCS_GOUV!K55+Page5_PARCS_GOUV!K57+Page5_PARCS_GOUV!K59+Page5_PARCS_GOUV!K64,2)</f>
        <v>0</v>
      </c>
      <c r="F1547" s="1454"/>
      <c r="G1547" s="1444" t="str">
        <f t="shared" si="212"/>
        <v/>
      </c>
      <c r="H1547" s="1447" t="str">
        <f>IF(C1547=TRUE,Comments!$B$26,"")</f>
        <v/>
      </c>
      <c r="I1547" s="1446" t="str">
        <f>IF(D1547=TRUE,Comments!$B$21,"")</f>
        <v/>
      </c>
      <c r="J1547" s="1446" t="str">
        <f>IF(E1547=TRUE, Comments!$B$97,"")</f>
        <v/>
      </c>
      <c r="K1547" s="1452"/>
      <c r="N1547" s="611" t="str">
        <f>"CPTE # "&amp;Page5_GMC_VE!$E$46&amp;"  "&amp;Page5_GMC_VE!$C$46&amp;" - UNITÉS - AAD"</f>
        <v>CPTE # DE PG PARCS  TOTAL PARCS - CAMIONS - UNITÉS - AAD</v>
      </c>
      <c r="O1547" s="611" t="str">
        <f t="shared" si="211"/>
        <v/>
      </c>
      <c r="P1547" s="611" t="str">
        <f t="shared" si="213"/>
        <v>Page5_GMC_VE!K</v>
      </c>
      <c r="Q1547" s="611">
        <f t="shared" si="214"/>
        <v>46</v>
      </c>
      <c r="R1547" s="1447">
        <f t="shared" ca="1" si="215"/>
        <v>0</v>
      </c>
      <c r="S1547" s="1447">
        <f t="shared" ca="1" si="216"/>
        <v>0</v>
      </c>
      <c r="T1547" s="611">
        <v>97</v>
      </c>
      <c r="V1547" s="2557" t="str">
        <f t="shared" ca="1" si="210"/>
        <v/>
      </c>
      <c r="W1547" s="611" t="str">
        <f t="shared" ca="1" si="217"/>
        <v>Page5_GMC_VE, Ligne 43 [Page5_GMC_VE!K46]  -</v>
      </c>
    </row>
    <row r="1548" spans="1:23">
      <c r="A1548" s="1443" t="str">
        <f>celladdr(Page5_GMC_VE!K47)</f>
        <v>Page5_GMC_VE!K47</v>
      </c>
      <c r="B1548" s="1464" t="s">
        <v>1086</v>
      </c>
      <c r="C1548" s="1451" t="b">
        <f>Page5_GMC_VE!$K$47&lt;0</f>
        <v>0</v>
      </c>
      <c r="D1548" s="1454" t="b">
        <f>OR(AND(Page5_GMC_VE!$K47&gt;0,Page5_GMC_VE!$M47=0),AND(Page5_GMC_VE!$M47&lt;&gt;0,Page5_GMC_VE!$K47=0))</f>
        <v>0</v>
      </c>
      <c r="E1548" s="1454"/>
      <c r="F1548" s="1454"/>
      <c r="G1548" s="1444" t="str">
        <f t="shared" si="212"/>
        <v/>
      </c>
      <c r="H1548" s="1447" t="str">
        <f>IF(C1548=TRUE,Comments!$B$26,"")</f>
        <v/>
      </c>
      <c r="I1548" s="1446" t="str">
        <f>IF(D1548=TRUE,Comments!$B$21,"")</f>
        <v/>
      </c>
      <c r="J1548" s="1446"/>
      <c r="K1548" s="1452"/>
      <c r="N1548" s="611" t="str">
        <f>"CPTE # "&amp;Page5_GMC_VE!$E$47&amp;"  "&amp;Page5_GMC_VE!$C$47&amp;" - UNITÉS - AAD"</f>
        <v>CPTE # 441H  TOTAL IINTERNE - CAMIONS  - UNITÉS - AAD</v>
      </c>
      <c r="O1548" s="611" t="str">
        <f t="shared" ref="O1548:O1579" si="218">IF(A1548=A1547,"TRUE","")</f>
        <v/>
      </c>
      <c r="P1548" s="611" t="str">
        <f t="shared" si="213"/>
        <v>Page5_GMC_VE!K</v>
      </c>
      <c r="Q1548" s="611">
        <f t="shared" si="214"/>
        <v>47</v>
      </c>
      <c r="R1548" s="1447">
        <f t="shared" ca="1" si="215"/>
        <v>0</v>
      </c>
      <c r="S1548" s="1447">
        <f t="shared" ca="1" si="216"/>
        <v>0</v>
      </c>
      <c r="V1548" s="2557" t="str">
        <f t="shared" ca="1" si="210"/>
        <v/>
      </c>
      <c r="W1548" s="611" t="str">
        <f t="shared" ca="1" si="217"/>
        <v>Page5_GMC_VE, Ligne 44 [Page5_GMC_VE!K47]  -</v>
      </c>
    </row>
    <row r="1549" spans="1:23">
      <c r="A1549" s="1443" t="str">
        <f>celladdr(Page5_GMC_VE!K48)</f>
        <v>Page5_GMC_VE!K48</v>
      </c>
      <c r="B1549" s="1444" t="s">
        <v>1086</v>
      </c>
      <c r="C1549" s="1451"/>
      <c r="D1549" s="1454"/>
      <c r="E1549" s="1454"/>
      <c r="F1549" s="1454"/>
      <c r="G1549" s="1444" t="str">
        <f t="shared" si="212"/>
        <v/>
      </c>
      <c r="H1549" s="1447" t="str">
        <f>IF(C1549=TRUE,Comments!$B$26,"")</f>
        <v/>
      </c>
      <c r="I1549" s="1446" t="str">
        <f>IF(D1549=TRUE,Comments!$B$21,"")</f>
        <v/>
      </c>
      <c r="J1549" s="1446"/>
      <c r="K1549" s="1452"/>
      <c r="O1549" s="611" t="str">
        <f t="shared" si="218"/>
        <v/>
      </c>
      <c r="P1549" s="611" t="str">
        <f t="shared" si="213"/>
        <v>Page5_GMC_VE!K</v>
      </c>
      <c r="Q1549" s="611">
        <f t="shared" si="214"/>
        <v>48</v>
      </c>
      <c r="R1549" s="1447">
        <f t="shared" ca="1" si="215"/>
        <v>0</v>
      </c>
      <c r="S1549" s="1447">
        <f t="shared" ca="1" si="216"/>
        <v>0</v>
      </c>
      <c r="V1549" s="2557" t="str">
        <f t="shared" ca="1" si="210"/>
        <v/>
      </c>
      <c r="W1549" s="611" t="str">
        <f t="shared" ca="1" si="217"/>
        <v>Page5_GMC_VE, Ligne 45 [Page5_GMC_VE!K48]  -</v>
      </c>
    </row>
    <row r="1550" spans="1:23">
      <c r="A1550" s="1443" t="str">
        <f>celladdr(Page5_GMC_VE!K49)</f>
        <v>Page5_GMC_VE!K49</v>
      </c>
      <c r="B1550" s="1464" t="s">
        <v>1086</v>
      </c>
      <c r="C1550" s="1451"/>
      <c r="D1550" s="1454" t="b">
        <f>OR(AND(Page5_GMC_VE!$K49&gt;0,Page5_GMC_VE!$M49=0),AND(Page5_GMC_VE!$M49&lt;&gt;0,Page5_GMC_VE!$K49=0))</f>
        <v>0</v>
      </c>
      <c r="E1550" s="1454"/>
      <c r="F1550" s="1454"/>
      <c r="G1550" s="1444" t="str">
        <f t="shared" si="212"/>
        <v/>
      </c>
      <c r="I1550" s="1446" t="str">
        <f>IF(D1550=TRUE,Comments!$B$24,"")</f>
        <v/>
      </c>
      <c r="J1550" s="1446"/>
      <c r="K1550" s="1452"/>
      <c r="N1550" s="611" t="str">
        <f>"CPTE # "&amp;Page5_GMC_VE!$E$49&amp;"  "&amp;Page5_GMC_VE!$C$49&amp;" - UNITÉS - AAD"</f>
        <v>CPTE #      - UNITÉS - AAD</v>
      </c>
      <c r="O1550" s="611" t="str">
        <f t="shared" si="218"/>
        <v/>
      </c>
      <c r="P1550" s="611" t="str">
        <f t="shared" si="213"/>
        <v>Page5_GMC_VE!K</v>
      </c>
      <c r="Q1550" s="611">
        <f t="shared" si="214"/>
        <v>49</v>
      </c>
      <c r="R1550" s="1447">
        <f t="shared" ca="1" si="215"/>
        <v>0</v>
      </c>
      <c r="S1550" s="1447">
        <f t="shared" ca="1" si="216"/>
        <v>0</v>
      </c>
      <c r="V1550" s="2557" t="str">
        <f t="shared" ca="1" si="210"/>
        <v/>
      </c>
      <c r="W1550" s="611" t="str">
        <f t="shared" ca="1" si="217"/>
        <v>Page5_GMC_VE, Ligne 46 [Page5_GMC_VE!K49]  -</v>
      </c>
    </row>
    <row r="1551" spans="1:23">
      <c r="A1551" s="1443" t="str">
        <f>celladdr(Page5_GMC_VE!K50)</f>
        <v>Page5_GMC_VE!K50</v>
      </c>
      <c r="B1551" s="1464" t="s">
        <v>1086</v>
      </c>
      <c r="C1551" s="1451"/>
      <c r="D1551" s="1454" t="b">
        <f>OR(AND(Page5_GMC_VE!$K50&gt;0,Page5_GMC_VE!$M50=0),AND(Page5_GMC_VE!$M50&lt;&gt;0,Page5_GMC_VE!$K50=0))</f>
        <v>0</v>
      </c>
      <c r="E1551" s="1454"/>
      <c r="F1551" s="1454"/>
      <c r="G1551" s="1444" t="str">
        <f t="shared" si="212"/>
        <v/>
      </c>
      <c r="I1551" s="1446" t="str">
        <f>IF(D1551=TRUE,Comments!$B$21,"")</f>
        <v/>
      </c>
      <c r="J1551" s="1446"/>
      <c r="K1551" s="1452"/>
      <c r="N1551" s="611" t="str">
        <f>"CPTE # "&amp;Page5_GMC_VE!$E$50&amp;"  "&amp;Page5_GMC_VE!$C$50&amp;" - UNITÉS - AAD"</f>
        <v>CPTE # 457H  ACCESSOIRES - UNITÉS - AAD</v>
      </c>
      <c r="O1551" s="611" t="str">
        <f t="shared" si="218"/>
        <v/>
      </c>
      <c r="P1551" s="611" t="str">
        <f t="shared" si="213"/>
        <v>Page5_GMC_VE!K</v>
      </c>
      <c r="Q1551" s="611">
        <f t="shared" si="214"/>
        <v>50</v>
      </c>
      <c r="R1551" s="1447">
        <f t="shared" ca="1" si="215"/>
        <v>0</v>
      </c>
      <c r="S1551" s="1447">
        <f t="shared" ca="1" si="216"/>
        <v>0</v>
      </c>
      <c r="V1551" s="2557" t="str">
        <f t="shared" ca="1" si="210"/>
        <v/>
      </c>
      <c r="W1551" s="611" t="str">
        <f t="shared" ca="1" si="217"/>
        <v>Page5_GMC_VE, Ligne 47 [Page5_GMC_VE!K50]  -</v>
      </c>
    </row>
    <row r="1552" spans="1:23">
      <c r="A1552" s="1443" t="str">
        <f>celladdr(Page5_GMC_VE!K51)</f>
        <v>Page5_GMC_VE!K51</v>
      </c>
      <c r="B1552" s="1453" t="s">
        <v>1086</v>
      </c>
      <c r="C1552" s="1445" t="b">
        <f>Page5_GMC_VE!$K$51&lt;&gt;Page5_GMC_VE!$K$48+Page5_GMC_VE!$K$27</f>
        <v>0</v>
      </c>
      <c r="D1552" s="1454"/>
      <c r="F1552" s="1454"/>
      <c r="G1552" s="1444" t="str">
        <f t="shared" si="212"/>
        <v/>
      </c>
      <c r="H1552" s="1446" t="str">
        <f>IF(C1552=TRUE,Comments!$B$38&amp;Page5_GMC_VE!$K$51-(Page5_GMC_VE!$K$48+Page5_GMC_VE!$K$27),"")</f>
        <v/>
      </c>
      <c r="I1552" s="1452"/>
      <c r="J1552" s="1452"/>
      <c r="K1552" s="1452"/>
      <c r="N1552" s="611" t="str">
        <f>Page5_GMC_VE!$B$1&amp;" TOTAL VÉHICULES NEUFS  - UNITÉS - AAD"</f>
        <v>GMC - VE TOTAL VÉHICULES NEUFS  - UNITÉS - AAD</v>
      </c>
      <c r="O1552" s="611" t="str">
        <f t="shared" si="218"/>
        <v/>
      </c>
      <c r="P1552" s="611" t="str">
        <f t="shared" si="213"/>
        <v>Page5_GMC_VE!K</v>
      </c>
      <c r="Q1552" s="611">
        <f t="shared" si="214"/>
        <v>51</v>
      </c>
      <c r="R1552" s="1447">
        <f t="shared" ca="1" si="215"/>
        <v>0</v>
      </c>
      <c r="S1552" s="1447">
        <f t="shared" ca="1" si="216"/>
        <v>0</v>
      </c>
      <c r="V1552" s="2557" t="str">
        <f t="shared" ca="1" si="210"/>
        <v/>
      </c>
      <c r="W1552" s="611" t="str">
        <f t="shared" ca="1" si="217"/>
        <v>Page5_GMC_VE, Ligne 48 [Page5_GMC_VE!K51]  -</v>
      </c>
    </row>
    <row r="1553" spans="1:23">
      <c r="A1553" s="1443" t="str">
        <f>celladdr(Page5_GMC_VE!L4)</f>
        <v>Page5_GMC_VE!L4</v>
      </c>
      <c r="B1553" s="1456" t="s">
        <v>1086</v>
      </c>
      <c r="C1553" s="1451" t="b">
        <f>Page5_GMC_VE!$L$4&lt;0</f>
        <v>0</v>
      </c>
      <c r="D1553" s="1454" t="b">
        <f>OR(AND(Page5_GMC_VE!$L4&lt;&gt;0,Page5_GMC_VE!$M4=0),AND(Page5_GMC_VE!$M4&lt;&gt;0,Page5_GMC_VE!$L4=0))</f>
        <v>0</v>
      </c>
      <c r="E1553" s="1454"/>
      <c r="F1553" s="1454"/>
      <c r="G1553" s="1444" t="str">
        <f t="shared" si="212"/>
        <v/>
      </c>
      <c r="H1553" s="1447" t="str">
        <f>IF(C1553=TRUE,Comments!$B$23,"")</f>
        <v/>
      </c>
      <c r="I1553" s="1446" t="str">
        <f>IF(D1553=TRUE,Comments!$B$24,"")</f>
        <v/>
      </c>
      <c r="J1553" s="1446"/>
      <c r="K1553" s="1452"/>
      <c r="N1553" s="611" t="str">
        <f>"CPTE # "&amp;Page5_GMC_VE!$E$4&amp;"  "&amp;Page5_GMC_VE!$C$4&amp;" - CHIFFRE D'AFFAIRES RÉALISÉ - AAD"</f>
        <v>CPTE # 400H  NE PAS UTILISER - CHIFFRE D'AFFAIRES RÉALISÉ - AAD</v>
      </c>
      <c r="O1553" s="611" t="str">
        <f t="shared" si="218"/>
        <v/>
      </c>
      <c r="P1553" s="611" t="str">
        <f t="shared" si="213"/>
        <v>Page5_GMC_VE!L</v>
      </c>
      <c r="Q1553" s="611">
        <f t="shared" si="214"/>
        <v>4</v>
      </c>
      <c r="R1553" s="1447">
        <f t="shared" ca="1" si="215"/>
        <v>0</v>
      </c>
      <c r="S1553" s="1447">
        <f t="shared" ca="1" si="216"/>
        <v>0</v>
      </c>
      <c r="V1553" s="2557" t="str">
        <f t="shared" ca="1" si="210"/>
        <v/>
      </c>
      <c r="W1553" s="611" t="str">
        <f t="shared" ca="1" si="217"/>
        <v>Page5_GMC_VE, Ligne 1 [Page5_GMC_VE!L4]  -</v>
      </c>
    </row>
    <row r="1554" spans="1:23">
      <c r="A1554" s="1443" t="str">
        <f>celladdr(Page5_GMC_VE!L5)</f>
        <v>Page5_GMC_VE!L5</v>
      </c>
      <c r="B1554" s="1456" t="s">
        <v>1086</v>
      </c>
      <c r="C1554" s="1451" t="b">
        <f>Page5_GMC_VE!$L$5&lt;0</f>
        <v>0</v>
      </c>
      <c r="D1554" s="1454" t="b">
        <f>OR(AND(Page5_GMC_VE!$L5&lt;&gt;0,Page5_GMC_VE!$M5=0),AND(Page5_GMC_VE!$M5&lt;&gt;0,Page5_GMC_VE!$L5=0))</f>
        <v>0</v>
      </c>
      <c r="E1554" s="1454"/>
      <c r="F1554" s="1454"/>
      <c r="G1554" s="1444" t="str">
        <f t="shared" si="212"/>
        <v/>
      </c>
      <c r="H1554" s="1447" t="str">
        <f>IF(C1554=TRUE,Comments!$B$23,"")</f>
        <v/>
      </c>
      <c r="I1554" s="1446" t="str">
        <f>IF(D1554=TRUE,Comments!$B$24,"")</f>
        <v/>
      </c>
      <c r="J1554" s="1446"/>
      <c r="K1554" s="1452"/>
      <c r="N1554" s="611" t="str">
        <f>"CPTE # "&amp;Page5_GMC_VE!$E$5&amp;"  "&amp;Page5_GMC_VE!$C$5&amp;" - CHIFFRE D'AFFAIRES RÉALISÉ - AAD"</f>
        <v>CPTE # 401H  NE PAS UTILISER - CHIFFRE D'AFFAIRES RÉALISÉ - AAD</v>
      </c>
      <c r="O1554" s="611" t="str">
        <f t="shared" si="218"/>
        <v/>
      </c>
      <c r="P1554" s="611" t="str">
        <f t="shared" si="213"/>
        <v>Page5_GMC_VE!L</v>
      </c>
      <c r="Q1554" s="611">
        <f t="shared" si="214"/>
        <v>5</v>
      </c>
      <c r="R1554" s="1447">
        <f t="shared" ca="1" si="215"/>
        <v>0</v>
      </c>
      <c r="S1554" s="1447">
        <f t="shared" ca="1" si="216"/>
        <v>0</v>
      </c>
      <c r="V1554" s="2557" t="str">
        <f t="shared" ca="1" si="210"/>
        <v/>
      </c>
      <c r="W1554" s="611" t="str">
        <f t="shared" ca="1" si="217"/>
        <v>Page5_GMC_VE, Ligne 2 [Page5_GMC_VE!L5]  -</v>
      </c>
    </row>
    <row r="1555" spans="1:23">
      <c r="A1555" s="1443" t="str">
        <f>celladdr(Page5_GMC_VE!L6)</f>
        <v>Page5_GMC_VE!L6</v>
      </c>
      <c r="B1555" s="1456" t="s">
        <v>1086</v>
      </c>
      <c r="C1555" s="1451" t="b">
        <f>Page5_GMC_VE!$L$6&lt;0</f>
        <v>0</v>
      </c>
      <c r="D1555" s="1454" t="b">
        <f>OR(AND(Page5_GMC_VE!$L6&lt;&gt;0,Page5_GMC_VE!$M6=0),AND(Page5_GMC_VE!$M6&lt;&gt;0,Page5_GMC_VE!$L6=0))</f>
        <v>0</v>
      </c>
      <c r="E1555" s="1454"/>
      <c r="F1555" s="1454"/>
      <c r="G1555" s="1444" t="str">
        <f t="shared" si="212"/>
        <v/>
      </c>
      <c r="H1555" s="1447" t="str">
        <f>IF(C1555=TRUE,Comments!$B$23,"")</f>
        <v/>
      </c>
      <c r="I1555" s="1446" t="str">
        <f>IF(D1555=TRUE,Comments!$B$24,"")</f>
        <v/>
      </c>
      <c r="J1555" s="1446"/>
      <c r="K1555" s="1452"/>
      <c r="N1555" s="611" t="str">
        <f>"CPTE # "&amp;Page5_GMC_VE!$E$6&amp;"  "&amp;Page5_GMC_VE!$C$6&amp;" - CHIFFRE D'AFFAIRES RÉALISÉ - AAD"</f>
        <v>CPTE # 402H  NE PAS UTILISER - CHIFFRE D'AFFAIRES RÉALISÉ - AAD</v>
      </c>
      <c r="O1555" s="611" t="str">
        <f t="shared" si="218"/>
        <v/>
      </c>
      <c r="P1555" s="611" t="str">
        <f t="shared" si="213"/>
        <v>Page5_GMC_VE!L</v>
      </c>
      <c r="Q1555" s="611">
        <f t="shared" si="214"/>
        <v>6</v>
      </c>
      <c r="R1555" s="1447">
        <f t="shared" ca="1" si="215"/>
        <v>0</v>
      </c>
      <c r="S1555" s="1447">
        <f t="shared" ca="1" si="216"/>
        <v>0</v>
      </c>
      <c r="V1555" s="2557" t="str">
        <f t="shared" ca="1" si="210"/>
        <v/>
      </c>
      <c r="W1555" s="611" t="str">
        <f t="shared" ca="1" si="217"/>
        <v>Page5_GMC_VE, Ligne 3 [Page5_GMC_VE!L6]  -</v>
      </c>
    </row>
    <row r="1556" spans="1:23">
      <c r="A1556" s="1443" t="str">
        <f>celladdr(Page5_GMC_VE!L7)</f>
        <v>Page5_GMC_VE!L7</v>
      </c>
      <c r="B1556" s="1456" t="s">
        <v>1086</v>
      </c>
      <c r="C1556" s="1451" t="b">
        <f>Page5_GMC_VE!$L$7&lt;0</f>
        <v>0</v>
      </c>
      <c r="D1556" s="1454" t="b">
        <f>OR(AND(Page5_GMC_VE!$L7&lt;&gt;0,Page5_GMC_VE!$M7=0),AND(Page5_GMC_VE!$M7&lt;&gt;0,Page5_GMC_VE!$L7=0))</f>
        <v>0</v>
      </c>
      <c r="E1556" s="1454"/>
      <c r="F1556" s="1454"/>
      <c r="G1556" s="1444" t="str">
        <f t="shared" si="212"/>
        <v/>
      </c>
      <c r="H1556" s="1447" t="str">
        <f>IF(C1556=TRUE,Comments!$B$23,"")</f>
        <v/>
      </c>
      <c r="I1556" s="1446" t="str">
        <f>IF(D1556=TRUE,Comments!$B$24,"")</f>
        <v/>
      </c>
      <c r="J1556" s="1446"/>
      <c r="K1556" s="1452"/>
      <c r="N1556" s="611" t="str">
        <f>"CPTE # "&amp;Page5_GMC_VE!$E$7&amp;"  "&amp;Page5_GMC_VE!$C$7&amp;" - CHIFFRE D'AFFAIRES RÉALISÉ - AAD"</f>
        <v>CPTE # 403H  NE PAS UTILISER - CHIFFRE D'AFFAIRES RÉALISÉ - AAD</v>
      </c>
      <c r="O1556" s="611" t="str">
        <f t="shared" si="218"/>
        <v/>
      </c>
      <c r="P1556" s="611" t="str">
        <f t="shared" si="213"/>
        <v>Page5_GMC_VE!L</v>
      </c>
      <c r="Q1556" s="611">
        <f t="shared" si="214"/>
        <v>7</v>
      </c>
      <c r="R1556" s="1447">
        <f t="shared" ca="1" si="215"/>
        <v>0</v>
      </c>
      <c r="S1556" s="1447">
        <f t="shared" ca="1" si="216"/>
        <v>0</v>
      </c>
      <c r="V1556" s="2557" t="str">
        <f t="shared" ca="1" si="210"/>
        <v/>
      </c>
      <c r="W1556" s="611" t="str">
        <f t="shared" ca="1" si="217"/>
        <v>Page5_GMC_VE, Ligne 4 [Page5_GMC_VE!L7]  -</v>
      </c>
    </row>
    <row r="1557" spans="1:23">
      <c r="A1557" s="1443" t="str">
        <f>celladdr(Page5_GMC_VE!L8)</f>
        <v>Page5_GMC_VE!L8</v>
      </c>
      <c r="B1557" s="1456" t="s">
        <v>1086</v>
      </c>
      <c r="C1557" s="1451" t="b">
        <f>Page5_GMC_VE!$L$8&lt;0</f>
        <v>0</v>
      </c>
      <c r="D1557" s="1454" t="b">
        <f>OR(AND(Page5_GMC_VE!$L8&lt;&gt;0,Page5_GMC_VE!$M8=0),AND(Page5_GMC_VE!$M8&lt;&gt;0,Page5_GMC_VE!$L8=0))</f>
        <v>0</v>
      </c>
      <c r="E1557" s="1454"/>
      <c r="F1557" s="1454"/>
      <c r="G1557" s="1444" t="str">
        <f t="shared" si="212"/>
        <v/>
      </c>
      <c r="H1557" s="1447" t="str">
        <f>IF(C1557=TRUE,Comments!$B$23,"")</f>
        <v/>
      </c>
      <c r="I1557" s="1446" t="str">
        <f>IF(D1557=TRUE,Comments!$B$24,"")</f>
        <v/>
      </c>
      <c r="J1557" s="1446"/>
      <c r="K1557" s="1452"/>
      <c r="N1557" s="611" t="str">
        <f>"CPTE # "&amp;Page5_GMC_VE!$E$8&amp;"  "&amp;Page5_GMC_VE!$C$8&amp;" - CHIFFRE D'AFFAIRES RÉALISÉ - AAD"</f>
        <v>CPTE # 404H  NE PAS UTILISER - CHIFFRE D'AFFAIRES RÉALISÉ - AAD</v>
      </c>
      <c r="O1557" s="611" t="str">
        <f t="shared" si="218"/>
        <v/>
      </c>
      <c r="P1557" s="611" t="str">
        <f t="shared" si="213"/>
        <v>Page5_GMC_VE!L</v>
      </c>
      <c r="Q1557" s="611">
        <f t="shared" si="214"/>
        <v>8</v>
      </c>
      <c r="R1557" s="1447">
        <f t="shared" ca="1" si="215"/>
        <v>0</v>
      </c>
      <c r="S1557" s="1447">
        <f t="shared" ca="1" si="216"/>
        <v>0</v>
      </c>
      <c r="V1557" s="2557" t="str">
        <f t="shared" ca="1" si="210"/>
        <v/>
      </c>
      <c r="W1557" s="611" t="str">
        <f t="shared" ca="1" si="217"/>
        <v>Page5_GMC_VE, Ligne 5 [Page5_GMC_VE!L8]  -</v>
      </c>
    </row>
    <row r="1558" spans="1:23">
      <c r="A1558" s="1443" t="str">
        <f>celladdr(Page5_GMC_VE!L9)</f>
        <v>Page5_GMC_VE!L9</v>
      </c>
      <c r="B1558" s="1456" t="s">
        <v>1086</v>
      </c>
      <c r="C1558" s="1451" t="b">
        <f>Page5_GMC_VE!$L$9&lt;0</f>
        <v>0</v>
      </c>
      <c r="D1558" s="1454" t="b">
        <f>OR(AND(Page5_GMC_VE!$L9&lt;&gt;0,Page5_GMC_VE!$M9=0),AND(Page5_GMC_VE!$M9&lt;&gt;0,Page5_GMC_VE!$L9=0))</f>
        <v>0</v>
      </c>
      <c r="E1558" s="1454"/>
      <c r="F1558" s="1454"/>
      <c r="G1558" s="1444" t="str">
        <f t="shared" si="212"/>
        <v/>
      </c>
      <c r="H1558" s="1447" t="str">
        <f>IF(C1558=TRUE,Comments!$B$23,"")</f>
        <v/>
      </c>
      <c r="I1558" s="1446" t="str">
        <f>IF(D1558=TRUE,Comments!$B$24,"")</f>
        <v/>
      </c>
      <c r="J1558" s="1446"/>
      <c r="K1558" s="1452"/>
      <c r="N1558" s="611" t="str">
        <f>"CPTE # "&amp;Page5_GMC_VE!$E$9&amp;"  "&amp;Page5_GMC_VE!$C$9&amp;" - CHIFFRE D'AFFAIRES RÉALISÉ - AAD"</f>
        <v>CPTE # 405H  NE PAS UTILISER - CHIFFRE D'AFFAIRES RÉALISÉ - AAD</v>
      </c>
      <c r="O1558" s="611" t="str">
        <f t="shared" si="218"/>
        <v/>
      </c>
      <c r="P1558" s="611" t="str">
        <f t="shared" si="213"/>
        <v>Page5_GMC_VE!L</v>
      </c>
      <c r="Q1558" s="611">
        <f t="shared" si="214"/>
        <v>9</v>
      </c>
      <c r="R1558" s="1447">
        <f t="shared" ca="1" si="215"/>
        <v>0</v>
      </c>
      <c r="S1558" s="1447">
        <f t="shared" ca="1" si="216"/>
        <v>0</v>
      </c>
      <c r="V1558" s="2557" t="str">
        <f t="shared" ca="1" si="210"/>
        <v/>
      </c>
      <c r="W1558" s="611" t="str">
        <f t="shared" ca="1" si="217"/>
        <v>Page5_GMC_VE, Ligne 6 [Page5_GMC_VE!L9]  -</v>
      </c>
    </row>
    <row r="1559" spans="1:23">
      <c r="A1559" s="1443" t="str">
        <f>celladdr(Page5_GMC_VE!L10)</f>
        <v>Page5_GMC_VE!L10</v>
      </c>
      <c r="B1559" s="1456" t="s">
        <v>1086</v>
      </c>
      <c r="C1559" s="1451" t="b">
        <f>Page5_GMC_VE!$L$10&lt;0</f>
        <v>0</v>
      </c>
      <c r="D1559" s="1454" t="b">
        <f>OR(AND(Page5_GMC_VE!$L10&lt;&gt;0,Page5_GMC_VE!$M10=0),AND(Page5_GMC_VE!$M10&lt;&gt;0,Page5_GMC_VE!$L10=0))</f>
        <v>0</v>
      </c>
      <c r="E1559" s="1454"/>
      <c r="F1559" s="1454"/>
      <c r="G1559" s="1444" t="str">
        <f t="shared" si="212"/>
        <v/>
      </c>
      <c r="H1559" s="1447" t="str">
        <f>IF(C1559=TRUE,Comments!$B$23,"")</f>
        <v/>
      </c>
      <c r="I1559" s="1446" t="str">
        <f>IF(D1559=TRUE,Comments!$B$24,"")</f>
        <v/>
      </c>
      <c r="J1559" s="1446"/>
      <c r="K1559" s="1452"/>
      <c r="N1559" s="611" t="str">
        <f>"CPTE # "&amp;Page5_GMC_VE!$E$10&amp;"  "&amp;Page5_GMC_VE!$C$10&amp;" - CHIFFRE D'AFFAIRES RÉALISÉ - AAD"</f>
        <v>CPTE # 406H  NE PAS UTILISER - CHIFFRE D'AFFAIRES RÉALISÉ - AAD</v>
      </c>
      <c r="O1559" s="611" t="str">
        <f t="shared" si="218"/>
        <v/>
      </c>
      <c r="P1559" s="611" t="str">
        <f t="shared" si="213"/>
        <v>Page5_GMC_VE!L</v>
      </c>
      <c r="Q1559" s="611">
        <f t="shared" si="214"/>
        <v>10</v>
      </c>
      <c r="R1559" s="1447">
        <f t="shared" ca="1" si="215"/>
        <v>0</v>
      </c>
      <c r="S1559" s="1447">
        <f t="shared" ca="1" si="216"/>
        <v>0</v>
      </c>
      <c r="V1559" s="2557" t="str">
        <f t="shared" ca="1" si="210"/>
        <v/>
      </c>
      <c r="W1559" s="611" t="str">
        <f t="shared" ca="1" si="217"/>
        <v>Page5_GMC_VE, Ligne 7 [Page5_GMC_VE!L10]  -</v>
      </c>
    </row>
    <row r="1560" spans="1:23">
      <c r="A1560" s="1443" t="str">
        <f>celladdr(Page5_GMC_VE!L11)</f>
        <v>Page5_GMC_VE!L11</v>
      </c>
      <c r="B1560" s="1456" t="s">
        <v>1086</v>
      </c>
      <c r="C1560" s="1451" t="b">
        <f>Page5_GMC_VE!$L$11&lt;0</f>
        <v>0</v>
      </c>
      <c r="D1560" s="1454" t="b">
        <f>OR(AND(Page5_GMC_VE!$L11&lt;&gt;0,Page5_GMC_VE!$M11=0),AND(Page5_GMC_VE!$M11&lt;&gt;0,Page5_GMC_VE!$L11=0))</f>
        <v>0</v>
      </c>
      <c r="E1560" s="1454"/>
      <c r="F1560" s="1454"/>
      <c r="G1560" s="1444" t="str">
        <f t="shared" si="212"/>
        <v/>
      </c>
      <c r="H1560" s="1447" t="str">
        <f>IF(C1560=TRUE,Comments!$B$23,"")</f>
        <v/>
      </c>
      <c r="I1560" s="1446" t="str">
        <f>IF(D1560=TRUE,Comments!$B$24,"")</f>
        <v/>
      </c>
      <c r="J1560" s="1446"/>
      <c r="K1560" s="1452"/>
      <c r="N1560" s="611" t="str">
        <f>"CPTE # "&amp;Page5_GMC_VE!$E$11&amp;"  "&amp;Page5_GMC_VE!$C$11&amp;" - CHIFFRE D'AFFAIRES RÉALISÉ - AAD"</f>
        <v>CPTE # 407H  NE PAS UTILISER - CHIFFRE D'AFFAIRES RÉALISÉ - AAD</v>
      </c>
      <c r="O1560" s="611" t="str">
        <f t="shared" si="218"/>
        <v/>
      </c>
      <c r="P1560" s="611" t="str">
        <f t="shared" si="213"/>
        <v>Page5_GMC_VE!L</v>
      </c>
      <c r="Q1560" s="611">
        <f t="shared" si="214"/>
        <v>11</v>
      </c>
      <c r="R1560" s="1447">
        <f t="shared" ca="1" si="215"/>
        <v>0</v>
      </c>
      <c r="S1560" s="1447">
        <f t="shared" ca="1" si="216"/>
        <v>0</v>
      </c>
      <c r="V1560" s="2557" t="str">
        <f t="shared" ref="V1560:V1623" ca="1" si="219">IF(SUM(R1560+S1560)=0,"","
*** "&amp;TEXT(SUM(R1560+S1560),"0,0")&amp;" Points de précision seront déduits suite à cette(ces) erreur(s) !")</f>
        <v/>
      </c>
      <c r="W1560" s="611" t="str">
        <f t="shared" ca="1" si="217"/>
        <v>Page5_GMC_VE, Ligne 8 [Page5_GMC_VE!L11]  -</v>
      </c>
    </row>
    <row r="1561" spans="1:23">
      <c r="A1561" s="1443" t="str">
        <f>celladdr(Page5_GMC_VE!L12)</f>
        <v>Page5_GMC_VE!L12</v>
      </c>
      <c r="B1561" s="1456" t="s">
        <v>1086</v>
      </c>
      <c r="C1561" s="1451" t="b">
        <f>Page5_GMC_VE!$L$12&lt;0</f>
        <v>0</v>
      </c>
      <c r="D1561" s="1454" t="b">
        <f>OR(AND(Page5_GMC_VE!$L12&lt;&gt;0,Page5_GMC_VE!$M12=0),AND(Page5_GMC_VE!$M12&lt;&gt;0,Page5_GMC_VE!$L12=0))</f>
        <v>0</v>
      </c>
      <c r="E1561" s="1454"/>
      <c r="F1561" s="1454"/>
      <c r="G1561" s="1444" t="str">
        <f t="shared" si="212"/>
        <v/>
      </c>
      <c r="H1561" s="1447" t="str">
        <f>IF(C1561=TRUE,Comments!$B$23,"")</f>
        <v/>
      </c>
      <c r="I1561" s="1446" t="str">
        <f>IF(D1561=TRUE,Comments!$B$24,"")</f>
        <v/>
      </c>
      <c r="J1561" s="1446"/>
      <c r="K1561" s="1452"/>
      <c r="N1561" s="611" t="str">
        <f>"CPTE # "&amp;Page5_GMC_VE!$E$12&amp;"  "&amp;Page5_GMC_VE!$C$12&amp;" - CHIFFRE D'AFFAIRES RÉALISÉ - AAD"</f>
        <v>CPTE # 408H  NE PAS UTILISER - CHIFFRE D'AFFAIRES RÉALISÉ - AAD</v>
      </c>
      <c r="O1561" s="611" t="str">
        <f t="shared" si="218"/>
        <v/>
      </c>
      <c r="P1561" s="611" t="str">
        <f t="shared" si="213"/>
        <v>Page5_GMC_VE!L</v>
      </c>
      <c r="Q1561" s="611">
        <f t="shared" si="214"/>
        <v>12</v>
      </c>
      <c r="R1561" s="1447">
        <f t="shared" ca="1" si="215"/>
        <v>0</v>
      </c>
      <c r="S1561" s="1447">
        <f t="shared" ca="1" si="216"/>
        <v>0</v>
      </c>
      <c r="V1561" s="2557" t="str">
        <f t="shared" ca="1" si="219"/>
        <v/>
      </c>
      <c r="W1561" s="611" t="str">
        <f t="shared" ca="1" si="217"/>
        <v>Page5_GMC_VE, Ligne 9 [Page5_GMC_VE!L12]  -</v>
      </c>
    </row>
    <row r="1562" spans="1:23">
      <c r="A1562" s="1443" t="str">
        <f>celladdr(Page5_GMC_VE!L13)</f>
        <v>Page5_GMC_VE!L13</v>
      </c>
      <c r="B1562" s="1456" t="s">
        <v>1086</v>
      </c>
      <c r="C1562" s="1451" t="b">
        <f>Page5_GMC_VE!$L$13&lt;0</f>
        <v>0</v>
      </c>
      <c r="D1562" s="1454" t="b">
        <f>OR(AND(Page5_GMC_VE!$L13&lt;&gt;0,Page5_GMC_VE!$M13=0),AND(Page5_GMC_VE!$M13&lt;&gt;0,Page5_GMC_VE!$L13=0))</f>
        <v>0</v>
      </c>
      <c r="E1562" s="1454"/>
      <c r="F1562" s="1454"/>
      <c r="G1562" s="1444" t="str">
        <f t="shared" si="212"/>
        <v/>
      </c>
      <c r="H1562" s="1447" t="str">
        <f>IF(C1562=TRUE,Comments!$B$23,"")</f>
        <v/>
      </c>
      <c r="I1562" s="1446" t="str">
        <f>IF(D1562=TRUE,Comments!$B$24,"")</f>
        <v/>
      </c>
      <c r="J1562" s="1446"/>
      <c r="K1562" s="1452"/>
      <c r="N1562" s="611" t="str">
        <f>"CPTE # "&amp;Page5_GMC_VE!$E$13&amp;"  "&amp;Page5_GMC_VE!$C$13&amp;" - CHIFFRE D'AFFAIRES RÉALISÉ - AAD"</f>
        <v>CPTE # 409H  NE PAS UTILISER - CHIFFRE D'AFFAIRES RÉALISÉ - AAD</v>
      </c>
      <c r="O1562" s="611" t="str">
        <f t="shared" si="218"/>
        <v/>
      </c>
      <c r="P1562" s="611" t="str">
        <f t="shared" si="213"/>
        <v>Page5_GMC_VE!L</v>
      </c>
      <c r="Q1562" s="611">
        <f t="shared" si="214"/>
        <v>13</v>
      </c>
      <c r="R1562" s="1447">
        <f t="shared" ca="1" si="215"/>
        <v>0</v>
      </c>
      <c r="S1562" s="1447">
        <f t="shared" ca="1" si="216"/>
        <v>0</v>
      </c>
      <c r="V1562" s="2557" t="str">
        <f t="shared" ca="1" si="219"/>
        <v/>
      </c>
      <c r="W1562" s="611" t="str">
        <f t="shared" ca="1" si="217"/>
        <v>Page5_GMC_VE, Ligne 10 [Page5_GMC_VE!L13]  -</v>
      </c>
    </row>
    <row r="1563" spans="1:23">
      <c r="A1563" s="1443" t="str">
        <f>celladdr(Page5_GMC_VE!L14)</f>
        <v>Page5_GMC_VE!L14</v>
      </c>
      <c r="B1563" s="1456" t="s">
        <v>1086</v>
      </c>
      <c r="C1563" s="1451" t="b">
        <f>Page5_GMC_VE!$L$14&lt;0</f>
        <v>0</v>
      </c>
      <c r="D1563" s="1454" t="b">
        <f>OR(AND(Page5_GMC_VE!$L14&lt;&gt;0,Page5_GMC_VE!$M14=0),AND(Page5_GMC_VE!$M14&lt;&gt;0,Page5_GMC_VE!$L14=0))</f>
        <v>0</v>
      </c>
      <c r="E1563" s="1454"/>
      <c r="F1563" s="1454"/>
      <c r="G1563" s="1444" t="str">
        <f t="shared" si="212"/>
        <v/>
      </c>
      <c r="H1563" s="1447" t="str">
        <f>IF(C1563=TRUE,Comments!$B$23,"")</f>
        <v/>
      </c>
      <c r="I1563" s="1446" t="str">
        <f>IF(D1563=TRUE,Comments!$B$24,"")</f>
        <v/>
      </c>
      <c r="J1563" s="1446"/>
      <c r="K1563" s="1452"/>
      <c r="N1563" s="611" t="str">
        <f>"CPTE # "&amp;Page5_GMC_VE!$E$14&amp;"  "&amp;Page5_GMC_VE!$C$14&amp;" - CHIFFRE D'AFFAIRES RÉALISÉ - AAD"</f>
        <v>CPTE # 410H  NE PAS UTILISER - CHIFFRE D'AFFAIRES RÉALISÉ - AAD</v>
      </c>
      <c r="O1563" s="611" t="str">
        <f t="shared" si="218"/>
        <v/>
      </c>
      <c r="P1563" s="611" t="str">
        <f t="shared" si="213"/>
        <v>Page5_GMC_VE!L</v>
      </c>
      <c r="Q1563" s="611">
        <f t="shared" si="214"/>
        <v>14</v>
      </c>
      <c r="R1563" s="1447">
        <f t="shared" ca="1" si="215"/>
        <v>0</v>
      </c>
      <c r="S1563" s="1447">
        <f t="shared" ca="1" si="216"/>
        <v>0</v>
      </c>
      <c r="V1563" s="2557" t="str">
        <f t="shared" ca="1" si="219"/>
        <v/>
      </c>
      <c r="W1563" s="611" t="str">
        <f t="shared" ca="1" si="217"/>
        <v>Page5_GMC_VE, Ligne 11 [Page5_GMC_VE!L14]  -</v>
      </c>
    </row>
    <row r="1564" spans="1:23">
      <c r="A1564" s="1443" t="str">
        <f>celladdr(Page5_GMC_VE!L15)</f>
        <v>Page5_GMC_VE!L15</v>
      </c>
      <c r="B1564" s="1456" t="s">
        <v>1086</v>
      </c>
      <c r="C1564" s="1451" t="b">
        <f>Page5_GMC_VE!$L$15&lt;0</f>
        <v>0</v>
      </c>
      <c r="D1564" s="1454" t="b">
        <f>OR(AND(Page5_GMC_VE!$L15&lt;&gt;0,Page5_GMC_VE!$M15=0),AND(Page5_GMC_VE!$M15&lt;&gt;0,Page5_GMC_VE!$L15=0))</f>
        <v>0</v>
      </c>
      <c r="E1564" s="1454"/>
      <c r="F1564" s="1454"/>
      <c r="G1564" s="1444" t="str">
        <f t="shared" si="212"/>
        <v/>
      </c>
      <c r="H1564" s="1447" t="str">
        <f>IF(C1564=TRUE,Comments!$B$23,"")</f>
        <v/>
      </c>
      <c r="I1564" s="1446" t="str">
        <f>IF(D1564=TRUE,Comments!$B$24,"")</f>
        <v/>
      </c>
      <c r="J1564" s="1446"/>
      <c r="K1564" s="1452"/>
      <c r="N1564" s="611" t="str">
        <f>"CPTE # "&amp;Page5_GMC_VE!$E$15&amp;"  "&amp;Page5_GMC_VE!$C$15&amp;" - CHIFFRE D'AFFAIRES RÉALISÉ - AAD"</f>
        <v>CPTE # 411H  NE PAS UTILISER - CHIFFRE D'AFFAIRES RÉALISÉ - AAD</v>
      </c>
      <c r="O1564" s="611" t="str">
        <f t="shared" si="218"/>
        <v/>
      </c>
      <c r="P1564" s="611" t="str">
        <f t="shared" si="213"/>
        <v>Page5_GMC_VE!L</v>
      </c>
      <c r="Q1564" s="611">
        <f t="shared" si="214"/>
        <v>15</v>
      </c>
      <c r="R1564" s="1447">
        <f t="shared" ca="1" si="215"/>
        <v>0</v>
      </c>
      <c r="S1564" s="1447">
        <f t="shared" ca="1" si="216"/>
        <v>0</v>
      </c>
      <c r="V1564" s="2557" t="str">
        <f t="shared" ca="1" si="219"/>
        <v/>
      </c>
      <c r="W1564" s="611" t="str">
        <f t="shared" ca="1" si="217"/>
        <v>Page5_GMC_VE, Ligne 12 [Page5_GMC_VE!L15]  -</v>
      </c>
    </row>
    <row r="1565" spans="1:23">
      <c r="A1565" s="1443" t="str">
        <f>celladdr(Page5_GMC_VE!L16)</f>
        <v>Page5_GMC_VE!L16</v>
      </c>
      <c r="B1565" s="1456" t="s">
        <v>1086</v>
      </c>
      <c r="C1565" s="1451" t="b">
        <f>Page5_GMC_VE!$L$16&lt;0</f>
        <v>0</v>
      </c>
      <c r="D1565" s="1454" t="b">
        <f>OR(AND(Page5_GMC_VE!$L16&lt;&gt;0,Page5_GMC_VE!$M16=0),AND(Page5_GMC_VE!$M16&lt;&gt;0,Page5_GMC_VE!$L16=0))</f>
        <v>0</v>
      </c>
      <c r="E1565" s="1454"/>
      <c r="F1565" s="1454"/>
      <c r="G1565" s="1444" t="str">
        <f t="shared" si="212"/>
        <v/>
      </c>
      <c r="H1565" s="1447" t="str">
        <f>IF(C1565=TRUE,Comments!$B$23,"")</f>
        <v/>
      </c>
      <c r="I1565" s="1446" t="str">
        <f>IF(D1565=TRUE,Comments!$B$24,"")</f>
        <v/>
      </c>
      <c r="J1565" s="1446"/>
      <c r="K1565" s="1452"/>
      <c r="N1565" s="611" t="str">
        <f>"CPTE # "&amp;Page5_GMC_VE!$E$16&amp;"  "&amp;Page5_GMC_VE!$C$16&amp;" - CHIFFRE D'AFFAIRES RÉALISÉ - AAD"</f>
        <v>CPTE # 412H  NE PAS UTILISER - CHIFFRE D'AFFAIRES RÉALISÉ - AAD</v>
      </c>
      <c r="O1565" s="611" t="str">
        <f t="shared" si="218"/>
        <v/>
      </c>
      <c r="P1565" s="611" t="str">
        <f t="shared" si="213"/>
        <v>Page5_GMC_VE!L</v>
      </c>
      <c r="Q1565" s="611">
        <f t="shared" si="214"/>
        <v>16</v>
      </c>
      <c r="R1565" s="1447">
        <f t="shared" ca="1" si="215"/>
        <v>0</v>
      </c>
      <c r="S1565" s="1447">
        <f t="shared" ca="1" si="216"/>
        <v>0</v>
      </c>
      <c r="V1565" s="2557" t="str">
        <f t="shared" ca="1" si="219"/>
        <v/>
      </c>
      <c r="W1565" s="611" t="str">
        <f t="shared" ca="1" si="217"/>
        <v>Page5_GMC_VE, Ligne 13 [Page5_GMC_VE!L16]  -</v>
      </c>
    </row>
    <row r="1566" spans="1:23">
      <c r="A1566" s="1443" t="str">
        <f>celladdr(Page5_GMC_VE!L17)</f>
        <v>Page5_GMC_VE!L17</v>
      </c>
      <c r="B1566" s="1456" t="s">
        <v>1086</v>
      </c>
      <c r="C1566" s="1451" t="b">
        <f>Page5_GMC_VE!$L$17&lt;0</f>
        <v>0</v>
      </c>
      <c r="D1566" s="1454" t="b">
        <f>OR(AND(Page5_GMC_VE!$L17&lt;&gt;0,Page5_GMC_VE!$M17=0),AND(Page5_GMC_VE!$M17&lt;&gt;0,Page5_GMC_VE!$L17=0))</f>
        <v>0</v>
      </c>
      <c r="E1566" s="1454"/>
      <c r="F1566" s="1454"/>
      <c r="G1566" s="1444" t="str">
        <f t="shared" si="212"/>
        <v/>
      </c>
      <c r="H1566" s="1447" t="str">
        <f>IF(C1566=TRUE,Comments!$B$23,"")</f>
        <v/>
      </c>
      <c r="I1566" s="1446" t="str">
        <f>IF(D1566=TRUE,Comments!$B$24,"")</f>
        <v/>
      </c>
      <c r="J1566" s="1446"/>
      <c r="K1566" s="1452"/>
      <c r="N1566" s="611" t="str">
        <f>"CPTE # "&amp;Page5_GMC_VE!$E$17&amp;"  "&amp;Page5_GMC_VE!$C$17&amp;" - CHIFFRE D'AFFAIRES RÉALISÉ - AAD"</f>
        <v>CPTE # 413H  NE PAS UTILISER - CHIFFRE D'AFFAIRES RÉALISÉ - AAD</v>
      </c>
      <c r="O1566" s="611" t="str">
        <f t="shared" si="218"/>
        <v/>
      </c>
      <c r="P1566" s="611" t="str">
        <f t="shared" si="213"/>
        <v>Page5_GMC_VE!L</v>
      </c>
      <c r="Q1566" s="611">
        <f t="shared" si="214"/>
        <v>17</v>
      </c>
      <c r="R1566" s="1447">
        <f t="shared" ca="1" si="215"/>
        <v>0</v>
      </c>
      <c r="S1566" s="1447">
        <f t="shared" ca="1" si="216"/>
        <v>0</v>
      </c>
      <c r="V1566" s="2557" t="str">
        <f t="shared" ca="1" si="219"/>
        <v/>
      </c>
      <c r="W1566" s="611" t="str">
        <f t="shared" ca="1" si="217"/>
        <v>Page5_GMC_VE, Ligne 14 [Page5_GMC_VE!L17]  -</v>
      </c>
    </row>
    <row r="1567" spans="1:23">
      <c r="A1567" s="1443" t="str">
        <f>celladdr(Page5_GMC_VE!L18)</f>
        <v>Page5_GMC_VE!L18</v>
      </c>
      <c r="B1567" s="1456" t="s">
        <v>1086</v>
      </c>
      <c r="C1567" s="1451" t="b">
        <f>Page5_GMC_VE!$L$18&lt;0</f>
        <v>0</v>
      </c>
      <c r="D1567" s="1454" t="b">
        <f>OR(AND(Page5_GMC_VE!$L18&lt;&gt;0,Page5_GMC_VE!$M18=0),AND(Page5_GMC_VE!$M18&lt;&gt;0,Page5_GMC_VE!$L18=0))</f>
        <v>0</v>
      </c>
      <c r="E1567" s="1454"/>
      <c r="F1567" s="1454"/>
      <c r="G1567" s="1444" t="str">
        <f t="shared" si="212"/>
        <v/>
      </c>
      <c r="H1567" s="1447" t="str">
        <f>IF(C1567=TRUE,Comments!$B$23,"")</f>
        <v/>
      </c>
      <c r="I1567" s="1446" t="str">
        <f>IF(D1567=TRUE,Comments!$B$24,"")</f>
        <v/>
      </c>
      <c r="J1567" s="1446"/>
      <c r="K1567" s="1452"/>
      <c r="N1567" s="611" t="str">
        <f>"CPTE # "&amp;Page5_GMC_VE!$E$18&amp;"  "&amp;Page5_GMC_VE!$C$18&amp;" - CHIFFRE D'AFFAIRES RÉALISÉ - AAD"</f>
        <v>CPTE # 414H  NE PAS UTILISER - CHIFFRE D'AFFAIRES RÉALISÉ - AAD</v>
      </c>
      <c r="O1567" s="611" t="str">
        <f t="shared" si="218"/>
        <v/>
      </c>
      <c r="P1567" s="611" t="str">
        <f t="shared" si="213"/>
        <v>Page5_GMC_VE!L</v>
      </c>
      <c r="Q1567" s="611">
        <f t="shared" si="214"/>
        <v>18</v>
      </c>
      <c r="R1567" s="1447">
        <f t="shared" ca="1" si="215"/>
        <v>0</v>
      </c>
      <c r="S1567" s="1447">
        <f t="shared" ca="1" si="216"/>
        <v>0</v>
      </c>
      <c r="V1567" s="2557" t="str">
        <f t="shared" ca="1" si="219"/>
        <v/>
      </c>
      <c r="W1567" s="611" t="str">
        <f t="shared" ca="1" si="217"/>
        <v>Page5_GMC_VE, Ligne 15 [Page5_GMC_VE!L18]  -</v>
      </c>
    </row>
    <row r="1568" spans="1:23">
      <c r="A1568" s="1443" t="str">
        <f>celladdr(Page5_GMC_VE!L19)</f>
        <v>Page5_GMC_VE!L19</v>
      </c>
      <c r="B1568" s="1456" t="s">
        <v>1086</v>
      </c>
      <c r="C1568" s="1451" t="b">
        <f>Page5_GMC_VE!$L$19&lt;0</f>
        <v>0</v>
      </c>
      <c r="D1568" s="1454" t="b">
        <f>OR(AND(Page5_GMC_VE!$L19&lt;&gt;0,Page5_GMC_VE!$M19=0),AND(Page5_GMC_VE!$M19&lt;&gt;0,Page5_GMC_VE!$L19=0))</f>
        <v>0</v>
      </c>
      <c r="E1568" s="1454"/>
      <c r="F1568" s="1454"/>
      <c r="G1568" s="1444" t="str">
        <f t="shared" si="212"/>
        <v/>
      </c>
      <c r="H1568" s="1447" t="str">
        <f>IF(C1568=TRUE,Comments!$B$23,"")</f>
        <v/>
      </c>
      <c r="I1568" s="1446" t="str">
        <f>IF(D1568=TRUE,Comments!$B$24,"")</f>
        <v/>
      </c>
      <c r="J1568" s="1446"/>
      <c r="K1568" s="1452"/>
      <c r="N1568" s="611" t="str">
        <f>"CPTE # "&amp;Page5_GMC_VE!$E$19&amp;"  "&amp;Page5_GMC_VE!$C$19&amp;" - CHIFFRE D'AFFAIRES RÉALISÉ - AAD"</f>
        <v>CPTE # 415H  NE PAS UTILISER - CHIFFRE D'AFFAIRES RÉALISÉ - AAD</v>
      </c>
      <c r="O1568" s="611" t="str">
        <f t="shared" si="218"/>
        <v/>
      </c>
      <c r="P1568" s="611" t="str">
        <f t="shared" si="213"/>
        <v>Page5_GMC_VE!L</v>
      </c>
      <c r="Q1568" s="611">
        <f t="shared" si="214"/>
        <v>19</v>
      </c>
      <c r="R1568" s="1447">
        <f t="shared" ca="1" si="215"/>
        <v>0</v>
      </c>
      <c r="S1568" s="1447">
        <f t="shared" ca="1" si="216"/>
        <v>0</v>
      </c>
      <c r="V1568" s="2557" t="str">
        <f t="shared" ca="1" si="219"/>
        <v/>
      </c>
      <c r="W1568" s="611" t="str">
        <f t="shared" ca="1" si="217"/>
        <v>Page5_GMC_VE, Ligne 16 [Page5_GMC_VE!L19]  -</v>
      </c>
    </row>
    <row r="1569" spans="1:23">
      <c r="A1569" s="1443" t="str">
        <f>celladdr(Page5_GMC_VE!L20)</f>
        <v>Page5_GMC_VE!L20</v>
      </c>
      <c r="B1569" s="1456" t="s">
        <v>1086</v>
      </c>
      <c r="C1569" s="1451" t="b">
        <f>Page5_GMC_VE!$L$20&lt;0</f>
        <v>0</v>
      </c>
      <c r="D1569" s="1454"/>
      <c r="E1569" s="1454"/>
      <c r="F1569" s="1454"/>
      <c r="G1569" s="1444" t="str">
        <f t="shared" si="212"/>
        <v/>
      </c>
      <c r="H1569" s="1447" t="str">
        <f>IF(C1569=TRUE,Comments!$B$23,"")</f>
        <v/>
      </c>
      <c r="I1569" s="1446"/>
      <c r="J1569" s="1446"/>
      <c r="K1569" s="1452"/>
      <c r="N1569" s="611" t="str">
        <f>"CPTE # "&amp;Page5_GMC_VE!$E$20&amp;"  "&amp;Page5_GMC_VE!$C$20&amp;" - CHIFFRE D'AFFAIRES RÉALISÉ - AAD"</f>
        <v>CPTE # 416H  NE PAS UTILISER - CHIFFRE D'AFFAIRES RÉALISÉ - AAD</v>
      </c>
      <c r="O1569" s="611" t="str">
        <f t="shared" si="218"/>
        <v/>
      </c>
      <c r="P1569" s="611" t="str">
        <f t="shared" si="213"/>
        <v>Page5_GMC_VE!L</v>
      </c>
      <c r="Q1569" s="611">
        <f t="shared" si="214"/>
        <v>20</v>
      </c>
      <c r="R1569" s="1447">
        <f t="shared" ca="1" si="215"/>
        <v>0</v>
      </c>
      <c r="S1569" s="1447">
        <f t="shared" ca="1" si="216"/>
        <v>0</v>
      </c>
      <c r="V1569" s="2557" t="str">
        <f t="shared" ca="1" si="219"/>
        <v/>
      </c>
      <c r="W1569" s="611" t="str">
        <f t="shared" ca="1" si="217"/>
        <v>Page5_GMC_VE, Ligne 17 [Page5_GMC_VE!L20]  -</v>
      </c>
    </row>
    <row r="1570" spans="1:23">
      <c r="A1570" s="1443" t="str">
        <f>celladdr(Page5_GMC_VE!L21)</f>
        <v>Page5_GMC_VE!L21</v>
      </c>
      <c r="B1570" s="1456" t="s">
        <v>1086</v>
      </c>
      <c r="C1570" s="1451" t="b">
        <f>Page5_GMC_VE!$L$21&lt;0</f>
        <v>0</v>
      </c>
      <c r="D1570" s="1454" t="b">
        <f>OR(AND(Page5_GMC_VE!$L21&lt;&gt;0,Page5_GMC_VE!$M21=0),AND(Page5_GMC_VE!$M21&lt;&gt;0,Page5_GMC_VE!$L21=0))</f>
        <v>0</v>
      </c>
      <c r="E1570" s="1454"/>
      <c r="F1570" s="1454"/>
      <c r="G1570" s="1444" t="str">
        <f t="shared" si="212"/>
        <v/>
      </c>
      <c r="H1570" s="1447" t="str">
        <f>IF(C1570=TRUE,Comments!$B$23,"")</f>
        <v/>
      </c>
      <c r="I1570" s="1446" t="str">
        <f>IF(D1570=TRUE,Comments!$B$24,"")</f>
        <v/>
      </c>
      <c r="J1570" s="1446"/>
      <c r="K1570" s="1452"/>
      <c r="N1570" s="611" t="str">
        <f>"CPTE # "&amp;Page5_GMC_VE!$E$21&amp;"  "&amp;Page5_GMC_VE!$C$21&amp;" - CHIFFRE D'AFFAIRES RÉALISÉ - AAD"</f>
        <v>CPTE # 417H  NE PAS UTILISER - CHIFFRE D'AFFAIRES RÉALISÉ - AAD</v>
      </c>
      <c r="O1570" s="611" t="str">
        <f t="shared" si="218"/>
        <v/>
      </c>
      <c r="P1570" s="611" t="str">
        <f t="shared" si="213"/>
        <v>Page5_GMC_VE!L</v>
      </c>
      <c r="Q1570" s="611">
        <f t="shared" si="214"/>
        <v>21</v>
      </c>
      <c r="R1570" s="1447">
        <f t="shared" ca="1" si="215"/>
        <v>0</v>
      </c>
      <c r="S1570" s="1447">
        <f t="shared" ca="1" si="216"/>
        <v>0</v>
      </c>
      <c r="V1570" s="2557" t="str">
        <f t="shared" ca="1" si="219"/>
        <v/>
      </c>
      <c r="W1570" s="611" t="str">
        <f t="shared" ca="1" si="217"/>
        <v>Page5_GMC_VE, Ligne 18 [Page5_GMC_VE!L21]  -</v>
      </c>
    </row>
    <row r="1571" spans="1:23">
      <c r="A1571" s="1443" t="str">
        <f>celladdr(Page5_GMC_VE!L22)</f>
        <v>Page5_GMC_VE!L22</v>
      </c>
      <c r="B1571" s="1456" t="s">
        <v>1086</v>
      </c>
      <c r="C1571" s="1451" t="b">
        <f>Page5_GMC_VE!$L$22&lt;0</f>
        <v>0</v>
      </c>
      <c r="D1571" s="1454" t="b">
        <f>OR(AND(Page5_GMC_VE!$L22&lt;&gt;0,Page5_GMC_VE!$M22=0),AND(Page5_GMC_VE!$M22&lt;&gt;0,Page5_GMC_VE!$L22=0))</f>
        <v>0</v>
      </c>
      <c r="E1571" s="1454"/>
      <c r="F1571" s="1454"/>
      <c r="G1571" s="1444" t="str">
        <f t="shared" si="212"/>
        <v/>
      </c>
      <c r="H1571" s="1447" t="str">
        <f>IF(C1571=TRUE,Comments!$B$23,"")</f>
        <v/>
      </c>
      <c r="I1571" s="1446" t="str">
        <f>IF(D1571=TRUE,Comments!$B$24,"")</f>
        <v/>
      </c>
      <c r="J1571" s="1446"/>
      <c r="K1571" s="1452"/>
      <c r="N1571" s="611" t="str">
        <f>"CPTE # "&amp;Page5_GMC_VE!$E$22&amp;"  "&amp;Page5_GMC_VE!$C$22&amp;" - CHIFFRE D'AFFAIRES RÉALISÉ - AAD"</f>
        <v>CPTE # 418H  NE PAS UTILISER - CHIFFRE D'AFFAIRES RÉALISÉ - AAD</v>
      </c>
      <c r="O1571" s="611" t="str">
        <f t="shared" si="218"/>
        <v/>
      </c>
      <c r="P1571" s="611" t="str">
        <f t="shared" si="213"/>
        <v>Page5_GMC_VE!L</v>
      </c>
      <c r="Q1571" s="611">
        <f t="shared" si="214"/>
        <v>22</v>
      </c>
      <c r="R1571" s="1447">
        <f t="shared" ca="1" si="215"/>
        <v>0</v>
      </c>
      <c r="S1571" s="1447">
        <f t="shared" ca="1" si="216"/>
        <v>0</v>
      </c>
      <c r="V1571" s="2557" t="str">
        <f t="shared" ca="1" si="219"/>
        <v/>
      </c>
      <c r="W1571" s="611" t="str">
        <f t="shared" ca="1" si="217"/>
        <v>Page5_GMC_VE, Ligne 19 [Page5_GMC_VE!L22]  -</v>
      </c>
    </row>
    <row r="1572" spans="1:23">
      <c r="A1572" s="1443" t="str">
        <f>celladdr(Page5_GMC_VE!L23)</f>
        <v>Page5_GMC_VE!L23</v>
      </c>
      <c r="B1572" s="1444" t="s">
        <v>1086</v>
      </c>
      <c r="C1572" s="1451"/>
      <c r="D1572" s="1454"/>
      <c r="E1572" s="1454"/>
      <c r="F1572" s="1454"/>
      <c r="G1572" s="1444" t="str">
        <f t="shared" si="212"/>
        <v/>
      </c>
      <c r="H1572" s="1447" t="str">
        <f>IF(C1572=TRUE,Comments!$B$26,"")</f>
        <v/>
      </c>
      <c r="I1572" s="1446" t="str">
        <f>IF(D1572=TRUE,Comments!$B$24,"")</f>
        <v/>
      </c>
      <c r="J1572" s="1446"/>
      <c r="K1572" s="1452"/>
      <c r="O1572" s="611" t="str">
        <f t="shared" si="218"/>
        <v/>
      </c>
      <c r="P1572" s="611" t="str">
        <f t="shared" si="213"/>
        <v>Page5_GMC_VE!L</v>
      </c>
      <c r="Q1572" s="611">
        <f t="shared" si="214"/>
        <v>23</v>
      </c>
      <c r="R1572" s="1447">
        <f t="shared" ca="1" si="215"/>
        <v>0</v>
      </c>
      <c r="S1572" s="1447">
        <f t="shared" ca="1" si="216"/>
        <v>0</v>
      </c>
      <c r="V1572" s="2557" t="str">
        <f t="shared" ca="1" si="219"/>
        <v/>
      </c>
      <c r="W1572" s="611" t="str">
        <f t="shared" ca="1" si="217"/>
        <v>Page5_GMC_VE, Ligne 20 [Page5_GMC_VE!L23]  -</v>
      </c>
    </row>
    <row r="1573" spans="1:23">
      <c r="A1573" s="1443" t="str">
        <f>celladdr(Page5_GMC_VE!L24)</f>
        <v>Page5_GMC_VE!L24</v>
      </c>
      <c r="B1573" s="1456" t="s">
        <v>1086</v>
      </c>
      <c r="C1573" s="1451" t="b">
        <f>Page5_GMC_VE!$L$24&lt;0</f>
        <v>0</v>
      </c>
      <c r="D1573" s="1454" t="b">
        <f>OR(AND(Page5_GMC_VE!$L24&lt;&gt;0,Page5_GMC_VE!$M24=0),AND(Page5_GMC_VE!$M24&lt;&gt;0,Page5_GMC_VE!$L24=0))</f>
        <v>0</v>
      </c>
      <c r="E1573" s="1454"/>
      <c r="F1573" s="1454"/>
      <c r="G1573" s="1444" t="str">
        <f t="shared" si="212"/>
        <v/>
      </c>
      <c r="H1573" s="1447" t="str">
        <f>IF(C1573=TRUE,Comments!$B$23,"")</f>
        <v/>
      </c>
      <c r="I1573" s="1446" t="str">
        <f>IF(D1573=TRUE,Comments!$B$24,"")</f>
        <v/>
      </c>
      <c r="J1573" s="1446"/>
      <c r="K1573" s="1452"/>
      <c r="N1573" s="611" t="str">
        <f>"CPTE # "&amp;Page5_GMC_VE!$E$24&amp;"  "&amp;Page5_GMC_VE!$C$24&amp;" - CHIFFRE D'AFFAIRES RÉALISÉ - AAD"</f>
        <v>CPTE # 419H  MÉMO* VENTES INTERNET VOITURES - CHIFFRE D'AFFAIRES RÉALISÉ - AAD</v>
      </c>
      <c r="O1573" s="611" t="str">
        <f t="shared" si="218"/>
        <v/>
      </c>
      <c r="P1573" s="611" t="str">
        <f t="shared" si="213"/>
        <v>Page5_GMC_VE!L</v>
      </c>
      <c r="Q1573" s="611">
        <f t="shared" si="214"/>
        <v>24</v>
      </c>
      <c r="R1573" s="1447">
        <f t="shared" ca="1" si="215"/>
        <v>0</v>
      </c>
      <c r="S1573" s="1447">
        <f t="shared" ca="1" si="216"/>
        <v>0</v>
      </c>
      <c r="V1573" s="2557" t="str">
        <f t="shared" ca="1" si="219"/>
        <v/>
      </c>
      <c r="W1573" s="611" t="str">
        <f t="shared" ca="1" si="217"/>
        <v>Page5_GMC_VE, Ligne 21 [Page5_GMC_VE!L24]  -</v>
      </c>
    </row>
    <row r="1574" spans="1:23">
      <c r="A1574" s="1443" t="str">
        <f>celladdr(Page5_GMC_VE!L25)</f>
        <v>Page5_GMC_VE!L25</v>
      </c>
      <c r="B1574" s="1456" t="s">
        <v>1086</v>
      </c>
      <c r="C1574" s="1451" t="b">
        <f>Page5_GMC_VE!$L$25&lt;0</f>
        <v>0</v>
      </c>
      <c r="D1574" s="1454" t="b">
        <f>OR(AND(Page5_GMC_VE!$L25&lt;&gt;0,Page5_GMC_VE!$M25=0),AND(Page5_GMC_VE!$M25&lt;&gt;0,Page5_GMC_VE!$L25=0))</f>
        <v>0</v>
      </c>
      <c r="E1574" s="1454"/>
      <c r="F1574" s="1454"/>
      <c r="G1574" s="1444" t="str">
        <f t="shared" si="212"/>
        <v/>
      </c>
      <c r="H1574" s="1447" t="str">
        <f>IF(C1574=TRUE,Comments!$B$23,"")</f>
        <v/>
      </c>
      <c r="I1574" s="1446" t="str">
        <f>IF(D1574=TRUE,Comments!$B$24,"")</f>
        <v/>
      </c>
      <c r="J1574" s="1446"/>
      <c r="K1574" s="1452"/>
      <c r="N1574" s="611" t="str">
        <f>"CPTE # "&amp;Page5_GMC_VE!$E$25&amp;"  "&amp;Page5_GMC_VE!$C$25&amp;" - CHIFFRE D'AFFAIRES RÉALISÉ - AAD"</f>
        <v>CPTE # DE PG PARCS  TOTAL PARCS - VOITURES - CHIFFRE D'AFFAIRES RÉALISÉ - AAD</v>
      </c>
      <c r="O1574" s="611" t="str">
        <f t="shared" si="218"/>
        <v/>
      </c>
      <c r="P1574" s="611" t="str">
        <f t="shared" si="213"/>
        <v>Page5_GMC_VE!L</v>
      </c>
      <c r="Q1574" s="611">
        <f t="shared" si="214"/>
        <v>25</v>
      </c>
      <c r="R1574" s="1447">
        <f t="shared" ca="1" si="215"/>
        <v>0</v>
      </c>
      <c r="S1574" s="1447">
        <f t="shared" ca="1" si="216"/>
        <v>0</v>
      </c>
      <c r="V1574" s="2557" t="str">
        <f t="shared" ca="1" si="219"/>
        <v/>
      </c>
      <c r="W1574" s="611" t="str">
        <f t="shared" ca="1" si="217"/>
        <v>Page5_GMC_VE, Ligne 22 [Page5_GMC_VE!L25]  -</v>
      </c>
    </row>
    <row r="1575" spans="1:23">
      <c r="A1575" s="1443" t="str">
        <f>celladdr(Page5_GMC_VE!L26)</f>
        <v>Page5_GMC_VE!L26</v>
      </c>
      <c r="B1575" s="1456" t="s">
        <v>1086</v>
      </c>
      <c r="C1575" s="1451" t="b">
        <f>Page5_GMC_VE!$L$26&lt;0</f>
        <v>0</v>
      </c>
      <c r="D1575" s="1454" t="b">
        <f>OR(AND(Page5_GMC_VE!$L26&lt;&gt;0,Page5_GMC_VE!$M26=0),AND(Page5_GMC_VE!$M26&lt;&gt;0,Page5_GMC_VE!$L26=0))</f>
        <v>0</v>
      </c>
      <c r="E1575" s="1454"/>
      <c r="F1575" s="1454"/>
      <c r="G1575" s="1444" t="str">
        <f t="shared" si="212"/>
        <v/>
      </c>
      <c r="H1575" s="1447" t="str">
        <f>IF(C1575=TRUE,Comments!$B$23,"")</f>
        <v/>
      </c>
      <c r="I1575" s="1446" t="str">
        <f>IF(D1575=TRUE,Comments!$B$24,"")</f>
        <v/>
      </c>
      <c r="J1575" s="1446"/>
      <c r="K1575" s="1452"/>
      <c r="N1575" s="611" t="str">
        <f>"CPTE # "&amp;Page5_GMC_VE!$E$26&amp;"  "&amp;Page5_GMC_VE!$C$26&amp;" - CHIFFRE D'AFFAIRES RÉALISÉ - AAD"</f>
        <v>CPTE # 421H  TOTAL INTERNE - VOITURES - CHIFFRE D'AFFAIRES RÉALISÉ - AAD</v>
      </c>
      <c r="O1575" s="611" t="str">
        <f t="shared" si="218"/>
        <v/>
      </c>
      <c r="P1575" s="611" t="str">
        <f t="shared" si="213"/>
        <v>Page5_GMC_VE!L</v>
      </c>
      <c r="Q1575" s="611">
        <f t="shared" si="214"/>
        <v>26</v>
      </c>
      <c r="R1575" s="1447">
        <f t="shared" ca="1" si="215"/>
        <v>0</v>
      </c>
      <c r="S1575" s="1447">
        <f t="shared" ca="1" si="216"/>
        <v>0</v>
      </c>
      <c r="V1575" s="2557" t="str">
        <f t="shared" ca="1" si="219"/>
        <v/>
      </c>
      <c r="W1575" s="611" t="str">
        <f t="shared" ca="1" si="217"/>
        <v>Page5_GMC_VE, Ligne 23 [Page5_GMC_VE!L26]  -</v>
      </c>
    </row>
    <row r="1576" spans="1:23">
      <c r="A1576" s="1443" t="str">
        <f>celladdr(Page5_GMC_VE!L27)</f>
        <v>Page5_GMC_VE!L27</v>
      </c>
      <c r="B1576" s="1444" t="s">
        <v>1086</v>
      </c>
      <c r="C1576" s="1451"/>
      <c r="D1576" s="1454"/>
      <c r="E1576" s="1454"/>
      <c r="F1576" s="1454"/>
      <c r="G1576" s="1444" t="str">
        <f t="shared" si="212"/>
        <v/>
      </c>
      <c r="H1576" s="1447" t="str">
        <f>IF(C1576=TRUE,Comments!$B$26,"")</f>
        <v/>
      </c>
      <c r="I1576" s="1446" t="str">
        <f>IF(D1576=TRUE,Comments!$B$24,"")</f>
        <v/>
      </c>
      <c r="J1576" s="1446"/>
      <c r="K1576" s="1452"/>
      <c r="O1576" s="611" t="str">
        <f t="shared" si="218"/>
        <v/>
      </c>
      <c r="P1576" s="611" t="str">
        <f t="shared" si="213"/>
        <v>Page5_GMC_VE!L</v>
      </c>
      <c r="Q1576" s="611">
        <f t="shared" si="214"/>
        <v>27</v>
      </c>
      <c r="R1576" s="1447">
        <f t="shared" ca="1" si="215"/>
        <v>0</v>
      </c>
      <c r="S1576" s="1447">
        <f t="shared" ca="1" si="216"/>
        <v>0</v>
      </c>
      <c r="V1576" s="2557" t="str">
        <f t="shared" ca="1" si="219"/>
        <v/>
      </c>
      <c r="W1576" s="611" t="str">
        <f t="shared" ca="1" si="217"/>
        <v>Page5_GMC_VE, Ligne 24 [Page5_GMC_VE!L27]  -</v>
      </c>
    </row>
    <row r="1577" spans="1:23">
      <c r="A1577" s="1443" t="str">
        <f>celladdr(Page5_GMC_VE!L28)</f>
        <v>Page5_GMC_VE!L28</v>
      </c>
      <c r="B1577" s="1456" t="s">
        <v>1086</v>
      </c>
      <c r="C1577" s="1451" t="b">
        <f>Page5_GMC_VE!$L$28&lt;0</f>
        <v>0</v>
      </c>
      <c r="D1577" s="1454" t="b">
        <f>OR(AND(Page5_GMC_VE!$L28&lt;&gt;0,Page5_GMC_VE!$M28=0),AND(Page5_GMC_VE!$M28&lt;&gt;0,Page5_GMC_VE!$L28=0))</f>
        <v>0</v>
      </c>
      <c r="E1577" s="1454"/>
      <c r="F1577" s="1454"/>
      <c r="G1577" s="1444" t="str">
        <f t="shared" si="212"/>
        <v/>
      </c>
      <c r="H1577" s="1447" t="str">
        <f>IF(C1577=TRUE,Comments!$B$23,"")</f>
        <v/>
      </c>
      <c r="I1577" s="1446" t="str">
        <f>IF(D1577=TRUE,Comments!$B$24,"")</f>
        <v/>
      </c>
      <c r="J1577" s="1446"/>
      <c r="K1577" s="1452"/>
      <c r="N1577" s="611" t="str">
        <f>"CPTE # "&amp;Page5_GMC_VE!$E$28&amp;"  "&amp;Page5_GMC_VE!$C$28&amp;" - CHIFFRE D'AFFAIRES RÉALISÉ - AAD"</f>
        <v>CPTE # 423H  HUMMER EV SUT - CHIFFRE D'AFFAIRES RÉALISÉ - AAD</v>
      </c>
      <c r="O1577" s="611" t="str">
        <f t="shared" si="218"/>
        <v/>
      </c>
      <c r="P1577" s="611" t="str">
        <f t="shared" si="213"/>
        <v>Page5_GMC_VE!L</v>
      </c>
      <c r="Q1577" s="611">
        <f t="shared" si="214"/>
        <v>28</v>
      </c>
      <c r="R1577" s="1447">
        <f t="shared" ca="1" si="215"/>
        <v>0</v>
      </c>
      <c r="S1577" s="1447">
        <f t="shared" ca="1" si="216"/>
        <v>0</v>
      </c>
      <c r="V1577" s="2557" t="str">
        <f t="shared" ca="1" si="219"/>
        <v/>
      </c>
      <c r="W1577" s="611" t="str">
        <f t="shared" ca="1" si="217"/>
        <v>Page5_GMC_VE, Ligne 25 [Page5_GMC_VE!L28]  -</v>
      </c>
    </row>
    <row r="1578" spans="1:23">
      <c r="A1578" s="1443" t="str">
        <f>celladdr(Page5_GMC_VE!L29)</f>
        <v>Page5_GMC_VE!L29</v>
      </c>
      <c r="B1578" s="1456" t="s">
        <v>1086</v>
      </c>
      <c r="C1578" s="1451" t="b">
        <f>Page5_GMC_VE!$L$29&lt;0</f>
        <v>0</v>
      </c>
      <c r="D1578" s="1454" t="b">
        <f>OR(AND(Page5_GMC_VE!$L29&lt;&gt;0,Page5_GMC_VE!$M29=0),AND(Page5_GMC_VE!$M29&lt;&gt;0,Page5_GMC_VE!$L29=0))</f>
        <v>0</v>
      </c>
      <c r="E1578" s="1454"/>
      <c r="F1578" s="1454"/>
      <c r="G1578" s="1444" t="str">
        <f t="shared" si="212"/>
        <v/>
      </c>
      <c r="H1578" s="1447" t="str">
        <f>IF(C1578=TRUE,Comments!$B$23,"")</f>
        <v/>
      </c>
      <c r="I1578" s="1446" t="str">
        <f>IF(D1578=TRUE,Comments!$B$24,"")</f>
        <v/>
      </c>
      <c r="J1578" s="1446"/>
      <c r="K1578" s="1452"/>
      <c r="N1578" s="611" t="str">
        <f>"CPTE # "&amp;Page5_GMC_VE!$E$29&amp;"  "&amp;Page5_GMC_VE!$C$29&amp;" - CHIFFRE D'AFFAIRES RÉALISÉ - AAD"</f>
        <v>CPTE # 424H  HUMMER EV SUV - CHIFFRE D'AFFAIRES RÉALISÉ - AAD</v>
      </c>
      <c r="O1578" s="611" t="str">
        <f t="shared" si="218"/>
        <v/>
      </c>
      <c r="P1578" s="611" t="str">
        <f t="shared" si="213"/>
        <v>Page5_GMC_VE!L</v>
      </c>
      <c r="Q1578" s="611">
        <f t="shared" si="214"/>
        <v>29</v>
      </c>
      <c r="R1578" s="1447">
        <f t="shared" ca="1" si="215"/>
        <v>0</v>
      </c>
      <c r="S1578" s="1447">
        <f t="shared" ca="1" si="216"/>
        <v>0</v>
      </c>
      <c r="V1578" s="2557" t="str">
        <f t="shared" ca="1" si="219"/>
        <v/>
      </c>
      <c r="W1578" s="611" t="str">
        <f t="shared" ca="1" si="217"/>
        <v>Page5_GMC_VE, Ligne 26 [Page5_GMC_VE!L29]  -</v>
      </c>
    </row>
    <row r="1579" spans="1:23">
      <c r="A1579" s="1443" t="str">
        <f>celladdr(Page5_GMC_VE!L30)</f>
        <v>Page5_GMC_VE!L30</v>
      </c>
      <c r="B1579" s="1456" t="s">
        <v>1086</v>
      </c>
      <c r="C1579" s="1451" t="b">
        <f>Page5_GMC_VE!$L$30&lt;0</f>
        <v>0</v>
      </c>
      <c r="D1579" s="1454" t="b">
        <f>OR(AND(Page5_GMC_VE!$L30&lt;&gt;0,Page5_GMC_VE!$M30=0),AND(Page5_GMC_VE!$M30&lt;&gt;0,Page5_GMC_VE!$L30=0))</f>
        <v>0</v>
      </c>
      <c r="E1579" s="1454"/>
      <c r="F1579" s="1454"/>
      <c r="G1579" s="1444" t="str">
        <f t="shared" si="212"/>
        <v/>
      </c>
      <c r="H1579" s="1447" t="str">
        <f>IF(C1579=TRUE,Comments!$B$23,"")</f>
        <v/>
      </c>
      <c r="I1579" s="1446" t="str">
        <f>IF(D1579=TRUE,Comments!$B$24,"")</f>
        <v/>
      </c>
      <c r="J1579" s="1446"/>
      <c r="K1579" s="1452"/>
      <c r="N1579" s="611" t="str">
        <f>"CPTE # "&amp;Page5_GMC_VE!$E$30&amp;"  "&amp;Page5_GMC_VE!$C$30&amp;" - CHIFFRE D'AFFAIRES RÉALISÉ - AAD"</f>
        <v>CPTE # 425H  SIERRA EV - CHIFFRE D'AFFAIRES RÉALISÉ - AAD</v>
      </c>
      <c r="O1579" s="611" t="str">
        <f t="shared" si="218"/>
        <v/>
      </c>
      <c r="P1579" s="611" t="str">
        <f t="shared" si="213"/>
        <v>Page5_GMC_VE!L</v>
      </c>
      <c r="Q1579" s="611">
        <f t="shared" si="214"/>
        <v>30</v>
      </c>
      <c r="R1579" s="1447">
        <f t="shared" ca="1" si="215"/>
        <v>0</v>
      </c>
      <c r="S1579" s="1447">
        <f t="shared" ca="1" si="216"/>
        <v>0</v>
      </c>
      <c r="V1579" s="2557" t="str">
        <f t="shared" ca="1" si="219"/>
        <v/>
      </c>
      <c r="W1579" s="611" t="str">
        <f t="shared" ca="1" si="217"/>
        <v>Page5_GMC_VE, Ligne 27 [Page5_GMC_VE!L30]  -</v>
      </c>
    </row>
    <row r="1580" spans="1:23">
      <c r="A1580" s="1443" t="str">
        <f>celladdr(Page5_GMC_VE!L31)</f>
        <v>Page5_GMC_VE!L31</v>
      </c>
      <c r="B1580" s="1456" t="s">
        <v>1086</v>
      </c>
      <c r="C1580" s="1451" t="b">
        <f>Page5_GMC_VE!$L$31&lt;0</f>
        <v>0</v>
      </c>
      <c r="D1580" s="1454" t="b">
        <f>OR(AND(Page5_GMC_VE!$L31&lt;&gt;0,Page5_GMC_VE!$M31=0),AND(Page5_GMC_VE!$M31&lt;&gt;0,Page5_GMC_VE!$L31=0))</f>
        <v>0</v>
      </c>
      <c r="E1580" s="1454"/>
      <c r="F1580" s="1454"/>
      <c r="G1580" s="1444" t="str">
        <f t="shared" si="212"/>
        <v/>
      </c>
      <c r="H1580" s="1447" t="str">
        <f>IF(C1580=TRUE,Comments!$B$23,"")</f>
        <v/>
      </c>
      <c r="I1580" s="1446" t="str">
        <f>IF(D1580=TRUE,Comments!$B$24,"")</f>
        <v/>
      </c>
      <c r="J1580" s="1446"/>
      <c r="K1580" s="1452"/>
      <c r="N1580" s="611" t="str">
        <f>"CPTE # "&amp;Page5_GMC_VE!$E$31&amp;"  "&amp;Page5_GMC_VE!$C$31&amp;" - CHIFFRE D'AFFAIRES RÉALISÉ - AAD"</f>
        <v>CPTE # 426H  NE PAS UTILISER - CHIFFRE D'AFFAIRES RÉALISÉ - AAD</v>
      </c>
      <c r="O1580" s="611" t="str">
        <f t="shared" ref="O1580:O1596" si="220">IF(A1580=A1579,"TRUE","")</f>
        <v/>
      </c>
      <c r="P1580" s="611" t="str">
        <f t="shared" si="213"/>
        <v>Page5_GMC_VE!L</v>
      </c>
      <c r="Q1580" s="611">
        <f t="shared" si="214"/>
        <v>31</v>
      </c>
      <c r="R1580" s="1447">
        <f t="shared" ca="1" si="215"/>
        <v>0</v>
      </c>
      <c r="S1580" s="1447">
        <f t="shared" ca="1" si="216"/>
        <v>0</v>
      </c>
      <c r="V1580" s="2557" t="str">
        <f t="shared" ca="1" si="219"/>
        <v/>
      </c>
      <c r="W1580" s="611" t="str">
        <f t="shared" ca="1" si="217"/>
        <v>Page5_GMC_VE, Ligne 28 [Page5_GMC_VE!L31]  -</v>
      </c>
    </row>
    <row r="1581" spans="1:23">
      <c r="A1581" s="1443" t="str">
        <f>celladdr(Page5_GMC_VE!L32)</f>
        <v>Page5_GMC_VE!L32</v>
      </c>
      <c r="B1581" s="1456" t="s">
        <v>1086</v>
      </c>
      <c r="C1581" s="1451" t="b">
        <f>Page5_GMC_VE!$L$32&lt;0</f>
        <v>0</v>
      </c>
      <c r="D1581" s="1454" t="b">
        <f>OR(AND(Page5_GMC_VE!$L32&lt;&gt;0,Page5_GMC_VE!$M32=0),AND(Page5_GMC_VE!$M32&lt;&gt;0,Page5_GMC_VE!$L32=0))</f>
        <v>0</v>
      </c>
      <c r="E1581" s="1454"/>
      <c r="F1581" s="1454"/>
      <c r="G1581" s="1444" t="str">
        <f t="shared" si="212"/>
        <v/>
      </c>
      <c r="H1581" s="1447" t="str">
        <f>IF(C1581=TRUE,Comments!$B$23,"")</f>
        <v/>
      </c>
      <c r="I1581" s="1446" t="str">
        <f>IF(D1581=TRUE,Comments!$B$24,"")</f>
        <v/>
      </c>
      <c r="J1581" s="1446"/>
      <c r="K1581" s="1452"/>
      <c r="N1581" s="611" t="str">
        <f>"CPTE # "&amp;Page5_GMC_VE!$E$32&amp;"  "&amp;Page5_GMC_VE!$C$32&amp;" - CHIFFRE D'AFFAIRES RÉALISÉ - AAD"</f>
        <v>CPTE # 427H  NE PAS UTILISER - CHIFFRE D'AFFAIRES RÉALISÉ - AAD</v>
      </c>
      <c r="O1581" s="611" t="str">
        <f t="shared" si="220"/>
        <v/>
      </c>
      <c r="P1581" s="611" t="str">
        <f t="shared" si="213"/>
        <v>Page5_GMC_VE!L</v>
      </c>
      <c r="Q1581" s="611">
        <f t="shared" si="214"/>
        <v>32</v>
      </c>
      <c r="R1581" s="1447">
        <f t="shared" ca="1" si="215"/>
        <v>0</v>
      </c>
      <c r="S1581" s="1447">
        <f t="shared" ca="1" si="216"/>
        <v>0</v>
      </c>
      <c r="V1581" s="2557" t="str">
        <f t="shared" ca="1" si="219"/>
        <v/>
      </c>
      <c r="W1581" s="611" t="str">
        <f t="shared" ca="1" si="217"/>
        <v>Page5_GMC_VE, Ligne 29 [Page5_GMC_VE!L32]  -</v>
      </c>
    </row>
    <row r="1582" spans="1:23">
      <c r="A1582" s="1443" t="str">
        <f>celladdr(Page5_GMC_VE!L33)</f>
        <v>Page5_GMC_VE!L33</v>
      </c>
      <c r="B1582" s="1456" t="s">
        <v>1086</v>
      </c>
      <c r="C1582" s="1451" t="b">
        <f>Page5_GMC_VE!$L$33&lt;0</f>
        <v>0</v>
      </c>
      <c r="D1582" s="1454" t="b">
        <f>OR(AND(Page5_GMC_VE!$L33&lt;&gt;0,Page5_GMC_VE!$M33=0),AND(Page5_GMC_VE!$M33&lt;&gt;0,Page5_GMC_VE!$L33=0))</f>
        <v>0</v>
      </c>
      <c r="E1582" s="1454"/>
      <c r="F1582" s="1454"/>
      <c r="G1582" s="1444" t="str">
        <f t="shared" si="212"/>
        <v/>
      </c>
      <c r="H1582" s="1447" t="str">
        <f>IF(C1582=TRUE,Comments!$B$23,"")</f>
        <v/>
      </c>
      <c r="I1582" s="1446" t="str">
        <f>IF(D1582=TRUE,Comments!$B$24,"")</f>
        <v/>
      </c>
      <c r="J1582" s="1446"/>
      <c r="K1582" s="1452"/>
      <c r="N1582" s="611" t="str">
        <f>"CPTE # "&amp;Page5_GMC_VE!$E$33&amp;"  "&amp;Page5_GMC_VE!$C$33&amp;" - CHIFFRE D'AFFAIRES RÉALISÉ - AAD"</f>
        <v>CPTE # 428H  NE PAS UTILISER - CHIFFRE D'AFFAIRES RÉALISÉ - AAD</v>
      </c>
      <c r="O1582" s="611" t="str">
        <f t="shared" si="220"/>
        <v/>
      </c>
      <c r="P1582" s="611" t="str">
        <f t="shared" si="213"/>
        <v>Page5_GMC_VE!L</v>
      </c>
      <c r="Q1582" s="611">
        <f t="shared" si="214"/>
        <v>33</v>
      </c>
      <c r="R1582" s="1447">
        <f t="shared" ca="1" si="215"/>
        <v>0</v>
      </c>
      <c r="S1582" s="1447">
        <f t="shared" ca="1" si="216"/>
        <v>0</v>
      </c>
      <c r="V1582" s="2557" t="str">
        <f t="shared" ca="1" si="219"/>
        <v/>
      </c>
      <c r="W1582" s="611" t="str">
        <f t="shared" ca="1" si="217"/>
        <v>Page5_GMC_VE, Ligne 30 [Page5_GMC_VE!L33]  -</v>
      </c>
    </row>
    <row r="1583" spans="1:23">
      <c r="A1583" s="1443" t="str">
        <f>celladdr(Page5_GMC_VE!L34)</f>
        <v>Page5_GMC_VE!L34</v>
      </c>
      <c r="B1583" s="1456" t="s">
        <v>1086</v>
      </c>
      <c r="C1583" s="1451" t="b">
        <f>Page5_GMC_VE!$L$34&lt;0</f>
        <v>0</v>
      </c>
      <c r="D1583" s="1454" t="b">
        <f>OR(AND(Page5_GMC_VE!$L34&lt;&gt;0,Page5_GMC_VE!$M34=0),AND(Page5_GMC_VE!$M34&lt;&gt;0,Page5_GMC_VE!$L34=0))</f>
        <v>0</v>
      </c>
      <c r="E1583" s="1454"/>
      <c r="F1583" s="1454"/>
      <c r="G1583" s="1444" t="str">
        <f t="shared" si="212"/>
        <v/>
      </c>
      <c r="H1583" s="1447" t="str">
        <f>IF(C1583=TRUE,Comments!$B$23,"")</f>
        <v/>
      </c>
      <c r="I1583" s="1446" t="str">
        <f>IF(D1583=TRUE,Comments!$B$24,"")</f>
        <v/>
      </c>
      <c r="J1583" s="1446"/>
      <c r="K1583" s="1452"/>
      <c r="N1583" s="611" t="str">
        <f>"CPTE # "&amp;Page5_GMC_VE!$E$34&amp;"  "&amp;Page5_GMC_VE!$C$34&amp;" - CHIFFRE D'AFFAIRES RÉALISÉ - AAD"</f>
        <v>CPTE # 429H  NE PAS UTILISER - CHIFFRE D'AFFAIRES RÉALISÉ - AAD</v>
      </c>
      <c r="O1583" s="611" t="str">
        <f t="shared" si="220"/>
        <v/>
      </c>
      <c r="P1583" s="611" t="str">
        <f t="shared" si="213"/>
        <v>Page5_GMC_VE!L</v>
      </c>
      <c r="Q1583" s="611">
        <f t="shared" si="214"/>
        <v>34</v>
      </c>
      <c r="R1583" s="1447">
        <f t="shared" ca="1" si="215"/>
        <v>0</v>
      </c>
      <c r="S1583" s="1447">
        <f t="shared" ca="1" si="216"/>
        <v>0</v>
      </c>
      <c r="V1583" s="2557" t="str">
        <f t="shared" ca="1" si="219"/>
        <v/>
      </c>
      <c r="W1583" s="611" t="str">
        <f t="shared" ca="1" si="217"/>
        <v>Page5_GMC_VE, Ligne 31 [Page5_GMC_VE!L34]  -</v>
      </c>
    </row>
    <row r="1584" spans="1:23">
      <c r="A1584" s="1443" t="str">
        <f>celladdr(Page5_GMC_VE!L35)</f>
        <v>Page5_GMC_VE!L35</v>
      </c>
      <c r="B1584" s="1456" t="s">
        <v>1086</v>
      </c>
      <c r="C1584" s="1451" t="b">
        <f>Page5_GMC_VE!$L$35&lt;0</f>
        <v>0</v>
      </c>
      <c r="D1584" s="1454" t="b">
        <f>OR(AND(Page5_GMC_VE!$L35&lt;&gt;0,Page5_GMC_VE!$M35=0),AND(Page5_GMC_VE!$M35&lt;&gt;0,Page5_GMC_VE!$L35=0))</f>
        <v>0</v>
      </c>
      <c r="E1584" s="1454"/>
      <c r="F1584" s="1454"/>
      <c r="G1584" s="1444" t="str">
        <f t="shared" si="212"/>
        <v/>
      </c>
      <c r="H1584" s="1447" t="str">
        <f>IF(C1584=TRUE,Comments!$B$23,"")</f>
        <v/>
      </c>
      <c r="I1584" s="1446" t="str">
        <f>IF(D1584=TRUE,Comments!$B$24,"")</f>
        <v/>
      </c>
      <c r="J1584" s="1446"/>
      <c r="K1584" s="1452"/>
      <c r="N1584" s="611" t="str">
        <f>"CPTE # "&amp;Page5_GMC_VE!$E$35&amp;"  "&amp;Page5_GMC_VE!$C$35&amp;" - CHIFFRE D'AFFAIRES RÉALISÉ - AAD"</f>
        <v>CPTE # 430H  NE PAS UTILISER - CHIFFRE D'AFFAIRES RÉALISÉ - AAD</v>
      </c>
      <c r="O1584" s="611" t="str">
        <f t="shared" si="220"/>
        <v/>
      </c>
      <c r="P1584" s="611" t="str">
        <f t="shared" si="213"/>
        <v>Page5_GMC_VE!L</v>
      </c>
      <c r="Q1584" s="611">
        <f t="shared" si="214"/>
        <v>35</v>
      </c>
      <c r="R1584" s="1447">
        <f t="shared" ca="1" si="215"/>
        <v>0</v>
      </c>
      <c r="S1584" s="1447">
        <f t="shared" ca="1" si="216"/>
        <v>0</v>
      </c>
      <c r="V1584" s="2557" t="str">
        <f t="shared" ca="1" si="219"/>
        <v/>
      </c>
      <c r="W1584" s="611" t="str">
        <f t="shared" ca="1" si="217"/>
        <v>Page5_GMC_VE, Ligne 32 [Page5_GMC_VE!L35]  -</v>
      </c>
    </row>
    <row r="1585" spans="1:23">
      <c r="A1585" s="1443" t="str">
        <f>celladdr(Page5_GMC_VE!L36)</f>
        <v>Page5_GMC_VE!L36</v>
      </c>
      <c r="B1585" s="1456" t="s">
        <v>1086</v>
      </c>
      <c r="C1585" s="1451" t="b">
        <f>Page5_GMC_VE!$L$36&lt;0</f>
        <v>0</v>
      </c>
      <c r="D1585" s="1454" t="b">
        <f>OR(AND(Page5_GMC_VE!$L36&lt;&gt;0,Page5_GMC_VE!$M36=0),AND(Page5_GMC_VE!$M36&lt;&gt;0,Page5_GMC_VE!$L36=0))</f>
        <v>0</v>
      </c>
      <c r="E1585" s="1454"/>
      <c r="F1585" s="1454"/>
      <c r="G1585" s="1444" t="str">
        <f t="shared" si="212"/>
        <v/>
      </c>
      <c r="H1585" s="1447" t="str">
        <f>IF(C1585=TRUE,Comments!$B$23,"")</f>
        <v/>
      </c>
      <c r="I1585" s="1446" t="str">
        <f>IF(D1585=TRUE,Comments!$B$24,"")</f>
        <v/>
      </c>
      <c r="J1585" s="1446"/>
      <c r="K1585" s="1452"/>
      <c r="N1585" s="611" t="str">
        <f>"CPTE # "&amp;Page5_GMC_VE!$E$36&amp;"  "&amp;Page5_GMC_VE!$C$36&amp;" - CHIFFRE D'AFFAIRES RÉALISÉ - AAD"</f>
        <v>CPTE # 431H  NE PAS UTILISER - CHIFFRE D'AFFAIRES RÉALISÉ - AAD</v>
      </c>
      <c r="O1585" s="611" t="str">
        <f t="shared" si="220"/>
        <v/>
      </c>
      <c r="P1585" s="611" t="str">
        <f t="shared" si="213"/>
        <v>Page5_GMC_VE!L</v>
      </c>
      <c r="Q1585" s="611">
        <f t="shared" si="214"/>
        <v>36</v>
      </c>
      <c r="R1585" s="1447">
        <f t="shared" ca="1" si="215"/>
        <v>0</v>
      </c>
      <c r="S1585" s="1447">
        <f t="shared" ca="1" si="216"/>
        <v>0</v>
      </c>
      <c r="V1585" s="2557" t="str">
        <f t="shared" ca="1" si="219"/>
        <v/>
      </c>
      <c r="W1585" s="611" t="str">
        <f t="shared" ca="1" si="217"/>
        <v>Page5_GMC_VE, Ligne 33 [Page5_GMC_VE!L36]  -</v>
      </c>
    </row>
    <row r="1586" spans="1:23">
      <c r="A1586" s="1443" t="str">
        <f>celladdr(Page5_GMC_VE!L37)</f>
        <v>Page5_GMC_VE!L37</v>
      </c>
      <c r="B1586" s="1456" t="s">
        <v>1086</v>
      </c>
      <c r="C1586" s="1451" t="b">
        <f>Page5_GMC_VE!$L$37&lt;0</f>
        <v>0</v>
      </c>
      <c r="D1586" s="1454" t="b">
        <f>OR(AND(Page5_GMC_VE!$L37&lt;&gt;0,Page5_GMC_VE!$M37=0),AND(Page5_GMC_VE!$M37&lt;&gt;0,Page5_GMC_VE!$L37=0))</f>
        <v>0</v>
      </c>
      <c r="E1586" s="1454"/>
      <c r="F1586" s="1454"/>
      <c r="G1586" s="1444" t="str">
        <f t="shared" si="212"/>
        <v/>
      </c>
      <c r="H1586" s="1447" t="str">
        <f>IF(C1586=TRUE,Comments!$B$23,"")</f>
        <v/>
      </c>
      <c r="I1586" s="1446" t="str">
        <f>IF(D1586=TRUE,Comments!$B$24,"")</f>
        <v/>
      </c>
      <c r="J1586" s="1446"/>
      <c r="K1586" s="1452"/>
      <c r="N1586" s="611" t="str">
        <f>"CPTE # "&amp;Page5_GMC_VE!$E$37&amp;"  "&amp;Page5_GMC_VE!$C$37&amp;" - CHIFFRE D'AFFAIRES RÉALISÉ - AAD"</f>
        <v>CPTE # 432H  NE PAS UTILISER - CHIFFRE D'AFFAIRES RÉALISÉ - AAD</v>
      </c>
      <c r="O1586" s="611" t="str">
        <f t="shared" si="220"/>
        <v/>
      </c>
      <c r="P1586" s="611" t="str">
        <f t="shared" si="213"/>
        <v>Page5_GMC_VE!L</v>
      </c>
      <c r="Q1586" s="611">
        <f t="shared" si="214"/>
        <v>37</v>
      </c>
      <c r="R1586" s="1447">
        <f t="shared" ca="1" si="215"/>
        <v>0</v>
      </c>
      <c r="S1586" s="1447">
        <f t="shared" ca="1" si="216"/>
        <v>0</v>
      </c>
      <c r="V1586" s="2557" t="str">
        <f t="shared" ca="1" si="219"/>
        <v/>
      </c>
      <c r="W1586" s="611" t="str">
        <f t="shared" ca="1" si="217"/>
        <v>Page5_GMC_VE, Ligne 34 [Page5_GMC_VE!L37]  -</v>
      </c>
    </row>
    <row r="1587" spans="1:23">
      <c r="A1587" s="1443" t="str">
        <f>celladdr(Page5_GMC_VE!L38)</f>
        <v>Page5_GMC_VE!L38</v>
      </c>
      <c r="B1587" s="1456" t="s">
        <v>1086</v>
      </c>
      <c r="C1587" s="1451" t="b">
        <f>Page5_GMC_VE!$L$38&lt;0</f>
        <v>0</v>
      </c>
      <c r="D1587" s="1454" t="b">
        <f>OR(AND(Page5_GMC_VE!$L38&lt;&gt;0,Page5_GMC_VE!$M38=0),AND(Page5_GMC_VE!$M38&lt;&gt;0,Page5_GMC_VE!$L38=0))</f>
        <v>0</v>
      </c>
      <c r="E1587" s="1454"/>
      <c r="F1587" s="1454"/>
      <c r="G1587" s="1444" t="str">
        <f t="shared" si="212"/>
        <v/>
      </c>
      <c r="H1587" s="1447" t="str">
        <f>IF(C1587=TRUE,Comments!$B$23,"")</f>
        <v/>
      </c>
      <c r="I1587" s="1446" t="str">
        <f>IF(D1587=TRUE,Comments!$B$24,"")</f>
        <v/>
      </c>
      <c r="J1587" s="1446"/>
      <c r="K1587" s="1452"/>
      <c r="N1587" s="611" t="str">
        <f>"CPTE # "&amp;Page5_GMC_VE!$E$38&amp;"  "&amp;Page5_GMC_VE!$C$38&amp;" - CHIFFRE D'AFFAIRES RÉALISÉ - AAD"</f>
        <v>CPTE # 433H  NE PAS UTILISER - CHIFFRE D'AFFAIRES RÉALISÉ - AAD</v>
      </c>
      <c r="O1587" s="611" t="str">
        <f t="shared" si="220"/>
        <v/>
      </c>
      <c r="P1587" s="611" t="str">
        <f t="shared" si="213"/>
        <v>Page5_GMC_VE!L</v>
      </c>
      <c r="Q1587" s="611">
        <f t="shared" si="214"/>
        <v>38</v>
      </c>
      <c r="R1587" s="1447">
        <f t="shared" ca="1" si="215"/>
        <v>0</v>
      </c>
      <c r="S1587" s="1447">
        <f t="shared" ca="1" si="216"/>
        <v>0</v>
      </c>
      <c r="V1587" s="2557" t="str">
        <f t="shared" ca="1" si="219"/>
        <v/>
      </c>
      <c r="W1587" s="611" t="str">
        <f t="shared" ca="1" si="217"/>
        <v>Page5_GMC_VE, Ligne 35 [Page5_GMC_VE!L38]  -</v>
      </c>
    </row>
    <row r="1588" spans="1:23">
      <c r="A1588" s="1443" t="str">
        <f>celladdr(Page5_GMC_VE!L39)</f>
        <v>Page5_GMC_VE!L39</v>
      </c>
      <c r="B1588" s="1456" t="s">
        <v>1086</v>
      </c>
      <c r="C1588" s="1451" t="b">
        <f>Page5_GMC_VE!$L$39&lt;0</f>
        <v>0</v>
      </c>
      <c r="D1588" s="1454" t="b">
        <f>OR(AND(Page5_GMC_VE!$L39&lt;&gt;0,Page5_GMC_VE!$M39=0),AND(Page5_GMC_VE!$M39&lt;&gt;0,Page5_GMC_VE!$L39=0))</f>
        <v>0</v>
      </c>
      <c r="E1588" s="1454"/>
      <c r="F1588" s="1454"/>
      <c r="G1588" s="1444" t="str">
        <f t="shared" si="212"/>
        <v/>
      </c>
      <c r="H1588" s="1447" t="str">
        <f>IF(C1588=TRUE,Comments!$B$23,"")</f>
        <v/>
      </c>
      <c r="I1588" s="1446" t="str">
        <f>IF(D1588=TRUE,Comments!$B$24,"")</f>
        <v/>
      </c>
      <c r="J1588" s="1446"/>
      <c r="K1588" s="1452"/>
      <c r="N1588" s="611" t="str">
        <f>"CPTE # "&amp;Page5_GMC_VE!$E$39&amp;"  "&amp;Page5_GMC_VE!$C$39&amp;" - CHIFFRE D'AFFAIRES RÉALISÉ - AAD"</f>
        <v>CPTE # 434H  NE PAS UTILISER - CHIFFRE D'AFFAIRES RÉALISÉ - AAD</v>
      </c>
      <c r="O1588" s="611" t="str">
        <f t="shared" si="220"/>
        <v/>
      </c>
      <c r="P1588" s="611" t="str">
        <f t="shared" si="213"/>
        <v>Page5_GMC_VE!L</v>
      </c>
      <c r="Q1588" s="611">
        <f t="shared" si="214"/>
        <v>39</v>
      </c>
      <c r="R1588" s="1447">
        <f t="shared" ca="1" si="215"/>
        <v>0</v>
      </c>
      <c r="S1588" s="1447">
        <f t="shared" ca="1" si="216"/>
        <v>0</v>
      </c>
      <c r="V1588" s="2557" t="str">
        <f t="shared" ca="1" si="219"/>
        <v/>
      </c>
      <c r="W1588" s="611" t="str">
        <f t="shared" ca="1" si="217"/>
        <v>Page5_GMC_VE, Ligne 36 [Page5_GMC_VE!L39]  -</v>
      </c>
    </row>
    <row r="1589" spans="1:23">
      <c r="A1589" s="1443" t="str">
        <f>celladdr(Page5_GMC_VE!L40)</f>
        <v>Page5_GMC_VE!L40</v>
      </c>
      <c r="B1589" s="1456" t="s">
        <v>1086</v>
      </c>
      <c r="C1589" s="1451" t="b">
        <f>Page5_GMC_VE!$L$40&lt;0</f>
        <v>0</v>
      </c>
      <c r="D1589" s="1454" t="b">
        <f>OR(AND(Page5_GMC_VE!$L40&lt;&gt;0,Page5_GMC_VE!$M40=0),AND(Page5_GMC_VE!$M40&lt;&gt;0,Page5_GMC_VE!$L40=0))</f>
        <v>0</v>
      </c>
      <c r="E1589" s="1454"/>
      <c r="F1589" s="1454"/>
      <c r="G1589" s="1444" t="str">
        <f t="shared" si="212"/>
        <v/>
      </c>
      <c r="H1589" s="1447" t="str">
        <f>IF(C1589=TRUE,Comments!$B$23,"")</f>
        <v/>
      </c>
      <c r="I1589" s="1446" t="str">
        <f>IF(D1589=TRUE,Comments!$B$24,"")</f>
        <v/>
      </c>
      <c r="J1589" s="1446"/>
      <c r="K1589" s="1452"/>
      <c r="N1589" s="611" t="str">
        <f>"CPTE # "&amp;Page5_GMC_VE!$E$40&amp;"  "&amp;Page5_GMC_VE!$C$40&amp;" - CHIFFRE D'AFFAIRES RÉALISÉ - AAD"</f>
        <v>CPTE # 435H  NE PAS UTILISER - CHIFFRE D'AFFAIRES RÉALISÉ - AAD</v>
      </c>
      <c r="O1589" s="611" t="str">
        <f t="shared" si="220"/>
        <v/>
      </c>
      <c r="P1589" s="611" t="str">
        <f t="shared" si="213"/>
        <v>Page5_GMC_VE!L</v>
      </c>
      <c r="Q1589" s="611">
        <f t="shared" si="214"/>
        <v>40</v>
      </c>
      <c r="R1589" s="1447">
        <f t="shared" ca="1" si="215"/>
        <v>0</v>
      </c>
      <c r="S1589" s="1447">
        <f t="shared" ca="1" si="216"/>
        <v>0</v>
      </c>
      <c r="V1589" s="2557" t="str">
        <f t="shared" ca="1" si="219"/>
        <v/>
      </c>
      <c r="W1589" s="611" t="str">
        <f t="shared" ca="1" si="217"/>
        <v>Page5_GMC_VE, Ligne 37 [Page5_GMC_VE!L40]  -</v>
      </c>
    </row>
    <row r="1590" spans="1:23">
      <c r="A1590" s="1443" t="str">
        <f>celladdr(Page5_GMC_VE!L41)</f>
        <v>Page5_GMC_VE!L41</v>
      </c>
      <c r="B1590" s="1456" t="s">
        <v>1086</v>
      </c>
      <c r="C1590" s="1451" t="b">
        <f>Page5_GMC_VE!$L$41&lt;0</f>
        <v>0</v>
      </c>
      <c r="D1590" s="1454" t="b">
        <f>OR(AND(Page5_GMC_VE!$L41&lt;&gt;0,Page5_GMC_VE!$M41=0),AND(Page5_GMC_VE!$M41&lt;&gt;0,Page5_GMC_VE!$L41=0))</f>
        <v>0</v>
      </c>
      <c r="E1590" s="1454"/>
      <c r="F1590" s="1454"/>
      <c r="G1590" s="1444" t="str">
        <f t="shared" si="212"/>
        <v/>
      </c>
      <c r="H1590" s="1447" t="str">
        <f>IF(C1590=TRUE,Comments!$B$23,"")</f>
        <v/>
      </c>
      <c r="I1590" s="1446" t="str">
        <f>IF(D1590=TRUE,Comments!$B$24,"")</f>
        <v/>
      </c>
      <c r="J1590" s="1446"/>
      <c r="K1590" s="1452"/>
      <c r="N1590" s="611" t="str">
        <f>"CPTE # "&amp;Page5_GMC_VE!$E$41&amp;"  "&amp;Page5_GMC_VE!$C$41&amp;" - CHIFFRE D'AFFAIRES RÉALISÉ - AAD"</f>
        <v>CPTE # 436H  NE PAS UTILISER - CHIFFRE D'AFFAIRES RÉALISÉ - AAD</v>
      </c>
      <c r="O1590" s="611" t="str">
        <f t="shared" si="220"/>
        <v/>
      </c>
      <c r="P1590" s="611" t="str">
        <f t="shared" si="213"/>
        <v>Page5_GMC_VE!L</v>
      </c>
      <c r="Q1590" s="611">
        <f t="shared" si="214"/>
        <v>41</v>
      </c>
      <c r="R1590" s="1447">
        <f t="shared" ca="1" si="215"/>
        <v>0</v>
      </c>
      <c r="S1590" s="1447">
        <f t="shared" ca="1" si="216"/>
        <v>0</v>
      </c>
      <c r="V1590" s="2557" t="str">
        <f t="shared" ca="1" si="219"/>
        <v/>
      </c>
      <c r="W1590" s="611" t="str">
        <f t="shared" ca="1" si="217"/>
        <v>Page5_GMC_VE, Ligne 38 [Page5_GMC_VE!L41]  -</v>
      </c>
    </row>
    <row r="1591" spans="1:23">
      <c r="A1591" s="1443" t="str">
        <f>celladdr(Page5_GMC_VE!L42)</f>
        <v>Page5_GMC_VE!L42</v>
      </c>
      <c r="B1591" s="1456" t="s">
        <v>1086</v>
      </c>
      <c r="C1591" s="1451" t="b">
        <f>Page5_GMC_VE!$L$42&lt;0</f>
        <v>0</v>
      </c>
      <c r="D1591" s="1454"/>
      <c r="E1591" s="1454"/>
      <c r="F1591" s="1454"/>
      <c r="G1591" s="1444" t="str">
        <f t="shared" si="212"/>
        <v/>
      </c>
      <c r="H1591" s="1447" t="str">
        <f>IF(C1591=TRUE,Comments!$B$23,"")</f>
        <v/>
      </c>
      <c r="I1591" s="1446"/>
      <c r="J1591" s="1446"/>
      <c r="K1591" s="1452"/>
      <c r="N1591" s="611" t="str">
        <f>"CPTE # "&amp;Page5_GMC_VE!$E$42&amp;"  "&amp;Page5_GMC_VE!$C$42&amp;" - CHIFFRE D'AFFAIRES RÉALISÉ - AAD"</f>
        <v>CPTE # 437H  NE PAS UTILISER - CHIFFRE D'AFFAIRES RÉALISÉ - AAD</v>
      </c>
      <c r="O1591" s="611" t="str">
        <f t="shared" si="220"/>
        <v/>
      </c>
      <c r="P1591" s="611" t="str">
        <f t="shared" si="213"/>
        <v>Page5_GMC_VE!L</v>
      </c>
      <c r="Q1591" s="611">
        <f t="shared" si="214"/>
        <v>42</v>
      </c>
      <c r="R1591" s="1447">
        <f t="shared" ca="1" si="215"/>
        <v>0</v>
      </c>
      <c r="S1591" s="1447">
        <f t="shared" ca="1" si="216"/>
        <v>0</v>
      </c>
      <c r="V1591" s="2557" t="str">
        <f t="shared" ca="1" si="219"/>
        <v/>
      </c>
      <c r="W1591" s="611" t="str">
        <f t="shared" ca="1" si="217"/>
        <v>Page5_GMC_VE, Ligne 39 [Page5_GMC_VE!L42]  -</v>
      </c>
    </row>
    <row r="1592" spans="1:23">
      <c r="A1592" s="1443" t="str">
        <f>celladdr(Page5_GMC_VE!L43)</f>
        <v>Page5_GMC_VE!L43</v>
      </c>
      <c r="B1592" s="1456" t="s">
        <v>1086</v>
      </c>
      <c r="C1592" s="1451" t="b">
        <f>Page5_GMC_VE!$L$43&lt;0</f>
        <v>0</v>
      </c>
      <c r="D1592" s="1454" t="b">
        <f>OR(AND(Page5_GMC_VE!$L43&lt;&gt;0,Page5_GMC_VE!$M43=0),AND(Page5_GMC_VE!$M43&lt;&gt;0,Page5_GMC_VE!$L43=0))</f>
        <v>0</v>
      </c>
      <c r="E1592" s="1454"/>
      <c r="F1592" s="1454"/>
      <c r="G1592" s="1444" t="str">
        <f t="shared" si="212"/>
        <v/>
      </c>
      <c r="H1592" s="1447" t="str">
        <f>IF(C1592=TRUE,Comments!$B$23,"")</f>
        <v/>
      </c>
      <c r="I1592" s="1446" t="str">
        <f>IF(D1592=TRUE,Comments!$B$24,"")</f>
        <v/>
      </c>
      <c r="J1592" s="1446"/>
      <c r="K1592" s="1452"/>
      <c r="N1592" s="611" t="str">
        <f>"CPTE # "&amp;Page5_GMC_VE!$E$43&amp;"  "&amp;Page5_GMC_VE!$C$43&amp;" - CHIFFRE D'AFFAIRES RÉALISÉ - AAD"</f>
        <v>CPTE # 438H  NE PAS UTILISER - CHIFFRE D'AFFAIRES RÉALISÉ - AAD</v>
      </c>
      <c r="O1592" s="611" t="str">
        <f t="shared" si="220"/>
        <v/>
      </c>
      <c r="P1592" s="611" t="str">
        <f t="shared" si="213"/>
        <v>Page5_GMC_VE!L</v>
      </c>
      <c r="Q1592" s="611">
        <f t="shared" si="214"/>
        <v>43</v>
      </c>
      <c r="R1592" s="1447">
        <f t="shared" ca="1" si="215"/>
        <v>0</v>
      </c>
      <c r="S1592" s="1447">
        <f t="shared" ca="1" si="216"/>
        <v>0</v>
      </c>
      <c r="V1592" s="2557" t="str">
        <f t="shared" ca="1" si="219"/>
        <v/>
      </c>
      <c r="W1592" s="611" t="str">
        <f t="shared" ca="1" si="217"/>
        <v>Page5_GMC_VE, Ligne 40 [Page5_GMC_VE!L43]  -</v>
      </c>
    </row>
    <row r="1593" spans="1:23">
      <c r="A1593" s="1443" t="str">
        <f>celladdr(Page5_GMC_VE!L44)</f>
        <v>Page5_GMC_VE!L44</v>
      </c>
      <c r="B1593" s="1444" t="s">
        <v>1086</v>
      </c>
      <c r="C1593" s="1451"/>
      <c r="D1593" s="1454"/>
      <c r="E1593" s="1454"/>
      <c r="F1593" s="1454"/>
      <c r="G1593" s="1444" t="str">
        <f t="shared" si="212"/>
        <v/>
      </c>
      <c r="H1593" s="1447" t="str">
        <f>IF(C1593=TRUE,Comments!$B$26,"")</f>
        <v/>
      </c>
      <c r="I1593" s="1446" t="str">
        <f>IF(D1593=TRUE,Comments!$B$24,"")</f>
        <v/>
      </c>
      <c r="J1593" s="1446"/>
      <c r="K1593" s="1452"/>
      <c r="O1593" s="611" t="str">
        <f t="shared" si="220"/>
        <v/>
      </c>
      <c r="P1593" s="611" t="str">
        <f t="shared" si="213"/>
        <v>Page5_GMC_VE!L</v>
      </c>
      <c r="Q1593" s="611">
        <f t="shared" si="214"/>
        <v>44</v>
      </c>
      <c r="R1593" s="1447">
        <f t="shared" ca="1" si="215"/>
        <v>0</v>
      </c>
      <c r="S1593" s="1447">
        <f t="shared" ca="1" si="216"/>
        <v>0</v>
      </c>
      <c r="V1593" s="2557" t="str">
        <f t="shared" ca="1" si="219"/>
        <v/>
      </c>
      <c r="W1593" s="611" t="str">
        <f t="shared" ca="1" si="217"/>
        <v>Page5_GMC_VE, Ligne 41 [Page5_GMC_VE!L44]  -</v>
      </c>
    </row>
    <row r="1594" spans="1:23">
      <c r="A1594" s="1443" t="str">
        <f>celladdr(Page5_GMC_VE!L45)</f>
        <v>Page5_GMC_VE!L45</v>
      </c>
      <c r="B1594" s="1456" t="s">
        <v>1086</v>
      </c>
      <c r="C1594" s="1451" t="b">
        <f>Page5_GMC_VE!$L$45&lt;0</f>
        <v>0</v>
      </c>
      <c r="D1594" s="1454" t="b">
        <f>OR(AND(Page5_GMC_VE!$L45&lt;&gt;0,Page5_GMC_VE!$M45=0),AND(Page5_GMC_VE!$M45&lt;&gt;0,Page5_GMC_VE!$L45=0))</f>
        <v>0</v>
      </c>
      <c r="E1594" s="1454"/>
      <c r="F1594" s="1454"/>
      <c r="G1594" s="1444" t="str">
        <f t="shared" si="212"/>
        <v/>
      </c>
      <c r="H1594" s="1447" t="str">
        <f>IF(C1594=TRUE,Comments!$B$23,"")</f>
        <v/>
      </c>
      <c r="I1594" s="1446" t="str">
        <f>IF(D1594=TRUE,Comments!$B$24,"")</f>
        <v/>
      </c>
      <c r="J1594" s="1446"/>
      <c r="K1594" s="1452"/>
      <c r="N1594" s="611" t="str">
        <f>"CPTE # "&amp;Page5_GMC_VE!$E$45&amp;"  "&amp;Page5_GMC_VE!$C$45&amp;" - CHIFFRE D'AFFAIRES RÉALISÉ - AAD"</f>
        <v>CPTE # 439H  MÉMO* VENTES INTERNET CAMIONS - CHIFFRE D'AFFAIRES RÉALISÉ - AAD</v>
      </c>
      <c r="O1594" s="611" t="str">
        <f t="shared" si="220"/>
        <v/>
      </c>
      <c r="P1594" s="611" t="str">
        <f t="shared" si="213"/>
        <v>Page5_GMC_VE!L</v>
      </c>
      <c r="Q1594" s="611">
        <f t="shared" si="214"/>
        <v>45</v>
      </c>
      <c r="R1594" s="1447">
        <f t="shared" ca="1" si="215"/>
        <v>0</v>
      </c>
      <c r="S1594" s="1447">
        <f t="shared" ca="1" si="216"/>
        <v>0</v>
      </c>
      <c r="V1594" s="2557" t="str">
        <f t="shared" ca="1" si="219"/>
        <v/>
      </c>
      <c r="W1594" s="611" t="str">
        <f t="shared" ca="1" si="217"/>
        <v>Page5_GMC_VE, Ligne 42 [Page5_GMC_VE!L45]  -</v>
      </c>
    </row>
    <row r="1595" spans="1:23">
      <c r="A1595" s="1443" t="str">
        <f>celladdr(Page5_GMC_VE!L46)</f>
        <v>Page5_GMC_VE!L46</v>
      </c>
      <c r="B1595" s="1456" t="s">
        <v>1086</v>
      </c>
      <c r="C1595" s="1451" t="b">
        <f>Page5_GMC_VE!$L$46&lt;0</f>
        <v>0</v>
      </c>
      <c r="D1595" s="1454" t="b">
        <f>OR(AND(Page5_GMC_VE!$L46&lt;&gt;0,Page5_GMC_VE!$M46=0),AND(Page5_GMC_VE!$M46&lt;&gt;0,Page5_GMC_VE!$L46=0))</f>
        <v>0</v>
      </c>
      <c r="E1595" s="1454" t="b">
        <f>ROUND(Page5_CHV_VE!L46 + Page5_GMC_VE!L46,2)&lt;&gt;ROUND(Page5_PARCS_GOUV!L19+Page5_PARCS_GOUV!L21+Page5_PARCS_GOUV!L23+Page5_PARCS_GOUV!L28 +Page5_PARCS_GOUV!L55+Page5_PARCS_GOUV!L57+Page5_PARCS_GOUV!L59+Page5_PARCS_GOUV!L64,2)</f>
        <v>0</v>
      </c>
      <c r="F1595" s="1454"/>
      <c r="G1595" s="1444" t="str">
        <f t="shared" si="212"/>
        <v/>
      </c>
      <c r="H1595" s="1447" t="str">
        <f>IF(C1595=TRUE,Comments!$B$23,"")</f>
        <v/>
      </c>
      <c r="I1595" s="1446" t="str">
        <f>IF(D1595=TRUE,Comments!$B$24,"")</f>
        <v/>
      </c>
      <c r="J1595" s="1446" t="str">
        <f>IF(E1595=TRUE, Comments!$B$98,"")</f>
        <v/>
      </c>
      <c r="K1595" s="1452"/>
      <c r="N1595" s="611" t="str">
        <f>"CPTE # "&amp;Page5_GMC_VE!$E$46&amp;"  "&amp;Page5_GMC_VE!$C$46&amp;" - CHIFFRE D'AFFAIRES RÉALISÉ - AAD"</f>
        <v>CPTE # DE PG PARCS  TOTAL PARCS - CAMIONS - CHIFFRE D'AFFAIRES RÉALISÉ - AAD</v>
      </c>
      <c r="O1595" s="611" t="str">
        <f t="shared" si="220"/>
        <v/>
      </c>
      <c r="P1595" s="611" t="str">
        <f t="shared" si="213"/>
        <v>Page5_GMC_VE!L</v>
      </c>
      <c r="Q1595" s="611">
        <f t="shared" si="214"/>
        <v>46</v>
      </c>
      <c r="R1595" s="1447">
        <f t="shared" ca="1" si="215"/>
        <v>0</v>
      </c>
      <c r="S1595" s="1447">
        <f t="shared" ca="1" si="216"/>
        <v>0</v>
      </c>
      <c r="T1595" s="611">
        <v>98</v>
      </c>
      <c r="V1595" s="2557" t="str">
        <f t="shared" ca="1" si="219"/>
        <v/>
      </c>
      <c r="W1595" s="611" t="str">
        <f t="shared" ca="1" si="217"/>
        <v>Page5_GMC_VE, Ligne 43 [Page5_GMC_VE!L46]  -</v>
      </c>
    </row>
    <row r="1596" spans="1:23">
      <c r="A1596" s="1443" t="str">
        <f>celladdr(Page5_GMC_VE!N46)</f>
        <v>Page5_GMC_VE!N46</v>
      </c>
      <c r="B1596" s="1456" t="s">
        <v>1086</v>
      </c>
      <c r="C1596" s="1451"/>
      <c r="D1596" s="1454"/>
      <c r="E1596" s="1454" t="b">
        <f>ROUND(Page5_CHV_VE!N46 + Page5_GMC_VE!N46,2)&lt;&gt;ROUND(Page5_PARCS_GOUV!N19+Page5_PARCS_GOUV!N21+Page5_PARCS_GOUV!N23+Page5_PARCS_GOUV!N28 +Page5_PARCS_GOUV!N55+Page5_PARCS_GOUV!N57+Page5_PARCS_GOUV!N59+Page5_PARCS_GOUV!N64,2)</f>
        <v>0</v>
      </c>
      <c r="F1596" s="1454"/>
      <c r="G1596" s="1444" t="str">
        <f t="shared" si="212"/>
        <v/>
      </c>
      <c r="I1596" s="1446"/>
      <c r="J1596" s="1446" t="str">
        <f>IF(E1596=TRUE, Comments!$B$99,"")</f>
        <v/>
      </c>
      <c r="K1596" s="1452"/>
      <c r="N1596" s="611" t="str">
        <f>"CPTE # "&amp;Page5_GMC_VE!$E$46&amp;"  "&amp;Page5_GMC_VE!$C$46&amp;" - PROFIT BRUT - AAD"</f>
        <v>CPTE # DE PG PARCS  TOTAL PARCS - CAMIONS - PROFIT BRUT - AAD</v>
      </c>
      <c r="O1596" s="611" t="str">
        <f t="shared" si="220"/>
        <v/>
      </c>
      <c r="P1596" s="611" t="str">
        <f t="shared" si="213"/>
        <v>Page5_GMC_VE!N</v>
      </c>
      <c r="Q1596" s="611">
        <f t="shared" si="214"/>
        <v>46</v>
      </c>
      <c r="R1596" s="1447">
        <f t="shared" ca="1" si="215"/>
        <v>0</v>
      </c>
      <c r="S1596" s="1447">
        <f t="shared" ca="1" si="216"/>
        <v>0</v>
      </c>
      <c r="T1596" s="611">
        <v>99</v>
      </c>
      <c r="V1596" s="2557" t="str">
        <f t="shared" ca="1" si="219"/>
        <v/>
      </c>
      <c r="W1596" s="611" t="str">
        <f t="shared" ca="1" si="217"/>
        <v>Page5_GMC_VE, Ligne 43 [Page5_GMC_VE!N46]  -</v>
      </c>
    </row>
    <row r="1597" spans="1:23">
      <c r="A1597" s="1443" t="str">
        <f>celladdr(Page5_GMC_VE!L47)</f>
        <v>Page5_GMC_VE!L47</v>
      </c>
      <c r="B1597" s="1456" t="s">
        <v>1086</v>
      </c>
      <c r="C1597" s="1451" t="b">
        <f>Page5_GMC_VE!$L$47&lt;0</f>
        <v>0</v>
      </c>
      <c r="D1597" s="1454" t="b">
        <f>OR(AND(Page5_GMC_VE!$L47&lt;&gt;0,Page5_GMC_VE!$M47=0),AND(Page5_GMC_VE!$M47&lt;&gt;0,Page5_GMC_VE!$L47=0))</f>
        <v>0</v>
      </c>
      <c r="E1597" s="1454"/>
      <c r="F1597" s="1454"/>
      <c r="G1597" s="1444" t="str">
        <f t="shared" si="212"/>
        <v/>
      </c>
      <c r="H1597" s="1447" t="str">
        <f>IF(C1597=TRUE,Comments!$B$23,"")</f>
        <v/>
      </c>
      <c r="I1597" s="1446" t="str">
        <f>IF(D1597=TRUE,Comments!$B$24,"")</f>
        <v/>
      </c>
      <c r="J1597" s="1446"/>
      <c r="K1597" s="1452"/>
      <c r="N1597" s="611" t="str">
        <f>"CPTE # "&amp;Page5_GMC_VE!$E$47&amp;"  "&amp;Page5_GMC_VE!$C$47&amp;" - CHIFFRE D'AFFAIRES RÉALISÉ - AAD"</f>
        <v>CPTE # 441H  TOTAL IINTERNE - CAMIONS  - CHIFFRE D'AFFAIRES RÉALISÉ - AAD</v>
      </c>
      <c r="O1597" s="611" t="str">
        <f>IF(A1597=A1595,"TRUE","")</f>
        <v/>
      </c>
      <c r="P1597" s="611" t="str">
        <f t="shared" si="213"/>
        <v>Page5_GMC_VE!L</v>
      </c>
      <c r="Q1597" s="611">
        <f t="shared" si="214"/>
        <v>47</v>
      </c>
      <c r="R1597" s="1447">
        <f t="shared" ca="1" si="215"/>
        <v>0</v>
      </c>
      <c r="S1597" s="1447">
        <f t="shared" ca="1" si="216"/>
        <v>0</v>
      </c>
      <c r="V1597" s="2557" t="str">
        <f t="shared" ca="1" si="219"/>
        <v/>
      </c>
      <c r="W1597" s="611" t="str">
        <f t="shared" ca="1" si="217"/>
        <v>Page5_GMC_VE, Ligne 44 [Page5_GMC_VE!L47]  -</v>
      </c>
    </row>
    <row r="1598" spans="1:23">
      <c r="A1598" s="1443" t="str">
        <f>celladdr(Page5_GMC_VE!L48)</f>
        <v>Page5_GMC_VE!L48</v>
      </c>
      <c r="B1598" s="1444" t="s">
        <v>1086</v>
      </c>
      <c r="C1598" s="1451"/>
      <c r="D1598" s="1454"/>
      <c r="E1598" s="1454"/>
      <c r="F1598" s="1454"/>
      <c r="G1598" s="1444" t="str">
        <f t="shared" si="212"/>
        <v/>
      </c>
      <c r="H1598" s="1447" t="str">
        <f>IF(C1598=TRUE,Comments!$B$26,"")</f>
        <v/>
      </c>
      <c r="I1598" s="1446" t="str">
        <f>IF(D1598=TRUE,Comments!$B$24,"")</f>
        <v/>
      </c>
      <c r="J1598" s="1446"/>
      <c r="K1598" s="1452"/>
      <c r="O1598" s="611" t="str">
        <f t="shared" ref="O1598:O1661" si="221">IF(A1598=A1597,"TRUE","")</f>
        <v/>
      </c>
      <c r="P1598" s="611" t="str">
        <f t="shared" si="213"/>
        <v>Page5_GMC_VE!L</v>
      </c>
      <c r="Q1598" s="611">
        <f t="shared" si="214"/>
        <v>48</v>
      </c>
      <c r="R1598" s="1447">
        <f t="shared" ca="1" si="215"/>
        <v>0</v>
      </c>
      <c r="S1598" s="1447">
        <f t="shared" ca="1" si="216"/>
        <v>0</v>
      </c>
      <c r="V1598" s="2557" t="str">
        <f t="shared" ca="1" si="219"/>
        <v/>
      </c>
      <c r="W1598" s="611" t="str">
        <f t="shared" ca="1" si="217"/>
        <v>Page5_GMC_VE, Ligne 45 [Page5_GMC_VE!L48]  -</v>
      </c>
    </row>
    <row r="1599" spans="1:23">
      <c r="A1599" s="1443" t="str">
        <f>celladdr(Page5_GMC_VE!L49)</f>
        <v>Page5_GMC_VE!L49</v>
      </c>
      <c r="B1599" s="1456" t="s">
        <v>1086</v>
      </c>
      <c r="C1599" s="1451" t="b">
        <f>Page5_GMC_VE!$L$49&lt;0</f>
        <v>0</v>
      </c>
      <c r="D1599" s="1454" t="b">
        <f>OR(AND(Page5_GMC_VE!$L49&lt;&gt;0,Page5_GMC_VE!$M49=0),AND(Page5_GMC_VE!$M49&lt;&gt;0,Page5_GMC_VE!$L49=0))</f>
        <v>0</v>
      </c>
      <c r="E1599" s="1454"/>
      <c r="F1599" s="1454"/>
      <c r="G1599" s="1444" t="str">
        <f t="shared" si="212"/>
        <v/>
      </c>
      <c r="H1599" s="1447" t="str">
        <f>IF(C1599=TRUE,Comments!$B$23,"")</f>
        <v/>
      </c>
      <c r="I1599" s="1446" t="str">
        <f>IF(D1599=TRUE,Comments!$B$24,"")</f>
        <v/>
      </c>
      <c r="J1599" s="1446"/>
      <c r="K1599" s="1452"/>
      <c r="N1599" s="611" t="str">
        <f>"CPTE # "&amp;Page5_GMC_VE!$E$49&amp;"  "&amp;Page5_GMC_VE!$C$49&amp;" - CHIFFRE D'AFFAIRES RÉALISÉ - AAD"</f>
        <v>CPTE #      - CHIFFRE D'AFFAIRES RÉALISÉ - AAD</v>
      </c>
      <c r="O1599" s="611" t="str">
        <f t="shared" si="221"/>
        <v/>
      </c>
      <c r="P1599" s="611" t="str">
        <f t="shared" si="213"/>
        <v>Page5_GMC_VE!L</v>
      </c>
      <c r="Q1599" s="611">
        <f t="shared" si="214"/>
        <v>49</v>
      </c>
      <c r="R1599" s="1447">
        <f t="shared" ca="1" si="215"/>
        <v>0</v>
      </c>
      <c r="S1599" s="1447">
        <f t="shared" ca="1" si="216"/>
        <v>0</v>
      </c>
      <c r="V1599" s="2557" t="str">
        <f t="shared" ca="1" si="219"/>
        <v/>
      </c>
      <c r="W1599" s="611" t="str">
        <f t="shared" ca="1" si="217"/>
        <v>Page5_GMC_VE, Ligne 46 [Page5_GMC_VE!L49]  -</v>
      </c>
    </row>
    <row r="1600" spans="1:23">
      <c r="A1600" s="1443" t="str">
        <f>celladdr(Page5_GMC_VE!L50)</f>
        <v>Page5_GMC_VE!L50</v>
      </c>
      <c r="B1600" s="1456" t="s">
        <v>1086</v>
      </c>
      <c r="C1600" s="1451" t="b">
        <f>Page5_GMC_VE!$L$50&lt;0</f>
        <v>0</v>
      </c>
      <c r="D1600" s="1454" t="b">
        <f>OR(AND(Page5_GMC_VE!$L50&lt;&gt;0,Page5_GMC_VE!$M50=0),AND(Page5_GMC_VE!$M50&lt;&gt;0,Page5_GMC_VE!$L50=0))</f>
        <v>0</v>
      </c>
      <c r="E1600" s="1454"/>
      <c r="F1600" s="1454"/>
      <c r="G1600" s="1444" t="str">
        <f t="shared" si="212"/>
        <v/>
      </c>
      <c r="H1600" s="1447" t="str">
        <f>IF(C1600=TRUE,Comments!$B$23,"")</f>
        <v/>
      </c>
      <c r="I1600" s="1446" t="str">
        <f>IF(D1600=TRUE,Comments!$B$24,"")</f>
        <v/>
      </c>
      <c r="J1600" s="1446"/>
      <c r="K1600" s="1452"/>
      <c r="N1600" s="611" t="str">
        <f>"CPTE # "&amp;Page5_GMC_VE!$E$50&amp;"  "&amp;Page5_GMC_VE!$C$50&amp;" - CHIFFRE D'AFFAIRES RÉALISÉ - AAD"</f>
        <v>CPTE # 457H  ACCESSOIRES - CHIFFRE D'AFFAIRES RÉALISÉ - AAD</v>
      </c>
      <c r="O1600" s="611" t="str">
        <f t="shared" si="221"/>
        <v/>
      </c>
      <c r="P1600" s="611" t="str">
        <f t="shared" si="213"/>
        <v>Page5_GMC_VE!L</v>
      </c>
      <c r="Q1600" s="611">
        <f t="shared" si="214"/>
        <v>50</v>
      </c>
      <c r="R1600" s="1447">
        <f t="shared" ca="1" si="215"/>
        <v>0</v>
      </c>
      <c r="S1600" s="1447">
        <f t="shared" ca="1" si="216"/>
        <v>0</v>
      </c>
      <c r="V1600" s="2557" t="str">
        <f t="shared" ca="1" si="219"/>
        <v/>
      </c>
      <c r="W1600" s="611" t="str">
        <f t="shared" ca="1" si="217"/>
        <v>Page5_GMC_VE, Ligne 47 [Page5_GMC_VE!L50]  -</v>
      </c>
    </row>
    <row r="1601" spans="1:23">
      <c r="A1601" s="1443" t="str">
        <f>celladdr(Page5_GMC_VE!M4)</f>
        <v>Page5_GMC_VE!M4</v>
      </c>
      <c r="B1601" s="1456" t="s">
        <v>1086</v>
      </c>
      <c r="C1601" s="1451" t="b">
        <f>IF(Page5_GMC_VE!$K$4=0,FALSE,OR(Page5_GMC_VE!$M$4/Page5_GMC_VE!$K$4&lt;INDEX(Min_Table,L1601),Page5_GMC_VE!$M$4/Page5_GMC_VE!$K$4&gt;INDEX(Max_Table,L1601)))</f>
        <v>0</v>
      </c>
      <c r="D1601" s="1454" t="b">
        <f>OR(AND(Page5_GMC_VE!$L4&lt;&gt;0,Page5_GMC_VE!$M4=0),AND(Page5_GMC_VE!$M4&lt;&gt;0,Page5_GMC_VE!$L4=0))</f>
        <v>0</v>
      </c>
      <c r="E1601" s="1454" t="b">
        <f>IF(Page5_GMC_VE!$K$4=0,FALSE,OR(Page5_GMC_VE!$M$4/Page5_GMC_VE!$K$4&lt;INDEX(Min_Table,M1601),Page5_GMC_VE!$M$4/Page5_GMC_VE!$K$4&gt;INDEX(Max_Table,M1601)))</f>
        <v>0</v>
      </c>
      <c r="F1601" s="1454"/>
      <c r="G1601" s="1444" t="str">
        <f t="shared" si="212"/>
        <v/>
      </c>
      <c r="H1601" s="1447" t="str">
        <f>IF(C1601=TRUE,Comments!$B$20&amp;DOLLAR(INDEX(Min_Table,L1601),0)&amp;Comments!$B$18&amp;DOLLAR(INDEX(Max_Table,L1601),0)&amp;Comments!$B$19&amp;DOLLAR(Page5_GMC_VE!$M$4/Page5_GMC_VE!$K$4,0),"")</f>
        <v/>
      </c>
      <c r="I1601" s="1446" t="str">
        <f>IF(D1601=TRUE,Comments!$B$24,"")</f>
        <v/>
      </c>
      <c r="J1601" s="1446" t="str">
        <f>IF(E1601=TRUE,Comments!$B$22&amp;DOLLAR(INDEX(Min_Table,M1601),0)&amp;Comments!$B$18&amp;DOLLAR(INDEX(Max_Table,M1601),0)&amp;Comments!$B$19&amp;IFERROR(DOLLAR(Page5_GMC_VE!$M$4/Page5_GMC_VE!$K$4,0),0),"")</f>
        <v/>
      </c>
      <c r="K1601" s="1452"/>
      <c r="L1601" s="611">
        <f>ROW(OR_VEH!$A$667)</f>
        <v>667</v>
      </c>
      <c r="M1601" s="611">
        <f>ROW(OR_VEH!$A$353)</f>
        <v>353</v>
      </c>
      <c r="N1601" s="611" t="str">
        <f>"CPTE # "&amp;Page5_GMC_VE!$E$4&amp;"  "&amp;Page5_GMC_VE!$C$4&amp;" - COÛT DES VENTES - AAD"</f>
        <v>CPTE # 400H  NE PAS UTILISER - COÛT DES VENTES - AAD</v>
      </c>
      <c r="O1601" s="611" t="str">
        <f t="shared" si="221"/>
        <v/>
      </c>
      <c r="P1601" s="611" t="str">
        <f t="shared" si="213"/>
        <v>Page5_GMC_VE!M</v>
      </c>
      <c r="Q1601" s="611">
        <f t="shared" si="214"/>
        <v>4</v>
      </c>
      <c r="R1601" s="1447">
        <f t="shared" ca="1" si="215"/>
        <v>0</v>
      </c>
      <c r="S1601" s="1447">
        <f t="shared" ca="1" si="216"/>
        <v>0</v>
      </c>
      <c r="T1601" s="611">
        <v>22</v>
      </c>
      <c r="V1601" s="2557" t="str">
        <f t="shared" ca="1" si="219"/>
        <v/>
      </c>
      <c r="W1601" s="611" t="str">
        <f t="shared" ca="1" si="217"/>
        <v>Page5_GMC_VE, Ligne 1 [Page5_GMC_VE!M4]  -</v>
      </c>
    </row>
    <row r="1602" spans="1:23">
      <c r="A1602" s="1443" t="str">
        <f>celladdr(Page5_GMC_VE!M5)</f>
        <v>Page5_GMC_VE!M5</v>
      </c>
      <c r="B1602" s="1456" t="s">
        <v>1086</v>
      </c>
      <c r="C1602" s="1451" t="b">
        <f>IF(Page5_GMC_VE!$K$5=0,FALSE,OR(Page5_GMC_VE!$M$5/Page5_GMC_VE!$K$5&lt;INDEX(Min_Table,L1602),Page5_GMC_VE!$M$5/Page5_GMC_VE!$K$5&gt;INDEX(Max_Table,L1602)))</f>
        <v>0</v>
      </c>
      <c r="D1602" s="1454" t="b">
        <f>OR(AND(Page5_GMC_VE!$L5&lt;&gt;0,Page5_GMC_VE!$M5=0),AND(Page5_GMC_VE!$M5&lt;&gt;0,Page5_GMC_VE!$L5=0))</f>
        <v>0</v>
      </c>
      <c r="E1602" s="1454" t="b">
        <f>IF(Page5_GMC_VE!$K$5=0,FALSE,OR(Page5_GMC_VE!$M$5/Page5_GMC_VE!$K$5&lt;INDEX(Min_Table,M1602),Page5_GMC_VE!$M$5/Page5_GMC_VE!$K$5&gt;INDEX(Max_Table,M1602)))</f>
        <v>0</v>
      </c>
      <c r="F1602" s="1454"/>
      <c r="G1602" s="1444" t="str">
        <f t="shared" ref="G1602:G1665" si="222">IF(H1602&amp;I1602&amp;J1602&amp;K1602&lt;&gt;"","No.de ref. du commentaire.: "&amp;W1602&amp;" "&amp;N1602&amp;" "&amp;H1602&amp;I1602&amp;IF(OR(C1602=TRUE,D1602=TRUE),"",J1602&amp;K1602&amp;V1602),"")</f>
        <v/>
      </c>
      <c r="H1602" s="1447" t="str">
        <f>IF(C1602=TRUE,Comments!$B$20&amp;DOLLAR(INDEX(Min_Table,L1602),0)&amp;Comments!$B$18&amp;DOLLAR(INDEX(Max_Table,L1602),0)&amp;Comments!$B$19&amp;DOLLAR(Page5_GMC_VE!$M$5/Page5_GMC_VE!$K$5,0),"")</f>
        <v/>
      </c>
      <c r="I1602" s="1446" t="str">
        <f>IF(D1602=TRUE,Comments!$B$24,"")</f>
        <v/>
      </c>
      <c r="J1602" s="1446" t="str">
        <f>IF(E1602=TRUE,Comments!$B$22&amp;DOLLAR(INDEX(Min_Table,M1602),0)&amp;Comments!$B$18&amp;DOLLAR(INDEX(Max_Table,M1602),0)&amp;Comments!$B$19&amp;IFERROR(DOLLAR(Page5_GMC_VE!$M$5/Page5_GMC_VE!$K$5,0),0),"")</f>
        <v/>
      </c>
      <c r="K1602" s="1452"/>
      <c r="L1602" s="611">
        <f>ROW(OR_VEH!$A$667)</f>
        <v>667</v>
      </c>
      <c r="M1602" s="611">
        <f>ROW(OR_VEH!$A$354)</f>
        <v>354</v>
      </c>
      <c r="N1602" s="611" t="str">
        <f>"CPTE # "&amp;Page5_GMC_VE!$E$5&amp;"  "&amp;Page5_GMC_VE!$C$5&amp;" - COÛT DES VENTES - AAD"</f>
        <v>CPTE # 401H  NE PAS UTILISER - COÛT DES VENTES - AAD</v>
      </c>
      <c r="O1602" s="611" t="str">
        <f t="shared" si="221"/>
        <v/>
      </c>
      <c r="P1602" s="611" t="str">
        <f t="shared" ref="P1602:P1665" si="223">LEFT(A1602,FIND("!",A1602)+1)</f>
        <v>Page5_GMC_VE!M</v>
      </c>
      <c r="Q1602" s="611">
        <f t="shared" ref="Q1602:Q1665" si="224">VALUE(RIGHT(A1602,LEN(A1602)-FIND("!",A1602)-1))</f>
        <v>5</v>
      </c>
      <c r="R1602" s="1447">
        <f t="shared" ref="R1602:R1665" ca="1" si="225">IF(E1602=TRUE,INDIRECT("Comments!$D$"&amp;T1602),0)</f>
        <v>0</v>
      </c>
      <c r="S1602" s="1447">
        <f t="shared" ref="S1602:S1665" ca="1" si="226">IF(F1602=TRUE,INDIRECT("Comments!$D$"&amp;U1602),0)</f>
        <v>0</v>
      </c>
      <c r="T1602" s="611">
        <v>22</v>
      </c>
      <c r="V1602" s="2557" t="str">
        <f t="shared" ca="1" si="219"/>
        <v/>
      </c>
      <c r="W1602" s="611" t="str">
        <f t="shared" ref="W1602:W1665" ca="1" si="227">LEFT(A1602,FIND("!",A1602,1)-1)&amp;", Ligne "&amp;INDIRECT(ADDRESS(ROW(INDIRECT(A1602)),IF(INDIRECT(ADDRESS(ROW(INDIRECT(A1602)),1,,,LEFT(A1602,FIND("!",A1602,1)-1)))="",2,1),,,LEFT(A1602,FIND("!",A1602,1)-1)))&amp;" ["&amp;A1602&amp;"] "&amp;" -"</f>
        <v>Page5_GMC_VE, Ligne 2 [Page5_GMC_VE!M5]  -</v>
      </c>
    </row>
    <row r="1603" spans="1:23">
      <c r="A1603" s="1443" t="str">
        <f>celladdr(Page5_GMC_VE!M6)</f>
        <v>Page5_GMC_VE!M6</v>
      </c>
      <c r="B1603" s="1456" t="s">
        <v>1086</v>
      </c>
      <c r="C1603" s="1451" t="b">
        <f>IF(Page5_GMC_VE!$K$6=0,FALSE,OR(Page5_GMC_VE!$M$6/Page5_GMC_VE!$K$6&lt;INDEX(Min_Table,L1603),Page5_GMC_VE!$M$6/Page5_GMC_VE!$K$6&gt;INDEX(Max_Table,L1603)))</f>
        <v>0</v>
      </c>
      <c r="D1603" s="1454" t="b">
        <f>OR(AND(Page5_GMC_VE!$L6&lt;&gt;0,Page5_GMC_VE!$M6=0),AND(Page5_GMC_VE!$M6&lt;&gt;0,Page5_GMC_VE!$L6=0))</f>
        <v>0</v>
      </c>
      <c r="E1603" s="1454" t="b">
        <f>IF(Page5_GMC_VE!$K$6=0,FALSE,OR(Page5_GMC_VE!$M$6/Page5_GMC_VE!$K$6&lt;INDEX(Min_Table,M1603),Page5_GMC_VE!$M$6/Page5_GMC_VE!$K$6&gt;INDEX(Max_Table,M1603)))</f>
        <v>0</v>
      </c>
      <c r="F1603" s="1454"/>
      <c r="G1603" s="1444" t="str">
        <f t="shared" si="222"/>
        <v/>
      </c>
      <c r="H1603" s="1447" t="str">
        <f>IF(C1603=TRUE,Comments!$B$20&amp;DOLLAR(INDEX(Min_Table,L1603),0)&amp;Comments!$B$18&amp;DOLLAR(INDEX(Max_Table,L1603),0)&amp;Comments!$B$19&amp;DOLLAR(Page5_GMC_VE!$M$6/Page5_GMC_VE!$K$6,0),"")</f>
        <v/>
      </c>
      <c r="I1603" s="1446" t="str">
        <f>IF(D1603=TRUE,Comments!$B$24,"")</f>
        <v/>
      </c>
      <c r="J1603" s="1446" t="str">
        <f>IF(E1603=TRUE,Comments!$B$22&amp;DOLLAR(INDEX(Min_Table,M1603),0)&amp;Comments!$B$18&amp;DOLLAR(INDEX(Max_Table,M1603),0)&amp;Comments!$B$19&amp;IFERROR(DOLLAR(Page5_GMC_VE!$M$6/Page5_GMC_VE!$K$6,0),0),"")</f>
        <v/>
      </c>
      <c r="K1603" s="1452"/>
      <c r="L1603" s="611">
        <f>ROW(OR_VEH!$A$667)</f>
        <v>667</v>
      </c>
      <c r="M1603" s="611">
        <f>ROW(OR_VEH!$A$355)</f>
        <v>355</v>
      </c>
      <c r="N1603" s="611" t="str">
        <f>"CPTE # "&amp;Page5_GMC_VE!$E$6&amp;"  "&amp;Page5_GMC_VE!$C$6&amp;" - COÛT DES VENTES - AAD"</f>
        <v>CPTE # 402H  NE PAS UTILISER - COÛT DES VENTES - AAD</v>
      </c>
      <c r="O1603" s="611" t="str">
        <f t="shared" si="221"/>
        <v/>
      </c>
      <c r="P1603" s="611" t="str">
        <f t="shared" si="223"/>
        <v>Page5_GMC_VE!M</v>
      </c>
      <c r="Q1603" s="611">
        <f t="shared" si="224"/>
        <v>6</v>
      </c>
      <c r="R1603" s="1447">
        <f t="shared" ca="1" si="225"/>
        <v>0</v>
      </c>
      <c r="S1603" s="1447">
        <f t="shared" ca="1" si="226"/>
        <v>0</v>
      </c>
      <c r="T1603" s="611">
        <v>22</v>
      </c>
      <c r="V1603" s="2557" t="str">
        <f t="shared" ca="1" si="219"/>
        <v/>
      </c>
      <c r="W1603" s="611" t="str">
        <f t="shared" ca="1" si="227"/>
        <v>Page5_GMC_VE, Ligne 3 [Page5_GMC_VE!M6]  -</v>
      </c>
    </row>
    <row r="1604" spans="1:23">
      <c r="A1604" s="1443" t="str">
        <f>celladdr(Page5_GMC_VE!M7)</f>
        <v>Page5_GMC_VE!M7</v>
      </c>
      <c r="B1604" s="1456" t="s">
        <v>1086</v>
      </c>
      <c r="C1604" s="1451" t="b">
        <f>IF(Page5_GMC_VE!$K$7=0,FALSE,OR(Page5_GMC_VE!$M$7/Page5_GMC_VE!$K$7&lt;INDEX(Min_Table,L1604),Page5_GMC_VE!$M$7/Page5_GMC_VE!$K$7&gt;INDEX(Max_Table,L1604)))</f>
        <v>0</v>
      </c>
      <c r="D1604" s="1454" t="b">
        <f>OR(AND(Page5_GMC_VE!$L7&lt;&gt;0,Page5_GMC_VE!$M7=0),AND(Page5_GMC_VE!$M7&lt;&gt;0,Page5_GMC_VE!$L7=0))</f>
        <v>0</v>
      </c>
      <c r="E1604" s="1454" t="b">
        <f>IF(Page5_GMC_VE!$K$7=0,FALSE,OR(Page5_GMC_VE!$M$7/Page5_GMC_VE!$K$7&lt;INDEX(Min_Table,M1604),Page5_GMC_VE!$M$7/Page5_GMC_VE!$K$7&gt;INDEX(Max_Table,M1604)))</f>
        <v>0</v>
      </c>
      <c r="F1604" s="1454"/>
      <c r="G1604" s="1444" t="str">
        <f t="shared" si="222"/>
        <v/>
      </c>
      <c r="H1604" s="1447" t="str">
        <f>IF(C1604=TRUE,Comments!$B$20&amp;DOLLAR(INDEX(Min_Table,L1604),0)&amp;Comments!$B$18&amp;DOLLAR(INDEX(Max_Table,L1604),0)&amp;Comments!$B$19&amp;DOLLAR(Page5_GMC_VE!$M$7/Page5_GMC_VE!$K$7,0),"")</f>
        <v/>
      </c>
      <c r="I1604" s="1446" t="str">
        <f>IF(D1604=TRUE,Comments!$B$24,"")</f>
        <v/>
      </c>
      <c r="J1604" s="1446" t="str">
        <f>IF(E1604=TRUE,Comments!$B$22&amp;DOLLAR(INDEX(Min_Table,M1604),0)&amp;Comments!$B$18&amp;DOLLAR(INDEX(Max_Table,M1604),0)&amp;Comments!$B$19&amp;IFERROR(DOLLAR(Page5_GMC_VE!$M$7/Page5_GMC_VE!$K$7,0),0),"")</f>
        <v/>
      </c>
      <c r="K1604" s="1452"/>
      <c r="L1604" s="611">
        <f>ROW(OR_VEH!$A$667)</f>
        <v>667</v>
      </c>
      <c r="M1604" s="611">
        <f>ROW(OR_VEH!$A$356)</f>
        <v>356</v>
      </c>
      <c r="N1604" s="611" t="str">
        <f>"CPTE # "&amp;Page5_GMC_VE!$E$7&amp;"  "&amp;Page5_GMC_VE!$C$7&amp;" - COÛT DES VENTES - AAD"</f>
        <v>CPTE # 403H  NE PAS UTILISER - COÛT DES VENTES - AAD</v>
      </c>
      <c r="O1604" s="611" t="str">
        <f t="shared" si="221"/>
        <v/>
      </c>
      <c r="P1604" s="611" t="str">
        <f t="shared" si="223"/>
        <v>Page5_GMC_VE!M</v>
      </c>
      <c r="Q1604" s="611">
        <f t="shared" si="224"/>
        <v>7</v>
      </c>
      <c r="R1604" s="1447">
        <f t="shared" ca="1" si="225"/>
        <v>0</v>
      </c>
      <c r="S1604" s="1447">
        <f t="shared" ca="1" si="226"/>
        <v>0</v>
      </c>
      <c r="T1604" s="611">
        <v>22</v>
      </c>
      <c r="V1604" s="2557" t="str">
        <f t="shared" ca="1" si="219"/>
        <v/>
      </c>
      <c r="W1604" s="611" t="str">
        <f t="shared" ca="1" si="227"/>
        <v>Page5_GMC_VE, Ligne 4 [Page5_GMC_VE!M7]  -</v>
      </c>
    </row>
    <row r="1605" spans="1:23">
      <c r="A1605" s="1443" t="str">
        <f>celladdr(Page5_GMC_VE!M8)</f>
        <v>Page5_GMC_VE!M8</v>
      </c>
      <c r="B1605" s="1456" t="s">
        <v>1086</v>
      </c>
      <c r="C1605" s="1451" t="b">
        <f>IF(Page5_GMC_VE!$K$8=0,FALSE,OR(Page5_GMC_VE!$M$8/Page5_GMC_VE!$K$8&lt;INDEX(Min_Table,L1605),Page5_GMC_VE!$M$8/Page5_GMC_VE!$K$8&gt;INDEX(Max_Table,L1605)))</f>
        <v>0</v>
      </c>
      <c r="D1605" s="1454" t="b">
        <f>OR(AND(Page5_GMC_VE!$L8&lt;&gt;0,Page5_GMC_VE!$M8=0),AND(Page5_GMC_VE!$M8&lt;&gt;0,Page5_GMC_VE!$L8=0))</f>
        <v>0</v>
      </c>
      <c r="E1605" s="1454" t="b">
        <f>IF(Page5_GMC_VE!$K$8=0,FALSE,OR(Page5_GMC_VE!$M$8/Page5_GMC_VE!$K$8&lt;INDEX(Min_Table,M1605),Page5_GMC_VE!$M$8/Page5_GMC_VE!$K$8&gt;INDEX(Max_Table,M1605)))</f>
        <v>0</v>
      </c>
      <c r="F1605" s="1454"/>
      <c r="G1605" s="1444" t="str">
        <f t="shared" si="222"/>
        <v/>
      </c>
      <c r="H1605" s="1447" t="str">
        <f>IF(C1605=TRUE,Comments!$B$20&amp;DOLLAR(INDEX(Min_Table,L1605),0)&amp;Comments!$B$18&amp;DOLLAR(INDEX(Max_Table,L1605),0)&amp;Comments!$B$19&amp;DOLLAR(Page5_GMC_VE!$M$8/Page5_GMC_VE!$K$8,0),"")</f>
        <v/>
      </c>
      <c r="I1605" s="1446" t="str">
        <f>IF(D1605=TRUE,Comments!$B$24,"")</f>
        <v/>
      </c>
      <c r="J1605" s="1446" t="str">
        <f>IF(E1605=TRUE,Comments!$B$22&amp;DOLLAR(INDEX(Min_Table,M1605),0)&amp;Comments!$B$18&amp;DOLLAR(INDEX(Max_Table,M1605),0)&amp;Comments!$B$19&amp;IFERROR(DOLLAR(Page5_GMC_VE!$M$8/Page5_GMC_VE!$K$8,0),0),"")</f>
        <v/>
      </c>
      <c r="K1605" s="1452"/>
      <c r="L1605" s="611">
        <f>ROW(OR_VEH!$A$667)</f>
        <v>667</v>
      </c>
      <c r="M1605" s="611">
        <f>ROW(OR_VEH!$A$357)</f>
        <v>357</v>
      </c>
      <c r="N1605" s="611" t="str">
        <f>"CPTE # "&amp;Page5_GMC_VE!$E$8&amp;"  "&amp;Page5_GMC_VE!$C$8&amp;" - COÛT DES VENTES - AAD"</f>
        <v>CPTE # 404H  NE PAS UTILISER - COÛT DES VENTES - AAD</v>
      </c>
      <c r="O1605" s="611" t="str">
        <f t="shared" si="221"/>
        <v/>
      </c>
      <c r="P1605" s="611" t="str">
        <f t="shared" si="223"/>
        <v>Page5_GMC_VE!M</v>
      </c>
      <c r="Q1605" s="611">
        <f t="shared" si="224"/>
        <v>8</v>
      </c>
      <c r="R1605" s="1447">
        <f t="shared" ca="1" si="225"/>
        <v>0</v>
      </c>
      <c r="S1605" s="1447">
        <f t="shared" ca="1" si="226"/>
        <v>0</v>
      </c>
      <c r="T1605" s="611">
        <v>22</v>
      </c>
      <c r="V1605" s="2557" t="str">
        <f t="shared" ca="1" si="219"/>
        <v/>
      </c>
      <c r="W1605" s="611" t="str">
        <f t="shared" ca="1" si="227"/>
        <v>Page5_GMC_VE, Ligne 5 [Page5_GMC_VE!M8]  -</v>
      </c>
    </row>
    <row r="1606" spans="1:23">
      <c r="A1606" s="1443" t="str">
        <f>celladdr(Page5_GMC_VE!M9)</f>
        <v>Page5_GMC_VE!M9</v>
      </c>
      <c r="B1606" s="1456" t="s">
        <v>1086</v>
      </c>
      <c r="C1606" s="1451" t="b">
        <f>IF(Page5_GMC_VE!$K$9=0,FALSE,OR(Page5_GMC_VE!$M$9/Page5_GMC_VE!$K$9&lt;INDEX(Min_Table,L1606),Page5_GMC_VE!$M$9/Page5_GMC_VE!$K$9&gt;INDEX(Max_Table,L1606)))</f>
        <v>0</v>
      </c>
      <c r="D1606" s="1454" t="b">
        <f>OR(AND(Page5_GMC_VE!$L9&lt;&gt;0,Page5_GMC_VE!$M9=0),AND(Page5_GMC_VE!$M9&lt;&gt;0,Page5_GMC_VE!$L9=0))</f>
        <v>0</v>
      </c>
      <c r="E1606" s="1454" t="b">
        <f>IF(Page5_GMC_VE!$K$9=0,FALSE,OR(Page5_GMC_VE!$M$9/Page5_GMC_VE!$K$9&lt;INDEX(Min_Table,M1606),Page5_GMC_VE!$M$9/Page5_GMC_VE!$K$9&gt;INDEX(Max_Table,M1606)))</f>
        <v>0</v>
      </c>
      <c r="F1606" s="1454"/>
      <c r="G1606" s="1444" t="str">
        <f t="shared" si="222"/>
        <v/>
      </c>
      <c r="H1606" s="1447" t="str">
        <f>IF(C1606=TRUE,Comments!$B$20&amp;DOLLAR(INDEX(Min_Table,L1606),0)&amp;Comments!$B$18&amp;DOLLAR(INDEX(Max_Table,L1606),0)&amp;Comments!$B$19&amp;DOLLAR(Page5_GMC_VE!$M$9/Page5_GMC_VE!$K$9,0),"")</f>
        <v/>
      </c>
      <c r="I1606" s="1446" t="str">
        <f>IF(D1606=TRUE,Comments!$B$24,"")</f>
        <v/>
      </c>
      <c r="J1606" s="1446" t="str">
        <f>IF(E1606=TRUE,Comments!$B$22&amp;DOLLAR(INDEX(Min_Table,M1606),0)&amp;Comments!$B$18&amp;DOLLAR(INDEX(Max_Table,M1606),0)&amp;Comments!$B$19&amp;IFERROR(DOLLAR(Page5_GMC_VE!$M$9/Page5_GMC_VE!$K$9,0),0),"")</f>
        <v/>
      </c>
      <c r="K1606" s="1452"/>
      <c r="L1606" s="611">
        <f>ROW(OR_VEH!$A$667)</f>
        <v>667</v>
      </c>
      <c r="M1606" s="611">
        <f>ROW(OR_VEH!$A$358)</f>
        <v>358</v>
      </c>
      <c r="N1606" s="611" t="str">
        <f>"CPTE # "&amp;Page5_GMC_VE!$E$9&amp;"  "&amp;Page5_GMC_VE!$C$9&amp;" - COÛT DES VENTES - AAD"</f>
        <v>CPTE # 405H  NE PAS UTILISER - COÛT DES VENTES - AAD</v>
      </c>
      <c r="O1606" s="611" t="str">
        <f t="shared" si="221"/>
        <v/>
      </c>
      <c r="P1606" s="611" t="str">
        <f t="shared" si="223"/>
        <v>Page5_GMC_VE!M</v>
      </c>
      <c r="Q1606" s="611">
        <f t="shared" si="224"/>
        <v>9</v>
      </c>
      <c r="R1606" s="1447">
        <f t="shared" ca="1" si="225"/>
        <v>0</v>
      </c>
      <c r="S1606" s="1447">
        <f t="shared" ca="1" si="226"/>
        <v>0</v>
      </c>
      <c r="T1606" s="611">
        <v>22</v>
      </c>
      <c r="V1606" s="2557" t="str">
        <f t="shared" ca="1" si="219"/>
        <v/>
      </c>
      <c r="W1606" s="611" t="str">
        <f t="shared" ca="1" si="227"/>
        <v>Page5_GMC_VE, Ligne 6 [Page5_GMC_VE!M9]  -</v>
      </c>
    </row>
    <row r="1607" spans="1:23">
      <c r="A1607" s="1443" t="str">
        <f>celladdr(Page5_GMC_VE!M10)</f>
        <v>Page5_GMC_VE!M10</v>
      </c>
      <c r="B1607" s="1456" t="s">
        <v>1086</v>
      </c>
      <c r="C1607" s="1451" t="b">
        <f>IF(Page5_GMC_VE!$K$10=0,FALSE,OR(Page5_GMC_VE!$M$10/Page5_GMC_VE!$K$10&lt;INDEX(Min_Table,L1607),Page5_GMC_VE!$M$10/Page5_GMC_VE!$K$10&gt;INDEX(Max_Table,L1607)))</f>
        <v>0</v>
      </c>
      <c r="D1607" s="1454" t="b">
        <f>OR(AND(Page5_GMC_VE!$L10&lt;&gt;0,Page5_GMC_VE!$M10=0),AND(Page5_GMC_VE!$M10&lt;&gt;0,Page5_GMC_VE!$L10=0))</f>
        <v>0</v>
      </c>
      <c r="E1607" s="1454" t="b">
        <f>IF(Page5_GMC_VE!$K$10=0,FALSE,OR(Page5_GMC_VE!$M$10/Page5_GMC_VE!$K$10&lt;INDEX(Min_Table,M1607),Page5_GMC_VE!$M$10/Page5_GMC_VE!$K$10&gt;INDEX(Max_Table,M1607)))</f>
        <v>0</v>
      </c>
      <c r="F1607" s="1454"/>
      <c r="G1607" s="1444" t="str">
        <f t="shared" si="222"/>
        <v/>
      </c>
      <c r="H1607" s="1447" t="str">
        <f>IF(C1607=TRUE,Comments!$B$20&amp;DOLLAR(INDEX(Min_Table,L1607),0)&amp;Comments!$B$18&amp;DOLLAR(INDEX(Max_Table,L1607),0)&amp;Comments!$B$19&amp;DOLLAR(Page5_GMC_VE!$M$10/Page5_GMC_VE!$K$10,0),"")</f>
        <v/>
      </c>
      <c r="I1607" s="1446" t="str">
        <f>IF(D1607=TRUE,Comments!$B$24,"")</f>
        <v/>
      </c>
      <c r="J1607" s="1446" t="str">
        <f>IF(E1607=TRUE,Comments!$B$22&amp;DOLLAR(INDEX(Min_Table,M1607),0)&amp;Comments!$B$18&amp;DOLLAR(INDEX(Max_Table,M1607),0)&amp;Comments!$B$19&amp;IFERROR(DOLLAR(Page5_GMC_VE!$M$10/Page5_GMC_VE!$K$10,0),0),"")</f>
        <v/>
      </c>
      <c r="K1607" s="1452"/>
      <c r="L1607" s="611">
        <f>ROW(OR_VEH!$A$667)</f>
        <v>667</v>
      </c>
      <c r="M1607" s="611">
        <f>ROW(OR_VEH!$A$359)</f>
        <v>359</v>
      </c>
      <c r="N1607" s="611" t="str">
        <f>"CPTE # "&amp;Page5_GMC_VE!$E$10&amp;"  "&amp;Page5_GMC_VE!$C$10&amp;" - COÛT DES VENTES - AAD"</f>
        <v>CPTE # 406H  NE PAS UTILISER - COÛT DES VENTES - AAD</v>
      </c>
      <c r="O1607" s="611" t="str">
        <f t="shared" si="221"/>
        <v/>
      </c>
      <c r="P1607" s="611" t="str">
        <f t="shared" si="223"/>
        <v>Page5_GMC_VE!M</v>
      </c>
      <c r="Q1607" s="611">
        <f t="shared" si="224"/>
        <v>10</v>
      </c>
      <c r="R1607" s="1447">
        <f t="shared" ca="1" si="225"/>
        <v>0</v>
      </c>
      <c r="S1607" s="1447">
        <f t="shared" ca="1" si="226"/>
        <v>0</v>
      </c>
      <c r="T1607" s="611">
        <v>22</v>
      </c>
      <c r="V1607" s="2557" t="str">
        <f t="shared" ca="1" si="219"/>
        <v/>
      </c>
      <c r="W1607" s="611" t="str">
        <f t="shared" ca="1" si="227"/>
        <v>Page5_GMC_VE, Ligne 7 [Page5_GMC_VE!M10]  -</v>
      </c>
    </row>
    <row r="1608" spans="1:23">
      <c r="A1608" s="1443" t="str">
        <f>celladdr(Page5_GMC_VE!M11)</f>
        <v>Page5_GMC_VE!M11</v>
      </c>
      <c r="B1608" s="1456" t="s">
        <v>1086</v>
      </c>
      <c r="C1608" s="1451" t="b">
        <f>IF(Page5_GMC_VE!$K$11=0,FALSE,OR(Page5_GMC_VE!$M$11/Page5_GMC_VE!$K$11&lt;INDEX(Min_Table,L1608),Page5_GMC_VE!$M$11/Page5_GMC_VE!$K$11&gt;INDEX(Max_Table,L1608)))</f>
        <v>0</v>
      </c>
      <c r="D1608" s="1454" t="b">
        <f>OR(AND(Page5_GMC_VE!$L11&lt;&gt;0,Page5_GMC_VE!$M11=0),AND(Page5_GMC_VE!$M11&lt;&gt;0,Page5_GMC_VE!$L11=0))</f>
        <v>0</v>
      </c>
      <c r="E1608" s="1454" t="b">
        <f>IF(Page5_GMC_VE!$K$11=0,FALSE,OR(Page5_GMC_VE!$M$11/Page5_GMC_VE!$K$11&lt;INDEX(Min_Table,M1608),Page5_GMC_VE!$M$11/Page5_GMC_VE!$K$11&gt;INDEX(Max_Table,M1608)))</f>
        <v>0</v>
      </c>
      <c r="F1608" s="1454"/>
      <c r="G1608" s="1444" t="str">
        <f t="shared" si="222"/>
        <v/>
      </c>
      <c r="H1608" s="1447" t="str">
        <f>IF(C1608=TRUE,Comments!$B$20&amp;DOLLAR(INDEX(Min_Table,L1608),0)&amp;Comments!$B$18&amp;DOLLAR(INDEX(Max_Table,L1608),0)&amp;Comments!$B$19&amp;DOLLAR(Page5_GMC_VE!$M$11/Page5_GMC_VE!$K$11,0),"")</f>
        <v/>
      </c>
      <c r="I1608" s="1446" t="str">
        <f>IF(D1608=TRUE,Comments!$B$24,"")</f>
        <v/>
      </c>
      <c r="J1608" s="1446" t="str">
        <f>IF(E1608=TRUE,Comments!$B$22&amp;DOLLAR(INDEX(Min_Table,M1608),0)&amp;Comments!$B$18&amp;DOLLAR(INDEX(Max_Table,M1608),0)&amp;Comments!$B$19&amp;IFERROR(DOLLAR(Page5_GMC_VE!$M$11/Page5_GMC_VE!$K$11,0),0),"")</f>
        <v/>
      </c>
      <c r="K1608" s="1452"/>
      <c r="L1608" s="611">
        <f>ROW(OR_VEH!$A$667)</f>
        <v>667</v>
      </c>
      <c r="M1608" s="611">
        <f>ROW(OR_VEH!$A$360)</f>
        <v>360</v>
      </c>
      <c r="N1608" s="611" t="str">
        <f>"CPTE # "&amp;Page5_GMC_VE!$E$11&amp;"  "&amp;Page5_GMC_VE!$C$11&amp;" - COÛT DES VENTES - AAD"</f>
        <v>CPTE # 407H  NE PAS UTILISER - COÛT DES VENTES - AAD</v>
      </c>
      <c r="O1608" s="611" t="str">
        <f t="shared" si="221"/>
        <v/>
      </c>
      <c r="P1608" s="611" t="str">
        <f t="shared" si="223"/>
        <v>Page5_GMC_VE!M</v>
      </c>
      <c r="Q1608" s="611">
        <f t="shared" si="224"/>
        <v>11</v>
      </c>
      <c r="R1608" s="1447">
        <f t="shared" ca="1" si="225"/>
        <v>0</v>
      </c>
      <c r="S1608" s="1447">
        <f t="shared" ca="1" si="226"/>
        <v>0</v>
      </c>
      <c r="T1608" s="611">
        <v>22</v>
      </c>
      <c r="V1608" s="2557" t="str">
        <f t="shared" ca="1" si="219"/>
        <v/>
      </c>
      <c r="W1608" s="611" t="str">
        <f t="shared" ca="1" si="227"/>
        <v>Page5_GMC_VE, Ligne 8 [Page5_GMC_VE!M11]  -</v>
      </c>
    </row>
    <row r="1609" spans="1:23">
      <c r="A1609" s="1443" t="str">
        <f>celladdr(Page5_GMC_VE!M12)</f>
        <v>Page5_GMC_VE!M12</v>
      </c>
      <c r="B1609" s="1456" t="s">
        <v>1086</v>
      </c>
      <c r="C1609" s="1451" t="b">
        <f>IF(Page5_GMC_VE!$K$12=0,FALSE,OR(Page5_GMC_VE!$M$12/Page5_GMC_VE!$K$12&lt;INDEX(Min_Table,L1609),Page5_GMC_VE!$M$12/Page5_GMC_VE!$K$12&gt;INDEX(Max_Table,L1609)))</f>
        <v>0</v>
      </c>
      <c r="D1609" s="1454" t="b">
        <f>OR(AND(Page5_GMC_VE!$L12&lt;&gt;0,Page5_GMC_VE!$M12=0),AND(Page5_GMC_VE!$M12&lt;&gt;0,Page5_GMC_VE!$L12=0))</f>
        <v>0</v>
      </c>
      <c r="E1609" s="1454" t="b">
        <f>IF(Page5_GMC_VE!$K$12=0,FALSE,OR(Page5_GMC_VE!$M$12/Page5_GMC_VE!$K$12&lt;INDEX(Min_Table,M1609),Page5_GMC_VE!$M$12/Page5_GMC_VE!$K$12&gt;INDEX(Max_Table,M1609)))</f>
        <v>0</v>
      </c>
      <c r="F1609" s="1454"/>
      <c r="G1609" s="1444" t="str">
        <f t="shared" si="222"/>
        <v/>
      </c>
      <c r="H1609" s="1447" t="str">
        <f>IF(C1609=TRUE,Comments!$B$20&amp;DOLLAR(INDEX(Min_Table,L1609),0)&amp;Comments!$B$18&amp;DOLLAR(INDEX(Max_Table,L1609),0)&amp;Comments!$B$19&amp;DOLLAR(Page5_GMC_VE!$M$12/Page5_GMC_VE!$K$12,0),"")</f>
        <v/>
      </c>
      <c r="I1609" s="1446" t="str">
        <f>IF(D1609=TRUE,Comments!$B$24,"")</f>
        <v/>
      </c>
      <c r="J1609" s="1446" t="str">
        <f>IF(E1609=TRUE,Comments!$B$22&amp;DOLLAR(INDEX(Min_Table,M1609),0)&amp;Comments!$B$18&amp;DOLLAR(INDEX(Max_Table,M1609),0)&amp;Comments!$B$19&amp;IFERROR(DOLLAR(Page5_GMC_VE!$M$12/Page5_GMC_VE!$K$12,0),0),"")</f>
        <v/>
      </c>
      <c r="K1609" s="1452"/>
      <c r="L1609" s="611">
        <f>ROW(OR_VEH!$A$667)</f>
        <v>667</v>
      </c>
      <c r="M1609" s="611">
        <f>ROW(OR_VEH!$A$361)</f>
        <v>361</v>
      </c>
      <c r="N1609" s="611" t="str">
        <f>"CPTE # "&amp;Page5_GMC_VE!$E$12&amp;"  "&amp;Page5_GMC_VE!$C$12&amp;" - COÛT DES VENTES - AAD"</f>
        <v>CPTE # 408H  NE PAS UTILISER - COÛT DES VENTES - AAD</v>
      </c>
      <c r="O1609" s="611" t="str">
        <f t="shared" si="221"/>
        <v/>
      </c>
      <c r="P1609" s="611" t="str">
        <f t="shared" si="223"/>
        <v>Page5_GMC_VE!M</v>
      </c>
      <c r="Q1609" s="611">
        <f t="shared" si="224"/>
        <v>12</v>
      </c>
      <c r="R1609" s="1447">
        <f t="shared" ca="1" si="225"/>
        <v>0</v>
      </c>
      <c r="S1609" s="1447">
        <f t="shared" ca="1" si="226"/>
        <v>0</v>
      </c>
      <c r="T1609" s="611">
        <v>22</v>
      </c>
      <c r="V1609" s="2557" t="str">
        <f t="shared" ca="1" si="219"/>
        <v/>
      </c>
      <c r="W1609" s="611" t="str">
        <f t="shared" ca="1" si="227"/>
        <v>Page5_GMC_VE, Ligne 9 [Page5_GMC_VE!M12]  -</v>
      </c>
    </row>
    <row r="1610" spans="1:23">
      <c r="A1610" s="1443" t="str">
        <f>celladdr(Page5_GMC_VE!M13)</f>
        <v>Page5_GMC_VE!M13</v>
      </c>
      <c r="B1610" s="1456" t="s">
        <v>1086</v>
      </c>
      <c r="C1610" s="1451" t="b">
        <f>IF(Page5_GMC_VE!$K$13=0,FALSE,OR(Page5_GMC_VE!$M$13/Page5_GMC_VE!$K$13&lt;INDEX(Min_Table,L1610),Page5_GMC_VE!$M$13/Page5_GMC_VE!$K$13&gt;INDEX(Max_Table,L1610)))</f>
        <v>0</v>
      </c>
      <c r="D1610" s="1454" t="b">
        <f>OR(AND(Page5_GMC_VE!$L13&lt;&gt;0,Page5_GMC_VE!$M13=0),AND(Page5_GMC_VE!$M13&lt;&gt;0,Page5_GMC_VE!$L13=0))</f>
        <v>0</v>
      </c>
      <c r="E1610" s="1454" t="b">
        <f>IF(Page5_GMC_VE!$K$13=0,FALSE,OR(Page5_GMC_VE!$M$13/Page5_GMC_VE!$K$13&lt;INDEX(Min_Table,M1610),Page5_GMC_VE!$M$13/Page5_GMC_VE!$K$13&gt;INDEX(Max_Table,M1610)))</f>
        <v>0</v>
      </c>
      <c r="F1610" s="1454"/>
      <c r="G1610" s="1444" t="str">
        <f t="shared" si="222"/>
        <v/>
      </c>
      <c r="H1610" s="1447" t="str">
        <f>IF(C1610=TRUE,Comments!$B$20&amp;DOLLAR(INDEX(Min_Table,L1610),0)&amp;Comments!$B$18&amp;DOLLAR(INDEX(Max_Table,L1610),0)&amp;Comments!$B$19&amp;DOLLAR(Page5_GMC_VE!$M$13/Page5_GMC_VE!$K$13,0),"")</f>
        <v/>
      </c>
      <c r="I1610" s="1446" t="str">
        <f>IF(D1610=TRUE,Comments!$B$24,"")</f>
        <v/>
      </c>
      <c r="J1610" s="1446" t="str">
        <f>IF(E1610=TRUE,Comments!$B$22&amp;DOLLAR(INDEX(Min_Table,M1610),0)&amp;Comments!$B$18&amp;DOLLAR(INDEX(Max_Table,M1610),0)&amp;Comments!$B$19&amp;IFERROR(DOLLAR(Page5_GMC_VE!$M$13/Page5_GMC_VE!$K$13,0),0),"")</f>
        <v/>
      </c>
      <c r="K1610" s="1452"/>
      <c r="L1610" s="611">
        <f>ROW(OR_VEH!$A$667)</f>
        <v>667</v>
      </c>
      <c r="M1610" s="611">
        <f>ROW(OR_VEH!$A$362)</f>
        <v>362</v>
      </c>
      <c r="N1610" s="611" t="str">
        <f>"CPTE # "&amp;Page5_GMC_VE!$E$13&amp;"  "&amp;Page5_GMC_VE!$C$13&amp;" - COÛT DES VENTES - AAD"</f>
        <v>CPTE # 409H  NE PAS UTILISER - COÛT DES VENTES - AAD</v>
      </c>
      <c r="O1610" s="611" t="str">
        <f t="shared" si="221"/>
        <v/>
      </c>
      <c r="P1610" s="611" t="str">
        <f t="shared" si="223"/>
        <v>Page5_GMC_VE!M</v>
      </c>
      <c r="Q1610" s="611">
        <f t="shared" si="224"/>
        <v>13</v>
      </c>
      <c r="R1610" s="1447">
        <f t="shared" ca="1" si="225"/>
        <v>0</v>
      </c>
      <c r="S1610" s="1447">
        <f t="shared" ca="1" si="226"/>
        <v>0</v>
      </c>
      <c r="T1610" s="611">
        <v>22</v>
      </c>
      <c r="V1610" s="2557" t="str">
        <f t="shared" ca="1" si="219"/>
        <v/>
      </c>
      <c r="W1610" s="611" t="str">
        <f t="shared" ca="1" si="227"/>
        <v>Page5_GMC_VE, Ligne 10 [Page5_GMC_VE!M13]  -</v>
      </c>
    </row>
    <row r="1611" spans="1:23">
      <c r="A1611" s="1443" t="str">
        <f>celladdr(Page5_GMC_VE!M14)</f>
        <v>Page5_GMC_VE!M14</v>
      </c>
      <c r="B1611" s="1456" t="s">
        <v>1086</v>
      </c>
      <c r="C1611" s="1451" t="b">
        <f>IF(Page5_GMC_VE!$K$14=0,FALSE,OR(Page5_GMC_VE!$M$14/Page5_GMC_VE!$K$14&lt;INDEX(Min_Table,L1611),Page5_GMC_VE!$M$14/Page5_GMC_VE!$K$14&gt;INDEX(Max_Table,L1611)))</f>
        <v>0</v>
      </c>
      <c r="D1611" s="1454" t="b">
        <f>OR(AND(Page5_GMC_VE!$L14&lt;&gt;0,Page5_GMC_VE!$M14=0),AND(Page5_GMC_VE!$M14&lt;&gt;0,Page5_GMC_VE!$L14=0))</f>
        <v>0</v>
      </c>
      <c r="E1611" s="1454" t="b">
        <f>IF(Page5_GMC_VE!$K$14=0,FALSE,OR(Page5_GMC_VE!$M$14/Page5_GMC_VE!$K$14&lt;INDEX(Min_Table,M1611),Page5_GMC_VE!$M$14/Page5_GMC_VE!$K$14&gt;INDEX(Max_Table,M1611)))</f>
        <v>0</v>
      </c>
      <c r="F1611" s="1454"/>
      <c r="G1611" s="1444" t="str">
        <f t="shared" si="222"/>
        <v/>
      </c>
      <c r="H1611" s="1447" t="str">
        <f>IF(C1611=TRUE,Comments!$B$20&amp;DOLLAR(INDEX(Min_Table,L1611),0)&amp;Comments!$B$18&amp;DOLLAR(INDEX(Max_Table,L1611),0)&amp;Comments!$B$19&amp;DOLLAR(Page5_GMC_VE!$M$14/Page5_GMC_VE!$K$14,0),"")</f>
        <v/>
      </c>
      <c r="I1611" s="1446" t="str">
        <f>IF(D1611=TRUE,Comments!$B$24,"")</f>
        <v/>
      </c>
      <c r="J1611" s="1446" t="str">
        <f>IF(E1611=TRUE,Comments!$B$22&amp;DOLLAR(INDEX(Min_Table,M1611),0)&amp;Comments!$B$18&amp;DOLLAR(INDEX(Max_Table,M1611),0)&amp;Comments!$B$19&amp;IFERROR(DOLLAR(Page5_GMC_VE!$M$14/Page5_GMC_VE!$K$14,0),0),"")</f>
        <v/>
      </c>
      <c r="K1611" s="1452"/>
      <c r="L1611" s="611">
        <f>ROW(OR_VEH!$A$667)</f>
        <v>667</v>
      </c>
      <c r="M1611" s="611">
        <f>ROW(OR_VEH!$A$363)</f>
        <v>363</v>
      </c>
      <c r="N1611" s="611" t="str">
        <f>"CPTE # "&amp;Page5_GMC_VE!$E$14&amp;"  "&amp;Page5_GMC_VE!$C$14&amp;" - COÛT DES VENTES - AAD"</f>
        <v>CPTE # 410H  NE PAS UTILISER - COÛT DES VENTES - AAD</v>
      </c>
      <c r="O1611" s="611" t="str">
        <f t="shared" si="221"/>
        <v/>
      </c>
      <c r="P1611" s="611" t="str">
        <f t="shared" si="223"/>
        <v>Page5_GMC_VE!M</v>
      </c>
      <c r="Q1611" s="611">
        <f t="shared" si="224"/>
        <v>14</v>
      </c>
      <c r="R1611" s="1447">
        <f t="shared" ca="1" si="225"/>
        <v>0</v>
      </c>
      <c r="S1611" s="1447">
        <f t="shared" ca="1" si="226"/>
        <v>0</v>
      </c>
      <c r="T1611" s="611">
        <v>22</v>
      </c>
      <c r="V1611" s="2557" t="str">
        <f t="shared" ca="1" si="219"/>
        <v/>
      </c>
      <c r="W1611" s="611" t="str">
        <f t="shared" ca="1" si="227"/>
        <v>Page5_GMC_VE, Ligne 11 [Page5_GMC_VE!M14]  -</v>
      </c>
    </row>
    <row r="1612" spans="1:23">
      <c r="A1612" s="1443" t="str">
        <f>celladdr(Page5_GMC_VE!M15)</f>
        <v>Page5_GMC_VE!M15</v>
      </c>
      <c r="B1612" s="1456" t="s">
        <v>1086</v>
      </c>
      <c r="C1612" s="1451" t="b">
        <f>IF(Page5_GMC_VE!$K$15=0,FALSE,OR(Page5_GMC_VE!$M$15/Page5_GMC_VE!$K$15&lt;INDEX(Min_Table,L1612),Page5_GMC_VE!$M$15/Page5_GMC_VE!$K$15&gt;INDEX(Max_Table,L1612)))</f>
        <v>0</v>
      </c>
      <c r="D1612" s="1454" t="b">
        <f>OR(AND(Page5_GMC_VE!$L15&lt;&gt;0,Page5_GMC_VE!$M15=0),AND(Page5_GMC_VE!$M15&lt;&gt;0,Page5_GMC_VE!$L15=0))</f>
        <v>0</v>
      </c>
      <c r="E1612" s="1454" t="b">
        <f>IF(Page5_GMC_VE!$K$15=0,FALSE,OR(Page5_GMC_VE!$M$15/Page5_GMC_VE!$K$15&lt;INDEX(Min_Table,M1612),Page5_GMC_VE!$M$15/Page5_GMC_VE!$K$15&gt;INDEX(Max_Table,M1612)))</f>
        <v>0</v>
      </c>
      <c r="F1612" s="1454"/>
      <c r="G1612" s="1444" t="str">
        <f t="shared" si="222"/>
        <v/>
      </c>
      <c r="H1612" s="1447" t="str">
        <f>IF(C1612=TRUE,Comments!$B$20&amp;DOLLAR(INDEX(Min_Table,L1612),0)&amp;Comments!$B$18&amp;DOLLAR(INDEX(Max_Table,L1612),0)&amp;Comments!$B$19&amp;DOLLAR(Page5_GMC_VE!$M$15/Page5_GMC_VE!$K$15,0),"")</f>
        <v/>
      </c>
      <c r="I1612" s="1446" t="str">
        <f>IF(D1612=TRUE,Comments!$B$24,"")</f>
        <v/>
      </c>
      <c r="J1612" s="1446" t="str">
        <f>IF(E1612=TRUE,Comments!$B$22&amp;DOLLAR(INDEX(Min_Table,M1612),0)&amp;Comments!$B$18&amp;DOLLAR(INDEX(Max_Table,M1612),0)&amp;Comments!$B$19&amp;IFERROR(DOLLAR(Page5_GMC_VE!$M$15/Page5_GMC_VE!$K$15,0),0),"")</f>
        <v/>
      </c>
      <c r="K1612" s="1452"/>
      <c r="L1612" s="611">
        <f>ROW(OR_VEH!$A$667)</f>
        <v>667</v>
      </c>
      <c r="M1612" s="611">
        <f>ROW(OR_VEH!$A$364)</f>
        <v>364</v>
      </c>
      <c r="N1612" s="611" t="str">
        <f>"CPTE # "&amp;Page5_GMC_VE!$E$15&amp;"  "&amp;Page5_GMC_VE!$C$15&amp;" - COÛT DES VENTES - AAD"</f>
        <v>CPTE # 411H  NE PAS UTILISER - COÛT DES VENTES - AAD</v>
      </c>
      <c r="O1612" s="611" t="str">
        <f t="shared" si="221"/>
        <v/>
      </c>
      <c r="P1612" s="611" t="str">
        <f t="shared" si="223"/>
        <v>Page5_GMC_VE!M</v>
      </c>
      <c r="Q1612" s="611">
        <f t="shared" si="224"/>
        <v>15</v>
      </c>
      <c r="R1612" s="1447">
        <f t="shared" ca="1" si="225"/>
        <v>0</v>
      </c>
      <c r="S1612" s="1447">
        <f t="shared" ca="1" si="226"/>
        <v>0</v>
      </c>
      <c r="T1612" s="611">
        <v>22</v>
      </c>
      <c r="V1612" s="2557" t="str">
        <f t="shared" ca="1" si="219"/>
        <v/>
      </c>
      <c r="W1612" s="611" t="str">
        <f t="shared" ca="1" si="227"/>
        <v>Page5_GMC_VE, Ligne 12 [Page5_GMC_VE!M15]  -</v>
      </c>
    </row>
    <row r="1613" spans="1:23">
      <c r="A1613" s="1443" t="str">
        <f>celladdr(Page5_GMC_VE!M16)</f>
        <v>Page5_GMC_VE!M16</v>
      </c>
      <c r="B1613" s="1456" t="s">
        <v>1086</v>
      </c>
      <c r="C1613" s="1451" t="b">
        <f>IF(Page5_GMC_VE!$K$16=0,FALSE,OR(Page5_GMC_VE!$M$16/Page5_GMC_VE!$K$16&lt;INDEX(Min_Table,L1613),Page5_GMC_VE!$M$16/Page5_GMC_VE!$K$16&gt;INDEX(Max_Table,L1613)))</f>
        <v>0</v>
      </c>
      <c r="D1613" s="1454" t="b">
        <f>OR(AND(Page5_GMC_VE!$L16&lt;&gt;0,Page5_GMC_VE!$M16=0),AND(Page5_GMC_VE!$M16&lt;&gt;0,Page5_GMC_VE!$L16=0))</f>
        <v>0</v>
      </c>
      <c r="E1613" s="1454" t="b">
        <f>IF(Page5_GMC_VE!$K$16=0,FALSE,OR(Page5_GMC_VE!$M$16/Page5_GMC_VE!$K$16&lt;INDEX(Min_Table,M1613),Page5_GMC_VE!$M$16/Page5_GMC_VE!$K$16&gt;INDEX(Max_Table,M1613)))</f>
        <v>0</v>
      </c>
      <c r="F1613" s="1454"/>
      <c r="G1613" s="1444" t="str">
        <f t="shared" si="222"/>
        <v/>
      </c>
      <c r="H1613" s="1447" t="str">
        <f>IF(C1613=TRUE,Comments!$B$20&amp;DOLLAR(INDEX(Min_Table,L1613),0)&amp;Comments!$B$18&amp;DOLLAR(INDEX(Max_Table,L1613),0)&amp;Comments!$B$19&amp;DOLLAR(Page5_GMC_VE!$M$16/Page5_GMC_VE!$K$16,0),"")</f>
        <v/>
      </c>
      <c r="I1613" s="1446" t="str">
        <f>IF(D1613=TRUE,Comments!$B$24,"")</f>
        <v/>
      </c>
      <c r="J1613" s="1446" t="str">
        <f>IF(E1613=TRUE,Comments!$B$22&amp;DOLLAR(INDEX(Min_Table,M1613),0)&amp;Comments!$B$18&amp;DOLLAR(INDEX(Max_Table,M1613),0)&amp;Comments!$B$19&amp;IFERROR(DOLLAR(Page5_GMC_VE!$M$16/Page5_GMC_VE!$K$16,0),0),"")</f>
        <v/>
      </c>
      <c r="K1613" s="1452"/>
      <c r="L1613" s="611">
        <f>ROW(OR_VEH!$A$667)</f>
        <v>667</v>
      </c>
      <c r="M1613" s="611">
        <f>ROW(OR_VEH!$A$365)</f>
        <v>365</v>
      </c>
      <c r="N1613" s="611" t="str">
        <f>"CPTE # "&amp;Page5_GMC_VE!$E$16&amp;"  "&amp;Page5_GMC_VE!$C$16&amp;" - COÛT DES VENTES - AAD"</f>
        <v>CPTE # 412H  NE PAS UTILISER - COÛT DES VENTES - AAD</v>
      </c>
      <c r="O1613" s="611" t="str">
        <f t="shared" si="221"/>
        <v/>
      </c>
      <c r="P1613" s="611" t="str">
        <f t="shared" si="223"/>
        <v>Page5_GMC_VE!M</v>
      </c>
      <c r="Q1613" s="611">
        <f t="shared" si="224"/>
        <v>16</v>
      </c>
      <c r="R1613" s="1447">
        <f t="shared" ca="1" si="225"/>
        <v>0</v>
      </c>
      <c r="S1613" s="1447">
        <f t="shared" ca="1" si="226"/>
        <v>0</v>
      </c>
      <c r="T1613" s="611">
        <v>22</v>
      </c>
      <c r="V1613" s="2557" t="str">
        <f t="shared" ca="1" si="219"/>
        <v/>
      </c>
      <c r="W1613" s="611" t="str">
        <f t="shared" ca="1" si="227"/>
        <v>Page5_GMC_VE, Ligne 13 [Page5_GMC_VE!M16]  -</v>
      </c>
    </row>
    <row r="1614" spans="1:23">
      <c r="A1614" s="1443" t="str">
        <f>celladdr(Page5_GMC_VE!M17)</f>
        <v>Page5_GMC_VE!M17</v>
      </c>
      <c r="B1614" s="1456" t="s">
        <v>1086</v>
      </c>
      <c r="C1614" s="1451" t="b">
        <f>IF(Page5_GMC_VE!$K$17=0,FALSE,OR(Page5_GMC_VE!$M$17/Page5_GMC_VE!$K$17&lt;INDEX(Min_Table,L1614),Page5_GMC_VE!$M$17/Page5_GMC_VE!$K$17&gt;INDEX(Max_Table,L1614)))</f>
        <v>0</v>
      </c>
      <c r="D1614" s="1454" t="b">
        <f>OR(AND(Page5_GMC_VE!$L17&lt;&gt;0,Page5_GMC_VE!$M17=0),AND(Page5_GMC_VE!$M17&lt;&gt;0,Page5_GMC_VE!$L17=0))</f>
        <v>0</v>
      </c>
      <c r="E1614" s="1454" t="b">
        <f>IF(Page5_GMC_VE!$K$17=0,FALSE,OR(Page5_GMC_VE!$M$17/Page5_GMC_VE!$K$17&lt;INDEX(Min_Table,M1614),Page5_GMC_VE!$M$17/Page5_GMC_VE!$K$17&gt;INDEX(Max_Table,M1614)))</f>
        <v>0</v>
      </c>
      <c r="F1614" s="1454"/>
      <c r="G1614" s="1444" t="str">
        <f t="shared" si="222"/>
        <v/>
      </c>
      <c r="H1614" s="1447" t="str">
        <f>IF(C1614=TRUE,Comments!$B$20&amp;DOLLAR(INDEX(Min_Table,L1614),0)&amp;Comments!$B$18&amp;DOLLAR(INDEX(Max_Table,L1614),0)&amp;Comments!$B$19&amp;DOLLAR(Page5_GMC_VE!$M$17/Page5_GMC_VE!$K$17,0),"")</f>
        <v/>
      </c>
      <c r="I1614" s="1446" t="str">
        <f>IF(D1614=TRUE,Comments!$B$24,"")</f>
        <v/>
      </c>
      <c r="J1614" s="1446" t="str">
        <f>IF(E1614=TRUE,Comments!$B$22&amp;DOLLAR(INDEX(Min_Table,M1614),0)&amp;Comments!$B$18&amp;DOLLAR(INDEX(Max_Table,M1614),0)&amp;Comments!$B$19&amp;IFERROR(DOLLAR(Page5_GMC_VE!$M$17/Page5_GMC_VE!$K$17,0),0),"")</f>
        <v/>
      </c>
      <c r="K1614" s="1452"/>
      <c r="L1614" s="611">
        <f>ROW(OR_VEH!$A$667)</f>
        <v>667</v>
      </c>
      <c r="M1614" s="611">
        <f>ROW(OR_VEH!$A$366)</f>
        <v>366</v>
      </c>
      <c r="N1614" s="611" t="str">
        <f>"CPTE # "&amp;Page5_GMC_VE!$E$17&amp;"  "&amp;Page5_GMC_VE!$C$17&amp;" - COÛT DES VENTES - AAD"</f>
        <v>CPTE # 413H  NE PAS UTILISER - COÛT DES VENTES - AAD</v>
      </c>
      <c r="O1614" s="611" t="str">
        <f t="shared" si="221"/>
        <v/>
      </c>
      <c r="P1614" s="611" t="str">
        <f t="shared" si="223"/>
        <v>Page5_GMC_VE!M</v>
      </c>
      <c r="Q1614" s="611">
        <f t="shared" si="224"/>
        <v>17</v>
      </c>
      <c r="R1614" s="1447">
        <f t="shared" ca="1" si="225"/>
        <v>0</v>
      </c>
      <c r="S1614" s="1447">
        <f t="shared" ca="1" si="226"/>
        <v>0</v>
      </c>
      <c r="T1614" s="611">
        <v>22</v>
      </c>
      <c r="V1614" s="2557" t="str">
        <f t="shared" ca="1" si="219"/>
        <v/>
      </c>
      <c r="W1614" s="611" t="str">
        <f t="shared" ca="1" si="227"/>
        <v>Page5_GMC_VE, Ligne 14 [Page5_GMC_VE!M17]  -</v>
      </c>
    </row>
    <row r="1615" spans="1:23">
      <c r="A1615" s="1443" t="str">
        <f>celladdr(Page5_GMC_VE!M18)</f>
        <v>Page5_GMC_VE!M18</v>
      </c>
      <c r="B1615" s="1456" t="s">
        <v>1086</v>
      </c>
      <c r="C1615" s="1451" t="b">
        <f>IF(Page5_GMC_VE!$K$18=0,FALSE,OR(Page5_GMC_VE!$M$18/Page5_GMC_VE!$K$18&lt;INDEX(Min_Table,L1615),Page5_GMC_VE!$M$18/Page5_GMC_VE!$K$18&gt;INDEX(Max_Table,L1615)))</f>
        <v>0</v>
      </c>
      <c r="D1615" s="1454" t="b">
        <f>OR(AND(Page5_GMC_VE!$L18&lt;&gt;0,Page5_GMC_VE!$M18=0),AND(Page5_GMC_VE!$M18&lt;&gt;0,Page5_GMC_VE!$L18=0))</f>
        <v>0</v>
      </c>
      <c r="E1615" s="1454" t="b">
        <f>IF(Page5_GMC_VE!$K$18=0,FALSE,OR(Page5_GMC_VE!$M$18/Page5_GMC_VE!$K$18&lt;INDEX(Min_Table,M1615),Page5_GMC_VE!$M$18/Page5_GMC_VE!$K$18&gt;INDEX(Max_Table,M1615)))</f>
        <v>0</v>
      </c>
      <c r="F1615" s="1454"/>
      <c r="G1615" s="1444" t="str">
        <f t="shared" si="222"/>
        <v/>
      </c>
      <c r="H1615" s="1447" t="str">
        <f>IF(C1615=TRUE,Comments!$B$20&amp;DOLLAR(INDEX(Min_Table,L1615),0)&amp;Comments!$B$18&amp;DOLLAR(INDEX(Max_Table,L1615),0)&amp;Comments!$B$19&amp;DOLLAR(Page5_GMC_VE!$M$18/Page5_GMC_VE!$K$18,0),"")</f>
        <v/>
      </c>
      <c r="I1615" s="1446" t="str">
        <f>IF(D1615=TRUE,Comments!$B$24,"")</f>
        <v/>
      </c>
      <c r="J1615" s="1446" t="str">
        <f>IF(E1615=TRUE,Comments!$B$22&amp;DOLLAR(INDEX(Min_Table,M1615),0)&amp;Comments!$B$18&amp;DOLLAR(INDEX(Max_Table,M1615),0)&amp;Comments!$B$19&amp;IFERROR(DOLLAR(Page5_GMC_VE!$M$18/Page5_GMC_VE!$K$18,0),0),"")</f>
        <v/>
      </c>
      <c r="K1615" s="1452"/>
      <c r="L1615" s="611">
        <f>ROW(OR_VEH!$A$667)</f>
        <v>667</v>
      </c>
      <c r="M1615" s="611">
        <f>ROW(OR_VEH!$A$367)</f>
        <v>367</v>
      </c>
      <c r="N1615" s="611" t="str">
        <f>"CPTE # "&amp;Page5_GMC_VE!$E$18&amp;"  "&amp;Page5_GMC_VE!$C$18&amp;" - COÛT DES VENTES - AAD"</f>
        <v>CPTE # 414H  NE PAS UTILISER - COÛT DES VENTES - AAD</v>
      </c>
      <c r="O1615" s="611" t="str">
        <f t="shared" si="221"/>
        <v/>
      </c>
      <c r="P1615" s="611" t="str">
        <f t="shared" si="223"/>
        <v>Page5_GMC_VE!M</v>
      </c>
      <c r="Q1615" s="611">
        <f t="shared" si="224"/>
        <v>18</v>
      </c>
      <c r="R1615" s="1447">
        <f t="shared" ca="1" si="225"/>
        <v>0</v>
      </c>
      <c r="S1615" s="1447">
        <f t="shared" ca="1" si="226"/>
        <v>0</v>
      </c>
      <c r="T1615" s="611">
        <v>22</v>
      </c>
      <c r="V1615" s="2557" t="str">
        <f t="shared" ca="1" si="219"/>
        <v/>
      </c>
      <c r="W1615" s="611" t="str">
        <f t="shared" ca="1" si="227"/>
        <v>Page5_GMC_VE, Ligne 15 [Page5_GMC_VE!M18]  -</v>
      </c>
    </row>
    <row r="1616" spans="1:23">
      <c r="A1616" s="1443" t="str">
        <f>celladdr(Page5_GMC_VE!M19)</f>
        <v>Page5_GMC_VE!M19</v>
      </c>
      <c r="B1616" s="1456" t="s">
        <v>1086</v>
      </c>
      <c r="C1616" s="1451" t="b">
        <f>IF(Page5_GMC_VE!$K$19=0,FALSE,OR(Page5_GMC_VE!$M$19/Page5_GMC_VE!$K$19&lt;INDEX(Min_Table,L1616),Page5_GMC_VE!$M$19/Page5_GMC_VE!$K$19&gt;INDEX(Max_Table,L1616)))</f>
        <v>0</v>
      </c>
      <c r="D1616" s="1454" t="b">
        <f>OR(AND(Page5_GMC_VE!$L19&lt;&gt;0,Page5_GMC_VE!$M19=0),AND(Page5_GMC_VE!$M19&lt;&gt;0,Page5_GMC_VE!$L19=0))</f>
        <v>0</v>
      </c>
      <c r="E1616" s="1454" t="b">
        <f>IF(Page5_GMC_VE!$K$19=0,FALSE,OR(Page5_GMC_VE!$M$19/Page5_GMC_VE!$K$19&lt;INDEX(Min_Table,M1616),Page5_GMC_VE!$M$19/Page5_GMC_VE!$K$19&gt;INDEX(Max_Table,M1616)))</f>
        <v>0</v>
      </c>
      <c r="F1616" s="1454"/>
      <c r="G1616" s="1444" t="str">
        <f t="shared" si="222"/>
        <v/>
      </c>
      <c r="H1616" s="1447" t="str">
        <f>IF(C1616=TRUE,Comments!$B$20&amp;DOLLAR(INDEX(Min_Table,L1616),0)&amp;Comments!$B$18&amp;DOLLAR(INDEX(Max_Table,L1616),0)&amp;Comments!$B$19&amp;DOLLAR(Page5_GMC_VE!$M$19/Page5_GMC_VE!$K$19,0),"")</f>
        <v/>
      </c>
      <c r="I1616" s="1446" t="str">
        <f>IF(D1616=TRUE,Comments!$B$24,"")</f>
        <v/>
      </c>
      <c r="J1616" s="1446" t="str">
        <f>IF(E1616=TRUE,Comments!$B$22&amp;DOLLAR(INDEX(Min_Table,M1616),0)&amp;Comments!$B$18&amp;DOLLAR(INDEX(Max_Table,M1616),0)&amp;Comments!$B$19&amp;IFERROR(DOLLAR(Page5_GMC_VE!$M$19/Page5_GMC_VE!$K$19,0),0),"")</f>
        <v/>
      </c>
      <c r="K1616" s="1452"/>
      <c r="L1616" s="611">
        <f>ROW(OR_VEH!$A$667)</f>
        <v>667</v>
      </c>
      <c r="M1616" s="611">
        <f>ROW(OR_VEH!$A$368)</f>
        <v>368</v>
      </c>
      <c r="N1616" s="611" t="str">
        <f>"CPTE # "&amp;Page5_GMC_VE!$E$19&amp;"  "&amp;Page5_GMC_VE!$C$19&amp;" - COÛT DES VENTES - AAD"</f>
        <v>CPTE # 415H  NE PAS UTILISER - COÛT DES VENTES - AAD</v>
      </c>
      <c r="O1616" s="611" t="str">
        <f t="shared" si="221"/>
        <v/>
      </c>
      <c r="P1616" s="611" t="str">
        <f t="shared" si="223"/>
        <v>Page5_GMC_VE!M</v>
      </c>
      <c r="Q1616" s="611">
        <f t="shared" si="224"/>
        <v>19</v>
      </c>
      <c r="R1616" s="1447">
        <f t="shared" ca="1" si="225"/>
        <v>0</v>
      </c>
      <c r="S1616" s="1447">
        <f t="shared" ca="1" si="226"/>
        <v>0</v>
      </c>
      <c r="T1616" s="611">
        <v>22</v>
      </c>
      <c r="V1616" s="2557" t="str">
        <f t="shared" ca="1" si="219"/>
        <v/>
      </c>
      <c r="W1616" s="611" t="str">
        <f t="shared" ca="1" si="227"/>
        <v>Page5_GMC_VE, Ligne 16 [Page5_GMC_VE!M19]  -</v>
      </c>
    </row>
    <row r="1617" spans="1:23">
      <c r="A1617" s="1443" t="str">
        <f>celladdr(Page5_GMC_VE!M20)</f>
        <v>Page5_GMC_VE!M20</v>
      </c>
      <c r="B1617" s="1456" t="s">
        <v>1086</v>
      </c>
      <c r="C1617" s="1451"/>
      <c r="D1617" s="1454"/>
      <c r="E1617" s="1454"/>
      <c r="F1617" s="1454"/>
      <c r="G1617" s="1444" t="str">
        <f t="shared" si="222"/>
        <v/>
      </c>
      <c r="I1617" s="1446"/>
      <c r="J1617" s="1446"/>
      <c r="K1617" s="1452"/>
      <c r="L1617" s="611">
        <f>ROW(OR_VEH!$A$667)</f>
        <v>667</v>
      </c>
      <c r="M1617" s="611">
        <f>ROW(OR_VEH!$A$369)</f>
        <v>369</v>
      </c>
      <c r="N1617" s="611" t="str">
        <f>"CPTE # "&amp;Page5_GMC_VE!$E$20&amp;"  "&amp;Page5_GMC_VE!$C$20&amp;" - COÛT DES VENTES - AAD"</f>
        <v>CPTE # 416H  NE PAS UTILISER - COÛT DES VENTES - AAD</v>
      </c>
      <c r="O1617" s="611" t="str">
        <f t="shared" si="221"/>
        <v/>
      </c>
      <c r="P1617" s="611" t="str">
        <f t="shared" si="223"/>
        <v>Page5_GMC_VE!M</v>
      </c>
      <c r="Q1617" s="611">
        <f t="shared" si="224"/>
        <v>20</v>
      </c>
      <c r="R1617" s="1447">
        <f t="shared" ca="1" si="225"/>
        <v>0</v>
      </c>
      <c r="S1617" s="1447">
        <f t="shared" ca="1" si="226"/>
        <v>0</v>
      </c>
      <c r="T1617" s="611">
        <v>22</v>
      </c>
      <c r="V1617" s="2557" t="str">
        <f t="shared" ca="1" si="219"/>
        <v/>
      </c>
      <c r="W1617" s="611" t="str">
        <f t="shared" ca="1" si="227"/>
        <v>Page5_GMC_VE, Ligne 17 [Page5_GMC_VE!M20]  -</v>
      </c>
    </row>
    <row r="1618" spans="1:23">
      <c r="A1618" s="1443" t="str">
        <f>celladdr(Page5_GMC_VE!M21)</f>
        <v>Page5_GMC_VE!M21</v>
      </c>
      <c r="B1618" s="1456" t="s">
        <v>1086</v>
      </c>
      <c r="C1618" s="1451" t="b">
        <f>IF(Page5_GMC_VE!$K$21=0,FALSE,OR(Page5_GMC_VE!$M$21/Page5_GMC_VE!$K$21&lt;INDEX(Min_Table,L1618),Page5_GMC_VE!$M$21/Page5_GMC_VE!$K$21&gt;INDEX(Max_Table,L1618)))</f>
        <v>0</v>
      </c>
      <c r="D1618" s="1454" t="b">
        <f>OR(AND(Page5_GMC_VE!$L21&lt;&gt;0,Page5_GMC_VE!$M21=0),AND(Page5_GMC_VE!$M21&lt;&gt;0,Page5_GMC_VE!$L21=0))</f>
        <v>0</v>
      </c>
      <c r="E1618" s="1454" t="b">
        <f>IF(Page5_GMC_VE!$K$21=0,FALSE,OR(Page5_GMC_VE!$M$21/Page5_GMC_VE!$K$21&lt;INDEX(Min_Table,M1618),Page5_GMC_VE!$M$21/Page5_GMC_VE!$K$21&gt;INDEX(Max_Table,M1618)))</f>
        <v>0</v>
      </c>
      <c r="F1618" s="1454"/>
      <c r="G1618" s="1444" t="str">
        <f t="shared" si="222"/>
        <v/>
      </c>
      <c r="H1618" s="1447" t="str">
        <f>IF(C1618=TRUE,Comments!$B$20&amp;DOLLAR(INDEX(Min_Table,L1618),0)&amp;Comments!$B$18&amp;DOLLAR(INDEX(Max_Table,L1618),0)&amp;Comments!$B$19&amp;DOLLAR(Page5_GMC_VE!$M$21/Page5_GMC_VE!$K$21,0),"")</f>
        <v/>
      </c>
      <c r="I1618" s="1446" t="str">
        <f>IF(D1618=TRUE,Comments!$B$24,"")</f>
        <v/>
      </c>
      <c r="J1618" s="1446" t="str">
        <f>IF(E1618=TRUE,Comments!$B$22&amp;DOLLAR(INDEX(Min_Table,M1618),0)&amp;Comments!$B$18&amp;DOLLAR(INDEX(Max_Table,M1618),0)&amp;Comments!$B$19&amp;IFERROR(DOLLAR(Page5_GMC_VE!$M$21/Page5_GMC_VE!$K$21,0),0),"")</f>
        <v/>
      </c>
      <c r="K1618" s="1452"/>
      <c r="L1618" s="611">
        <f>ROW(OR_VEH!$A$667)</f>
        <v>667</v>
      </c>
      <c r="M1618" s="611">
        <f>ROW(OR_VEH!$A$370)</f>
        <v>370</v>
      </c>
      <c r="N1618" s="611" t="str">
        <f>"CPTE # "&amp;Page5_GMC_VE!$E$21&amp;"  "&amp;Page5_GMC_VE!$C$21&amp;" - COÛT DES VENTES - AAD"</f>
        <v>CPTE # 417H  NE PAS UTILISER - COÛT DES VENTES - AAD</v>
      </c>
      <c r="O1618" s="611" t="str">
        <f t="shared" si="221"/>
        <v/>
      </c>
      <c r="P1618" s="611" t="str">
        <f t="shared" si="223"/>
        <v>Page5_GMC_VE!M</v>
      </c>
      <c r="Q1618" s="611">
        <f t="shared" si="224"/>
        <v>21</v>
      </c>
      <c r="R1618" s="1447">
        <f t="shared" ca="1" si="225"/>
        <v>0</v>
      </c>
      <c r="S1618" s="1447">
        <f t="shared" ca="1" si="226"/>
        <v>0</v>
      </c>
      <c r="T1618" s="611">
        <v>22</v>
      </c>
      <c r="V1618" s="2557" t="str">
        <f t="shared" ca="1" si="219"/>
        <v/>
      </c>
      <c r="W1618" s="611" t="str">
        <f t="shared" ca="1" si="227"/>
        <v>Page5_GMC_VE, Ligne 18 [Page5_GMC_VE!M21]  -</v>
      </c>
    </row>
    <row r="1619" spans="1:23">
      <c r="A1619" s="1443" t="str">
        <f>celladdr(Page5_GMC_VE!M22)</f>
        <v>Page5_GMC_VE!M22</v>
      </c>
      <c r="B1619" s="1456" t="s">
        <v>1086</v>
      </c>
      <c r="C1619" s="1451" t="b">
        <f>IF(Page5_GMC_VE!$K$22=0,FALSE,OR(Page5_GMC_VE!$M$22/Page5_GMC_VE!$K$22&lt;INDEX(Min_Table,L1619),Page5_GMC_VE!$M$22/Page5_GMC_VE!$K$22&gt;INDEX(Max_Table,L1619)))</f>
        <v>0</v>
      </c>
      <c r="D1619" s="1454" t="b">
        <f>OR(AND(Page5_GMC_VE!$L22&lt;&gt;0,Page5_GMC_VE!$M22=0),AND(Page5_GMC_VE!$M22&lt;&gt;0,Page5_GMC_VE!$L22=0))</f>
        <v>0</v>
      </c>
      <c r="E1619" s="1454" t="b">
        <f>IF(Page5_GMC_VE!$K$22=0,FALSE,OR(Page5_GMC_VE!$M$22/Page5_GMC_VE!$K$22&lt;INDEX(Min_Table,M1619),Page5_GMC_VE!$M$22/Page5_GMC_VE!$K$22&gt;INDEX(Max_Table,M1619)))</f>
        <v>0</v>
      </c>
      <c r="F1619" s="1454"/>
      <c r="G1619" s="1444" t="str">
        <f t="shared" si="222"/>
        <v/>
      </c>
      <c r="H1619" s="1447" t="str">
        <f>IF(C1619=TRUE,Comments!$B$20&amp;DOLLAR(INDEX(Min_Table,L1619),0)&amp;Comments!$B$18&amp;DOLLAR(INDEX(Max_Table,L1619),0)&amp;Comments!$B$19&amp;DOLLAR(Page5_GMC_VE!$M$22/Page5_GMC_VE!$K$22,0),"")</f>
        <v/>
      </c>
      <c r="I1619" s="1446" t="str">
        <f>IF(D1619=TRUE,Comments!$B$24,"")</f>
        <v/>
      </c>
      <c r="J1619" s="1446" t="str">
        <f>IF(E1619=TRUE,Comments!$B$22&amp;DOLLAR(INDEX(Min_Table,M1619),0)&amp;Comments!$B$18&amp;DOLLAR(INDEX(Max_Table,M1619),0)&amp;Comments!$B$19&amp;IFERROR(DOLLAR(Page5_GMC_VE!$M$22/Page5_GMC_VE!$K$22,0),0),"")</f>
        <v/>
      </c>
      <c r="K1619" s="1452"/>
      <c r="L1619" s="611">
        <f>ROW(OR_VEH!$A$667)</f>
        <v>667</v>
      </c>
      <c r="M1619" s="611">
        <f>ROW(OR_VEH!$A$371)</f>
        <v>371</v>
      </c>
      <c r="N1619" s="611" t="str">
        <f>"CPTE # "&amp;Page5_GMC_VE!$E$22&amp;"  "&amp;Page5_GMC_VE!$C$22&amp;" - COÛT DES VENTES - AAD"</f>
        <v>CPTE # 418H  NE PAS UTILISER - COÛT DES VENTES - AAD</v>
      </c>
      <c r="O1619" s="611" t="str">
        <f t="shared" si="221"/>
        <v/>
      </c>
      <c r="P1619" s="611" t="str">
        <f t="shared" si="223"/>
        <v>Page5_GMC_VE!M</v>
      </c>
      <c r="Q1619" s="611">
        <f t="shared" si="224"/>
        <v>22</v>
      </c>
      <c r="R1619" s="1447">
        <f t="shared" ca="1" si="225"/>
        <v>0</v>
      </c>
      <c r="S1619" s="1447">
        <f t="shared" ca="1" si="226"/>
        <v>0</v>
      </c>
      <c r="T1619" s="611">
        <v>22</v>
      </c>
      <c r="V1619" s="2557" t="str">
        <f t="shared" ca="1" si="219"/>
        <v/>
      </c>
      <c r="W1619" s="611" t="str">
        <f t="shared" ca="1" si="227"/>
        <v>Page5_GMC_VE, Ligne 19 [Page5_GMC_VE!M22]  -</v>
      </c>
    </row>
    <row r="1620" spans="1:23">
      <c r="A1620" s="1443" t="str">
        <f>celladdr(Page5_GMC_VE!M23)</f>
        <v>Page5_GMC_VE!M23</v>
      </c>
      <c r="B1620" s="1444" t="s">
        <v>1086</v>
      </c>
      <c r="C1620" s="1451"/>
      <c r="D1620" s="1454"/>
      <c r="E1620" s="1454"/>
      <c r="F1620" s="1454"/>
      <c r="G1620" s="1444" t="str">
        <f t="shared" si="222"/>
        <v/>
      </c>
      <c r="H1620" s="1447" t="str">
        <f>IF(C1620=TRUE,Comments!$B$26,"")</f>
        <v/>
      </c>
      <c r="I1620" s="1446" t="str">
        <f>IF(D1620=TRUE,Comments!$B$24,"")</f>
        <v/>
      </c>
      <c r="J1620" s="1446"/>
      <c r="K1620" s="1452"/>
      <c r="O1620" s="611" t="str">
        <f t="shared" si="221"/>
        <v/>
      </c>
      <c r="P1620" s="611" t="str">
        <f t="shared" si="223"/>
        <v>Page5_GMC_VE!M</v>
      </c>
      <c r="Q1620" s="611">
        <f t="shared" si="224"/>
        <v>23</v>
      </c>
      <c r="R1620" s="1447">
        <f t="shared" ca="1" si="225"/>
        <v>0</v>
      </c>
      <c r="S1620" s="1447">
        <f t="shared" ca="1" si="226"/>
        <v>0</v>
      </c>
      <c r="V1620" s="2557" t="str">
        <f t="shared" ca="1" si="219"/>
        <v/>
      </c>
      <c r="W1620" s="611" t="str">
        <f t="shared" ca="1" si="227"/>
        <v>Page5_GMC_VE, Ligne 20 [Page5_GMC_VE!M23]  -</v>
      </c>
    </row>
    <row r="1621" spans="1:23">
      <c r="A1621" s="1443" t="str">
        <f>celladdr(Page5_GMC_VE!M24)</f>
        <v>Page5_GMC_VE!M24</v>
      </c>
      <c r="B1621" s="1456" t="s">
        <v>1086</v>
      </c>
      <c r="C1621" s="1451" t="b">
        <f>IF(Page5_GMC_VE!$K$24=0,FALSE,OR(Page5_GMC_VE!$M$24/Page5_GMC_VE!$K$24&lt;INDEX(Min_Table,L1621),Page5_GMC_VE!$M$24/Page5_GMC_VE!$K$24&gt;INDEX(Max_Table,L1621)))</f>
        <v>0</v>
      </c>
      <c r="D1621" s="1454" t="b">
        <f>OR(AND(Page5_GMC_VE!$L24&lt;&gt;0,Page5_GMC_VE!$M24=0),AND(Page5_GMC_VE!$M24&lt;&gt;0,Page5_GMC_VE!$L24=0))</f>
        <v>0</v>
      </c>
      <c r="E1621" s="1454" t="b">
        <f>IF(Page5_GMC_VE!$K$24=0,FALSE,OR(Page5_GMC_VE!$M$24/Page5_GMC_VE!$K$24&lt;INDEX(Min_Table,M1621),Page5_GMC_VE!$M$24/Page5_GMC_VE!$K$24&gt;INDEX(Max_Table,M1621)))</f>
        <v>0</v>
      </c>
      <c r="F1621" s="1454"/>
      <c r="G1621" s="1444" t="str">
        <f t="shared" si="222"/>
        <v/>
      </c>
      <c r="H1621" s="1447" t="str">
        <f>IF(C1621=TRUE,Comments!$B$20&amp;DOLLAR(INDEX(Min_Table,L1621),0)&amp;Comments!$B$18&amp;DOLLAR(INDEX(Max_Table,L1621),0)&amp;Comments!$B$19&amp;DOLLAR(Page5_GMC_VE!$M$24/Page5_GMC_VE!$K$24,0),"")</f>
        <v/>
      </c>
      <c r="I1621" s="1446" t="str">
        <f>IF(D1621=TRUE,Comments!$B$24,"")</f>
        <v/>
      </c>
      <c r="J1621" s="1446" t="str">
        <f>IF(E1621=TRUE,Comments!$B$22&amp;DOLLAR(INDEX(Min_Table,M1621),0)&amp;Comments!$B$18&amp;DOLLAR(INDEX(Max_Table,M1621),0)&amp;Comments!$B$19&amp;IFERROR(DOLLAR(Page5_GMC_VE!$M$24/Page5_GMC_VE!$K$24,0),0),"")</f>
        <v/>
      </c>
      <c r="K1621" s="1452"/>
      <c r="L1621" s="611">
        <f>ROW(OR_VEH!$A$667)</f>
        <v>667</v>
      </c>
      <c r="M1621" s="611">
        <f>ROW(OR_VEH!$A$373)</f>
        <v>373</v>
      </c>
      <c r="N1621" s="611" t="str">
        <f>"CPTE # "&amp;Page5_GMC_VE!$E$24&amp;"  "&amp;Page5_GMC_VE!$C$24&amp;" - COÛT DES VENTES - AAD"</f>
        <v>CPTE # 419H  MÉMO* VENTES INTERNET VOITURES - COÛT DES VENTES - AAD</v>
      </c>
      <c r="O1621" s="611" t="str">
        <f t="shared" si="221"/>
        <v/>
      </c>
      <c r="P1621" s="611" t="str">
        <f t="shared" si="223"/>
        <v>Page5_GMC_VE!M</v>
      </c>
      <c r="Q1621" s="611">
        <f t="shared" si="224"/>
        <v>24</v>
      </c>
      <c r="R1621" s="1447">
        <f t="shared" ca="1" si="225"/>
        <v>0</v>
      </c>
      <c r="S1621" s="1447">
        <f t="shared" ca="1" si="226"/>
        <v>0</v>
      </c>
      <c r="T1621" s="611">
        <v>22</v>
      </c>
      <c r="V1621" s="2557" t="str">
        <f t="shared" ca="1" si="219"/>
        <v/>
      </c>
      <c r="W1621" s="611" t="str">
        <f t="shared" ca="1" si="227"/>
        <v>Page5_GMC_VE, Ligne 21 [Page5_GMC_VE!M24]  -</v>
      </c>
    </row>
    <row r="1622" spans="1:23">
      <c r="A1622" s="1443" t="str">
        <f>celladdr(Page5_GMC_VE!M25)</f>
        <v>Page5_GMC_VE!M25</v>
      </c>
      <c r="B1622" s="1456" t="s">
        <v>1086</v>
      </c>
      <c r="C1622" s="1451" t="b">
        <f>IF(Page5_GMC_VE!$K$25=0,FALSE,OR(Page5_GMC_VE!$M$25/Page5_GMC_VE!$K$25&lt;INDEX(Min_Table,L1622),Page5_GMC_VE!$M$25/Page5_GMC_VE!$K$25&gt;INDEX(Max_Table,L1622)))</f>
        <v>0</v>
      </c>
      <c r="D1622" s="1454" t="b">
        <f>OR(AND(Page5_GMC_VE!$L25&lt;&gt;0,Page5_GMC_VE!$M25=0),AND(Page5_GMC_VE!$M25&lt;&gt;0,Page5_GMC_VE!$L25=0))</f>
        <v>0</v>
      </c>
      <c r="E1622" s="1454" t="b">
        <f>IF(Page5_GMC_VE!$K$25=0,FALSE,OR(Page5_GMC_VE!$M$25/Page5_GMC_VE!$K$25&lt;INDEX(Min_Table,M1622),Page5_GMC_VE!$M$25/Page5_GMC_VE!$K$25&gt;INDEX(Max_Table,M1622)))</f>
        <v>0</v>
      </c>
      <c r="F1622" s="1454"/>
      <c r="G1622" s="1444" t="str">
        <f t="shared" si="222"/>
        <v/>
      </c>
      <c r="H1622" s="1447" t="str">
        <f>IF(C1622=TRUE,Comments!$B$20&amp;DOLLAR(INDEX(Min_Table,L1622),0)&amp;Comments!$B$18&amp;DOLLAR(INDEX(Max_Table,L1622),0)&amp;Comments!$B$19&amp;DOLLAR(Page5_GMC_VE!$M$25/Page5_GMC_VE!$K$25,0),"")</f>
        <v/>
      </c>
      <c r="I1622" s="1446" t="str">
        <f>IF(D1622=TRUE,Comments!$B$24,"")</f>
        <v/>
      </c>
      <c r="J1622" s="1446" t="str">
        <f>IF(E1622=TRUE,Comments!$B$22&amp;DOLLAR(INDEX(Min_Table,M1622),0)&amp;Comments!$B$18&amp;DOLLAR(INDEX(Max_Table,M1622),0)&amp;Comments!$B$19&amp;IFERROR(DOLLAR(Page5_GMC_VE!$M$25/Page5_GMC_VE!$K$25,0),0),"")</f>
        <v/>
      </c>
      <c r="K1622" s="1452"/>
      <c r="L1622" s="611">
        <f>ROW(OR_VEH!$A$667)</f>
        <v>667</v>
      </c>
      <c r="M1622" s="611">
        <f>ROW(OR_VEH!$A$374)</f>
        <v>374</v>
      </c>
      <c r="N1622" s="611" t="str">
        <f>"CPTE # "&amp;Page5_GMC_VE!$E$25&amp;"  "&amp;Page5_GMC_VE!$C$25&amp;" - COÛT DES VENTES - AAD"</f>
        <v>CPTE # DE PG PARCS  TOTAL PARCS - VOITURES - COÛT DES VENTES - AAD</v>
      </c>
      <c r="O1622" s="611" t="str">
        <f t="shared" si="221"/>
        <v/>
      </c>
      <c r="P1622" s="611" t="str">
        <f t="shared" si="223"/>
        <v>Page5_GMC_VE!M</v>
      </c>
      <c r="Q1622" s="611">
        <f t="shared" si="224"/>
        <v>25</v>
      </c>
      <c r="R1622" s="1447">
        <f t="shared" ca="1" si="225"/>
        <v>0</v>
      </c>
      <c r="S1622" s="1447">
        <f t="shared" ca="1" si="226"/>
        <v>0</v>
      </c>
      <c r="T1622" s="611">
        <v>22</v>
      </c>
      <c r="V1622" s="2557" t="str">
        <f t="shared" ca="1" si="219"/>
        <v/>
      </c>
      <c r="W1622" s="611" t="str">
        <f t="shared" ca="1" si="227"/>
        <v>Page5_GMC_VE, Ligne 22 [Page5_GMC_VE!M25]  -</v>
      </c>
    </row>
    <row r="1623" spans="1:23">
      <c r="A1623" s="1443" t="str">
        <f>celladdr(Page5_GMC_VE!M26)</f>
        <v>Page5_GMC_VE!M26</v>
      </c>
      <c r="B1623" s="1456" t="s">
        <v>1086</v>
      </c>
      <c r="C1623" s="1451" t="b">
        <f>IF(Page5_GMC_VE!$K$26=0,FALSE,OR(Page5_GMC_VE!$M$26/Page5_GMC_VE!$K$26&lt;INDEX(Min_Table,L1623),Page5_GMC_VE!$M$26/Page5_GMC_VE!$K$26&gt;INDEX(Max_Table,L1623)))</f>
        <v>0</v>
      </c>
      <c r="D1623" s="1454" t="b">
        <f>OR(AND(Page5_GMC_VE!$L26&lt;&gt;0,Page5_GMC_VE!$M26=0),AND(Page5_GMC_VE!$M26&lt;&gt;0,Page5_GMC_VE!$L26=0))</f>
        <v>0</v>
      </c>
      <c r="E1623" s="1454" t="b">
        <f>IF(Page5_GMC_VE!$K$26=0,FALSE,OR(Page5_GMC_VE!$M$26/Page5_GMC_VE!$K$26&lt;INDEX(Min_Table,M1623),Page5_GMC_VE!$M$26/Page5_GMC_VE!$K$26&gt;INDEX(Max_Table,M1623)))</f>
        <v>0</v>
      </c>
      <c r="F1623" s="1454"/>
      <c r="G1623" s="1444" t="str">
        <f t="shared" si="222"/>
        <v/>
      </c>
      <c r="H1623" s="1447" t="str">
        <f>IF(C1623=TRUE,Comments!$B$20&amp;DOLLAR(INDEX(Min_Table,L1623),0)&amp;Comments!$B$18&amp;DOLLAR(INDEX(Max_Table,L1623),0)&amp;Comments!$B$19&amp;DOLLAR(Page5_GMC_VE!$M$26/Page5_GMC_VE!$K$26,0),"")</f>
        <v/>
      </c>
      <c r="I1623" s="1446" t="str">
        <f>IF(D1623=TRUE,Comments!$B$24,"")</f>
        <v/>
      </c>
      <c r="J1623" s="1446" t="str">
        <f>IF(E1623=TRUE,Comments!$B$22&amp;DOLLAR(INDEX(Min_Table,M1623),0)&amp;Comments!$B$18&amp;DOLLAR(INDEX(Max_Table,M1623),0)&amp;Comments!$B$19&amp;IFERROR(DOLLAR(Page5_GMC_VE!$M$26/Page5_GMC_VE!$K$26,0),0),"")</f>
        <v/>
      </c>
      <c r="K1623" s="1452"/>
      <c r="L1623" s="611">
        <f>ROW(OR_VEH!$A$667)</f>
        <v>667</v>
      </c>
      <c r="M1623" s="611">
        <f>ROW(OR_VEH!$A$375)</f>
        <v>375</v>
      </c>
      <c r="N1623" s="611" t="str">
        <f>"CPTE # "&amp;Page5_GMC_VE!$E$26&amp;"  "&amp;Page5_GMC_VE!$C$26&amp;" - COÛT DES VENTES - AAD"</f>
        <v>CPTE # 421H  TOTAL INTERNE - VOITURES - COÛT DES VENTES - AAD</v>
      </c>
      <c r="O1623" s="611" t="str">
        <f t="shared" si="221"/>
        <v/>
      </c>
      <c r="P1623" s="611" t="str">
        <f t="shared" si="223"/>
        <v>Page5_GMC_VE!M</v>
      </c>
      <c r="Q1623" s="611">
        <f t="shared" si="224"/>
        <v>26</v>
      </c>
      <c r="R1623" s="1447">
        <f t="shared" ca="1" si="225"/>
        <v>0</v>
      </c>
      <c r="S1623" s="1447">
        <f t="shared" ca="1" si="226"/>
        <v>0</v>
      </c>
      <c r="T1623" s="611">
        <v>22</v>
      </c>
      <c r="V1623" s="2557" t="str">
        <f t="shared" ca="1" si="219"/>
        <v/>
      </c>
      <c r="W1623" s="611" t="str">
        <f t="shared" ca="1" si="227"/>
        <v>Page5_GMC_VE, Ligne 23 [Page5_GMC_VE!M26]  -</v>
      </c>
    </row>
    <row r="1624" spans="1:23">
      <c r="A1624" s="1443" t="str">
        <f>celladdr(Page5_GMC_VE!M27)</f>
        <v>Page5_GMC_VE!M27</v>
      </c>
      <c r="B1624" s="1444" t="s">
        <v>1086</v>
      </c>
      <c r="C1624" s="1451"/>
      <c r="D1624" s="1454"/>
      <c r="E1624" s="1454"/>
      <c r="F1624" s="1454"/>
      <c r="G1624" s="1444" t="str">
        <f t="shared" si="222"/>
        <v/>
      </c>
      <c r="H1624" s="1447" t="str">
        <f>IF(C1624=TRUE,Comments!$B$26,"")</f>
        <v/>
      </c>
      <c r="I1624" s="1446" t="str">
        <f>IF(D1624=TRUE,Comments!$B$24,"")</f>
        <v/>
      </c>
      <c r="J1624" s="1446"/>
      <c r="K1624" s="1452"/>
      <c r="O1624" s="611" t="str">
        <f t="shared" si="221"/>
        <v/>
      </c>
      <c r="P1624" s="611" t="str">
        <f t="shared" si="223"/>
        <v>Page5_GMC_VE!M</v>
      </c>
      <c r="Q1624" s="611">
        <f t="shared" si="224"/>
        <v>27</v>
      </c>
      <c r="R1624" s="1447">
        <f t="shared" ca="1" si="225"/>
        <v>0</v>
      </c>
      <c r="S1624" s="1447">
        <f t="shared" ca="1" si="226"/>
        <v>0</v>
      </c>
      <c r="V1624" s="2557" t="str">
        <f t="shared" ref="V1624:V1687" ca="1" si="228">IF(SUM(R1624+S1624)=0,"","
*** "&amp;TEXT(SUM(R1624+S1624),"0,0")&amp;" Points de précision seront déduits suite à cette(ces) erreur(s) !")</f>
        <v/>
      </c>
      <c r="W1624" s="611" t="str">
        <f t="shared" ca="1" si="227"/>
        <v>Page5_GMC_VE, Ligne 24 [Page5_GMC_VE!M27]  -</v>
      </c>
    </row>
    <row r="1625" spans="1:23">
      <c r="A1625" s="1443" t="str">
        <f>celladdr(Page5_GMC_VE!M28)</f>
        <v>Page5_GMC_VE!M28</v>
      </c>
      <c r="B1625" s="1456" t="s">
        <v>1086</v>
      </c>
      <c r="C1625" s="1451" t="b">
        <f>IF(Page5_GMC_VE!$K$28=0,FALSE,OR(Page5_GMC_VE!$M$28/Page5_GMC_VE!$K$28&lt;INDEX(Min_Table,L1625),Page5_GMC_VE!$M$28/Page5_GMC_VE!$K$28&gt;INDEX(Max_Table,L1625)))</f>
        <v>0</v>
      </c>
      <c r="D1625" s="1454" t="b">
        <f>OR(AND(Page5_GMC_VE!$L28&lt;&gt;0,Page5_GMC_VE!$M28=0),AND(Page5_GMC_VE!$M28&lt;&gt;0,Page5_GMC_VE!$L28=0))</f>
        <v>0</v>
      </c>
      <c r="E1625" s="1454" t="b">
        <f>IF(Page5_GMC_VE!$K$28=0,FALSE,OR(Page5_GMC_VE!$M$28/Page5_GMC_VE!$K$28&lt;INDEX(Min_Table,M1625),Page5_GMC_VE!$M$28/Page5_GMC_VE!$K$28&gt;INDEX(Max_Table,M1625)))</f>
        <v>0</v>
      </c>
      <c r="F1625" s="1454"/>
      <c r="G1625" s="1444" t="str">
        <f t="shared" si="222"/>
        <v/>
      </c>
      <c r="H1625" s="1447" t="str">
        <f>IF(C1625=TRUE,Comments!$B$20&amp;DOLLAR(INDEX(Min_Table,L1625),0)&amp;Comments!$B$18&amp;DOLLAR(INDEX(Max_Table,L1625),0)&amp;Comments!$B$19&amp;DOLLAR(Page5_GMC_VE!$M$28/Page5_GMC_VE!$K$28,0),"")</f>
        <v/>
      </c>
      <c r="I1625" s="1446" t="str">
        <f>IF(D1625=TRUE,Comments!$B$24,"")</f>
        <v/>
      </c>
      <c r="J1625" s="1446" t="str">
        <f>IF(E1625=TRUE,Comments!$B$22&amp;DOLLAR(INDEX(Min_Table,M1625),0)&amp;Comments!$B$18&amp;DOLLAR(INDEX(Max_Table,M1625),0)&amp;Comments!$B$19&amp;IFERROR(DOLLAR(Page5_GMC_VE!$M$28/Page5_GMC_VE!$K$28,0),0),"")</f>
        <v/>
      </c>
      <c r="K1625" s="1452"/>
      <c r="L1625" s="611">
        <f>ROW(OR_VEH!$A$667)</f>
        <v>667</v>
      </c>
      <c r="M1625" s="611">
        <f>ROW(OR_VEH!$A$377)</f>
        <v>377</v>
      </c>
      <c r="N1625" s="611" t="str">
        <f>"CPTE # "&amp;Page5_GMC_VE!$E$28&amp;"  "&amp;Page5_GMC_VE!$C$28&amp;" - COÛT DES VENTES - AAD"</f>
        <v>CPTE # 423H  HUMMER EV SUT - COÛT DES VENTES - AAD</v>
      </c>
      <c r="O1625" s="611" t="str">
        <f t="shared" si="221"/>
        <v/>
      </c>
      <c r="P1625" s="611" t="str">
        <f t="shared" si="223"/>
        <v>Page5_GMC_VE!M</v>
      </c>
      <c r="Q1625" s="611">
        <f t="shared" si="224"/>
        <v>28</v>
      </c>
      <c r="R1625" s="1447">
        <f t="shared" ca="1" si="225"/>
        <v>0</v>
      </c>
      <c r="S1625" s="1447">
        <f t="shared" ca="1" si="226"/>
        <v>0</v>
      </c>
      <c r="T1625" s="611">
        <v>22</v>
      </c>
      <c r="V1625" s="2557" t="str">
        <f t="shared" ca="1" si="228"/>
        <v/>
      </c>
      <c r="W1625" s="611" t="str">
        <f t="shared" ca="1" si="227"/>
        <v>Page5_GMC_VE, Ligne 25 [Page5_GMC_VE!M28]  -</v>
      </c>
    </row>
    <row r="1626" spans="1:23">
      <c r="A1626" s="1443" t="str">
        <f>celladdr(Page5_GMC_VE!M29)</f>
        <v>Page5_GMC_VE!M29</v>
      </c>
      <c r="B1626" s="1456" t="s">
        <v>1086</v>
      </c>
      <c r="C1626" s="1451" t="b">
        <f>IF(Page5_GMC_VE!$K$29=0,FALSE,OR(Page5_GMC_VE!$M$29/Page5_GMC_VE!$K$29&lt;INDEX(Min_Table,L1626),Page5_GMC_VE!$M$29/Page5_GMC_VE!$K$29&gt;INDEX(Max_Table,L1626)))</f>
        <v>0</v>
      </c>
      <c r="D1626" s="1454" t="b">
        <f>OR(AND(Page5_GMC_VE!$L29&lt;&gt;0,Page5_GMC_VE!$M29=0),AND(Page5_GMC_VE!$M29&lt;&gt;0,Page5_GMC_VE!$L29=0))</f>
        <v>0</v>
      </c>
      <c r="E1626" s="1454" t="b">
        <f>IF(Page5_GMC_VE!$K$29=0,FALSE,OR(Page5_GMC_VE!$M$29/Page5_GMC_VE!$K$29&lt;INDEX(Min_Table,M1626),Page5_GMC_VE!$M$29/Page5_GMC_VE!$K$29&gt;INDEX(Max_Table,M1626)))</f>
        <v>0</v>
      </c>
      <c r="F1626" s="1454"/>
      <c r="G1626" s="1444" t="str">
        <f t="shared" si="222"/>
        <v/>
      </c>
      <c r="H1626" s="1447" t="str">
        <f>IF(C1626=TRUE,Comments!$B$20&amp;DOLLAR(INDEX(Min_Table,L1626),0)&amp;Comments!$B$18&amp;DOLLAR(INDEX(Max_Table,L1626),0)&amp;Comments!$B$19&amp;DOLLAR(Page5_GMC_VE!$M$29/Page5_GMC_VE!$K$29,0),"")</f>
        <v/>
      </c>
      <c r="I1626" s="1446" t="str">
        <f>IF(D1626=TRUE,Comments!$B$24,"")</f>
        <v/>
      </c>
      <c r="J1626" s="1446" t="str">
        <f>IF(E1626=TRUE,Comments!$B$22&amp;DOLLAR(INDEX(Min_Table,M1626),0)&amp;Comments!$B$18&amp;DOLLAR(INDEX(Max_Table,M1626),0)&amp;Comments!$B$19&amp;IFERROR(DOLLAR(Page5_GMC_VE!$M$29/Page5_GMC_VE!$K$29,0),0),"")</f>
        <v/>
      </c>
      <c r="K1626" s="1452"/>
      <c r="L1626" s="611">
        <f>ROW(OR_VEH!$A$667)</f>
        <v>667</v>
      </c>
      <c r="M1626" s="611">
        <f>ROW(OR_VEH!$A$378)</f>
        <v>378</v>
      </c>
      <c r="N1626" s="611" t="str">
        <f>"CPTE # "&amp;Page5_GMC_VE!$E$29&amp;"  "&amp;Page5_GMC_VE!$C$29&amp;" - COÛT DES VENTES - AAD"</f>
        <v>CPTE # 424H  HUMMER EV SUV - COÛT DES VENTES - AAD</v>
      </c>
      <c r="O1626" s="611" t="str">
        <f t="shared" si="221"/>
        <v/>
      </c>
      <c r="P1626" s="611" t="str">
        <f t="shared" si="223"/>
        <v>Page5_GMC_VE!M</v>
      </c>
      <c r="Q1626" s="611">
        <f t="shared" si="224"/>
        <v>29</v>
      </c>
      <c r="R1626" s="1447">
        <f t="shared" ca="1" si="225"/>
        <v>0</v>
      </c>
      <c r="S1626" s="1447">
        <f t="shared" ca="1" si="226"/>
        <v>0</v>
      </c>
      <c r="T1626" s="611">
        <v>22</v>
      </c>
      <c r="V1626" s="2557" t="str">
        <f t="shared" ca="1" si="228"/>
        <v/>
      </c>
      <c r="W1626" s="611" t="str">
        <f t="shared" ca="1" si="227"/>
        <v>Page5_GMC_VE, Ligne 26 [Page5_GMC_VE!M29]  -</v>
      </c>
    </row>
    <row r="1627" spans="1:23">
      <c r="A1627" s="1443" t="str">
        <f>celladdr(Page5_GMC_VE!M30)</f>
        <v>Page5_GMC_VE!M30</v>
      </c>
      <c r="B1627" s="1456" t="s">
        <v>1086</v>
      </c>
      <c r="C1627" s="1451" t="b">
        <f>IF(Page5_GMC_VE!$K$30=0,FALSE,OR(Page5_GMC_VE!$M$30/Page5_GMC_VE!$K$30&lt;INDEX(Min_Table,L1627),Page5_GMC_VE!$M$30/Page5_GMC_VE!$K$30&gt;INDEX(Max_Table,L1627)))</f>
        <v>0</v>
      </c>
      <c r="D1627" s="1454" t="b">
        <f>OR(AND(Page5_GMC_VE!$L30&lt;&gt;0,Page5_GMC_VE!$M30=0),AND(Page5_GMC_VE!$M30&lt;&gt;0,Page5_GMC_VE!$L30=0))</f>
        <v>0</v>
      </c>
      <c r="E1627" s="1454" t="b">
        <f>IF(Page5_GMC_VE!$K$30=0,FALSE,OR(Page5_GMC_VE!$M$30/Page5_GMC_VE!$K$30&lt;INDEX(Min_Table,M1627),Page5_GMC_VE!$M$30/Page5_GMC_VE!$K$30&gt;INDEX(Max_Table,M1627)))</f>
        <v>0</v>
      </c>
      <c r="F1627" s="1454"/>
      <c r="G1627" s="1444" t="str">
        <f t="shared" si="222"/>
        <v/>
      </c>
      <c r="H1627" s="1447" t="str">
        <f>IF(C1627=TRUE,Comments!$B$20&amp;DOLLAR(INDEX(Min_Table,L1627),0)&amp;Comments!$B$18&amp;DOLLAR(INDEX(Max_Table,L1627),0)&amp;Comments!$B$19&amp;DOLLAR(Page5_GMC_VE!$M$30/Page5_GMC_VE!$K$30,0),"")</f>
        <v/>
      </c>
      <c r="I1627" s="1446" t="str">
        <f>IF(D1627=TRUE,Comments!$B$24,"")</f>
        <v/>
      </c>
      <c r="J1627" s="1446" t="str">
        <f>IF(E1627=TRUE,Comments!$B$22&amp;DOLLAR(INDEX(Min_Table,M1627),0)&amp;Comments!$B$18&amp;DOLLAR(INDEX(Max_Table,M1627),0)&amp;Comments!$B$19&amp;IFERROR(DOLLAR(Page5_GMC_VE!$M$30/Page5_GMC_VE!$K$30,0),0),"")</f>
        <v/>
      </c>
      <c r="K1627" s="1452"/>
      <c r="L1627" s="611">
        <f>ROW(OR_VEH!$A$667)</f>
        <v>667</v>
      </c>
      <c r="M1627" s="611">
        <f>ROW(OR_VEH!$A$379)</f>
        <v>379</v>
      </c>
      <c r="N1627" s="611" t="str">
        <f>"CPTE # "&amp;Page5_GMC_VE!$E$30&amp;"  "&amp;Page5_GMC_VE!$C$30&amp;" - COÛT DES VENTES - AAD"</f>
        <v>CPTE # 425H  SIERRA EV - COÛT DES VENTES - AAD</v>
      </c>
      <c r="O1627" s="611" t="str">
        <f t="shared" si="221"/>
        <v/>
      </c>
      <c r="P1627" s="611" t="str">
        <f t="shared" si="223"/>
        <v>Page5_GMC_VE!M</v>
      </c>
      <c r="Q1627" s="611">
        <f t="shared" si="224"/>
        <v>30</v>
      </c>
      <c r="R1627" s="1447">
        <f t="shared" ca="1" si="225"/>
        <v>0</v>
      </c>
      <c r="S1627" s="1447">
        <f t="shared" ca="1" si="226"/>
        <v>0</v>
      </c>
      <c r="T1627" s="611">
        <v>22</v>
      </c>
      <c r="V1627" s="2557" t="str">
        <f t="shared" ca="1" si="228"/>
        <v/>
      </c>
      <c r="W1627" s="611" t="str">
        <f t="shared" ca="1" si="227"/>
        <v>Page5_GMC_VE, Ligne 27 [Page5_GMC_VE!M30]  -</v>
      </c>
    </row>
    <row r="1628" spans="1:23">
      <c r="A1628" s="1443" t="str">
        <f>celladdr(Page5_GMC_VE!M31)</f>
        <v>Page5_GMC_VE!M31</v>
      </c>
      <c r="B1628" s="1456" t="s">
        <v>1086</v>
      </c>
      <c r="C1628" s="1451" t="b">
        <f>IF(Page5_GMC_VE!$K$31=0,FALSE,OR(Page5_GMC_VE!$M$31/Page5_GMC_VE!$K$31&lt;INDEX(Min_Table,L1628),Page5_GMC_VE!$M$31/Page5_GMC_VE!$K$31&gt;INDEX(Max_Table,L1628)))</f>
        <v>0</v>
      </c>
      <c r="D1628" s="1454" t="b">
        <f>OR(AND(Page5_GMC_VE!$L31&lt;&gt;0,Page5_GMC_VE!$M31=0),AND(Page5_GMC_VE!$M31&lt;&gt;0,Page5_GMC_VE!$L31=0))</f>
        <v>0</v>
      </c>
      <c r="E1628" s="1454" t="b">
        <f>IF(Page5_GMC_VE!$K$31=0,FALSE,OR(Page5_GMC_VE!$M$31/Page5_GMC_VE!$K$31&lt;INDEX(Min_Table,M1628),Page5_GMC_VE!$M$31/Page5_GMC_VE!$K$31&gt;INDEX(Max_Table,M1628)))</f>
        <v>0</v>
      </c>
      <c r="F1628" s="1454"/>
      <c r="G1628" s="1444" t="str">
        <f t="shared" si="222"/>
        <v/>
      </c>
      <c r="H1628" s="1447" t="str">
        <f>IF(C1628=TRUE,Comments!$B$20&amp;DOLLAR(INDEX(Min_Table,L1628),0)&amp;Comments!$B$18&amp;DOLLAR(INDEX(Max_Table,L1628),0)&amp;Comments!$B$19&amp;DOLLAR(Page5_GMC_VE!$M$31/Page5_GMC_VE!$K$31,0),"")</f>
        <v/>
      </c>
      <c r="I1628" s="1446" t="str">
        <f>IF(D1628=TRUE,Comments!$B$24,"")</f>
        <v/>
      </c>
      <c r="J1628" s="1446" t="str">
        <f>IF(E1628=TRUE,Comments!$B$22&amp;DOLLAR(INDEX(Min_Table,M1628),0)&amp;Comments!$B$18&amp;DOLLAR(INDEX(Max_Table,M1628),0)&amp;Comments!$B$19&amp;IFERROR(DOLLAR(Page5_GMC_VE!$M$31/Page5_GMC_VE!$K$31,0),0),"")</f>
        <v/>
      </c>
      <c r="K1628" s="1452"/>
      <c r="L1628" s="611">
        <f>ROW(OR_VEH!$A$667)</f>
        <v>667</v>
      </c>
      <c r="M1628" s="611">
        <f>ROW(OR_VEH!$A$380)</f>
        <v>380</v>
      </c>
      <c r="N1628" s="611" t="str">
        <f>"CPTE # "&amp;Page5_GMC_VE!$E$31&amp;"  "&amp;Page5_GMC_VE!$C$31&amp;" - COÛT DES VENTES - AAD"</f>
        <v>CPTE # 426H  NE PAS UTILISER - COÛT DES VENTES - AAD</v>
      </c>
      <c r="O1628" s="611" t="str">
        <f t="shared" si="221"/>
        <v/>
      </c>
      <c r="P1628" s="611" t="str">
        <f t="shared" si="223"/>
        <v>Page5_GMC_VE!M</v>
      </c>
      <c r="Q1628" s="611">
        <f t="shared" si="224"/>
        <v>31</v>
      </c>
      <c r="R1628" s="1447">
        <f t="shared" ca="1" si="225"/>
        <v>0</v>
      </c>
      <c r="S1628" s="1447">
        <f t="shared" ca="1" si="226"/>
        <v>0</v>
      </c>
      <c r="T1628" s="611">
        <v>22</v>
      </c>
      <c r="V1628" s="2557" t="str">
        <f t="shared" ca="1" si="228"/>
        <v/>
      </c>
      <c r="W1628" s="611" t="str">
        <f t="shared" ca="1" si="227"/>
        <v>Page5_GMC_VE, Ligne 28 [Page5_GMC_VE!M31]  -</v>
      </c>
    </row>
    <row r="1629" spans="1:23">
      <c r="A1629" s="1443" t="str">
        <f>celladdr(Page5_GMC_VE!M32)</f>
        <v>Page5_GMC_VE!M32</v>
      </c>
      <c r="B1629" s="1456" t="s">
        <v>1086</v>
      </c>
      <c r="C1629" s="1451" t="b">
        <f>IF(Page5_GMC_VE!$K$32=0,FALSE,OR(Page5_GMC_VE!$M$32/Page5_GMC_VE!$K$32&lt;INDEX(Min_Table,L1629),Page5_GMC_VE!$M$32/Page5_GMC_VE!$K$32&gt;INDEX(Max_Table,L1629)))</f>
        <v>0</v>
      </c>
      <c r="D1629" s="1454" t="b">
        <f>OR(AND(Page5_GMC_VE!$L32&lt;&gt;0,Page5_GMC_VE!$M32=0),AND(Page5_GMC_VE!$M32&lt;&gt;0,Page5_GMC_VE!$L32=0))</f>
        <v>0</v>
      </c>
      <c r="E1629" s="1454" t="b">
        <f>IF(Page5_GMC_VE!$K$32=0,FALSE,OR(Page5_GMC_VE!$M$32/Page5_GMC_VE!$K$32&lt;INDEX(Min_Table,M1629),Page5_GMC_VE!$M$32/Page5_GMC_VE!$K$32&gt;INDEX(Max_Table,M1629)))</f>
        <v>0</v>
      </c>
      <c r="F1629" s="1454"/>
      <c r="G1629" s="1444" t="str">
        <f t="shared" si="222"/>
        <v/>
      </c>
      <c r="H1629" s="1447" t="str">
        <f>IF(C1629=TRUE,Comments!$B$20&amp;DOLLAR(INDEX(Min_Table,L1629),0)&amp;Comments!$B$18&amp;DOLLAR(INDEX(Max_Table,L1629),0)&amp;Comments!$B$19&amp;DOLLAR(Page5_GMC_VE!$M$32/Page5_GMC_VE!$K$32,0),"")</f>
        <v/>
      </c>
      <c r="I1629" s="1446" t="str">
        <f>IF(D1629=TRUE,Comments!$B$24,"")</f>
        <v/>
      </c>
      <c r="J1629" s="1446" t="str">
        <f>IF(E1629=TRUE,Comments!$B$22&amp;DOLLAR(INDEX(Min_Table,M1629),0)&amp;Comments!$B$18&amp;DOLLAR(INDEX(Max_Table,M1629),0)&amp;Comments!$B$19&amp;IFERROR(DOLLAR(Page5_GMC_VE!$M$32/Page5_GMC_VE!$K$32,0),0),"")</f>
        <v/>
      </c>
      <c r="K1629" s="1452"/>
      <c r="L1629" s="611">
        <f>ROW(OR_VEH!$A$667)</f>
        <v>667</v>
      </c>
      <c r="M1629" s="611">
        <f>ROW(OR_VEH!$A$381)</f>
        <v>381</v>
      </c>
      <c r="N1629" s="611" t="str">
        <f>"CPTE # "&amp;Page5_GMC_VE!$E$32&amp;"  "&amp;Page5_GMC_VE!$C$32&amp;" - COÛT DES VENTES - AAD"</f>
        <v>CPTE # 427H  NE PAS UTILISER - COÛT DES VENTES - AAD</v>
      </c>
      <c r="O1629" s="611" t="str">
        <f t="shared" si="221"/>
        <v/>
      </c>
      <c r="P1629" s="611" t="str">
        <f t="shared" si="223"/>
        <v>Page5_GMC_VE!M</v>
      </c>
      <c r="Q1629" s="611">
        <f t="shared" si="224"/>
        <v>32</v>
      </c>
      <c r="R1629" s="1447">
        <f t="shared" ca="1" si="225"/>
        <v>0</v>
      </c>
      <c r="S1629" s="1447">
        <f t="shared" ca="1" si="226"/>
        <v>0</v>
      </c>
      <c r="T1629" s="611">
        <v>22</v>
      </c>
      <c r="V1629" s="2557" t="str">
        <f t="shared" ca="1" si="228"/>
        <v/>
      </c>
      <c r="W1629" s="611" t="str">
        <f t="shared" ca="1" si="227"/>
        <v>Page5_GMC_VE, Ligne 29 [Page5_GMC_VE!M32]  -</v>
      </c>
    </row>
    <row r="1630" spans="1:23">
      <c r="A1630" s="1443" t="str">
        <f>celladdr(Page5_GMC_VE!M33)</f>
        <v>Page5_GMC_VE!M33</v>
      </c>
      <c r="B1630" s="1456" t="s">
        <v>1086</v>
      </c>
      <c r="C1630" s="1451" t="b">
        <f>IF(Page5_GMC_VE!$K$33=0,FALSE,OR(Page5_GMC_VE!$M$33/Page5_GMC_VE!$K$33&lt;INDEX(Min_Table,L1630),Page5_GMC_VE!$M$33/Page5_GMC_VE!$K$33&gt;INDEX(Max_Table,L1630)))</f>
        <v>0</v>
      </c>
      <c r="D1630" s="1454" t="b">
        <f>OR(AND(Page5_GMC_VE!$L33&lt;&gt;0,Page5_GMC_VE!$M33=0),AND(Page5_GMC_VE!$M33&lt;&gt;0,Page5_GMC_VE!$L33=0))</f>
        <v>0</v>
      </c>
      <c r="E1630" s="1454" t="b">
        <f>IF(Page5_GMC_VE!$K$33=0,FALSE,OR(Page5_GMC_VE!$M$33/Page5_GMC_VE!$K$33&lt;INDEX(Min_Table,M1630),Page5_GMC_VE!$M$33/Page5_GMC_VE!$K$33&gt;INDEX(Max_Table,M1630)))</f>
        <v>0</v>
      </c>
      <c r="F1630" s="1454"/>
      <c r="G1630" s="1444" t="str">
        <f t="shared" si="222"/>
        <v/>
      </c>
      <c r="H1630" s="1447" t="str">
        <f>IF(C1630=TRUE,Comments!$B$20&amp;DOLLAR(INDEX(Min_Table,L1630),0)&amp;Comments!$B$18&amp;DOLLAR(INDEX(Max_Table,L1630),0)&amp;Comments!$B$19&amp;DOLLAR(Page5_GMC_VE!$M$33/Page5_GMC_VE!$K$33,0),"")</f>
        <v/>
      </c>
      <c r="I1630" s="1446" t="str">
        <f>IF(D1630=TRUE,Comments!$B$24,"")</f>
        <v/>
      </c>
      <c r="J1630" s="1446" t="str">
        <f>IF(E1630=TRUE,Comments!$B$22&amp;DOLLAR(INDEX(Min_Table,M1630),0)&amp;Comments!$B$18&amp;DOLLAR(INDEX(Max_Table,M1630),0)&amp;Comments!$B$19&amp;IFERROR(DOLLAR(Page5_GMC_VE!$M$33/Page5_GMC_VE!$K$33,0),0),"")</f>
        <v/>
      </c>
      <c r="K1630" s="1452"/>
      <c r="L1630" s="611">
        <f>ROW(OR_VEH!$A$667)</f>
        <v>667</v>
      </c>
      <c r="M1630" s="611">
        <f>ROW(OR_VEH!$A$382)</f>
        <v>382</v>
      </c>
      <c r="N1630" s="611" t="str">
        <f>"CPTE # "&amp;Page5_GMC_VE!$E$33&amp;"  "&amp;Page5_GMC_VE!$C$33&amp;" - COÛT DES VENTES - AAD"</f>
        <v>CPTE # 428H  NE PAS UTILISER - COÛT DES VENTES - AAD</v>
      </c>
      <c r="O1630" s="611" t="str">
        <f t="shared" si="221"/>
        <v/>
      </c>
      <c r="P1630" s="611" t="str">
        <f t="shared" si="223"/>
        <v>Page5_GMC_VE!M</v>
      </c>
      <c r="Q1630" s="611">
        <f t="shared" si="224"/>
        <v>33</v>
      </c>
      <c r="R1630" s="1447">
        <f t="shared" ca="1" si="225"/>
        <v>0</v>
      </c>
      <c r="S1630" s="1447">
        <f t="shared" ca="1" si="226"/>
        <v>0</v>
      </c>
      <c r="T1630" s="611">
        <v>22</v>
      </c>
      <c r="V1630" s="2557" t="str">
        <f t="shared" ca="1" si="228"/>
        <v/>
      </c>
      <c r="W1630" s="611" t="str">
        <f t="shared" ca="1" si="227"/>
        <v>Page5_GMC_VE, Ligne 30 [Page5_GMC_VE!M33]  -</v>
      </c>
    </row>
    <row r="1631" spans="1:23">
      <c r="A1631" s="1443" t="str">
        <f>celladdr(Page5_GMC_VE!M34)</f>
        <v>Page5_GMC_VE!M34</v>
      </c>
      <c r="B1631" s="1456" t="s">
        <v>1086</v>
      </c>
      <c r="C1631" s="1451" t="b">
        <f>IF(Page5_GMC_VE!$K$34=0,FALSE,OR(Page5_GMC_VE!$M$34/Page5_GMC_VE!$K$34&lt;INDEX(Min_Table,L1631),Page5_GMC_VE!$M$34/Page5_GMC_VE!$K$34&gt;INDEX(Max_Table,L1631)))</f>
        <v>0</v>
      </c>
      <c r="D1631" s="1454" t="b">
        <f>OR(AND(Page5_GMC_VE!$L34&lt;&gt;0,Page5_GMC_VE!$M34=0),AND(Page5_GMC_VE!$M34&lt;&gt;0,Page5_GMC_VE!$L34=0))</f>
        <v>0</v>
      </c>
      <c r="E1631" s="1454" t="b">
        <f>IF(Page5_GMC_VE!$K$34=0,FALSE,OR(Page5_GMC_VE!$M$34/Page5_GMC_VE!$K$34&lt;INDEX(Min_Table,M1631),Page5_GMC_VE!$M$34/Page5_GMC_VE!$K$34&gt;INDEX(Max_Table,M1631)))</f>
        <v>0</v>
      </c>
      <c r="F1631" s="1454"/>
      <c r="G1631" s="1444" t="str">
        <f t="shared" si="222"/>
        <v/>
      </c>
      <c r="H1631" s="1447" t="str">
        <f>IF(C1631=TRUE,Comments!$B$20&amp;DOLLAR(INDEX(Min_Table,L1631),0)&amp;Comments!$B$18&amp;DOLLAR(INDEX(Max_Table,L1631),0)&amp;Comments!$B$19&amp;DOLLAR(Page5_GMC_VE!$M$34/Page5_GMC_VE!$K$34,0),"")</f>
        <v/>
      </c>
      <c r="I1631" s="1446" t="str">
        <f>IF(D1631=TRUE,Comments!$B$24,"")</f>
        <v/>
      </c>
      <c r="J1631" s="1446" t="str">
        <f>IF(E1631=TRUE,Comments!$B$22&amp;DOLLAR(INDEX(Min_Table,M1631),0)&amp;Comments!$B$18&amp;DOLLAR(INDEX(Max_Table,M1631),0)&amp;Comments!$B$19&amp;IFERROR(DOLLAR(Page5_GMC_VE!$M$34/Page5_GMC_VE!$K$34,0),0),"")</f>
        <v/>
      </c>
      <c r="K1631" s="1452"/>
      <c r="L1631" s="611">
        <f>ROW(OR_VEH!$A$667)</f>
        <v>667</v>
      </c>
      <c r="M1631" s="611">
        <f>ROW(OR_VEH!$A$383)</f>
        <v>383</v>
      </c>
      <c r="N1631" s="611" t="str">
        <f>"CPTE # "&amp;Page5_GMC_VE!$E$34&amp;"  "&amp;Page5_GMC_VE!$C$34&amp;" - COÛT DES VENTES - AAD"</f>
        <v>CPTE # 429H  NE PAS UTILISER - COÛT DES VENTES - AAD</v>
      </c>
      <c r="O1631" s="611" t="str">
        <f t="shared" si="221"/>
        <v/>
      </c>
      <c r="P1631" s="611" t="str">
        <f t="shared" si="223"/>
        <v>Page5_GMC_VE!M</v>
      </c>
      <c r="Q1631" s="611">
        <f t="shared" si="224"/>
        <v>34</v>
      </c>
      <c r="R1631" s="1447">
        <f t="shared" ca="1" si="225"/>
        <v>0</v>
      </c>
      <c r="S1631" s="1447">
        <f t="shared" ca="1" si="226"/>
        <v>0</v>
      </c>
      <c r="T1631" s="611">
        <v>22</v>
      </c>
      <c r="V1631" s="2557" t="str">
        <f t="shared" ca="1" si="228"/>
        <v/>
      </c>
      <c r="W1631" s="611" t="str">
        <f t="shared" ca="1" si="227"/>
        <v>Page5_GMC_VE, Ligne 31 [Page5_GMC_VE!M34]  -</v>
      </c>
    </row>
    <row r="1632" spans="1:23">
      <c r="A1632" s="1443" t="str">
        <f>celladdr(Page5_GMC_VE!M35)</f>
        <v>Page5_GMC_VE!M35</v>
      </c>
      <c r="B1632" s="1456" t="s">
        <v>1086</v>
      </c>
      <c r="C1632" s="1451" t="b">
        <f>IF(Page5_GMC_VE!$K$35=0,FALSE,OR(Page5_GMC_VE!$M$35/Page5_GMC_VE!$K$35&lt;INDEX(Min_Table,L1632),Page5_GMC_VE!$M$35/Page5_GMC_VE!$K$35&gt;INDEX(Max_Table,L1632)))</f>
        <v>0</v>
      </c>
      <c r="D1632" s="1454" t="b">
        <f>OR(AND(Page5_GMC_VE!$L35&lt;&gt;0,Page5_GMC_VE!$M35=0),AND(Page5_GMC_VE!$M35&lt;&gt;0,Page5_GMC_VE!$L35=0))</f>
        <v>0</v>
      </c>
      <c r="E1632" s="1454" t="b">
        <f>IF(Page5_GMC_VE!$K$35=0,FALSE,OR(Page5_GMC_VE!$M$35/Page5_GMC_VE!$K$35&lt;INDEX(Min_Table,M1632),Page5_GMC_VE!$M$35/Page5_GMC_VE!$K$35&gt;INDEX(Max_Table,M1632)))</f>
        <v>0</v>
      </c>
      <c r="F1632" s="1454"/>
      <c r="G1632" s="1444" t="str">
        <f t="shared" si="222"/>
        <v/>
      </c>
      <c r="H1632" s="1447" t="str">
        <f>IF(C1632=TRUE,Comments!$B$20&amp;DOLLAR(INDEX(Min_Table,L1632),0)&amp;Comments!$B$18&amp;DOLLAR(INDEX(Max_Table,L1632),0)&amp;Comments!$B$19&amp;DOLLAR(Page5_GMC_VE!$M$35/Page5_GMC_VE!$K$35,0),"")</f>
        <v/>
      </c>
      <c r="I1632" s="1446" t="str">
        <f>IF(D1632=TRUE,Comments!$B$24,"")</f>
        <v/>
      </c>
      <c r="J1632" s="1446" t="str">
        <f>IF(E1632=TRUE,Comments!$B$22&amp;DOLLAR(INDEX(Min_Table,M1632),0)&amp;Comments!$B$18&amp;DOLLAR(INDEX(Max_Table,M1632),0)&amp;Comments!$B$19&amp;IFERROR(DOLLAR(Page5_GMC_VE!$M$35/Page5_GMC_VE!$K$35,0),0),"")</f>
        <v/>
      </c>
      <c r="K1632" s="1452"/>
      <c r="L1632" s="611">
        <f>ROW(OR_VEH!$A$667)</f>
        <v>667</v>
      </c>
      <c r="M1632" s="611">
        <f>ROW(OR_VEH!$A$384)</f>
        <v>384</v>
      </c>
      <c r="N1632" s="611" t="str">
        <f>"CPTE # "&amp;Page5_GMC_VE!$E$35&amp;"  "&amp;Page5_GMC_VE!$C$35&amp;" - COÛT DES VENTES - AAD"</f>
        <v>CPTE # 430H  NE PAS UTILISER - COÛT DES VENTES - AAD</v>
      </c>
      <c r="O1632" s="611" t="str">
        <f t="shared" si="221"/>
        <v/>
      </c>
      <c r="P1632" s="611" t="str">
        <f t="shared" si="223"/>
        <v>Page5_GMC_VE!M</v>
      </c>
      <c r="Q1632" s="611">
        <f t="shared" si="224"/>
        <v>35</v>
      </c>
      <c r="R1632" s="1447">
        <f t="shared" ca="1" si="225"/>
        <v>0</v>
      </c>
      <c r="S1632" s="1447">
        <f t="shared" ca="1" si="226"/>
        <v>0</v>
      </c>
      <c r="T1632" s="611">
        <v>22</v>
      </c>
      <c r="V1632" s="2557" t="str">
        <f t="shared" ca="1" si="228"/>
        <v/>
      </c>
      <c r="W1632" s="611" t="str">
        <f t="shared" ca="1" si="227"/>
        <v>Page5_GMC_VE, Ligne 32 [Page5_GMC_VE!M35]  -</v>
      </c>
    </row>
    <row r="1633" spans="1:23">
      <c r="A1633" s="1443" t="str">
        <f>celladdr(Page5_GMC_VE!M36)</f>
        <v>Page5_GMC_VE!M36</v>
      </c>
      <c r="B1633" s="1456" t="s">
        <v>1086</v>
      </c>
      <c r="C1633" s="1451" t="b">
        <f>IF(Page5_GMC_VE!$K$36=0,FALSE,OR(Page5_GMC_VE!$M$36/Page5_GMC_VE!$K$36&lt;INDEX(Min_Table,L1633),Page5_GMC_VE!$M$36/Page5_GMC_VE!$K$36&gt;INDEX(Max_Table,L1633)))</f>
        <v>0</v>
      </c>
      <c r="D1633" s="1454" t="b">
        <f>OR(AND(Page5_GMC_VE!$L36&lt;&gt;0,Page5_GMC_VE!$M36=0),AND(Page5_GMC_VE!$M36&lt;&gt;0,Page5_GMC_VE!$L36=0))</f>
        <v>0</v>
      </c>
      <c r="E1633" s="1454" t="b">
        <f>IF(Page5_GMC_VE!$K$36=0,FALSE,OR(Page5_GMC_VE!$M$36/Page5_GMC_VE!$K$36&lt;INDEX(Min_Table,M1633),Page5_GMC_VE!$M$36/Page5_GMC_VE!$K$36&gt;INDEX(Max_Table,M1633)))</f>
        <v>0</v>
      </c>
      <c r="F1633" s="1454"/>
      <c r="G1633" s="1444" t="str">
        <f t="shared" si="222"/>
        <v/>
      </c>
      <c r="H1633" s="1447" t="str">
        <f>IF(C1633=TRUE,Comments!$B$20&amp;DOLLAR(INDEX(Min_Table,L1633),0)&amp;Comments!$B$18&amp;DOLLAR(INDEX(Max_Table,L1633),0)&amp;Comments!$B$19&amp;DOLLAR(Page5_GMC_VE!$M$36/Page5_GMC_VE!$K$36,0),"")</f>
        <v/>
      </c>
      <c r="I1633" s="1446" t="str">
        <f>IF(D1633=TRUE,Comments!$B$24,"")</f>
        <v/>
      </c>
      <c r="J1633" s="1446" t="str">
        <f>IF(E1633=TRUE,Comments!$B$22&amp;DOLLAR(INDEX(Min_Table,M1633),0)&amp;Comments!$B$18&amp;DOLLAR(INDEX(Max_Table,M1633),0)&amp;Comments!$B$19&amp;IFERROR(DOLLAR(Page5_GMC_VE!$M$36/Page5_GMC_VE!$K$36,0),0),"")</f>
        <v/>
      </c>
      <c r="K1633" s="1452"/>
      <c r="L1633" s="611">
        <f>ROW(OR_VEH!$A$667)</f>
        <v>667</v>
      </c>
      <c r="M1633" s="611">
        <f>ROW(OR_VEH!$A$385)</f>
        <v>385</v>
      </c>
      <c r="N1633" s="611" t="str">
        <f>"CPTE # "&amp;Page5_GMC_VE!$E$36&amp;"  "&amp;Page5_GMC_VE!$C$36&amp;" - COÛT DES VENTES - AAD"</f>
        <v>CPTE # 431H  NE PAS UTILISER - COÛT DES VENTES - AAD</v>
      </c>
      <c r="O1633" s="611" t="str">
        <f t="shared" si="221"/>
        <v/>
      </c>
      <c r="P1633" s="611" t="str">
        <f t="shared" si="223"/>
        <v>Page5_GMC_VE!M</v>
      </c>
      <c r="Q1633" s="611">
        <f t="shared" si="224"/>
        <v>36</v>
      </c>
      <c r="R1633" s="1447">
        <f t="shared" ca="1" si="225"/>
        <v>0</v>
      </c>
      <c r="S1633" s="1447">
        <f t="shared" ca="1" si="226"/>
        <v>0</v>
      </c>
      <c r="T1633" s="611">
        <v>22</v>
      </c>
      <c r="V1633" s="2557" t="str">
        <f t="shared" ca="1" si="228"/>
        <v/>
      </c>
      <c r="W1633" s="611" t="str">
        <f t="shared" ca="1" si="227"/>
        <v>Page5_GMC_VE, Ligne 33 [Page5_GMC_VE!M36]  -</v>
      </c>
    </row>
    <row r="1634" spans="1:23">
      <c r="A1634" s="1443" t="str">
        <f>celladdr(Page5_GMC_VE!M37)</f>
        <v>Page5_GMC_VE!M37</v>
      </c>
      <c r="B1634" s="1456" t="s">
        <v>1086</v>
      </c>
      <c r="C1634" s="1451" t="b">
        <f>IF(Page5_GMC_VE!$K$37=0,FALSE,OR(Page5_GMC_VE!$M$37/Page5_GMC_VE!$K$37&lt;INDEX(Min_Table,L1634),Page5_GMC_VE!$M$37/Page5_GMC_VE!$K$37&gt;INDEX(Max_Table,L1634)))</f>
        <v>0</v>
      </c>
      <c r="D1634" s="1454" t="b">
        <f>OR(AND(Page5_GMC_VE!$L37&lt;&gt;0,Page5_GMC_VE!$M37=0),AND(Page5_GMC_VE!$M37&lt;&gt;0,Page5_GMC_VE!$L37=0))</f>
        <v>0</v>
      </c>
      <c r="E1634" s="1454" t="b">
        <f>IF(Page5_GMC_VE!$K$37=0,FALSE,OR(Page5_GMC_VE!$M$37/Page5_GMC_VE!$K$37&lt;INDEX(Min_Table,M1634),Page5_GMC_VE!$M$37/Page5_GMC_VE!$K$37&gt;INDEX(Max_Table,M1634)))</f>
        <v>0</v>
      </c>
      <c r="F1634" s="1454"/>
      <c r="G1634" s="1444" t="str">
        <f t="shared" si="222"/>
        <v/>
      </c>
      <c r="H1634" s="1447" t="str">
        <f>IF(C1634=TRUE,Comments!$B$20&amp;DOLLAR(INDEX(Min_Table,L1634),0)&amp;Comments!$B$18&amp;DOLLAR(INDEX(Max_Table,L1634),0)&amp;Comments!$B$19&amp;DOLLAR(Page5_GMC_VE!$M$37/Page5_GMC_VE!$K$37,0),"")</f>
        <v/>
      </c>
      <c r="I1634" s="1446" t="str">
        <f>IF(D1634=TRUE,Comments!$B$24,"")</f>
        <v/>
      </c>
      <c r="J1634" s="1446" t="str">
        <f>IF(E1634=TRUE,Comments!$B$22&amp;DOLLAR(INDEX(Min_Table,M1634),0)&amp;Comments!$B$18&amp;DOLLAR(INDEX(Max_Table,M1634),0)&amp;Comments!$B$19&amp;IFERROR(DOLLAR(Page5_GMC_VE!$M$37/Page5_GMC_VE!$K$37,0),0),"")</f>
        <v/>
      </c>
      <c r="K1634" s="1452"/>
      <c r="L1634" s="611">
        <f>ROW(OR_VEH!$A$667)</f>
        <v>667</v>
      </c>
      <c r="M1634" s="611">
        <f>ROW(OR_VEH!$A$386)</f>
        <v>386</v>
      </c>
      <c r="N1634" s="611" t="str">
        <f>"CPTE # "&amp;Page5_GMC_VE!$E$37&amp;"  "&amp;Page5_GMC_VE!$C$37&amp;" - COÛT DES VENTES - AAD"</f>
        <v>CPTE # 432H  NE PAS UTILISER - COÛT DES VENTES - AAD</v>
      </c>
      <c r="O1634" s="611" t="str">
        <f t="shared" si="221"/>
        <v/>
      </c>
      <c r="P1634" s="611" t="str">
        <f t="shared" si="223"/>
        <v>Page5_GMC_VE!M</v>
      </c>
      <c r="Q1634" s="611">
        <f t="shared" si="224"/>
        <v>37</v>
      </c>
      <c r="R1634" s="1447">
        <f t="shared" ca="1" si="225"/>
        <v>0</v>
      </c>
      <c r="S1634" s="1447">
        <f t="shared" ca="1" si="226"/>
        <v>0</v>
      </c>
      <c r="T1634" s="611">
        <v>22</v>
      </c>
      <c r="V1634" s="2557" t="str">
        <f t="shared" ca="1" si="228"/>
        <v/>
      </c>
      <c r="W1634" s="611" t="str">
        <f t="shared" ca="1" si="227"/>
        <v>Page5_GMC_VE, Ligne 34 [Page5_GMC_VE!M37]  -</v>
      </c>
    </row>
    <row r="1635" spans="1:23">
      <c r="A1635" s="1443" t="str">
        <f>celladdr(Page5_GMC_VE!M38)</f>
        <v>Page5_GMC_VE!M38</v>
      </c>
      <c r="B1635" s="1456" t="s">
        <v>1086</v>
      </c>
      <c r="C1635" s="1451" t="b">
        <f>IF(Page5_GMC_VE!$K$38=0,FALSE,OR(Page5_GMC_VE!$M$38/Page5_GMC_VE!$K$38&lt;INDEX(Min_Table,L1635),Page5_GMC_VE!$M$38/Page5_GMC_VE!$K$38&gt;INDEX(Max_Table,L1635)))</f>
        <v>0</v>
      </c>
      <c r="D1635" s="1454" t="b">
        <f>OR(AND(Page5_GMC_VE!$L38&lt;&gt;0,Page5_GMC_VE!$M38=0),AND(Page5_GMC_VE!$M38&lt;&gt;0,Page5_GMC_VE!$L38=0))</f>
        <v>0</v>
      </c>
      <c r="E1635" s="1454" t="b">
        <f>IF(Page5_GMC_VE!$K$38=0,FALSE,OR(Page5_GMC_VE!$M$38/Page5_GMC_VE!$K$38&lt;INDEX(Min_Table,M1635),Page5_GMC_VE!$M$38/Page5_GMC_VE!$K$38&gt;INDEX(Max_Table,M1635)))</f>
        <v>0</v>
      </c>
      <c r="F1635" s="1454"/>
      <c r="G1635" s="1444" t="str">
        <f t="shared" si="222"/>
        <v/>
      </c>
      <c r="H1635" s="1447" t="str">
        <f>IF(C1635=TRUE,Comments!$B$20&amp;DOLLAR(INDEX(Min_Table,L1635),0)&amp;Comments!$B$18&amp;DOLLAR(INDEX(Max_Table,L1635),0)&amp;Comments!$B$19&amp;DOLLAR(Page5_GMC_VE!$M$38/Page5_GMC_VE!$K$38,0),"")</f>
        <v/>
      </c>
      <c r="I1635" s="1446" t="str">
        <f>IF(D1635=TRUE,Comments!$B$24,"")</f>
        <v/>
      </c>
      <c r="J1635" s="1446" t="str">
        <f>IF(E1635=TRUE,Comments!$B$22&amp;DOLLAR(INDEX(Min_Table,M1635),0)&amp;Comments!$B$18&amp;DOLLAR(INDEX(Max_Table,M1635),0)&amp;Comments!$B$19&amp;IFERROR(DOLLAR(Page5_GMC_VE!$M$38/Page5_GMC_VE!$K$38,0),0),"")</f>
        <v/>
      </c>
      <c r="K1635" s="1452"/>
      <c r="L1635" s="611">
        <f>ROW(OR_VEH!$A$667)</f>
        <v>667</v>
      </c>
      <c r="M1635" s="611">
        <f>ROW(OR_VEH!$A$387)</f>
        <v>387</v>
      </c>
      <c r="N1635" s="611" t="str">
        <f>"CPTE # "&amp;Page5_GMC_VE!$E$38&amp;"  "&amp;Page5_GMC_VE!$C$38&amp;" - COÛT DES VENTES - AAD"</f>
        <v>CPTE # 433H  NE PAS UTILISER - COÛT DES VENTES - AAD</v>
      </c>
      <c r="O1635" s="611" t="str">
        <f t="shared" si="221"/>
        <v/>
      </c>
      <c r="P1635" s="611" t="str">
        <f t="shared" si="223"/>
        <v>Page5_GMC_VE!M</v>
      </c>
      <c r="Q1635" s="611">
        <f t="shared" si="224"/>
        <v>38</v>
      </c>
      <c r="R1635" s="1447">
        <f t="shared" ca="1" si="225"/>
        <v>0</v>
      </c>
      <c r="S1635" s="1447">
        <f t="shared" ca="1" si="226"/>
        <v>0</v>
      </c>
      <c r="T1635" s="611">
        <v>22</v>
      </c>
      <c r="V1635" s="2557" t="str">
        <f t="shared" ca="1" si="228"/>
        <v/>
      </c>
      <c r="W1635" s="611" t="str">
        <f t="shared" ca="1" si="227"/>
        <v>Page5_GMC_VE, Ligne 35 [Page5_GMC_VE!M38]  -</v>
      </c>
    </row>
    <row r="1636" spans="1:23">
      <c r="A1636" s="1443" t="str">
        <f>celladdr(Page5_GMC_VE!M39)</f>
        <v>Page5_GMC_VE!M39</v>
      </c>
      <c r="B1636" s="1456" t="s">
        <v>1086</v>
      </c>
      <c r="C1636" s="1451" t="b">
        <f>IF(Page5_GMC_VE!$K$39=0,FALSE,OR(Page5_GMC_VE!$M$39/Page5_GMC_VE!$K$39&lt;INDEX(Min_Table,L1636),Page5_GMC_VE!$M$39/Page5_GMC_VE!$K$39&gt;INDEX(Max_Table,L1636)))</f>
        <v>0</v>
      </c>
      <c r="D1636" s="1454" t="b">
        <f>OR(AND(Page5_GMC_VE!$L39&lt;&gt;0,Page5_GMC_VE!$M39=0),AND(Page5_GMC_VE!$M39&lt;&gt;0,Page5_GMC_VE!$L39=0))</f>
        <v>0</v>
      </c>
      <c r="E1636" s="1454" t="b">
        <f>IF(Page5_GMC_VE!$K$39=0,FALSE,OR(Page5_GMC_VE!$M$39/Page5_GMC_VE!$K$39&lt;INDEX(Min_Table,M1636),Page5_GMC_VE!$M$39/Page5_GMC_VE!$K$39&gt;INDEX(Max_Table,M1636)))</f>
        <v>0</v>
      </c>
      <c r="F1636" s="1454"/>
      <c r="G1636" s="1444" t="str">
        <f t="shared" si="222"/>
        <v/>
      </c>
      <c r="H1636" s="1447" t="str">
        <f>IF(C1636=TRUE,Comments!$B$20&amp;DOLLAR(INDEX(Min_Table,L1636),0)&amp;Comments!$B$18&amp;DOLLAR(INDEX(Max_Table,L1636),0)&amp;Comments!$B$19&amp;DOLLAR(Page5_GMC_VE!$M$39/Page5_GMC_VE!$K$39,0),"")</f>
        <v/>
      </c>
      <c r="I1636" s="1446" t="str">
        <f>IF(D1636=TRUE,Comments!$B$24,"")</f>
        <v/>
      </c>
      <c r="J1636" s="1446" t="str">
        <f>IF(E1636=TRUE,Comments!$B$22&amp;DOLLAR(INDEX(Min_Table,M1636),0)&amp;Comments!$B$18&amp;DOLLAR(INDEX(Max_Table,M1636),0)&amp;Comments!$B$19&amp;IFERROR(DOLLAR(Page5_GMC_VE!$M$39/Page5_GMC_VE!$K$39,0),0),"")</f>
        <v/>
      </c>
      <c r="K1636" s="1452"/>
      <c r="L1636" s="611">
        <f>ROW(OR_VEH!$A$667)</f>
        <v>667</v>
      </c>
      <c r="M1636" s="611">
        <f>ROW(OR_VEH!$A$388)</f>
        <v>388</v>
      </c>
      <c r="N1636" s="611" t="str">
        <f>"CPTE # "&amp;Page5_GMC_VE!$E$39&amp;"  "&amp;Page5_GMC_VE!$C$39&amp;" - COÛT DES VENTES - AAD"</f>
        <v>CPTE # 434H  NE PAS UTILISER - COÛT DES VENTES - AAD</v>
      </c>
      <c r="O1636" s="611" t="str">
        <f t="shared" si="221"/>
        <v/>
      </c>
      <c r="P1636" s="611" t="str">
        <f t="shared" si="223"/>
        <v>Page5_GMC_VE!M</v>
      </c>
      <c r="Q1636" s="611">
        <f t="shared" si="224"/>
        <v>39</v>
      </c>
      <c r="R1636" s="1447">
        <f t="shared" ca="1" si="225"/>
        <v>0</v>
      </c>
      <c r="S1636" s="1447">
        <f t="shared" ca="1" si="226"/>
        <v>0</v>
      </c>
      <c r="T1636" s="611">
        <v>22</v>
      </c>
      <c r="V1636" s="2557" t="str">
        <f t="shared" ca="1" si="228"/>
        <v/>
      </c>
      <c r="W1636" s="611" t="str">
        <f t="shared" ca="1" si="227"/>
        <v>Page5_GMC_VE, Ligne 36 [Page5_GMC_VE!M39]  -</v>
      </c>
    </row>
    <row r="1637" spans="1:23">
      <c r="A1637" s="1443" t="str">
        <f>celladdr(Page5_GMC_VE!M40)</f>
        <v>Page5_GMC_VE!M40</v>
      </c>
      <c r="B1637" s="1456" t="s">
        <v>1086</v>
      </c>
      <c r="C1637" s="1451" t="b">
        <f>IF(Page5_GMC_VE!$K$40=0,FALSE,OR(Page5_GMC_VE!$M$40/Page5_GMC_VE!$K$40&lt;INDEX(Min_Table,L1637),Page5_GMC_VE!$M$40/Page5_GMC_VE!$K$40&gt;INDEX(Max_Table,L1637)))</f>
        <v>0</v>
      </c>
      <c r="D1637" s="1454" t="b">
        <f>OR(AND(Page5_GMC_VE!$L40&lt;&gt;0,Page5_GMC_VE!$M40=0),AND(Page5_GMC_VE!$M40&lt;&gt;0,Page5_GMC_VE!$L40=0))</f>
        <v>0</v>
      </c>
      <c r="E1637" s="1454" t="b">
        <f>IF(Page5_GMC_VE!$K$40=0,FALSE,OR(Page5_GMC_VE!$M$40/Page5_GMC_VE!$K$40&lt;INDEX(Min_Table,M1637),Page5_GMC_VE!$M$40/Page5_GMC_VE!$K$40&gt;INDEX(Max_Table,M1637)))</f>
        <v>0</v>
      </c>
      <c r="F1637" s="1454"/>
      <c r="G1637" s="1444" t="str">
        <f t="shared" si="222"/>
        <v/>
      </c>
      <c r="H1637" s="1447" t="str">
        <f>IF(C1637=TRUE,Comments!$B$20&amp;DOLLAR(INDEX(Min_Table,L1637),0)&amp;Comments!$B$18&amp;DOLLAR(INDEX(Max_Table,L1637),0)&amp;Comments!$B$19&amp;DOLLAR(Page5_GMC_VE!$M$40/Page5_GMC_VE!$K$40,0),"")</f>
        <v/>
      </c>
      <c r="I1637" s="1446" t="str">
        <f>IF(D1637=TRUE,Comments!$B$24,"")</f>
        <v/>
      </c>
      <c r="J1637" s="1446" t="str">
        <f>IF(E1637=TRUE,Comments!$B$22&amp;DOLLAR(INDEX(Min_Table,M1637),0)&amp;Comments!$B$18&amp;DOLLAR(INDEX(Max_Table,M1637),0)&amp;Comments!$B$19&amp;IFERROR(DOLLAR(Page5_GMC_VE!$M$40/Page5_GMC_VE!$K$40,0),0),"")</f>
        <v/>
      </c>
      <c r="K1637" s="1452"/>
      <c r="L1637" s="611">
        <f>ROW(OR_VEH!$A$667)</f>
        <v>667</v>
      </c>
      <c r="M1637" s="611">
        <f>ROW(OR_VEH!$A$389)</f>
        <v>389</v>
      </c>
      <c r="N1637" s="611" t="str">
        <f>"CPTE # "&amp;Page5_GMC_VE!$E$40&amp;"  "&amp;Page5_GMC_VE!$C$40&amp;" - COÛT DES VENTES - AAD"</f>
        <v>CPTE # 435H  NE PAS UTILISER - COÛT DES VENTES - AAD</v>
      </c>
      <c r="O1637" s="611" t="str">
        <f t="shared" si="221"/>
        <v/>
      </c>
      <c r="P1637" s="611" t="str">
        <f t="shared" si="223"/>
        <v>Page5_GMC_VE!M</v>
      </c>
      <c r="Q1637" s="611">
        <f t="shared" si="224"/>
        <v>40</v>
      </c>
      <c r="R1637" s="1447">
        <f t="shared" ca="1" si="225"/>
        <v>0</v>
      </c>
      <c r="S1637" s="1447">
        <f t="shared" ca="1" si="226"/>
        <v>0</v>
      </c>
      <c r="T1637" s="611">
        <v>22</v>
      </c>
      <c r="V1637" s="2557" t="str">
        <f t="shared" ca="1" si="228"/>
        <v/>
      </c>
      <c r="W1637" s="611" t="str">
        <f t="shared" ca="1" si="227"/>
        <v>Page5_GMC_VE, Ligne 37 [Page5_GMC_VE!M40]  -</v>
      </c>
    </row>
    <row r="1638" spans="1:23">
      <c r="A1638" s="1443" t="str">
        <f>celladdr(Page5_GMC_VE!M41)</f>
        <v>Page5_GMC_VE!M41</v>
      </c>
      <c r="B1638" s="1456" t="s">
        <v>1086</v>
      </c>
      <c r="C1638" s="1451" t="b">
        <f>IF(Page5_GMC_VE!$K$41=0,FALSE,OR(Page5_GMC_VE!$M$41/Page5_GMC_VE!$K$41&lt;INDEX(Min_Table,L1638),Page5_GMC_VE!$M$41/Page5_GMC_VE!$K$41&gt;INDEX(Max_Table,L1638)))</f>
        <v>0</v>
      </c>
      <c r="D1638" s="1454" t="b">
        <f>OR(AND(Page5_GMC_VE!$L41&lt;&gt;0,Page5_GMC_VE!$M41=0),AND(Page5_GMC_VE!$M41&lt;&gt;0,Page5_GMC_VE!$L41=0))</f>
        <v>0</v>
      </c>
      <c r="E1638" s="1454" t="b">
        <f>IF(Page5_GMC_VE!$K$41=0,FALSE,OR(Page5_GMC_VE!$M$41/Page5_GMC_VE!$K$41&lt;INDEX(Min_Table,M1638),Page5_GMC_VE!$M$41/Page5_GMC_VE!$K$41&gt;INDEX(Max_Table,M1638)))</f>
        <v>0</v>
      </c>
      <c r="F1638" s="1454"/>
      <c r="G1638" s="1444" t="str">
        <f t="shared" si="222"/>
        <v/>
      </c>
      <c r="H1638" s="1447" t="str">
        <f>IF(C1638=TRUE,Comments!$B$20&amp;DOLLAR(INDEX(Min_Table,L1638),0)&amp;Comments!$B$18&amp;DOLLAR(INDEX(Max_Table,L1638),0)&amp;Comments!$B$19&amp;DOLLAR(Page5_GMC_VE!$M$41/Page5_GMC_VE!$K$41,0),"")</f>
        <v/>
      </c>
      <c r="I1638" s="1446" t="str">
        <f>IF(D1638=TRUE,Comments!$B$24,"")</f>
        <v/>
      </c>
      <c r="J1638" s="1446" t="str">
        <f>IF(E1638=TRUE,Comments!$B$22&amp;DOLLAR(INDEX(Min_Table,M1638),0)&amp;Comments!$B$18&amp;DOLLAR(INDEX(Max_Table,M1638),0)&amp;Comments!$B$19&amp;IFERROR(DOLLAR(Page5_GMC_VE!$M$41/Page5_GMC_VE!$K$41,0),0),"")</f>
        <v/>
      </c>
      <c r="K1638" s="1452"/>
      <c r="L1638" s="611">
        <f>ROW(OR_VEH!$A$667)</f>
        <v>667</v>
      </c>
      <c r="M1638" s="611">
        <f>ROW(OR_VEH!$A$390)</f>
        <v>390</v>
      </c>
      <c r="N1638" s="611" t="str">
        <f>"CPTE # "&amp;Page5_GMC_VE!$E$41&amp;"  "&amp;Page5_GMC_VE!$C$41&amp;" - COÛT DES VENTES - AAD"</f>
        <v>CPTE # 436H  NE PAS UTILISER - COÛT DES VENTES - AAD</v>
      </c>
      <c r="O1638" s="611" t="str">
        <f t="shared" si="221"/>
        <v/>
      </c>
      <c r="P1638" s="611" t="str">
        <f t="shared" si="223"/>
        <v>Page5_GMC_VE!M</v>
      </c>
      <c r="Q1638" s="611">
        <f t="shared" si="224"/>
        <v>41</v>
      </c>
      <c r="R1638" s="1447">
        <f t="shared" ca="1" si="225"/>
        <v>0</v>
      </c>
      <c r="S1638" s="1447">
        <f t="shared" ca="1" si="226"/>
        <v>0</v>
      </c>
      <c r="T1638" s="611">
        <v>22</v>
      </c>
      <c r="V1638" s="2557" t="str">
        <f t="shared" ca="1" si="228"/>
        <v/>
      </c>
      <c r="W1638" s="611" t="str">
        <f t="shared" ca="1" si="227"/>
        <v>Page5_GMC_VE, Ligne 38 [Page5_GMC_VE!M41]  -</v>
      </c>
    </row>
    <row r="1639" spans="1:23">
      <c r="A1639" s="1443" t="str">
        <f>celladdr(Page5_GMC_VE!M42)</f>
        <v>Page5_GMC_VE!M42</v>
      </c>
      <c r="B1639" s="1456" t="s">
        <v>1086</v>
      </c>
      <c r="C1639" s="1451"/>
      <c r="D1639" s="1454"/>
      <c r="E1639" s="1454"/>
      <c r="F1639" s="1454"/>
      <c r="G1639" s="1444" t="str">
        <f t="shared" si="222"/>
        <v/>
      </c>
      <c r="I1639" s="1446"/>
      <c r="J1639" s="1446"/>
      <c r="K1639" s="1452"/>
      <c r="L1639" s="611">
        <f>ROW(OR_VEH!$A$667)</f>
        <v>667</v>
      </c>
      <c r="M1639" s="611">
        <f>ROW(OR_VEH!$A$391)</f>
        <v>391</v>
      </c>
      <c r="N1639" s="611" t="str">
        <f>"CPTE # "&amp;Page5_GMC_VE!$E$42&amp;"  "&amp;Page5_GMC_VE!$C$42&amp;" - COÛT DES VENTES - AAD"</f>
        <v>CPTE # 437H  NE PAS UTILISER - COÛT DES VENTES - AAD</v>
      </c>
      <c r="O1639" s="611" t="str">
        <f t="shared" si="221"/>
        <v/>
      </c>
      <c r="P1639" s="611" t="str">
        <f t="shared" si="223"/>
        <v>Page5_GMC_VE!M</v>
      </c>
      <c r="Q1639" s="611">
        <f t="shared" si="224"/>
        <v>42</v>
      </c>
      <c r="R1639" s="1447">
        <f t="shared" ca="1" si="225"/>
        <v>0</v>
      </c>
      <c r="S1639" s="1447">
        <f t="shared" ca="1" si="226"/>
        <v>0</v>
      </c>
      <c r="T1639" s="611">
        <v>22</v>
      </c>
      <c r="V1639" s="2557" t="str">
        <f t="shared" ca="1" si="228"/>
        <v/>
      </c>
      <c r="W1639" s="611" t="str">
        <f t="shared" ca="1" si="227"/>
        <v>Page5_GMC_VE, Ligne 39 [Page5_GMC_VE!M42]  -</v>
      </c>
    </row>
    <row r="1640" spans="1:23">
      <c r="A1640" s="1443" t="str">
        <f>celladdr(Page5_GMC_VE!M43)</f>
        <v>Page5_GMC_VE!M43</v>
      </c>
      <c r="B1640" s="1456" t="s">
        <v>1086</v>
      </c>
      <c r="C1640" s="1451" t="b">
        <f>IF(Page5_GMC_VE!$K$43=0,FALSE,OR(Page5_GMC_VE!$M$43/Page5_GMC_VE!$K$43&lt;INDEX(Min_Table,L1640),Page5_GMC_VE!$M$43/Page5_GMC_VE!$K$43&gt;INDEX(Max_Table,L1640)))</f>
        <v>0</v>
      </c>
      <c r="D1640" s="1454" t="b">
        <f>OR(AND(Page5_GMC_VE!$L43&lt;&gt;0,Page5_GMC_VE!$M43=0),AND(Page5_GMC_VE!$M43&lt;&gt;0,Page5_GMC_VE!$L43=0))</f>
        <v>0</v>
      </c>
      <c r="E1640" s="1454" t="b">
        <f>IF(Page5_GMC_VE!$K$43=0,FALSE,OR(Page5_GMC_VE!$M$43/Page5_GMC_VE!$K$43&lt;INDEX(Min_Table,M1640),Page5_GMC_VE!$M$43/Page5_GMC_VE!$K$43&gt;INDEX(Max_Table,M1640)))</f>
        <v>0</v>
      </c>
      <c r="F1640" s="1454"/>
      <c r="G1640" s="1444" t="str">
        <f t="shared" si="222"/>
        <v/>
      </c>
      <c r="H1640" s="1447" t="str">
        <f>IF(C1640=TRUE,Comments!$B$20&amp;DOLLAR(INDEX(Min_Table,L1640),0)&amp;Comments!$B$18&amp;DOLLAR(INDEX(Max_Table,L1640),0)&amp;Comments!$B$19&amp;DOLLAR(Page5_GMC_VE!$M$43/Page5_GMC_VE!$K$43,0),"")</f>
        <v/>
      </c>
      <c r="I1640" s="1446" t="str">
        <f>IF(D1640=TRUE,Comments!$B$24,"")</f>
        <v/>
      </c>
      <c r="J1640" s="1446" t="str">
        <f>IF(E1640=TRUE,Comments!$B$22&amp;DOLLAR(INDEX(Min_Table,M1640),0)&amp;Comments!$B$18&amp;DOLLAR(INDEX(Max_Table,M1640),0)&amp;Comments!$B$19&amp;IFERROR(DOLLAR(Page5_GMC_VE!$M$43/Page5_GMC_VE!$K$43,0),0),"")</f>
        <v/>
      </c>
      <c r="K1640" s="1452"/>
      <c r="L1640" s="611">
        <f>ROW(OR_VEH!$A$667)</f>
        <v>667</v>
      </c>
      <c r="M1640" s="611">
        <f>ROW(OR_VEH!$A$392)</f>
        <v>392</v>
      </c>
      <c r="N1640" s="611" t="str">
        <f>"CPTE # "&amp;Page5_GMC_VE!$E$43&amp;"  "&amp;Page5_GMC_VE!$C$43&amp;" - COÛT DES VENTES - AAD"</f>
        <v>CPTE # 438H  NE PAS UTILISER - COÛT DES VENTES - AAD</v>
      </c>
      <c r="O1640" s="611" t="str">
        <f t="shared" si="221"/>
        <v/>
      </c>
      <c r="P1640" s="611" t="str">
        <f t="shared" si="223"/>
        <v>Page5_GMC_VE!M</v>
      </c>
      <c r="Q1640" s="611">
        <f t="shared" si="224"/>
        <v>43</v>
      </c>
      <c r="R1640" s="1447">
        <f t="shared" ca="1" si="225"/>
        <v>0</v>
      </c>
      <c r="S1640" s="1447">
        <f t="shared" ca="1" si="226"/>
        <v>0</v>
      </c>
      <c r="T1640" s="611">
        <v>22</v>
      </c>
      <c r="V1640" s="2557" t="str">
        <f t="shared" ca="1" si="228"/>
        <v/>
      </c>
      <c r="W1640" s="611" t="str">
        <f t="shared" ca="1" si="227"/>
        <v>Page5_GMC_VE, Ligne 40 [Page5_GMC_VE!M43]  -</v>
      </c>
    </row>
    <row r="1641" spans="1:23">
      <c r="A1641" s="1443" t="str">
        <f>celladdr(Page5_GMC_VE!M44)</f>
        <v>Page5_GMC_VE!M44</v>
      </c>
      <c r="B1641" s="1444" t="s">
        <v>1086</v>
      </c>
      <c r="C1641" s="1451"/>
      <c r="D1641" s="1454"/>
      <c r="E1641" s="1454"/>
      <c r="F1641" s="1454"/>
      <c r="G1641" s="1444" t="str">
        <f t="shared" si="222"/>
        <v/>
      </c>
      <c r="H1641" s="1447" t="str">
        <f>IF(C1641=TRUE,Comments!$B$26,"")</f>
        <v/>
      </c>
      <c r="I1641" s="1446" t="str">
        <f>IF(D1641=TRUE,Comments!$B$24,"")</f>
        <v/>
      </c>
      <c r="J1641" s="1446"/>
      <c r="K1641" s="1452"/>
      <c r="O1641" s="611" t="str">
        <f t="shared" si="221"/>
        <v/>
      </c>
      <c r="P1641" s="611" t="str">
        <f t="shared" si="223"/>
        <v>Page5_GMC_VE!M</v>
      </c>
      <c r="Q1641" s="611">
        <f t="shared" si="224"/>
        <v>44</v>
      </c>
      <c r="R1641" s="1447">
        <f t="shared" ca="1" si="225"/>
        <v>0</v>
      </c>
      <c r="S1641" s="1447">
        <f t="shared" ca="1" si="226"/>
        <v>0</v>
      </c>
      <c r="V1641" s="2557" t="str">
        <f t="shared" ca="1" si="228"/>
        <v/>
      </c>
      <c r="W1641" s="611" t="str">
        <f t="shared" ca="1" si="227"/>
        <v>Page5_GMC_VE, Ligne 41 [Page5_GMC_VE!M44]  -</v>
      </c>
    </row>
    <row r="1642" spans="1:23">
      <c r="A1642" s="1443" t="str">
        <f>celladdr(Page5_GMC_VE!M45)</f>
        <v>Page5_GMC_VE!M45</v>
      </c>
      <c r="B1642" s="1456" t="s">
        <v>1086</v>
      </c>
      <c r="C1642" s="1451" t="b">
        <f>IF(Page5_GMC_VE!$K$45=0,FALSE,OR(Page5_GMC_VE!$M$45/Page5_GMC_VE!$K$45&lt;INDEX(Min_Table,L1642),Page5_GMC_VE!$M$45/Page5_GMC_VE!$K$45&gt;INDEX(Max_Table,L1642)))</f>
        <v>0</v>
      </c>
      <c r="D1642" s="1454" t="b">
        <f>OR(AND(Page5_GMC_VE!$L45&lt;&gt;0,Page5_GMC_VE!$M45=0),AND(Page5_GMC_VE!$M45&lt;&gt;0,Page5_GMC_VE!$L45=0))</f>
        <v>0</v>
      </c>
      <c r="E1642" s="1454" t="b">
        <f>IF(Page5_GMC_VE!$K$45=0,FALSE,OR(Page5_GMC_VE!$M$45/Page5_GMC_VE!$K$45&lt;INDEX(Min_Table,M1642),Page5_GMC_VE!$M$45/Page5_GMC_VE!$K$45&gt;INDEX(Max_Table,M1642)))</f>
        <v>0</v>
      </c>
      <c r="F1642" s="1454"/>
      <c r="G1642" s="1444" t="str">
        <f t="shared" si="222"/>
        <v/>
      </c>
      <c r="H1642" s="1447" t="str">
        <f>IF(C1642=TRUE,Comments!$B$20&amp;DOLLAR(INDEX(Min_Table,L1642),0)&amp;Comments!$B$18&amp;DOLLAR(INDEX(Max_Table,L1642),0)&amp;Comments!$B$19&amp;DOLLAR(Page5_GMC_VE!$M$45/Page5_GMC_VE!$K$45,0),"")</f>
        <v/>
      </c>
      <c r="I1642" s="1446" t="str">
        <f>IF(D1642=TRUE,Comments!$B$24,"")</f>
        <v/>
      </c>
      <c r="J1642" s="1446" t="str">
        <f>IF(E1642=TRUE,Comments!$B$22&amp;DOLLAR(INDEX(Min_Table,M1642),0)&amp;Comments!$B$18&amp;DOLLAR(INDEX(Max_Table,M1642),0)&amp;Comments!$B$19&amp;IFERROR(DOLLAR(Page5_GMC_VE!$M$45/Page5_GMC_VE!$K$45,0),0),"")</f>
        <v/>
      </c>
      <c r="K1642" s="1452"/>
      <c r="L1642" s="611">
        <f>ROW(OR_VEH!$A$667)</f>
        <v>667</v>
      </c>
      <c r="M1642" s="611">
        <f>ROW(OR_VEH!$A$394)</f>
        <v>394</v>
      </c>
      <c r="N1642" s="611" t="str">
        <f>"CPTE # "&amp;Page5_GMC_VE!$E$45&amp;"  "&amp;Page5_GMC_VE!$C$45&amp;" - COÛT DES VENTES - AAD"</f>
        <v>CPTE # 439H  MÉMO* VENTES INTERNET CAMIONS - COÛT DES VENTES - AAD</v>
      </c>
      <c r="O1642" s="611" t="str">
        <f t="shared" si="221"/>
        <v/>
      </c>
      <c r="P1642" s="611" t="str">
        <f t="shared" si="223"/>
        <v>Page5_GMC_VE!M</v>
      </c>
      <c r="Q1642" s="611">
        <f t="shared" si="224"/>
        <v>45</v>
      </c>
      <c r="R1642" s="1447">
        <f t="shared" ca="1" si="225"/>
        <v>0</v>
      </c>
      <c r="S1642" s="1447">
        <f t="shared" ca="1" si="226"/>
        <v>0</v>
      </c>
      <c r="T1642" s="611">
        <v>22</v>
      </c>
      <c r="V1642" s="2557" t="str">
        <f t="shared" ca="1" si="228"/>
        <v/>
      </c>
      <c r="W1642" s="611" t="str">
        <f t="shared" ca="1" si="227"/>
        <v>Page5_GMC_VE, Ligne 42 [Page5_GMC_VE!M45]  -</v>
      </c>
    </row>
    <row r="1643" spans="1:23">
      <c r="A1643" s="1443" t="str">
        <f>celladdr(Page5_GMC_VE!M46)</f>
        <v>Page5_GMC_VE!M46</v>
      </c>
      <c r="B1643" s="1456" t="s">
        <v>1086</v>
      </c>
      <c r="C1643" s="1451" t="b">
        <f>IF(Page5_GMC_VE!$K$46=0,FALSE,OR(Page5_GMC_VE!$M$46/Page5_GMC_VE!$K$46&lt;INDEX(Min_Table,L1643),Page5_GMC_VE!$M$46/Page5_GMC_VE!$K$46&gt;INDEX(Max_Table,L1643)))</f>
        <v>0</v>
      </c>
      <c r="D1643" s="1454" t="b">
        <f>OR(AND(Page5_GMC_VE!$L46&lt;&gt;0,Page5_GMC_VE!$M46=0),AND(Page5_GMC_VE!$M46&lt;&gt;0,Page5_GMC_VE!$L46=0))</f>
        <v>0</v>
      </c>
      <c r="E1643" s="1454" t="b">
        <f>IF(Page5_GMC_VE!$K$46=0,FALSE,OR(Page5_GMC_VE!$M$46/Page5_GMC_VE!$K$46&lt;INDEX(Min_Table,M1643),Page5_GMC_VE!$M$46/Page5_GMC_VE!$K$46&gt;INDEX(Max_Table,M1643)))</f>
        <v>0</v>
      </c>
      <c r="F1643" s="1454"/>
      <c r="G1643" s="1444" t="str">
        <f t="shared" si="222"/>
        <v/>
      </c>
      <c r="H1643" s="1447" t="str">
        <f>IF(C1643=TRUE,Comments!$B$20&amp;DOLLAR(INDEX(Min_Table,L1643),0)&amp;Comments!$B$18&amp;DOLLAR(INDEX(Max_Table,L1643),0)&amp;Comments!$B$19&amp;DOLLAR(Page5_GMC_VE!$M$46/Page5_GMC_VE!$K$46,0),"")</f>
        <v/>
      </c>
      <c r="I1643" s="1446" t="str">
        <f>IF(D1643=TRUE,Comments!$B$24,"")</f>
        <v/>
      </c>
      <c r="J1643" s="1446" t="str">
        <f>IF(E1643=TRUE,Comments!$B$22&amp;DOLLAR(INDEX(Min_Table,M1643),0)&amp;Comments!$B$18&amp;DOLLAR(INDEX(Max_Table,M1643),0)&amp;Comments!$B$19&amp;IFERROR(DOLLAR(Page5_GMC_VE!$M$46/Page5_GMC_VE!$K$46,0),0),"")</f>
        <v/>
      </c>
      <c r="K1643" s="1452"/>
      <c r="L1643" s="611">
        <f>ROW(OR_VEH!$A$667)</f>
        <v>667</v>
      </c>
      <c r="M1643" s="611">
        <f>ROW(OR_VEH!$A$395)</f>
        <v>395</v>
      </c>
      <c r="N1643" s="611" t="str">
        <f>"CPTE # "&amp;Page5_GMC_VE!$E$46&amp;"  "&amp;Page5_GMC_VE!$C$46&amp;" - COÛT DES VENTES - AAD"</f>
        <v>CPTE # DE PG PARCS  TOTAL PARCS - CAMIONS - COÛT DES VENTES - AAD</v>
      </c>
      <c r="O1643" s="611" t="str">
        <f t="shared" si="221"/>
        <v/>
      </c>
      <c r="P1643" s="611" t="str">
        <f t="shared" si="223"/>
        <v>Page5_GMC_VE!M</v>
      </c>
      <c r="Q1643" s="611">
        <f t="shared" si="224"/>
        <v>46</v>
      </c>
      <c r="R1643" s="1447">
        <f t="shared" ca="1" si="225"/>
        <v>0</v>
      </c>
      <c r="S1643" s="1447">
        <f t="shared" ca="1" si="226"/>
        <v>0</v>
      </c>
      <c r="T1643" s="611">
        <v>22</v>
      </c>
      <c r="V1643" s="2557" t="str">
        <f t="shared" ca="1" si="228"/>
        <v/>
      </c>
      <c r="W1643" s="611" t="str">
        <f t="shared" ca="1" si="227"/>
        <v>Page5_GMC_VE, Ligne 43 [Page5_GMC_VE!M46]  -</v>
      </c>
    </row>
    <row r="1644" spans="1:23">
      <c r="A1644" s="1443" t="str">
        <f>celladdr(Page5_GMC_VE!M47)</f>
        <v>Page5_GMC_VE!M47</v>
      </c>
      <c r="B1644" s="1456" t="s">
        <v>1086</v>
      </c>
      <c r="C1644" s="1451" t="b">
        <f>IF(Page5_GMC_VE!$K$47=0,FALSE,OR(Page5_GMC_VE!$M$47/Page5_GMC_VE!$K$47&lt;INDEX(Min_Table,L1644),Page5_GMC_VE!$M$47/Page5_GMC_VE!$K$47&gt;INDEX(Max_Table,L1644)))</f>
        <v>0</v>
      </c>
      <c r="D1644" s="1454" t="b">
        <f>OR(AND(Page5_GMC_VE!$L47&lt;&gt;0,Page5_GMC_VE!$M47=0),AND(Page5_GMC_VE!$M47&lt;&gt;0,Page5_GMC_VE!$L47=0))</f>
        <v>0</v>
      </c>
      <c r="E1644" s="1454" t="b">
        <f>IF(Page5_GMC_VE!$K$47=0,FALSE,OR(Page5_GMC_VE!$M$47/Page5_GMC_VE!$K$47&lt;INDEX(Min_Table,M1644),Page5_GMC_VE!$M$47/Page5_GMC_VE!$K$47&gt;INDEX(Max_Table,M1644)))</f>
        <v>0</v>
      </c>
      <c r="F1644" s="1454"/>
      <c r="G1644" s="1444" t="str">
        <f t="shared" si="222"/>
        <v/>
      </c>
      <c r="H1644" s="1447" t="str">
        <f>IF(C1644=TRUE,Comments!$B$20&amp;DOLLAR(INDEX(Min_Table,L1644),0)&amp;Comments!$B$18&amp;DOLLAR(INDEX(Max_Table,L1644),0)&amp;Comments!$B$19&amp;DOLLAR(Page5_GMC_VE!$M$47/Page5_GMC_VE!$K$47,0),"")</f>
        <v/>
      </c>
      <c r="I1644" s="1446" t="str">
        <f>IF(D1644=TRUE,Comments!$B$24,"")</f>
        <v/>
      </c>
      <c r="J1644" s="1446" t="str">
        <f>IF(E1644=TRUE,Comments!$B$22&amp;DOLLAR(INDEX(Min_Table,M1644),0)&amp;Comments!$B$18&amp;DOLLAR(INDEX(Max_Table,M1644),0)&amp;Comments!$B$19&amp;IFERROR(DOLLAR(Page5_GMC_VE!$M$47/Page5_GMC_VE!$K$47,0),0),"")</f>
        <v/>
      </c>
      <c r="K1644" s="1452"/>
      <c r="L1644" s="611">
        <f>ROW(OR_VEH!$A$667)</f>
        <v>667</v>
      </c>
      <c r="M1644" s="611">
        <f>ROW(OR_VEH!$A$396)</f>
        <v>396</v>
      </c>
      <c r="N1644" s="611" t="str">
        <f>"CPTE # "&amp;Page5_GMC_VE!$E$47&amp;"  "&amp;Page5_GMC_VE!$C$47&amp;" - COÛT DES VENTES - AAD"</f>
        <v>CPTE # 441H  TOTAL IINTERNE - CAMIONS  - COÛT DES VENTES - AAD</v>
      </c>
      <c r="O1644" s="611" t="str">
        <f t="shared" si="221"/>
        <v/>
      </c>
      <c r="P1644" s="611" t="str">
        <f t="shared" si="223"/>
        <v>Page5_GMC_VE!M</v>
      </c>
      <c r="Q1644" s="611">
        <f t="shared" si="224"/>
        <v>47</v>
      </c>
      <c r="R1644" s="1447">
        <f t="shared" ca="1" si="225"/>
        <v>0</v>
      </c>
      <c r="S1644" s="1447">
        <f t="shared" ca="1" si="226"/>
        <v>0</v>
      </c>
      <c r="T1644" s="611">
        <v>22</v>
      </c>
      <c r="V1644" s="2557" t="str">
        <f t="shared" ca="1" si="228"/>
        <v/>
      </c>
      <c r="W1644" s="611" t="str">
        <f t="shared" ca="1" si="227"/>
        <v>Page5_GMC_VE, Ligne 44 [Page5_GMC_VE!M47]  -</v>
      </c>
    </row>
    <row r="1645" spans="1:23">
      <c r="A1645" s="1443" t="str">
        <f>celladdr(Page5_GMC_VE!M48)</f>
        <v>Page5_GMC_VE!M48</v>
      </c>
      <c r="B1645" s="1444" t="s">
        <v>1086</v>
      </c>
      <c r="C1645" s="1451"/>
      <c r="D1645" s="1454"/>
      <c r="E1645" s="1454"/>
      <c r="F1645" s="1454"/>
      <c r="G1645" s="1444" t="str">
        <f t="shared" si="222"/>
        <v/>
      </c>
      <c r="H1645" s="1447" t="str">
        <f>IF(C1645=TRUE,Comments!$B$26,"")</f>
        <v/>
      </c>
      <c r="I1645" s="1446" t="str">
        <f>IF(D1645=TRUE,Comments!$B$24,"")</f>
        <v/>
      </c>
      <c r="J1645" s="1446"/>
      <c r="K1645" s="1452"/>
      <c r="O1645" s="611" t="str">
        <f t="shared" si="221"/>
        <v/>
      </c>
      <c r="P1645" s="611" t="str">
        <f t="shared" si="223"/>
        <v>Page5_GMC_VE!M</v>
      </c>
      <c r="Q1645" s="611">
        <f t="shared" si="224"/>
        <v>48</v>
      </c>
      <c r="R1645" s="1447">
        <f t="shared" ca="1" si="225"/>
        <v>0</v>
      </c>
      <c r="S1645" s="1447">
        <f t="shared" ca="1" si="226"/>
        <v>0</v>
      </c>
      <c r="V1645" s="2557" t="str">
        <f t="shared" ca="1" si="228"/>
        <v/>
      </c>
      <c r="W1645" s="611" t="str">
        <f t="shared" ca="1" si="227"/>
        <v>Page5_GMC_VE, Ligne 45 [Page5_GMC_VE!M48]  -</v>
      </c>
    </row>
    <row r="1646" spans="1:23">
      <c r="A1646" s="1443" t="str">
        <f>celladdr(Page5_GMC_VE!M49)</f>
        <v>Page5_GMC_VE!M49</v>
      </c>
      <c r="B1646" s="1456" t="s">
        <v>1086</v>
      </c>
      <c r="C1646" s="1451"/>
      <c r="D1646" s="1454" t="b">
        <f>OR(AND(Page5_GMC_VE!$L49&lt;&gt;0,Page5_GMC_VE!$M49=0),AND(Page5_GMC_VE!$M49&lt;&gt;0,Page5_GMC_VE!$L49=0))</f>
        <v>0</v>
      </c>
      <c r="E1646" s="1454"/>
      <c r="F1646" s="1454"/>
      <c r="G1646" s="1444" t="str">
        <f t="shared" si="222"/>
        <v/>
      </c>
      <c r="I1646" s="1446" t="str">
        <f>IF(D1646=TRUE,Comments!$B$24,"")</f>
        <v/>
      </c>
      <c r="J1646" s="1446"/>
      <c r="K1646" s="1452"/>
      <c r="N1646" s="611" t="str">
        <f>"CPTE # "&amp;Page5_GMC_VE!$E$49&amp;"  "&amp;Page5_GMC_VE!$C$49&amp;" - COÛT DES VENTES - AAD"</f>
        <v>CPTE #      - COÛT DES VENTES - AAD</v>
      </c>
      <c r="O1646" s="611" t="str">
        <f t="shared" si="221"/>
        <v/>
      </c>
      <c r="P1646" s="611" t="str">
        <f t="shared" si="223"/>
        <v>Page5_GMC_VE!M</v>
      </c>
      <c r="Q1646" s="611">
        <f t="shared" si="224"/>
        <v>49</v>
      </c>
      <c r="R1646" s="1447">
        <f t="shared" ca="1" si="225"/>
        <v>0</v>
      </c>
      <c r="S1646" s="1447">
        <f t="shared" ca="1" si="226"/>
        <v>0</v>
      </c>
      <c r="V1646" s="2557" t="str">
        <f t="shared" ca="1" si="228"/>
        <v/>
      </c>
      <c r="W1646" s="611" t="str">
        <f t="shared" ca="1" si="227"/>
        <v>Page5_GMC_VE, Ligne 46 [Page5_GMC_VE!M49]  -</v>
      </c>
    </row>
    <row r="1647" spans="1:23">
      <c r="A1647" s="1443" t="str">
        <f>celladdr(Page5_GMC_VE!M50)</f>
        <v>Page5_GMC_VE!M50</v>
      </c>
      <c r="B1647" s="1456" t="s">
        <v>1086</v>
      </c>
      <c r="C1647" s="1451"/>
      <c r="D1647" s="1454" t="b">
        <f>OR(AND(Page5_GMC_VE!$L50&lt;&gt;0,Page5_GMC_VE!$M50=0),AND(Page5_GMC_VE!$M50&lt;&gt;0,Page5_GMC_VE!$L50=0))</f>
        <v>0</v>
      </c>
      <c r="E1647" s="1454"/>
      <c r="F1647" s="1454"/>
      <c r="G1647" s="1444" t="str">
        <f t="shared" si="222"/>
        <v/>
      </c>
      <c r="I1647" s="1446" t="str">
        <f>IF(D1647=TRUE,Comments!$B$24,"")</f>
        <v/>
      </c>
      <c r="J1647" s="1446"/>
      <c r="K1647" s="1452"/>
      <c r="N1647" s="611" t="str">
        <f>"CPTE # "&amp;Page5_GMC_VE!$E$50&amp;"  "&amp;Page5_GMC_VE!$C$50&amp;" - COÛT DES VENTES - AAD"</f>
        <v>CPTE # 457H  ACCESSOIRES - COÛT DES VENTES - AAD</v>
      </c>
      <c r="O1647" s="611" t="str">
        <f t="shared" si="221"/>
        <v/>
      </c>
      <c r="P1647" s="611" t="str">
        <f t="shared" si="223"/>
        <v>Page5_GMC_VE!M</v>
      </c>
      <c r="Q1647" s="611">
        <f t="shared" si="224"/>
        <v>50</v>
      </c>
      <c r="R1647" s="1447">
        <f t="shared" ca="1" si="225"/>
        <v>0</v>
      </c>
      <c r="S1647" s="1447">
        <f t="shared" ca="1" si="226"/>
        <v>0</v>
      </c>
      <c r="V1647" s="2557" t="str">
        <f t="shared" ca="1" si="228"/>
        <v/>
      </c>
      <c r="W1647" s="611" t="str">
        <f t="shared" ca="1" si="227"/>
        <v>Page5_GMC_VE, Ligne 47 [Page5_GMC_VE!M50]  -</v>
      </c>
    </row>
    <row r="1648" spans="1:23">
      <c r="A1648" s="1443" t="str">
        <f>celladdr(Page5_GMC_VE!N51)</f>
        <v>Page5_GMC_VE!N51</v>
      </c>
      <c r="B1648" s="1455" t="s">
        <v>1086</v>
      </c>
      <c r="C1648" s="1445" t="b">
        <f>Page5_GMC_VE!$N$51&lt;&gt;Page5_GMC_VE!$N$48+Page5_GMC_VE!$N$49+Page5_GMC_VE!$N$27+Page5_GMC_VE!$N$50</f>
        <v>0</v>
      </c>
      <c r="D1648" s="1454"/>
      <c r="F1648" s="1454"/>
      <c r="G1648" s="1444" t="str">
        <f t="shared" si="222"/>
        <v/>
      </c>
      <c r="H1648" s="1446" t="str">
        <f>IF(C1648=TRUE,Comments!$B$39&amp;DOLLAR(Page5_GMC_VE!$N$51-(Page5_GMC_VE!$N$48+Page5_GMC_VE!$N$49+Page5_GMC_VE!$N$27+Page5_GMC_VE!$N$50),0),"")</f>
        <v/>
      </c>
      <c r="I1648" s="1452"/>
      <c r="J1648" s="1452"/>
      <c r="K1648" s="1452"/>
      <c r="N1648" s="611" t="str">
        <f>Page5_GMC_VE!$B$1&amp;" TOTAL VÉHICULES NEUFS - PROFIT BRUT - AAD"</f>
        <v>GMC - VE TOTAL VÉHICULES NEUFS - PROFIT BRUT - AAD</v>
      </c>
      <c r="O1648" s="611" t="str">
        <f t="shared" si="221"/>
        <v/>
      </c>
      <c r="P1648" s="611" t="str">
        <f t="shared" si="223"/>
        <v>Page5_GMC_VE!N</v>
      </c>
      <c r="Q1648" s="611">
        <f t="shared" si="224"/>
        <v>51</v>
      </c>
      <c r="R1648" s="1447">
        <f t="shared" ca="1" si="225"/>
        <v>0</v>
      </c>
      <c r="S1648" s="1447">
        <f t="shared" ca="1" si="226"/>
        <v>0</v>
      </c>
      <c r="V1648" s="2557" t="str">
        <f t="shared" ca="1" si="228"/>
        <v/>
      </c>
      <c r="W1648" s="611" t="str">
        <f t="shared" ca="1" si="227"/>
        <v>Page5_GMC_VE, Ligne 48 [Page5_GMC_VE!N51]  -</v>
      </c>
    </row>
    <row r="1649" spans="1:23">
      <c r="A1649" s="1443" t="str">
        <f>celladdr(Page5i_SANS_OBJECT!F51)</f>
        <v>Page5i_SANS_OBJECT!F51</v>
      </c>
      <c r="B1649" s="1453" t="s">
        <v>1086</v>
      </c>
      <c r="C1649" s="1445" t="b">
        <f>Page5i_SANS_OBJECT!$F$51&lt;&gt;Page5i_SANS_OBJECT!$F$48+Page5i_SANS_OBJECT!$F$27</f>
        <v>0</v>
      </c>
      <c r="D1649" s="1454"/>
      <c r="F1649" s="1454"/>
      <c r="G1649" s="1444" t="str">
        <f t="shared" si="222"/>
        <v/>
      </c>
      <c r="H1649" s="1446" t="str">
        <f>IF(C1649=TRUE,Comments!$B$38&amp;Page5i_SANS_OBJECT!$F$51-(Page5i_SANS_OBJECT!$F$48+Page5i_SANS_OBJECT!$F$27),"")</f>
        <v/>
      </c>
      <c r="I1649" s="1452"/>
      <c r="J1649" s="1452"/>
      <c r="K1649" s="1452"/>
      <c r="N1649" s="611" t="str">
        <f>Page5i_SANS_OBJECT!$B$1&amp;" TOTAL VÉHICULES NEUFS - UNITÉS - MOIS"</f>
        <v>SANS OBJECT TOTAL VÉHICULES NEUFS - UNITÉS - MOIS</v>
      </c>
      <c r="O1649" s="611" t="str">
        <f t="shared" si="221"/>
        <v/>
      </c>
      <c r="P1649" s="611" t="str">
        <f t="shared" si="223"/>
        <v>Page5i_SANS_OBJECT!F</v>
      </c>
      <c r="Q1649" s="611">
        <f t="shared" si="224"/>
        <v>51</v>
      </c>
      <c r="R1649" s="1447">
        <f t="shared" ca="1" si="225"/>
        <v>0</v>
      </c>
      <c r="S1649" s="1447">
        <f t="shared" ca="1" si="226"/>
        <v>0</v>
      </c>
      <c r="V1649" s="2557" t="str">
        <f t="shared" ca="1" si="228"/>
        <v/>
      </c>
      <c r="W1649" s="611" t="str">
        <f t="shared" ca="1" si="227"/>
        <v>Page5i_SANS_OBJECT, Ligne 48 [Page5i_SANS_OBJECT!F51]  -</v>
      </c>
    </row>
    <row r="1650" spans="1:23">
      <c r="A1650" s="1443" t="str">
        <f>celladdr(Page5i_SANS_OBJECT!I51)</f>
        <v>Page5i_SANS_OBJECT!I51</v>
      </c>
      <c r="B1650" s="1455" t="s">
        <v>1086</v>
      </c>
      <c r="C1650" s="1445" t="b">
        <f>Page5i_SANS_OBJECT!$I$51&lt;&gt;Page5i_SANS_OBJECT!$I$48+Page5i_SANS_OBJECT!$I$49+Page5i_SANS_OBJECT!$I$27+Page5i_SANS_OBJECT!$I$50</f>
        <v>0</v>
      </c>
      <c r="D1650" s="1454"/>
      <c r="F1650" s="1454"/>
      <c r="G1650" s="1444" t="str">
        <f t="shared" si="222"/>
        <v/>
      </c>
      <c r="H1650" s="1446" t="str">
        <f>IF(C1650=TRUE,Comments!$B$39&amp;DOLLAR(Page5i_SANS_OBJECT!$I$51-(Page5i_SANS_OBJECT!$I$48+Page5i_SANS_OBJECT!$I$49+Page5i_SANS_OBJECT!$I$27+Page5i_SANS_OBJECT!$I$50),0),"")</f>
        <v/>
      </c>
      <c r="I1650" s="1452"/>
      <c r="J1650" s="1452"/>
      <c r="K1650" s="1452"/>
      <c r="N1650" s="611" t="str">
        <f>Page5i_SANS_OBJECT!$B$1&amp;" TOTAL VÉHICULES NEUFS - PROFIT BRUT - MOIS"</f>
        <v>SANS OBJECT TOTAL VÉHICULES NEUFS - PROFIT BRUT - MOIS</v>
      </c>
      <c r="O1650" s="611" t="str">
        <f t="shared" si="221"/>
        <v/>
      </c>
      <c r="P1650" s="611" t="str">
        <f t="shared" si="223"/>
        <v>Page5i_SANS_OBJECT!I</v>
      </c>
      <c r="Q1650" s="611">
        <f t="shared" si="224"/>
        <v>51</v>
      </c>
      <c r="R1650" s="1447">
        <f t="shared" ca="1" si="225"/>
        <v>0</v>
      </c>
      <c r="S1650" s="1447">
        <f t="shared" ca="1" si="226"/>
        <v>0</v>
      </c>
      <c r="V1650" s="2557" t="str">
        <f t="shared" ca="1" si="228"/>
        <v/>
      </c>
      <c r="W1650" s="611" t="str">
        <f t="shared" ca="1" si="227"/>
        <v>Page5i_SANS_OBJECT, Ligne 48 [Page5i_SANS_OBJECT!I51]  -</v>
      </c>
    </row>
    <row r="1651" spans="1:23">
      <c r="A1651" s="1443" t="str">
        <f>celladdr(Page5i_SANS_OBJECT!K4)</f>
        <v>Page5i_SANS_OBJECT!K4</v>
      </c>
      <c r="B1651" s="1464" t="s">
        <v>1086</v>
      </c>
      <c r="C1651" s="1451" t="b">
        <f>Page5i_SANS_OBJECT!$K$4&lt;0</f>
        <v>0</v>
      </c>
      <c r="D1651" s="1454" t="b">
        <f>OR(AND(Page5i_SANS_OBJECT!$K4&gt;0,Page5i_SANS_OBJECT!$M4=0),AND(Page5i_SANS_OBJECT!$M4&lt;&gt;0,Page5i_SANS_OBJECT!$K4=0))</f>
        <v>0</v>
      </c>
      <c r="E1651" s="1454"/>
      <c r="F1651" s="1454"/>
      <c r="G1651" s="1444" t="str">
        <f t="shared" si="222"/>
        <v/>
      </c>
      <c r="H1651" s="1447" t="str">
        <f>IF(C1651=TRUE,Comments!$B$26,"")</f>
        <v/>
      </c>
      <c r="I1651" s="1446" t="str">
        <f>IF(D1651=TRUE,Comments!$B$21,"")</f>
        <v/>
      </c>
      <c r="J1651" s="1446"/>
      <c r="K1651" s="1452"/>
      <c r="N1651" s="611" t="str">
        <f>"CPTE # "&amp;Page5i_SANS_OBJECT!$E$4&amp;"  "&amp;Page5i_SANS_OBJECT!$C$4&amp;" - UNITÉS - AAD"</f>
        <v>CPTE # 400I  NE PAS UTILISER - UNITÉS - AAD</v>
      </c>
      <c r="O1651" s="611" t="str">
        <f t="shared" si="221"/>
        <v/>
      </c>
      <c r="P1651" s="611" t="str">
        <f t="shared" si="223"/>
        <v>Page5i_SANS_OBJECT!K</v>
      </c>
      <c r="Q1651" s="611">
        <f t="shared" si="224"/>
        <v>4</v>
      </c>
      <c r="R1651" s="1447">
        <f t="shared" ca="1" si="225"/>
        <v>0</v>
      </c>
      <c r="S1651" s="1447">
        <f t="shared" ca="1" si="226"/>
        <v>0</v>
      </c>
      <c r="V1651" s="2557" t="str">
        <f t="shared" ca="1" si="228"/>
        <v/>
      </c>
      <c r="W1651" s="611" t="str">
        <f t="shared" ca="1" si="227"/>
        <v>Page5i_SANS_OBJECT, Ligne 1 [Page5i_SANS_OBJECT!K4]  -</v>
      </c>
    </row>
    <row r="1652" spans="1:23">
      <c r="A1652" s="1443" t="str">
        <f>celladdr(Page5i_SANS_OBJECT!K5)</f>
        <v>Page5i_SANS_OBJECT!K5</v>
      </c>
      <c r="B1652" s="1464" t="s">
        <v>1086</v>
      </c>
      <c r="C1652" s="1451" t="b">
        <f>Page5i_SANS_OBJECT!$K$5&lt;0</f>
        <v>0</v>
      </c>
      <c r="D1652" s="1454" t="b">
        <f>OR(AND(Page5i_SANS_OBJECT!$K5&gt;0,Page5i_SANS_OBJECT!$M5=0),AND(Page5i_SANS_OBJECT!$M5&lt;&gt;0,Page5i_SANS_OBJECT!$K5=0))</f>
        <v>0</v>
      </c>
      <c r="E1652" s="1454"/>
      <c r="F1652" s="1454"/>
      <c r="G1652" s="1444" t="str">
        <f t="shared" si="222"/>
        <v/>
      </c>
      <c r="H1652" s="1447" t="str">
        <f>IF(C1652=TRUE,Comments!$B$26,"")</f>
        <v/>
      </c>
      <c r="I1652" s="1446" t="str">
        <f>IF(D1652=TRUE,Comments!$B$21,"")</f>
        <v/>
      </c>
      <c r="J1652" s="1446"/>
      <c r="K1652" s="1452"/>
      <c r="N1652" s="611" t="str">
        <f>"CPTE # "&amp;Page5i_SANS_OBJECT!$E$5&amp;"  "&amp;Page5i_SANS_OBJECT!$C$5&amp;" - UNITÉS - AAD"</f>
        <v>CPTE # 401I  NE PAS UTILISER - UNITÉS - AAD</v>
      </c>
      <c r="O1652" s="611" t="str">
        <f t="shared" si="221"/>
        <v/>
      </c>
      <c r="P1652" s="611" t="str">
        <f t="shared" si="223"/>
        <v>Page5i_SANS_OBJECT!K</v>
      </c>
      <c r="Q1652" s="611">
        <f t="shared" si="224"/>
        <v>5</v>
      </c>
      <c r="R1652" s="1447">
        <f t="shared" ca="1" si="225"/>
        <v>0</v>
      </c>
      <c r="S1652" s="1447">
        <f t="shared" ca="1" si="226"/>
        <v>0</v>
      </c>
      <c r="V1652" s="2557" t="str">
        <f t="shared" ca="1" si="228"/>
        <v/>
      </c>
      <c r="W1652" s="611" t="str">
        <f t="shared" ca="1" si="227"/>
        <v>Page5i_SANS_OBJECT, Ligne 2 [Page5i_SANS_OBJECT!K5]  -</v>
      </c>
    </row>
    <row r="1653" spans="1:23">
      <c r="A1653" s="1443" t="str">
        <f>celladdr(Page5i_SANS_OBJECT!K6)</f>
        <v>Page5i_SANS_OBJECT!K6</v>
      </c>
      <c r="B1653" s="1464" t="s">
        <v>1086</v>
      </c>
      <c r="C1653" s="1451" t="b">
        <f>Page5i_SANS_OBJECT!$K$6&lt;0</f>
        <v>0</v>
      </c>
      <c r="D1653" s="1454" t="b">
        <f>OR(AND(Page5i_SANS_OBJECT!$K6&gt;0,Page5i_SANS_OBJECT!$M6=0),AND(Page5i_SANS_OBJECT!$M6&lt;&gt;0,Page5i_SANS_OBJECT!$K6=0))</f>
        <v>0</v>
      </c>
      <c r="E1653" s="1454"/>
      <c r="F1653" s="1454"/>
      <c r="G1653" s="1444" t="str">
        <f t="shared" si="222"/>
        <v/>
      </c>
      <c r="H1653" s="1447" t="str">
        <f>IF(C1653=TRUE,Comments!$B$26,"")</f>
        <v/>
      </c>
      <c r="I1653" s="1446" t="str">
        <f>IF(D1653=TRUE,Comments!$B$21,"")</f>
        <v/>
      </c>
      <c r="J1653" s="1446"/>
      <c r="K1653" s="1452"/>
      <c r="N1653" s="611" t="str">
        <f>"CPTE # "&amp;Page5i_SANS_OBJECT!$E$6&amp;"  "&amp;Page5i_SANS_OBJECT!$C$6&amp;" - UNITÉS - AAD"</f>
        <v>CPTE # 402I  NE PAS UTILISER - UNITÉS - AAD</v>
      </c>
      <c r="O1653" s="611" t="str">
        <f t="shared" si="221"/>
        <v/>
      </c>
      <c r="P1653" s="611" t="str">
        <f t="shared" si="223"/>
        <v>Page5i_SANS_OBJECT!K</v>
      </c>
      <c r="Q1653" s="611">
        <f t="shared" si="224"/>
        <v>6</v>
      </c>
      <c r="R1653" s="1447">
        <f t="shared" ca="1" si="225"/>
        <v>0</v>
      </c>
      <c r="S1653" s="1447">
        <f t="shared" ca="1" si="226"/>
        <v>0</v>
      </c>
      <c r="V1653" s="2557" t="str">
        <f t="shared" ca="1" si="228"/>
        <v/>
      </c>
      <c r="W1653" s="611" t="str">
        <f t="shared" ca="1" si="227"/>
        <v>Page5i_SANS_OBJECT, Ligne 3 [Page5i_SANS_OBJECT!K6]  -</v>
      </c>
    </row>
    <row r="1654" spans="1:23">
      <c r="A1654" s="1443" t="str">
        <f>celladdr(Page5i_SANS_OBJECT!K7)</f>
        <v>Page5i_SANS_OBJECT!K7</v>
      </c>
      <c r="B1654" s="1464" t="s">
        <v>1086</v>
      </c>
      <c r="C1654" s="1451" t="b">
        <f>Page5i_SANS_OBJECT!$K$7&lt;0</f>
        <v>0</v>
      </c>
      <c r="D1654" s="1454" t="b">
        <f>OR(AND(Page5i_SANS_OBJECT!$K7&gt;0,Page5i_SANS_OBJECT!$M7=0),AND(Page5i_SANS_OBJECT!$M7&lt;&gt;0,Page5i_SANS_OBJECT!$K7=0))</f>
        <v>0</v>
      </c>
      <c r="E1654" s="1454"/>
      <c r="F1654" s="1454"/>
      <c r="G1654" s="1444" t="str">
        <f t="shared" si="222"/>
        <v/>
      </c>
      <c r="H1654" s="1447" t="str">
        <f>IF(C1654=TRUE,Comments!$B$26,"")</f>
        <v/>
      </c>
      <c r="I1654" s="1446" t="str">
        <f>IF(D1654=TRUE,Comments!$B$21,"")</f>
        <v/>
      </c>
      <c r="J1654" s="1446"/>
      <c r="K1654" s="1452"/>
      <c r="N1654" s="611" t="str">
        <f>"CPTE # "&amp;Page5i_SANS_OBJECT!$E$7&amp;"  "&amp;Page5i_SANS_OBJECT!$C$7&amp;" - UNITÉS - AAD"</f>
        <v>CPTE # 403I  NE PAS UTILISER - UNITÉS - AAD</v>
      </c>
      <c r="O1654" s="611" t="str">
        <f t="shared" si="221"/>
        <v/>
      </c>
      <c r="P1654" s="611" t="str">
        <f t="shared" si="223"/>
        <v>Page5i_SANS_OBJECT!K</v>
      </c>
      <c r="Q1654" s="611">
        <f t="shared" si="224"/>
        <v>7</v>
      </c>
      <c r="R1654" s="1447">
        <f t="shared" ca="1" si="225"/>
        <v>0</v>
      </c>
      <c r="S1654" s="1447">
        <f t="shared" ca="1" si="226"/>
        <v>0</v>
      </c>
      <c r="V1654" s="2557" t="str">
        <f t="shared" ca="1" si="228"/>
        <v/>
      </c>
      <c r="W1654" s="611" t="str">
        <f t="shared" ca="1" si="227"/>
        <v>Page5i_SANS_OBJECT, Ligne 4 [Page5i_SANS_OBJECT!K7]  -</v>
      </c>
    </row>
    <row r="1655" spans="1:23">
      <c r="A1655" s="1443" t="str">
        <f>celladdr(Page5i_SANS_OBJECT!K8)</f>
        <v>Page5i_SANS_OBJECT!K8</v>
      </c>
      <c r="B1655" s="1464" t="s">
        <v>1086</v>
      </c>
      <c r="C1655" s="1451" t="b">
        <f>Page5i_SANS_OBJECT!$K$8&lt;0</f>
        <v>0</v>
      </c>
      <c r="D1655" s="1454" t="b">
        <f>OR(AND(Page5i_SANS_OBJECT!$K8&gt;0,Page5i_SANS_OBJECT!$M8=0),AND(Page5i_SANS_OBJECT!$M8&lt;&gt;0,Page5i_SANS_OBJECT!$K8=0))</f>
        <v>0</v>
      </c>
      <c r="E1655" s="1454"/>
      <c r="F1655" s="1454"/>
      <c r="G1655" s="1444" t="str">
        <f t="shared" si="222"/>
        <v/>
      </c>
      <c r="H1655" s="1447" t="str">
        <f>IF(C1655=TRUE,Comments!$B$26,"")</f>
        <v/>
      </c>
      <c r="I1655" s="1446" t="str">
        <f>IF(D1655=TRUE,Comments!$B$21,"")</f>
        <v/>
      </c>
      <c r="J1655" s="1446"/>
      <c r="K1655" s="1452"/>
      <c r="N1655" s="611" t="str">
        <f>"CPTE # "&amp;Page5i_SANS_OBJECT!$E$8&amp;"  "&amp;Page5i_SANS_OBJECT!$C$8&amp;" - UNITÉS - AAD"</f>
        <v>CPTE # 404I  NE PAS UTILISER - UNITÉS - AAD</v>
      </c>
      <c r="O1655" s="611" t="str">
        <f t="shared" si="221"/>
        <v/>
      </c>
      <c r="P1655" s="611" t="str">
        <f t="shared" si="223"/>
        <v>Page5i_SANS_OBJECT!K</v>
      </c>
      <c r="Q1655" s="611">
        <f t="shared" si="224"/>
        <v>8</v>
      </c>
      <c r="R1655" s="1447">
        <f t="shared" ca="1" si="225"/>
        <v>0</v>
      </c>
      <c r="S1655" s="1447">
        <f t="shared" ca="1" si="226"/>
        <v>0</v>
      </c>
      <c r="V1655" s="2557" t="str">
        <f t="shared" ca="1" si="228"/>
        <v/>
      </c>
      <c r="W1655" s="611" t="str">
        <f t="shared" ca="1" si="227"/>
        <v>Page5i_SANS_OBJECT, Ligne 5 [Page5i_SANS_OBJECT!K8]  -</v>
      </c>
    </row>
    <row r="1656" spans="1:23">
      <c r="A1656" s="1443" t="str">
        <f>celladdr(Page5i_SANS_OBJECT!K9)</f>
        <v>Page5i_SANS_OBJECT!K9</v>
      </c>
      <c r="B1656" s="1464" t="s">
        <v>1086</v>
      </c>
      <c r="C1656" s="1451" t="b">
        <f>Page5i_SANS_OBJECT!$K$9&lt;0</f>
        <v>0</v>
      </c>
      <c r="D1656" s="1454" t="b">
        <f>OR(AND(Page5i_SANS_OBJECT!$K9&gt;0,Page5i_SANS_OBJECT!$M9=0),AND(Page5i_SANS_OBJECT!$M9&lt;&gt;0,Page5i_SANS_OBJECT!$K9=0))</f>
        <v>0</v>
      </c>
      <c r="E1656" s="1454"/>
      <c r="F1656" s="1454"/>
      <c r="G1656" s="1444" t="str">
        <f t="shared" si="222"/>
        <v/>
      </c>
      <c r="H1656" s="1447" t="str">
        <f>IF(C1656=TRUE,Comments!$B$26,"")</f>
        <v/>
      </c>
      <c r="I1656" s="1446" t="str">
        <f>IF(D1656=TRUE,Comments!$B$21,"")</f>
        <v/>
      </c>
      <c r="J1656" s="1446"/>
      <c r="K1656" s="1452"/>
      <c r="N1656" s="611" t="str">
        <f>"CPTE # "&amp;Page5i_SANS_OBJECT!$E$9&amp;"  "&amp;Page5i_SANS_OBJECT!$C$9&amp;" - UNITÉS - AAD"</f>
        <v>CPTE # 405I  NE PAS UTILISER - UNITÉS - AAD</v>
      </c>
      <c r="O1656" s="611" t="str">
        <f t="shared" si="221"/>
        <v/>
      </c>
      <c r="P1656" s="611" t="str">
        <f t="shared" si="223"/>
        <v>Page5i_SANS_OBJECT!K</v>
      </c>
      <c r="Q1656" s="611">
        <f t="shared" si="224"/>
        <v>9</v>
      </c>
      <c r="R1656" s="1447">
        <f t="shared" ca="1" si="225"/>
        <v>0</v>
      </c>
      <c r="S1656" s="1447">
        <f t="shared" ca="1" si="226"/>
        <v>0</v>
      </c>
      <c r="V1656" s="2557" t="str">
        <f t="shared" ca="1" si="228"/>
        <v/>
      </c>
      <c r="W1656" s="611" t="str">
        <f t="shared" ca="1" si="227"/>
        <v>Page5i_SANS_OBJECT, Ligne 6 [Page5i_SANS_OBJECT!K9]  -</v>
      </c>
    </row>
    <row r="1657" spans="1:23">
      <c r="A1657" s="1443" t="str">
        <f>celladdr(Page5i_SANS_OBJECT!K10)</f>
        <v>Page5i_SANS_OBJECT!K10</v>
      </c>
      <c r="B1657" s="1464" t="s">
        <v>1086</v>
      </c>
      <c r="C1657" s="1451" t="b">
        <f>Page5i_SANS_OBJECT!$K$10&lt;0</f>
        <v>0</v>
      </c>
      <c r="D1657" s="1454" t="b">
        <f>OR(AND(Page5i_SANS_OBJECT!$K10&gt;0,Page5i_SANS_OBJECT!$M10=0),AND(Page5i_SANS_OBJECT!$M10&lt;&gt;0,Page5i_SANS_OBJECT!$K10=0))</f>
        <v>0</v>
      </c>
      <c r="E1657" s="1454"/>
      <c r="F1657" s="1454"/>
      <c r="G1657" s="1444" t="str">
        <f t="shared" si="222"/>
        <v/>
      </c>
      <c r="H1657" s="1447" t="str">
        <f>IF(C1657=TRUE,Comments!$B$26,"")</f>
        <v/>
      </c>
      <c r="I1657" s="1446" t="str">
        <f>IF(D1657=TRUE,Comments!$B$21,"")</f>
        <v/>
      </c>
      <c r="J1657" s="1446"/>
      <c r="K1657" s="1452"/>
      <c r="N1657" s="611" t="str">
        <f>"CPTE # "&amp;Page5i_SANS_OBJECT!$E$10&amp;"  "&amp;Page5i_SANS_OBJECT!$C$10&amp;" - UNITÉS - AAD"</f>
        <v>CPTE # 406I  NE PAS UTILISER - UNITÉS - AAD</v>
      </c>
      <c r="O1657" s="611" t="str">
        <f t="shared" si="221"/>
        <v/>
      </c>
      <c r="P1657" s="611" t="str">
        <f t="shared" si="223"/>
        <v>Page5i_SANS_OBJECT!K</v>
      </c>
      <c r="Q1657" s="611">
        <f t="shared" si="224"/>
        <v>10</v>
      </c>
      <c r="R1657" s="1447">
        <f t="shared" ca="1" si="225"/>
        <v>0</v>
      </c>
      <c r="S1657" s="1447">
        <f t="shared" ca="1" si="226"/>
        <v>0</v>
      </c>
      <c r="V1657" s="2557" t="str">
        <f t="shared" ca="1" si="228"/>
        <v/>
      </c>
      <c r="W1657" s="611" t="str">
        <f t="shared" ca="1" si="227"/>
        <v>Page5i_SANS_OBJECT, Ligne 7 [Page5i_SANS_OBJECT!K10]  -</v>
      </c>
    </row>
    <row r="1658" spans="1:23">
      <c r="A1658" s="1443" t="str">
        <f>celladdr(Page5i_SANS_OBJECT!K11)</f>
        <v>Page5i_SANS_OBJECT!K11</v>
      </c>
      <c r="B1658" s="1464" t="s">
        <v>1086</v>
      </c>
      <c r="C1658" s="1451" t="b">
        <f>Page5i_SANS_OBJECT!$K$11&lt;0</f>
        <v>0</v>
      </c>
      <c r="D1658" s="1454" t="b">
        <f>OR(AND(Page5i_SANS_OBJECT!$K11&gt;0,Page5i_SANS_OBJECT!$M11=0),AND(Page5i_SANS_OBJECT!$M11&lt;&gt;0,Page5i_SANS_OBJECT!$K11=0))</f>
        <v>0</v>
      </c>
      <c r="E1658" s="1454"/>
      <c r="F1658" s="1454"/>
      <c r="G1658" s="1444" t="str">
        <f t="shared" si="222"/>
        <v/>
      </c>
      <c r="H1658" s="1447" t="str">
        <f>IF(C1658=TRUE,Comments!$B$26,"")</f>
        <v/>
      </c>
      <c r="I1658" s="1446" t="str">
        <f>IF(D1658=TRUE,Comments!$B$21,"")</f>
        <v/>
      </c>
      <c r="J1658" s="1446"/>
      <c r="K1658" s="1452"/>
      <c r="N1658" s="611" t="str">
        <f>"CPTE # "&amp;Page5i_SANS_OBJECT!$E$11&amp;"  "&amp;Page5i_SANS_OBJECT!$C$11&amp;" - UNITÉS - AAD"</f>
        <v>CPTE # 407I  NE PAS UTILISER - UNITÉS - AAD</v>
      </c>
      <c r="O1658" s="611" t="str">
        <f t="shared" si="221"/>
        <v/>
      </c>
      <c r="P1658" s="611" t="str">
        <f t="shared" si="223"/>
        <v>Page5i_SANS_OBJECT!K</v>
      </c>
      <c r="Q1658" s="611">
        <f t="shared" si="224"/>
        <v>11</v>
      </c>
      <c r="R1658" s="1447">
        <f t="shared" ca="1" si="225"/>
        <v>0</v>
      </c>
      <c r="S1658" s="1447">
        <f t="shared" ca="1" si="226"/>
        <v>0</v>
      </c>
      <c r="V1658" s="2557" t="str">
        <f t="shared" ca="1" si="228"/>
        <v/>
      </c>
      <c r="W1658" s="611" t="str">
        <f t="shared" ca="1" si="227"/>
        <v>Page5i_SANS_OBJECT, Ligne 8 [Page5i_SANS_OBJECT!K11]  -</v>
      </c>
    </row>
    <row r="1659" spans="1:23">
      <c r="A1659" s="1443" t="str">
        <f>celladdr(Page5i_SANS_OBJECT!K12)</f>
        <v>Page5i_SANS_OBJECT!K12</v>
      </c>
      <c r="B1659" s="1464" t="s">
        <v>1086</v>
      </c>
      <c r="C1659" s="1451" t="b">
        <f>Page5i_SANS_OBJECT!$K$12&lt;0</f>
        <v>0</v>
      </c>
      <c r="D1659" s="1454" t="b">
        <f>OR(AND(Page5i_SANS_OBJECT!$K12&gt;0,Page5i_SANS_OBJECT!$M12=0),AND(Page5i_SANS_OBJECT!$M12&lt;&gt;0,Page5i_SANS_OBJECT!$K12=0))</f>
        <v>0</v>
      </c>
      <c r="E1659" s="1454"/>
      <c r="F1659" s="1454"/>
      <c r="G1659" s="1444" t="str">
        <f t="shared" si="222"/>
        <v/>
      </c>
      <c r="H1659" s="1447" t="str">
        <f>IF(C1659=TRUE,Comments!$B$26,"")</f>
        <v/>
      </c>
      <c r="I1659" s="1446" t="str">
        <f>IF(D1659=TRUE,Comments!$B$21,"")</f>
        <v/>
      </c>
      <c r="J1659" s="1446"/>
      <c r="K1659" s="1452"/>
      <c r="N1659" s="611" t="str">
        <f>"CPTE # "&amp;Page5i_SANS_OBJECT!$E$12&amp;"  "&amp;Page5i_SANS_OBJECT!$C$12&amp;" - UNITÉS - AAD"</f>
        <v>CPTE # 408I  NE PAS UTILISER - UNITÉS - AAD</v>
      </c>
      <c r="O1659" s="611" t="str">
        <f t="shared" si="221"/>
        <v/>
      </c>
      <c r="P1659" s="611" t="str">
        <f t="shared" si="223"/>
        <v>Page5i_SANS_OBJECT!K</v>
      </c>
      <c r="Q1659" s="611">
        <f t="shared" si="224"/>
        <v>12</v>
      </c>
      <c r="R1659" s="1447">
        <f t="shared" ca="1" si="225"/>
        <v>0</v>
      </c>
      <c r="S1659" s="1447">
        <f t="shared" ca="1" si="226"/>
        <v>0</v>
      </c>
      <c r="V1659" s="2557" t="str">
        <f t="shared" ca="1" si="228"/>
        <v/>
      </c>
      <c r="W1659" s="611" t="str">
        <f t="shared" ca="1" si="227"/>
        <v>Page5i_SANS_OBJECT, Ligne 9 [Page5i_SANS_OBJECT!K12]  -</v>
      </c>
    </row>
    <row r="1660" spans="1:23">
      <c r="A1660" s="1443" t="str">
        <f>celladdr(Page5i_SANS_OBJECT!K13)</f>
        <v>Page5i_SANS_OBJECT!K13</v>
      </c>
      <c r="B1660" s="1464" t="s">
        <v>1086</v>
      </c>
      <c r="C1660" s="1451" t="b">
        <f>Page5i_SANS_OBJECT!$K$13&lt;0</f>
        <v>0</v>
      </c>
      <c r="D1660" s="1454" t="b">
        <f>OR(AND(Page5i_SANS_OBJECT!$K13&gt;0,Page5i_SANS_OBJECT!$M13=0),AND(Page5i_SANS_OBJECT!$M13&lt;&gt;0,Page5i_SANS_OBJECT!$K13=0))</f>
        <v>0</v>
      </c>
      <c r="E1660" s="1454"/>
      <c r="F1660" s="1454"/>
      <c r="G1660" s="1444" t="str">
        <f t="shared" si="222"/>
        <v/>
      </c>
      <c r="H1660" s="1447" t="str">
        <f>IF(C1660=TRUE,Comments!$B$26,"")</f>
        <v/>
      </c>
      <c r="I1660" s="1446" t="str">
        <f>IF(D1660=TRUE,Comments!$B$21,"")</f>
        <v/>
      </c>
      <c r="J1660" s="1446"/>
      <c r="K1660" s="1452"/>
      <c r="N1660" s="611" t="str">
        <f>"CPTE # "&amp;Page5i_SANS_OBJECT!$E$13&amp;"  "&amp;Page5i_SANS_OBJECT!$C$13&amp;" - UNITÉS - AAD"</f>
        <v>CPTE # 409I  NE PAS UTILISER - UNITÉS - AAD</v>
      </c>
      <c r="O1660" s="611" t="str">
        <f t="shared" si="221"/>
        <v/>
      </c>
      <c r="P1660" s="611" t="str">
        <f t="shared" si="223"/>
        <v>Page5i_SANS_OBJECT!K</v>
      </c>
      <c r="Q1660" s="611">
        <f t="shared" si="224"/>
        <v>13</v>
      </c>
      <c r="R1660" s="1447">
        <f t="shared" ca="1" si="225"/>
        <v>0</v>
      </c>
      <c r="S1660" s="1447">
        <f t="shared" ca="1" si="226"/>
        <v>0</v>
      </c>
      <c r="V1660" s="2557" t="str">
        <f t="shared" ca="1" si="228"/>
        <v/>
      </c>
      <c r="W1660" s="611" t="str">
        <f t="shared" ca="1" si="227"/>
        <v>Page5i_SANS_OBJECT, Ligne 10 [Page5i_SANS_OBJECT!K13]  -</v>
      </c>
    </row>
    <row r="1661" spans="1:23">
      <c r="A1661" s="1443" t="str">
        <f>celladdr(Page5i_SANS_OBJECT!K14)</f>
        <v>Page5i_SANS_OBJECT!K14</v>
      </c>
      <c r="B1661" s="1464" t="s">
        <v>1086</v>
      </c>
      <c r="C1661" s="1451" t="b">
        <f>Page5i_SANS_OBJECT!$K$14&lt;0</f>
        <v>0</v>
      </c>
      <c r="D1661" s="1454" t="b">
        <f>OR(AND(Page5i_SANS_OBJECT!$K14&gt;0,Page5i_SANS_OBJECT!$M14=0),AND(Page5i_SANS_OBJECT!$M14&lt;&gt;0,Page5i_SANS_OBJECT!$K14=0))</f>
        <v>0</v>
      </c>
      <c r="E1661" s="1454"/>
      <c r="F1661" s="1454"/>
      <c r="G1661" s="1444" t="str">
        <f t="shared" si="222"/>
        <v/>
      </c>
      <c r="H1661" s="1447" t="str">
        <f>IF(C1661=TRUE,Comments!$B$26,"")</f>
        <v/>
      </c>
      <c r="I1661" s="1446" t="str">
        <f>IF(D1661=TRUE,Comments!$B$21,"")</f>
        <v/>
      </c>
      <c r="J1661" s="1446"/>
      <c r="K1661" s="1452"/>
      <c r="N1661" s="611" t="str">
        <f>"CPTE # "&amp;Page5i_SANS_OBJECT!$E$14&amp;"  "&amp;Page5i_SANS_OBJECT!$C$14&amp;" - UNITÉS - AAD"</f>
        <v>CPTE # 410I  NE PAS UTILISER - UNITÉS - AAD</v>
      </c>
      <c r="O1661" s="611" t="str">
        <f t="shared" si="221"/>
        <v/>
      </c>
      <c r="P1661" s="611" t="str">
        <f t="shared" si="223"/>
        <v>Page5i_SANS_OBJECT!K</v>
      </c>
      <c r="Q1661" s="611">
        <f t="shared" si="224"/>
        <v>14</v>
      </c>
      <c r="R1661" s="1447">
        <f t="shared" ca="1" si="225"/>
        <v>0</v>
      </c>
      <c r="S1661" s="1447">
        <f t="shared" ca="1" si="226"/>
        <v>0</v>
      </c>
      <c r="V1661" s="2557" t="str">
        <f t="shared" ca="1" si="228"/>
        <v/>
      </c>
      <c r="W1661" s="611" t="str">
        <f t="shared" ca="1" si="227"/>
        <v>Page5i_SANS_OBJECT, Ligne 11 [Page5i_SANS_OBJECT!K14]  -</v>
      </c>
    </row>
    <row r="1662" spans="1:23">
      <c r="A1662" s="1443" t="str">
        <f>celladdr(Page5i_SANS_OBJECT!K15)</f>
        <v>Page5i_SANS_OBJECT!K15</v>
      </c>
      <c r="B1662" s="1464" t="s">
        <v>1086</v>
      </c>
      <c r="C1662" s="1451" t="b">
        <f>Page5i_SANS_OBJECT!$K$15&lt;0</f>
        <v>0</v>
      </c>
      <c r="D1662" s="1454" t="b">
        <f>OR(AND(Page5i_SANS_OBJECT!$K15&gt;0,Page5i_SANS_OBJECT!$M15=0),AND(Page5i_SANS_OBJECT!$M15&lt;&gt;0,Page5i_SANS_OBJECT!$K15=0))</f>
        <v>0</v>
      </c>
      <c r="E1662" s="1454"/>
      <c r="F1662" s="1454"/>
      <c r="G1662" s="1444" t="str">
        <f t="shared" si="222"/>
        <v/>
      </c>
      <c r="H1662" s="1447" t="str">
        <f>IF(C1662=TRUE,Comments!$B$26,"")</f>
        <v/>
      </c>
      <c r="I1662" s="1446" t="str">
        <f>IF(D1662=TRUE,Comments!$B$21,"")</f>
        <v/>
      </c>
      <c r="J1662" s="1446"/>
      <c r="K1662" s="1452"/>
      <c r="N1662" s="611" t="str">
        <f>"CPTE # "&amp;Page5i_SANS_OBJECT!$E$15&amp;"  "&amp;Page5i_SANS_OBJECT!$C$15&amp;" - UNITÉS - AAD"</f>
        <v>CPTE # 411I  NE PAS UTILISER - UNITÉS - AAD</v>
      </c>
      <c r="O1662" s="611" t="str">
        <f t="shared" ref="O1662:O1725" si="229">IF(A1662=A1661,"TRUE","")</f>
        <v/>
      </c>
      <c r="P1662" s="611" t="str">
        <f t="shared" si="223"/>
        <v>Page5i_SANS_OBJECT!K</v>
      </c>
      <c r="Q1662" s="611">
        <f t="shared" si="224"/>
        <v>15</v>
      </c>
      <c r="R1662" s="1447">
        <f t="shared" ca="1" si="225"/>
        <v>0</v>
      </c>
      <c r="S1662" s="1447">
        <f t="shared" ca="1" si="226"/>
        <v>0</v>
      </c>
      <c r="V1662" s="2557" t="str">
        <f t="shared" ca="1" si="228"/>
        <v/>
      </c>
      <c r="W1662" s="611" t="str">
        <f t="shared" ca="1" si="227"/>
        <v>Page5i_SANS_OBJECT, Ligne 12 [Page5i_SANS_OBJECT!K15]  -</v>
      </c>
    </row>
    <row r="1663" spans="1:23">
      <c r="A1663" s="1443" t="str">
        <f>celladdr(Page5i_SANS_OBJECT!K16)</f>
        <v>Page5i_SANS_OBJECT!K16</v>
      </c>
      <c r="B1663" s="1464" t="s">
        <v>1086</v>
      </c>
      <c r="C1663" s="1451" t="b">
        <f>Page5i_SANS_OBJECT!$K$16&lt;0</f>
        <v>0</v>
      </c>
      <c r="D1663" s="1454" t="b">
        <f>OR(AND(Page5i_SANS_OBJECT!$K16&gt;0,Page5i_SANS_OBJECT!$M16=0),AND(Page5i_SANS_OBJECT!$M16&lt;&gt;0,Page5i_SANS_OBJECT!$K16=0))</f>
        <v>0</v>
      </c>
      <c r="E1663" s="1454"/>
      <c r="F1663" s="1454"/>
      <c r="G1663" s="1444" t="str">
        <f t="shared" si="222"/>
        <v/>
      </c>
      <c r="H1663" s="1447" t="str">
        <f>IF(C1663=TRUE,Comments!$B$26,"")</f>
        <v/>
      </c>
      <c r="I1663" s="1446" t="str">
        <f>IF(D1663=TRUE,Comments!$B$21,"")</f>
        <v/>
      </c>
      <c r="J1663" s="1446"/>
      <c r="K1663" s="1452"/>
      <c r="N1663" s="611" t="str">
        <f>"CPTE # "&amp;Page5i_SANS_OBJECT!$E$16&amp;"  "&amp;Page5i_SANS_OBJECT!$C$16&amp;" - UNITÉS - AAD"</f>
        <v>CPTE # 412I  NE PAS UTILISER - UNITÉS - AAD</v>
      </c>
      <c r="O1663" s="611" t="str">
        <f t="shared" si="229"/>
        <v/>
      </c>
      <c r="P1663" s="611" t="str">
        <f t="shared" si="223"/>
        <v>Page5i_SANS_OBJECT!K</v>
      </c>
      <c r="Q1663" s="611">
        <f t="shared" si="224"/>
        <v>16</v>
      </c>
      <c r="R1663" s="1447">
        <f t="shared" ca="1" si="225"/>
        <v>0</v>
      </c>
      <c r="S1663" s="1447">
        <f t="shared" ca="1" si="226"/>
        <v>0</v>
      </c>
      <c r="V1663" s="2557" t="str">
        <f t="shared" ca="1" si="228"/>
        <v/>
      </c>
      <c r="W1663" s="611" t="str">
        <f t="shared" ca="1" si="227"/>
        <v>Page5i_SANS_OBJECT, Ligne 13 [Page5i_SANS_OBJECT!K16]  -</v>
      </c>
    </row>
    <row r="1664" spans="1:23">
      <c r="A1664" s="1443" t="str">
        <f>celladdr(Page5i_SANS_OBJECT!K17)</f>
        <v>Page5i_SANS_OBJECT!K17</v>
      </c>
      <c r="B1664" s="1464" t="s">
        <v>1086</v>
      </c>
      <c r="C1664" s="1451" t="b">
        <f>Page5i_SANS_OBJECT!$K$17&lt;0</f>
        <v>0</v>
      </c>
      <c r="D1664" s="1454" t="b">
        <f>OR(AND(Page5i_SANS_OBJECT!$K17&gt;0,Page5i_SANS_OBJECT!$M17=0),AND(Page5i_SANS_OBJECT!$M17&lt;&gt;0,Page5i_SANS_OBJECT!$K17=0))</f>
        <v>0</v>
      </c>
      <c r="E1664" s="1454"/>
      <c r="F1664" s="1454"/>
      <c r="G1664" s="1444" t="str">
        <f t="shared" si="222"/>
        <v/>
      </c>
      <c r="H1664" s="1447" t="str">
        <f>IF(C1664=TRUE,Comments!$B$26,"")</f>
        <v/>
      </c>
      <c r="I1664" s="1446" t="str">
        <f>IF(D1664=TRUE,Comments!$B$21,"")</f>
        <v/>
      </c>
      <c r="J1664" s="1446"/>
      <c r="K1664" s="1452"/>
      <c r="N1664" s="611" t="str">
        <f>"CPTE # "&amp;Page5i_SANS_OBJECT!$E$17&amp;"  "&amp;Page5i_SANS_OBJECT!$C$17&amp;" - UNITÉS - AAD"</f>
        <v>CPTE # 413I  NE PAS UTILISER - UNITÉS - AAD</v>
      </c>
      <c r="O1664" s="611" t="str">
        <f t="shared" si="229"/>
        <v/>
      </c>
      <c r="P1664" s="611" t="str">
        <f t="shared" si="223"/>
        <v>Page5i_SANS_OBJECT!K</v>
      </c>
      <c r="Q1664" s="611">
        <f t="shared" si="224"/>
        <v>17</v>
      </c>
      <c r="R1664" s="1447">
        <f t="shared" ca="1" si="225"/>
        <v>0</v>
      </c>
      <c r="S1664" s="1447">
        <f t="shared" ca="1" si="226"/>
        <v>0</v>
      </c>
      <c r="V1664" s="2557" t="str">
        <f t="shared" ca="1" si="228"/>
        <v/>
      </c>
      <c r="W1664" s="611" t="str">
        <f t="shared" ca="1" si="227"/>
        <v>Page5i_SANS_OBJECT, Ligne 14 [Page5i_SANS_OBJECT!K17]  -</v>
      </c>
    </row>
    <row r="1665" spans="1:23">
      <c r="A1665" s="1443" t="str">
        <f>celladdr(Page5i_SANS_OBJECT!K18)</f>
        <v>Page5i_SANS_OBJECT!K18</v>
      </c>
      <c r="B1665" s="1464" t="s">
        <v>1086</v>
      </c>
      <c r="C1665" s="1451" t="b">
        <f>Page5i_SANS_OBJECT!$K$18&lt;0</f>
        <v>0</v>
      </c>
      <c r="D1665" s="1454" t="b">
        <f>OR(AND(Page5i_SANS_OBJECT!$K18&gt;0,Page5i_SANS_OBJECT!$M18=0),AND(Page5i_SANS_OBJECT!$M18&lt;&gt;0,Page5i_SANS_OBJECT!$K18=0))</f>
        <v>0</v>
      </c>
      <c r="E1665" s="1454"/>
      <c r="F1665" s="1454"/>
      <c r="G1665" s="1444" t="str">
        <f t="shared" si="222"/>
        <v/>
      </c>
      <c r="H1665" s="1447" t="str">
        <f>IF(C1665=TRUE,Comments!$B$26,"")</f>
        <v/>
      </c>
      <c r="I1665" s="1446" t="str">
        <f>IF(D1665=TRUE,Comments!$B$21,"")</f>
        <v/>
      </c>
      <c r="J1665" s="1446"/>
      <c r="K1665" s="1452"/>
      <c r="N1665" s="611" t="str">
        <f>"CPTE # "&amp;Page5i_SANS_OBJECT!$E$18&amp;"  "&amp;Page5i_SANS_OBJECT!$C$18&amp;" - UNITÉS - AAD"</f>
        <v>CPTE # 414I  NE PAS UTILISER - UNITÉS - AAD</v>
      </c>
      <c r="O1665" s="611" t="str">
        <f t="shared" si="229"/>
        <v/>
      </c>
      <c r="P1665" s="611" t="str">
        <f t="shared" si="223"/>
        <v>Page5i_SANS_OBJECT!K</v>
      </c>
      <c r="Q1665" s="611">
        <f t="shared" si="224"/>
        <v>18</v>
      </c>
      <c r="R1665" s="1447">
        <f t="shared" ca="1" si="225"/>
        <v>0</v>
      </c>
      <c r="S1665" s="1447">
        <f t="shared" ca="1" si="226"/>
        <v>0</v>
      </c>
      <c r="V1665" s="2557" t="str">
        <f t="shared" ca="1" si="228"/>
        <v/>
      </c>
      <c r="W1665" s="611" t="str">
        <f t="shared" ca="1" si="227"/>
        <v>Page5i_SANS_OBJECT, Ligne 15 [Page5i_SANS_OBJECT!K18]  -</v>
      </c>
    </row>
    <row r="1666" spans="1:23">
      <c r="A1666" s="1443" t="str">
        <f>celladdr(Page5i_SANS_OBJECT!K19)</f>
        <v>Page5i_SANS_OBJECT!K19</v>
      </c>
      <c r="B1666" s="1464" t="s">
        <v>1086</v>
      </c>
      <c r="C1666" s="1451" t="b">
        <f>Page5i_SANS_OBJECT!$K$19&lt;0</f>
        <v>0</v>
      </c>
      <c r="D1666" s="1454" t="b">
        <f>OR(AND(Page5i_SANS_OBJECT!$K19&gt;0,Page5i_SANS_OBJECT!$M19=0),AND(Page5i_SANS_OBJECT!$M19&lt;&gt;0,Page5i_SANS_OBJECT!$K19=0))</f>
        <v>0</v>
      </c>
      <c r="E1666" s="1454"/>
      <c r="F1666" s="1454"/>
      <c r="G1666" s="1444" t="str">
        <f t="shared" ref="G1666:G1729" si="230">IF(H1666&amp;I1666&amp;J1666&amp;K1666&lt;&gt;"","No.de ref. du commentaire.: "&amp;W1666&amp;" "&amp;N1666&amp;" "&amp;H1666&amp;I1666&amp;IF(OR(C1666=TRUE,D1666=TRUE),"",J1666&amp;K1666&amp;V1666),"")</f>
        <v/>
      </c>
      <c r="H1666" s="1447" t="str">
        <f>IF(C1666=TRUE,Comments!$B$26,"")</f>
        <v/>
      </c>
      <c r="I1666" s="1446" t="str">
        <f>IF(D1666=TRUE,Comments!$B$21,"")</f>
        <v/>
      </c>
      <c r="J1666" s="1446"/>
      <c r="K1666" s="1452"/>
      <c r="N1666" s="611" t="str">
        <f>"CPTE # "&amp;Page5i_SANS_OBJECT!$E$19&amp;"  "&amp;Page5i_SANS_OBJECT!$C$19&amp;" - UNITÉS - AAD"</f>
        <v>CPTE # 415I  NE PAS UTILISER - UNITÉS - AAD</v>
      </c>
      <c r="O1666" s="611" t="str">
        <f t="shared" si="229"/>
        <v/>
      </c>
      <c r="P1666" s="611" t="str">
        <f t="shared" ref="P1666:P1729" si="231">LEFT(A1666,FIND("!",A1666)+1)</f>
        <v>Page5i_SANS_OBJECT!K</v>
      </c>
      <c r="Q1666" s="611">
        <f t="shared" ref="Q1666:Q1729" si="232">VALUE(RIGHT(A1666,LEN(A1666)-FIND("!",A1666)-1))</f>
        <v>19</v>
      </c>
      <c r="R1666" s="1447">
        <f t="shared" ref="R1666:R1729" ca="1" si="233">IF(E1666=TRUE,INDIRECT("Comments!$D$"&amp;T1666),0)</f>
        <v>0</v>
      </c>
      <c r="S1666" s="1447">
        <f t="shared" ref="S1666:S1729" ca="1" si="234">IF(F1666=TRUE,INDIRECT("Comments!$D$"&amp;U1666),0)</f>
        <v>0</v>
      </c>
      <c r="V1666" s="2557" t="str">
        <f t="shared" ca="1" si="228"/>
        <v/>
      </c>
      <c r="W1666" s="611" t="str">
        <f t="shared" ref="W1666:W1729" ca="1" si="235">LEFT(A1666,FIND("!",A1666,1)-1)&amp;", Ligne "&amp;INDIRECT(ADDRESS(ROW(INDIRECT(A1666)),IF(INDIRECT(ADDRESS(ROW(INDIRECT(A1666)),1,,,LEFT(A1666,FIND("!",A1666,1)-1)))="",2,1),,,LEFT(A1666,FIND("!",A1666,1)-1)))&amp;" ["&amp;A1666&amp;"] "&amp;" -"</f>
        <v>Page5i_SANS_OBJECT, Ligne 16 [Page5i_SANS_OBJECT!K19]  -</v>
      </c>
    </row>
    <row r="1667" spans="1:23">
      <c r="A1667" s="1443" t="str">
        <f>celladdr(Page5i_SANS_OBJECT!K20)</f>
        <v>Page5i_SANS_OBJECT!K20</v>
      </c>
      <c r="B1667" s="1464" t="s">
        <v>1086</v>
      </c>
      <c r="C1667" s="1451" t="b">
        <f>Page5i_SANS_OBJECT!$K$20&lt;0</f>
        <v>0</v>
      </c>
      <c r="D1667" s="1454" t="b">
        <f>OR(AND(Page5i_SANS_OBJECT!$K20&gt;0,Page5i_SANS_OBJECT!$M20=0),AND(Page5i_SANS_OBJECT!$M20&lt;&gt;0,Page5i_SANS_OBJECT!$K20=0))</f>
        <v>0</v>
      </c>
      <c r="E1667" s="1454"/>
      <c r="F1667" s="1454"/>
      <c r="G1667" s="1444" t="str">
        <f t="shared" si="230"/>
        <v/>
      </c>
      <c r="H1667" s="1447" t="str">
        <f>IF(C1667=TRUE,Comments!$B$26,"")</f>
        <v/>
      </c>
      <c r="I1667" s="1446" t="str">
        <f>IF(D1667=TRUE,Comments!$B$21,"")</f>
        <v/>
      </c>
      <c r="J1667" s="1446"/>
      <c r="K1667" s="1452"/>
      <c r="N1667" s="611" t="str">
        <f>"CPTE # "&amp;Page5i_SANS_OBJECT!$E$20&amp;"  "&amp;Page5i_SANS_OBJECT!$C$20&amp;" - UNITÉS - AAD"</f>
        <v>CPTE # 416I  NE PAS UTILISER - UNITÉS - AAD</v>
      </c>
      <c r="O1667" s="611" t="str">
        <f t="shared" si="229"/>
        <v/>
      </c>
      <c r="P1667" s="611" t="str">
        <f t="shared" si="231"/>
        <v>Page5i_SANS_OBJECT!K</v>
      </c>
      <c r="Q1667" s="611">
        <f t="shared" si="232"/>
        <v>20</v>
      </c>
      <c r="R1667" s="1447">
        <f t="shared" ca="1" si="233"/>
        <v>0</v>
      </c>
      <c r="S1667" s="1447">
        <f t="shared" ca="1" si="234"/>
        <v>0</v>
      </c>
      <c r="V1667" s="2557" t="str">
        <f t="shared" ca="1" si="228"/>
        <v/>
      </c>
      <c r="W1667" s="611" t="str">
        <f t="shared" ca="1" si="235"/>
        <v>Page5i_SANS_OBJECT, Ligne 17 [Page5i_SANS_OBJECT!K20]  -</v>
      </c>
    </row>
    <row r="1668" spans="1:23">
      <c r="A1668" s="1443" t="str">
        <f>celladdr(Page5i_SANS_OBJECT!K21)</f>
        <v>Page5i_SANS_OBJECT!K21</v>
      </c>
      <c r="B1668" s="1464" t="s">
        <v>1086</v>
      </c>
      <c r="C1668" s="1451" t="b">
        <f>Page5i_SANS_OBJECT!$K$21&lt;0</f>
        <v>0</v>
      </c>
      <c r="D1668" s="1454" t="b">
        <f>OR(AND(Page5i_SANS_OBJECT!$K21&gt;0,Page5i_SANS_OBJECT!$M21=0),AND(Page5i_SANS_OBJECT!$M21&lt;&gt;0,Page5i_SANS_OBJECT!$K21=0))</f>
        <v>0</v>
      </c>
      <c r="E1668" s="1454"/>
      <c r="F1668" s="1454"/>
      <c r="G1668" s="1444" t="str">
        <f t="shared" si="230"/>
        <v/>
      </c>
      <c r="H1668" s="1447" t="str">
        <f>IF(C1668=TRUE,Comments!$B$26,"")</f>
        <v/>
      </c>
      <c r="I1668" s="1446" t="str">
        <f>IF(D1668=TRUE,Comments!$B$21,"")</f>
        <v/>
      </c>
      <c r="J1668" s="1446"/>
      <c r="K1668" s="1452"/>
      <c r="N1668" s="611" t="str">
        <f>"CPTE # "&amp;Page5i_SANS_OBJECT!$E$21&amp;"  "&amp;Page5i_SANS_OBJECT!$C$21&amp;" - UNITÉS - AAD"</f>
        <v>CPTE # 417I  NE PAS UTILISER - UNITÉS - AAD</v>
      </c>
      <c r="O1668" s="611" t="str">
        <f t="shared" si="229"/>
        <v/>
      </c>
      <c r="P1668" s="611" t="str">
        <f t="shared" si="231"/>
        <v>Page5i_SANS_OBJECT!K</v>
      </c>
      <c r="Q1668" s="611">
        <f t="shared" si="232"/>
        <v>21</v>
      </c>
      <c r="R1668" s="1447">
        <f t="shared" ca="1" si="233"/>
        <v>0</v>
      </c>
      <c r="S1668" s="1447">
        <f t="shared" ca="1" si="234"/>
        <v>0</v>
      </c>
      <c r="V1668" s="2557" t="str">
        <f t="shared" ca="1" si="228"/>
        <v/>
      </c>
      <c r="W1668" s="611" t="str">
        <f t="shared" ca="1" si="235"/>
        <v>Page5i_SANS_OBJECT, Ligne 18 [Page5i_SANS_OBJECT!K21]  -</v>
      </c>
    </row>
    <row r="1669" spans="1:23">
      <c r="A1669" s="1443" t="str">
        <f>celladdr(Page5i_SANS_OBJECT!K22)</f>
        <v>Page5i_SANS_OBJECT!K22</v>
      </c>
      <c r="B1669" s="1464" t="s">
        <v>1086</v>
      </c>
      <c r="C1669" s="1451" t="b">
        <f>Page5i_SANS_OBJECT!$K$22&lt;0</f>
        <v>0</v>
      </c>
      <c r="D1669" s="1454" t="b">
        <f>OR(AND(Page5i_SANS_OBJECT!$K22&gt;0,Page5i_SANS_OBJECT!$M22=0),AND(Page5i_SANS_OBJECT!$M22&lt;&gt;0,Page5i_SANS_OBJECT!$K22=0))</f>
        <v>0</v>
      </c>
      <c r="E1669" s="1454"/>
      <c r="F1669" s="1454"/>
      <c r="G1669" s="1444" t="str">
        <f t="shared" si="230"/>
        <v/>
      </c>
      <c r="H1669" s="1447" t="str">
        <f>IF(C1669=TRUE,Comments!$B$26,"")</f>
        <v/>
      </c>
      <c r="I1669" s="1446" t="str">
        <f>IF(D1669=TRUE,Comments!$B$21,"")</f>
        <v/>
      </c>
      <c r="J1669" s="1446"/>
      <c r="K1669" s="1452"/>
      <c r="N1669" s="611" t="str">
        <f>"CPTE # "&amp;Page5i_SANS_OBJECT!$E$22&amp;"  "&amp;Page5i_SANS_OBJECT!$C$22&amp;" - UNITÉS - AAD"</f>
        <v>CPTE # 418I  NE PAS UTILISER - UNITÉS - AAD</v>
      </c>
      <c r="O1669" s="611" t="str">
        <f t="shared" si="229"/>
        <v/>
      </c>
      <c r="P1669" s="611" t="str">
        <f t="shared" si="231"/>
        <v>Page5i_SANS_OBJECT!K</v>
      </c>
      <c r="Q1669" s="611">
        <f t="shared" si="232"/>
        <v>22</v>
      </c>
      <c r="R1669" s="1447">
        <f t="shared" ca="1" si="233"/>
        <v>0</v>
      </c>
      <c r="S1669" s="1447">
        <f t="shared" ca="1" si="234"/>
        <v>0</v>
      </c>
      <c r="V1669" s="2557" t="str">
        <f t="shared" ca="1" si="228"/>
        <v/>
      </c>
      <c r="W1669" s="611" t="str">
        <f t="shared" ca="1" si="235"/>
        <v>Page5i_SANS_OBJECT, Ligne 19 [Page5i_SANS_OBJECT!K22]  -</v>
      </c>
    </row>
    <row r="1670" spans="1:23">
      <c r="A1670" s="1443" t="str">
        <f>celladdr(Page5i_SANS_OBJECT!K23)</f>
        <v>Page5i_SANS_OBJECT!K23</v>
      </c>
      <c r="B1670" s="1444" t="s">
        <v>1086</v>
      </c>
      <c r="C1670" s="1451"/>
      <c r="D1670" s="1454"/>
      <c r="E1670" s="1454"/>
      <c r="F1670" s="1454"/>
      <c r="G1670" s="1444" t="str">
        <f t="shared" si="230"/>
        <v/>
      </c>
      <c r="H1670" s="1447" t="str">
        <f>IF(C1670=TRUE,Comments!$B$26,"")</f>
        <v/>
      </c>
      <c r="I1670" s="1446" t="str">
        <f>IF(D1670=TRUE,Comments!$B$21,"")</f>
        <v/>
      </c>
      <c r="J1670" s="1446"/>
      <c r="K1670" s="1452"/>
      <c r="O1670" s="611" t="str">
        <f t="shared" si="229"/>
        <v/>
      </c>
      <c r="P1670" s="611" t="str">
        <f t="shared" si="231"/>
        <v>Page5i_SANS_OBJECT!K</v>
      </c>
      <c r="Q1670" s="611">
        <f t="shared" si="232"/>
        <v>23</v>
      </c>
      <c r="R1670" s="1447">
        <f t="shared" ca="1" si="233"/>
        <v>0</v>
      </c>
      <c r="S1670" s="1447">
        <f t="shared" ca="1" si="234"/>
        <v>0</v>
      </c>
      <c r="V1670" s="2557" t="str">
        <f t="shared" ca="1" si="228"/>
        <v/>
      </c>
      <c r="W1670" s="611" t="str">
        <f t="shared" ca="1" si="235"/>
        <v>Page5i_SANS_OBJECT, Ligne 20 [Page5i_SANS_OBJECT!K23]  -</v>
      </c>
    </row>
    <row r="1671" spans="1:23">
      <c r="A1671" s="1443" t="str">
        <f>celladdr(Page5i_SANS_OBJECT!K24)</f>
        <v>Page5i_SANS_OBJECT!K24</v>
      </c>
      <c r="B1671" s="1464" t="s">
        <v>1086</v>
      </c>
      <c r="C1671" s="1451" t="b">
        <f>Page5i_SANS_OBJECT!$K$24&lt;0</f>
        <v>0</v>
      </c>
      <c r="D1671" s="1454" t="b">
        <f>OR(AND(Page5i_SANS_OBJECT!$K24&gt;0,Page5i_SANS_OBJECT!$M24=0),AND(Page5i_SANS_OBJECT!$M24&lt;&gt;0,Page5i_SANS_OBJECT!$K24=0))</f>
        <v>0</v>
      </c>
      <c r="E1671" s="1454"/>
      <c r="F1671" s="1454"/>
      <c r="G1671" s="1444" t="str">
        <f t="shared" si="230"/>
        <v/>
      </c>
      <c r="H1671" s="1447" t="str">
        <f>IF(C1671=TRUE,Comments!$B$26,"")</f>
        <v/>
      </c>
      <c r="I1671" s="1446" t="str">
        <f>IF(D1671=TRUE,Comments!$B$21,"")</f>
        <v/>
      </c>
      <c r="J1671" s="1446"/>
      <c r="K1671" s="1452"/>
      <c r="N1671" s="611" t="str">
        <f>"CPTE # "&amp;Page5i_SANS_OBJECT!$E$24&amp;"  "&amp;Page5i_SANS_OBJECT!$C$24&amp;" - UNITÉS - AAD"</f>
        <v>CPTE # 419I  MÉMO* VENTES INTERNET VOITURES - UNITÉS - AAD</v>
      </c>
      <c r="O1671" s="611" t="str">
        <f t="shared" si="229"/>
        <v/>
      </c>
      <c r="P1671" s="611" t="str">
        <f t="shared" si="231"/>
        <v>Page5i_SANS_OBJECT!K</v>
      </c>
      <c r="Q1671" s="611">
        <f t="shared" si="232"/>
        <v>24</v>
      </c>
      <c r="R1671" s="1447">
        <f t="shared" ca="1" si="233"/>
        <v>0</v>
      </c>
      <c r="S1671" s="1447">
        <f t="shared" ca="1" si="234"/>
        <v>0</v>
      </c>
      <c r="V1671" s="2557" t="str">
        <f t="shared" ca="1" si="228"/>
        <v/>
      </c>
      <c r="W1671" s="611" t="str">
        <f t="shared" ca="1" si="235"/>
        <v>Page5i_SANS_OBJECT, Ligne 21 [Page5i_SANS_OBJECT!K24]  -</v>
      </c>
    </row>
    <row r="1672" spans="1:23">
      <c r="A1672" s="1443" t="str">
        <f>celladdr(Page5i_SANS_OBJECT!K25)</f>
        <v>Page5i_SANS_OBJECT!K25</v>
      </c>
      <c r="B1672" s="1464" t="s">
        <v>1086</v>
      </c>
      <c r="C1672" s="1451" t="b">
        <f>Page5i_SANS_OBJECT!$K$25&lt;0</f>
        <v>0</v>
      </c>
      <c r="D1672" s="1454" t="b">
        <f>OR(AND(Page5i_SANS_OBJECT!$K25&gt;0,Page5i_SANS_OBJECT!$M25=0),AND(Page5i_SANS_OBJECT!$M25&lt;&gt;0,Page5i_SANS_OBJECT!$K25=0))</f>
        <v>0</v>
      </c>
      <c r="E1672" s="1454"/>
      <c r="F1672" s="1454"/>
      <c r="G1672" s="1444" t="str">
        <f t="shared" si="230"/>
        <v/>
      </c>
      <c r="H1672" s="1447" t="str">
        <f>IF(C1672=TRUE,Comments!$B$26,"")</f>
        <v/>
      </c>
      <c r="I1672" s="1446" t="str">
        <f>IF(D1672=TRUE,Comments!$B$21,"")</f>
        <v/>
      </c>
      <c r="J1672" s="1446"/>
      <c r="K1672" s="1452"/>
      <c r="N1672" s="611" t="str">
        <f>"CPTE # "&amp;Page5i_SANS_OBJECT!$E$25&amp;"  "&amp;Page5i_SANS_OBJECT!$C$25&amp;" - UNITÉS - AAD"</f>
        <v>CPTE # 420I  TOTAL PARCS - VOITURES - UNITÉS - AAD</v>
      </c>
      <c r="O1672" s="611" t="str">
        <f t="shared" si="229"/>
        <v/>
      </c>
      <c r="P1672" s="611" t="str">
        <f t="shared" si="231"/>
        <v>Page5i_SANS_OBJECT!K</v>
      </c>
      <c r="Q1672" s="611">
        <f t="shared" si="232"/>
        <v>25</v>
      </c>
      <c r="R1672" s="1447">
        <f t="shared" ca="1" si="233"/>
        <v>0</v>
      </c>
      <c r="S1672" s="1447">
        <f t="shared" ca="1" si="234"/>
        <v>0</v>
      </c>
      <c r="V1672" s="2557" t="str">
        <f t="shared" ca="1" si="228"/>
        <v/>
      </c>
      <c r="W1672" s="611" t="str">
        <f t="shared" ca="1" si="235"/>
        <v>Page5i_SANS_OBJECT, Ligne 22 [Page5i_SANS_OBJECT!K25]  -</v>
      </c>
    </row>
    <row r="1673" spans="1:23">
      <c r="A1673" s="1443" t="str">
        <f>celladdr(Page5i_SANS_OBJECT!K26)</f>
        <v>Page5i_SANS_OBJECT!K26</v>
      </c>
      <c r="B1673" s="1464" t="s">
        <v>1086</v>
      </c>
      <c r="C1673" s="1451" t="b">
        <f>Page5i_SANS_OBJECT!$K$26&lt;0</f>
        <v>0</v>
      </c>
      <c r="D1673" s="1454" t="b">
        <f>OR(AND(Page5i_SANS_OBJECT!$K26&gt;0,Page5i_SANS_OBJECT!$M26=0),AND(Page5i_SANS_OBJECT!$M26&lt;&gt;0,Page5i_SANS_OBJECT!$K26=0))</f>
        <v>0</v>
      </c>
      <c r="E1673" s="1454"/>
      <c r="F1673" s="1454"/>
      <c r="G1673" s="1444" t="str">
        <f t="shared" si="230"/>
        <v/>
      </c>
      <c r="H1673" s="1447" t="str">
        <f>IF(C1673=TRUE,Comments!$B$26,"")</f>
        <v/>
      </c>
      <c r="I1673" s="1446" t="str">
        <f>IF(D1673=TRUE,Comments!$B$21,"")</f>
        <v/>
      </c>
      <c r="J1673" s="1446"/>
      <c r="K1673" s="1452"/>
      <c r="N1673" s="611" t="str">
        <f>"CPTE # "&amp;Page5i_SANS_OBJECT!$E$26&amp;"  "&amp;Page5i_SANS_OBJECT!$C$26&amp;" - UNITÉS - AAD"</f>
        <v>CPTE # 421I  TOTAL INTERNE - VOITURES - UNITÉS - AAD</v>
      </c>
      <c r="O1673" s="611" t="str">
        <f t="shared" si="229"/>
        <v/>
      </c>
      <c r="P1673" s="611" t="str">
        <f t="shared" si="231"/>
        <v>Page5i_SANS_OBJECT!K</v>
      </c>
      <c r="Q1673" s="611">
        <f t="shared" si="232"/>
        <v>26</v>
      </c>
      <c r="R1673" s="1447">
        <f t="shared" ca="1" si="233"/>
        <v>0</v>
      </c>
      <c r="S1673" s="1447">
        <f t="shared" ca="1" si="234"/>
        <v>0</v>
      </c>
      <c r="V1673" s="2557" t="str">
        <f t="shared" ca="1" si="228"/>
        <v/>
      </c>
      <c r="W1673" s="611" t="str">
        <f t="shared" ca="1" si="235"/>
        <v>Page5i_SANS_OBJECT, Ligne 23 [Page5i_SANS_OBJECT!K26]  -</v>
      </c>
    </row>
    <row r="1674" spans="1:23">
      <c r="A1674" s="1443" t="str">
        <f>celladdr(Page5i_SANS_OBJECT!K27)</f>
        <v>Page5i_SANS_OBJECT!K27</v>
      </c>
      <c r="B1674" s="1444" t="s">
        <v>1086</v>
      </c>
      <c r="C1674" s="1451"/>
      <c r="D1674" s="1454"/>
      <c r="E1674" s="1454"/>
      <c r="F1674" s="1454"/>
      <c r="G1674" s="1444" t="str">
        <f t="shared" si="230"/>
        <v/>
      </c>
      <c r="H1674" s="1447" t="str">
        <f>IF(C1674=TRUE,Comments!$B$26,"")</f>
        <v/>
      </c>
      <c r="I1674" s="1446" t="str">
        <f>IF(D1674=TRUE,Comments!$B$21,"")</f>
        <v/>
      </c>
      <c r="J1674" s="1446"/>
      <c r="K1674" s="1452"/>
      <c r="O1674" s="611" t="str">
        <f t="shared" si="229"/>
        <v/>
      </c>
      <c r="P1674" s="611" t="str">
        <f t="shared" si="231"/>
        <v>Page5i_SANS_OBJECT!K</v>
      </c>
      <c r="Q1674" s="611">
        <f t="shared" si="232"/>
        <v>27</v>
      </c>
      <c r="R1674" s="1447">
        <f t="shared" ca="1" si="233"/>
        <v>0</v>
      </c>
      <c r="S1674" s="1447">
        <f t="shared" ca="1" si="234"/>
        <v>0</v>
      </c>
      <c r="V1674" s="2557" t="str">
        <f t="shared" ca="1" si="228"/>
        <v/>
      </c>
      <c r="W1674" s="611" t="str">
        <f t="shared" ca="1" si="235"/>
        <v>Page5i_SANS_OBJECT, Ligne 24 [Page5i_SANS_OBJECT!K27]  -</v>
      </c>
    </row>
    <row r="1675" spans="1:23">
      <c r="A1675" s="1443" t="str">
        <f>celladdr(Page5i_SANS_OBJECT!K28)</f>
        <v>Page5i_SANS_OBJECT!K28</v>
      </c>
      <c r="B1675" s="1464" t="s">
        <v>1086</v>
      </c>
      <c r="C1675" s="1451" t="b">
        <f>Page5i_SANS_OBJECT!$K$28&lt;0</f>
        <v>0</v>
      </c>
      <c r="D1675" s="1454" t="b">
        <f>OR(AND(Page5i_SANS_OBJECT!$K28&gt;0,Page5i_SANS_OBJECT!$M28=0),AND(Page5i_SANS_OBJECT!$M28&lt;&gt;0,Page5i_SANS_OBJECT!$K28=0))</f>
        <v>0</v>
      </c>
      <c r="E1675" s="1454"/>
      <c r="F1675" s="1454"/>
      <c r="G1675" s="1444" t="str">
        <f t="shared" si="230"/>
        <v/>
      </c>
      <c r="H1675" s="1447" t="str">
        <f>IF(C1675=TRUE,Comments!$B$26,"")</f>
        <v/>
      </c>
      <c r="I1675" s="1446" t="str">
        <f>IF(D1675=TRUE,Comments!$B$21,"")</f>
        <v/>
      </c>
      <c r="J1675" s="1446"/>
      <c r="K1675" s="1452"/>
      <c r="N1675" s="611" t="str">
        <f>"CPTE # "&amp;Page5i_SANS_OBJECT!$E$28&amp;"  "&amp;Page5i_SANS_OBJECT!$C$28&amp;" - UNITÉS - AAD"</f>
        <v>CPTE # 423I  NE PAS UTILISER - UNITÉS - AAD</v>
      </c>
      <c r="O1675" s="611" t="str">
        <f t="shared" si="229"/>
        <v/>
      </c>
      <c r="P1675" s="611" t="str">
        <f t="shared" si="231"/>
        <v>Page5i_SANS_OBJECT!K</v>
      </c>
      <c r="Q1675" s="611">
        <f t="shared" si="232"/>
        <v>28</v>
      </c>
      <c r="R1675" s="1447">
        <f t="shared" ca="1" si="233"/>
        <v>0</v>
      </c>
      <c r="S1675" s="1447">
        <f t="shared" ca="1" si="234"/>
        <v>0</v>
      </c>
      <c r="V1675" s="2557" t="str">
        <f t="shared" ca="1" si="228"/>
        <v/>
      </c>
      <c r="W1675" s="611" t="str">
        <f t="shared" ca="1" si="235"/>
        <v>Page5i_SANS_OBJECT, Ligne 25 [Page5i_SANS_OBJECT!K28]  -</v>
      </c>
    </row>
    <row r="1676" spans="1:23">
      <c r="A1676" s="1443" t="str">
        <f>celladdr(Page5i_SANS_OBJECT!K29)</f>
        <v>Page5i_SANS_OBJECT!K29</v>
      </c>
      <c r="B1676" s="1464" t="s">
        <v>1086</v>
      </c>
      <c r="C1676" s="1451" t="b">
        <f>Page5i_SANS_OBJECT!$K$29&lt;0</f>
        <v>0</v>
      </c>
      <c r="D1676" s="1454" t="b">
        <f>OR(AND(Page5i_SANS_OBJECT!$K29&gt;0,Page5i_SANS_OBJECT!$M29=0),AND(Page5i_SANS_OBJECT!$M29&lt;&gt;0,Page5i_SANS_OBJECT!$K29=0))</f>
        <v>0</v>
      </c>
      <c r="E1676" s="1454"/>
      <c r="F1676" s="1454"/>
      <c r="G1676" s="1444" t="str">
        <f t="shared" si="230"/>
        <v/>
      </c>
      <c r="H1676" s="1447" t="str">
        <f>IF(C1676=TRUE,Comments!$B$26,"")</f>
        <v/>
      </c>
      <c r="I1676" s="1446" t="str">
        <f>IF(D1676=TRUE,Comments!$B$21,"")</f>
        <v/>
      </c>
      <c r="J1676" s="1446"/>
      <c r="K1676" s="1452"/>
      <c r="N1676" s="611" t="str">
        <f>"CPTE # "&amp;Page5i_SANS_OBJECT!$E$29&amp;"  "&amp;Page5i_SANS_OBJECT!$C$29&amp;" - UNITÉS - AAD"</f>
        <v>CPTE # 424I  NE PAS UTILISER - UNITÉS - AAD</v>
      </c>
      <c r="O1676" s="611" t="str">
        <f t="shared" si="229"/>
        <v/>
      </c>
      <c r="P1676" s="611" t="str">
        <f t="shared" si="231"/>
        <v>Page5i_SANS_OBJECT!K</v>
      </c>
      <c r="Q1676" s="611">
        <f t="shared" si="232"/>
        <v>29</v>
      </c>
      <c r="R1676" s="1447">
        <f t="shared" ca="1" si="233"/>
        <v>0</v>
      </c>
      <c r="S1676" s="1447">
        <f t="shared" ca="1" si="234"/>
        <v>0</v>
      </c>
      <c r="V1676" s="2557" t="str">
        <f t="shared" ca="1" si="228"/>
        <v/>
      </c>
      <c r="W1676" s="611" t="str">
        <f t="shared" ca="1" si="235"/>
        <v>Page5i_SANS_OBJECT, Ligne 26 [Page5i_SANS_OBJECT!K29]  -</v>
      </c>
    </row>
    <row r="1677" spans="1:23">
      <c r="A1677" s="1443" t="str">
        <f>celladdr(Page5i_SANS_OBJECT!K30)</f>
        <v>Page5i_SANS_OBJECT!K30</v>
      </c>
      <c r="B1677" s="1464" t="s">
        <v>1086</v>
      </c>
      <c r="C1677" s="1451" t="b">
        <f>Page5i_SANS_OBJECT!$K$30&lt;0</f>
        <v>0</v>
      </c>
      <c r="D1677" s="1454" t="b">
        <f>OR(AND(Page5i_SANS_OBJECT!$K30&gt;0,Page5i_SANS_OBJECT!$M30=0),AND(Page5i_SANS_OBJECT!$M30&lt;&gt;0,Page5i_SANS_OBJECT!$K30=0))</f>
        <v>0</v>
      </c>
      <c r="E1677" s="1454"/>
      <c r="F1677" s="1454"/>
      <c r="G1677" s="1444" t="str">
        <f t="shared" si="230"/>
        <v/>
      </c>
      <c r="H1677" s="1447" t="str">
        <f>IF(C1677=TRUE,Comments!$B$26,"")</f>
        <v/>
      </c>
      <c r="I1677" s="1446" t="str">
        <f>IF(D1677=TRUE,Comments!$B$21,"")</f>
        <v/>
      </c>
      <c r="J1677" s="1446"/>
      <c r="K1677" s="1452"/>
      <c r="N1677" s="611" t="str">
        <f>"CPTE # "&amp;Page5i_SANS_OBJECT!$E$30&amp;"  "&amp;Page5i_SANS_OBJECT!$C$30&amp;" - UNITÉS - AAD"</f>
        <v>CPTE # 425I  NE PAS UTILISER - UNITÉS - AAD</v>
      </c>
      <c r="O1677" s="611" t="str">
        <f t="shared" si="229"/>
        <v/>
      </c>
      <c r="P1677" s="611" t="str">
        <f t="shared" si="231"/>
        <v>Page5i_SANS_OBJECT!K</v>
      </c>
      <c r="Q1677" s="611">
        <f t="shared" si="232"/>
        <v>30</v>
      </c>
      <c r="R1677" s="1447">
        <f t="shared" ca="1" si="233"/>
        <v>0</v>
      </c>
      <c r="S1677" s="1447">
        <f t="shared" ca="1" si="234"/>
        <v>0</v>
      </c>
      <c r="V1677" s="2557" t="str">
        <f t="shared" ca="1" si="228"/>
        <v/>
      </c>
      <c r="W1677" s="611" t="str">
        <f t="shared" ca="1" si="235"/>
        <v>Page5i_SANS_OBJECT, Ligne 27 [Page5i_SANS_OBJECT!K30]  -</v>
      </c>
    </row>
    <row r="1678" spans="1:23">
      <c r="A1678" s="1443" t="str">
        <f>celladdr(Page5i_SANS_OBJECT!K31)</f>
        <v>Page5i_SANS_OBJECT!K31</v>
      </c>
      <c r="B1678" s="1464" t="s">
        <v>1086</v>
      </c>
      <c r="C1678" s="1451" t="b">
        <f>Page5i_SANS_OBJECT!$K$31&lt;0</f>
        <v>0</v>
      </c>
      <c r="D1678" s="1454" t="b">
        <f>OR(AND(Page5i_SANS_OBJECT!$K31&gt;0,Page5i_SANS_OBJECT!$M31=0),AND(Page5i_SANS_OBJECT!$M31&lt;&gt;0,Page5i_SANS_OBJECT!$K31=0))</f>
        <v>0</v>
      </c>
      <c r="E1678" s="1454"/>
      <c r="F1678" s="1454"/>
      <c r="G1678" s="1444" t="str">
        <f t="shared" si="230"/>
        <v/>
      </c>
      <c r="H1678" s="1447" t="str">
        <f>IF(C1678=TRUE,Comments!$B$26,"")</f>
        <v/>
      </c>
      <c r="I1678" s="1446" t="str">
        <f>IF(D1678=TRUE,Comments!$B$21,"")</f>
        <v/>
      </c>
      <c r="J1678" s="1446"/>
      <c r="K1678" s="1452"/>
      <c r="N1678" s="611" t="str">
        <f>"CPTE # "&amp;Page5i_SANS_OBJECT!$E$31&amp;"  "&amp;Page5i_SANS_OBJECT!$C$31&amp;" - UNITÉS - AAD"</f>
        <v>CPTE # 426I  NE PAS UTILISER - UNITÉS - AAD</v>
      </c>
      <c r="O1678" s="611" t="str">
        <f t="shared" si="229"/>
        <v/>
      </c>
      <c r="P1678" s="611" t="str">
        <f t="shared" si="231"/>
        <v>Page5i_SANS_OBJECT!K</v>
      </c>
      <c r="Q1678" s="611">
        <f t="shared" si="232"/>
        <v>31</v>
      </c>
      <c r="R1678" s="1447">
        <f t="shared" ca="1" si="233"/>
        <v>0</v>
      </c>
      <c r="S1678" s="1447">
        <f t="shared" ca="1" si="234"/>
        <v>0</v>
      </c>
      <c r="V1678" s="2557" t="str">
        <f t="shared" ca="1" si="228"/>
        <v/>
      </c>
      <c r="W1678" s="611" t="str">
        <f t="shared" ca="1" si="235"/>
        <v>Page5i_SANS_OBJECT, Ligne 28 [Page5i_SANS_OBJECT!K31]  -</v>
      </c>
    </row>
    <row r="1679" spans="1:23">
      <c r="A1679" s="1443" t="str">
        <f>celladdr(Page5i_SANS_OBJECT!K32)</f>
        <v>Page5i_SANS_OBJECT!K32</v>
      </c>
      <c r="B1679" s="1464" t="s">
        <v>1086</v>
      </c>
      <c r="C1679" s="1451" t="b">
        <f>Page5i_SANS_OBJECT!$K$32&lt;0</f>
        <v>0</v>
      </c>
      <c r="D1679" s="1454" t="b">
        <f>OR(AND(Page5i_SANS_OBJECT!$K32&gt;0,Page5i_SANS_OBJECT!$M32=0),AND(Page5i_SANS_OBJECT!$M32&lt;&gt;0,Page5i_SANS_OBJECT!$K32=0))</f>
        <v>0</v>
      </c>
      <c r="E1679" s="1454"/>
      <c r="F1679" s="1454"/>
      <c r="G1679" s="1444" t="str">
        <f t="shared" si="230"/>
        <v/>
      </c>
      <c r="H1679" s="1447" t="str">
        <f>IF(C1679=TRUE,Comments!$B$26,"")</f>
        <v/>
      </c>
      <c r="I1679" s="1446" t="str">
        <f>IF(D1679=TRUE,Comments!$B$21,"")</f>
        <v/>
      </c>
      <c r="J1679" s="1446"/>
      <c r="K1679" s="1452"/>
      <c r="N1679" s="611" t="str">
        <f>"CPTE # "&amp;Page5i_SANS_OBJECT!$E$32&amp;"  "&amp;Page5i_SANS_OBJECT!$C$32&amp;" - UNITÉS - AAD"</f>
        <v>CPTE # 427I  NE PAS UTILISER - UNITÉS - AAD</v>
      </c>
      <c r="O1679" s="611" t="str">
        <f t="shared" si="229"/>
        <v/>
      </c>
      <c r="P1679" s="611" t="str">
        <f t="shared" si="231"/>
        <v>Page5i_SANS_OBJECT!K</v>
      </c>
      <c r="Q1679" s="611">
        <f t="shared" si="232"/>
        <v>32</v>
      </c>
      <c r="R1679" s="1447">
        <f t="shared" ca="1" si="233"/>
        <v>0</v>
      </c>
      <c r="S1679" s="1447">
        <f t="shared" ca="1" si="234"/>
        <v>0</v>
      </c>
      <c r="V1679" s="2557" t="str">
        <f t="shared" ca="1" si="228"/>
        <v/>
      </c>
      <c r="W1679" s="611" t="str">
        <f t="shared" ca="1" si="235"/>
        <v>Page5i_SANS_OBJECT, Ligne 29 [Page5i_SANS_OBJECT!K32]  -</v>
      </c>
    </row>
    <row r="1680" spans="1:23">
      <c r="A1680" s="1443" t="str">
        <f>celladdr(Page5i_SANS_OBJECT!K33)</f>
        <v>Page5i_SANS_OBJECT!K33</v>
      </c>
      <c r="B1680" s="1464" t="s">
        <v>1086</v>
      </c>
      <c r="C1680" s="1451" t="b">
        <f>Page5i_SANS_OBJECT!$K$33&lt;0</f>
        <v>0</v>
      </c>
      <c r="D1680" s="1454" t="b">
        <f>OR(AND(Page5i_SANS_OBJECT!$K33&gt;0,Page5i_SANS_OBJECT!$M33=0),AND(Page5i_SANS_OBJECT!$M33&lt;&gt;0,Page5i_SANS_OBJECT!$K33=0))</f>
        <v>0</v>
      </c>
      <c r="E1680" s="1454"/>
      <c r="F1680" s="1454"/>
      <c r="G1680" s="1444" t="str">
        <f t="shared" si="230"/>
        <v/>
      </c>
      <c r="H1680" s="1447" t="str">
        <f>IF(C1680=TRUE,Comments!$B$26,"")</f>
        <v/>
      </c>
      <c r="I1680" s="1446" t="str">
        <f>IF(D1680=TRUE,Comments!$B$21,"")</f>
        <v/>
      </c>
      <c r="J1680" s="1446"/>
      <c r="K1680" s="1452"/>
      <c r="N1680" s="611" t="str">
        <f>"CPTE # "&amp;Page5i_SANS_OBJECT!$E$33&amp;"  "&amp;Page5i_SANS_OBJECT!$C$33&amp;" - UNITÉS - AAD"</f>
        <v>CPTE # 428I  NE PAS UTILISER - UNITÉS - AAD</v>
      </c>
      <c r="O1680" s="611" t="str">
        <f t="shared" si="229"/>
        <v/>
      </c>
      <c r="P1680" s="611" t="str">
        <f t="shared" si="231"/>
        <v>Page5i_SANS_OBJECT!K</v>
      </c>
      <c r="Q1680" s="611">
        <f t="shared" si="232"/>
        <v>33</v>
      </c>
      <c r="R1680" s="1447">
        <f t="shared" ca="1" si="233"/>
        <v>0</v>
      </c>
      <c r="S1680" s="1447">
        <f t="shared" ca="1" si="234"/>
        <v>0</v>
      </c>
      <c r="V1680" s="2557" t="str">
        <f t="shared" ca="1" si="228"/>
        <v/>
      </c>
      <c r="W1680" s="611" t="str">
        <f t="shared" ca="1" si="235"/>
        <v>Page5i_SANS_OBJECT, Ligne 30 [Page5i_SANS_OBJECT!K33]  -</v>
      </c>
    </row>
    <row r="1681" spans="1:23">
      <c r="A1681" s="1443" t="str">
        <f>celladdr(Page5i_SANS_OBJECT!K34)</f>
        <v>Page5i_SANS_OBJECT!K34</v>
      </c>
      <c r="B1681" s="1464" t="s">
        <v>1086</v>
      </c>
      <c r="C1681" s="1451" t="b">
        <f>Page5i_SANS_OBJECT!$K$34&lt;0</f>
        <v>0</v>
      </c>
      <c r="D1681" s="1454" t="b">
        <f>OR(AND(Page5i_SANS_OBJECT!$K34&gt;0,Page5i_SANS_OBJECT!$M34=0),AND(Page5i_SANS_OBJECT!$M34&lt;&gt;0,Page5i_SANS_OBJECT!$K34=0))</f>
        <v>0</v>
      </c>
      <c r="E1681" s="1454"/>
      <c r="F1681" s="1454"/>
      <c r="G1681" s="1444" t="str">
        <f t="shared" si="230"/>
        <v/>
      </c>
      <c r="H1681" s="1447" t="str">
        <f>IF(C1681=TRUE,Comments!$B$26,"")</f>
        <v/>
      </c>
      <c r="I1681" s="1446" t="str">
        <f>IF(D1681=TRUE,Comments!$B$21,"")</f>
        <v/>
      </c>
      <c r="J1681" s="1446"/>
      <c r="K1681" s="1452"/>
      <c r="N1681" s="611" t="str">
        <f>"CPTE # "&amp;Page5i_SANS_OBJECT!$E$34&amp;"  "&amp;Page5i_SANS_OBJECT!$C$34&amp;" - UNITÉS - AAD"</f>
        <v>CPTE # 429I  NE PAS UTILISER - UNITÉS - AAD</v>
      </c>
      <c r="O1681" s="611" t="str">
        <f t="shared" si="229"/>
        <v/>
      </c>
      <c r="P1681" s="611" t="str">
        <f t="shared" si="231"/>
        <v>Page5i_SANS_OBJECT!K</v>
      </c>
      <c r="Q1681" s="611">
        <f t="shared" si="232"/>
        <v>34</v>
      </c>
      <c r="R1681" s="1447">
        <f t="shared" ca="1" si="233"/>
        <v>0</v>
      </c>
      <c r="S1681" s="1447">
        <f t="shared" ca="1" si="234"/>
        <v>0</v>
      </c>
      <c r="V1681" s="2557" t="str">
        <f t="shared" ca="1" si="228"/>
        <v/>
      </c>
      <c r="W1681" s="611" t="str">
        <f t="shared" ca="1" si="235"/>
        <v>Page5i_SANS_OBJECT, Ligne 31 [Page5i_SANS_OBJECT!K34]  -</v>
      </c>
    </row>
    <row r="1682" spans="1:23">
      <c r="A1682" s="1443" t="str">
        <f>celladdr(Page5i_SANS_OBJECT!K35)</f>
        <v>Page5i_SANS_OBJECT!K35</v>
      </c>
      <c r="B1682" s="1464" t="s">
        <v>1086</v>
      </c>
      <c r="C1682" s="1451" t="b">
        <f>Page5i_SANS_OBJECT!$K$35&lt;0</f>
        <v>0</v>
      </c>
      <c r="D1682" s="1454" t="b">
        <f>OR(AND(Page5i_SANS_OBJECT!$K35&gt;0,Page5i_SANS_OBJECT!$M35=0),AND(Page5i_SANS_OBJECT!$M35&lt;&gt;0,Page5i_SANS_OBJECT!$K35=0))</f>
        <v>0</v>
      </c>
      <c r="E1682" s="1454"/>
      <c r="F1682" s="1454"/>
      <c r="G1682" s="1444" t="str">
        <f t="shared" si="230"/>
        <v/>
      </c>
      <c r="H1682" s="1447" t="str">
        <f>IF(C1682=TRUE,Comments!$B$26,"")</f>
        <v/>
      </c>
      <c r="I1682" s="1446" t="str">
        <f>IF(D1682=TRUE,Comments!$B$21,"")</f>
        <v/>
      </c>
      <c r="J1682" s="1446"/>
      <c r="K1682" s="1452"/>
      <c r="N1682" s="611" t="str">
        <f>"CPTE # "&amp;Page5i_SANS_OBJECT!$E$35&amp;"  "&amp;Page5i_SANS_OBJECT!$C$35&amp;" - UNITÉS - AAD"</f>
        <v>CPTE # 430I  NE PAS UTILISER - UNITÉS - AAD</v>
      </c>
      <c r="O1682" s="611" t="str">
        <f t="shared" si="229"/>
        <v/>
      </c>
      <c r="P1682" s="611" t="str">
        <f t="shared" si="231"/>
        <v>Page5i_SANS_OBJECT!K</v>
      </c>
      <c r="Q1682" s="611">
        <f t="shared" si="232"/>
        <v>35</v>
      </c>
      <c r="R1682" s="1447">
        <f t="shared" ca="1" si="233"/>
        <v>0</v>
      </c>
      <c r="S1682" s="1447">
        <f t="shared" ca="1" si="234"/>
        <v>0</v>
      </c>
      <c r="V1682" s="2557" t="str">
        <f t="shared" ca="1" si="228"/>
        <v/>
      </c>
      <c r="W1682" s="611" t="str">
        <f t="shared" ca="1" si="235"/>
        <v>Page5i_SANS_OBJECT, Ligne 32 [Page5i_SANS_OBJECT!K35]  -</v>
      </c>
    </row>
    <row r="1683" spans="1:23">
      <c r="A1683" s="1443" t="str">
        <f>celladdr(Page5i_SANS_OBJECT!K36)</f>
        <v>Page5i_SANS_OBJECT!K36</v>
      </c>
      <c r="B1683" s="1464" t="s">
        <v>1086</v>
      </c>
      <c r="C1683" s="1451" t="b">
        <f>Page5i_SANS_OBJECT!$K$36&lt;0</f>
        <v>0</v>
      </c>
      <c r="D1683" s="1454" t="b">
        <f>OR(AND(Page5i_SANS_OBJECT!$K36&gt;0,Page5i_SANS_OBJECT!$M36=0),AND(Page5i_SANS_OBJECT!$M36&lt;&gt;0,Page5i_SANS_OBJECT!$K36=0))</f>
        <v>0</v>
      </c>
      <c r="E1683" s="1454"/>
      <c r="F1683" s="1454"/>
      <c r="G1683" s="1444" t="str">
        <f t="shared" si="230"/>
        <v/>
      </c>
      <c r="H1683" s="1447" t="str">
        <f>IF(C1683=TRUE,Comments!$B$26,"")</f>
        <v/>
      </c>
      <c r="I1683" s="1446" t="str">
        <f>IF(D1683=TRUE,Comments!$B$21,"")</f>
        <v/>
      </c>
      <c r="J1683" s="1446"/>
      <c r="K1683" s="1452"/>
      <c r="N1683" s="611" t="str">
        <f>"CPTE # "&amp;Page5i_SANS_OBJECT!$E$36&amp;"  "&amp;Page5i_SANS_OBJECT!$C$36&amp;" - UNITÉS - AAD"</f>
        <v>CPTE # 431I  NE PAS UTILISER - UNITÉS - AAD</v>
      </c>
      <c r="O1683" s="611" t="str">
        <f t="shared" si="229"/>
        <v/>
      </c>
      <c r="P1683" s="611" t="str">
        <f t="shared" si="231"/>
        <v>Page5i_SANS_OBJECT!K</v>
      </c>
      <c r="Q1683" s="611">
        <f t="shared" si="232"/>
        <v>36</v>
      </c>
      <c r="R1683" s="1447">
        <f t="shared" ca="1" si="233"/>
        <v>0</v>
      </c>
      <c r="S1683" s="1447">
        <f t="shared" ca="1" si="234"/>
        <v>0</v>
      </c>
      <c r="V1683" s="2557" t="str">
        <f t="shared" ca="1" si="228"/>
        <v/>
      </c>
      <c r="W1683" s="611" t="str">
        <f t="shared" ca="1" si="235"/>
        <v>Page5i_SANS_OBJECT, Ligne 33 [Page5i_SANS_OBJECT!K36]  -</v>
      </c>
    </row>
    <row r="1684" spans="1:23">
      <c r="A1684" s="1443" t="str">
        <f>celladdr(Page5i_SANS_OBJECT!K37)</f>
        <v>Page5i_SANS_OBJECT!K37</v>
      </c>
      <c r="B1684" s="1464" t="s">
        <v>1086</v>
      </c>
      <c r="C1684" s="1451" t="b">
        <f>Page5i_SANS_OBJECT!$K$37&lt;0</f>
        <v>0</v>
      </c>
      <c r="D1684" s="1454" t="b">
        <f>OR(AND(Page5i_SANS_OBJECT!$K37&gt;0,Page5i_SANS_OBJECT!$M37=0),AND(Page5i_SANS_OBJECT!$M37&lt;&gt;0,Page5i_SANS_OBJECT!$K37=0))</f>
        <v>0</v>
      </c>
      <c r="E1684" s="1454"/>
      <c r="F1684" s="1454"/>
      <c r="G1684" s="1444" t="str">
        <f t="shared" si="230"/>
        <v/>
      </c>
      <c r="H1684" s="1447" t="str">
        <f>IF(C1684=TRUE,Comments!$B$26,"")</f>
        <v/>
      </c>
      <c r="I1684" s="1446" t="str">
        <f>IF(D1684=TRUE,Comments!$B$21,"")</f>
        <v/>
      </c>
      <c r="J1684" s="1446"/>
      <c r="K1684" s="1452"/>
      <c r="N1684" s="611" t="str">
        <f>"CPTE # "&amp;Page5i_SANS_OBJECT!$E$37&amp;"  "&amp;Page5i_SANS_OBJECT!$C$37&amp;" - UNITÉS - AAD"</f>
        <v>CPTE # 432I  NE PAS UTILISER - UNITÉS - AAD</v>
      </c>
      <c r="O1684" s="611" t="str">
        <f t="shared" si="229"/>
        <v/>
      </c>
      <c r="P1684" s="611" t="str">
        <f t="shared" si="231"/>
        <v>Page5i_SANS_OBJECT!K</v>
      </c>
      <c r="Q1684" s="611">
        <f t="shared" si="232"/>
        <v>37</v>
      </c>
      <c r="R1684" s="1447">
        <f t="shared" ca="1" si="233"/>
        <v>0</v>
      </c>
      <c r="S1684" s="1447">
        <f t="shared" ca="1" si="234"/>
        <v>0</v>
      </c>
      <c r="V1684" s="2557" t="str">
        <f t="shared" ca="1" si="228"/>
        <v/>
      </c>
      <c r="W1684" s="611" t="str">
        <f t="shared" ca="1" si="235"/>
        <v>Page5i_SANS_OBJECT, Ligne 34 [Page5i_SANS_OBJECT!K37]  -</v>
      </c>
    </row>
    <row r="1685" spans="1:23">
      <c r="A1685" s="1443" t="str">
        <f>celladdr(Page5i_SANS_OBJECT!K38)</f>
        <v>Page5i_SANS_OBJECT!K38</v>
      </c>
      <c r="B1685" s="1464" t="s">
        <v>1086</v>
      </c>
      <c r="C1685" s="1451" t="b">
        <f>Page5i_SANS_OBJECT!$K$38&lt;0</f>
        <v>0</v>
      </c>
      <c r="D1685" s="1454" t="b">
        <f>OR(AND(Page5i_SANS_OBJECT!$K38&gt;0,Page5i_SANS_OBJECT!$M38=0),AND(Page5i_SANS_OBJECT!$M38&lt;&gt;0,Page5i_SANS_OBJECT!$K38=0))</f>
        <v>0</v>
      </c>
      <c r="E1685" s="1454"/>
      <c r="F1685" s="1454"/>
      <c r="G1685" s="1444" t="str">
        <f t="shared" si="230"/>
        <v/>
      </c>
      <c r="H1685" s="1447" t="str">
        <f>IF(C1685=TRUE,Comments!$B$26,"")</f>
        <v/>
      </c>
      <c r="I1685" s="1446" t="str">
        <f>IF(D1685=TRUE,Comments!$B$21,"")</f>
        <v/>
      </c>
      <c r="J1685" s="1446"/>
      <c r="K1685" s="1452"/>
      <c r="N1685" s="611" t="str">
        <f>"CPTE # "&amp;Page5i_SANS_OBJECT!$E$38&amp;"  "&amp;Page5i_SANS_OBJECT!$C$38&amp;" - UNITÉS - AAD"</f>
        <v>CPTE # 433I  NE PAS UTILISER - UNITÉS - AAD</v>
      </c>
      <c r="O1685" s="611" t="str">
        <f t="shared" si="229"/>
        <v/>
      </c>
      <c r="P1685" s="611" t="str">
        <f t="shared" si="231"/>
        <v>Page5i_SANS_OBJECT!K</v>
      </c>
      <c r="Q1685" s="611">
        <f t="shared" si="232"/>
        <v>38</v>
      </c>
      <c r="R1685" s="1447">
        <f t="shared" ca="1" si="233"/>
        <v>0</v>
      </c>
      <c r="S1685" s="1447">
        <f t="shared" ca="1" si="234"/>
        <v>0</v>
      </c>
      <c r="V1685" s="2557" t="str">
        <f t="shared" ca="1" si="228"/>
        <v/>
      </c>
      <c r="W1685" s="611" t="str">
        <f t="shared" ca="1" si="235"/>
        <v>Page5i_SANS_OBJECT, Ligne 35 [Page5i_SANS_OBJECT!K38]  -</v>
      </c>
    </row>
    <row r="1686" spans="1:23">
      <c r="A1686" s="1443" t="str">
        <f>celladdr(Page5i_SANS_OBJECT!K39)</f>
        <v>Page5i_SANS_OBJECT!K39</v>
      </c>
      <c r="B1686" s="1464" t="s">
        <v>1086</v>
      </c>
      <c r="C1686" s="1451" t="b">
        <f>Page5i_SANS_OBJECT!$K$39&lt;0</f>
        <v>0</v>
      </c>
      <c r="D1686" s="1454" t="b">
        <f>OR(AND(Page5i_SANS_OBJECT!$K39&gt;0,Page5i_SANS_OBJECT!$M39=0),AND(Page5i_SANS_OBJECT!$M39&lt;&gt;0,Page5i_SANS_OBJECT!$K39=0))</f>
        <v>0</v>
      </c>
      <c r="E1686" s="1454"/>
      <c r="F1686" s="1454"/>
      <c r="G1686" s="1444" t="str">
        <f t="shared" si="230"/>
        <v/>
      </c>
      <c r="H1686" s="1447" t="str">
        <f>IF(C1686=TRUE,Comments!$B$26,"")</f>
        <v/>
      </c>
      <c r="I1686" s="1446" t="str">
        <f>IF(D1686=TRUE,Comments!$B$21,"")</f>
        <v/>
      </c>
      <c r="J1686" s="1446"/>
      <c r="K1686" s="1452"/>
      <c r="N1686" s="611" t="str">
        <f>"CPTE # "&amp;Page5i_SANS_OBJECT!$E$39&amp;"  "&amp;Page5i_SANS_OBJECT!$C$39&amp;" - UNITÉS - AAD"</f>
        <v>CPTE # 434I  NE PAS UTILISER - UNITÉS - AAD</v>
      </c>
      <c r="O1686" s="611" t="str">
        <f t="shared" si="229"/>
        <v/>
      </c>
      <c r="P1686" s="611" t="str">
        <f t="shared" si="231"/>
        <v>Page5i_SANS_OBJECT!K</v>
      </c>
      <c r="Q1686" s="611">
        <f t="shared" si="232"/>
        <v>39</v>
      </c>
      <c r="R1686" s="1447">
        <f t="shared" ca="1" si="233"/>
        <v>0</v>
      </c>
      <c r="S1686" s="1447">
        <f t="shared" ca="1" si="234"/>
        <v>0</v>
      </c>
      <c r="V1686" s="2557" t="str">
        <f t="shared" ca="1" si="228"/>
        <v/>
      </c>
      <c r="W1686" s="611" t="str">
        <f t="shared" ca="1" si="235"/>
        <v>Page5i_SANS_OBJECT, Ligne 36 [Page5i_SANS_OBJECT!K39]  -</v>
      </c>
    </row>
    <row r="1687" spans="1:23">
      <c r="A1687" s="1443" t="str">
        <f>celladdr(Page5i_SANS_OBJECT!K40)</f>
        <v>Page5i_SANS_OBJECT!K40</v>
      </c>
      <c r="B1687" s="1464" t="s">
        <v>1086</v>
      </c>
      <c r="C1687" s="1451" t="b">
        <f>Page5i_SANS_OBJECT!$K$40&lt;0</f>
        <v>0</v>
      </c>
      <c r="D1687" s="1454" t="b">
        <f>OR(AND(Page5i_SANS_OBJECT!$K40&gt;0,Page5i_SANS_OBJECT!$M40=0),AND(Page5i_SANS_OBJECT!$M40&lt;&gt;0,Page5i_SANS_OBJECT!$K40=0))</f>
        <v>0</v>
      </c>
      <c r="E1687" s="1454"/>
      <c r="F1687" s="1454"/>
      <c r="G1687" s="1444" t="str">
        <f t="shared" si="230"/>
        <v/>
      </c>
      <c r="H1687" s="1447" t="str">
        <f>IF(C1687=TRUE,Comments!$B$26,"")</f>
        <v/>
      </c>
      <c r="I1687" s="1446" t="str">
        <f>IF(D1687=TRUE,Comments!$B$21,"")</f>
        <v/>
      </c>
      <c r="J1687" s="1446"/>
      <c r="K1687" s="1452"/>
      <c r="N1687" s="611" t="str">
        <f>"CPTE # "&amp;Page5i_SANS_OBJECT!$E$40&amp;"  "&amp;Page5i_SANS_OBJECT!$C$40&amp;" - UNITÉS - AAD"</f>
        <v>CPTE # 435I  NE PAS UTILISER - UNITÉS - AAD</v>
      </c>
      <c r="O1687" s="611" t="str">
        <f t="shared" si="229"/>
        <v/>
      </c>
      <c r="P1687" s="611" t="str">
        <f t="shared" si="231"/>
        <v>Page5i_SANS_OBJECT!K</v>
      </c>
      <c r="Q1687" s="611">
        <f t="shared" si="232"/>
        <v>40</v>
      </c>
      <c r="R1687" s="1447">
        <f t="shared" ca="1" si="233"/>
        <v>0</v>
      </c>
      <c r="S1687" s="1447">
        <f t="shared" ca="1" si="234"/>
        <v>0</v>
      </c>
      <c r="V1687" s="2557" t="str">
        <f t="shared" ca="1" si="228"/>
        <v/>
      </c>
      <c r="W1687" s="611" t="str">
        <f t="shared" ca="1" si="235"/>
        <v>Page5i_SANS_OBJECT, Ligne 37 [Page5i_SANS_OBJECT!K40]  -</v>
      </c>
    </row>
    <row r="1688" spans="1:23">
      <c r="A1688" s="1443" t="str">
        <f>celladdr(Page5i_SANS_OBJECT!K41)</f>
        <v>Page5i_SANS_OBJECT!K41</v>
      </c>
      <c r="B1688" s="1464" t="s">
        <v>1086</v>
      </c>
      <c r="C1688" s="1451" t="b">
        <f>Page5i_SANS_OBJECT!$K$41&lt;0</f>
        <v>0</v>
      </c>
      <c r="D1688" s="1454" t="b">
        <f>OR(AND(Page5i_SANS_OBJECT!$K41&gt;0,Page5i_SANS_OBJECT!$M41=0),AND(Page5i_SANS_OBJECT!$M41&lt;&gt;0,Page5i_SANS_OBJECT!$K41=0))</f>
        <v>0</v>
      </c>
      <c r="E1688" s="1454"/>
      <c r="F1688" s="1454"/>
      <c r="G1688" s="1444" t="str">
        <f t="shared" si="230"/>
        <v/>
      </c>
      <c r="H1688" s="1447" t="str">
        <f>IF(C1688=TRUE,Comments!$B$26,"")</f>
        <v/>
      </c>
      <c r="I1688" s="1446" t="str">
        <f>IF(D1688=TRUE,Comments!$B$21,"")</f>
        <v/>
      </c>
      <c r="J1688" s="1446"/>
      <c r="K1688" s="1452"/>
      <c r="N1688" s="611" t="str">
        <f>"CPTE # "&amp;Page5i_SANS_OBJECT!$E$41&amp;"  "&amp;Page5i_SANS_OBJECT!$C$41&amp;" - UNITÉS - AAD"</f>
        <v>CPTE # 436I  NE PAS UTILISER - UNITÉS - AAD</v>
      </c>
      <c r="O1688" s="611" t="str">
        <f t="shared" si="229"/>
        <v/>
      </c>
      <c r="P1688" s="611" t="str">
        <f t="shared" si="231"/>
        <v>Page5i_SANS_OBJECT!K</v>
      </c>
      <c r="Q1688" s="611">
        <f t="shared" si="232"/>
        <v>41</v>
      </c>
      <c r="R1688" s="1447">
        <f t="shared" ca="1" si="233"/>
        <v>0</v>
      </c>
      <c r="S1688" s="1447">
        <f t="shared" ca="1" si="234"/>
        <v>0</v>
      </c>
      <c r="V1688" s="2557" t="str">
        <f t="shared" ref="V1688:V1751" ca="1" si="236">IF(SUM(R1688+S1688)=0,"","
*** "&amp;TEXT(SUM(R1688+S1688),"0,0")&amp;" Points de précision seront déduits suite à cette(ces) erreur(s) !")</f>
        <v/>
      </c>
      <c r="W1688" s="611" t="str">
        <f t="shared" ca="1" si="235"/>
        <v>Page5i_SANS_OBJECT, Ligne 38 [Page5i_SANS_OBJECT!K41]  -</v>
      </c>
    </row>
    <row r="1689" spans="1:23">
      <c r="A1689" s="1443" t="str">
        <f>celladdr(Page5i_SANS_OBJECT!K42)</f>
        <v>Page5i_SANS_OBJECT!K42</v>
      </c>
      <c r="B1689" s="1464" t="s">
        <v>1086</v>
      </c>
      <c r="C1689" s="1451" t="b">
        <f>Page5i_SANS_OBJECT!$K$42&lt;0</f>
        <v>0</v>
      </c>
      <c r="D1689" s="1454" t="b">
        <f>OR(AND(Page5i_SANS_OBJECT!$K42&gt;0,Page5i_SANS_OBJECT!$M42=0),AND(Page5i_SANS_OBJECT!$M42&lt;&gt;0,Page5i_SANS_OBJECT!$K42=0))</f>
        <v>0</v>
      </c>
      <c r="E1689" s="1454"/>
      <c r="F1689" s="1454"/>
      <c r="G1689" s="1444" t="str">
        <f t="shared" si="230"/>
        <v/>
      </c>
      <c r="H1689" s="1447" t="str">
        <f>IF(C1689=TRUE,Comments!$B$26,"")</f>
        <v/>
      </c>
      <c r="I1689" s="1446" t="str">
        <f>IF(D1689=TRUE,Comments!$B$21,"")</f>
        <v/>
      </c>
      <c r="J1689" s="1446"/>
      <c r="K1689" s="1452"/>
      <c r="N1689" s="611" t="str">
        <f>"CPTE # "&amp;Page5i_SANS_OBJECT!$E$42&amp;"  "&amp;Page5i_SANS_OBJECT!$C$42&amp;" - UNITÉS - AAD"</f>
        <v>CPTE # 437I  POUR USAGE FUTUR - UNITÉS - AAD</v>
      </c>
      <c r="O1689" s="611" t="str">
        <f t="shared" si="229"/>
        <v/>
      </c>
      <c r="P1689" s="611" t="str">
        <f t="shared" si="231"/>
        <v>Page5i_SANS_OBJECT!K</v>
      </c>
      <c r="Q1689" s="611">
        <f t="shared" si="232"/>
        <v>42</v>
      </c>
      <c r="R1689" s="1447">
        <f t="shared" ca="1" si="233"/>
        <v>0</v>
      </c>
      <c r="S1689" s="1447">
        <f t="shared" ca="1" si="234"/>
        <v>0</v>
      </c>
      <c r="V1689" s="2557" t="str">
        <f t="shared" ca="1" si="236"/>
        <v/>
      </c>
      <c r="W1689" s="611" t="str">
        <f t="shared" ca="1" si="235"/>
        <v>Page5i_SANS_OBJECT, Ligne 39 [Page5i_SANS_OBJECT!K42]  -</v>
      </c>
    </row>
    <row r="1690" spans="1:23">
      <c r="A1690" s="1443" t="str">
        <f>celladdr(Page5i_SANS_OBJECT!K43)</f>
        <v>Page5i_SANS_OBJECT!K43</v>
      </c>
      <c r="B1690" s="1464" t="s">
        <v>1086</v>
      </c>
      <c r="C1690" s="1451" t="b">
        <f>Page5i_SANS_OBJECT!$K$43&lt;0</f>
        <v>0</v>
      </c>
      <c r="D1690" s="1454" t="b">
        <f>OR(AND(Page5i_SANS_OBJECT!$K43&gt;0,Page5i_SANS_OBJECT!$M43=0),AND(Page5i_SANS_OBJECT!$M43&lt;&gt;0,Page5i_SANS_OBJECT!$K43=0))</f>
        <v>0</v>
      </c>
      <c r="E1690" s="1454"/>
      <c r="F1690" s="1454"/>
      <c r="G1690" s="1444" t="str">
        <f t="shared" si="230"/>
        <v/>
      </c>
      <c r="H1690" s="1447" t="str">
        <f>IF(C1690=TRUE,Comments!$B$26,"")</f>
        <v/>
      </c>
      <c r="I1690" s="1446" t="str">
        <f>IF(D1690=TRUE,Comments!$B$21,"")</f>
        <v/>
      </c>
      <c r="J1690" s="1446"/>
      <c r="K1690" s="1452"/>
      <c r="N1690" s="611" t="str">
        <f>"CPTE # "&amp;Page5i_SANS_OBJECT!$E$43&amp;"  "&amp;Page5i_SANS_OBJECT!$C$43&amp;" - UNITÉS - AAD"</f>
        <v>CPTE # 438I  AUTRES POIDS MOYEN - UNITÉS - AAD</v>
      </c>
      <c r="O1690" s="611" t="str">
        <f t="shared" si="229"/>
        <v/>
      </c>
      <c r="P1690" s="611" t="str">
        <f t="shared" si="231"/>
        <v>Page5i_SANS_OBJECT!K</v>
      </c>
      <c r="Q1690" s="611">
        <f t="shared" si="232"/>
        <v>43</v>
      </c>
      <c r="R1690" s="1447">
        <f t="shared" ca="1" si="233"/>
        <v>0</v>
      </c>
      <c r="S1690" s="1447">
        <f t="shared" ca="1" si="234"/>
        <v>0</v>
      </c>
      <c r="V1690" s="2557" t="str">
        <f t="shared" ca="1" si="236"/>
        <v/>
      </c>
      <c r="W1690" s="611" t="str">
        <f t="shared" ca="1" si="235"/>
        <v>Page5i_SANS_OBJECT, Ligne 40 [Page5i_SANS_OBJECT!K43]  -</v>
      </c>
    </row>
    <row r="1691" spans="1:23">
      <c r="A1691" s="1443" t="str">
        <f>celladdr(Page5i_SANS_OBJECT!K44)</f>
        <v>Page5i_SANS_OBJECT!K44</v>
      </c>
      <c r="B1691" s="1444" t="s">
        <v>1086</v>
      </c>
      <c r="C1691" s="1451"/>
      <c r="D1691" s="1454"/>
      <c r="E1691" s="1454"/>
      <c r="F1691" s="1454"/>
      <c r="G1691" s="1444" t="str">
        <f t="shared" si="230"/>
        <v/>
      </c>
      <c r="H1691" s="1447" t="str">
        <f>IF(C1691=TRUE,Comments!$B$26,"")</f>
        <v/>
      </c>
      <c r="I1691" s="1446" t="str">
        <f>IF(D1691=TRUE,Comments!$B$21,"")</f>
        <v/>
      </c>
      <c r="J1691" s="1446"/>
      <c r="K1691" s="1452"/>
      <c r="O1691" s="611" t="str">
        <f t="shared" si="229"/>
        <v/>
      </c>
      <c r="P1691" s="611" t="str">
        <f t="shared" si="231"/>
        <v>Page5i_SANS_OBJECT!K</v>
      </c>
      <c r="Q1691" s="611">
        <f t="shared" si="232"/>
        <v>44</v>
      </c>
      <c r="R1691" s="1447">
        <f t="shared" ca="1" si="233"/>
        <v>0</v>
      </c>
      <c r="S1691" s="1447">
        <f t="shared" ca="1" si="234"/>
        <v>0</v>
      </c>
      <c r="V1691" s="2557" t="str">
        <f t="shared" ca="1" si="236"/>
        <v/>
      </c>
      <c r="W1691" s="611" t="str">
        <f t="shared" ca="1" si="235"/>
        <v>Page5i_SANS_OBJECT, Ligne 41 [Page5i_SANS_OBJECT!K44]  -</v>
      </c>
    </row>
    <row r="1692" spans="1:23">
      <c r="A1692" s="1443" t="str">
        <f>celladdr(Page5i_SANS_OBJECT!K45)</f>
        <v>Page5i_SANS_OBJECT!K45</v>
      </c>
      <c r="B1692" s="1464" t="s">
        <v>1086</v>
      </c>
      <c r="C1692" s="1451" t="b">
        <f>Page5i_SANS_OBJECT!$K$45&lt;0</f>
        <v>0</v>
      </c>
      <c r="D1692" s="1454" t="b">
        <f>OR(AND(Page5i_SANS_OBJECT!$K45&gt;0,Page5i_SANS_OBJECT!$M45=0),AND(Page5i_SANS_OBJECT!$M45&lt;&gt;0,Page5i_SANS_OBJECT!$K45=0))</f>
        <v>0</v>
      </c>
      <c r="E1692" s="1454"/>
      <c r="F1692" s="1454"/>
      <c r="G1692" s="1444" t="str">
        <f t="shared" si="230"/>
        <v/>
      </c>
      <c r="H1692" s="1447" t="str">
        <f>IF(C1692=TRUE,Comments!$B$26,"")</f>
        <v/>
      </c>
      <c r="I1692" s="1446" t="str">
        <f>IF(D1692=TRUE,Comments!$B$21,"")</f>
        <v/>
      </c>
      <c r="J1692" s="1446"/>
      <c r="K1692" s="1452"/>
      <c r="N1692" s="611" t="str">
        <f>"CPTE # "&amp;Page5i_SANS_OBJECT!$E$45&amp;"  "&amp;Page5i_SANS_OBJECT!$C$45&amp;" - UNITÉS - AAD"</f>
        <v>CPTE # 439I  MÉMO* VENTES INTERNET CAMIONS - UNITÉS - AAD</v>
      </c>
      <c r="O1692" s="611" t="str">
        <f t="shared" si="229"/>
        <v/>
      </c>
      <c r="P1692" s="611" t="str">
        <f t="shared" si="231"/>
        <v>Page5i_SANS_OBJECT!K</v>
      </c>
      <c r="Q1692" s="611">
        <f t="shared" si="232"/>
        <v>45</v>
      </c>
      <c r="R1692" s="1447">
        <f t="shared" ca="1" si="233"/>
        <v>0</v>
      </c>
      <c r="S1692" s="1447">
        <f t="shared" ca="1" si="234"/>
        <v>0</v>
      </c>
      <c r="V1692" s="2557" t="str">
        <f t="shared" ca="1" si="236"/>
        <v/>
      </c>
      <c r="W1692" s="611" t="str">
        <f t="shared" ca="1" si="235"/>
        <v>Page5i_SANS_OBJECT, Ligne 42 [Page5i_SANS_OBJECT!K45]  -</v>
      </c>
    </row>
    <row r="1693" spans="1:23">
      <c r="A1693" s="1443" t="str">
        <f>celladdr(Page5i_SANS_OBJECT!K46)</f>
        <v>Page5i_SANS_OBJECT!K46</v>
      </c>
      <c r="B1693" s="1464" t="s">
        <v>1086</v>
      </c>
      <c r="C1693" s="1451" t="b">
        <f>Page5i_SANS_OBJECT!$K$46&lt;0</f>
        <v>0</v>
      </c>
      <c r="D1693" s="1454" t="b">
        <f>OR(AND(Page5i_SANS_OBJECT!$K46&gt;0,Page5i_SANS_OBJECT!$M46=0),AND(Page5i_SANS_OBJECT!$M46&lt;&gt;0,Page5i_SANS_OBJECT!$K46=0))</f>
        <v>0</v>
      </c>
      <c r="E1693" s="1454"/>
      <c r="F1693" s="1454"/>
      <c r="G1693" s="1444" t="str">
        <f t="shared" si="230"/>
        <v/>
      </c>
      <c r="H1693" s="1447" t="str">
        <f>IF(C1693=TRUE,Comments!$B$26,"")</f>
        <v/>
      </c>
      <c r="I1693" s="1446" t="str">
        <f>IF(D1693=TRUE,Comments!$B$21,"")</f>
        <v/>
      </c>
      <c r="J1693" s="1446"/>
      <c r="K1693" s="1452"/>
      <c r="N1693" s="611" t="str">
        <f>"CPTE # "&amp;Page5i_SANS_OBJECT!$E$46&amp;"  "&amp;Page5i_SANS_OBJECT!$C$46&amp;" - UNITÉS - AAD"</f>
        <v>CPTE # 440I  TOTAL PARCS - CAMIONS - UNITÉS - AAD</v>
      </c>
      <c r="O1693" s="611" t="str">
        <f t="shared" si="229"/>
        <v/>
      </c>
      <c r="P1693" s="611" t="str">
        <f t="shared" si="231"/>
        <v>Page5i_SANS_OBJECT!K</v>
      </c>
      <c r="Q1693" s="611">
        <f t="shared" si="232"/>
        <v>46</v>
      </c>
      <c r="R1693" s="1447">
        <f t="shared" ca="1" si="233"/>
        <v>0</v>
      </c>
      <c r="S1693" s="1447">
        <f t="shared" ca="1" si="234"/>
        <v>0</v>
      </c>
      <c r="V1693" s="2557" t="str">
        <f t="shared" ca="1" si="236"/>
        <v/>
      </c>
      <c r="W1693" s="611" t="str">
        <f t="shared" ca="1" si="235"/>
        <v>Page5i_SANS_OBJECT, Ligne 43 [Page5i_SANS_OBJECT!K46]  -</v>
      </c>
    </row>
    <row r="1694" spans="1:23">
      <c r="A1694" s="1443" t="str">
        <f>celladdr(Page5i_SANS_OBJECT!K47)</f>
        <v>Page5i_SANS_OBJECT!K47</v>
      </c>
      <c r="B1694" s="1464" t="s">
        <v>1086</v>
      </c>
      <c r="C1694" s="1451" t="b">
        <f>Page5i_SANS_OBJECT!$K$47&lt;0</f>
        <v>0</v>
      </c>
      <c r="D1694" s="1454" t="b">
        <f>OR(AND(Page5i_SANS_OBJECT!$K47&gt;0,Page5i_SANS_OBJECT!$M47=0),AND(Page5i_SANS_OBJECT!$M47&lt;&gt;0,Page5i_SANS_OBJECT!$K47=0))</f>
        <v>0</v>
      </c>
      <c r="E1694" s="1454"/>
      <c r="F1694" s="1454"/>
      <c r="G1694" s="1444" t="str">
        <f t="shared" si="230"/>
        <v/>
      </c>
      <c r="H1694" s="1447" t="str">
        <f>IF(C1694=TRUE,Comments!$B$26,"")</f>
        <v/>
      </c>
      <c r="I1694" s="1446" t="str">
        <f>IF(D1694=TRUE,Comments!$B$21,"")</f>
        <v/>
      </c>
      <c r="J1694" s="1446"/>
      <c r="K1694" s="1452"/>
      <c r="N1694" s="611" t="str">
        <f>"CPTE # "&amp;Page5i_SANS_OBJECT!$E$47&amp;"  "&amp;Page5i_SANS_OBJECT!$C$47&amp;" - UNITÉS - AAD"</f>
        <v>CPTE # 441I  TOTAL IINTERNE - CAMIONS  - UNITÉS - AAD</v>
      </c>
      <c r="O1694" s="611" t="str">
        <f t="shared" si="229"/>
        <v/>
      </c>
      <c r="P1694" s="611" t="str">
        <f t="shared" si="231"/>
        <v>Page5i_SANS_OBJECT!K</v>
      </c>
      <c r="Q1694" s="611">
        <f t="shared" si="232"/>
        <v>47</v>
      </c>
      <c r="R1694" s="1447">
        <f t="shared" ca="1" si="233"/>
        <v>0</v>
      </c>
      <c r="S1694" s="1447">
        <f t="shared" ca="1" si="234"/>
        <v>0</v>
      </c>
      <c r="V1694" s="2557" t="str">
        <f t="shared" ca="1" si="236"/>
        <v/>
      </c>
      <c r="W1694" s="611" t="str">
        <f t="shared" ca="1" si="235"/>
        <v>Page5i_SANS_OBJECT, Ligne 44 [Page5i_SANS_OBJECT!K47]  -</v>
      </c>
    </row>
    <row r="1695" spans="1:23">
      <c r="A1695" s="1443" t="str">
        <f>celladdr(Page5i_SANS_OBJECT!K48)</f>
        <v>Page5i_SANS_OBJECT!K48</v>
      </c>
      <c r="B1695" s="1444" t="s">
        <v>1086</v>
      </c>
      <c r="C1695" s="1451"/>
      <c r="D1695" s="1454"/>
      <c r="E1695" s="1454"/>
      <c r="F1695" s="1454"/>
      <c r="G1695" s="1444" t="str">
        <f t="shared" si="230"/>
        <v/>
      </c>
      <c r="H1695" s="1447" t="str">
        <f>IF(C1695=TRUE,Comments!$B$26,"")</f>
        <v/>
      </c>
      <c r="I1695" s="1446" t="str">
        <f>IF(D1695=TRUE,Comments!$B$21,"")</f>
        <v/>
      </c>
      <c r="J1695" s="1446"/>
      <c r="K1695" s="1452"/>
      <c r="O1695" s="611" t="str">
        <f t="shared" si="229"/>
        <v/>
      </c>
      <c r="P1695" s="611" t="str">
        <f t="shared" si="231"/>
        <v>Page5i_SANS_OBJECT!K</v>
      </c>
      <c r="Q1695" s="611">
        <f t="shared" si="232"/>
        <v>48</v>
      </c>
      <c r="R1695" s="1447">
        <f t="shared" ca="1" si="233"/>
        <v>0</v>
      </c>
      <c r="S1695" s="1447">
        <f t="shared" ca="1" si="234"/>
        <v>0</v>
      </c>
      <c r="V1695" s="2557" t="str">
        <f t="shared" ca="1" si="236"/>
        <v/>
      </c>
      <c r="W1695" s="611" t="str">
        <f t="shared" ca="1" si="235"/>
        <v>Page5i_SANS_OBJECT, Ligne 45 [Page5i_SANS_OBJECT!K48]  -</v>
      </c>
    </row>
    <row r="1696" spans="1:23">
      <c r="A1696" s="1443" t="str">
        <f>celladdr(Page5i_SANS_OBJECT!K49)</f>
        <v>Page5i_SANS_OBJECT!K49</v>
      </c>
      <c r="B1696" s="1444" t="s">
        <v>1086</v>
      </c>
      <c r="C1696" s="1451"/>
      <c r="D1696" s="1454"/>
      <c r="E1696" s="1454"/>
      <c r="F1696" s="1454"/>
      <c r="G1696" s="1444" t="str">
        <f t="shared" si="230"/>
        <v/>
      </c>
      <c r="H1696" s="1447" t="str">
        <f>IF(C1696=TRUE,Comments!$B$26,"")</f>
        <v/>
      </c>
      <c r="I1696" s="1446" t="str">
        <f>IF(D1696=TRUE,Comments!$B$21,"")</f>
        <v/>
      </c>
      <c r="J1696" s="1446"/>
      <c r="K1696" s="1452"/>
      <c r="O1696" s="611" t="str">
        <f t="shared" si="229"/>
        <v/>
      </c>
      <c r="P1696" s="611" t="str">
        <f t="shared" si="231"/>
        <v>Page5i_SANS_OBJECT!K</v>
      </c>
      <c r="Q1696" s="611">
        <f t="shared" si="232"/>
        <v>49</v>
      </c>
      <c r="R1696" s="1447">
        <f t="shared" ca="1" si="233"/>
        <v>0</v>
      </c>
      <c r="S1696" s="1447">
        <f t="shared" ca="1" si="234"/>
        <v>0</v>
      </c>
      <c r="V1696" s="2557" t="str">
        <f t="shared" ca="1" si="236"/>
        <v/>
      </c>
      <c r="W1696" s="611" t="str">
        <f t="shared" ca="1" si="235"/>
        <v>Page5i_SANS_OBJECT, Ligne 46 [Page5i_SANS_OBJECT!K49]  -</v>
      </c>
    </row>
    <row r="1697" spans="1:23">
      <c r="A1697" s="1443" t="str">
        <f>celladdr(Page5i_SANS_OBJECT!K50)</f>
        <v>Page5i_SANS_OBJECT!K50</v>
      </c>
      <c r="B1697" s="1464" t="s">
        <v>1086</v>
      </c>
      <c r="C1697" s="1451"/>
      <c r="D1697" s="1454" t="b">
        <f>OR(AND(Page5i_SANS_OBJECT!$K50&gt;0,Page5i_SANS_OBJECT!$M50=0),AND(Page5i_SANS_OBJECT!$M50&lt;&gt;0,Page5i_SANS_OBJECT!$K50=0))</f>
        <v>0</v>
      </c>
      <c r="E1697" s="1454"/>
      <c r="F1697" s="1454"/>
      <c r="G1697" s="1444" t="str">
        <f t="shared" si="230"/>
        <v/>
      </c>
      <c r="I1697" s="1446" t="str">
        <f>IF(D1697=TRUE,Comments!$B$21,"")</f>
        <v/>
      </c>
      <c r="J1697" s="1446"/>
      <c r="K1697" s="1452"/>
      <c r="N1697" s="611" t="str">
        <f>"CPTE # "&amp;Page5i_SANS_OBJECT!$E$50&amp;"  "&amp;Page5i_SANS_OBJECT!$C$50&amp;" - UNITÉS - AAD"</f>
        <v>CPTE # 457I  ACCESSOIRES - UNITÉS - AAD</v>
      </c>
      <c r="O1697" s="611" t="str">
        <f t="shared" si="229"/>
        <v/>
      </c>
      <c r="P1697" s="611" t="str">
        <f t="shared" si="231"/>
        <v>Page5i_SANS_OBJECT!K</v>
      </c>
      <c r="Q1697" s="611">
        <f t="shared" si="232"/>
        <v>50</v>
      </c>
      <c r="R1697" s="1447">
        <f t="shared" ca="1" si="233"/>
        <v>0</v>
      </c>
      <c r="S1697" s="1447">
        <f t="shared" ca="1" si="234"/>
        <v>0</v>
      </c>
      <c r="V1697" s="2557" t="str">
        <f t="shared" ca="1" si="236"/>
        <v/>
      </c>
      <c r="W1697" s="611" t="str">
        <f t="shared" ca="1" si="235"/>
        <v>Page5i_SANS_OBJECT, Ligne 47 [Page5i_SANS_OBJECT!K50]  -</v>
      </c>
    </row>
    <row r="1698" spans="1:23">
      <c r="A1698" s="1443" t="str">
        <f>celladdr(Page5i_SANS_OBJECT!K51)</f>
        <v>Page5i_SANS_OBJECT!K51</v>
      </c>
      <c r="B1698" s="1453" t="s">
        <v>1086</v>
      </c>
      <c r="C1698" s="1445" t="b">
        <f>Page5i_SANS_OBJECT!$K$51&lt;&gt;Page5i_SANS_OBJECT!$K$48+Page5i_SANS_OBJECT!$K$27</f>
        <v>0</v>
      </c>
      <c r="D1698" s="1454"/>
      <c r="F1698" s="1454"/>
      <c r="G1698" s="1444" t="str">
        <f t="shared" si="230"/>
        <v/>
      </c>
      <c r="H1698" s="1446" t="str">
        <f>IF(C1698=TRUE,Comments!$B$38&amp;Page5i_SANS_OBJECT!$K$51-(Page5i_SANS_OBJECT!$K$48+Page5i_SANS_OBJECT!$K$27),"")</f>
        <v/>
      </c>
      <c r="I1698" s="1452"/>
      <c r="J1698" s="1452"/>
      <c r="K1698" s="1452"/>
      <c r="N1698" s="611" t="str">
        <f>Page5i_SANS_OBJECT!$B$1&amp;" TOTAL VÉHICULES NEUFS  - UNITÉS - AAD"</f>
        <v>SANS OBJECT TOTAL VÉHICULES NEUFS  - UNITÉS - AAD</v>
      </c>
      <c r="O1698" s="611" t="str">
        <f t="shared" si="229"/>
        <v/>
      </c>
      <c r="P1698" s="611" t="str">
        <f t="shared" si="231"/>
        <v>Page5i_SANS_OBJECT!K</v>
      </c>
      <c r="Q1698" s="611">
        <f t="shared" si="232"/>
        <v>51</v>
      </c>
      <c r="R1698" s="1447">
        <f t="shared" ca="1" si="233"/>
        <v>0</v>
      </c>
      <c r="S1698" s="1447">
        <f t="shared" ca="1" si="234"/>
        <v>0</v>
      </c>
      <c r="V1698" s="2557" t="str">
        <f t="shared" ca="1" si="236"/>
        <v/>
      </c>
      <c r="W1698" s="611" t="str">
        <f t="shared" ca="1" si="235"/>
        <v>Page5i_SANS_OBJECT, Ligne 48 [Page5i_SANS_OBJECT!K51]  -</v>
      </c>
    </row>
    <row r="1699" spans="1:23">
      <c r="A1699" s="1443" t="str">
        <f>celladdr(Page5i_SANS_OBJECT!L4)</f>
        <v>Page5i_SANS_OBJECT!L4</v>
      </c>
      <c r="B1699" s="1456" t="s">
        <v>1086</v>
      </c>
      <c r="C1699" s="1451" t="b">
        <f>Page5i_SANS_OBJECT!$L$4&lt;0</f>
        <v>0</v>
      </c>
      <c r="D1699" s="1454" t="b">
        <f>OR(AND(Page5i_SANS_OBJECT!$L4&lt;&gt;0,Page5i_SANS_OBJECT!$M4=0),AND(Page5i_SANS_OBJECT!$M4&lt;&gt;0,Page5i_SANS_OBJECT!$L4=0))</f>
        <v>0</v>
      </c>
      <c r="E1699" s="1454"/>
      <c r="F1699" s="1454"/>
      <c r="G1699" s="1444" t="str">
        <f t="shared" si="230"/>
        <v/>
      </c>
      <c r="H1699" s="1447" t="str">
        <f>IF(C1699=TRUE,Comments!$B$23,"")</f>
        <v/>
      </c>
      <c r="I1699" s="1446" t="str">
        <f>IF(D1699=TRUE,Comments!$B$24,"")</f>
        <v/>
      </c>
      <c r="J1699" s="1446"/>
      <c r="K1699" s="1452"/>
      <c r="N1699" s="611" t="str">
        <f>"CPTE # "&amp;Page5i_SANS_OBJECT!$E$4&amp;"  "&amp;Page5i_SANS_OBJECT!$C$4&amp;" - CHIFFRE D'AFFAIRES RÉALISÉ - AAD"</f>
        <v>CPTE # 400I  NE PAS UTILISER - CHIFFRE D'AFFAIRES RÉALISÉ - AAD</v>
      </c>
      <c r="O1699" s="611" t="str">
        <f t="shared" si="229"/>
        <v/>
      </c>
      <c r="P1699" s="611" t="str">
        <f t="shared" si="231"/>
        <v>Page5i_SANS_OBJECT!L</v>
      </c>
      <c r="Q1699" s="611">
        <f t="shared" si="232"/>
        <v>4</v>
      </c>
      <c r="R1699" s="1447">
        <f t="shared" ca="1" si="233"/>
        <v>0</v>
      </c>
      <c r="S1699" s="1447">
        <f t="shared" ca="1" si="234"/>
        <v>0</v>
      </c>
      <c r="V1699" s="2557" t="str">
        <f t="shared" ca="1" si="236"/>
        <v/>
      </c>
      <c r="W1699" s="611" t="str">
        <f t="shared" ca="1" si="235"/>
        <v>Page5i_SANS_OBJECT, Ligne 1 [Page5i_SANS_OBJECT!L4]  -</v>
      </c>
    </row>
    <row r="1700" spans="1:23">
      <c r="A1700" s="1443" t="str">
        <f>celladdr(Page5i_SANS_OBJECT!L5)</f>
        <v>Page5i_SANS_OBJECT!L5</v>
      </c>
      <c r="B1700" s="1456" t="s">
        <v>1086</v>
      </c>
      <c r="C1700" s="1451" t="b">
        <f>Page5i_SANS_OBJECT!$L$5&lt;0</f>
        <v>0</v>
      </c>
      <c r="D1700" s="1454" t="b">
        <f>OR(AND(Page5i_SANS_OBJECT!$L5&lt;&gt;0,Page5i_SANS_OBJECT!$M5=0),AND(Page5i_SANS_OBJECT!$M5&lt;&gt;0,Page5i_SANS_OBJECT!$L5=0))</f>
        <v>0</v>
      </c>
      <c r="E1700" s="1454"/>
      <c r="F1700" s="1454"/>
      <c r="G1700" s="1444" t="str">
        <f t="shared" si="230"/>
        <v/>
      </c>
      <c r="H1700" s="1447" t="str">
        <f>IF(C1700=TRUE,Comments!$B$23,"")</f>
        <v/>
      </c>
      <c r="I1700" s="1446" t="str">
        <f>IF(D1700=TRUE,Comments!$B$24,"")</f>
        <v/>
      </c>
      <c r="J1700" s="1446"/>
      <c r="K1700" s="1452"/>
      <c r="N1700" s="611" t="str">
        <f>"CPTE # "&amp;Page5i_SANS_OBJECT!$E$5&amp;"  "&amp;Page5i_SANS_OBJECT!$C$5&amp;" - CHIFFRE D'AFFAIRES RÉALISÉ - AAD"</f>
        <v>CPTE # 401I  NE PAS UTILISER - CHIFFRE D'AFFAIRES RÉALISÉ - AAD</v>
      </c>
      <c r="O1700" s="611" t="str">
        <f t="shared" si="229"/>
        <v/>
      </c>
      <c r="P1700" s="611" t="str">
        <f t="shared" si="231"/>
        <v>Page5i_SANS_OBJECT!L</v>
      </c>
      <c r="Q1700" s="611">
        <f t="shared" si="232"/>
        <v>5</v>
      </c>
      <c r="R1700" s="1447">
        <f t="shared" ca="1" si="233"/>
        <v>0</v>
      </c>
      <c r="S1700" s="1447">
        <f t="shared" ca="1" si="234"/>
        <v>0</v>
      </c>
      <c r="V1700" s="2557" t="str">
        <f t="shared" ca="1" si="236"/>
        <v/>
      </c>
      <c r="W1700" s="611" t="str">
        <f t="shared" ca="1" si="235"/>
        <v>Page5i_SANS_OBJECT, Ligne 2 [Page5i_SANS_OBJECT!L5]  -</v>
      </c>
    </row>
    <row r="1701" spans="1:23">
      <c r="A1701" s="1443" t="str">
        <f>celladdr(Page5i_SANS_OBJECT!L6)</f>
        <v>Page5i_SANS_OBJECT!L6</v>
      </c>
      <c r="B1701" s="1456" t="s">
        <v>1086</v>
      </c>
      <c r="C1701" s="1451" t="b">
        <f>Page5i_SANS_OBJECT!$L$6&lt;0</f>
        <v>0</v>
      </c>
      <c r="D1701" s="1454" t="b">
        <f>OR(AND(Page5i_SANS_OBJECT!$L6&lt;&gt;0,Page5i_SANS_OBJECT!$M6=0),AND(Page5i_SANS_OBJECT!$M6&lt;&gt;0,Page5i_SANS_OBJECT!$L6=0))</f>
        <v>0</v>
      </c>
      <c r="E1701" s="1454"/>
      <c r="F1701" s="1454"/>
      <c r="G1701" s="1444" t="str">
        <f t="shared" si="230"/>
        <v/>
      </c>
      <c r="H1701" s="1447" t="str">
        <f>IF(C1701=TRUE,Comments!$B$23,"")</f>
        <v/>
      </c>
      <c r="I1701" s="1446" t="str">
        <f>IF(D1701=TRUE,Comments!$B$24,"")</f>
        <v/>
      </c>
      <c r="J1701" s="1446"/>
      <c r="K1701" s="1452"/>
      <c r="N1701" s="611" t="str">
        <f>"CPTE # "&amp;Page5i_SANS_OBJECT!$E$6&amp;"  "&amp;Page5i_SANS_OBJECT!$C$6&amp;" - CHIFFRE D'AFFAIRES RÉALISÉ - AAD"</f>
        <v>CPTE # 402I  NE PAS UTILISER - CHIFFRE D'AFFAIRES RÉALISÉ - AAD</v>
      </c>
      <c r="O1701" s="611" t="str">
        <f t="shared" si="229"/>
        <v/>
      </c>
      <c r="P1701" s="611" t="str">
        <f t="shared" si="231"/>
        <v>Page5i_SANS_OBJECT!L</v>
      </c>
      <c r="Q1701" s="611">
        <f t="shared" si="232"/>
        <v>6</v>
      </c>
      <c r="R1701" s="1447">
        <f t="shared" ca="1" si="233"/>
        <v>0</v>
      </c>
      <c r="S1701" s="1447">
        <f t="shared" ca="1" si="234"/>
        <v>0</v>
      </c>
      <c r="V1701" s="2557" t="str">
        <f t="shared" ca="1" si="236"/>
        <v/>
      </c>
      <c r="W1701" s="611" t="str">
        <f t="shared" ca="1" si="235"/>
        <v>Page5i_SANS_OBJECT, Ligne 3 [Page5i_SANS_OBJECT!L6]  -</v>
      </c>
    </row>
    <row r="1702" spans="1:23">
      <c r="A1702" s="1443" t="str">
        <f>celladdr(Page5i_SANS_OBJECT!L7)</f>
        <v>Page5i_SANS_OBJECT!L7</v>
      </c>
      <c r="B1702" s="1456" t="s">
        <v>1086</v>
      </c>
      <c r="C1702" s="1451" t="b">
        <f>Page5i_SANS_OBJECT!$L$7&lt;0</f>
        <v>0</v>
      </c>
      <c r="D1702" s="1454" t="b">
        <f>OR(AND(Page5i_SANS_OBJECT!$L7&lt;&gt;0,Page5i_SANS_OBJECT!$M7=0),AND(Page5i_SANS_OBJECT!$M7&lt;&gt;0,Page5i_SANS_OBJECT!$L7=0))</f>
        <v>0</v>
      </c>
      <c r="E1702" s="1454"/>
      <c r="F1702" s="1454"/>
      <c r="G1702" s="1444" t="str">
        <f t="shared" si="230"/>
        <v/>
      </c>
      <c r="H1702" s="1447" t="str">
        <f>IF(C1702=TRUE,Comments!$B$23,"")</f>
        <v/>
      </c>
      <c r="I1702" s="1446" t="str">
        <f>IF(D1702=TRUE,Comments!$B$24,"")</f>
        <v/>
      </c>
      <c r="J1702" s="1446"/>
      <c r="K1702" s="1452"/>
      <c r="N1702" s="611" t="str">
        <f>"CPTE # "&amp;Page5i_SANS_OBJECT!$E$7&amp;"  "&amp;Page5i_SANS_OBJECT!$C$7&amp;" - CHIFFRE D'AFFAIRES RÉALISÉ - AAD"</f>
        <v>CPTE # 403I  NE PAS UTILISER - CHIFFRE D'AFFAIRES RÉALISÉ - AAD</v>
      </c>
      <c r="O1702" s="611" t="str">
        <f t="shared" si="229"/>
        <v/>
      </c>
      <c r="P1702" s="611" t="str">
        <f t="shared" si="231"/>
        <v>Page5i_SANS_OBJECT!L</v>
      </c>
      <c r="Q1702" s="611">
        <f t="shared" si="232"/>
        <v>7</v>
      </c>
      <c r="R1702" s="1447">
        <f t="shared" ca="1" si="233"/>
        <v>0</v>
      </c>
      <c r="S1702" s="1447">
        <f t="shared" ca="1" si="234"/>
        <v>0</v>
      </c>
      <c r="V1702" s="2557" t="str">
        <f t="shared" ca="1" si="236"/>
        <v/>
      </c>
      <c r="W1702" s="611" t="str">
        <f t="shared" ca="1" si="235"/>
        <v>Page5i_SANS_OBJECT, Ligne 4 [Page5i_SANS_OBJECT!L7]  -</v>
      </c>
    </row>
    <row r="1703" spans="1:23">
      <c r="A1703" s="1443" t="str">
        <f>celladdr(Page5i_SANS_OBJECT!L8)</f>
        <v>Page5i_SANS_OBJECT!L8</v>
      </c>
      <c r="B1703" s="1456" t="s">
        <v>1086</v>
      </c>
      <c r="C1703" s="1451" t="b">
        <f>Page5i_SANS_OBJECT!$L$8&lt;0</f>
        <v>0</v>
      </c>
      <c r="D1703" s="1454" t="b">
        <f>OR(AND(Page5i_SANS_OBJECT!$L8&lt;&gt;0,Page5i_SANS_OBJECT!$M8=0),AND(Page5i_SANS_OBJECT!$M8&lt;&gt;0,Page5i_SANS_OBJECT!$L8=0))</f>
        <v>0</v>
      </c>
      <c r="E1703" s="1454"/>
      <c r="F1703" s="1454"/>
      <c r="G1703" s="1444" t="str">
        <f t="shared" si="230"/>
        <v/>
      </c>
      <c r="H1703" s="1447" t="str">
        <f>IF(C1703=TRUE,Comments!$B$23,"")</f>
        <v/>
      </c>
      <c r="I1703" s="1446" t="str">
        <f>IF(D1703=TRUE,Comments!$B$24,"")</f>
        <v/>
      </c>
      <c r="J1703" s="1446"/>
      <c r="K1703" s="1452"/>
      <c r="N1703" s="611" t="str">
        <f>"CPTE # "&amp;Page5i_SANS_OBJECT!$E$8&amp;"  "&amp;Page5i_SANS_OBJECT!$C$8&amp;" - CHIFFRE D'AFFAIRES RÉALISÉ - AAD"</f>
        <v>CPTE # 404I  NE PAS UTILISER - CHIFFRE D'AFFAIRES RÉALISÉ - AAD</v>
      </c>
      <c r="O1703" s="611" t="str">
        <f t="shared" si="229"/>
        <v/>
      </c>
      <c r="P1703" s="611" t="str">
        <f t="shared" si="231"/>
        <v>Page5i_SANS_OBJECT!L</v>
      </c>
      <c r="Q1703" s="611">
        <f t="shared" si="232"/>
        <v>8</v>
      </c>
      <c r="R1703" s="1447">
        <f t="shared" ca="1" si="233"/>
        <v>0</v>
      </c>
      <c r="S1703" s="1447">
        <f t="shared" ca="1" si="234"/>
        <v>0</v>
      </c>
      <c r="V1703" s="2557" t="str">
        <f t="shared" ca="1" si="236"/>
        <v/>
      </c>
      <c r="W1703" s="611" t="str">
        <f t="shared" ca="1" si="235"/>
        <v>Page5i_SANS_OBJECT, Ligne 5 [Page5i_SANS_OBJECT!L8]  -</v>
      </c>
    </row>
    <row r="1704" spans="1:23">
      <c r="A1704" s="1443" t="str">
        <f>celladdr(Page5i_SANS_OBJECT!L9)</f>
        <v>Page5i_SANS_OBJECT!L9</v>
      </c>
      <c r="B1704" s="1456" t="s">
        <v>1086</v>
      </c>
      <c r="C1704" s="1451" t="b">
        <f>Page5i_SANS_OBJECT!$L$9&lt;0</f>
        <v>0</v>
      </c>
      <c r="D1704" s="1454" t="b">
        <f>OR(AND(Page5i_SANS_OBJECT!$L9&lt;&gt;0,Page5i_SANS_OBJECT!$M9=0),AND(Page5i_SANS_OBJECT!$M9&lt;&gt;0,Page5i_SANS_OBJECT!$L9=0))</f>
        <v>0</v>
      </c>
      <c r="E1704" s="1454"/>
      <c r="F1704" s="1454"/>
      <c r="G1704" s="1444" t="str">
        <f t="shared" si="230"/>
        <v/>
      </c>
      <c r="H1704" s="1447" t="str">
        <f>IF(C1704=TRUE,Comments!$B$23,"")</f>
        <v/>
      </c>
      <c r="I1704" s="1446" t="str">
        <f>IF(D1704=TRUE,Comments!$B$24,"")</f>
        <v/>
      </c>
      <c r="J1704" s="1446"/>
      <c r="K1704" s="1452"/>
      <c r="N1704" s="611" t="str">
        <f>"CPTE # "&amp;Page5i_SANS_OBJECT!$E$9&amp;"  "&amp;Page5i_SANS_OBJECT!$C$9&amp;" - CHIFFRE D'AFFAIRES RÉALISÉ - AAD"</f>
        <v>CPTE # 405I  NE PAS UTILISER - CHIFFRE D'AFFAIRES RÉALISÉ - AAD</v>
      </c>
      <c r="O1704" s="611" t="str">
        <f t="shared" si="229"/>
        <v/>
      </c>
      <c r="P1704" s="611" t="str">
        <f t="shared" si="231"/>
        <v>Page5i_SANS_OBJECT!L</v>
      </c>
      <c r="Q1704" s="611">
        <f t="shared" si="232"/>
        <v>9</v>
      </c>
      <c r="R1704" s="1447">
        <f t="shared" ca="1" si="233"/>
        <v>0</v>
      </c>
      <c r="S1704" s="1447">
        <f t="shared" ca="1" si="234"/>
        <v>0</v>
      </c>
      <c r="V1704" s="2557" t="str">
        <f t="shared" ca="1" si="236"/>
        <v/>
      </c>
      <c r="W1704" s="611" t="str">
        <f t="shared" ca="1" si="235"/>
        <v>Page5i_SANS_OBJECT, Ligne 6 [Page5i_SANS_OBJECT!L9]  -</v>
      </c>
    </row>
    <row r="1705" spans="1:23">
      <c r="A1705" s="1443" t="str">
        <f>celladdr(Page5i_SANS_OBJECT!L10)</f>
        <v>Page5i_SANS_OBJECT!L10</v>
      </c>
      <c r="B1705" s="1456" t="s">
        <v>1086</v>
      </c>
      <c r="C1705" s="1451" t="b">
        <f>Page5i_SANS_OBJECT!$L$10&lt;0</f>
        <v>0</v>
      </c>
      <c r="D1705" s="1454" t="b">
        <f>OR(AND(Page5i_SANS_OBJECT!$L10&lt;&gt;0,Page5i_SANS_OBJECT!$M10=0),AND(Page5i_SANS_OBJECT!$M10&lt;&gt;0,Page5i_SANS_OBJECT!$L10=0))</f>
        <v>0</v>
      </c>
      <c r="E1705" s="1454"/>
      <c r="F1705" s="1454"/>
      <c r="G1705" s="1444" t="str">
        <f t="shared" si="230"/>
        <v/>
      </c>
      <c r="H1705" s="1447" t="str">
        <f>IF(C1705=TRUE,Comments!$B$23,"")</f>
        <v/>
      </c>
      <c r="I1705" s="1446" t="str">
        <f>IF(D1705=TRUE,Comments!$B$24,"")</f>
        <v/>
      </c>
      <c r="J1705" s="1446"/>
      <c r="K1705" s="1452"/>
      <c r="N1705" s="611" t="str">
        <f>"CPTE # "&amp;Page5i_SANS_OBJECT!$E$10&amp;"  "&amp;Page5i_SANS_OBJECT!$C$10&amp;" - CHIFFRE D'AFFAIRES RÉALISÉ - AAD"</f>
        <v>CPTE # 406I  NE PAS UTILISER - CHIFFRE D'AFFAIRES RÉALISÉ - AAD</v>
      </c>
      <c r="O1705" s="611" t="str">
        <f t="shared" si="229"/>
        <v/>
      </c>
      <c r="P1705" s="611" t="str">
        <f t="shared" si="231"/>
        <v>Page5i_SANS_OBJECT!L</v>
      </c>
      <c r="Q1705" s="611">
        <f t="shared" si="232"/>
        <v>10</v>
      </c>
      <c r="R1705" s="1447">
        <f t="shared" ca="1" si="233"/>
        <v>0</v>
      </c>
      <c r="S1705" s="1447">
        <f t="shared" ca="1" si="234"/>
        <v>0</v>
      </c>
      <c r="V1705" s="2557" t="str">
        <f t="shared" ca="1" si="236"/>
        <v/>
      </c>
      <c r="W1705" s="611" t="str">
        <f t="shared" ca="1" si="235"/>
        <v>Page5i_SANS_OBJECT, Ligne 7 [Page5i_SANS_OBJECT!L10]  -</v>
      </c>
    </row>
    <row r="1706" spans="1:23">
      <c r="A1706" s="1443" t="str">
        <f>celladdr(Page5i_SANS_OBJECT!L11)</f>
        <v>Page5i_SANS_OBJECT!L11</v>
      </c>
      <c r="B1706" s="1456" t="s">
        <v>1086</v>
      </c>
      <c r="C1706" s="1451" t="b">
        <f>Page5i_SANS_OBJECT!$L$11&lt;0</f>
        <v>0</v>
      </c>
      <c r="D1706" s="1454" t="b">
        <f>OR(AND(Page5i_SANS_OBJECT!$L11&lt;&gt;0,Page5i_SANS_OBJECT!$M11=0),AND(Page5i_SANS_OBJECT!$M11&lt;&gt;0,Page5i_SANS_OBJECT!$L11=0))</f>
        <v>0</v>
      </c>
      <c r="E1706" s="1454"/>
      <c r="F1706" s="1454"/>
      <c r="G1706" s="1444" t="str">
        <f t="shared" si="230"/>
        <v/>
      </c>
      <c r="H1706" s="1447" t="str">
        <f>IF(C1706=TRUE,Comments!$B$23,"")</f>
        <v/>
      </c>
      <c r="I1706" s="1446" t="str">
        <f>IF(D1706=TRUE,Comments!$B$24,"")</f>
        <v/>
      </c>
      <c r="J1706" s="1446"/>
      <c r="K1706" s="1452"/>
      <c r="N1706" s="611" t="str">
        <f>"CPTE # "&amp;Page5i_SANS_OBJECT!$E$11&amp;"  "&amp;Page5i_SANS_OBJECT!$C$11&amp;" - CHIFFRE D'AFFAIRES RÉALISÉ - AAD"</f>
        <v>CPTE # 407I  NE PAS UTILISER - CHIFFRE D'AFFAIRES RÉALISÉ - AAD</v>
      </c>
      <c r="O1706" s="611" t="str">
        <f t="shared" si="229"/>
        <v/>
      </c>
      <c r="P1706" s="611" t="str">
        <f t="shared" si="231"/>
        <v>Page5i_SANS_OBJECT!L</v>
      </c>
      <c r="Q1706" s="611">
        <f t="shared" si="232"/>
        <v>11</v>
      </c>
      <c r="R1706" s="1447">
        <f t="shared" ca="1" si="233"/>
        <v>0</v>
      </c>
      <c r="S1706" s="1447">
        <f t="shared" ca="1" si="234"/>
        <v>0</v>
      </c>
      <c r="V1706" s="2557" t="str">
        <f t="shared" ca="1" si="236"/>
        <v/>
      </c>
      <c r="W1706" s="611" t="str">
        <f t="shared" ca="1" si="235"/>
        <v>Page5i_SANS_OBJECT, Ligne 8 [Page5i_SANS_OBJECT!L11]  -</v>
      </c>
    </row>
    <row r="1707" spans="1:23">
      <c r="A1707" s="1443" t="str">
        <f>celladdr(Page5i_SANS_OBJECT!L12)</f>
        <v>Page5i_SANS_OBJECT!L12</v>
      </c>
      <c r="B1707" s="1456" t="s">
        <v>1086</v>
      </c>
      <c r="C1707" s="1451" t="b">
        <f>Page5i_SANS_OBJECT!$L$12&lt;0</f>
        <v>0</v>
      </c>
      <c r="D1707" s="1454" t="b">
        <f>OR(AND(Page5i_SANS_OBJECT!$L12&lt;&gt;0,Page5i_SANS_OBJECT!$M12=0),AND(Page5i_SANS_OBJECT!$M12&lt;&gt;0,Page5i_SANS_OBJECT!$L12=0))</f>
        <v>0</v>
      </c>
      <c r="E1707" s="1454"/>
      <c r="F1707" s="1454"/>
      <c r="G1707" s="1444" t="str">
        <f t="shared" si="230"/>
        <v/>
      </c>
      <c r="H1707" s="1447" t="str">
        <f>IF(C1707=TRUE,Comments!$B$23,"")</f>
        <v/>
      </c>
      <c r="I1707" s="1446" t="str">
        <f>IF(D1707=TRUE,Comments!$B$24,"")</f>
        <v/>
      </c>
      <c r="J1707" s="1446"/>
      <c r="K1707" s="1452"/>
      <c r="N1707" s="611" t="str">
        <f>"CPTE # "&amp;Page5i_SANS_OBJECT!$E$12&amp;"  "&amp;Page5i_SANS_OBJECT!$C$12&amp;" - CHIFFRE D'AFFAIRES RÉALISÉ - AAD"</f>
        <v>CPTE # 408I  NE PAS UTILISER - CHIFFRE D'AFFAIRES RÉALISÉ - AAD</v>
      </c>
      <c r="O1707" s="611" t="str">
        <f t="shared" si="229"/>
        <v/>
      </c>
      <c r="P1707" s="611" t="str">
        <f t="shared" si="231"/>
        <v>Page5i_SANS_OBJECT!L</v>
      </c>
      <c r="Q1707" s="611">
        <f t="shared" si="232"/>
        <v>12</v>
      </c>
      <c r="R1707" s="1447">
        <f t="shared" ca="1" si="233"/>
        <v>0</v>
      </c>
      <c r="S1707" s="1447">
        <f t="shared" ca="1" si="234"/>
        <v>0</v>
      </c>
      <c r="V1707" s="2557" t="str">
        <f t="shared" ca="1" si="236"/>
        <v/>
      </c>
      <c r="W1707" s="611" t="str">
        <f t="shared" ca="1" si="235"/>
        <v>Page5i_SANS_OBJECT, Ligne 9 [Page5i_SANS_OBJECT!L12]  -</v>
      </c>
    </row>
    <row r="1708" spans="1:23">
      <c r="A1708" s="1443" t="str">
        <f>celladdr(Page5i_SANS_OBJECT!L13)</f>
        <v>Page5i_SANS_OBJECT!L13</v>
      </c>
      <c r="B1708" s="1456" t="s">
        <v>1086</v>
      </c>
      <c r="C1708" s="1451" t="b">
        <f>Page5i_SANS_OBJECT!$L$13&lt;0</f>
        <v>0</v>
      </c>
      <c r="D1708" s="1454" t="b">
        <f>OR(AND(Page5i_SANS_OBJECT!$L13&lt;&gt;0,Page5i_SANS_OBJECT!$M13=0),AND(Page5i_SANS_OBJECT!$M13&lt;&gt;0,Page5i_SANS_OBJECT!$L13=0))</f>
        <v>0</v>
      </c>
      <c r="E1708" s="1454"/>
      <c r="F1708" s="1454"/>
      <c r="G1708" s="1444" t="str">
        <f t="shared" si="230"/>
        <v/>
      </c>
      <c r="H1708" s="1447" t="str">
        <f>IF(C1708=TRUE,Comments!$B$23,"")</f>
        <v/>
      </c>
      <c r="I1708" s="1446" t="str">
        <f>IF(D1708=TRUE,Comments!$B$24,"")</f>
        <v/>
      </c>
      <c r="J1708" s="1446"/>
      <c r="K1708" s="1452"/>
      <c r="N1708" s="611" t="str">
        <f>"CPTE # "&amp;Page5i_SANS_OBJECT!$E$13&amp;"  "&amp;Page5i_SANS_OBJECT!$C$13&amp;" - CHIFFRE D'AFFAIRES RÉALISÉ - AAD"</f>
        <v>CPTE # 409I  NE PAS UTILISER - CHIFFRE D'AFFAIRES RÉALISÉ - AAD</v>
      </c>
      <c r="O1708" s="611" t="str">
        <f t="shared" si="229"/>
        <v/>
      </c>
      <c r="P1708" s="611" t="str">
        <f t="shared" si="231"/>
        <v>Page5i_SANS_OBJECT!L</v>
      </c>
      <c r="Q1708" s="611">
        <f t="shared" si="232"/>
        <v>13</v>
      </c>
      <c r="R1708" s="1447">
        <f t="shared" ca="1" si="233"/>
        <v>0</v>
      </c>
      <c r="S1708" s="1447">
        <f t="shared" ca="1" si="234"/>
        <v>0</v>
      </c>
      <c r="V1708" s="2557" t="str">
        <f t="shared" ca="1" si="236"/>
        <v/>
      </c>
      <c r="W1708" s="611" t="str">
        <f t="shared" ca="1" si="235"/>
        <v>Page5i_SANS_OBJECT, Ligne 10 [Page5i_SANS_OBJECT!L13]  -</v>
      </c>
    </row>
    <row r="1709" spans="1:23">
      <c r="A1709" s="1443" t="str">
        <f>celladdr(Page5i_SANS_OBJECT!L14)</f>
        <v>Page5i_SANS_OBJECT!L14</v>
      </c>
      <c r="B1709" s="1456" t="s">
        <v>1086</v>
      </c>
      <c r="C1709" s="1451" t="b">
        <f>Page5i_SANS_OBJECT!$L$14&lt;0</f>
        <v>0</v>
      </c>
      <c r="D1709" s="1454" t="b">
        <f>OR(AND(Page5i_SANS_OBJECT!$L14&lt;&gt;0,Page5i_SANS_OBJECT!$M14=0),AND(Page5i_SANS_OBJECT!$M14&lt;&gt;0,Page5i_SANS_OBJECT!$L14=0))</f>
        <v>0</v>
      </c>
      <c r="E1709" s="1454"/>
      <c r="F1709" s="1454"/>
      <c r="G1709" s="1444" t="str">
        <f t="shared" si="230"/>
        <v/>
      </c>
      <c r="H1709" s="1447" t="str">
        <f>IF(C1709=TRUE,Comments!$B$23,"")</f>
        <v/>
      </c>
      <c r="I1709" s="1446" t="str">
        <f>IF(D1709=TRUE,Comments!$B$24,"")</f>
        <v/>
      </c>
      <c r="J1709" s="1446"/>
      <c r="K1709" s="1452"/>
      <c r="N1709" s="611" t="str">
        <f>"CPTE # "&amp;Page5i_SANS_OBJECT!$E$14&amp;"  "&amp;Page5i_SANS_OBJECT!$C$14&amp;" - CHIFFRE D'AFFAIRES RÉALISÉ - AAD"</f>
        <v>CPTE # 410I  NE PAS UTILISER - CHIFFRE D'AFFAIRES RÉALISÉ - AAD</v>
      </c>
      <c r="O1709" s="611" t="str">
        <f t="shared" si="229"/>
        <v/>
      </c>
      <c r="P1709" s="611" t="str">
        <f t="shared" si="231"/>
        <v>Page5i_SANS_OBJECT!L</v>
      </c>
      <c r="Q1709" s="611">
        <f t="shared" si="232"/>
        <v>14</v>
      </c>
      <c r="R1709" s="1447">
        <f t="shared" ca="1" si="233"/>
        <v>0</v>
      </c>
      <c r="S1709" s="1447">
        <f t="shared" ca="1" si="234"/>
        <v>0</v>
      </c>
      <c r="V1709" s="2557" t="str">
        <f t="shared" ca="1" si="236"/>
        <v/>
      </c>
      <c r="W1709" s="611" t="str">
        <f t="shared" ca="1" si="235"/>
        <v>Page5i_SANS_OBJECT, Ligne 11 [Page5i_SANS_OBJECT!L14]  -</v>
      </c>
    </row>
    <row r="1710" spans="1:23">
      <c r="A1710" s="1443" t="str">
        <f>celladdr(Page5i_SANS_OBJECT!L15)</f>
        <v>Page5i_SANS_OBJECT!L15</v>
      </c>
      <c r="B1710" s="1456" t="s">
        <v>1086</v>
      </c>
      <c r="C1710" s="1451" t="b">
        <f>Page5i_SANS_OBJECT!$L$15&lt;0</f>
        <v>0</v>
      </c>
      <c r="D1710" s="1454" t="b">
        <f>OR(AND(Page5i_SANS_OBJECT!$L15&lt;&gt;0,Page5i_SANS_OBJECT!$M15=0),AND(Page5i_SANS_OBJECT!$M15&lt;&gt;0,Page5i_SANS_OBJECT!$L15=0))</f>
        <v>0</v>
      </c>
      <c r="E1710" s="1454"/>
      <c r="F1710" s="1454"/>
      <c r="G1710" s="1444" t="str">
        <f t="shared" si="230"/>
        <v/>
      </c>
      <c r="H1710" s="1447" t="str">
        <f>IF(C1710=TRUE,Comments!$B$23,"")</f>
        <v/>
      </c>
      <c r="I1710" s="1446" t="str">
        <f>IF(D1710=TRUE,Comments!$B$24,"")</f>
        <v/>
      </c>
      <c r="J1710" s="1446"/>
      <c r="K1710" s="1452"/>
      <c r="N1710" s="611" t="str">
        <f>"CPTE # "&amp;Page5i_SANS_OBJECT!$E$15&amp;"  "&amp;Page5i_SANS_OBJECT!$C$15&amp;" - CHIFFRE D'AFFAIRES RÉALISÉ - AAD"</f>
        <v>CPTE # 411I  NE PAS UTILISER - CHIFFRE D'AFFAIRES RÉALISÉ - AAD</v>
      </c>
      <c r="O1710" s="611" t="str">
        <f t="shared" si="229"/>
        <v/>
      </c>
      <c r="P1710" s="611" t="str">
        <f t="shared" si="231"/>
        <v>Page5i_SANS_OBJECT!L</v>
      </c>
      <c r="Q1710" s="611">
        <f t="shared" si="232"/>
        <v>15</v>
      </c>
      <c r="R1710" s="1447">
        <f t="shared" ca="1" si="233"/>
        <v>0</v>
      </c>
      <c r="S1710" s="1447">
        <f t="shared" ca="1" si="234"/>
        <v>0</v>
      </c>
      <c r="V1710" s="2557" t="str">
        <f t="shared" ca="1" si="236"/>
        <v/>
      </c>
      <c r="W1710" s="611" t="str">
        <f t="shared" ca="1" si="235"/>
        <v>Page5i_SANS_OBJECT, Ligne 12 [Page5i_SANS_OBJECT!L15]  -</v>
      </c>
    </row>
    <row r="1711" spans="1:23">
      <c r="A1711" s="1443" t="str">
        <f>celladdr(Page5i_SANS_OBJECT!L16)</f>
        <v>Page5i_SANS_OBJECT!L16</v>
      </c>
      <c r="B1711" s="1456" t="s">
        <v>1086</v>
      </c>
      <c r="C1711" s="1451" t="b">
        <f>Page5i_SANS_OBJECT!$L$16&lt;0</f>
        <v>0</v>
      </c>
      <c r="D1711" s="1454" t="b">
        <f>OR(AND(Page5i_SANS_OBJECT!$L16&lt;&gt;0,Page5i_SANS_OBJECT!$M16=0),AND(Page5i_SANS_OBJECT!$M16&lt;&gt;0,Page5i_SANS_OBJECT!$L16=0))</f>
        <v>0</v>
      </c>
      <c r="E1711" s="1454"/>
      <c r="F1711" s="1454"/>
      <c r="G1711" s="1444" t="str">
        <f t="shared" si="230"/>
        <v/>
      </c>
      <c r="H1711" s="1447" t="str">
        <f>IF(C1711=TRUE,Comments!$B$23,"")</f>
        <v/>
      </c>
      <c r="I1711" s="1446" t="str">
        <f>IF(D1711=TRUE,Comments!$B$24,"")</f>
        <v/>
      </c>
      <c r="J1711" s="1446"/>
      <c r="K1711" s="1452"/>
      <c r="N1711" s="611" t="str">
        <f>"CPTE # "&amp;Page5i_SANS_OBJECT!$E$16&amp;"  "&amp;Page5i_SANS_OBJECT!$C$16&amp;" - CHIFFRE D'AFFAIRES RÉALISÉ - AAD"</f>
        <v>CPTE # 412I  NE PAS UTILISER - CHIFFRE D'AFFAIRES RÉALISÉ - AAD</v>
      </c>
      <c r="O1711" s="611" t="str">
        <f t="shared" si="229"/>
        <v/>
      </c>
      <c r="P1711" s="611" t="str">
        <f t="shared" si="231"/>
        <v>Page5i_SANS_OBJECT!L</v>
      </c>
      <c r="Q1711" s="611">
        <f t="shared" si="232"/>
        <v>16</v>
      </c>
      <c r="R1711" s="1447">
        <f t="shared" ca="1" si="233"/>
        <v>0</v>
      </c>
      <c r="S1711" s="1447">
        <f t="shared" ca="1" si="234"/>
        <v>0</v>
      </c>
      <c r="V1711" s="2557" t="str">
        <f t="shared" ca="1" si="236"/>
        <v/>
      </c>
      <c r="W1711" s="611" t="str">
        <f t="shared" ca="1" si="235"/>
        <v>Page5i_SANS_OBJECT, Ligne 13 [Page5i_SANS_OBJECT!L16]  -</v>
      </c>
    </row>
    <row r="1712" spans="1:23">
      <c r="A1712" s="1443" t="str">
        <f>celladdr(Page5i_SANS_OBJECT!L17)</f>
        <v>Page5i_SANS_OBJECT!L17</v>
      </c>
      <c r="B1712" s="1456" t="s">
        <v>1086</v>
      </c>
      <c r="C1712" s="1451" t="b">
        <f>Page5i_SANS_OBJECT!$L$17&lt;0</f>
        <v>0</v>
      </c>
      <c r="D1712" s="1454" t="b">
        <f>OR(AND(Page5i_SANS_OBJECT!$L17&lt;&gt;0,Page5i_SANS_OBJECT!$M17=0),AND(Page5i_SANS_OBJECT!$M17&lt;&gt;0,Page5i_SANS_OBJECT!$L17=0))</f>
        <v>0</v>
      </c>
      <c r="E1712" s="1454"/>
      <c r="F1712" s="1454"/>
      <c r="G1712" s="1444" t="str">
        <f t="shared" si="230"/>
        <v/>
      </c>
      <c r="H1712" s="1447" t="str">
        <f>IF(C1712=TRUE,Comments!$B$23,"")</f>
        <v/>
      </c>
      <c r="I1712" s="1446" t="str">
        <f>IF(D1712=TRUE,Comments!$B$24,"")</f>
        <v/>
      </c>
      <c r="J1712" s="1446"/>
      <c r="K1712" s="1452"/>
      <c r="N1712" s="611" t="str">
        <f>"CPTE # "&amp;Page5i_SANS_OBJECT!$E$17&amp;"  "&amp;Page5i_SANS_OBJECT!$C$17&amp;" - CHIFFRE D'AFFAIRES RÉALISÉ - AAD"</f>
        <v>CPTE # 413I  NE PAS UTILISER - CHIFFRE D'AFFAIRES RÉALISÉ - AAD</v>
      </c>
      <c r="O1712" s="611" t="str">
        <f t="shared" si="229"/>
        <v/>
      </c>
      <c r="P1712" s="611" t="str">
        <f t="shared" si="231"/>
        <v>Page5i_SANS_OBJECT!L</v>
      </c>
      <c r="Q1712" s="611">
        <f t="shared" si="232"/>
        <v>17</v>
      </c>
      <c r="R1712" s="1447">
        <f t="shared" ca="1" si="233"/>
        <v>0</v>
      </c>
      <c r="S1712" s="1447">
        <f t="shared" ca="1" si="234"/>
        <v>0</v>
      </c>
      <c r="V1712" s="2557" t="str">
        <f t="shared" ca="1" si="236"/>
        <v/>
      </c>
      <c r="W1712" s="611" t="str">
        <f t="shared" ca="1" si="235"/>
        <v>Page5i_SANS_OBJECT, Ligne 14 [Page5i_SANS_OBJECT!L17]  -</v>
      </c>
    </row>
    <row r="1713" spans="1:23">
      <c r="A1713" s="1443" t="str">
        <f>celladdr(Page5i_SANS_OBJECT!L18)</f>
        <v>Page5i_SANS_OBJECT!L18</v>
      </c>
      <c r="B1713" s="1456" t="s">
        <v>1086</v>
      </c>
      <c r="C1713" s="1451" t="b">
        <f>Page5i_SANS_OBJECT!$L$18&lt;0</f>
        <v>0</v>
      </c>
      <c r="D1713" s="1454" t="b">
        <f>OR(AND(Page5i_SANS_OBJECT!$L18&lt;&gt;0,Page5i_SANS_OBJECT!$M18=0),AND(Page5i_SANS_OBJECT!$M18&lt;&gt;0,Page5i_SANS_OBJECT!$L18=0))</f>
        <v>0</v>
      </c>
      <c r="E1713" s="1454"/>
      <c r="F1713" s="1454"/>
      <c r="G1713" s="1444" t="str">
        <f t="shared" si="230"/>
        <v/>
      </c>
      <c r="H1713" s="1447" t="str">
        <f>IF(C1713=TRUE,Comments!$B$23,"")</f>
        <v/>
      </c>
      <c r="I1713" s="1446" t="str">
        <f>IF(D1713=TRUE,Comments!$B$24,"")</f>
        <v/>
      </c>
      <c r="J1713" s="1446"/>
      <c r="K1713" s="1452"/>
      <c r="N1713" s="611" t="str">
        <f>"CPTE # "&amp;Page5i_SANS_OBJECT!$E$18&amp;"  "&amp;Page5i_SANS_OBJECT!$C$18&amp;" - CHIFFRE D'AFFAIRES RÉALISÉ - AAD"</f>
        <v>CPTE # 414I  NE PAS UTILISER - CHIFFRE D'AFFAIRES RÉALISÉ - AAD</v>
      </c>
      <c r="O1713" s="611" t="str">
        <f t="shared" si="229"/>
        <v/>
      </c>
      <c r="P1713" s="611" t="str">
        <f t="shared" si="231"/>
        <v>Page5i_SANS_OBJECT!L</v>
      </c>
      <c r="Q1713" s="611">
        <f t="shared" si="232"/>
        <v>18</v>
      </c>
      <c r="R1713" s="1447">
        <f t="shared" ca="1" si="233"/>
        <v>0</v>
      </c>
      <c r="S1713" s="1447">
        <f t="shared" ca="1" si="234"/>
        <v>0</v>
      </c>
      <c r="V1713" s="2557" t="str">
        <f t="shared" ca="1" si="236"/>
        <v/>
      </c>
      <c r="W1713" s="611" t="str">
        <f t="shared" ca="1" si="235"/>
        <v>Page5i_SANS_OBJECT, Ligne 15 [Page5i_SANS_OBJECT!L18]  -</v>
      </c>
    </row>
    <row r="1714" spans="1:23">
      <c r="A1714" s="1443" t="str">
        <f>celladdr(Page5i_SANS_OBJECT!L19)</f>
        <v>Page5i_SANS_OBJECT!L19</v>
      </c>
      <c r="B1714" s="1456" t="s">
        <v>1086</v>
      </c>
      <c r="C1714" s="1451" t="b">
        <f>Page5i_SANS_OBJECT!$L$19&lt;0</f>
        <v>0</v>
      </c>
      <c r="D1714" s="1454" t="b">
        <f>OR(AND(Page5i_SANS_OBJECT!$L19&lt;&gt;0,Page5i_SANS_OBJECT!$M19=0),AND(Page5i_SANS_OBJECT!$M19&lt;&gt;0,Page5i_SANS_OBJECT!$L19=0))</f>
        <v>0</v>
      </c>
      <c r="E1714" s="1454"/>
      <c r="F1714" s="1454"/>
      <c r="G1714" s="1444" t="str">
        <f t="shared" si="230"/>
        <v/>
      </c>
      <c r="H1714" s="1447" t="str">
        <f>IF(C1714=TRUE,Comments!$B$23,"")</f>
        <v/>
      </c>
      <c r="I1714" s="1446" t="str">
        <f>IF(D1714=TRUE,Comments!$B$24,"")</f>
        <v/>
      </c>
      <c r="J1714" s="1446"/>
      <c r="K1714" s="1452"/>
      <c r="N1714" s="611" t="str">
        <f>"CPTE # "&amp;Page5i_SANS_OBJECT!$E$19&amp;"  "&amp;Page5i_SANS_OBJECT!$C$19&amp;" - CHIFFRE D'AFFAIRES RÉALISÉ - AAD"</f>
        <v>CPTE # 415I  NE PAS UTILISER - CHIFFRE D'AFFAIRES RÉALISÉ - AAD</v>
      </c>
      <c r="O1714" s="611" t="str">
        <f t="shared" si="229"/>
        <v/>
      </c>
      <c r="P1714" s="611" t="str">
        <f t="shared" si="231"/>
        <v>Page5i_SANS_OBJECT!L</v>
      </c>
      <c r="Q1714" s="611">
        <f t="shared" si="232"/>
        <v>19</v>
      </c>
      <c r="R1714" s="1447">
        <f t="shared" ca="1" si="233"/>
        <v>0</v>
      </c>
      <c r="S1714" s="1447">
        <f t="shared" ca="1" si="234"/>
        <v>0</v>
      </c>
      <c r="V1714" s="2557" t="str">
        <f t="shared" ca="1" si="236"/>
        <v/>
      </c>
      <c r="W1714" s="611" t="str">
        <f t="shared" ca="1" si="235"/>
        <v>Page5i_SANS_OBJECT, Ligne 16 [Page5i_SANS_OBJECT!L19]  -</v>
      </c>
    </row>
    <row r="1715" spans="1:23">
      <c r="A1715" s="1443" t="str">
        <f>celladdr(Page5i_SANS_OBJECT!L20)</f>
        <v>Page5i_SANS_OBJECT!L20</v>
      </c>
      <c r="B1715" s="1456" t="s">
        <v>1086</v>
      </c>
      <c r="C1715" s="1451" t="b">
        <f>Page5i_SANS_OBJECT!$L$20&lt;0</f>
        <v>0</v>
      </c>
      <c r="D1715" s="1454" t="b">
        <f>OR(AND(Page5i_SANS_OBJECT!$L20&lt;&gt;0,Page5i_SANS_OBJECT!$M20=0),AND(Page5i_SANS_OBJECT!$M20&lt;&gt;0,Page5i_SANS_OBJECT!$L20=0))</f>
        <v>0</v>
      </c>
      <c r="E1715" s="1454"/>
      <c r="F1715" s="1454"/>
      <c r="G1715" s="1444" t="str">
        <f t="shared" si="230"/>
        <v/>
      </c>
      <c r="H1715" s="1447" t="str">
        <f>IF(C1715=TRUE,Comments!$B$23,"")</f>
        <v/>
      </c>
      <c r="I1715" s="1446" t="str">
        <f>IF(D1715=TRUE,Comments!$B$24,"")</f>
        <v/>
      </c>
      <c r="J1715" s="1446"/>
      <c r="K1715" s="1452"/>
      <c r="N1715" s="611" t="str">
        <f>"CPTE # "&amp;Page5i_SANS_OBJECT!$E$20&amp;"  "&amp;Page5i_SANS_OBJECT!$C$20&amp;" - CHIFFRE D'AFFAIRES RÉALISÉ - AAD"</f>
        <v>CPTE # 416I  NE PAS UTILISER - CHIFFRE D'AFFAIRES RÉALISÉ - AAD</v>
      </c>
      <c r="O1715" s="611" t="str">
        <f t="shared" si="229"/>
        <v/>
      </c>
      <c r="P1715" s="611" t="str">
        <f t="shared" si="231"/>
        <v>Page5i_SANS_OBJECT!L</v>
      </c>
      <c r="Q1715" s="611">
        <f t="shared" si="232"/>
        <v>20</v>
      </c>
      <c r="R1715" s="1447">
        <f t="shared" ca="1" si="233"/>
        <v>0</v>
      </c>
      <c r="S1715" s="1447">
        <f t="shared" ca="1" si="234"/>
        <v>0</v>
      </c>
      <c r="V1715" s="2557" t="str">
        <f t="shared" ca="1" si="236"/>
        <v/>
      </c>
      <c r="W1715" s="611" t="str">
        <f t="shared" ca="1" si="235"/>
        <v>Page5i_SANS_OBJECT, Ligne 17 [Page5i_SANS_OBJECT!L20]  -</v>
      </c>
    </row>
    <row r="1716" spans="1:23">
      <c r="A1716" s="1443" t="str">
        <f>celladdr(Page5i_SANS_OBJECT!L21)</f>
        <v>Page5i_SANS_OBJECT!L21</v>
      </c>
      <c r="B1716" s="1456" t="s">
        <v>1086</v>
      </c>
      <c r="C1716" s="1451" t="b">
        <f>Page5i_SANS_OBJECT!$L$21&lt;0</f>
        <v>0</v>
      </c>
      <c r="D1716" s="1454" t="b">
        <f>OR(AND(Page5i_SANS_OBJECT!$L21&lt;&gt;0,Page5i_SANS_OBJECT!$M21=0),AND(Page5i_SANS_OBJECT!$M21&lt;&gt;0,Page5i_SANS_OBJECT!$L21=0))</f>
        <v>0</v>
      </c>
      <c r="E1716" s="1454"/>
      <c r="F1716" s="1454"/>
      <c r="G1716" s="1444" t="str">
        <f t="shared" si="230"/>
        <v/>
      </c>
      <c r="H1716" s="1447" t="str">
        <f>IF(C1716=TRUE,Comments!$B$23,"")</f>
        <v/>
      </c>
      <c r="I1716" s="1446" t="str">
        <f>IF(D1716=TRUE,Comments!$B$24,"")</f>
        <v/>
      </c>
      <c r="J1716" s="1446"/>
      <c r="K1716" s="1452"/>
      <c r="N1716" s="611" t="str">
        <f>"CPTE # "&amp;Page5i_SANS_OBJECT!$E$21&amp;"  "&amp;Page5i_SANS_OBJECT!$C$21&amp;" - CHIFFRE D'AFFAIRES RÉALISÉ - AAD"</f>
        <v>CPTE # 417I  NE PAS UTILISER - CHIFFRE D'AFFAIRES RÉALISÉ - AAD</v>
      </c>
      <c r="O1716" s="611" t="str">
        <f t="shared" si="229"/>
        <v/>
      </c>
      <c r="P1716" s="611" t="str">
        <f t="shared" si="231"/>
        <v>Page5i_SANS_OBJECT!L</v>
      </c>
      <c r="Q1716" s="611">
        <f t="shared" si="232"/>
        <v>21</v>
      </c>
      <c r="R1716" s="1447">
        <f t="shared" ca="1" si="233"/>
        <v>0</v>
      </c>
      <c r="S1716" s="1447">
        <f t="shared" ca="1" si="234"/>
        <v>0</v>
      </c>
      <c r="V1716" s="2557" t="str">
        <f t="shared" ca="1" si="236"/>
        <v/>
      </c>
      <c r="W1716" s="611" t="str">
        <f t="shared" ca="1" si="235"/>
        <v>Page5i_SANS_OBJECT, Ligne 18 [Page5i_SANS_OBJECT!L21]  -</v>
      </c>
    </row>
    <row r="1717" spans="1:23">
      <c r="A1717" s="1443" t="str">
        <f>celladdr(Page5i_SANS_OBJECT!L22)</f>
        <v>Page5i_SANS_OBJECT!L22</v>
      </c>
      <c r="B1717" s="1456" t="s">
        <v>1086</v>
      </c>
      <c r="C1717" s="1451" t="b">
        <f>Page5i_SANS_OBJECT!$L$22&lt;0</f>
        <v>0</v>
      </c>
      <c r="D1717" s="1454" t="b">
        <f>OR(AND(Page5i_SANS_OBJECT!$L22&lt;&gt;0,Page5i_SANS_OBJECT!$M22=0),AND(Page5i_SANS_OBJECT!$M22&lt;&gt;0,Page5i_SANS_OBJECT!$L22=0))</f>
        <v>0</v>
      </c>
      <c r="E1717" s="1454"/>
      <c r="F1717" s="1454"/>
      <c r="G1717" s="1444" t="str">
        <f t="shared" si="230"/>
        <v/>
      </c>
      <c r="H1717" s="1447" t="str">
        <f>IF(C1717=TRUE,Comments!$B$23,"")</f>
        <v/>
      </c>
      <c r="I1717" s="1446" t="str">
        <f>IF(D1717=TRUE,Comments!$B$24,"")</f>
        <v/>
      </c>
      <c r="J1717" s="1446"/>
      <c r="K1717" s="1452"/>
      <c r="N1717" s="611" t="str">
        <f>"CPTE # "&amp;Page5i_SANS_OBJECT!$E$22&amp;"  "&amp;Page5i_SANS_OBJECT!$C$22&amp;" - CHIFFRE D'AFFAIRES RÉALISÉ - AAD"</f>
        <v>CPTE # 418I  NE PAS UTILISER - CHIFFRE D'AFFAIRES RÉALISÉ - AAD</v>
      </c>
      <c r="O1717" s="611" t="str">
        <f t="shared" si="229"/>
        <v/>
      </c>
      <c r="P1717" s="611" t="str">
        <f t="shared" si="231"/>
        <v>Page5i_SANS_OBJECT!L</v>
      </c>
      <c r="Q1717" s="611">
        <f t="shared" si="232"/>
        <v>22</v>
      </c>
      <c r="R1717" s="1447">
        <f t="shared" ca="1" si="233"/>
        <v>0</v>
      </c>
      <c r="S1717" s="1447">
        <f t="shared" ca="1" si="234"/>
        <v>0</v>
      </c>
      <c r="V1717" s="2557" t="str">
        <f t="shared" ca="1" si="236"/>
        <v/>
      </c>
      <c r="W1717" s="611" t="str">
        <f t="shared" ca="1" si="235"/>
        <v>Page5i_SANS_OBJECT, Ligne 19 [Page5i_SANS_OBJECT!L22]  -</v>
      </c>
    </row>
    <row r="1718" spans="1:23">
      <c r="A1718" s="1443" t="str">
        <f>celladdr(Page5i_SANS_OBJECT!L23)</f>
        <v>Page5i_SANS_OBJECT!L23</v>
      </c>
      <c r="B1718" s="1444" t="s">
        <v>1086</v>
      </c>
      <c r="C1718" s="1451"/>
      <c r="D1718" s="1454"/>
      <c r="E1718" s="1454"/>
      <c r="F1718" s="1454"/>
      <c r="G1718" s="1444" t="str">
        <f t="shared" si="230"/>
        <v/>
      </c>
      <c r="H1718" s="1447" t="str">
        <f>IF(C1718=TRUE,Comments!$B$26,"")</f>
        <v/>
      </c>
      <c r="I1718" s="1446" t="str">
        <f>IF(D1718=TRUE,Comments!$B$24,"")</f>
        <v/>
      </c>
      <c r="J1718" s="1446"/>
      <c r="K1718" s="1452"/>
      <c r="O1718" s="611" t="str">
        <f t="shared" si="229"/>
        <v/>
      </c>
      <c r="P1718" s="611" t="str">
        <f t="shared" si="231"/>
        <v>Page5i_SANS_OBJECT!L</v>
      </c>
      <c r="Q1718" s="611">
        <f t="shared" si="232"/>
        <v>23</v>
      </c>
      <c r="R1718" s="1447">
        <f t="shared" ca="1" si="233"/>
        <v>0</v>
      </c>
      <c r="S1718" s="1447">
        <f t="shared" ca="1" si="234"/>
        <v>0</v>
      </c>
      <c r="V1718" s="2557" t="str">
        <f t="shared" ca="1" si="236"/>
        <v/>
      </c>
      <c r="W1718" s="611" t="str">
        <f t="shared" ca="1" si="235"/>
        <v>Page5i_SANS_OBJECT, Ligne 20 [Page5i_SANS_OBJECT!L23]  -</v>
      </c>
    </row>
    <row r="1719" spans="1:23">
      <c r="A1719" s="1443" t="str">
        <f>celladdr(Page5i_SANS_OBJECT!L24)</f>
        <v>Page5i_SANS_OBJECT!L24</v>
      </c>
      <c r="B1719" s="1456" t="s">
        <v>1086</v>
      </c>
      <c r="C1719" s="1451" t="b">
        <f>Page5i_SANS_OBJECT!$L$24&lt;0</f>
        <v>0</v>
      </c>
      <c r="D1719" s="1454" t="b">
        <f>OR(AND(Page5i_SANS_OBJECT!$L24&lt;&gt;0,Page5i_SANS_OBJECT!$M24=0),AND(Page5i_SANS_OBJECT!$M24&lt;&gt;0,Page5i_SANS_OBJECT!$L24=0))</f>
        <v>0</v>
      </c>
      <c r="E1719" s="1454"/>
      <c r="F1719" s="1454"/>
      <c r="G1719" s="1444" t="str">
        <f t="shared" si="230"/>
        <v/>
      </c>
      <c r="H1719" s="1447" t="str">
        <f>IF(C1719=TRUE,Comments!$B$23,"")</f>
        <v/>
      </c>
      <c r="I1719" s="1446" t="str">
        <f>IF(D1719=TRUE,Comments!$B$24,"")</f>
        <v/>
      </c>
      <c r="J1719" s="1446"/>
      <c r="K1719" s="1452"/>
      <c r="N1719" s="611" t="str">
        <f>"CPTE # "&amp;Page5i_SANS_OBJECT!$E$24&amp;"  "&amp;Page5i_SANS_OBJECT!$C$24&amp;" - CHIFFRE D'AFFAIRES RÉALISÉ - AAD"</f>
        <v>CPTE # 419I  MÉMO* VENTES INTERNET VOITURES - CHIFFRE D'AFFAIRES RÉALISÉ - AAD</v>
      </c>
      <c r="O1719" s="611" t="str">
        <f t="shared" si="229"/>
        <v/>
      </c>
      <c r="P1719" s="611" t="str">
        <f t="shared" si="231"/>
        <v>Page5i_SANS_OBJECT!L</v>
      </c>
      <c r="Q1719" s="611">
        <f t="shared" si="232"/>
        <v>24</v>
      </c>
      <c r="R1719" s="1447">
        <f t="shared" ca="1" si="233"/>
        <v>0</v>
      </c>
      <c r="S1719" s="1447">
        <f t="shared" ca="1" si="234"/>
        <v>0</v>
      </c>
      <c r="V1719" s="2557" t="str">
        <f t="shared" ca="1" si="236"/>
        <v/>
      </c>
      <c r="W1719" s="611" t="str">
        <f t="shared" ca="1" si="235"/>
        <v>Page5i_SANS_OBJECT, Ligne 21 [Page5i_SANS_OBJECT!L24]  -</v>
      </c>
    </row>
    <row r="1720" spans="1:23">
      <c r="A1720" s="1443" t="str">
        <f>celladdr(Page5i_SANS_OBJECT!L25)</f>
        <v>Page5i_SANS_OBJECT!L25</v>
      </c>
      <c r="B1720" s="1456" t="s">
        <v>1086</v>
      </c>
      <c r="C1720" s="1451" t="b">
        <f>Page5i_SANS_OBJECT!$L$25&lt;0</f>
        <v>0</v>
      </c>
      <c r="D1720" s="1454" t="b">
        <f>OR(AND(Page5i_SANS_OBJECT!$L25&lt;&gt;0,Page5i_SANS_OBJECT!$M25=0),AND(Page5i_SANS_OBJECT!$M25&lt;&gt;0,Page5i_SANS_OBJECT!$L25=0))</f>
        <v>0</v>
      </c>
      <c r="E1720" s="1454"/>
      <c r="F1720" s="1454"/>
      <c r="G1720" s="1444" t="str">
        <f t="shared" si="230"/>
        <v/>
      </c>
      <c r="H1720" s="1447" t="str">
        <f>IF(C1720=TRUE,Comments!$B$23,"")</f>
        <v/>
      </c>
      <c r="I1720" s="1446" t="str">
        <f>IF(D1720=TRUE,Comments!$B$24,"")</f>
        <v/>
      </c>
      <c r="J1720" s="1446"/>
      <c r="K1720" s="1452"/>
      <c r="N1720" s="611" t="str">
        <f>"CPTE # "&amp;Page5i_SANS_OBJECT!$E$25&amp;"  "&amp;Page5i_SANS_OBJECT!$C$25&amp;" - CHIFFRE D'AFFAIRES RÉALISÉ - AAD"</f>
        <v>CPTE # 420I  TOTAL PARCS - VOITURES - CHIFFRE D'AFFAIRES RÉALISÉ - AAD</v>
      </c>
      <c r="O1720" s="611" t="str">
        <f t="shared" si="229"/>
        <v/>
      </c>
      <c r="P1720" s="611" t="str">
        <f t="shared" si="231"/>
        <v>Page5i_SANS_OBJECT!L</v>
      </c>
      <c r="Q1720" s="611">
        <f t="shared" si="232"/>
        <v>25</v>
      </c>
      <c r="R1720" s="1447">
        <f t="shared" ca="1" si="233"/>
        <v>0</v>
      </c>
      <c r="S1720" s="1447">
        <f t="shared" ca="1" si="234"/>
        <v>0</v>
      </c>
      <c r="V1720" s="2557" t="str">
        <f t="shared" ca="1" si="236"/>
        <v/>
      </c>
      <c r="W1720" s="611" t="str">
        <f t="shared" ca="1" si="235"/>
        <v>Page5i_SANS_OBJECT, Ligne 22 [Page5i_SANS_OBJECT!L25]  -</v>
      </c>
    </row>
    <row r="1721" spans="1:23">
      <c r="A1721" s="1443" t="str">
        <f>celladdr(Page5i_SANS_OBJECT!L26)</f>
        <v>Page5i_SANS_OBJECT!L26</v>
      </c>
      <c r="B1721" s="1456" t="s">
        <v>1086</v>
      </c>
      <c r="C1721" s="1451" t="b">
        <f>Page5i_SANS_OBJECT!$L$26&lt;0</f>
        <v>0</v>
      </c>
      <c r="D1721" s="1454" t="b">
        <f>OR(AND(Page5i_SANS_OBJECT!$L26&lt;&gt;0,Page5i_SANS_OBJECT!$M26=0),AND(Page5i_SANS_OBJECT!$M26&lt;&gt;0,Page5i_SANS_OBJECT!$L26=0))</f>
        <v>0</v>
      </c>
      <c r="E1721" s="1454"/>
      <c r="F1721" s="1454"/>
      <c r="G1721" s="1444" t="str">
        <f t="shared" si="230"/>
        <v/>
      </c>
      <c r="H1721" s="1447" t="str">
        <f>IF(C1721=TRUE,Comments!$B$23,"")</f>
        <v/>
      </c>
      <c r="I1721" s="1446" t="str">
        <f>IF(D1721=TRUE,Comments!$B$24,"")</f>
        <v/>
      </c>
      <c r="J1721" s="1446"/>
      <c r="K1721" s="1452"/>
      <c r="N1721" s="611" t="str">
        <f>"CPTE # "&amp;Page5i_SANS_OBJECT!$E$26&amp;"  "&amp;Page5i_SANS_OBJECT!$C$26&amp;" - CHIFFRE D'AFFAIRES RÉALISÉ - AAD"</f>
        <v>CPTE # 421I  TOTAL INTERNE - VOITURES - CHIFFRE D'AFFAIRES RÉALISÉ - AAD</v>
      </c>
      <c r="O1721" s="611" t="str">
        <f t="shared" si="229"/>
        <v/>
      </c>
      <c r="P1721" s="611" t="str">
        <f t="shared" si="231"/>
        <v>Page5i_SANS_OBJECT!L</v>
      </c>
      <c r="Q1721" s="611">
        <f t="shared" si="232"/>
        <v>26</v>
      </c>
      <c r="R1721" s="1447">
        <f t="shared" ca="1" si="233"/>
        <v>0</v>
      </c>
      <c r="S1721" s="1447">
        <f t="shared" ca="1" si="234"/>
        <v>0</v>
      </c>
      <c r="V1721" s="2557" t="str">
        <f t="shared" ca="1" si="236"/>
        <v/>
      </c>
      <c r="W1721" s="611" t="str">
        <f t="shared" ca="1" si="235"/>
        <v>Page5i_SANS_OBJECT, Ligne 23 [Page5i_SANS_OBJECT!L26]  -</v>
      </c>
    </row>
    <row r="1722" spans="1:23">
      <c r="A1722" s="1443" t="str">
        <f>celladdr(Page5i_SANS_OBJECT!L27)</f>
        <v>Page5i_SANS_OBJECT!L27</v>
      </c>
      <c r="B1722" s="1444" t="s">
        <v>1086</v>
      </c>
      <c r="C1722" s="1451"/>
      <c r="D1722" s="1454"/>
      <c r="E1722" s="1454"/>
      <c r="F1722" s="1454"/>
      <c r="G1722" s="1444" t="str">
        <f t="shared" si="230"/>
        <v/>
      </c>
      <c r="H1722" s="1447" t="str">
        <f>IF(C1722=TRUE,Comments!$B$26,"")</f>
        <v/>
      </c>
      <c r="I1722" s="1446" t="str">
        <f>IF(D1722=TRUE,Comments!$B$24,"")</f>
        <v/>
      </c>
      <c r="J1722" s="1446"/>
      <c r="K1722" s="1452"/>
      <c r="O1722" s="611" t="str">
        <f t="shared" si="229"/>
        <v/>
      </c>
      <c r="P1722" s="611" t="str">
        <f t="shared" si="231"/>
        <v>Page5i_SANS_OBJECT!L</v>
      </c>
      <c r="Q1722" s="611">
        <f t="shared" si="232"/>
        <v>27</v>
      </c>
      <c r="R1722" s="1447">
        <f t="shared" ca="1" si="233"/>
        <v>0</v>
      </c>
      <c r="S1722" s="1447">
        <f t="shared" ca="1" si="234"/>
        <v>0</v>
      </c>
      <c r="V1722" s="2557" t="str">
        <f t="shared" ca="1" si="236"/>
        <v/>
      </c>
      <c r="W1722" s="611" t="str">
        <f t="shared" ca="1" si="235"/>
        <v>Page5i_SANS_OBJECT, Ligne 24 [Page5i_SANS_OBJECT!L27]  -</v>
      </c>
    </row>
    <row r="1723" spans="1:23">
      <c r="A1723" s="1443" t="str">
        <f>celladdr(Page5i_SANS_OBJECT!L28)</f>
        <v>Page5i_SANS_OBJECT!L28</v>
      </c>
      <c r="B1723" s="1456" t="s">
        <v>1086</v>
      </c>
      <c r="C1723" s="1451" t="b">
        <f>Page5i_SANS_OBJECT!$L$28&lt;0</f>
        <v>0</v>
      </c>
      <c r="D1723" s="1454" t="b">
        <f>OR(AND(Page5i_SANS_OBJECT!$L28&lt;&gt;0,Page5i_SANS_OBJECT!$M28=0),AND(Page5i_SANS_OBJECT!$M28&lt;&gt;0,Page5i_SANS_OBJECT!$L28=0))</f>
        <v>0</v>
      </c>
      <c r="E1723" s="1454"/>
      <c r="F1723" s="1454"/>
      <c r="G1723" s="1444" t="str">
        <f t="shared" si="230"/>
        <v/>
      </c>
      <c r="H1723" s="1447" t="str">
        <f>IF(C1723=TRUE,Comments!$B$23,"")</f>
        <v/>
      </c>
      <c r="I1723" s="1446" t="str">
        <f>IF(D1723=TRUE,Comments!$B$24,"")</f>
        <v/>
      </c>
      <c r="J1723" s="1446"/>
      <c r="K1723" s="1452"/>
      <c r="N1723" s="611" t="str">
        <f>"CPTE # "&amp;Page5i_SANS_OBJECT!$E$28&amp;"  "&amp;Page5i_SANS_OBJECT!$C$28&amp;" - CHIFFRE D'AFFAIRES RÉALISÉ - AAD"</f>
        <v>CPTE # 423I  NE PAS UTILISER - CHIFFRE D'AFFAIRES RÉALISÉ - AAD</v>
      </c>
      <c r="O1723" s="611" t="str">
        <f t="shared" si="229"/>
        <v/>
      </c>
      <c r="P1723" s="611" t="str">
        <f t="shared" si="231"/>
        <v>Page5i_SANS_OBJECT!L</v>
      </c>
      <c r="Q1723" s="611">
        <f t="shared" si="232"/>
        <v>28</v>
      </c>
      <c r="R1723" s="1447">
        <f t="shared" ca="1" si="233"/>
        <v>0</v>
      </c>
      <c r="S1723" s="1447">
        <f t="shared" ca="1" si="234"/>
        <v>0</v>
      </c>
      <c r="V1723" s="2557" t="str">
        <f t="shared" ca="1" si="236"/>
        <v/>
      </c>
      <c r="W1723" s="611" t="str">
        <f t="shared" ca="1" si="235"/>
        <v>Page5i_SANS_OBJECT, Ligne 25 [Page5i_SANS_OBJECT!L28]  -</v>
      </c>
    </row>
    <row r="1724" spans="1:23">
      <c r="A1724" s="1443" t="str">
        <f>celladdr(Page5i_SANS_OBJECT!L29)</f>
        <v>Page5i_SANS_OBJECT!L29</v>
      </c>
      <c r="B1724" s="1456" t="s">
        <v>1086</v>
      </c>
      <c r="C1724" s="1451" t="b">
        <f>Page5i_SANS_OBJECT!$L$29&lt;0</f>
        <v>0</v>
      </c>
      <c r="D1724" s="1454" t="b">
        <f>OR(AND(Page5i_SANS_OBJECT!$L29&lt;&gt;0,Page5i_SANS_OBJECT!$M29=0),AND(Page5i_SANS_OBJECT!$M29&lt;&gt;0,Page5i_SANS_OBJECT!$L29=0))</f>
        <v>0</v>
      </c>
      <c r="E1724" s="1454"/>
      <c r="F1724" s="1454"/>
      <c r="G1724" s="1444" t="str">
        <f t="shared" si="230"/>
        <v/>
      </c>
      <c r="H1724" s="1447" t="str">
        <f>IF(C1724=TRUE,Comments!$B$23,"")</f>
        <v/>
      </c>
      <c r="I1724" s="1446" t="str">
        <f>IF(D1724=TRUE,Comments!$B$24,"")</f>
        <v/>
      </c>
      <c r="J1724" s="1446"/>
      <c r="K1724" s="1452"/>
      <c r="N1724" s="611" t="str">
        <f>"CPTE # "&amp;Page5i_SANS_OBJECT!$E$29&amp;"  "&amp;Page5i_SANS_OBJECT!$C$29&amp;" - CHIFFRE D'AFFAIRES RÉALISÉ - AAD"</f>
        <v>CPTE # 424I  NE PAS UTILISER - CHIFFRE D'AFFAIRES RÉALISÉ - AAD</v>
      </c>
      <c r="O1724" s="611" t="str">
        <f t="shared" si="229"/>
        <v/>
      </c>
      <c r="P1724" s="611" t="str">
        <f t="shared" si="231"/>
        <v>Page5i_SANS_OBJECT!L</v>
      </c>
      <c r="Q1724" s="611">
        <f t="shared" si="232"/>
        <v>29</v>
      </c>
      <c r="R1724" s="1447">
        <f t="shared" ca="1" si="233"/>
        <v>0</v>
      </c>
      <c r="S1724" s="1447">
        <f t="shared" ca="1" si="234"/>
        <v>0</v>
      </c>
      <c r="V1724" s="2557" t="str">
        <f t="shared" ca="1" si="236"/>
        <v/>
      </c>
      <c r="W1724" s="611" t="str">
        <f t="shared" ca="1" si="235"/>
        <v>Page5i_SANS_OBJECT, Ligne 26 [Page5i_SANS_OBJECT!L29]  -</v>
      </c>
    </row>
    <row r="1725" spans="1:23">
      <c r="A1725" s="1443" t="str">
        <f>celladdr(Page5i_SANS_OBJECT!L30)</f>
        <v>Page5i_SANS_OBJECT!L30</v>
      </c>
      <c r="B1725" s="1456" t="s">
        <v>1086</v>
      </c>
      <c r="C1725" s="1451" t="b">
        <f>Page5i_SANS_OBJECT!$L$30&lt;0</f>
        <v>0</v>
      </c>
      <c r="D1725" s="1454" t="b">
        <f>OR(AND(Page5i_SANS_OBJECT!$L30&lt;&gt;0,Page5i_SANS_OBJECT!$M30=0),AND(Page5i_SANS_OBJECT!$M30&lt;&gt;0,Page5i_SANS_OBJECT!$L30=0))</f>
        <v>0</v>
      </c>
      <c r="E1725" s="1454"/>
      <c r="F1725" s="1454"/>
      <c r="G1725" s="1444" t="str">
        <f t="shared" si="230"/>
        <v/>
      </c>
      <c r="H1725" s="1447" t="str">
        <f>IF(C1725=TRUE,Comments!$B$23,"")</f>
        <v/>
      </c>
      <c r="I1725" s="1446" t="str">
        <f>IF(D1725=TRUE,Comments!$B$24,"")</f>
        <v/>
      </c>
      <c r="J1725" s="1446"/>
      <c r="K1725" s="1452"/>
      <c r="N1725" s="611" t="str">
        <f>"CPTE # "&amp;Page5i_SANS_OBJECT!$E$30&amp;"  "&amp;Page5i_SANS_OBJECT!$C$30&amp;" - CHIFFRE D'AFFAIRES RÉALISÉ - AAD"</f>
        <v>CPTE # 425I  NE PAS UTILISER - CHIFFRE D'AFFAIRES RÉALISÉ - AAD</v>
      </c>
      <c r="O1725" s="611" t="str">
        <f t="shared" si="229"/>
        <v/>
      </c>
      <c r="P1725" s="611" t="str">
        <f t="shared" si="231"/>
        <v>Page5i_SANS_OBJECT!L</v>
      </c>
      <c r="Q1725" s="611">
        <f t="shared" si="232"/>
        <v>30</v>
      </c>
      <c r="R1725" s="1447">
        <f t="shared" ca="1" si="233"/>
        <v>0</v>
      </c>
      <c r="S1725" s="1447">
        <f t="shared" ca="1" si="234"/>
        <v>0</v>
      </c>
      <c r="V1725" s="2557" t="str">
        <f t="shared" ca="1" si="236"/>
        <v/>
      </c>
      <c r="W1725" s="611" t="str">
        <f t="shared" ca="1" si="235"/>
        <v>Page5i_SANS_OBJECT, Ligne 27 [Page5i_SANS_OBJECT!L30]  -</v>
      </c>
    </row>
    <row r="1726" spans="1:23">
      <c r="A1726" s="1443" t="str">
        <f>celladdr(Page5i_SANS_OBJECT!L31)</f>
        <v>Page5i_SANS_OBJECT!L31</v>
      </c>
      <c r="B1726" s="1456" t="s">
        <v>1086</v>
      </c>
      <c r="C1726" s="1451" t="b">
        <f>Page5i_SANS_OBJECT!$L$31&lt;0</f>
        <v>0</v>
      </c>
      <c r="D1726" s="1454" t="b">
        <f>OR(AND(Page5i_SANS_OBJECT!$L31&lt;&gt;0,Page5i_SANS_OBJECT!$M31=0),AND(Page5i_SANS_OBJECT!$M31&lt;&gt;0,Page5i_SANS_OBJECT!$L31=0))</f>
        <v>0</v>
      </c>
      <c r="E1726" s="1454"/>
      <c r="F1726" s="1454"/>
      <c r="G1726" s="1444" t="str">
        <f t="shared" si="230"/>
        <v/>
      </c>
      <c r="H1726" s="1447" t="str">
        <f>IF(C1726=TRUE,Comments!$B$23,"")</f>
        <v/>
      </c>
      <c r="I1726" s="1446" t="str">
        <f>IF(D1726=TRUE,Comments!$B$24,"")</f>
        <v/>
      </c>
      <c r="J1726" s="1446"/>
      <c r="K1726" s="1452"/>
      <c r="N1726" s="611" t="str">
        <f>"CPTE # "&amp;Page5i_SANS_OBJECT!$E$31&amp;"  "&amp;Page5i_SANS_OBJECT!$C$31&amp;" - CHIFFRE D'AFFAIRES RÉALISÉ - AAD"</f>
        <v>CPTE # 426I  NE PAS UTILISER - CHIFFRE D'AFFAIRES RÉALISÉ - AAD</v>
      </c>
      <c r="O1726" s="611" t="str">
        <f t="shared" ref="O1726:O1789" si="237">IF(A1726=A1725,"TRUE","")</f>
        <v/>
      </c>
      <c r="P1726" s="611" t="str">
        <f t="shared" si="231"/>
        <v>Page5i_SANS_OBJECT!L</v>
      </c>
      <c r="Q1726" s="611">
        <f t="shared" si="232"/>
        <v>31</v>
      </c>
      <c r="R1726" s="1447">
        <f t="shared" ca="1" si="233"/>
        <v>0</v>
      </c>
      <c r="S1726" s="1447">
        <f t="shared" ca="1" si="234"/>
        <v>0</v>
      </c>
      <c r="V1726" s="2557" t="str">
        <f t="shared" ca="1" si="236"/>
        <v/>
      </c>
      <c r="W1726" s="611" t="str">
        <f t="shared" ca="1" si="235"/>
        <v>Page5i_SANS_OBJECT, Ligne 28 [Page5i_SANS_OBJECT!L31]  -</v>
      </c>
    </row>
    <row r="1727" spans="1:23">
      <c r="A1727" s="1443" t="str">
        <f>celladdr(Page5i_SANS_OBJECT!L32)</f>
        <v>Page5i_SANS_OBJECT!L32</v>
      </c>
      <c r="B1727" s="1456" t="s">
        <v>1086</v>
      </c>
      <c r="C1727" s="1451" t="b">
        <f>Page5i_SANS_OBJECT!$L$32&lt;0</f>
        <v>0</v>
      </c>
      <c r="D1727" s="1454" t="b">
        <f>OR(AND(Page5i_SANS_OBJECT!$L32&lt;&gt;0,Page5i_SANS_OBJECT!$M32=0),AND(Page5i_SANS_OBJECT!$M32&lt;&gt;0,Page5i_SANS_OBJECT!$L32=0))</f>
        <v>0</v>
      </c>
      <c r="E1727" s="1454"/>
      <c r="F1727" s="1454"/>
      <c r="G1727" s="1444" t="str">
        <f t="shared" si="230"/>
        <v/>
      </c>
      <c r="H1727" s="1447" t="str">
        <f>IF(C1727=TRUE,Comments!$B$23,"")</f>
        <v/>
      </c>
      <c r="I1727" s="1446" t="str">
        <f>IF(D1727=TRUE,Comments!$B$24,"")</f>
        <v/>
      </c>
      <c r="J1727" s="1446"/>
      <c r="K1727" s="1452"/>
      <c r="N1727" s="611" t="str">
        <f>"CPTE # "&amp;Page5i_SANS_OBJECT!$E$32&amp;"  "&amp;Page5i_SANS_OBJECT!$C$32&amp;" - CHIFFRE D'AFFAIRES RÉALISÉ - AAD"</f>
        <v>CPTE # 427I  NE PAS UTILISER - CHIFFRE D'AFFAIRES RÉALISÉ - AAD</v>
      </c>
      <c r="O1727" s="611" t="str">
        <f t="shared" si="237"/>
        <v/>
      </c>
      <c r="P1727" s="611" t="str">
        <f t="shared" si="231"/>
        <v>Page5i_SANS_OBJECT!L</v>
      </c>
      <c r="Q1727" s="611">
        <f t="shared" si="232"/>
        <v>32</v>
      </c>
      <c r="R1727" s="1447">
        <f t="shared" ca="1" si="233"/>
        <v>0</v>
      </c>
      <c r="S1727" s="1447">
        <f t="shared" ca="1" si="234"/>
        <v>0</v>
      </c>
      <c r="V1727" s="2557" t="str">
        <f t="shared" ca="1" si="236"/>
        <v/>
      </c>
      <c r="W1727" s="611" t="str">
        <f t="shared" ca="1" si="235"/>
        <v>Page5i_SANS_OBJECT, Ligne 29 [Page5i_SANS_OBJECT!L32]  -</v>
      </c>
    </row>
    <row r="1728" spans="1:23">
      <c r="A1728" s="1443" t="str">
        <f>celladdr(Page5i_SANS_OBJECT!L33)</f>
        <v>Page5i_SANS_OBJECT!L33</v>
      </c>
      <c r="B1728" s="1456" t="s">
        <v>1086</v>
      </c>
      <c r="C1728" s="1451" t="b">
        <f>Page5i_SANS_OBJECT!$L$33&lt;0</f>
        <v>0</v>
      </c>
      <c r="D1728" s="1454" t="b">
        <f>OR(AND(Page5i_SANS_OBJECT!$L33&lt;&gt;0,Page5i_SANS_OBJECT!$M33=0),AND(Page5i_SANS_OBJECT!$M33&lt;&gt;0,Page5i_SANS_OBJECT!$L33=0))</f>
        <v>0</v>
      </c>
      <c r="E1728" s="1454"/>
      <c r="F1728" s="1454"/>
      <c r="G1728" s="1444" t="str">
        <f t="shared" si="230"/>
        <v/>
      </c>
      <c r="H1728" s="1447" t="str">
        <f>IF(C1728=TRUE,Comments!$B$23,"")</f>
        <v/>
      </c>
      <c r="I1728" s="1446" t="str">
        <f>IF(D1728=TRUE,Comments!$B$24,"")</f>
        <v/>
      </c>
      <c r="J1728" s="1446"/>
      <c r="K1728" s="1452"/>
      <c r="N1728" s="611" t="str">
        <f>"CPTE # "&amp;Page5i_SANS_OBJECT!$E$33&amp;"  "&amp;Page5i_SANS_OBJECT!$C$33&amp;" - CHIFFRE D'AFFAIRES RÉALISÉ - AAD"</f>
        <v>CPTE # 428I  NE PAS UTILISER - CHIFFRE D'AFFAIRES RÉALISÉ - AAD</v>
      </c>
      <c r="O1728" s="611" t="str">
        <f t="shared" si="237"/>
        <v/>
      </c>
      <c r="P1728" s="611" t="str">
        <f t="shared" si="231"/>
        <v>Page5i_SANS_OBJECT!L</v>
      </c>
      <c r="Q1728" s="611">
        <f t="shared" si="232"/>
        <v>33</v>
      </c>
      <c r="R1728" s="1447">
        <f t="shared" ca="1" si="233"/>
        <v>0</v>
      </c>
      <c r="S1728" s="1447">
        <f t="shared" ca="1" si="234"/>
        <v>0</v>
      </c>
      <c r="V1728" s="2557" t="str">
        <f t="shared" ca="1" si="236"/>
        <v/>
      </c>
      <c r="W1728" s="611" t="str">
        <f t="shared" ca="1" si="235"/>
        <v>Page5i_SANS_OBJECT, Ligne 30 [Page5i_SANS_OBJECT!L33]  -</v>
      </c>
    </row>
    <row r="1729" spans="1:23">
      <c r="A1729" s="1443" t="str">
        <f>celladdr(Page5i_SANS_OBJECT!L34)</f>
        <v>Page5i_SANS_OBJECT!L34</v>
      </c>
      <c r="B1729" s="1456" t="s">
        <v>1086</v>
      </c>
      <c r="C1729" s="1451" t="b">
        <f>Page5i_SANS_OBJECT!$L$34&lt;0</f>
        <v>0</v>
      </c>
      <c r="D1729" s="1454" t="b">
        <f>OR(AND(Page5i_SANS_OBJECT!$L34&lt;&gt;0,Page5i_SANS_OBJECT!$M34=0),AND(Page5i_SANS_OBJECT!$M34&lt;&gt;0,Page5i_SANS_OBJECT!$L34=0))</f>
        <v>0</v>
      </c>
      <c r="E1729" s="1454"/>
      <c r="F1729" s="1454"/>
      <c r="G1729" s="1444" t="str">
        <f t="shared" si="230"/>
        <v/>
      </c>
      <c r="H1729" s="1447" t="str">
        <f>IF(C1729=TRUE,Comments!$B$23,"")</f>
        <v/>
      </c>
      <c r="I1729" s="1446" t="str">
        <f>IF(D1729=TRUE,Comments!$B$24,"")</f>
        <v/>
      </c>
      <c r="J1729" s="1446"/>
      <c r="K1729" s="1452"/>
      <c r="N1729" s="611" t="str">
        <f>"CPTE # "&amp;Page5i_SANS_OBJECT!$E$34&amp;"  "&amp;Page5i_SANS_OBJECT!$C$34&amp;" - CHIFFRE D'AFFAIRES RÉALISÉ - AAD"</f>
        <v>CPTE # 429I  NE PAS UTILISER - CHIFFRE D'AFFAIRES RÉALISÉ - AAD</v>
      </c>
      <c r="O1729" s="611" t="str">
        <f t="shared" si="237"/>
        <v/>
      </c>
      <c r="P1729" s="611" t="str">
        <f t="shared" si="231"/>
        <v>Page5i_SANS_OBJECT!L</v>
      </c>
      <c r="Q1729" s="611">
        <f t="shared" si="232"/>
        <v>34</v>
      </c>
      <c r="R1729" s="1447">
        <f t="shared" ca="1" si="233"/>
        <v>0</v>
      </c>
      <c r="S1729" s="1447">
        <f t="shared" ca="1" si="234"/>
        <v>0</v>
      </c>
      <c r="V1729" s="2557" t="str">
        <f t="shared" ca="1" si="236"/>
        <v/>
      </c>
      <c r="W1729" s="611" t="str">
        <f t="shared" ca="1" si="235"/>
        <v>Page5i_SANS_OBJECT, Ligne 31 [Page5i_SANS_OBJECT!L34]  -</v>
      </c>
    </row>
    <row r="1730" spans="1:23">
      <c r="A1730" s="1443" t="str">
        <f>celladdr(Page5i_SANS_OBJECT!L35)</f>
        <v>Page5i_SANS_OBJECT!L35</v>
      </c>
      <c r="B1730" s="1456" t="s">
        <v>1086</v>
      </c>
      <c r="C1730" s="1451" t="b">
        <f>Page5i_SANS_OBJECT!$L$35&lt;0</f>
        <v>0</v>
      </c>
      <c r="D1730" s="1454" t="b">
        <f>OR(AND(Page5i_SANS_OBJECT!$L35&lt;&gt;0,Page5i_SANS_OBJECT!$M35=0),AND(Page5i_SANS_OBJECT!$M35&lt;&gt;0,Page5i_SANS_OBJECT!$L35=0))</f>
        <v>0</v>
      </c>
      <c r="E1730" s="1454"/>
      <c r="F1730" s="1454"/>
      <c r="G1730" s="1444" t="str">
        <f t="shared" ref="G1730:G1793" si="238">IF(H1730&amp;I1730&amp;J1730&amp;K1730&lt;&gt;"","No.de ref. du commentaire.: "&amp;W1730&amp;" "&amp;N1730&amp;" "&amp;H1730&amp;I1730&amp;IF(OR(C1730=TRUE,D1730=TRUE),"",J1730&amp;K1730&amp;V1730),"")</f>
        <v/>
      </c>
      <c r="H1730" s="1447" t="str">
        <f>IF(C1730=TRUE,Comments!$B$23,"")</f>
        <v/>
      </c>
      <c r="I1730" s="1446" t="str">
        <f>IF(D1730=TRUE,Comments!$B$24,"")</f>
        <v/>
      </c>
      <c r="J1730" s="1446"/>
      <c r="K1730" s="1452"/>
      <c r="N1730" s="611" t="str">
        <f>"CPTE # "&amp;Page5i_SANS_OBJECT!$E$35&amp;"  "&amp;Page5i_SANS_OBJECT!$C$35&amp;" - CHIFFRE D'AFFAIRES RÉALISÉ - AAD"</f>
        <v>CPTE # 430I  NE PAS UTILISER - CHIFFRE D'AFFAIRES RÉALISÉ - AAD</v>
      </c>
      <c r="O1730" s="611" t="str">
        <f t="shared" si="237"/>
        <v/>
      </c>
      <c r="P1730" s="611" t="str">
        <f t="shared" ref="P1730:P1793" si="239">LEFT(A1730,FIND("!",A1730)+1)</f>
        <v>Page5i_SANS_OBJECT!L</v>
      </c>
      <c r="Q1730" s="611">
        <f t="shared" ref="Q1730:Q1793" si="240">VALUE(RIGHT(A1730,LEN(A1730)-FIND("!",A1730)-1))</f>
        <v>35</v>
      </c>
      <c r="R1730" s="1447">
        <f t="shared" ref="R1730:R1793" ca="1" si="241">IF(E1730=TRUE,INDIRECT("Comments!$D$"&amp;T1730),0)</f>
        <v>0</v>
      </c>
      <c r="S1730" s="1447">
        <f t="shared" ref="S1730:S1793" ca="1" si="242">IF(F1730=TRUE,INDIRECT("Comments!$D$"&amp;U1730),0)</f>
        <v>0</v>
      </c>
      <c r="V1730" s="2557" t="str">
        <f t="shared" ca="1" si="236"/>
        <v/>
      </c>
      <c r="W1730" s="611" t="str">
        <f t="shared" ref="W1730:W1793" ca="1" si="243">LEFT(A1730,FIND("!",A1730,1)-1)&amp;", Ligne "&amp;INDIRECT(ADDRESS(ROW(INDIRECT(A1730)),IF(INDIRECT(ADDRESS(ROW(INDIRECT(A1730)),1,,,LEFT(A1730,FIND("!",A1730,1)-1)))="",2,1),,,LEFT(A1730,FIND("!",A1730,1)-1)))&amp;" ["&amp;A1730&amp;"] "&amp;" -"</f>
        <v>Page5i_SANS_OBJECT, Ligne 32 [Page5i_SANS_OBJECT!L35]  -</v>
      </c>
    </row>
    <row r="1731" spans="1:23">
      <c r="A1731" s="1443" t="str">
        <f>celladdr(Page5i_SANS_OBJECT!L36)</f>
        <v>Page5i_SANS_OBJECT!L36</v>
      </c>
      <c r="B1731" s="1456" t="s">
        <v>1086</v>
      </c>
      <c r="C1731" s="1451" t="b">
        <f>Page5i_SANS_OBJECT!$L$36&lt;0</f>
        <v>0</v>
      </c>
      <c r="D1731" s="1454" t="b">
        <f>OR(AND(Page5i_SANS_OBJECT!$L36&lt;&gt;0,Page5i_SANS_OBJECT!$M36=0),AND(Page5i_SANS_OBJECT!$M36&lt;&gt;0,Page5i_SANS_OBJECT!$L36=0))</f>
        <v>0</v>
      </c>
      <c r="E1731" s="1454"/>
      <c r="F1731" s="1454"/>
      <c r="G1731" s="1444" t="str">
        <f t="shared" si="238"/>
        <v/>
      </c>
      <c r="H1731" s="1447" t="str">
        <f>IF(C1731=TRUE,Comments!$B$23,"")</f>
        <v/>
      </c>
      <c r="I1731" s="1446" t="str">
        <f>IF(D1731=TRUE,Comments!$B$24,"")</f>
        <v/>
      </c>
      <c r="J1731" s="1446"/>
      <c r="K1731" s="1452"/>
      <c r="N1731" s="611" t="str">
        <f>"CPTE # "&amp;Page5i_SANS_OBJECT!$E$36&amp;"  "&amp;Page5i_SANS_OBJECT!$C$36&amp;" - CHIFFRE D'AFFAIRES RÉALISÉ - AAD"</f>
        <v>CPTE # 431I  NE PAS UTILISER - CHIFFRE D'AFFAIRES RÉALISÉ - AAD</v>
      </c>
      <c r="O1731" s="611" t="str">
        <f t="shared" si="237"/>
        <v/>
      </c>
      <c r="P1731" s="611" t="str">
        <f t="shared" si="239"/>
        <v>Page5i_SANS_OBJECT!L</v>
      </c>
      <c r="Q1731" s="611">
        <f t="shared" si="240"/>
        <v>36</v>
      </c>
      <c r="R1731" s="1447">
        <f t="shared" ca="1" si="241"/>
        <v>0</v>
      </c>
      <c r="S1731" s="1447">
        <f t="shared" ca="1" si="242"/>
        <v>0</v>
      </c>
      <c r="V1731" s="2557" t="str">
        <f t="shared" ca="1" si="236"/>
        <v/>
      </c>
      <c r="W1731" s="611" t="str">
        <f t="shared" ca="1" si="243"/>
        <v>Page5i_SANS_OBJECT, Ligne 33 [Page5i_SANS_OBJECT!L36]  -</v>
      </c>
    </row>
    <row r="1732" spans="1:23">
      <c r="A1732" s="1443" t="str">
        <f>celladdr(Page5i_SANS_OBJECT!L37)</f>
        <v>Page5i_SANS_OBJECT!L37</v>
      </c>
      <c r="B1732" s="1456" t="s">
        <v>1086</v>
      </c>
      <c r="C1732" s="1451" t="b">
        <f>Page5i_SANS_OBJECT!$L$37&lt;0</f>
        <v>0</v>
      </c>
      <c r="D1732" s="1454" t="b">
        <f>OR(AND(Page5i_SANS_OBJECT!$L37&lt;&gt;0,Page5i_SANS_OBJECT!$M37=0),AND(Page5i_SANS_OBJECT!$M37&lt;&gt;0,Page5i_SANS_OBJECT!$L37=0))</f>
        <v>0</v>
      </c>
      <c r="E1732" s="1454"/>
      <c r="F1732" s="1454"/>
      <c r="G1732" s="1444" t="str">
        <f t="shared" si="238"/>
        <v/>
      </c>
      <c r="H1732" s="1447" t="str">
        <f>IF(C1732=TRUE,Comments!$B$23,"")</f>
        <v/>
      </c>
      <c r="I1732" s="1446" t="str">
        <f>IF(D1732=TRUE,Comments!$B$24,"")</f>
        <v/>
      </c>
      <c r="J1732" s="1446"/>
      <c r="K1732" s="1452"/>
      <c r="N1732" s="611" t="str">
        <f>"CPTE # "&amp;Page5i_SANS_OBJECT!$E$37&amp;"  "&amp;Page5i_SANS_OBJECT!$C$37&amp;" - CHIFFRE D'AFFAIRES RÉALISÉ - AAD"</f>
        <v>CPTE # 432I  NE PAS UTILISER - CHIFFRE D'AFFAIRES RÉALISÉ - AAD</v>
      </c>
      <c r="O1732" s="611" t="str">
        <f t="shared" si="237"/>
        <v/>
      </c>
      <c r="P1732" s="611" t="str">
        <f t="shared" si="239"/>
        <v>Page5i_SANS_OBJECT!L</v>
      </c>
      <c r="Q1732" s="611">
        <f t="shared" si="240"/>
        <v>37</v>
      </c>
      <c r="R1732" s="1447">
        <f t="shared" ca="1" si="241"/>
        <v>0</v>
      </c>
      <c r="S1732" s="1447">
        <f t="shared" ca="1" si="242"/>
        <v>0</v>
      </c>
      <c r="V1732" s="2557" t="str">
        <f t="shared" ca="1" si="236"/>
        <v/>
      </c>
      <c r="W1732" s="611" t="str">
        <f t="shared" ca="1" si="243"/>
        <v>Page5i_SANS_OBJECT, Ligne 34 [Page5i_SANS_OBJECT!L37]  -</v>
      </c>
    </row>
    <row r="1733" spans="1:23">
      <c r="A1733" s="1443" t="str">
        <f>celladdr(Page5i_SANS_OBJECT!L38)</f>
        <v>Page5i_SANS_OBJECT!L38</v>
      </c>
      <c r="B1733" s="1456" t="s">
        <v>1086</v>
      </c>
      <c r="C1733" s="1451" t="b">
        <f>Page5i_SANS_OBJECT!$L$38&lt;0</f>
        <v>0</v>
      </c>
      <c r="D1733" s="1454" t="b">
        <f>OR(AND(Page5i_SANS_OBJECT!$L38&lt;&gt;0,Page5i_SANS_OBJECT!$M38=0),AND(Page5i_SANS_OBJECT!$M38&lt;&gt;0,Page5i_SANS_OBJECT!$L38=0))</f>
        <v>0</v>
      </c>
      <c r="E1733" s="1454"/>
      <c r="F1733" s="1454"/>
      <c r="G1733" s="1444" t="str">
        <f t="shared" si="238"/>
        <v/>
      </c>
      <c r="H1733" s="1447" t="str">
        <f>IF(C1733=TRUE,Comments!$B$23,"")</f>
        <v/>
      </c>
      <c r="I1733" s="1446" t="str">
        <f>IF(D1733=TRUE,Comments!$B$24,"")</f>
        <v/>
      </c>
      <c r="J1733" s="1446"/>
      <c r="K1733" s="1452"/>
      <c r="N1733" s="611" t="str">
        <f>"CPTE # "&amp;Page5i_SANS_OBJECT!$E$38&amp;"  "&amp;Page5i_SANS_OBJECT!$C$38&amp;" - CHIFFRE D'AFFAIRES RÉALISÉ - AAD"</f>
        <v>CPTE # 433I  NE PAS UTILISER - CHIFFRE D'AFFAIRES RÉALISÉ - AAD</v>
      </c>
      <c r="O1733" s="611" t="str">
        <f t="shared" si="237"/>
        <v/>
      </c>
      <c r="P1733" s="611" t="str">
        <f t="shared" si="239"/>
        <v>Page5i_SANS_OBJECT!L</v>
      </c>
      <c r="Q1733" s="611">
        <f t="shared" si="240"/>
        <v>38</v>
      </c>
      <c r="R1733" s="1447">
        <f t="shared" ca="1" si="241"/>
        <v>0</v>
      </c>
      <c r="S1733" s="1447">
        <f t="shared" ca="1" si="242"/>
        <v>0</v>
      </c>
      <c r="V1733" s="2557" t="str">
        <f t="shared" ca="1" si="236"/>
        <v/>
      </c>
      <c r="W1733" s="611" t="str">
        <f t="shared" ca="1" si="243"/>
        <v>Page5i_SANS_OBJECT, Ligne 35 [Page5i_SANS_OBJECT!L38]  -</v>
      </c>
    </row>
    <row r="1734" spans="1:23">
      <c r="A1734" s="1443" t="str">
        <f>celladdr(Page5i_SANS_OBJECT!L39)</f>
        <v>Page5i_SANS_OBJECT!L39</v>
      </c>
      <c r="B1734" s="1456" t="s">
        <v>1086</v>
      </c>
      <c r="C1734" s="1451" t="b">
        <f>Page5i_SANS_OBJECT!$L$39&lt;0</f>
        <v>0</v>
      </c>
      <c r="D1734" s="1454" t="b">
        <f>OR(AND(Page5i_SANS_OBJECT!$L39&lt;&gt;0,Page5i_SANS_OBJECT!$M39=0),AND(Page5i_SANS_OBJECT!$M39&lt;&gt;0,Page5i_SANS_OBJECT!$L39=0))</f>
        <v>0</v>
      </c>
      <c r="E1734" s="1454"/>
      <c r="F1734" s="1454"/>
      <c r="G1734" s="1444" t="str">
        <f t="shared" si="238"/>
        <v/>
      </c>
      <c r="H1734" s="1447" t="str">
        <f>IF(C1734=TRUE,Comments!$B$23,"")</f>
        <v/>
      </c>
      <c r="I1734" s="1446" t="str">
        <f>IF(D1734=TRUE,Comments!$B$24,"")</f>
        <v/>
      </c>
      <c r="J1734" s="1446"/>
      <c r="K1734" s="1452"/>
      <c r="N1734" s="611" t="str">
        <f>"CPTE # "&amp;Page5i_SANS_OBJECT!$E$39&amp;"  "&amp;Page5i_SANS_OBJECT!$C$39&amp;" - CHIFFRE D'AFFAIRES RÉALISÉ - AAD"</f>
        <v>CPTE # 434I  NE PAS UTILISER - CHIFFRE D'AFFAIRES RÉALISÉ - AAD</v>
      </c>
      <c r="O1734" s="611" t="str">
        <f t="shared" si="237"/>
        <v/>
      </c>
      <c r="P1734" s="611" t="str">
        <f t="shared" si="239"/>
        <v>Page5i_SANS_OBJECT!L</v>
      </c>
      <c r="Q1734" s="611">
        <f t="shared" si="240"/>
        <v>39</v>
      </c>
      <c r="R1734" s="1447">
        <f t="shared" ca="1" si="241"/>
        <v>0</v>
      </c>
      <c r="S1734" s="1447">
        <f t="shared" ca="1" si="242"/>
        <v>0</v>
      </c>
      <c r="V1734" s="2557" t="str">
        <f t="shared" ca="1" si="236"/>
        <v/>
      </c>
      <c r="W1734" s="611" t="str">
        <f t="shared" ca="1" si="243"/>
        <v>Page5i_SANS_OBJECT, Ligne 36 [Page5i_SANS_OBJECT!L39]  -</v>
      </c>
    </row>
    <row r="1735" spans="1:23">
      <c r="A1735" s="1443" t="str">
        <f>celladdr(Page5i_SANS_OBJECT!L40)</f>
        <v>Page5i_SANS_OBJECT!L40</v>
      </c>
      <c r="B1735" s="1456" t="s">
        <v>1086</v>
      </c>
      <c r="C1735" s="1451" t="b">
        <f>Page5i_SANS_OBJECT!$L$40&lt;0</f>
        <v>0</v>
      </c>
      <c r="D1735" s="1454" t="b">
        <f>OR(AND(Page5i_SANS_OBJECT!$L40&lt;&gt;0,Page5i_SANS_OBJECT!$M40=0),AND(Page5i_SANS_OBJECT!$M40&lt;&gt;0,Page5i_SANS_OBJECT!$L40=0))</f>
        <v>0</v>
      </c>
      <c r="E1735" s="1454"/>
      <c r="F1735" s="1454"/>
      <c r="G1735" s="1444" t="str">
        <f t="shared" si="238"/>
        <v/>
      </c>
      <c r="H1735" s="1447" t="str">
        <f>IF(C1735=TRUE,Comments!$B$23,"")</f>
        <v/>
      </c>
      <c r="I1735" s="1446" t="str">
        <f>IF(D1735=TRUE,Comments!$B$24,"")</f>
        <v/>
      </c>
      <c r="J1735" s="1446"/>
      <c r="K1735" s="1452"/>
      <c r="N1735" s="611" t="str">
        <f>"CPTE # "&amp;Page5i_SANS_OBJECT!$E$40&amp;"  "&amp;Page5i_SANS_OBJECT!$C$40&amp;" - CHIFFRE D'AFFAIRES RÉALISÉ - AAD"</f>
        <v>CPTE # 435I  NE PAS UTILISER - CHIFFRE D'AFFAIRES RÉALISÉ - AAD</v>
      </c>
      <c r="O1735" s="611" t="str">
        <f t="shared" si="237"/>
        <v/>
      </c>
      <c r="P1735" s="611" t="str">
        <f t="shared" si="239"/>
        <v>Page5i_SANS_OBJECT!L</v>
      </c>
      <c r="Q1735" s="611">
        <f t="shared" si="240"/>
        <v>40</v>
      </c>
      <c r="R1735" s="1447">
        <f t="shared" ca="1" si="241"/>
        <v>0</v>
      </c>
      <c r="S1735" s="1447">
        <f t="shared" ca="1" si="242"/>
        <v>0</v>
      </c>
      <c r="V1735" s="2557" t="str">
        <f t="shared" ca="1" si="236"/>
        <v/>
      </c>
      <c r="W1735" s="611" t="str">
        <f t="shared" ca="1" si="243"/>
        <v>Page5i_SANS_OBJECT, Ligne 37 [Page5i_SANS_OBJECT!L40]  -</v>
      </c>
    </row>
    <row r="1736" spans="1:23">
      <c r="A1736" s="1443" t="str">
        <f>celladdr(Page5i_SANS_OBJECT!L41)</f>
        <v>Page5i_SANS_OBJECT!L41</v>
      </c>
      <c r="B1736" s="1456" t="s">
        <v>1086</v>
      </c>
      <c r="C1736" s="1451" t="b">
        <f>Page5i_SANS_OBJECT!$L$41&lt;0</f>
        <v>0</v>
      </c>
      <c r="D1736" s="1454" t="b">
        <f>OR(AND(Page5i_SANS_OBJECT!$L41&lt;&gt;0,Page5i_SANS_OBJECT!$M41=0),AND(Page5i_SANS_OBJECT!$M41&lt;&gt;0,Page5i_SANS_OBJECT!$L41=0))</f>
        <v>0</v>
      </c>
      <c r="E1736" s="1454"/>
      <c r="F1736" s="1454"/>
      <c r="G1736" s="1444" t="str">
        <f t="shared" si="238"/>
        <v/>
      </c>
      <c r="H1736" s="1447" t="str">
        <f>IF(C1736=TRUE,Comments!$B$23,"")</f>
        <v/>
      </c>
      <c r="I1736" s="1446" t="str">
        <f>IF(D1736=TRUE,Comments!$B$24,"")</f>
        <v/>
      </c>
      <c r="J1736" s="1446"/>
      <c r="K1736" s="1452"/>
      <c r="N1736" s="611" t="str">
        <f>"CPTE # "&amp;Page5i_SANS_OBJECT!$E$41&amp;"  "&amp;Page5i_SANS_OBJECT!$C$41&amp;" - CHIFFRE D'AFFAIRES RÉALISÉ - AAD"</f>
        <v>CPTE # 436I  NE PAS UTILISER - CHIFFRE D'AFFAIRES RÉALISÉ - AAD</v>
      </c>
      <c r="O1736" s="611" t="str">
        <f t="shared" si="237"/>
        <v/>
      </c>
      <c r="P1736" s="611" t="str">
        <f t="shared" si="239"/>
        <v>Page5i_SANS_OBJECT!L</v>
      </c>
      <c r="Q1736" s="611">
        <f t="shared" si="240"/>
        <v>41</v>
      </c>
      <c r="R1736" s="1447">
        <f t="shared" ca="1" si="241"/>
        <v>0</v>
      </c>
      <c r="S1736" s="1447">
        <f t="shared" ca="1" si="242"/>
        <v>0</v>
      </c>
      <c r="V1736" s="2557" t="str">
        <f t="shared" ca="1" si="236"/>
        <v/>
      </c>
      <c r="W1736" s="611" t="str">
        <f t="shared" ca="1" si="243"/>
        <v>Page5i_SANS_OBJECT, Ligne 38 [Page5i_SANS_OBJECT!L41]  -</v>
      </c>
    </row>
    <row r="1737" spans="1:23">
      <c r="A1737" s="1443" t="str">
        <f>celladdr(Page5i_SANS_OBJECT!L42)</f>
        <v>Page5i_SANS_OBJECT!L42</v>
      </c>
      <c r="B1737" s="1456" t="s">
        <v>1086</v>
      </c>
      <c r="C1737" s="1451" t="b">
        <f>Page5i_SANS_OBJECT!$L$42&lt;0</f>
        <v>0</v>
      </c>
      <c r="D1737" s="1454" t="b">
        <f>OR(AND(Page5i_SANS_OBJECT!$L42&lt;&gt;0,Page5i_SANS_OBJECT!$M42=0),AND(Page5i_SANS_OBJECT!$M42&lt;&gt;0,Page5i_SANS_OBJECT!$L42=0))</f>
        <v>0</v>
      </c>
      <c r="E1737" s="1454"/>
      <c r="F1737" s="1454"/>
      <c r="G1737" s="1444" t="str">
        <f t="shared" si="238"/>
        <v/>
      </c>
      <c r="H1737" s="1447" t="str">
        <f>IF(C1737=TRUE,Comments!$B$23,"")</f>
        <v/>
      </c>
      <c r="I1737" s="1446" t="str">
        <f>IF(D1737=TRUE,Comments!$B$24,"")</f>
        <v/>
      </c>
      <c r="J1737" s="1446"/>
      <c r="K1737" s="1452"/>
      <c r="N1737" s="611" t="str">
        <f>"CPTE # "&amp;Page5i_SANS_OBJECT!$E$42&amp;"  "&amp;Page5i_SANS_OBJECT!$C$42&amp;" - CHIFFRE D'AFFAIRES RÉALISÉ - AAD"</f>
        <v>CPTE # 437I  POUR USAGE FUTUR - CHIFFRE D'AFFAIRES RÉALISÉ - AAD</v>
      </c>
      <c r="O1737" s="611" t="str">
        <f t="shared" si="237"/>
        <v/>
      </c>
      <c r="P1737" s="611" t="str">
        <f t="shared" si="239"/>
        <v>Page5i_SANS_OBJECT!L</v>
      </c>
      <c r="Q1737" s="611">
        <f t="shared" si="240"/>
        <v>42</v>
      </c>
      <c r="R1737" s="1447">
        <f t="shared" ca="1" si="241"/>
        <v>0</v>
      </c>
      <c r="S1737" s="1447">
        <f t="shared" ca="1" si="242"/>
        <v>0</v>
      </c>
      <c r="V1737" s="2557" t="str">
        <f t="shared" ca="1" si="236"/>
        <v/>
      </c>
      <c r="W1737" s="611" t="str">
        <f t="shared" ca="1" si="243"/>
        <v>Page5i_SANS_OBJECT, Ligne 39 [Page5i_SANS_OBJECT!L42]  -</v>
      </c>
    </row>
    <row r="1738" spans="1:23">
      <c r="A1738" s="1443" t="str">
        <f>celladdr(Page5i_SANS_OBJECT!L43)</f>
        <v>Page5i_SANS_OBJECT!L43</v>
      </c>
      <c r="B1738" s="1456" t="s">
        <v>1086</v>
      </c>
      <c r="C1738" s="1451" t="b">
        <f>Page5i_SANS_OBJECT!$L$43&lt;0</f>
        <v>0</v>
      </c>
      <c r="D1738" s="1454" t="b">
        <f>OR(AND(Page5i_SANS_OBJECT!$L43&lt;&gt;0,Page5i_SANS_OBJECT!$M43=0),AND(Page5i_SANS_OBJECT!$M43&lt;&gt;0,Page5i_SANS_OBJECT!$L43=0))</f>
        <v>0</v>
      </c>
      <c r="E1738" s="1454"/>
      <c r="F1738" s="1454"/>
      <c r="G1738" s="1444" t="str">
        <f t="shared" si="238"/>
        <v/>
      </c>
      <c r="H1738" s="1447" t="str">
        <f>IF(C1738=TRUE,Comments!$B$23,"")</f>
        <v/>
      </c>
      <c r="I1738" s="1446" t="str">
        <f>IF(D1738=TRUE,Comments!$B$24,"")</f>
        <v/>
      </c>
      <c r="J1738" s="1446"/>
      <c r="K1738" s="1452"/>
      <c r="N1738" s="611" t="str">
        <f>"CPTE # "&amp;Page5i_SANS_OBJECT!$E$43&amp;"  "&amp;Page5i_SANS_OBJECT!$C$43&amp;" - CHIFFRE D'AFFAIRES RÉALISÉ - AAD"</f>
        <v>CPTE # 438I  AUTRES POIDS MOYEN - CHIFFRE D'AFFAIRES RÉALISÉ - AAD</v>
      </c>
      <c r="O1738" s="611" t="str">
        <f t="shared" si="237"/>
        <v/>
      </c>
      <c r="P1738" s="611" t="str">
        <f t="shared" si="239"/>
        <v>Page5i_SANS_OBJECT!L</v>
      </c>
      <c r="Q1738" s="611">
        <f t="shared" si="240"/>
        <v>43</v>
      </c>
      <c r="R1738" s="1447">
        <f t="shared" ca="1" si="241"/>
        <v>0</v>
      </c>
      <c r="S1738" s="1447">
        <f t="shared" ca="1" si="242"/>
        <v>0</v>
      </c>
      <c r="V1738" s="2557" t="str">
        <f t="shared" ca="1" si="236"/>
        <v/>
      </c>
      <c r="W1738" s="611" t="str">
        <f t="shared" ca="1" si="243"/>
        <v>Page5i_SANS_OBJECT, Ligne 40 [Page5i_SANS_OBJECT!L43]  -</v>
      </c>
    </row>
    <row r="1739" spans="1:23">
      <c r="A1739" s="1443" t="str">
        <f>celladdr(Page5i_SANS_OBJECT!L44)</f>
        <v>Page5i_SANS_OBJECT!L44</v>
      </c>
      <c r="B1739" s="1444" t="s">
        <v>1086</v>
      </c>
      <c r="C1739" s="1451"/>
      <c r="D1739" s="1454"/>
      <c r="E1739" s="1454"/>
      <c r="F1739" s="1454"/>
      <c r="G1739" s="1444" t="str">
        <f t="shared" si="238"/>
        <v/>
      </c>
      <c r="H1739" s="1447" t="str">
        <f>IF(C1739=TRUE,Comments!$B$26,"")</f>
        <v/>
      </c>
      <c r="I1739" s="1446" t="str">
        <f>IF(D1742=TRUE,Comments!$B$24,"")</f>
        <v/>
      </c>
      <c r="J1739" s="1446"/>
      <c r="K1739" s="1452"/>
      <c r="O1739" s="611" t="str">
        <f t="shared" si="237"/>
        <v/>
      </c>
      <c r="P1739" s="611" t="str">
        <f t="shared" si="239"/>
        <v>Page5i_SANS_OBJECT!L</v>
      </c>
      <c r="Q1739" s="611">
        <f t="shared" si="240"/>
        <v>44</v>
      </c>
      <c r="R1739" s="1447">
        <f t="shared" ca="1" si="241"/>
        <v>0</v>
      </c>
      <c r="S1739" s="1447">
        <f t="shared" ca="1" si="242"/>
        <v>0</v>
      </c>
      <c r="V1739" s="2557" t="str">
        <f t="shared" ca="1" si="236"/>
        <v/>
      </c>
      <c r="W1739" s="611" t="str">
        <f t="shared" ca="1" si="243"/>
        <v>Page5i_SANS_OBJECT, Ligne 41 [Page5i_SANS_OBJECT!L44]  -</v>
      </c>
    </row>
    <row r="1740" spans="1:23">
      <c r="A1740" s="1443" t="str">
        <f>celladdr(Page5i_SANS_OBJECT!L45)</f>
        <v>Page5i_SANS_OBJECT!L45</v>
      </c>
      <c r="B1740" s="1456" t="s">
        <v>1086</v>
      </c>
      <c r="C1740" s="1451" t="b">
        <f>Page5i_SANS_OBJECT!$L$45&lt;0</f>
        <v>0</v>
      </c>
      <c r="D1740" s="1454" t="b">
        <f>OR(AND(Page5i_SANS_OBJECT!$L45&lt;&gt;0,Page5i_SANS_OBJECT!$M45=0),AND(Page5i_SANS_OBJECT!$M45&lt;&gt;0,Page5i_SANS_OBJECT!$L45=0))</f>
        <v>0</v>
      </c>
      <c r="E1740" s="1454"/>
      <c r="F1740" s="1454"/>
      <c r="G1740" s="1444" t="str">
        <f t="shared" si="238"/>
        <v/>
      </c>
      <c r="H1740" s="1447" t="str">
        <f>IF(C1740=TRUE,Comments!$B$23,"")</f>
        <v/>
      </c>
      <c r="I1740" s="1446" t="str">
        <f>IF(D1740=TRUE,Comments!$B$24,"")</f>
        <v/>
      </c>
      <c r="J1740" s="1446"/>
      <c r="K1740" s="1452"/>
      <c r="N1740" s="611" t="str">
        <f>"CPTE # "&amp;Page5i_SANS_OBJECT!$E$45&amp;"  "&amp;Page5i_SANS_OBJECT!$C$45&amp;" - CHIFFRE D'AFFAIRES RÉALISÉ - AAD"</f>
        <v>CPTE # 439I  MÉMO* VENTES INTERNET CAMIONS - CHIFFRE D'AFFAIRES RÉALISÉ - AAD</v>
      </c>
      <c r="O1740" s="611" t="str">
        <f t="shared" si="237"/>
        <v/>
      </c>
      <c r="P1740" s="611" t="str">
        <f t="shared" si="239"/>
        <v>Page5i_SANS_OBJECT!L</v>
      </c>
      <c r="Q1740" s="611">
        <f t="shared" si="240"/>
        <v>45</v>
      </c>
      <c r="R1740" s="1447">
        <f t="shared" ca="1" si="241"/>
        <v>0</v>
      </c>
      <c r="S1740" s="1447">
        <f t="shared" ca="1" si="242"/>
        <v>0</v>
      </c>
      <c r="V1740" s="2557" t="str">
        <f t="shared" ca="1" si="236"/>
        <v/>
      </c>
      <c r="W1740" s="611" t="str">
        <f t="shared" ca="1" si="243"/>
        <v>Page5i_SANS_OBJECT, Ligne 42 [Page5i_SANS_OBJECT!L45]  -</v>
      </c>
    </row>
    <row r="1741" spans="1:23">
      <c r="A1741" s="1443" t="str">
        <f>celladdr(Page5i_SANS_OBJECT!L46)</f>
        <v>Page5i_SANS_OBJECT!L46</v>
      </c>
      <c r="B1741" s="1456" t="s">
        <v>1086</v>
      </c>
      <c r="C1741" s="1451" t="b">
        <f>Page5i_SANS_OBJECT!$L$46&lt;0</f>
        <v>0</v>
      </c>
      <c r="D1741" s="1454" t="b">
        <f>OR(AND(Page5i_SANS_OBJECT!$L46&lt;&gt;0,Page5i_SANS_OBJECT!$M46=0),AND(Page5i_SANS_OBJECT!$M46&lt;&gt;0,Page5i_SANS_OBJECT!$L46=0))</f>
        <v>0</v>
      </c>
      <c r="E1741" s="1454"/>
      <c r="F1741" s="1454"/>
      <c r="G1741" s="1444" t="str">
        <f t="shared" si="238"/>
        <v/>
      </c>
      <c r="H1741" s="1447" t="str">
        <f>IF(C1741=TRUE,Comments!$B$23,"")</f>
        <v/>
      </c>
      <c r="I1741" s="1446" t="str">
        <f>IF(D1741=TRUE,Comments!$B$24,"")</f>
        <v/>
      </c>
      <c r="J1741" s="1446"/>
      <c r="K1741" s="1452"/>
      <c r="N1741" s="611" t="str">
        <f>"CPTE # "&amp;Page5i_SANS_OBJECT!$E$46&amp;"  "&amp;Page5i_SANS_OBJECT!$C$46&amp;" - CHIFFRE D'AFFAIRES RÉALISÉ - AAD"</f>
        <v>CPTE # 440I  TOTAL PARCS - CAMIONS - CHIFFRE D'AFFAIRES RÉALISÉ - AAD</v>
      </c>
      <c r="O1741" s="611" t="str">
        <f t="shared" si="237"/>
        <v/>
      </c>
      <c r="P1741" s="611" t="str">
        <f t="shared" si="239"/>
        <v>Page5i_SANS_OBJECT!L</v>
      </c>
      <c r="Q1741" s="611">
        <f t="shared" si="240"/>
        <v>46</v>
      </c>
      <c r="R1741" s="1447">
        <f t="shared" ca="1" si="241"/>
        <v>0</v>
      </c>
      <c r="S1741" s="1447">
        <f t="shared" ca="1" si="242"/>
        <v>0</v>
      </c>
      <c r="V1741" s="2557" t="str">
        <f t="shared" ca="1" si="236"/>
        <v/>
      </c>
      <c r="W1741" s="611" t="str">
        <f t="shared" ca="1" si="243"/>
        <v>Page5i_SANS_OBJECT, Ligne 43 [Page5i_SANS_OBJECT!L46]  -</v>
      </c>
    </row>
    <row r="1742" spans="1:23">
      <c r="A1742" s="1443" t="str">
        <f>celladdr(Page5i_SANS_OBJECT!L47)</f>
        <v>Page5i_SANS_OBJECT!L47</v>
      </c>
      <c r="B1742" s="1456" t="s">
        <v>1086</v>
      </c>
      <c r="C1742" s="1451" t="b">
        <f>Page5i_SANS_OBJECT!$L$47&lt;0</f>
        <v>0</v>
      </c>
      <c r="D1742" s="1454" t="b">
        <f>OR(AND(Page5i_SANS_OBJECT!$L47&lt;&gt;0,Page5i_SANS_OBJECT!$M47=0),AND(Page5i_SANS_OBJECT!$M47&lt;&gt;0,Page5i_SANS_OBJECT!$L47=0))</f>
        <v>0</v>
      </c>
      <c r="E1742" s="1454"/>
      <c r="F1742" s="1454"/>
      <c r="G1742" s="1444" t="str">
        <f t="shared" si="238"/>
        <v/>
      </c>
      <c r="H1742" s="1447" t="str">
        <f>IF(C1742=TRUE,Comments!$B$23,"")</f>
        <v/>
      </c>
      <c r="I1742" s="1446" t="str">
        <f>IF(D1742=TRUE,Comments!$B$24,"")</f>
        <v/>
      </c>
      <c r="J1742" s="1446"/>
      <c r="K1742" s="1452"/>
      <c r="N1742" s="611" t="str">
        <f>"CPTE # "&amp;Page5i_SANS_OBJECT!$E$47&amp;"  "&amp;Page5i_SANS_OBJECT!$C$47&amp;" - CHIFFRE D'AFFAIRES RÉALISÉ - AAD"</f>
        <v>CPTE # 441I  TOTAL IINTERNE - CAMIONS  - CHIFFRE D'AFFAIRES RÉALISÉ - AAD</v>
      </c>
      <c r="O1742" s="611" t="str">
        <f t="shared" si="237"/>
        <v/>
      </c>
      <c r="P1742" s="611" t="str">
        <f t="shared" si="239"/>
        <v>Page5i_SANS_OBJECT!L</v>
      </c>
      <c r="Q1742" s="611">
        <f t="shared" si="240"/>
        <v>47</v>
      </c>
      <c r="R1742" s="1447">
        <f t="shared" ca="1" si="241"/>
        <v>0</v>
      </c>
      <c r="S1742" s="1447">
        <f t="shared" ca="1" si="242"/>
        <v>0</v>
      </c>
      <c r="V1742" s="2557" t="str">
        <f t="shared" ca="1" si="236"/>
        <v/>
      </c>
      <c r="W1742" s="611" t="str">
        <f t="shared" ca="1" si="243"/>
        <v>Page5i_SANS_OBJECT, Ligne 44 [Page5i_SANS_OBJECT!L47]  -</v>
      </c>
    </row>
    <row r="1743" spans="1:23">
      <c r="A1743" s="1443" t="str">
        <f>celladdr(Page5i_SANS_OBJECT!L48)</f>
        <v>Page5i_SANS_OBJECT!L48</v>
      </c>
      <c r="B1743" s="1444" t="s">
        <v>1086</v>
      </c>
      <c r="C1743" s="1451"/>
      <c r="D1743" s="1454"/>
      <c r="E1743" s="1454"/>
      <c r="F1743" s="1454"/>
      <c r="G1743" s="1444" t="str">
        <f t="shared" si="238"/>
        <v/>
      </c>
      <c r="H1743" s="1447" t="str">
        <f>IF(C1743=TRUE,Comments!$B$26,"")</f>
        <v/>
      </c>
      <c r="I1743" s="1446" t="str">
        <f>IF(D1743=TRUE,Comments!$B$24,"")</f>
        <v/>
      </c>
      <c r="J1743" s="1446"/>
      <c r="K1743" s="1452"/>
      <c r="O1743" s="611" t="str">
        <f t="shared" si="237"/>
        <v/>
      </c>
      <c r="P1743" s="611" t="str">
        <f t="shared" si="239"/>
        <v>Page5i_SANS_OBJECT!L</v>
      </c>
      <c r="Q1743" s="611">
        <f t="shared" si="240"/>
        <v>48</v>
      </c>
      <c r="R1743" s="1447">
        <f t="shared" ca="1" si="241"/>
        <v>0</v>
      </c>
      <c r="S1743" s="1447">
        <f t="shared" ca="1" si="242"/>
        <v>0</v>
      </c>
      <c r="V1743" s="2557" t="str">
        <f t="shared" ca="1" si="236"/>
        <v/>
      </c>
      <c r="W1743" s="611" t="str">
        <f t="shared" ca="1" si="243"/>
        <v>Page5i_SANS_OBJECT, Ligne 45 [Page5i_SANS_OBJECT!L48]  -</v>
      </c>
    </row>
    <row r="1744" spans="1:23">
      <c r="A1744" s="1443" t="str">
        <f>celladdr(Page5i_SANS_OBJECT!L49)</f>
        <v>Page5i_SANS_OBJECT!L49</v>
      </c>
      <c r="B1744" s="1456" t="s">
        <v>1086</v>
      </c>
      <c r="C1744" s="1451" t="b">
        <f>Page5i_SANS_OBJECT!$L$49&lt;0</f>
        <v>0</v>
      </c>
      <c r="D1744" s="1454" t="b">
        <f>OR(AND(Page5i_SANS_OBJECT!$L49&lt;&gt;0,Page5i_SANS_OBJECT!$M49=0),AND(Page5i_SANS_OBJECT!$M49&lt;&gt;0,Page5i_SANS_OBJECT!$L49=0))</f>
        <v>0</v>
      </c>
      <c r="E1744" s="1454"/>
      <c r="F1744" s="1454"/>
      <c r="G1744" s="1444" t="str">
        <f t="shared" si="238"/>
        <v/>
      </c>
      <c r="H1744" s="1447" t="str">
        <f>IF(C1744=TRUE,Comments!$B$23,"")</f>
        <v/>
      </c>
      <c r="I1744" s="1446" t="str">
        <f>IF(D1744=TRUE,Comments!$B$24,"")</f>
        <v/>
      </c>
      <c r="J1744" s="1446"/>
      <c r="K1744" s="1452"/>
      <c r="N1744" s="611" t="str">
        <f>"CPTE # "&amp;Page5i_SANS_OBJECT!$E$49&amp;"  "&amp;Page5i_SANS_OBJECT!$C$49&amp;" - CHIFFRE D'AFFAIRES RÉALISÉ - AAD"</f>
        <v>CPTE # 445I   - CHIFFRE D'AFFAIRES RÉALISÉ - AAD</v>
      </c>
      <c r="O1744" s="611" t="str">
        <f t="shared" si="237"/>
        <v/>
      </c>
      <c r="P1744" s="611" t="str">
        <f t="shared" si="239"/>
        <v>Page5i_SANS_OBJECT!L</v>
      </c>
      <c r="Q1744" s="611">
        <f t="shared" si="240"/>
        <v>49</v>
      </c>
      <c r="R1744" s="1447">
        <f t="shared" ca="1" si="241"/>
        <v>0</v>
      </c>
      <c r="S1744" s="1447">
        <f t="shared" ca="1" si="242"/>
        <v>0</v>
      </c>
      <c r="V1744" s="2557" t="str">
        <f t="shared" ca="1" si="236"/>
        <v/>
      </c>
      <c r="W1744" s="611" t="str">
        <f t="shared" ca="1" si="243"/>
        <v>Page5i_SANS_OBJECT, Ligne 46 [Page5i_SANS_OBJECT!L49]  -</v>
      </c>
    </row>
    <row r="1745" spans="1:23">
      <c r="A1745" s="1443" t="str">
        <f>celladdr(Page5i_SANS_OBJECT!L50)</f>
        <v>Page5i_SANS_OBJECT!L50</v>
      </c>
      <c r="B1745" s="1456" t="s">
        <v>1086</v>
      </c>
      <c r="C1745" s="1451" t="b">
        <f>Page5i_SANS_OBJECT!$L$50&lt;0</f>
        <v>0</v>
      </c>
      <c r="D1745" s="1454" t="b">
        <f>OR(AND(Page5i_SANS_OBJECT!$L50&lt;&gt;0,Page5i_SANS_OBJECT!$M50=0),AND(Page5i_SANS_OBJECT!$M50&lt;&gt;0,Page5i_SANS_OBJECT!$L50=0))</f>
        <v>0</v>
      </c>
      <c r="E1745" s="1454"/>
      <c r="F1745" s="1454"/>
      <c r="G1745" s="1444" t="str">
        <f t="shared" si="238"/>
        <v/>
      </c>
      <c r="H1745" s="1447" t="str">
        <f>IF(C1745=TRUE,Comments!$B$23,"")</f>
        <v/>
      </c>
      <c r="I1745" s="1446" t="str">
        <f>IF(D1745=TRUE,Comments!$B$24,"")</f>
        <v/>
      </c>
      <c r="J1745" s="1446"/>
      <c r="K1745" s="1452"/>
      <c r="N1745" s="611" t="str">
        <f>"CPTE # "&amp;Page5i_SANS_OBJECT!$E$50&amp;"  "&amp;Page5i_SANS_OBJECT!$C$50&amp;" - CHIFFRE D'AFFAIRES RÉALISÉ - AAD"</f>
        <v>CPTE # 457I  ACCESSOIRES - CHIFFRE D'AFFAIRES RÉALISÉ - AAD</v>
      </c>
      <c r="O1745" s="611" t="str">
        <f t="shared" si="237"/>
        <v/>
      </c>
      <c r="P1745" s="611" t="str">
        <f t="shared" si="239"/>
        <v>Page5i_SANS_OBJECT!L</v>
      </c>
      <c r="Q1745" s="611">
        <f t="shared" si="240"/>
        <v>50</v>
      </c>
      <c r="R1745" s="1447">
        <f t="shared" ca="1" si="241"/>
        <v>0</v>
      </c>
      <c r="S1745" s="1447">
        <f t="shared" ca="1" si="242"/>
        <v>0</v>
      </c>
      <c r="V1745" s="2557" t="str">
        <f t="shared" ca="1" si="236"/>
        <v/>
      </c>
      <c r="W1745" s="611" t="str">
        <f t="shared" ca="1" si="243"/>
        <v>Page5i_SANS_OBJECT, Ligne 47 [Page5i_SANS_OBJECT!L50]  -</v>
      </c>
    </row>
    <row r="1746" spans="1:23">
      <c r="A1746" s="1443" t="str">
        <f>celladdr(Page5i_SANS_OBJECT!M4)</f>
        <v>Page5i_SANS_OBJECT!M4</v>
      </c>
      <c r="B1746" s="1456" t="s">
        <v>1086</v>
      </c>
      <c r="C1746" s="1451" t="b">
        <f>IF(Page5i_SANS_OBJECT!$K$4=0,FALSE,OR(Page5i_SANS_OBJECT!$M$4/Page5i_SANS_OBJECT!$K$4&lt;INDEX(Min_Table,L1746),Page5i_SANS_OBJECT!$M$4/Page5i_SANS_OBJECT!$K$4&gt;INDEX(Max_Table,L1746)))</f>
        <v>0</v>
      </c>
      <c r="D1746" s="1454" t="b">
        <f>OR(AND(Page5i_SANS_OBJECT!$L4&lt;&gt;0,Page5i_SANS_OBJECT!$M4=0),AND(Page5i_SANS_OBJECT!$M4&lt;&gt;0,Page5i_SANS_OBJECT!$L4=0))</f>
        <v>0</v>
      </c>
      <c r="E1746" s="1454" t="b">
        <f>IF(Page5i_SANS_OBJECT!$K$4=0,FALSE,OR(Page5i_SANS_OBJECT!$M$4/Page5i_SANS_OBJECT!$K$4&lt;INDEX(Min_Table,M1746),Page5i_SANS_OBJECT!$M$4/Page5i_SANS_OBJECT!$K$4&gt;INDEX(Max_Table,M1746)))</f>
        <v>0</v>
      </c>
      <c r="F1746" s="1454"/>
      <c r="G1746" s="1444" t="str">
        <f t="shared" si="238"/>
        <v/>
      </c>
      <c r="H1746" s="1447" t="str">
        <f>IF(C1746=TRUE,Comments!$B$20&amp;DOLLAR(INDEX(Min_Table,L1746),0)&amp;Comments!$B$18&amp;DOLLAR(INDEX(Max_Table,L1746),0)&amp;Comments!$B$19&amp;DOLLAR(Page5i_SANS_OBJECT!$M$4/Page5i_SANS_OBJECT!$K$4,0),"")</f>
        <v/>
      </c>
      <c r="I1746" s="1446" t="str">
        <f>IF(D1746=TRUE,Comments!$B$24,"")</f>
        <v/>
      </c>
      <c r="J1746" s="1446" t="str">
        <f>IF(E1746=TRUE,Comments!$B$22&amp;DOLLAR(INDEX(Min_Table,M1746),0)&amp;Comments!$B$18&amp;DOLLAR(INDEX(Max_Table,M1746),0)&amp;Comments!$B$19&amp;IFERROR(DOLLAR(IFERROR(Page5i_SANS_OBJECT!$M4/Page5i_SANS_OBJECT!$K4,0),0),0),"")</f>
        <v/>
      </c>
      <c r="K1746" s="1452"/>
      <c r="L1746" s="611">
        <f>ROW(OR_VEH!$A$667)</f>
        <v>667</v>
      </c>
      <c r="M1746" s="611">
        <f>ROW(OR_VEH!$A$403)</f>
        <v>403</v>
      </c>
      <c r="N1746" s="611" t="str">
        <f>"CPTE # "&amp;Page5i_SANS_OBJECT!$E$4&amp;"  "&amp;Page5i_SANS_OBJECT!$C$4&amp;" - COÛT DES VENTES - AAD"</f>
        <v>CPTE # 400I  NE PAS UTILISER - COÛT DES VENTES - AAD</v>
      </c>
      <c r="O1746" s="611" t="str">
        <f t="shared" si="237"/>
        <v/>
      </c>
      <c r="P1746" s="611" t="str">
        <f t="shared" si="239"/>
        <v>Page5i_SANS_OBJECT!M</v>
      </c>
      <c r="Q1746" s="611">
        <f t="shared" si="240"/>
        <v>4</v>
      </c>
      <c r="R1746" s="1447">
        <f t="shared" ca="1" si="241"/>
        <v>0</v>
      </c>
      <c r="S1746" s="1447">
        <f t="shared" ca="1" si="242"/>
        <v>0</v>
      </c>
      <c r="T1746" s="611">
        <v>22</v>
      </c>
      <c r="V1746" s="2557" t="str">
        <f t="shared" ca="1" si="236"/>
        <v/>
      </c>
      <c r="W1746" s="611" t="str">
        <f t="shared" ca="1" si="243"/>
        <v>Page5i_SANS_OBJECT, Ligne 1 [Page5i_SANS_OBJECT!M4]  -</v>
      </c>
    </row>
    <row r="1747" spans="1:23">
      <c r="A1747" s="1443" t="str">
        <f>celladdr(Page5i_SANS_OBJECT!M5)</f>
        <v>Page5i_SANS_OBJECT!M5</v>
      </c>
      <c r="B1747" s="1456" t="s">
        <v>1086</v>
      </c>
      <c r="C1747" s="1451" t="b">
        <f>IF(Page5i_SANS_OBJECT!$K$5=0,FALSE,OR(Page5i_SANS_OBJECT!$M$5/Page5i_SANS_OBJECT!$K$5&lt;INDEX(Min_Table,L1747),Page5i_SANS_OBJECT!$M$5/Page5i_SANS_OBJECT!$K$5&gt;INDEX(Max_Table,L1747)))</f>
        <v>0</v>
      </c>
      <c r="D1747" s="1454" t="b">
        <f>OR(AND(Page5i_SANS_OBJECT!$L5&lt;&gt;0,Page5i_SANS_OBJECT!$M5=0),AND(Page5i_SANS_OBJECT!$M5&lt;&gt;0,Page5i_SANS_OBJECT!$L5=0))</f>
        <v>0</v>
      </c>
      <c r="E1747" s="1454" t="b">
        <f>IF(Page5i_SANS_OBJECT!$K$5=0,FALSE,OR(Page5i_SANS_OBJECT!$M$5/Page5i_SANS_OBJECT!$K$5&lt;INDEX(Min_Table,M1747),Page5i_SANS_OBJECT!$M$5/Page5i_SANS_OBJECT!$K$5&gt;INDEX(Max_Table,M1747)))</f>
        <v>0</v>
      </c>
      <c r="F1747" s="1454"/>
      <c r="G1747" s="1444" t="str">
        <f t="shared" si="238"/>
        <v/>
      </c>
      <c r="H1747" s="1447" t="str">
        <f>IF(C1747=TRUE,Comments!$B$20&amp;DOLLAR(INDEX(Min_Table,L1747),0)&amp;Comments!$B$18&amp;DOLLAR(INDEX(Max_Table,L1747),0)&amp;Comments!$B$19&amp;DOLLAR(Page5i_SANS_OBJECT!$M$5/Page5i_SANS_OBJECT!$K$5,0),"")</f>
        <v/>
      </c>
      <c r="I1747" s="1446" t="str">
        <f>IF(D1747=TRUE,Comments!$B$24,"")</f>
        <v/>
      </c>
      <c r="J1747" s="1446" t="str">
        <f>IF(E1747=TRUE,Comments!$B$22&amp;DOLLAR(INDEX(Min_Table,M1747),0)&amp;Comments!$B$18&amp;DOLLAR(INDEX(Max_Table,M1747),0)&amp;Comments!$B$19&amp;IFERROR(DOLLAR(IFERROR(Page5i_SANS_OBJECT!$M5/Page5i_SANS_OBJECT!$K5,0),0),0),"")</f>
        <v/>
      </c>
      <c r="K1747" s="1452"/>
      <c r="L1747" s="611">
        <f>ROW(OR_VEH!$A$667)</f>
        <v>667</v>
      </c>
      <c r="M1747" s="611">
        <f>ROW(OR_VEH!$A$404)</f>
        <v>404</v>
      </c>
      <c r="N1747" s="611" t="str">
        <f>"CPTE # "&amp;Page5i_SANS_OBJECT!$E$5&amp;"  "&amp;Page5i_SANS_OBJECT!$C$5&amp;" - COÛT DES VENTES - AAD"</f>
        <v>CPTE # 401I  NE PAS UTILISER - COÛT DES VENTES - AAD</v>
      </c>
      <c r="O1747" s="611" t="str">
        <f t="shared" si="237"/>
        <v/>
      </c>
      <c r="P1747" s="611" t="str">
        <f t="shared" si="239"/>
        <v>Page5i_SANS_OBJECT!M</v>
      </c>
      <c r="Q1747" s="611">
        <f t="shared" si="240"/>
        <v>5</v>
      </c>
      <c r="R1747" s="1447">
        <f t="shared" ca="1" si="241"/>
        <v>0</v>
      </c>
      <c r="S1747" s="1447">
        <f t="shared" ca="1" si="242"/>
        <v>0</v>
      </c>
      <c r="T1747" s="611">
        <v>22</v>
      </c>
      <c r="V1747" s="2557" t="str">
        <f t="shared" ca="1" si="236"/>
        <v/>
      </c>
      <c r="W1747" s="611" t="str">
        <f t="shared" ca="1" si="243"/>
        <v>Page5i_SANS_OBJECT, Ligne 2 [Page5i_SANS_OBJECT!M5]  -</v>
      </c>
    </row>
    <row r="1748" spans="1:23">
      <c r="A1748" s="1443" t="str">
        <f>celladdr(Page5i_SANS_OBJECT!M6)</f>
        <v>Page5i_SANS_OBJECT!M6</v>
      </c>
      <c r="B1748" s="1456" t="s">
        <v>1086</v>
      </c>
      <c r="C1748" s="1451" t="b">
        <f>IF(Page5i_SANS_OBJECT!$K$6=0,FALSE,OR(Page5i_SANS_OBJECT!$M$6/Page5i_SANS_OBJECT!$K$6&lt;INDEX(Min_Table,L1748),Page5i_SANS_OBJECT!$M$6/Page5i_SANS_OBJECT!$K$6&gt;INDEX(Max_Table,L1748)))</f>
        <v>0</v>
      </c>
      <c r="D1748" s="1454" t="b">
        <f>OR(AND(Page5i_SANS_OBJECT!$L6&lt;&gt;0,Page5i_SANS_OBJECT!$M6=0),AND(Page5i_SANS_OBJECT!$M6&lt;&gt;0,Page5i_SANS_OBJECT!$L6=0))</f>
        <v>0</v>
      </c>
      <c r="E1748" s="1454" t="b">
        <f>IF(Page5i_SANS_OBJECT!$K$6=0,FALSE,OR(Page5i_SANS_OBJECT!$M$6/Page5i_SANS_OBJECT!$K$6&lt;INDEX(Min_Table,M1748),Page5i_SANS_OBJECT!$M$6/Page5i_SANS_OBJECT!$K$6&gt;INDEX(Max_Table,M1748)))</f>
        <v>0</v>
      </c>
      <c r="F1748" s="1454"/>
      <c r="G1748" s="1444" t="str">
        <f t="shared" si="238"/>
        <v/>
      </c>
      <c r="H1748" s="1447" t="str">
        <f>IF(C1748=TRUE,Comments!$B$20&amp;DOLLAR(INDEX(Min_Table,L1748),0)&amp;Comments!$B$18&amp;DOLLAR(INDEX(Max_Table,L1748),0)&amp;Comments!$B$19&amp;DOLLAR(Page5i_SANS_OBJECT!$M$6/Page5i_SANS_OBJECT!$K$6,0),"")</f>
        <v/>
      </c>
      <c r="I1748" s="1446" t="str">
        <f>IF(D1748=TRUE,Comments!$B$24,"")</f>
        <v/>
      </c>
      <c r="J1748" s="1446" t="str">
        <f>IF(E1748=TRUE,Comments!$B$22&amp;DOLLAR(INDEX(Min_Table,M1748),0)&amp;Comments!$B$18&amp;DOLLAR(INDEX(Max_Table,M1748),0)&amp;Comments!$B$19&amp;IFERROR(DOLLAR(IFERROR(Page5i_SANS_OBJECT!$M6/Page5i_SANS_OBJECT!$K6,0),0),0),"")</f>
        <v/>
      </c>
      <c r="K1748" s="1452"/>
      <c r="L1748" s="611">
        <f>ROW(OR_VEH!$A$667)</f>
        <v>667</v>
      </c>
      <c r="M1748" s="611">
        <f>ROW(OR_VEH!$A$405)</f>
        <v>405</v>
      </c>
      <c r="N1748" s="611" t="str">
        <f>"CPTE # "&amp;Page5i_SANS_OBJECT!$E$6&amp;"  "&amp;Page5i_SANS_OBJECT!$C$6&amp;" - COÛT DES VENTES - AAD"</f>
        <v>CPTE # 402I  NE PAS UTILISER - COÛT DES VENTES - AAD</v>
      </c>
      <c r="O1748" s="611" t="str">
        <f t="shared" si="237"/>
        <v/>
      </c>
      <c r="P1748" s="611" t="str">
        <f t="shared" si="239"/>
        <v>Page5i_SANS_OBJECT!M</v>
      </c>
      <c r="Q1748" s="611">
        <f t="shared" si="240"/>
        <v>6</v>
      </c>
      <c r="R1748" s="1447">
        <f t="shared" ca="1" si="241"/>
        <v>0</v>
      </c>
      <c r="S1748" s="1447">
        <f t="shared" ca="1" si="242"/>
        <v>0</v>
      </c>
      <c r="T1748" s="611">
        <v>22</v>
      </c>
      <c r="V1748" s="2557" t="str">
        <f t="shared" ca="1" si="236"/>
        <v/>
      </c>
      <c r="W1748" s="611" t="str">
        <f t="shared" ca="1" si="243"/>
        <v>Page5i_SANS_OBJECT, Ligne 3 [Page5i_SANS_OBJECT!M6]  -</v>
      </c>
    </row>
    <row r="1749" spans="1:23">
      <c r="A1749" s="1443" t="str">
        <f>celladdr(Page5i_SANS_OBJECT!M7)</f>
        <v>Page5i_SANS_OBJECT!M7</v>
      </c>
      <c r="B1749" s="1456" t="s">
        <v>1086</v>
      </c>
      <c r="C1749" s="1451" t="b">
        <f>IF(Page5i_SANS_OBJECT!$K$7=0,FALSE,OR(Page5i_SANS_OBJECT!$M$7/Page5i_SANS_OBJECT!$K$7&lt;INDEX(Min_Table,L1749),Page5i_SANS_OBJECT!$M$7/Page5i_SANS_OBJECT!$K$7&gt;INDEX(Max_Table,L1749)))</f>
        <v>0</v>
      </c>
      <c r="D1749" s="1454" t="b">
        <f>OR(AND(Page5i_SANS_OBJECT!$L7&lt;&gt;0,Page5i_SANS_OBJECT!$M7=0),AND(Page5i_SANS_OBJECT!$M7&lt;&gt;0,Page5i_SANS_OBJECT!$L7=0))</f>
        <v>0</v>
      </c>
      <c r="E1749" s="1454" t="b">
        <f>IF(Page5i_SANS_OBJECT!$K$7=0,FALSE,OR(Page5i_SANS_OBJECT!$M$7/Page5i_SANS_OBJECT!$K$7&lt;INDEX(Min_Table,M1749),Page5i_SANS_OBJECT!$M$7/Page5i_SANS_OBJECT!$K$7&gt;INDEX(Max_Table,M1749)))</f>
        <v>0</v>
      </c>
      <c r="F1749" s="1454"/>
      <c r="G1749" s="1444" t="str">
        <f t="shared" si="238"/>
        <v/>
      </c>
      <c r="H1749" s="1447" t="str">
        <f>IF(C1749=TRUE,Comments!$B$20&amp;DOLLAR(INDEX(Min_Table,L1749),0)&amp;Comments!$B$18&amp;DOLLAR(INDEX(Max_Table,L1749),0)&amp;Comments!$B$19&amp;DOLLAR(Page5i_SANS_OBJECT!$M$7/Page5i_SANS_OBJECT!$K$7,0),"")</f>
        <v/>
      </c>
      <c r="I1749" s="1446" t="str">
        <f>IF(D1749=TRUE,Comments!$B$24,"")</f>
        <v/>
      </c>
      <c r="J1749" s="1446" t="str">
        <f>IF(E1749=TRUE,Comments!$B$22&amp;DOLLAR(INDEX(Min_Table,M1749),0)&amp;Comments!$B$18&amp;DOLLAR(INDEX(Max_Table,M1749),0)&amp;Comments!$B$19&amp;IFERROR(DOLLAR(IFERROR(Page5i_SANS_OBJECT!$M7/Page5i_SANS_OBJECT!$K7,0),0),0),"")</f>
        <v/>
      </c>
      <c r="K1749" s="1452"/>
      <c r="L1749" s="611">
        <f>ROW(OR_VEH!$A$667)</f>
        <v>667</v>
      </c>
      <c r="M1749" s="611">
        <f>ROW(OR_VEH!$A$406)</f>
        <v>406</v>
      </c>
      <c r="N1749" s="611" t="str">
        <f>"CPTE # "&amp;Page5i_SANS_OBJECT!$E$7&amp;"  "&amp;Page5i_SANS_OBJECT!$C$7&amp;" - COÛT DES VENTES - AAD"</f>
        <v>CPTE # 403I  NE PAS UTILISER - COÛT DES VENTES - AAD</v>
      </c>
      <c r="O1749" s="611" t="str">
        <f t="shared" si="237"/>
        <v/>
      </c>
      <c r="P1749" s="611" t="str">
        <f t="shared" si="239"/>
        <v>Page5i_SANS_OBJECT!M</v>
      </c>
      <c r="Q1749" s="611">
        <f t="shared" si="240"/>
        <v>7</v>
      </c>
      <c r="R1749" s="1447">
        <f t="shared" ca="1" si="241"/>
        <v>0</v>
      </c>
      <c r="S1749" s="1447">
        <f t="shared" ca="1" si="242"/>
        <v>0</v>
      </c>
      <c r="T1749" s="611">
        <v>22</v>
      </c>
      <c r="V1749" s="2557" t="str">
        <f t="shared" ca="1" si="236"/>
        <v/>
      </c>
      <c r="W1749" s="611" t="str">
        <f t="shared" ca="1" si="243"/>
        <v>Page5i_SANS_OBJECT, Ligne 4 [Page5i_SANS_OBJECT!M7]  -</v>
      </c>
    </row>
    <row r="1750" spans="1:23">
      <c r="A1750" s="1443" t="str">
        <f>celladdr(Page5i_SANS_OBJECT!M8)</f>
        <v>Page5i_SANS_OBJECT!M8</v>
      </c>
      <c r="B1750" s="1456" t="s">
        <v>1086</v>
      </c>
      <c r="C1750" s="1451" t="b">
        <f>IF(Page5i_SANS_OBJECT!$K$8=0,FALSE,OR(Page5i_SANS_OBJECT!$M$8/Page5i_SANS_OBJECT!$K$8&lt;INDEX(Min_Table,L1750),Page5i_SANS_OBJECT!$M$8/Page5i_SANS_OBJECT!$K$8&gt;INDEX(Max_Table,L1750)))</f>
        <v>0</v>
      </c>
      <c r="D1750" s="1454" t="b">
        <f>OR(AND(Page5i_SANS_OBJECT!$L8&lt;&gt;0,Page5i_SANS_OBJECT!$M8=0),AND(Page5i_SANS_OBJECT!$M8&lt;&gt;0,Page5i_SANS_OBJECT!$L8=0))</f>
        <v>0</v>
      </c>
      <c r="E1750" s="1454" t="b">
        <f>IF(Page5i_SANS_OBJECT!$K$8=0,FALSE,OR(Page5i_SANS_OBJECT!$M$8/Page5i_SANS_OBJECT!$K$8&lt;INDEX(Min_Table,M1750),Page5i_SANS_OBJECT!$M$8/Page5i_SANS_OBJECT!$K$8&gt;INDEX(Max_Table,M1750)))</f>
        <v>0</v>
      </c>
      <c r="F1750" s="1454"/>
      <c r="G1750" s="1444" t="str">
        <f t="shared" si="238"/>
        <v/>
      </c>
      <c r="H1750" s="1447" t="str">
        <f>IF(C1750=TRUE,Comments!$B$20&amp;DOLLAR(INDEX(Min_Table,L1750),0)&amp;Comments!$B$18&amp;DOLLAR(INDEX(Max_Table,L1750),0)&amp;Comments!$B$19&amp;DOLLAR(Page5i_SANS_OBJECT!$M$8/Page5i_SANS_OBJECT!$K$8,0),"")</f>
        <v/>
      </c>
      <c r="I1750" s="1446" t="str">
        <f>IF(D1750=TRUE,Comments!$B$24,"")</f>
        <v/>
      </c>
      <c r="J1750" s="1446" t="str">
        <f>IF(E1750=TRUE,Comments!$B$22&amp;DOLLAR(INDEX(Min_Table,M1750),0)&amp;Comments!$B$18&amp;DOLLAR(INDEX(Max_Table,M1750),0)&amp;Comments!$B$19&amp;IFERROR(DOLLAR(IFERROR(Page5i_SANS_OBJECT!$M8/Page5i_SANS_OBJECT!$K8,0),0),0),"")</f>
        <v/>
      </c>
      <c r="K1750" s="1452"/>
      <c r="L1750" s="611">
        <f>ROW(OR_VEH!$A$667)</f>
        <v>667</v>
      </c>
      <c r="M1750" s="611">
        <f>ROW(OR_VEH!$A$407)</f>
        <v>407</v>
      </c>
      <c r="N1750" s="611" t="str">
        <f>"CPTE # "&amp;Page5i_SANS_OBJECT!$E$8&amp;"  "&amp;Page5i_SANS_OBJECT!$C$8&amp;" - COÛT DES VENTES - AAD"</f>
        <v>CPTE # 404I  NE PAS UTILISER - COÛT DES VENTES - AAD</v>
      </c>
      <c r="O1750" s="611" t="str">
        <f t="shared" si="237"/>
        <v/>
      </c>
      <c r="P1750" s="611" t="str">
        <f t="shared" si="239"/>
        <v>Page5i_SANS_OBJECT!M</v>
      </c>
      <c r="Q1750" s="611">
        <f t="shared" si="240"/>
        <v>8</v>
      </c>
      <c r="R1750" s="1447">
        <f t="shared" ca="1" si="241"/>
        <v>0</v>
      </c>
      <c r="S1750" s="1447">
        <f t="shared" ca="1" si="242"/>
        <v>0</v>
      </c>
      <c r="T1750" s="611">
        <v>22</v>
      </c>
      <c r="V1750" s="2557" t="str">
        <f t="shared" ca="1" si="236"/>
        <v/>
      </c>
      <c r="W1750" s="611" t="str">
        <f t="shared" ca="1" si="243"/>
        <v>Page5i_SANS_OBJECT, Ligne 5 [Page5i_SANS_OBJECT!M8]  -</v>
      </c>
    </row>
    <row r="1751" spans="1:23">
      <c r="A1751" s="1443" t="str">
        <f>celladdr(Page5i_SANS_OBJECT!M9)</f>
        <v>Page5i_SANS_OBJECT!M9</v>
      </c>
      <c r="B1751" s="1456" t="s">
        <v>1086</v>
      </c>
      <c r="C1751" s="1451" t="b">
        <f>IF(Page5i_SANS_OBJECT!$K$9=0,FALSE,OR(Page5i_SANS_OBJECT!$M$9/Page5i_SANS_OBJECT!$K$9&lt;INDEX(Min_Table,L1751),Page5i_SANS_OBJECT!$M$9/Page5i_SANS_OBJECT!$K$9&gt;INDEX(Max_Table,L1751)))</f>
        <v>0</v>
      </c>
      <c r="D1751" s="1454" t="b">
        <f>OR(AND(Page5i_SANS_OBJECT!$L9&lt;&gt;0,Page5i_SANS_OBJECT!$M9=0),AND(Page5i_SANS_OBJECT!$M9&lt;&gt;0,Page5i_SANS_OBJECT!$L9=0))</f>
        <v>0</v>
      </c>
      <c r="E1751" s="1454" t="b">
        <f>IF(Page5i_SANS_OBJECT!$K$9=0,FALSE,OR(Page5i_SANS_OBJECT!$M$9/Page5i_SANS_OBJECT!$K$9&lt;INDEX(Min_Table,M1751),Page5i_SANS_OBJECT!$M$9/Page5i_SANS_OBJECT!$K$9&gt;INDEX(Max_Table,M1751)))</f>
        <v>0</v>
      </c>
      <c r="F1751" s="1454"/>
      <c r="G1751" s="1444" t="str">
        <f t="shared" si="238"/>
        <v/>
      </c>
      <c r="H1751" s="1447" t="str">
        <f>IF(C1751=TRUE,Comments!$B$20&amp;DOLLAR(INDEX(Min_Table,L1751),0)&amp;Comments!$B$18&amp;DOLLAR(INDEX(Max_Table,L1751),0)&amp;Comments!$B$19&amp;DOLLAR(Page5i_SANS_OBJECT!$M$9/Page5i_SANS_OBJECT!$K$9,0),"")</f>
        <v/>
      </c>
      <c r="I1751" s="1446" t="str">
        <f>IF(D1751=TRUE,Comments!$B$24,"")</f>
        <v/>
      </c>
      <c r="J1751" s="1446" t="str">
        <f>IF(E1751=TRUE,Comments!$B$22&amp;DOLLAR(INDEX(Min_Table,M1751),0)&amp;Comments!$B$18&amp;DOLLAR(INDEX(Max_Table,M1751),0)&amp;Comments!$B$19&amp;IFERROR(DOLLAR(IFERROR(Page5i_SANS_OBJECT!$M9/Page5i_SANS_OBJECT!$K9,0),0),0),"")</f>
        <v/>
      </c>
      <c r="K1751" s="1452"/>
      <c r="L1751" s="611">
        <f>ROW(OR_VEH!$A$667)</f>
        <v>667</v>
      </c>
      <c r="M1751" s="611">
        <f>ROW(OR_VEH!$A$408)</f>
        <v>408</v>
      </c>
      <c r="N1751" s="611" t="str">
        <f>"CPTE # "&amp;Page5i_SANS_OBJECT!$E$9&amp;"  "&amp;Page5i_SANS_OBJECT!$C$9&amp;" - COÛT DES VENTES - AAD"</f>
        <v>CPTE # 405I  NE PAS UTILISER - COÛT DES VENTES - AAD</v>
      </c>
      <c r="O1751" s="611" t="str">
        <f t="shared" si="237"/>
        <v/>
      </c>
      <c r="P1751" s="611" t="str">
        <f t="shared" si="239"/>
        <v>Page5i_SANS_OBJECT!M</v>
      </c>
      <c r="Q1751" s="611">
        <f t="shared" si="240"/>
        <v>9</v>
      </c>
      <c r="R1751" s="1447">
        <f t="shared" ca="1" si="241"/>
        <v>0</v>
      </c>
      <c r="S1751" s="1447">
        <f t="shared" ca="1" si="242"/>
        <v>0</v>
      </c>
      <c r="T1751" s="611">
        <v>22</v>
      </c>
      <c r="V1751" s="2557" t="str">
        <f t="shared" ca="1" si="236"/>
        <v/>
      </c>
      <c r="W1751" s="611" t="str">
        <f t="shared" ca="1" si="243"/>
        <v>Page5i_SANS_OBJECT, Ligne 6 [Page5i_SANS_OBJECT!M9]  -</v>
      </c>
    </row>
    <row r="1752" spans="1:23">
      <c r="A1752" s="1443" t="str">
        <f>celladdr(Page5i_SANS_OBJECT!M10)</f>
        <v>Page5i_SANS_OBJECT!M10</v>
      </c>
      <c r="B1752" s="1456" t="s">
        <v>1086</v>
      </c>
      <c r="C1752" s="1451" t="b">
        <f>IF(Page5i_SANS_OBJECT!$K$10=0,FALSE,OR(Page5i_SANS_OBJECT!$M$10/Page5i_SANS_OBJECT!$K$10&lt;INDEX(Min_Table,L1752),Page5i_SANS_OBJECT!$M$10/Page5i_SANS_OBJECT!$K$10&gt;INDEX(Max_Table,L1752)))</f>
        <v>0</v>
      </c>
      <c r="D1752" s="1454" t="b">
        <f>OR(AND(Page5i_SANS_OBJECT!$L10&lt;&gt;0,Page5i_SANS_OBJECT!$M10=0),AND(Page5i_SANS_OBJECT!$M10&lt;&gt;0,Page5i_SANS_OBJECT!$L10=0))</f>
        <v>0</v>
      </c>
      <c r="E1752" s="1454" t="b">
        <f>IF(Page5i_SANS_OBJECT!$K$10=0,FALSE,OR(Page5i_SANS_OBJECT!$M$10/Page5i_SANS_OBJECT!$K$10&lt;INDEX(Min_Table,M1752),Page5i_SANS_OBJECT!$M$10/Page5i_SANS_OBJECT!$K$10&gt;INDEX(Max_Table,M1752)))</f>
        <v>0</v>
      </c>
      <c r="F1752" s="1454"/>
      <c r="G1752" s="1444" t="str">
        <f t="shared" si="238"/>
        <v/>
      </c>
      <c r="H1752" s="1447" t="str">
        <f>IF(C1752=TRUE,Comments!$B$20&amp;DOLLAR(INDEX(Min_Table,L1752),0)&amp;Comments!$B$18&amp;DOLLAR(INDEX(Max_Table,L1752),0)&amp;Comments!$B$19&amp;DOLLAR(Page5i_SANS_OBJECT!$M$10/Page5i_SANS_OBJECT!$K$10,0),"")</f>
        <v/>
      </c>
      <c r="I1752" s="1446" t="str">
        <f>IF(D1752=TRUE,Comments!$B$24,"")</f>
        <v/>
      </c>
      <c r="J1752" s="1446" t="str">
        <f>IF(E1752=TRUE,Comments!$B$22&amp;DOLLAR(INDEX(Min_Table,M1752),0)&amp;Comments!$B$18&amp;DOLLAR(INDEX(Max_Table,M1752),0)&amp;Comments!$B$19&amp;IFERROR(DOLLAR(IFERROR(Page5i_SANS_OBJECT!$M10/Page5i_SANS_OBJECT!$K10,0),0),0),"")</f>
        <v/>
      </c>
      <c r="K1752" s="1452"/>
      <c r="L1752" s="611">
        <f>ROW(OR_VEH!$A$667)</f>
        <v>667</v>
      </c>
      <c r="M1752" s="611">
        <f>ROW(OR_VEH!$A$409)</f>
        <v>409</v>
      </c>
      <c r="N1752" s="611" t="str">
        <f>"CPTE # "&amp;Page5i_SANS_OBJECT!$E$10&amp;"  "&amp;Page5i_SANS_OBJECT!$C$10&amp;" - COÛT DES VENTES - AAD"</f>
        <v>CPTE # 406I  NE PAS UTILISER - COÛT DES VENTES - AAD</v>
      </c>
      <c r="O1752" s="611" t="str">
        <f t="shared" si="237"/>
        <v/>
      </c>
      <c r="P1752" s="611" t="str">
        <f t="shared" si="239"/>
        <v>Page5i_SANS_OBJECT!M</v>
      </c>
      <c r="Q1752" s="611">
        <f t="shared" si="240"/>
        <v>10</v>
      </c>
      <c r="R1752" s="1447">
        <f t="shared" ca="1" si="241"/>
        <v>0</v>
      </c>
      <c r="S1752" s="1447">
        <f t="shared" ca="1" si="242"/>
        <v>0</v>
      </c>
      <c r="T1752" s="611">
        <v>22</v>
      </c>
      <c r="V1752" s="2557" t="str">
        <f t="shared" ref="V1752:V1815" ca="1" si="244">IF(SUM(R1752+S1752)=0,"","
*** "&amp;TEXT(SUM(R1752+S1752),"0,0")&amp;" Points de précision seront déduits suite à cette(ces) erreur(s) !")</f>
        <v/>
      </c>
      <c r="W1752" s="611" t="str">
        <f t="shared" ca="1" si="243"/>
        <v>Page5i_SANS_OBJECT, Ligne 7 [Page5i_SANS_OBJECT!M10]  -</v>
      </c>
    </row>
    <row r="1753" spans="1:23">
      <c r="A1753" s="1443" t="str">
        <f>celladdr(Page5i_SANS_OBJECT!M11)</f>
        <v>Page5i_SANS_OBJECT!M11</v>
      </c>
      <c r="B1753" s="1456" t="s">
        <v>1086</v>
      </c>
      <c r="C1753" s="1451" t="b">
        <f>IF(Page5i_SANS_OBJECT!$K$11=0,FALSE,OR(Page5i_SANS_OBJECT!$M$11/Page5i_SANS_OBJECT!$K$11&lt;INDEX(Min_Table,L1753),Page5i_SANS_OBJECT!$M$11/Page5i_SANS_OBJECT!$K$11&gt;INDEX(Max_Table,L1753)))</f>
        <v>0</v>
      </c>
      <c r="D1753" s="1454" t="b">
        <f>OR(AND(Page5i_SANS_OBJECT!$L11&lt;&gt;0,Page5i_SANS_OBJECT!$M11=0),AND(Page5i_SANS_OBJECT!$M11&lt;&gt;0,Page5i_SANS_OBJECT!$L11=0))</f>
        <v>0</v>
      </c>
      <c r="E1753" s="1454" t="b">
        <f>IF(Page5i_SANS_OBJECT!$K$11=0,FALSE,OR(Page5i_SANS_OBJECT!$M$11/Page5i_SANS_OBJECT!$K$11&lt;INDEX(Min_Table,M1753),Page5i_SANS_OBJECT!$M$11/Page5i_SANS_OBJECT!$K$11&gt;INDEX(Max_Table,M1753)))</f>
        <v>0</v>
      </c>
      <c r="F1753" s="1454"/>
      <c r="G1753" s="1444" t="str">
        <f t="shared" si="238"/>
        <v/>
      </c>
      <c r="H1753" s="1447" t="str">
        <f>IF(C1753=TRUE,Comments!$B$20&amp;DOLLAR(INDEX(Min_Table,L1753),0)&amp;Comments!$B$18&amp;DOLLAR(INDEX(Max_Table,L1753),0)&amp;Comments!$B$19&amp;DOLLAR(Page5i_SANS_OBJECT!$M$11/Page5i_SANS_OBJECT!$K$11,0),"")</f>
        <v/>
      </c>
      <c r="I1753" s="1446" t="str">
        <f>IF(D1753=TRUE,Comments!$B$24,"")</f>
        <v/>
      </c>
      <c r="J1753" s="1446" t="str">
        <f>IF(E1753=TRUE,Comments!$B$22&amp;DOLLAR(INDEX(Min_Table,M1753),0)&amp;Comments!$B$18&amp;DOLLAR(INDEX(Max_Table,M1753),0)&amp;Comments!$B$19&amp;IFERROR(DOLLAR(IFERROR(Page5i_SANS_OBJECT!$M11/Page5i_SANS_OBJECT!$K11,0),0),0),"")</f>
        <v/>
      </c>
      <c r="K1753" s="1452"/>
      <c r="L1753" s="611">
        <f>ROW(OR_VEH!$A$667)</f>
        <v>667</v>
      </c>
      <c r="M1753" s="611">
        <f>ROW(OR_VEH!$A$410)</f>
        <v>410</v>
      </c>
      <c r="N1753" s="611" t="str">
        <f>"CPTE # "&amp;Page5i_SANS_OBJECT!$E$11&amp;"  "&amp;Page5i_SANS_OBJECT!$C$11&amp;" - COÛT DES VENTES - AAD"</f>
        <v>CPTE # 407I  NE PAS UTILISER - COÛT DES VENTES - AAD</v>
      </c>
      <c r="O1753" s="611" t="str">
        <f t="shared" si="237"/>
        <v/>
      </c>
      <c r="P1753" s="611" t="str">
        <f t="shared" si="239"/>
        <v>Page5i_SANS_OBJECT!M</v>
      </c>
      <c r="Q1753" s="611">
        <f t="shared" si="240"/>
        <v>11</v>
      </c>
      <c r="R1753" s="1447">
        <f t="shared" ca="1" si="241"/>
        <v>0</v>
      </c>
      <c r="S1753" s="1447">
        <f t="shared" ca="1" si="242"/>
        <v>0</v>
      </c>
      <c r="T1753" s="611">
        <v>22</v>
      </c>
      <c r="V1753" s="2557" t="str">
        <f t="shared" ca="1" si="244"/>
        <v/>
      </c>
      <c r="W1753" s="611" t="str">
        <f t="shared" ca="1" si="243"/>
        <v>Page5i_SANS_OBJECT, Ligne 8 [Page5i_SANS_OBJECT!M11]  -</v>
      </c>
    </row>
    <row r="1754" spans="1:23">
      <c r="A1754" s="1443" t="str">
        <f>celladdr(Page5i_SANS_OBJECT!M12)</f>
        <v>Page5i_SANS_OBJECT!M12</v>
      </c>
      <c r="B1754" s="1456" t="s">
        <v>1086</v>
      </c>
      <c r="C1754" s="1451" t="b">
        <f>IF(Page5i_SANS_OBJECT!$K$12=0,FALSE,OR(Page5i_SANS_OBJECT!$M$12/Page5i_SANS_OBJECT!$K$12&lt;INDEX(Min_Table,L1754),Page5i_SANS_OBJECT!$M$12/Page5i_SANS_OBJECT!$K$12&gt;INDEX(Max_Table,L1754)))</f>
        <v>0</v>
      </c>
      <c r="D1754" s="1454" t="b">
        <f>OR(AND(Page5i_SANS_OBJECT!$L12&lt;&gt;0,Page5i_SANS_OBJECT!$M12=0),AND(Page5i_SANS_OBJECT!$M12&lt;&gt;0,Page5i_SANS_OBJECT!$L12=0))</f>
        <v>0</v>
      </c>
      <c r="E1754" s="1454" t="b">
        <f>IF(Page5i_SANS_OBJECT!$K$12=0,FALSE,OR(Page5i_SANS_OBJECT!$M$12/Page5i_SANS_OBJECT!$K$12&lt;INDEX(Min_Table,M1754),Page5i_SANS_OBJECT!$M$12/Page5i_SANS_OBJECT!$K$12&gt;INDEX(Max_Table,M1754)))</f>
        <v>0</v>
      </c>
      <c r="F1754" s="1454"/>
      <c r="G1754" s="1444" t="str">
        <f t="shared" si="238"/>
        <v/>
      </c>
      <c r="H1754" s="1447" t="str">
        <f>IF(C1754=TRUE,Comments!$B$20&amp;DOLLAR(INDEX(Min_Table,L1754),0)&amp;Comments!$B$18&amp;DOLLAR(INDEX(Max_Table,L1754),0)&amp;Comments!$B$19&amp;DOLLAR(Page5i_SANS_OBJECT!$M$12/Page5i_SANS_OBJECT!$K$12,0),"")</f>
        <v/>
      </c>
      <c r="I1754" s="1446" t="str">
        <f>IF(D1754=TRUE,Comments!$B$24,"")</f>
        <v/>
      </c>
      <c r="J1754" s="1446" t="str">
        <f>IF(E1754=TRUE,Comments!$B$22&amp;DOLLAR(INDEX(Min_Table,M1754),0)&amp;Comments!$B$18&amp;DOLLAR(INDEX(Max_Table,M1754),0)&amp;Comments!$B$19&amp;IFERROR(DOLLAR(IFERROR(Page5i_SANS_OBJECT!$M12/Page5i_SANS_OBJECT!$K12,0),0),0),"")</f>
        <v/>
      </c>
      <c r="K1754" s="1452"/>
      <c r="L1754" s="611">
        <f>ROW(OR_VEH!$A$667)</f>
        <v>667</v>
      </c>
      <c r="M1754" s="611">
        <f>ROW(OR_VEH!$A$411)</f>
        <v>411</v>
      </c>
      <c r="N1754" s="611" t="str">
        <f>"CPTE # "&amp;Page5i_SANS_OBJECT!$E$12&amp;"  "&amp;Page5i_SANS_OBJECT!$C$12&amp;" - COÛT DES VENTES - AAD"</f>
        <v>CPTE # 408I  NE PAS UTILISER - COÛT DES VENTES - AAD</v>
      </c>
      <c r="O1754" s="611" t="str">
        <f t="shared" si="237"/>
        <v/>
      </c>
      <c r="P1754" s="611" t="str">
        <f t="shared" si="239"/>
        <v>Page5i_SANS_OBJECT!M</v>
      </c>
      <c r="Q1754" s="611">
        <f t="shared" si="240"/>
        <v>12</v>
      </c>
      <c r="R1754" s="1447">
        <f t="shared" ca="1" si="241"/>
        <v>0</v>
      </c>
      <c r="S1754" s="1447">
        <f t="shared" ca="1" si="242"/>
        <v>0</v>
      </c>
      <c r="T1754" s="611">
        <v>22</v>
      </c>
      <c r="V1754" s="2557" t="str">
        <f t="shared" ca="1" si="244"/>
        <v/>
      </c>
      <c r="W1754" s="611" t="str">
        <f t="shared" ca="1" si="243"/>
        <v>Page5i_SANS_OBJECT, Ligne 9 [Page5i_SANS_OBJECT!M12]  -</v>
      </c>
    </row>
    <row r="1755" spans="1:23">
      <c r="A1755" s="1443" t="str">
        <f>celladdr(Page5i_SANS_OBJECT!M13)</f>
        <v>Page5i_SANS_OBJECT!M13</v>
      </c>
      <c r="B1755" s="1456" t="s">
        <v>1086</v>
      </c>
      <c r="C1755" s="1451" t="b">
        <f>IF(Page5i_SANS_OBJECT!$K$13=0,FALSE,OR(Page5i_SANS_OBJECT!$M$13/Page5i_SANS_OBJECT!$K$13&lt;INDEX(Min_Table,L1755),Page5i_SANS_OBJECT!$M$13/Page5i_SANS_OBJECT!$K$13&gt;INDEX(Max_Table,L1755)))</f>
        <v>0</v>
      </c>
      <c r="D1755" s="1454" t="b">
        <f>OR(AND(Page5i_SANS_OBJECT!$L13&lt;&gt;0,Page5i_SANS_OBJECT!$M13=0),AND(Page5i_SANS_OBJECT!$M13&lt;&gt;0,Page5i_SANS_OBJECT!$L13=0))</f>
        <v>0</v>
      </c>
      <c r="E1755" s="1454" t="b">
        <f>IF(Page5i_SANS_OBJECT!$K$13=0,FALSE,OR(Page5i_SANS_OBJECT!$M$13/Page5i_SANS_OBJECT!$K$13&lt;INDEX(Min_Table,M1755),Page5i_SANS_OBJECT!$M$13/Page5i_SANS_OBJECT!$K$13&gt;INDEX(Max_Table,M1755)))</f>
        <v>0</v>
      </c>
      <c r="F1755" s="1454"/>
      <c r="G1755" s="1444" t="str">
        <f t="shared" si="238"/>
        <v/>
      </c>
      <c r="H1755" s="1447" t="str">
        <f>IF(C1755=TRUE,Comments!$B$20&amp;DOLLAR(INDEX(Min_Table,L1755),0)&amp;Comments!$B$18&amp;DOLLAR(INDEX(Max_Table,L1755),0)&amp;Comments!$B$19&amp;DOLLAR(Page5i_SANS_OBJECT!$M$13/Page5i_SANS_OBJECT!$K$13,0),"")</f>
        <v/>
      </c>
      <c r="I1755" s="1446" t="str">
        <f>IF(D1755=TRUE,Comments!$B$24,"")</f>
        <v/>
      </c>
      <c r="J1755" s="1446" t="str">
        <f>IF(E1755=TRUE,Comments!$B$22&amp;DOLLAR(INDEX(Min_Table,M1755),0)&amp;Comments!$B$18&amp;DOLLAR(INDEX(Max_Table,M1755),0)&amp;Comments!$B$19&amp;IFERROR(DOLLAR(IFERROR(Page5i_SANS_OBJECT!$M13/Page5i_SANS_OBJECT!$K13,0),0),0),"")</f>
        <v/>
      </c>
      <c r="K1755" s="1452"/>
      <c r="L1755" s="611">
        <f>ROW(OR_VEH!$A$667)</f>
        <v>667</v>
      </c>
      <c r="M1755" s="611">
        <f>ROW(OR_VEH!$A$412)</f>
        <v>412</v>
      </c>
      <c r="N1755" s="611" t="str">
        <f>"CPTE # "&amp;Page5i_SANS_OBJECT!$E$13&amp;"  "&amp;Page5i_SANS_OBJECT!$C$13&amp;" - COÛT DES VENTES - AAD"</f>
        <v>CPTE # 409I  NE PAS UTILISER - COÛT DES VENTES - AAD</v>
      </c>
      <c r="O1755" s="611" t="str">
        <f t="shared" si="237"/>
        <v/>
      </c>
      <c r="P1755" s="611" t="str">
        <f t="shared" si="239"/>
        <v>Page5i_SANS_OBJECT!M</v>
      </c>
      <c r="Q1755" s="611">
        <f t="shared" si="240"/>
        <v>13</v>
      </c>
      <c r="R1755" s="1447">
        <f t="shared" ca="1" si="241"/>
        <v>0</v>
      </c>
      <c r="S1755" s="1447">
        <f t="shared" ca="1" si="242"/>
        <v>0</v>
      </c>
      <c r="T1755" s="611">
        <v>22</v>
      </c>
      <c r="V1755" s="2557" t="str">
        <f t="shared" ca="1" si="244"/>
        <v/>
      </c>
      <c r="W1755" s="611" t="str">
        <f t="shared" ca="1" si="243"/>
        <v>Page5i_SANS_OBJECT, Ligne 10 [Page5i_SANS_OBJECT!M13]  -</v>
      </c>
    </row>
    <row r="1756" spans="1:23">
      <c r="A1756" s="1443" t="str">
        <f>celladdr(Page5i_SANS_OBJECT!M14)</f>
        <v>Page5i_SANS_OBJECT!M14</v>
      </c>
      <c r="B1756" s="1456" t="s">
        <v>1086</v>
      </c>
      <c r="C1756" s="1451" t="b">
        <f>IF(Page5i_SANS_OBJECT!$K$14=0,FALSE,OR(Page5i_SANS_OBJECT!$M$14/Page5i_SANS_OBJECT!$K$14&lt;INDEX(Min_Table,L1756),Page5i_SANS_OBJECT!$M$14/Page5i_SANS_OBJECT!$K$14&gt;INDEX(Max_Table,L1756)))</f>
        <v>0</v>
      </c>
      <c r="D1756" s="1454" t="b">
        <f>OR(AND(Page5i_SANS_OBJECT!$L14&lt;&gt;0,Page5i_SANS_OBJECT!$M14=0),AND(Page5i_SANS_OBJECT!$M14&lt;&gt;0,Page5i_SANS_OBJECT!$L14=0))</f>
        <v>0</v>
      </c>
      <c r="E1756" s="1454" t="b">
        <f>IF(Page5i_SANS_OBJECT!$K$14=0,FALSE,OR(Page5i_SANS_OBJECT!$M$14/Page5i_SANS_OBJECT!$K$14&lt;INDEX(Min_Table,M1756),Page5i_SANS_OBJECT!$M$14/Page5i_SANS_OBJECT!$K$14&gt;INDEX(Max_Table,M1756)))</f>
        <v>0</v>
      </c>
      <c r="F1756" s="1454"/>
      <c r="G1756" s="1444" t="str">
        <f t="shared" si="238"/>
        <v/>
      </c>
      <c r="H1756" s="1447" t="str">
        <f>IF(C1756=TRUE,Comments!$B$20&amp;DOLLAR(INDEX(Min_Table,L1756),0)&amp;Comments!$B$18&amp;DOLLAR(INDEX(Max_Table,L1756),0)&amp;Comments!$B$19&amp;DOLLAR(Page5i_SANS_OBJECT!$M$14/Page5i_SANS_OBJECT!$K$14,0),"")</f>
        <v/>
      </c>
      <c r="I1756" s="1446" t="str">
        <f>IF(D1756=TRUE,Comments!$B$24,"")</f>
        <v/>
      </c>
      <c r="J1756" s="1446" t="str">
        <f>IF(E1756=TRUE,Comments!$B$22&amp;DOLLAR(INDEX(Min_Table,M1756),0)&amp;Comments!$B$18&amp;DOLLAR(INDEX(Max_Table,M1756),0)&amp;Comments!$B$19&amp;IFERROR(DOLLAR(IFERROR(Page5i_SANS_OBJECT!$M14/Page5i_SANS_OBJECT!$K14,0),0),0),"")</f>
        <v/>
      </c>
      <c r="K1756" s="1452"/>
      <c r="L1756" s="611">
        <f>ROW(OR_VEH!$A$667)</f>
        <v>667</v>
      </c>
      <c r="M1756" s="611">
        <f>ROW(OR_VEH!$A$413)</f>
        <v>413</v>
      </c>
      <c r="N1756" s="611" t="str">
        <f>"CPTE # "&amp;Page5i_SANS_OBJECT!$E$14&amp;"  "&amp;Page5i_SANS_OBJECT!$C$14&amp;" - COÛT DES VENTES - AAD"</f>
        <v>CPTE # 410I  NE PAS UTILISER - COÛT DES VENTES - AAD</v>
      </c>
      <c r="O1756" s="611" t="str">
        <f t="shared" si="237"/>
        <v/>
      </c>
      <c r="P1756" s="611" t="str">
        <f t="shared" si="239"/>
        <v>Page5i_SANS_OBJECT!M</v>
      </c>
      <c r="Q1756" s="611">
        <f t="shared" si="240"/>
        <v>14</v>
      </c>
      <c r="R1756" s="1447">
        <f t="shared" ca="1" si="241"/>
        <v>0</v>
      </c>
      <c r="S1756" s="1447">
        <f t="shared" ca="1" si="242"/>
        <v>0</v>
      </c>
      <c r="T1756" s="611">
        <v>22</v>
      </c>
      <c r="V1756" s="2557" t="str">
        <f t="shared" ca="1" si="244"/>
        <v/>
      </c>
      <c r="W1756" s="611" t="str">
        <f t="shared" ca="1" si="243"/>
        <v>Page5i_SANS_OBJECT, Ligne 11 [Page5i_SANS_OBJECT!M14]  -</v>
      </c>
    </row>
    <row r="1757" spans="1:23">
      <c r="A1757" s="1443" t="str">
        <f>celladdr(Page5i_SANS_OBJECT!M15)</f>
        <v>Page5i_SANS_OBJECT!M15</v>
      </c>
      <c r="B1757" s="1456" t="s">
        <v>1086</v>
      </c>
      <c r="C1757" s="1451" t="b">
        <f>IF(Page5i_SANS_OBJECT!$K$15=0,FALSE,OR(Page5i_SANS_OBJECT!$M$15/Page5i_SANS_OBJECT!$K$15&lt;INDEX(Min_Table,L1757),Page5i_SANS_OBJECT!$M$15/Page5i_SANS_OBJECT!$K$15&gt;INDEX(Max_Table,L1757)))</f>
        <v>0</v>
      </c>
      <c r="D1757" s="1454" t="b">
        <f>OR(AND(Page5i_SANS_OBJECT!$L15&lt;&gt;0,Page5i_SANS_OBJECT!$M15=0),AND(Page5i_SANS_OBJECT!$M15&lt;&gt;0,Page5i_SANS_OBJECT!$L15=0))</f>
        <v>0</v>
      </c>
      <c r="E1757" s="1454" t="b">
        <f>IF(Page5i_SANS_OBJECT!$K$15=0,FALSE,OR(Page5i_SANS_OBJECT!$M$15/Page5i_SANS_OBJECT!$K$15&lt;INDEX(Min_Table,M1757),Page5i_SANS_OBJECT!$M$15/Page5i_SANS_OBJECT!$K$15&gt;INDEX(Max_Table,M1757)))</f>
        <v>0</v>
      </c>
      <c r="F1757" s="1454"/>
      <c r="G1757" s="1444" t="str">
        <f t="shared" si="238"/>
        <v/>
      </c>
      <c r="H1757" s="1447" t="str">
        <f>IF(C1757=TRUE,Comments!$B$20&amp;DOLLAR(INDEX(Min_Table,L1757),0)&amp;Comments!$B$18&amp;DOLLAR(INDEX(Max_Table,L1757),0)&amp;Comments!$B$19&amp;DOLLAR(Page5i_SANS_OBJECT!$M$15/Page5i_SANS_OBJECT!$K$15,0),"")</f>
        <v/>
      </c>
      <c r="I1757" s="1446" t="str">
        <f>IF(D1757=TRUE,Comments!$B$24,"")</f>
        <v/>
      </c>
      <c r="J1757" s="1446" t="str">
        <f>IF(E1757=TRUE,Comments!$B$22&amp;DOLLAR(INDEX(Min_Table,M1757),0)&amp;Comments!$B$18&amp;DOLLAR(INDEX(Max_Table,M1757),0)&amp;Comments!$B$19&amp;IFERROR(DOLLAR(IFERROR(Page5i_SANS_OBJECT!$M15/Page5i_SANS_OBJECT!$K15,0),0),0),"")</f>
        <v/>
      </c>
      <c r="K1757" s="1452"/>
      <c r="L1757" s="611">
        <f>ROW(OR_VEH!$A$667)</f>
        <v>667</v>
      </c>
      <c r="M1757" s="611">
        <f>ROW(OR_VEH!$A$414)</f>
        <v>414</v>
      </c>
      <c r="N1757" s="611" t="str">
        <f>"CPTE # "&amp;Page5i_SANS_OBJECT!$E$15&amp;"  "&amp;Page5i_SANS_OBJECT!$C$15&amp;" - COÛT DES VENTES - AAD"</f>
        <v>CPTE # 411I  NE PAS UTILISER - COÛT DES VENTES - AAD</v>
      </c>
      <c r="O1757" s="611" t="str">
        <f t="shared" si="237"/>
        <v/>
      </c>
      <c r="P1757" s="611" t="str">
        <f t="shared" si="239"/>
        <v>Page5i_SANS_OBJECT!M</v>
      </c>
      <c r="Q1757" s="611">
        <f t="shared" si="240"/>
        <v>15</v>
      </c>
      <c r="R1757" s="1447">
        <f t="shared" ca="1" si="241"/>
        <v>0</v>
      </c>
      <c r="S1757" s="1447">
        <f t="shared" ca="1" si="242"/>
        <v>0</v>
      </c>
      <c r="T1757" s="611">
        <v>22</v>
      </c>
      <c r="V1757" s="2557" t="str">
        <f t="shared" ca="1" si="244"/>
        <v/>
      </c>
      <c r="W1757" s="611" t="str">
        <f t="shared" ca="1" si="243"/>
        <v>Page5i_SANS_OBJECT, Ligne 12 [Page5i_SANS_OBJECT!M15]  -</v>
      </c>
    </row>
    <row r="1758" spans="1:23">
      <c r="A1758" s="1443" t="str">
        <f>celladdr(Page5i_SANS_OBJECT!M16)</f>
        <v>Page5i_SANS_OBJECT!M16</v>
      </c>
      <c r="B1758" s="1456" t="s">
        <v>1086</v>
      </c>
      <c r="C1758" s="1451" t="b">
        <f>IF(Page5i_SANS_OBJECT!$K$16=0,FALSE,OR(Page5i_SANS_OBJECT!$M$16/Page5i_SANS_OBJECT!$K$16&lt;INDEX(Min_Table,L1758),Page5i_SANS_OBJECT!$M$16/Page5i_SANS_OBJECT!$K$16&gt;INDEX(Max_Table,L1758)))</f>
        <v>0</v>
      </c>
      <c r="D1758" s="1454" t="b">
        <f>OR(AND(Page5i_SANS_OBJECT!$L16&lt;&gt;0,Page5i_SANS_OBJECT!$M16=0),AND(Page5i_SANS_OBJECT!$M16&lt;&gt;0,Page5i_SANS_OBJECT!$L16=0))</f>
        <v>0</v>
      </c>
      <c r="E1758" s="1454" t="b">
        <f>IF(Page5i_SANS_OBJECT!$K$16=0,FALSE,OR(Page5i_SANS_OBJECT!$M$16/Page5i_SANS_OBJECT!$K$16&lt;INDEX(Min_Table,M1758),Page5i_SANS_OBJECT!$M$16/Page5i_SANS_OBJECT!$K$16&gt;INDEX(Max_Table,M1758)))</f>
        <v>0</v>
      </c>
      <c r="F1758" s="1454"/>
      <c r="G1758" s="1444" t="str">
        <f t="shared" si="238"/>
        <v/>
      </c>
      <c r="H1758" s="1447" t="str">
        <f>IF(C1758=TRUE,Comments!$B$20&amp;DOLLAR(INDEX(Min_Table,L1758),0)&amp;Comments!$B$18&amp;DOLLAR(INDEX(Max_Table,L1758),0)&amp;Comments!$B$19&amp;DOLLAR(Page5i_SANS_OBJECT!$M$16/Page5i_SANS_OBJECT!$K$16,0),"")</f>
        <v/>
      </c>
      <c r="I1758" s="1446" t="str">
        <f>IF(D1758=TRUE,Comments!$B$24,"")</f>
        <v/>
      </c>
      <c r="J1758" s="1446" t="str">
        <f>IF(E1758=TRUE,Comments!$B$22&amp;DOLLAR(INDEX(Min_Table,M1758),0)&amp;Comments!$B$18&amp;DOLLAR(INDEX(Max_Table,M1758),0)&amp;Comments!$B$19&amp;IFERROR(DOLLAR(IFERROR(Page5i_SANS_OBJECT!$M16/Page5i_SANS_OBJECT!$K16,0),0),0),"")</f>
        <v/>
      </c>
      <c r="K1758" s="1452"/>
      <c r="L1758" s="611">
        <f>ROW(OR_VEH!$A$667)</f>
        <v>667</v>
      </c>
      <c r="M1758" s="611">
        <f>ROW(OR_VEH!$A$415)</f>
        <v>415</v>
      </c>
      <c r="N1758" s="611" t="str">
        <f>"CPTE # "&amp;Page5i_SANS_OBJECT!$E$16&amp;"  "&amp;Page5i_SANS_OBJECT!$C$16&amp;" - COÛT DES VENTES - AAD"</f>
        <v>CPTE # 412I  NE PAS UTILISER - COÛT DES VENTES - AAD</v>
      </c>
      <c r="O1758" s="611" t="str">
        <f t="shared" si="237"/>
        <v/>
      </c>
      <c r="P1758" s="611" t="str">
        <f t="shared" si="239"/>
        <v>Page5i_SANS_OBJECT!M</v>
      </c>
      <c r="Q1758" s="611">
        <f t="shared" si="240"/>
        <v>16</v>
      </c>
      <c r="R1758" s="1447">
        <f t="shared" ca="1" si="241"/>
        <v>0</v>
      </c>
      <c r="S1758" s="1447">
        <f t="shared" ca="1" si="242"/>
        <v>0</v>
      </c>
      <c r="T1758" s="611">
        <v>22</v>
      </c>
      <c r="V1758" s="2557" t="str">
        <f t="shared" ca="1" si="244"/>
        <v/>
      </c>
      <c r="W1758" s="611" t="str">
        <f t="shared" ca="1" si="243"/>
        <v>Page5i_SANS_OBJECT, Ligne 13 [Page5i_SANS_OBJECT!M16]  -</v>
      </c>
    </row>
    <row r="1759" spans="1:23">
      <c r="A1759" s="1443" t="str">
        <f>celladdr(Page5i_SANS_OBJECT!M17)</f>
        <v>Page5i_SANS_OBJECT!M17</v>
      </c>
      <c r="B1759" s="1456" t="s">
        <v>1086</v>
      </c>
      <c r="C1759" s="1451" t="b">
        <f>IF(Page5i_SANS_OBJECT!$K$17=0,FALSE,OR(Page5i_SANS_OBJECT!$M$17/Page5i_SANS_OBJECT!$K$17&lt;INDEX(Min_Table,L1759),Page5i_SANS_OBJECT!$M$17/Page5i_SANS_OBJECT!$K$17&gt;INDEX(Max_Table,L1759)))</f>
        <v>0</v>
      </c>
      <c r="D1759" s="1454" t="b">
        <f>OR(AND(Page5i_SANS_OBJECT!$L17&lt;&gt;0,Page5i_SANS_OBJECT!$M17=0),AND(Page5i_SANS_OBJECT!$M17&lt;&gt;0,Page5i_SANS_OBJECT!$L17=0))</f>
        <v>0</v>
      </c>
      <c r="E1759" s="1454" t="b">
        <f>IF(Page5i_SANS_OBJECT!$K$17=0,FALSE,OR(Page5i_SANS_OBJECT!$M$17/Page5i_SANS_OBJECT!$K$17&lt;INDEX(Min_Table,M1759),Page5i_SANS_OBJECT!$M$17/Page5i_SANS_OBJECT!$K$17&gt;INDEX(Max_Table,M1759)))</f>
        <v>0</v>
      </c>
      <c r="F1759" s="1454"/>
      <c r="G1759" s="1444" t="str">
        <f t="shared" si="238"/>
        <v/>
      </c>
      <c r="H1759" s="1447" t="str">
        <f>IF(C1759=TRUE,Comments!$B$20&amp;DOLLAR(INDEX(Min_Table,L1759),0)&amp;Comments!$B$18&amp;DOLLAR(INDEX(Max_Table,L1759),0)&amp;Comments!$B$19&amp;DOLLAR(Page5i_SANS_OBJECT!$M$17/Page5i_SANS_OBJECT!$K$17,0),"")</f>
        <v/>
      </c>
      <c r="I1759" s="1446" t="str">
        <f>IF(D1759=TRUE,Comments!$B$24,"")</f>
        <v/>
      </c>
      <c r="J1759" s="1446" t="str">
        <f>IF(E1759=TRUE,Comments!$B$22&amp;DOLLAR(INDEX(Min_Table,M1759),0)&amp;Comments!$B$18&amp;DOLLAR(INDEX(Max_Table,M1759),0)&amp;Comments!$B$19&amp;IFERROR(DOLLAR(IFERROR(Page5i_SANS_OBJECT!$M17/Page5i_SANS_OBJECT!$K17,0),0),0),"")</f>
        <v/>
      </c>
      <c r="K1759" s="1452"/>
      <c r="L1759" s="611">
        <f>ROW(OR_VEH!$A$667)</f>
        <v>667</v>
      </c>
      <c r="M1759" s="611">
        <f>ROW(OR_VEH!$A$416)</f>
        <v>416</v>
      </c>
      <c r="N1759" s="611" t="str">
        <f>"CPTE # "&amp;Page5i_SANS_OBJECT!$E$17&amp;"  "&amp;Page5i_SANS_OBJECT!$C$17&amp;" - COÛT DES VENTES - AAD"</f>
        <v>CPTE # 413I  NE PAS UTILISER - COÛT DES VENTES - AAD</v>
      </c>
      <c r="O1759" s="611" t="str">
        <f t="shared" si="237"/>
        <v/>
      </c>
      <c r="P1759" s="611" t="str">
        <f t="shared" si="239"/>
        <v>Page5i_SANS_OBJECT!M</v>
      </c>
      <c r="Q1759" s="611">
        <f t="shared" si="240"/>
        <v>17</v>
      </c>
      <c r="R1759" s="1447">
        <f t="shared" ca="1" si="241"/>
        <v>0</v>
      </c>
      <c r="S1759" s="1447">
        <f t="shared" ca="1" si="242"/>
        <v>0</v>
      </c>
      <c r="T1759" s="611">
        <v>22</v>
      </c>
      <c r="V1759" s="2557" t="str">
        <f t="shared" ca="1" si="244"/>
        <v/>
      </c>
      <c r="W1759" s="611" t="str">
        <f t="shared" ca="1" si="243"/>
        <v>Page5i_SANS_OBJECT, Ligne 14 [Page5i_SANS_OBJECT!M17]  -</v>
      </c>
    </row>
    <row r="1760" spans="1:23">
      <c r="A1760" s="1443" t="str">
        <f>celladdr(Page5i_SANS_OBJECT!M18)</f>
        <v>Page5i_SANS_OBJECT!M18</v>
      </c>
      <c r="B1760" s="1456" t="s">
        <v>1086</v>
      </c>
      <c r="C1760" s="1451" t="b">
        <f>IF(Page5i_SANS_OBJECT!$K$18=0,FALSE,OR(Page5i_SANS_OBJECT!$M$18/Page5i_SANS_OBJECT!$K$18&lt;INDEX(Min_Table,L1760),Page5i_SANS_OBJECT!$M$18/Page5i_SANS_OBJECT!$K$18&gt;INDEX(Max_Table,L1760)))</f>
        <v>0</v>
      </c>
      <c r="D1760" s="1454" t="b">
        <f>OR(AND(Page5i_SANS_OBJECT!$L18&lt;&gt;0,Page5i_SANS_OBJECT!$M18=0),AND(Page5i_SANS_OBJECT!$M18&lt;&gt;0,Page5i_SANS_OBJECT!$L18=0))</f>
        <v>0</v>
      </c>
      <c r="E1760" s="1454" t="b">
        <f>IF(Page5i_SANS_OBJECT!$K$18=0,FALSE,OR(Page5i_SANS_OBJECT!$M$18/Page5i_SANS_OBJECT!$K$18&lt;INDEX(Min_Table,M1760),Page5i_SANS_OBJECT!$M$18/Page5i_SANS_OBJECT!$K$18&gt;INDEX(Max_Table,M1760)))</f>
        <v>0</v>
      </c>
      <c r="F1760" s="1454"/>
      <c r="G1760" s="1444" t="str">
        <f t="shared" si="238"/>
        <v/>
      </c>
      <c r="H1760" s="1447" t="str">
        <f>IF(C1760=TRUE,Comments!$B$20&amp;DOLLAR(INDEX(Min_Table,L1760),0)&amp;Comments!$B$18&amp;DOLLAR(INDEX(Max_Table,L1760),0)&amp;Comments!$B$19&amp;DOLLAR(Page5i_SANS_OBJECT!$M$18/Page5i_SANS_OBJECT!$K$18,0),"")</f>
        <v/>
      </c>
      <c r="I1760" s="1446" t="str">
        <f>IF(D1760=TRUE,Comments!$B$24,"")</f>
        <v/>
      </c>
      <c r="J1760" s="1446" t="str">
        <f>IF(E1760=TRUE,Comments!$B$22&amp;DOLLAR(INDEX(Min_Table,M1760),0)&amp;Comments!$B$18&amp;DOLLAR(INDEX(Max_Table,M1760),0)&amp;Comments!$B$19&amp;IFERROR(DOLLAR(IFERROR(Page5i_SANS_OBJECT!$M18/Page5i_SANS_OBJECT!$K18,0),0),0),"")</f>
        <v/>
      </c>
      <c r="K1760" s="1452"/>
      <c r="L1760" s="611">
        <f>ROW(OR_VEH!$A$667)</f>
        <v>667</v>
      </c>
      <c r="M1760" s="611">
        <f>ROW(OR_VEH!$A$417)</f>
        <v>417</v>
      </c>
      <c r="N1760" s="611" t="str">
        <f>"CPTE # "&amp;Page5i_SANS_OBJECT!$E$18&amp;"  "&amp;Page5i_SANS_OBJECT!$C$18&amp;" - COÛT DES VENTES - AAD"</f>
        <v>CPTE # 414I  NE PAS UTILISER - COÛT DES VENTES - AAD</v>
      </c>
      <c r="O1760" s="611" t="str">
        <f t="shared" si="237"/>
        <v/>
      </c>
      <c r="P1760" s="611" t="str">
        <f t="shared" si="239"/>
        <v>Page5i_SANS_OBJECT!M</v>
      </c>
      <c r="Q1760" s="611">
        <f t="shared" si="240"/>
        <v>18</v>
      </c>
      <c r="R1760" s="1447">
        <f t="shared" ca="1" si="241"/>
        <v>0</v>
      </c>
      <c r="S1760" s="1447">
        <f t="shared" ca="1" si="242"/>
        <v>0</v>
      </c>
      <c r="T1760" s="611">
        <v>22</v>
      </c>
      <c r="V1760" s="2557" t="str">
        <f t="shared" ca="1" si="244"/>
        <v/>
      </c>
      <c r="W1760" s="611" t="str">
        <f t="shared" ca="1" si="243"/>
        <v>Page5i_SANS_OBJECT, Ligne 15 [Page5i_SANS_OBJECT!M18]  -</v>
      </c>
    </row>
    <row r="1761" spans="1:23">
      <c r="A1761" s="1443" t="str">
        <f>celladdr(Page5i_SANS_OBJECT!M19)</f>
        <v>Page5i_SANS_OBJECT!M19</v>
      </c>
      <c r="B1761" s="1456" t="s">
        <v>1086</v>
      </c>
      <c r="C1761" s="1451" t="b">
        <f>IF(Page5i_SANS_OBJECT!$K$19=0,FALSE,OR(Page5i_SANS_OBJECT!$M$19/Page5i_SANS_OBJECT!$K$19&lt;INDEX(Min_Table,L1761),Page5i_SANS_OBJECT!$M$19/Page5i_SANS_OBJECT!$K$19&gt;INDEX(Max_Table,L1761)))</f>
        <v>0</v>
      </c>
      <c r="D1761" s="1454" t="b">
        <f>OR(AND(Page5i_SANS_OBJECT!$L19&lt;&gt;0,Page5i_SANS_OBJECT!$M19=0),AND(Page5i_SANS_OBJECT!$M19&lt;&gt;0,Page5i_SANS_OBJECT!$L19=0))</f>
        <v>0</v>
      </c>
      <c r="E1761" s="1454" t="b">
        <f>IF(Page5i_SANS_OBJECT!$K$19=0,FALSE,OR(Page5i_SANS_OBJECT!$M$19/Page5i_SANS_OBJECT!$K$19&lt;INDEX(Min_Table,M1761),Page5i_SANS_OBJECT!$M$19/Page5i_SANS_OBJECT!$K$19&gt;INDEX(Max_Table,M1761)))</f>
        <v>0</v>
      </c>
      <c r="F1761" s="1454"/>
      <c r="G1761" s="1444" t="str">
        <f t="shared" si="238"/>
        <v/>
      </c>
      <c r="H1761" s="1447" t="str">
        <f>IF(C1761=TRUE,Comments!$B$20&amp;DOLLAR(INDEX(Min_Table,L1761),0)&amp;Comments!$B$18&amp;DOLLAR(INDEX(Max_Table,L1761),0)&amp;Comments!$B$19&amp;DOLLAR(Page5i_SANS_OBJECT!$M$19/Page5i_SANS_OBJECT!$K$19,0),"")</f>
        <v/>
      </c>
      <c r="I1761" s="1446" t="str">
        <f>IF(D1761=TRUE,Comments!$B$24,"")</f>
        <v/>
      </c>
      <c r="J1761" s="1446" t="str">
        <f>IF(E1761=TRUE,Comments!$B$22&amp;DOLLAR(INDEX(Min_Table,M1761),0)&amp;Comments!$B$18&amp;DOLLAR(INDEX(Max_Table,M1761),0)&amp;Comments!$B$19&amp;IFERROR(DOLLAR(IFERROR(Page5i_SANS_OBJECT!$M19/Page5i_SANS_OBJECT!$K19,0),0),0),"")</f>
        <v/>
      </c>
      <c r="K1761" s="1452"/>
      <c r="L1761" s="611">
        <f>ROW(OR_VEH!$A$667)</f>
        <v>667</v>
      </c>
      <c r="M1761" s="611">
        <f>ROW(OR_VEH!$A$418)</f>
        <v>418</v>
      </c>
      <c r="N1761" s="611" t="str">
        <f>"CPTE # "&amp;Page5i_SANS_OBJECT!$E$19&amp;"  "&amp;Page5i_SANS_OBJECT!$C$19&amp;" - COÛT DES VENTES - AAD"</f>
        <v>CPTE # 415I  NE PAS UTILISER - COÛT DES VENTES - AAD</v>
      </c>
      <c r="O1761" s="611" t="str">
        <f t="shared" si="237"/>
        <v/>
      </c>
      <c r="P1761" s="611" t="str">
        <f t="shared" si="239"/>
        <v>Page5i_SANS_OBJECT!M</v>
      </c>
      <c r="Q1761" s="611">
        <f t="shared" si="240"/>
        <v>19</v>
      </c>
      <c r="R1761" s="1447">
        <f t="shared" ca="1" si="241"/>
        <v>0</v>
      </c>
      <c r="S1761" s="1447">
        <f t="shared" ca="1" si="242"/>
        <v>0</v>
      </c>
      <c r="T1761" s="611">
        <v>22</v>
      </c>
      <c r="V1761" s="2557" t="str">
        <f t="shared" ca="1" si="244"/>
        <v/>
      </c>
      <c r="W1761" s="611" t="str">
        <f t="shared" ca="1" si="243"/>
        <v>Page5i_SANS_OBJECT, Ligne 16 [Page5i_SANS_OBJECT!M19]  -</v>
      </c>
    </row>
    <row r="1762" spans="1:23">
      <c r="A1762" s="1443" t="str">
        <f>celladdr(Page5i_SANS_OBJECT!M20)</f>
        <v>Page5i_SANS_OBJECT!M20</v>
      </c>
      <c r="B1762" s="1456" t="s">
        <v>1086</v>
      </c>
      <c r="C1762" s="1451" t="b">
        <f>IF(Page5i_SANS_OBJECT!$K$20=0,FALSE,OR(Page5i_SANS_OBJECT!$M$20/Page5i_SANS_OBJECT!$K$20&lt;INDEX(Min_Table,L1762),Page5i_SANS_OBJECT!$M$20/Page5i_SANS_OBJECT!$K$20&gt;INDEX(Max_Table,L1762)))</f>
        <v>0</v>
      </c>
      <c r="D1762" s="1454" t="b">
        <f>OR(AND(Page5i_SANS_OBJECT!$L20&lt;&gt;0,Page5i_SANS_OBJECT!$M20=0),AND(Page5i_SANS_OBJECT!$M20&lt;&gt;0,Page5i_SANS_OBJECT!$L20=0))</f>
        <v>0</v>
      </c>
      <c r="E1762" s="1454" t="b">
        <f>IF(Page5i_SANS_OBJECT!$K$20=0,FALSE,OR(Page5i_SANS_OBJECT!$M$20/Page5i_SANS_OBJECT!$K$20&lt;INDEX(Min_Table,M1762),Page5i_SANS_OBJECT!$M$20/Page5i_SANS_OBJECT!$K$20&gt;INDEX(Max_Table,M1762)))</f>
        <v>0</v>
      </c>
      <c r="F1762" s="1454"/>
      <c r="G1762" s="1444" t="str">
        <f t="shared" si="238"/>
        <v/>
      </c>
      <c r="H1762" s="1447" t="str">
        <f>IF(C1762=TRUE,Comments!$B$20&amp;DOLLAR(INDEX(Min_Table,L1762),0)&amp;Comments!$B$18&amp;DOLLAR(INDEX(Max_Table,L1762),0)&amp;Comments!$B$19&amp;DOLLAR(Page5i_SANS_OBJECT!$M$20/Page5i_SANS_OBJECT!$K$20,0),"")</f>
        <v/>
      </c>
      <c r="I1762" s="1446" t="str">
        <f>IF(D1762=TRUE,Comments!$B$24,"")</f>
        <v/>
      </c>
      <c r="J1762" s="1446" t="str">
        <f>IF(E1762=TRUE,Comments!$B$22&amp;DOLLAR(INDEX(Min_Table,M1762),0)&amp;Comments!$B$18&amp;DOLLAR(INDEX(Max_Table,M1762),0)&amp;Comments!$B$19&amp;IFERROR(DOLLAR(IFERROR(Page5i_SANS_OBJECT!$M20/Page5i_SANS_OBJECT!$K20,0),0),0),"")</f>
        <v/>
      </c>
      <c r="K1762" s="1452"/>
      <c r="L1762" s="611">
        <f>ROW(OR_VEH!$A$667)</f>
        <v>667</v>
      </c>
      <c r="M1762" s="611">
        <f>ROW(OR_VEH!$A$419)</f>
        <v>419</v>
      </c>
      <c r="N1762" s="611" t="str">
        <f>"CPTE # "&amp;Page5i_SANS_OBJECT!$E$20&amp;"  "&amp;Page5i_SANS_OBJECT!$C$20&amp;" - COÛT DES VENTES - AAD"</f>
        <v>CPTE # 416I  NE PAS UTILISER - COÛT DES VENTES - AAD</v>
      </c>
      <c r="O1762" s="611" t="str">
        <f t="shared" si="237"/>
        <v/>
      </c>
      <c r="P1762" s="611" t="str">
        <f t="shared" si="239"/>
        <v>Page5i_SANS_OBJECT!M</v>
      </c>
      <c r="Q1762" s="611">
        <f t="shared" si="240"/>
        <v>20</v>
      </c>
      <c r="R1762" s="1447">
        <f t="shared" ca="1" si="241"/>
        <v>0</v>
      </c>
      <c r="S1762" s="1447">
        <f t="shared" ca="1" si="242"/>
        <v>0</v>
      </c>
      <c r="T1762" s="611">
        <v>22</v>
      </c>
      <c r="V1762" s="2557" t="str">
        <f t="shared" ca="1" si="244"/>
        <v/>
      </c>
      <c r="W1762" s="611" t="str">
        <f t="shared" ca="1" si="243"/>
        <v>Page5i_SANS_OBJECT, Ligne 17 [Page5i_SANS_OBJECT!M20]  -</v>
      </c>
    </row>
    <row r="1763" spans="1:23">
      <c r="A1763" s="1443" t="str">
        <f>celladdr(Page5i_SANS_OBJECT!M21)</f>
        <v>Page5i_SANS_OBJECT!M21</v>
      </c>
      <c r="B1763" s="1456" t="s">
        <v>1086</v>
      </c>
      <c r="C1763" s="1451" t="b">
        <f>IF(Page5i_SANS_OBJECT!$K$21=0,FALSE,OR(Page5i_SANS_OBJECT!$M$21/Page5i_SANS_OBJECT!$K$21&lt;INDEX(Min_Table,L1763),Page5i_SANS_OBJECT!$M$21/Page5i_SANS_OBJECT!$K$21&gt;INDEX(Max_Table,L1763)))</f>
        <v>0</v>
      </c>
      <c r="D1763" s="1454" t="b">
        <f>OR(AND(Page5i_SANS_OBJECT!$L21&lt;&gt;0,Page5i_SANS_OBJECT!$M21=0),AND(Page5i_SANS_OBJECT!$M21&lt;&gt;0,Page5i_SANS_OBJECT!$L21=0))</f>
        <v>0</v>
      </c>
      <c r="E1763" s="1454" t="b">
        <f>IF(Page5i_SANS_OBJECT!$K$21=0,FALSE,OR(Page5i_SANS_OBJECT!$M$21/Page5i_SANS_OBJECT!$K$21&lt;INDEX(Min_Table,M1763),Page5i_SANS_OBJECT!$M$21/Page5i_SANS_OBJECT!$K$21&gt;INDEX(Max_Table,M1763)))</f>
        <v>0</v>
      </c>
      <c r="F1763" s="1454"/>
      <c r="G1763" s="1444" t="str">
        <f t="shared" si="238"/>
        <v/>
      </c>
      <c r="H1763" s="1447" t="str">
        <f>IF(C1763=TRUE,Comments!$B$20&amp;DOLLAR(INDEX(Min_Table,L1763),0)&amp;Comments!$B$18&amp;DOLLAR(INDEX(Max_Table,L1763),0)&amp;Comments!$B$19&amp;DOLLAR(Page5i_SANS_OBJECT!$M$21/Page5i_SANS_OBJECT!$K$21,0),"")</f>
        <v/>
      </c>
      <c r="I1763" s="1446" t="str">
        <f>IF(D1763=TRUE,Comments!$B$24,"")</f>
        <v/>
      </c>
      <c r="J1763" s="1446" t="str">
        <f>IF(E1763=TRUE,Comments!$B$22&amp;DOLLAR(INDEX(Min_Table,M1763),0)&amp;Comments!$B$18&amp;DOLLAR(INDEX(Max_Table,M1763),0)&amp;Comments!$B$19&amp;IFERROR(DOLLAR(IFERROR(Page5i_SANS_OBJECT!$M21/Page5i_SANS_OBJECT!$K21,0),0),0),"")</f>
        <v/>
      </c>
      <c r="K1763" s="1452"/>
      <c r="L1763" s="611">
        <f>ROW(OR_VEH!$A$667)</f>
        <v>667</v>
      </c>
      <c r="M1763" s="611">
        <f>ROW(OR_VEH!$A$420)</f>
        <v>420</v>
      </c>
      <c r="N1763" s="611" t="str">
        <f>"CPTE # "&amp;Page5i_SANS_OBJECT!$E$21&amp;"  "&amp;Page5i_SANS_OBJECT!$C$21&amp;" - COÛT DES VENTES - AAD"</f>
        <v>CPTE # 417I  NE PAS UTILISER - COÛT DES VENTES - AAD</v>
      </c>
      <c r="O1763" s="611" t="str">
        <f t="shared" si="237"/>
        <v/>
      </c>
      <c r="P1763" s="611" t="str">
        <f t="shared" si="239"/>
        <v>Page5i_SANS_OBJECT!M</v>
      </c>
      <c r="Q1763" s="611">
        <f t="shared" si="240"/>
        <v>21</v>
      </c>
      <c r="R1763" s="1447">
        <f t="shared" ca="1" si="241"/>
        <v>0</v>
      </c>
      <c r="S1763" s="1447">
        <f t="shared" ca="1" si="242"/>
        <v>0</v>
      </c>
      <c r="T1763" s="611">
        <v>22</v>
      </c>
      <c r="V1763" s="2557" t="str">
        <f t="shared" ca="1" si="244"/>
        <v/>
      </c>
      <c r="W1763" s="611" t="str">
        <f t="shared" ca="1" si="243"/>
        <v>Page5i_SANS_OBJECT, Ligne 18 [Page5i_SANS_OBJECT!M21]  -</v>
      </c>
    </row>
    <row r="1764" spans="1:23">
      <c r="A1764" s="1443" t="str">
        <f>celladdr(Page5i_SANS_OBJECT!M22)</f>
        <v>Page5i_SANS_OBJECT!M22</v>
      </c>
      <c r="B1764" s="1456" t="s">
        <v>1086</v>
      </c>
      <c r="C1764" s="1451" t="b">
        <f>IF(Page5i_SANS_OBJECT!$K$22=0,FALSE,OR(Page5i_SANS_OBJECT!$M$22/Page5i_SANS_OBJECT!$K$22&lt;INDEX(Min_Table,L1764),Page5i_SANS_OBJECT!$M$22/Page5i_SANS_OBJECT!$K$22&gt;INDEX(Max_Table,L1764)))</f>
        <v>0</v>
      </c>
      <c r="D1764" s="1454" t="b">
        <f>OR(AND(Page5i_SANS_OBJECT!$L22&lt;&gt;0,Page5i_SANS_OBJECT!$M22=0),AND(Page5i_SANS_OBJECT!$M22&lt;&gt;0,Page5i_SANS_OBJECT!$L22=0))</f>
        <v>0</v>
      </c>
      <c r="E1764" s="1454" t="b">
        <f>IF(Page5i_SANS_OBJECT!$K$22=0,FALSE,OR(Page5i_SANS_OBJECT!$M$22/Page5i_SANS_OBJECT!$K$22&lt;INDEX(Min_Table,M1764),Page5i_SANS_OBJECT!$M$22/Page5i_SANS_OBJECT!$K$22&gt;INDEX(Max_Table,M1764)))</f>
        <v>0</v>
      </c>
      <c r="F1764" s="1454"/>
      <c r="G1764" s="1444" t="str">
        <f t="shared" si="238"/>
        <v/>
      </c>
      <c r="H1764" s="1447" t="str">
        <f>IF(C1764=TRUE,Comments!$B$20&amp;DOLLAR(INDEX(Min_Table,L1764),0)&amp;Comments!$B$18&amp;DOLLAR(INDEX(Max_Table,L1764),0)&amp;Comments!$B$19&amp;DOLLAR(Page5i_SANS_OBJECT!$M$22/Page5i_SANS_OBJECT!$K$22,0),"")</f>
        <v/>
      </c>
      <c r="I1764" s="1446" t="str">
        <f>IF(D1764=TRUE,Comments!$B$24,"")</f>
        <v/>
      </c>
      <c r="J1764" s="1446" t="str">
        <f>IF(E1764=TRUE,Comments!$B$22&amp;DOLLAR(INDEX(Min_Table,M1764),0)&amp;Comments!$B$18&amp;DOLLAR(INDEX(Max_Table,M1764),0)&amp;Comments!$B$19&amp;IFERROR(DOLLAR(IFERROR(Page5i_SANS_OBJECT!$M22/Page5i_SANS_OBJECT!$K22,0),0),0),"")</f>
        <v/>
      </c>
      <c r="K1764" s="1452"/>
      <c r="L1764" s="611">
        <f>ROW(OR_VEH!$A$667)</f>
        <v>667</v>
      </c>
      <c r="M1764" s="611">
        <f>ROW(OR_VEH!$A$421)</f>
        <v>421</v>
      </c>
      <c r="N1764" s="611" t="str">
        <f>"CPTE # "&amp;Page5i_SANS_OBJECT!$E$22&amp;"  "&amp;Page5i_SANS_OBJECT!$C$22&amp;" - COÛT DES VENTES - AAD"</f>
        <v>CPTE # 418I  NE PAS UTILISER - COÛT DES VENTES - AAD</v>
      </c>
      <c r="O1764" s="611" t="str">
        <f t="shared" si="237"/>
        <v/>
      </c>
      <c r="P1764" s="611" t="str">
        <f t="shared" si="239"/>
        <v>Page5i_SANS_OBJECT!M</v>
      </c>
      <c r="Q1764" s="611">
        <f t="shared" si="240"/>
        <v>22</v>
      </c>
      <c r="R1764" s="1447">
        <f t="shared" ca="1" si="241"/>
        <v>0</v>
      </c>
      <c r="S1764" s="1447">
        <f t="shared" ca="1" si="242"/>
        <v>0</v>
      </c>
      <c r="T1764" s="611">
        <v>22</v>
      </c>
      <c r="V1764" s="2557" t="str">
        <f t="shared" ca="1" si="244"/>
        <v/>
      </c>
      <c r="W1764" s="611" t="str">
        <f t="shared" ca="1" si="243"/>
        <v>Page5i_SANS_OBJECT, Ligne 19 [Page5i_SANS_OBJECT!M22]  -</v>
      </c>
    </row>
    <row r="1765" spans="1:23">
      <c r="A1765" s="1443" t="str">
        <f>celladdr(Page5i_SANS_OBJECT!M23)</f>
        <v>Page5i_SANS_OBJECT!M23</v>
      </c>
      <c r="B1765" s="1444" t="s">
        <v>1086</v>
      </c>
      <c r="C1765" s="1451"/>
      <c r="D1765" s="1454"/>
      <c r="E1765" s="1454"/>
      <c r="F1765" s="1454"/>
      <c r="G1765" s="1444" t="str">
        <f t="shared" si="238"/>
        <v/>
      </c>
      <c r="H1765" s="1447" t="str">
        <f>IF(C1765=TRUE,Comments!$B$26,"")</f>
        <v/>
      </c>
      <c r="I1765" s="1446" t="str">
        <f>IF(D1765=TRUE,Comments!$B$24,"")</f>
        <v/>
      </c>
      <c r="J1765" s="1446"/>
      <c r="K1765" s="1452"/>
      <c r="O1765" s="611" t="str">
        <f t="shared" si="237"/>
        <v/>
      </c>
      <c r="P1765" s="611" t="str">
        <f t="shared" si="239"/>
        <v>Page5i_SANS_OBJECT!M</v>
      </c>
      <c r="Q1765" s="611">
        <f t="shared" si="240"/>
        <v>23</v>
      </c>
      <c r="R1765" s="1447">
        <f t="shared" ca="1" si="241"/>
        <v>0</v>
      </c>
      <c r="S1765" s="1447">
        <f t="shared" ca="1" si="242"/>
        <v>0</v>
      </c>
      <c r="V1765" s="2557" t="str">
        <f t="shared" ca="1" si="244"/>
        <v/>
      </c>
      <c r="W1765" s="611" t="str">
        <f t="shared" ca="1" si="243"/>
        <v>Page5i_SANS_OBJECT, Ligne 20 [Page5i_SANS_OBJECT!M23]  -</v>
      </c>
    </row>
    <row r="1766" spans="1:23">
      <c r="A1766" s="1443" t="str">
        <f>celladdr(Page5i_SANS_OBJECT!M24)</f>
        <v>Page5i_SANS_OBJECT!M24</v>
      </c>
      <c r="B1766" s="1456" t="s">
        <v>1086</v>
      </c>
      <c r="C1766" s="1451" t="b">
        <f>IF(Page5i_SANS_OBJECT!$K$24=0,FALSE,OR(Page5i_SANS_OBJECT!$M$24/Page5i_SANS_OBJECT!$K$24&lt;INDEX(Min_Table,L1766),Page5i_SANS_OBJECT!$M$24/Page5i_SANS_OBJECT!$K$24&gt;INDEX(Max_Table,L1766)))</f>
        <v>0</v>
      </c>
      <c r="D1766" s="1454" t="b">
        <f>OR(AND(Page5i_SANS_OBJECT!$L24&lt;&gt;0,Page5i_SANS_OBJECT!$M24=0),AND(Page5i_SANS_OBJECT!$M24&lt;&gt;0,Page5i_SANS_OBJECT!$L24=0))</f>
        <v>0</v>
      </c>
      <c r="E1766" s="1454" t="b">
        <f>IF(Page5i_SANS_OBJECT!$K$24=0,FALSE,OR(Page5i_SANS_OBJECT!$M$24/Page5i_SANS_OBJECT!$K$24&lt;INDEX(Min_Table,M1766),Page5i_SANS_OBJECT!$M$24/Page5i_SANS_OBJECT!$K$24&gt;INDEX(Max_Table,M1766)))</f>
        <v>0</v>
      </c>
      <c r="F1766" s="1454"/>
      <c r="G1766" s="1444" t="str">
        <f t="shared" si="238"/>
        <v/>
      </c>
      <c r="H1766" s="1447" t="str">
        <f>IF(C1766=TRUE,Comments!$B$20&amp;DOLLAR(INDEX(Min_Table,L1766),0)&amp;Comments!$B$18&amp;DOLLAR(INDEX(Max_Table,L1766),0)&amp;Comments!$B$19&amp;DOLLAR(Page5i_SANS_OBJECT!$M$24/Page5i_SANS_OBJECT!$K$24,0),"")</f>
        <v/>
      </c>
      <c r="I1766" s="1446" t="str">
        <f>IF(D1766=TRUE,Comments!$B$24,"")</f>
        <v/>
      </c>
      <c r="J1766" s="1446" t="str">
        <f>IF(E1766=TRUE,Comments!$B$22&amp;DOLLAR(INDEX(Min_Table,M1766),0)&amp;Comments!$B$18&amp;DOLLAR(INDEX(Max_Table,M1766),0)&amp;Comments!$B$19&amp;IFERROR(DOLLAR(IFERROR(Page5i_SANS_OBJECT!$M24/Page5i_SANS_OBJECT!$K24,0),0),0),"")</f>
        <v/>
      </c>
      <c r="K1766" s="1452"/>
      <c r="L1766" s="611">
        <f>ROW(OR_VEH!$A$667)</f>
        <v>667</v>
      </c>
      <c r="M1766" s="611">
        <f>ROW(OR_VEH!$A$423)</f>
        <v>423</v>
      </c>
      <c r="N1766" s="611" t="str">
        <f>"CPTE # "&amp;Page5i_SANS_OBJECT!$E$24&amp;"  "&amp;Page5i_SANS_OBJECT!$C$24&amp;" - COÛT DES VENTES - AAD"</f>
        <v>CPTE # 419I  MÉMO* VENTES INTERNET VOITURES - COÛT DES VENTES - AAD</v>
      </c>
      <c r="O1766" s="611" t="str">
        <f t="shared" si="237"/>
        <v/>
      </c>
      <c r="P1766" s="611" t="str">
        <f t="shared" si="239"/>
        <v>Page5i_SANS_OBJECT!M</v>
      </c>
      <c r="Q1766" s="611">
        <f t="shared" si="240"/>
        <v>24</v>
      </c>
      <c r="R1766" s="1447">
        <f t="shared" ca="1" si="241"/>
        <v>0</v>
      </c>
      <c r="S1766" s="1447">
        <f t="shared" ca="1" si="242"/>
        <v>0</v>
      </c>
      <c r="T1766" s="611">
        <v>22</v>
      </c>
      <c r="V1766" s="2557" t="str">
        <f t="shared" ca="1" si="244"/>
        <v/>
      </c>
      <c r="W1766" s="611" t="str">
        <f t="shared" ca="1" si="243"/>
        <v>Page5i_SANS_OBJECT, Ligne 21 [Page5i_SANS_OBJECT!M24]  -</v>
      </c>
    </row>
    <row r="1767" spans="1:23">
      <c r="A1767" s="1443" t="str">
        <f>celladdr(Page5i_SANS_OBJECT!M25)</f>
        <v>Page5i_SANS_OBJECT!M25</v>
      </c>
      <c r="B1767" s="1456" t="s">
        <v>1086</v>
      </c>
      <c r="C1767" s="1451" t="b">
        <f>IF(Page5i_SANS_OBJECT!$K$25=0,FALSE,OR(Page5i_SANS_OBJECT!$M$25/Page5i_SANS_OBJECT!$K$25&lt;INDEX(Min_Table,L1767),Page5i_SANS_OBJECT!$M$25/Page5i_SANS_OBJECT!$K$25&gt;INDEX(Max_Table,L1767)))</f>
        <v>0</v>
      </c>
      <c r="D1767" s="1454" t="b">
        <f>OR(AND(Page5i_SANS_OBJECT!$L25&lt;&gt;0,Page5i_SANS_OBJECT!$M25=0),AND(Page5i_SANS_OBJECT!$M25&lt;&gt;0,Page5i_SANS_OBJECT!$L25=0))</f>
        <v>0</v>
      </c>
      <c r="E1767" s="1454" t="b">
        <f>IF(Page5i_SANS_OBJECT!$K$25=0,FALSE,OR(Page5i_SANS_OBJECT!$M$25/Page5i_SANS_OBJECT!$K$25&lt;INDEX(Min_Table,M1767),Page5i_SANS_OBJECT!$M$25/Page5i_SANS_OBJECT!$K$25&gt;INDEX(Max_Table,M1767)))</f>
        <v>0</v>
      </c>
      <c r="F1767" s="1454"/>
      <c r="G1767" s="1444" t="str">
        <f t="shared" si="238"/>
        <v/>
      </c>
      <c r="H1767" s="1447" t="str">
        <f>IF(C1767=TRUE,Comments!$B$20&amp;DOLLAR(INDEX(Min_Table,L1767),0)&amp;Comments!$B$18&amp;DOLLAR(INDEX(Max_Table,L1767),0)&amp;Comments!$B$19&amp;DOLLAR(Page5i_SANS_OBJECT!$M$25/Page5i_SANS_OBJECT!$K$25,0),"")</f>
        <v/>
      </c>
      <c r="I1767" s="1446" t="str">
        <f>IF(D1767=TRUE,Comments!$B$24,"")</f>
        <v/>
      </c>
      <c r="J1767" s="1446" t="str">
        <f>IF(E1767=TRUE,Comments!$B$22&amp;DOLLAR(INDEX(Min_Table,M1767),0)&amp;Comments!$B$18&amp;DOLLAR(INDEX(Max_Table,M1767),0)&amp;Comments!$B$19&amp;IFERROR(DOLLAR(IFERROR(Page5i_SANS_OBJECT!$M25/Page5i_SANS_OBJECT!$K25,0),0),0),"")</f>
        <v/>
      </c>
      <c r="K1767" s="1452"/>
      <c r="L1767" s="611">
        <f>ROW(OR_VEH!$A$667)</f>
        <v>667</v>
      </c>
      <c r="M1767" s="611">
        <f>ROW(OR_VEH!$A$424)</f>
        <v>424</v>
      </c>
      <c r="N1767" s="611" t="str">
        <f>"CPTE # "&amp;Page5i_SANS_OBJECT!$E$25&amp;"  "&amp;Page5i_SANS_OBJECT!$C$25&amp;" - COÛT DES VENTES - AAD"</f>
        <v>CPTE # 420I  TOTAL PARCS - VOITURES - COÛT DES VENTES - AAD</v>
      </c>
      <c r="O1767" s="611" t="str">
        <f t="shared" si="237"/>
        <v/>
      </c>
      <c r="P1767" s="611" t="str">
        <f t="shared" si="239"/>
        <v>Page5i_SANS_OBJECT!M</v>
      </c>
      <c r="Q1767" s="611">
        <f t="shared" si="240"/>
        <v>25</v>
      </c>
      <c r="R1767" s="1447">
        <f t="shared" ca="1" si="241"/>
        <v>0</v>
      </c>
      <c r="S1767" s="1447">
        <f t="shared" ca="1" si="242"/>
        <v>0</v>
      </c>
      <c r="T1767" s="611">
        <v>22</v>
      </c>
      <c r="V1767" s="2557" t="str">
        <f t="shared" ca="1" si="244"/>
        <v/>
      </c>
      <c r="W1767" s="611" t="str">
        <f t="shared" ca="1" si="243"/>
        <v>Page5i_SANS_OBJECT, Ligne 22 [Page5i_SANS_OBJECT!M25]  -</v>
      </c>
    </row>
    <row r="1768" spans="1:23">
      <c r="A1768" s="1443" t="str">
        <f>celladdr(Page5i_SANS_OBJECT!M26)</f>
        <v>Page5i_SANS_OBJECT!M26</v>
      </c>
      <c r="B1768" s="1456" t="s">
        <v>1086</v>
      </c>
      <c r="C1768" s="1451" t="b">
        <f>IF(Page5i_SANS_OBJECT!$K$26=0,FALSE,OR(Page5i_SANS_OBJECT!$M$26/Page5i_SANS_OBJECT!$K$26&lt;INDEX(Min_Table,L1768),Page5i_SANS_OBJECT!$M$26/Page5i_SANS_OBJECT!$K$26&gt;INDEX(Max_Table,L1768)))</f>
        <v>0</v>
      </c>
      <c r="D1768" s="1454" t="b">
        <f>OR(AND(Page5i_SANS_OBJECT!$L26&lt;&gt;0,Page5i_SANS_OBJECT!$M26=0),AND(Page5i_SANS_OBJECT!$M26&lt;&gt;0,Page5i_SANS_OBJECT!$L26=0))</f>
        <v>0</v>
      </c>
      <c r="E1768" s="1454" t="b">
        <f>IF(Page5i_SANS_OBJECT!$K$26=0,FALSE,OR(Page5i_SANS_OBJECT!$M$26/Page5i_SANS_OBJECT!$K$26&lt;INDEX(Min_Table,M1768),Page5i_SANS_OBJECT!$M$26/Page5i_SANS_OBJECT!$K$26&gt;INDEX(Max_Table,M1768)))</f>
        <v>0</v>
      </c>
      <c r="F1768" s="1454"/>
      <c r="G1768" s="1444" t="str">
        <f t="shared" si="238"/>
        <v/>
      </c>
      <c r="H1768" s="1447" t="str">
        <f>IF(C1768=TRUE,Comments!$B$20&amp;DOLLAR(INDEX(Min_Table,L1768),0)&amp;Comments!$B$18&amp;DOLLAR(INDEX(Max_Table,L1768),0)&amp;Comments!$B$19&amp;DOLLAR(Page5i_SANS_OBJECT!$M$26/Page5i_SANS_OBJECT!$K$26,0),"")</f>
        <v/>
      </c>
      <c r="I1768" s="1446" t="str">
        <f>IF(D1768=TRUE,Comments!$B$24,"")</f>
        <v/>
      </c>
      <c r="J1768" s="1446" t="str">
        <f>IF(E1768=TRUE,Comments!$B$22&amp;DOLLAR(INDEX(Min_Table,M1768),0)&amp;Comments!$B$18&amp;DOLLAR(INDEX(Max_Table,M1768),0)&amp;Comments!$B$19&amp;IFERROR(DOLLAR(IFERROR(Page5i_SANS_OBJECT!$M26/Page5i_SANS_OBJECT!$K26,0),0),0),"")</f>
        <v/>
      </c>
      <c r="K1768" s="1452"/>
      <c r="L1768" s="611">
        <f>ROW(OR_VEH!$A$667)</f>
        <v>667</v>
      </c>
      <c r="M1768" s="611">
        <f>ROW(OR_VEH!$A$425)</f>
        <v>425</v>
      </c>
      <c r="N1768" s="611" t="str">
        <f>"CPTE # "&amp;Page5i_SANS_OBJECT!$E$26&amp;"  "&amp;Page5i_SANS_OBJECT!$C$26&amp;" - COÛT DES VENTES - AAD"</f>
        <v>CPTE # 421I  TOTAL INTERNE - VOITURES - COÛT DES VENTES - AAD</v>
      </c>
      <c r="O1768" s="611" t="str">
        <f t="shared" si="237"/>
        <v/>
      </c>
      <c r="P1768" s="611" t="str">
        <f t="shared" si="239"/>
        <v>Page5i_SANS_OBJECT!M</v>
      </c>
      <c r="Q1768" s="611">
        <f t="shared" si="240"/>
        <v>26</v>
      </c>
      <c r="R1768" s="1447">
        <f t="shared" ca="1" si="241"/>
        <v>0</v>
      </c>
      <c r="S1768" s="1447">
        <f t="shared" ca="1" si="242"/>
        <v>0</v>
      </c>
      <c r="T1768" s="611">
        <v>22</v>
      </c>
      <c r="V1768" s="2557" t="str">
        <f t="shared" ca="1" si="244"/>
        <v/>
      </c>
      <c r="W1768" s="611" t="str">
        <f t="shared" ca="1" si="243"/>
        <v>Page5i_SANS_OBJECT, Ligne 23 [Page5i_SANS_OBJECT!M26]  -</v>
      </c>
    </row>
    <row r="1769" spans="1:23">
      <c r="A1769" s="1443" t="str">
        <f>celladdr(Page5i_SANS_OBJECT!M27)</f>
        <v>Page5i_SANS_OBJECT!M27</v>
      </c>
      <c r="B1769" s="1444" t="s">
        <v>1086</v>
      </c>
      <c r="C1769" s="1451"/>
      <c r="D1769" s="1454"/>
      <c r="E1769" s="1454"/>
      <c r="F1769" s="1454"/>
      <c r="G1769" s="1444" t="str">
        <f t="shared" si="238"/>
        <v/>
      </c>
      <c r="H1769" s="1447" t="str">
        <f>IF(C1769=TRUE,Comments!$B$26,"")</f>
        <v/>
      </c>
      <c r="I1769" s="1446" t="str">
        <f>IF(D1769=TRUE,Comments!$B$24,"")</f>
        <v/>
      </c>
      <c r="J1769" s="1446"/>
      <c r="K1769" s="1452"/>
      <c r="O1769" s="611" t="str">
        <f t="shared" si="237"/>
        <v/>
      </c>
      <c r="P1769" s="611" t="str">
        <f t="shared" si="239"/>
        <v>Page5i_SANS_OBJECT!M</v>
      </c>
      <c r="Q1769" s="611">
        <f t="shared" si="240"/>
        <v>27</v>
      </c>
      <c r="R1769" s="1447">
        <f t="shared" ca="1" si="241"/>
        <v>0</v>
      </c>
      <c r="S1769" s="1447">
        <f t="shared" ca="1" si="242"/>
        <v>0</v>
      </c>
      <c r="V1769" s="2557" t="str">
        <f t="shared" ca="1" si="244"/>
        <v/>
      </c>
      <c r="W1769" s="611" t="str">
        <f t="shared" ca="1" si="243"/>
        <v>Page5i_SANS_OBJECT, Ligne 24 [Page5i_SANS_OBJECT!M27]  -</v>
      </c>
    </row>
    <row r="1770" spans="1:23">
      <c r="A1770" s="1443" t="str">
        <f>celladdr(Page5i_SANS_OBJECT!M28)</f>
        <v>Page5i_SANS_OBJECT!M28</v>
      </c>
      <c r="B1770" s="1456" t="s">
        <v>1086</v>
      </c>
      <c r="C1770" s="1451" t="b">
        <f>IF(Page5i_SANS_OBJECT!$K$28=0,FALSE,OR(Page5i_SANS_OBJECT!$M$28/Page5i_SANS_OBJECT!$K$28&lt;INDEX(Min_Table,L1770),Page5i_SANS_OBJECT!$M$28/Page5i_SANS_OBJECT!$K$28&gt;INDEX(Max_Table,L1770)))</f>
        <v>0</v>
      </c>
      <c r="D1770" s="1454" t="b">
        <f>OR(AND(Page5i_SANS_OBJECT!$L28&lt;&gt;0,Page5i_SANS_OBJECT!$M28=0),AND(Page5i_SANS_OBJECT!$M28&lt;&gt;0,Page5i_SANS_OBJECT!$L28=0))</f>
        <v>0</v>
      </c>
      <c r="E1770" s="1454" t="b">
        <f>IF(Page5i_SANS_OBJECT!$K$28=0,FALSE,OR(Page5i_SANS_OBJECT!$M$28/Page5i_SANS_OBJECT!$K$28&lt;INDEX(Min_Table,M1770),Page5i_SANS_OBJECT!$M$28/Page5i_SANS_OBJECT!$K$28&gt;INDEX(Max_Table,M1770)))</f>
        <v>0</v>
      </c>
      <c r="F1770" s="1454"/>
      <c r="G1770" s="1444" t="str">
        <f t="shared" si="238"/>
        <v/>
      </c>
      <c r="H1770" s="1447" t="str">
        <f>IF(C1770=TRUE,Comments!$B$20&amp;DOLLAR(INDEX(Min_Table,L1770),0)&amp;Comments!$B$18&amp;DOLLAR(INDEX(Max_Table,L1770),0)&amp;Comments!$B$19&amp;DOLLAR(Page5i_SANS_OBJECT!$M$28/Page5i_SANS_OBJECT!$K$28,0),"")</f>
        <v/>
      </c>
      <c r="I1770" s="1446" t="str">
        <f>IF(D1770=TRUE,Comments!$B$24,"")</f>
        <v/>
      </c>
      <c r="J1770" s="1446" t="str">
        <f>IF(E1770=TRUE,Comments!$B$22&amp;DOLLAR(INDEX(Min_Table,M1770),0)&amp;Comments!$B$18&amp;DOLLAR(INDEX(Max_Table,M1770),0)&amp;Comments!$B$19&amp;IFERROR(DOLLAR(IFERROR(Page5i_SANS_OBJECT!$M28/Page5i_SANS_OBJECT!$K28,0),0),0),"")</f>
        <v/>
      </c>
      <c r="K1770" s="1452"/>
      <c r="L1770" s="611">
        <f>ROW(OR_VEH!$A$667)</f>
        <v>667</v>
      </c>
      <c r="M1770" s="611">
        <f>ROW(OR_VEH!$A$427)</f>
        <v>427</v>
      </c>
      <c r="N1770" s="611" t="str">
        <f>"CPTE # "&amp;Page5i_SANS_OBJECT!$E$28&amp;"  "&amp;Page5i_SANS_OBJECT!$C$28&amp;" - COÛT DES VENTES - AAD"</f>
        <v>CPTE # 423I  NE PAS UTILISER - COÛT DES VENTES - AAD</v>
      </c>
      <c r="O1770" s="611" t="str">
        <f t="shared" si="237"/>
        <v/>
      </c>
      <c r="P1770" s="611" t="str">
        <f t="shared" si="239"/>
        <v>Page5i_SANS_OBJECT!M</v>
      </c>
      <c r="Q1770" s="611">
        <f t="shared" si="240"/>
        <v>28</v>
      </c>
      <c r="R1770" s="1447">
        <f t="shared" ca="1" si="241"/>
        <v>0</v>
      </c>
      <c r="S1770" s="1447">
        <f t="shared" ca="1" si="242"/>
        <v>0</v>
      </c>
      <c r="T1770" s="611">
        <v>22</v>
      </c>
      <c r="V1770" s="2557" t="str">
        <f t="shared" ca="1" si="244"/>
        <v/>
      </c>
      <c r="W1770" s="611" t="str">
        <f t="shared" ca="1" si="243"/>
        <v>Page5i_SANS_OBJECT, Ligne 25 [Page5i_SANS_OBJECT!M28]  -</v>
      </c>
    </row>
    <row r="1771" spans="1:23">
      <c r="A1771" s="1443" t="str">
        <f>celladdr(Page5i_SANS_OBJECT!M29)</f>
        <v>Page5i_SANS_OBJECT!M29</v>
      </c>
      <c r="B1771" s="1456" t="s">
        <v>1086</v>
      </c>
      <c r="C1771" s="1451" t="b">
        <f>IF(Page5i_SANS_OBJECT!$K$29=0,FALSE,OR(Page5i_SANS_OBJECT!$M$29/Page5i_SANS_OBJECT!$K$29&lt;INDEX(Min_Table,L1771),Page5i_SANS_OBJECT!$M$29/Page5i_SANS_OBJECT!$K$29&gt;INDEX(Max_Table,L1771)))</f>
        <v>0</v>
      </c>
      <c r="D1771" s="1454" t="b">
        <f>OR(AND(Page5i_SANS_OBJECT!$L29&lt;&gt;0,Page5i_SANS_OBJECT!$M29=0),AND(Page5i_SANS_OBJECT!$M29&lt;&gt;0,Page5i_SANS_OBJECT!$L29=0))</f>
        <v>0</v>
      </c>
      <c r="E1771" s="1454" t="b">
        <f>IF(Page5i_SANS_OBJECT!$K$29=0,FALSE,OR(Page5i_SANS_OBJECT!$M$29/Page5i_SANS_OBJECT!$K$29&lt;INDEX(Min_Table,M1771),Page5i_SANS_OBJECT!$M$29/Page5i_SANS_OBJECT!$K$29&gt;INDEX(Max_Table,M1771)))</f>
        <v>0</v>
      </c>
      <c r="F1771" s="1454"/>
      <c r="G1771" s="1444" t="str">
        <f t="shared" si="238"/>
        <v/>
      </c>
      <c r="H1771" s="1447" t="str">
        <f>IF(C1771=TRUE,Comments!$B$20&amp;DOLLAR(INDEX(Min_Table,L1771),0)&amp;Comments!$B$18&amp;DOLLAR(INDEX(Max_Table,L1771),0)&amp;Comments!$B$19&amp;DOLLAR(Page5i_SANS_OBJECT!$M$29/Page5i_SANS_OBJECT!$K$29,0),"")</f>
        <v/>
      </c>
      <c r="I1771" s="1446" t="str">
        <f>IF(D1771=TRUE,Comments!$B$24,"")</f>
        <v/>
      </c>
      <c r="J1771" s="1446" t="str">
        <f>IF(E1771=TRUE,Comments!$B$22&amp;DOLLAR(INDEX(Min_Table,M1771),0)&amp;Comments!$B$18&amp;DOLLAR(INDEX(Max_Table,M1771),0)&amp;Comments!$B$19&amp;IFERROR(DOLLAR(IFERROR(Page5i_SANS_OBJECT!$M29/Page5i_SANS_OBJECT!$K29,0),0),0),"")</f>
        <v/>
      </c>
      <c r="K1771" s="1452"/>
      <c r="L1771" s="611">
        <f>ROW(OR_VEH!$A$667)</f>
        <v>667</v>
      </c>
      <c r="M1771" s="611">
        <f>ROW(OR_VEH!$A$428)</f>
        <v>428</v>
      </c>
      <c r="N1771" s="611" t="str">
        <f>"CPTE # "&amp;Page5i_SANS_OBJECT!$E$29&amp;"  "&amp;Page5i_SANS_OBJECT!$C$29&amp;" - COÛT DES VENTES - AAD"</f>
        <v>CPTE # 424I  NE PAS UTILISER - COÛT DES VENTES - AAD</v>
      </c>
      <c r="O1771" s="611" t="str">
        <f t="shared" si="237"/>
        <v/>
      </c>
      <c r="P1771" s="611" t="str">
        <f t="shared" si="239"/>
        <v>Page5i_SANS_OBJECT!M</v>
      </c>
      <c r="Q1771" s="611">
        <f t="shared" si="240"/>
        <v>29</v>
      </c>
      <c r="R1771" s="1447">
        <f t="shared" ca="1" si="241"/>
        <v>0</v>
      </c>
      <c r="S1771" s="1447">
        <f t="shared" ca="1" si="242"/>
        <v>0</v>
      </c>
      <c r="T1771" s="611">
        <v>22</v>
      </c>
      <c r="V1771" s="2557" t="str">
        <f t="shared" ca="1" si="244"/>
        <v/>
      </c>
      <c r="W1771" s="611" t="str">
        <f t="shared" ca="1" si="243"/>
        <v>Page5i_SANS_OBJECT, Ligne 26 [Page5i_SANS_OBJECT!M29]  -</v>
      </c>
    </row>
    <row r="1772" spans="1:23">
      <c r="A1772" s="1443" t="str">
        <f>celladdr(Page5i_SANS_OBJECT!M30)</f>
        <v>Page5i_SANS_OBJECT!M30</v>
      </c>
      <c r="B1772" s="1456" t="s">
        <v>1086</v>
      </c>
      <c r="C1772" s="1451" t="b">
        <f>IF(Page5i_SANS_OBJECT!$K$30=0,FALSE,OR(Page5i_SANS_OBJECT!$M$30/Page5i_SANS_OBJECT!$K$30&lt;INDEX(Min_Table,L1772),Page5i_SANS_OBJECT!$M$30/Page5i_SANS_OBJECT!$K$30&gt;INDEX(Max_Table,L1772)))</f>
        <v>0</v>
      </c>
      <c r="D1772" s="1454" t="b">
        <f>OR(AND(Page5i_SANS_OBJECT!$L30&lt;&gt;0,Page5i_SANS_OBJECT!$M30=0),AND(Page5i_SANS_OBJECT!$M30&lt;&gt;0,Page5i_SANS_OBJECT!$L30=0))</f>
        <v>0</v>
      </c>
      <c r="E1772" s="1454" t="b">
        <f>IF(Page5i_SANS_OBJECT!$K$30=0,FALSE,OR(Page5i_SANS_OBJECT!$M$30/Page5i_SANS_OBJECT!$K$30&lt;INDEX(Min_Table,M1772),Page5i_SANS_OBJECT!$M$30/Page5i_SANS_OBJECT!$K$30&gt;INDEX(Max_Table,M1772)))</f>
        <v>0</v>
      </c>
      <c r="F1772" s="1454"/>
      <c r="G1772" s="1444" t="str">
        <f t="shared" si="238"/>
        <v/>
      </c>
      <c r="H1772" s="1447" t="str">
        <f>IF(C1772=TRUE,Comments!$B$20&amp;DOLLAR(INDEX(Min_Table,L1772),0)&amp;Comments!$B$18&amp;DOLLAR(INDEX(Max_Table,L1772),0)&amp;Comments!$B$19&amp;DOLLAR(Page5i_SANS_OBJECT!$M$30/Page5i_SANS_OBJECT!$K$30,0),"")</f>
        <v/>
      </c>
      <c r="I1772" s="1446" t="str">
        <f>IF(D1772=TRUE,Comments!$B$24,"")</f>
        <v/>
      </c>
      <c r="J1772" s="1446" t="str">
        <f>IF(E1772=TRUE,Comments!$B$22&amp;DOLLAR(INDEX(Min_Table,M1772),0)&amp;Comments!$B$18&amp;DOLLAR(INDEX(Max_Table,M1772),0)&amp;Comments!$B$19&amp;IFERROR(DOLLAR(IFERROR(Page5i_SANS_OBJECT!$M30/Page5i_SANS_OBJECT!$K30,0),0),0),"")</f>
        <v/>
      </c>
      <c r="K1772" s="1452"/>
      <c r="L1772" s="611">
        <f>ROW(OR_VEH!$A$667)</f>
        <v>667</v>
      </c>
      <c r="M1772" s="611">
        <f>ROW(OR_VEH!$A$429)</f>
        <v>429</v>
      </c>
      <c r="N1772" s="611" t="str">
        <f>"CPTE # "&amp;Page5i_SANS_OBJECT!$E$30&amp;"  "&amp;Page5i_SANS_OBJECT!$C$30&amp;" - COÛT DES VENTES - AAD"</f>
        <v>CPTE # 425I  NE PAS UTILISER - COÛT DES VENTES - AAD</v>
      </c>
      <c r="O1772" s="611" t="str">
        <f t="shared" si="237"/>
        <v/>
      </c>
      <c r="P1772" s="611" t="str">
        <f t="shared" si="239"/>
        <v>Page5i_SANS_OBJECT!M</v>
      </c>
      <c r="Q1772" s="611">
        <f t="shared" si="240"/>
        <v>30</v>
      </c>
      <c r="R1772" s="1447">
        <f t="shared" ca="1" si="241"/>
        <v>0</v>
      </c>
      <c r="S1772" s="1447">
        <f t="shared" ca="1" si="242"/>
        <v>0</v>
      </c>
      <c r="T1772" s="611">
        <v>22</v>
      </c>
      <c r="V1772" s="2557" t="str">
        <f t="shared" ca="1" si="244"/>
        <v/>
      </c>
      <c r="W1772" s="611" t="str">
        <f t="shared" ca="1" si="243"/>
        <v>Page5i_SANS_OBJECT, Ligne 27 [Page5i_SANS_OBJECT!M30]  -</v>
      </c>
    </row>
    <row r="1773" spans="1:23">
      <c r="A1773" s="1443" t="str">
        <f>celladdr(Page5i_SANS_OBJECT!M31)</f>
        <v>Page5i_SANS_OBJECT!M31</v>
      </c>
      <c r="B1773" s="1456" t="s">
        <v>1086</v>
      </c>
      <c r="C1773" s="1451" t="b">
        <f>IF(Page5i_SANS_OBJECT!$K$31=0,FALSE,OR(Page5i_SANS_OBJECT!$M$31/Page5i_SANS_OBJECT!$K$31&lt;INDEX(Min_Table,L1773),Page5i_SANS_OBJECT!$M$31/Page5i_SANS_OBJECT!$K$31&gt;INDEX(Max_Table,L1773)))</f>
        <v>0</v>
      </c>
      <c r="D1773" s="1454" t="b">
        <f>OR(AND(Page5i_SANS_OBJECT!$L31&lt;&gt;0,Page5i_SANS_OBJECT!$M31=0),AND(Page5i_SANS_OBJECT!$M31&lt;&gt;0,Page5i_SANS_OBJECT!$L31=0))</f>
        <v>0</v>
      </c>
      <c r="E1773" s="1454" t="b">
        <f>IF(Page5i_SANS_OBJECT!$K$31=0,FALSE,OR(Page5i_SANS_OBJECT!$M$31/Page5i_SANS_OBJECT!$K$31&lt;INDEX(Min_Table,M1773),Page5i_SANS_OBJECT!$M$31/Page5i_SANS_OBJECT!$K$31&gt;INDEX(Max_Table,M1773)))</f>
        <v>0</v>
      </c>
      <c r="F1773" s="1454"/>
      <c r="G1773" s="1444" t="str">
        <f t="shared" si="238"/>
        <v/>
      </c>
      <c r="H1773" s="1447" t="str">
        <f>IF(C1773=TRUE,Comments!$B$20&amp;DOLLAR(INDEX(Min_Table,L1773),0)&amp;Comments!$B$18&amp;DOLLAR(INDEX(Max_Table,L1773),0)&amp;Comments!$B$19&amp;DOLLAR(Page5i_SANS_OBJECT!$M$31/Page5i_SANS_OBJECT!$K$31,0),"")</f>
        <v/>
      </c>
      <c r="I1773" s="1446" t="str">
        <f>IF(D1773=TRUE,Comments!$B$24,"")</f>
        <v/>
      </c>
      <c r="J1773" s="1446" t="str">
        <f>IF(E1773=TRUE,Comments!$B$22&amp;DOLLAR(INDEX(Min_Table,M1773),0)&amp;Comments!$B$18&amp;DOLLAR(INDEX(Max_Table,M1773),0)&amp;Comments!$B$19&amp;IFERROR(DOLLAR(IFERROR(Page5i_SANS_OBJECT!$M31/Page5i_SANS_OBJECT!$K31,0),0),0),"")</f>
        <v/>
      </c>
      <c r="K1773" s="1452"/>
      <c r="L1773" s="611">
        <f>ROW(OR_VEH!$A$667)</f>
        <v>667</v>
      </c>
      <c r="M1773" s="611">
        <f>ROW(OR_VEH!$A$430)</f>
        <v>430</v>
      </c>
      <c r="N1773" s="611" t="str">
        <f>"CPTE # "&amp;Page5i_SANS_OBJECT!$E$31&amp;"  "&amp;Page5i_SANS_OBJECT!$C$31&amp;" - COÛT DES VENTES - AAD"</f>
        <v>CPTE # 426I  NE PAS UTILISER - COÛT DES VENTES - AAD</v>
      </c>
      <c r="O1773" s="611" t="str">
        <f t="shared" si="237"/>
        <v/>
      </c>
      <c r="P1773" s="611" t="str">
        <f t="shared" si="239"/>
        <v>Page5i_SANS_OBJECT!M</v>
      </c>
      <c r="Q1773" s="611">
        <f t="shared" si="240"/>
        <v>31</v>
      </c>
      <c r="R1773" s="1447">
        <f t="shared" ca="1" si="241"/>
        <v>0</v>
      </c>
      <c r="S1773" s="1447">
        <f t="shared" ca="1" si="242"/>
        <v>0</v>
      </c>
      <c r="T1773" s="611">
        <v>22</v>
      </c>
      <c r="V1773" s="2557" t="str">
        <f t="shared" ca="1" si="244"/>
        <v/>
      </c>
      <c r="W1773" s="611" t="str">
        <f t="shared" ca="1" si="243"/>
        <v>Page5i_SANS_OBJECT, Ligne 28 [Page5i_SANS_OBJECT!M31]  -</v>
      </c>
    </row>
    <row r="1774" spans="1:23">
      <c r="A1774" s="1443" t="str">
        <f>celladdr(Page5i_SANS_OBJECT!M32)</f>
        <v>Page5i_SANS_OBJECT!M32</v>
      </c>
      <c r="B1774" s="1456" t="s">
        <v>1086</v>
      </c>
      <c r="C1774" s="1451" t="b">
        <f>IF(Page5i_SANS_OBJECT!$K$32=0,FALSE,OR(Page5i_SANS_OBJECT!$M$32/Page5i_SANS_OBJECT!$K$32&lt;INDEX(Min_Table,L1774),Page5i_SANS_OBJECT!$M$32/Page5i_SANS_OBJECT!$K$32&gt;INDEX(Max_Table,L1774)))</f>
        <v>0</v>
      </c>
      <c r="D1774" s="1454" t="b">
        <f>OR(AND(Page5i_SANS_OBJECT!$L32&lt;&gt;0,Page5i_SANS_OBJECT!$M32=0),AND(Page5i_SANS_OBJECT!$M32&lt;&gt;0,Page5i_SANS_OBJECT!$L32=0))</f>
        <v>0</v>
      </c>
      <c r="E1774" s="1454" t="b">
        <f>IF(Page5i_SANS_OBJECT!$K$32=0,FALSE,OR(Page5i_SANS_OBJECT!$M$32/Page5i_SANS_OBJECT!$K$32&lt;INDEX(Min_Table,M1774),Page5i_SANS_OBJECT!$M$32/Page5i_SANS_OBJECT!$K$32&gt;INDEX(Max_Table,M1774)))</f>
        <v>0</v>
      </c>
      <c r="F1774" s="1454"/>
      <c r="G1774" s="1444" t="str">
        <f t="shared" si="238"/>
        <v/>
      </c>
      <c r="H1774" s="1447" t="str">
        <f>IF(C1774=TRUE,Comments!$B$20&amp;DOLLAR(INDEX(Min_Table,L1774),0)&amp;Comments!$B$18&amp;DOLLAR(INDEX(Max_Table,L1774),0)&amp;Comments!$B$19&amp;DOLLAR(Page5i_SANS_OBJECT!$M$32/Page5i_SANS_OBJECT!$K$32,0),"")</f>
        <v/>
      </c>
      <c r="I1774" s="1446" t="str">
        <f>IF(D1774=TRUE,Comments!$B$24,"")</f>
        <v/>
      </c>
      <c r="J1774" s="1446" t="str">
        <f>IF(E1774=TRUE,Comments!$B$22&amp;DOLLAR(INDEX(Min_Table,M1774),0)&amp;Comments!$B$18&amp;DOLLAR(INDEX(Max_Table,M1774),0)&amp;Comments!$B$19&amp;IFERROR(DOLLAR(IFERROR(Page5i_SANS_OBJECT!$M32/Page5i_SANS_OBJECT!$K32,0),0),0),"")</f>
        <v/>
      </c>
      <c r="K1774" s="1452"/>
      <c r="L1774" s="611">
        <f>ROW(OR_VEH!$A$667)</f>
        <v>667</v>
      </c>
      <c r="M1774" s="611">
        <f>ROW(OR_VEH!$A$431)</f>
        <v>431</v>
      </c>
      <c r="N1774" s="611" t="str">
        <f>"CPTE # "&amp;Page5i_SANS_OBJECT!$E$32&amp;"  "&amp;Page5i_SANS_OBJECT!$C$32&amp;" - COÛT DES VENTES - AAD"</f>
        <v>CPTE # 427I  NE PAS UTILISER - COÛT DES VENTES - AAD</v>
      </c>
      <c r="O1774" s="611" t="str">
        <f t="shared" si="237"/>
        <v/>
      </c>
      <c r="P1774" s="611" t="str">
        <f t="shared" si="239"/>
        <v>Page5i_SANS_OBJECT!M</v>
      </c>
      <c r="Q1774" s="611">
        <f t="shared" si="240"/>
        <v>32</v>
      </c>
      <c r="R1774" s="1447">
        <f t="shared" ca="1" si="241"/>
        <v>0</v>
      </c>
      <c r="S1774" s="1447">
        <f t="shared" ca="1" si="242"/>
        <v>0</v>
      </c>
      <c r="T1774" s="611">
        <v>22</v>
      </c>
      <c r="V1774" s="2557" t="str">
        <f t="shared" ca="1" si="244"/>
        <v/>
      </c>
      <c r="W1774" s="611" t="str">
        <f t="shared" ca="1" si="243"/>
        <v>Page5i_SANS_OBJECT, Ligne 29 [Page5i_SANS_OBJECT!M32]  -</v>
      </c>
    </row>
    <row r="1775" spans="1:23">
      <c r="A1775" s="1443" t="str">
        <f>celladdr(Page5i_SANS_OBJECT!M33)</f>
        <v>Page5i_SANS_OBJECT!M33</v>
      </c>
      <c r="B1775" s="1456" t="s">
        <v>1086</v>
      </c>
      <c r="C1775" s="1451" t="b">
        <f>IF(Page5i_SANS_OBJECT!$K$33=0,FALSE,OR(Page5i_SANS_OBJECT!$M$33/Page5i_SANS_OBJECT!$K$33&lt;INDEX(Min_Table,L1775),Page5i_SANS_OBJECT!$M$33/Page5i_SANS_OBJECT!$K$33&gt;INDEX(Max_Table,L1775)))</f>
        <v>0</v>
      </c>
      <c r="D1775" s="1454" t="b">
        <f>OR(AND(Page5i_SANS_OBJECT!$L33&lt;&gt;0,Page5i_SANS_OBJECT!$M33=0),AND(Page5i_SANS_OBJECT!$M33&lt;&gt;0,Page5i_SANS_OBJECT!$L33=0))</f>
        <v>0</v>
      </c>
      <c r="E1775" s="1454" t="b">
        <f>IF(Page5i_SANS_OBJECT!$K$33=0,FALSE,OR(Page5i_SANS_OBJECT!$M$33/Page5i_SANS_OBJECT!$K$33&lt;INDEX(Min_Table,M1775),Page5i_SANS_OBJECT!$M$33/Page5i_SANS_OBJECT!$K$33&gt;INDEX(Max_Table,M1775)))</f>
        <v>0</v>
      </c>
      <c r="F1775" s="1454"/>
      <c r="G1775" s="1444" t="str">
        <f t="shared" si="238"/>
        <v/>
      </c>
      <c r="H1775" s="1447" t="str">
        <f>IF(C1775=TRUE,Comments!$B$20&amp;DOLLAR(INDEX(Min_Table,L1775),0)&amp;Comments!$B$18&amp;DOLLAR(INDEX(Max_Table,L1775),0)&amp;Comments!$B$19&amp;DOLLAR(Page5i_SANS_OBJECT!$M$33/Page5i_SANS_OBJECT!$K$33,0),"")</f>
        <v/>
      </c>
      <c r="I1775" s="1446" t="str">
        <f>IF(D1775=TRUE,Comments!$B$24,"")</f>
        <v/>
      </c>
      <c r="J1775" s="1446" t="str">
        <f>IF(E1775=TRUE,Comments!$B$22&amp;DOLLAR(INDEX(Min_Table,M1775),0)&amp;Comments!$B$18&amp;DOLLAR(INDEX(Max_Table,M1775),0)&amp;Comments!$B$19&amp;IFERROR(DOLLAR(IFERROR(Page5i_SANS_OBJECT!$M33/Page5i_SANS_OBJECT!$K33,0),0),0),"")</f>
        <v/>
      </c>
      <c r="K1775" s="1452"/>
      <c r="L1775" s="611">
        <f>ROW(OR_VEH!$A$667)</f>
        <v>667</v>
      </c>
      <c r="M1775" s="611">
        <f>ROW(OR_VEH!$A$432)</f>
        <v>432</v>
      </c>
      <c r="N1775" s="611" t="str">
        <f>"CPTE # "&amp;Page5i_SANS_OBJECT!$E$33&amp;"  "&amp;Page5i_SANS_OBJECT!$C$33&amp;" - COÛT DES VENTES - AAD"</f>
        <v>CPTE # 428I  NE PAS UTILISER - COÛT DES VENTES - AAD</v>
      </c>
      <c r="O1775" s="611" t="str">
        <f t="shared" si="237"/>
        <v/>
      </c>
      <c r="P1775" s="611" t="str">
        <f t="shared" si="239"/>
        <v>Page5i_SANS_OBJECT!M</v>
      </c>
      <c r="Q1775" s="611">
        <f t="shared" si="240"/>
        <v>33</v>
      </c>
      <c r="R1775" s="1447">
        <f t="shared" ca="1" si="241"/>
        <v>0</v>
      </c>
      <c r="S1775" s="1447">
        <f t="shared" ca="1" si="242"/>
        <v>0</v>
      </c>
      <c r="T1775" s="611">
        <v>22</v>
      </c>
      <c r="V1775" s="2557" t="str">
        <f t="shared" ca="1" si="244"/>
        <v/>
      </c>
      <c r="W1775" s="611" t="str">
        <f t="shared" ca="1" si="243"/>
        <v>Page5i_SANS_OBJECT, Ligne 30 [Page5i_SANS_OBJECT!M33]  -</v>
      </c>
    </row>
    <row r="1776" spans="1:23">
      <c r="A1776" s="1443" t="str">
        <f>celladdr(Page5i_SANS_OBJECT!M34)</f>
        <v>Page5i_SANS_OBJECT!M34</v>
      </c>
      <c r="B1776" s="1456" t="s">
        <v>1086</v>
      </c>
      <c r="C1776" s="1451" t="b">
        <f>IF(Page5i_SANS_OBJECT!$K$34=0,FALSE,OR(Page5i_SANS_OBJECT!$M$34/Page5i_SANS_OBJECT!$K$34&lt;INDEX(Min_Table,L1776),Page5i_SANS_OBJECT!$M$34/Page5i_SANS_OBJECT!$K$34&gt;INDEX(Max_Table,L1776)))</f>
        <v>0</v>
      </c>
      <c r="D1776" s="1454" t="b">
        <f>OR(AND(Page5i_SANS_OBJECT!$L34&lt;&gt;0,Page5i_SANS_OBJECT!$M34=0),AND(Page5i_SANS_OBJECT!$M34&lt;&gt;0,Page5i_SANS_OBJECT!$L34=0))</f>
        <v>0</v>
      </c>
      <c r="E1776" s="1454" t="b">
        <f>IF(Page5i_SANS_OBJECT!$K$34=0,FALSE,OR(Page5i_SANS_OBJECT!$M$34/Page5i_SANS_OBJECT!$K$34&lt;INDEX(Min_Table,M1776),Page5i_SANS_OBJECT!$M$34/Page5i_SANS_OBJECT!$K$34&gt;INDEX(Max_Table,M1776)))</f>
        <v>0</v>
      </c>
      <c r="F1776" s="1454"/>
      <c r="G1776" s="1444" t="str">
        <f t="shared" si="238"/>
        <v/>
      </c>
      <c r="H1776" s="1447" t="str">
        <f>IF(C1776=TRUE,Comments!$B$20&amp;DOLLAR(INDEX(Min_Table,L1776),0)&amp;Comments!$B$18&amp;DOLLAR(INDEX(Max_Table,L1776),0)&amp;Comments!$B$19&amp;DOLLAR(Page5i_SANS_OBJECT!$M$34/Page5i_SANS_OBJECT!$K$34,0),"")</f>
        <v/>
      </c>
      <c r="I1776" s="1446" t="str">
        <f>IF(D1776=TRUE,Comments!$B$24,"")</f>
        <v/>
      </c>
      <c r="J1776" s="1446" t="str">
        <f>IF(E1776=TRUE,Comments!$B$22&amp;DOLLAR(INDEX(Min_Table,M1776),0)&amp;Comments!$B$18&amp;DOLLAR(INDEX(Max_Table,M1776),0)&amp;Comments!$B$19&amp;IFERROR(DOLLAR(IFERROR(Page5i_SANS_OBJECT!$M34/Page5i_SANS_OBJECT!$K34,0),0),0),"")</f>
        <v/>
      </c>
      <c r="K1776" s="1452"/>
      <c r="L1776" s="611">
        <f>ROW(OR_VEH!$A$667)</f>
        <v>667</v>
      </c>
      <c r="M1776" s="611">
        <f>ROW(OR_VEH!$A$433)</f>
        <v>433</v>
      </c>
      <c r="N1776" s="611" t="str">
        <f>"CPTE # "&amp;Page5i_SANS_OBJECT!$E$34&amp;"  "&amp;Page5i_SANS_OBJECT!$C$34&amp;" - COÛT DES VENTES - AAD"</f>
        <v>CPTE # 429I  NE PAS UTILISER - COÛT DES VENTES - AAD</v>
      </c>
      <c r="O1776" s="611" t="str">
        <f t="shared" si="237"/>
        <v/>
      </c>
      <c r="P1776" s="611" t="str">
        <f t="shared" si="239"/>
        <v>Page5i_SANS_OBJECT!M</v>
      </c>
      <c r="Q1776" s="611">
        <f t="shared" si="240"/>
        <v>34</v>
      </c>
      <c r="R1776" s="1447">
        <f t="shared" ca="1" si="241"/>
        <v>0</v>
      </c>
      <c r="S1776" s="1447">
        <f t="shared" ca="1" si="242"/>
        <v>0</v>
      </c>
      <c r="T1776" s="611">
        <v>22</v>
      </c>
      <c r="V1776" s="2557" t="str">
        <f t="shared" ca="1" si="244"/>
        <v/>
      </c>
      <c r="W1776" s="611" t="str">
        <f t="shared" ca="1" si="243"/>
        <v>Page5i_SANS_OBJECT, Ligne 31 [Page5i_SANS_OBJECT!M34]  -</v>
      </c>
    </row>
    <row r="1777" spans="1:23">
      <c r="A1777" s="1443" t="str">
        <f>celladdr(Page5i_SANS_OBJECT!M35)</f>
        <v>Page5i_SANS_OBJECT!M35</v>
      </c>
      <c r="B1777" s="1456" t="s">
        <v>1086</v>
      </c>
      <c r="C1777" s="1451" t="b">
        <f>IF(Page5i_SANS_OBJECT!$K$35=0,FALSE,OR(Page5i_SANS_OBJECT!$M$35/Page5i_SANS_OBJECT!$K$35&lt;INDEX(Min_Table,L1777),Page5i_SANS_OBJECT!$M$35/Page5i_SANS_OBJECT!$K$35&gt;INDEX(Max_Table,L1777)))</f>
        <v>0</v>
      </c>
      <c r="D1777" s="1454" t="b">
        <f>OR(AND(Page5i_SANS_OBJECT!$L35&lt;&gt;0,Page5i_SANS_OBJECT!$M35=0),AND(Page5i_SANS_OBJECT!$M35&lt;&gt;0,Page5i_SANS_OBJECT!$L35=0))</f>
        <v>0</v>
      </c>
      <c r="E1777" s="1454" t="b">
        <f>IF(Page5i_SANS_OBJECT!$K$35=0,FALSE,OR(Page5i_SANS_OBJECT!$M$35/Page5i_SANS_OBJECT!$K$35&lt;INDEX(Min_Table,M1777),Page5i_SANS_OBJECT!$M$35/Page5i_SANS_OBJECT!$K$35&gt;INDEX(Max_Table,M1777)))</f>
        <v>0</v>
      </c>
      <c r="F1777" s="1454"/>
      <c r="G1777" s="1444" t="str">
        <f t="shared" si="238"/>
        <v/>
      </c>
      <c r="H1777" s="1447" t="str">
        <f>IF(C1777=TRUE,Comments!$B$20&amp;DOLLAR(INDEX(Min_Table,L1777),0)&amp;Comments!$B$18&amp;DOLLAR(INDEX(Max_Table,L1777),0)&amp;Comments!$B$19&amp;DOLLAR(Page5i_SANS_OBJECT!$M$35/Page5i_SANS_OBJECT!$K$35,0),"")</f>
        <v/>
      </c>
      <c r="I1777" s="1446" t="str">
        <f>IF(D1777=TRUE,Comments!$B$24,"")</f>
        <v/>
      </c>
      <c r="J1777" s="1446" t="str">
        <f>IF(E1777=TRUE,Comments!$B$22&amp;DOLLAR(INDEX(Min_Table,M1777),0)&amp;Comments!$B$18&amp;DOLLAR(INDEX(Max_Table,M1777),0)&amp;Comments!$B$19&amp;IFERROR(DOLLAR(IFERROR(Page5i_SANS_OBJECT!$M35/Page5i_SANS_OBJECT!$K35,0),0),0),"")</f>
        <v/>
      </c>
      <c r="K1777" s="1452"/>
      <c r="L1777" s="611">
        <f>ROW(OR_VEH!$A$667)</f>
        <v>667</v>
      </c>
      <c r="M1777" s="611">
        <f>ROW(OR_VEH!$A$434)</f>
        <v>434</v>
      </c>
      <c r="N1777" s="611" t="str">
        <f>"CPTE # "&amp;Page5i_SANS_OBJECT!$E$35&amp;"  "&amp;Page5i_SANS_OBJECT!$C$35&amp;" - COÛT DES VENTES - AAD"</f>
        <v>CPTE # 430I  NE PAS UTILISER - COÛT DES VENTES - AAD</v>
      </c>
      <c r="O1777" s="611" t="str">
        <f t="shared" si="237"/>
        <v/>
      </c>
      <c r="P1777" s="611" t="str">
        <f t="shared" si="239"/>
        <v>Page5i_SANS_OBJECT!M</v>
      </c>
      <c r="Q1777" s="611">
        <f t="shared" si="240"/>
        <v>35</v>
      </c>
      <c r="R1777" s="1447">
        <f t="shared" ca="1" si="241"/>
        <v>0</v>
      </c>
      <c r="S1777" s="1447">
        <f t="shared" ca="1" si="242"/>
        <v>0</v>
      </c>
      <c r="T1777" s="611">
        <v>22</v>
      </c>
      <c r="V1777" s="2557" t="str">
        <f t="shared" ca="1" si="244"/>
        <v/>
      </c>
      <c r="W1777" s="611" t="str">
        <f t="shared" ca="1" si="243"/>
        <v>Page5i_SANS_OBJECT, Ligne 32 [Page5i_SANS_OBJECT!M35]  -</v>
      </c>
    </row>
    <row r="1778" spans="1:23">
      <c r="A1778" s="1443" t="str">
        <f>celladdr(Page5i_SANS_OBJECT!M36)</f>
        <v>Page5i_SANS_OBJECT!M36</v>
      </c>
      <c r="B1778" s="1456" t="s">
        <v>1086</v>
      </c>
      <c r="C1778" s="1451" t="b">
        <f>IF(Page5i_SANS_OBJECT!$K$36=0,FALSE,OR(Page5i_SANS_OBJECT!$M$36/Page5i_SANS_OBJECT!$K$36&lt;INDEX(Min_Table,L1778),Page5i_SANS_OBJECT!$M$36/Page5i_SANS_OBJECT!$K$36&gt;INDEX(Max_Table,L1778)))</f>
        <v>0</v>
      </c>
      <c r="D1778" s="1454" t="b">
        <f>OR(AND(Page5i_SANS_OBJECT!$L36&lt;&gt;0,Page5i_SANS_OBJECT!$M36=0),AND(Page5i_SANS_OBJECT!$M36&lt;&gt;0,Page5i_SANS_OBJECT!$L36=0))</f>
        <v>0</v>
      </c>
      <c r="E1778" s="1454" t="b">
        <f>IF(Page5i_SANS_OBJECT!$K$36=0,FALSE,OR(Page5i_SANS_OBJECT!$M$36/Page5i_SANS_OBJECT!$K$36&lt;INDEX(Min_Table,M1778),Page5i_SANS_OBJECT!$M$36/Page5i_SANS_OBJECT!$K$36&gt;INDEX(Max_Table,M1778)))</f>
        <v>0</v>
      </c>
      <c r="F1778" s="1454"/>
      <c r="G1778" s="1444" t="str">
        <f t="shared" si="238"/>
        <v/>
      </c>
      <c r="H1778" s="1447" t="str">
        <f>IF(C1778=TRUE,Comments!$B$20&amp;DOLLAR(INDEX(Min_Table,L1778),0)&amp;Comments!$B$18&amp;DOLLAR(INDEX(Max_Table,L1778),0)&amp;Comments!$B$19&amp;DOLLAR(Page5i_SANS_OBJECT!$M$36/Page5i_SANS_OBJECT!$K$36,0),"")</f>
        <v/>
      </c>
      <c r="I1778" s="1446" t="str">
        <f>IF(D1778=TRUE,Comments!$B$24,"")</f>
        <v/>
      </c>
      <c r="J1778" s="1446" t="str">
        <f>IF(E1778=TRUE,Comments!$B$22&amp;DOLLAR(INDEX(Min_Table,M1778),0)&amp;Comments!$B$18&amp;DOLLAR(INDEX(Max_Table,M1778),0)&amp;Comments!$B$19&amp;IFERROR(DOLLAR(IFERROR(Page5i_SANS_OBJECT!$M36/Page5i_SANS_OBJECT!$K36,0),0),0),"")</f>
        <v/>
      </c>
      <c r="K1778" s="1452"/>
      <c r="L1778" s="611">
        <f>ROW(OR_VEH!$A$667)</f>
        <v>667</v>
      </c>
      <c r="M1778" s="611">
        <f>ROW(OR_VEH!$A$435)</f>
        <v>435</v>
      </c>
      <c r="N1778" s="611" t="str">
        <f>"CPTE # "&amp;Page5i_SANS_OBJECT!$E$36&amp;"  "&amp;Page5i_SANS_OBJECT!$C$36&amp;" - COÛT DES VENTES - AAD"</f>
        <v>CPTE # 431I  NE PAS UTILISER - COÛT DES VENTES - AAD</v>
      </c>
      <c r="O1778" s="611" t="str">
        <f t="shared" si="237"/>
        <v/>
      </c>
      <c r="P1778" s="611" t="str">
        <f t="shared" si="239"/>
        <v>Page5i_SANS_OBJECT!M</v>
      </c>
      <c r="Q1778" s="611">
        <f t="shared" si="240"/>
        <v>36</v>
      </c>
      <c r="R1778" s="1447">
        <f t="shared" ca="1" si="241"/>
        <v>0</v>
      </c>
      <c r="S1778" s="1447">
        <f t="shared" ca="1" si="242"/>
        <v>0</v>
      </c>
      <c r="T1778" s="611">
        <v>22</v>
      </c>
      <c r="V1778" s="2557" t="str">
        <f t="shared" ca="1" si="244"/>
        <v/>
      </c>
      <c r="W1778" s="611" t="str">
        <f t="shared" ca="1" si="243"/>
        <v>Page5i_SANS_OBJECT, Ligne 33 [Page5i_SANS_OBJECT!M36]  -</v>
      </c>
    </row>
    <row r="1779" spans="1:23">
      <c r="A1779" s="1443" t="str">
        <f>celladdr(Page5i_SANS_OBJECT!M37)</f>
        <v>Page5i_SANS_OBJECT!M37</v>
      </c>
      <c r="B1779" s="1456" t="s">
        <v>1086</v>
      </c>
      <c r="C1779" s="1451" t="b">
        <f>IF(Page5i_SANS_OBJECT!$K$37=0,FALSE,OR(Page5i_SANS_OBJECT!$M$37/Page5i_SANS_OBJECT!$K$37&lt;INDEX(Min_Table,L1779),Page5i_SANS_OBJECT!$M$37/Page5i_SANS_OBJECT!$K$37&gt;INDEX(Max_Table,L1779)))</f>
        <v>0</v>
      </c>
      <c r="D1779" s="1454" t="b">
        <f>OR(AND(Page5i_SANS_OBJECT!$L37&lt;&gt;0,Page5i_SANS_OBJECT!$M37=0),AND(Page5i_SANS_OBJECT!$M37&lt;&gt;0,Page5i_SANS_OBJECT!$L37=0))</f>
        <v>0</v>
      </c>
      <c r="E1779" s="1454" t="b">
        <f>IF(Page5i_SANS_OBJECT!$K$37=0,FALSE,OR(Page5i_SANS_OBJECT!$M$37/Page5i_SANS_OBJECT!$K$37&lt;INDEX(Min_Table,M1779),Page5i_SANS_OBJECT!$M$37/Page5i_SANS_OBJECT!$K$37&gt;INDEX(Max_Table,M1779)))</f>
        <v>0</v>
      </c>
      <c r="F1779" s="1454"/>
      <c r="G1779" s="1444" t="str">
        <f t="shared" si="238"/>
        <v/>
      </c>
      <c r="H1779" s="1447" t="str">
        <f>IF(C1779=TRUE,Comments!$B$20&amp;DOLLAR(INDEX(Min_Table,L1779),0)&amp;Comments!$B$18&amp;DOLLAR(INDEX(Max_Table,L1779),0)&amp;Comments!$B$19&amp;DOLLAR(Page5i_SANS_OBJECT!$M$37/Page5i_SANS_OBJECT!$K$37,0),"")</f>
        <v/>
      </c>
      <c r="I1779" s="1446" t="str">
        <f>IF(D1779=TRUE,Comments!$B$24,"")</f>
        <v/>
      </c>
      <c r="J1779" s="1446" t="str">
        <f>IF(E1779=TRUE,Comments!$B$22&amp;DOLLAR(INDEX(Min_Table,M1779),0)&amp;Comments!$B$18&amp;DOLLAR(INDEX(Max_Table,M1779),0)&amp;Comments!$B$19&amp;IFERROR(DOLLAR(IFERROR(Page5i_SANS_OBJECT!$M37/Page5i_SANS_OBJECT!$K37,0),0),0),"")</f>
        <v/>
      </c>
      <c r="K1779" s="1452"/>
      <c r="L1779" s="611">
        <f>ROW(OR_VEH!$A$667)</f>
        <v>667</v>
      </c>
      <c r="M1779" s="611">
        <f>ROW(OR_VEH!$A$436)</f>
        <v>436</v>
      </c>
      <c r="N1779" s="611" t="str">
        <f>"CPTE # "&amp;Page5i_SANS_OBJECT!$E$37&amp;"  "&amp;Page5i_SANS_OBJECT!$C$37&amp;" - COÛT DES VENTES - AAD"</f>
        <v>CPTE # 432I  NE PAS UTILISER - COÛT DES VENTES - AAD</v>
      </c>
      <c r="O1779" s="611" t="str">
        <f t="shared" si="237"/>
        <v/>
      </c>
      <c r="P1779" s="611" t="str">
        <f t="shared" si="239"/>
        <v>Page5i_SANS_OBJECT!M</v>
      </c>
      <c r="Q1779" s="611">
        <f t="shared" si="240"/>
        <v>37</v>
      </c>
      <c r="R1779" s="1447">
        <f t="shared" ca="1" si="241"/>
        <v>0</v>
      </c>
      <c r="S1779" s="1447">
        <f t="shared" ca="1" si="242"/>
        <v>0</v>
      </c>
      <c r="T1779" s="611">
        <v>22</v>
      </c>
      <c r="V1779" s="2557" t="str">
        <f t="shared" ca="1" si="244"/>
        <v/>
      </c>
      <c r="W1779" s="611" t="str">
        <f t="shared" ca="1" si="243"/>
        <v>Page5i_SANS_OBJECT, Ligne 34 [Page5i_SANS_OBJECT!M37]  -</v>
      </c>
    </row>
    <row r="1780" spans="1:23">
      <c r="A1780" s="1443" t="str">
        <f>celladdr(Page5i_SANS_OBJECT!M38)</f>
        <v>Page5i_SANS_OBJECT!M38</v>
      </c>
      <c r="B1780" s="1456" t="s">
        <v>1086</v>
      </c>
      <c r="C1780" s="1451" t="b">
        <f>IF(Page5i_SANS_OBJECT!$K$38=0,FALSE,OR(Page5i_SANS_OBJECT!$M$38/Page5i_SANS_OBJECT!$K$38&lt;INDEX(Min_Table,L1780),Page5i_SANS_OBJECT!$M$38/Page5i_SANS_OBJECT!$K$38&gt;INDEX(Max_Table,L1780)))</f>
        <v>0</v>
      </c>
      <c r="D1780" s="1454" t="b">
        <f>OR(AND(Page5i_SANS_OBJECT!$L38&lt;&gt;0,Page5i_SANS_OBJECT!$M38=0),AND(Page5i_SANS_OBJECT!$M38&lt;&gt;0,Page5i_SANS_OBJECT!$L38=0))</f>
        <v>0</v>
      </c>
      <c r="E1780" s="1454" t="b">
        <f>IF(Page5i_SANS_OBJECT!$K$38=0,FALSE,OR(Page5i_SANS_OBJECT!$M$38/Page5i_SANS_OBJECT!$K$38&lt;INDEX(Min_Table,M1780),Page5i_SANS_OBJECT!$M$38/Page5i_SANS_OBJECT!$K$38&gt;INDEX(Max_Table,M1780)))</f>
        <v>0</v>
      </c>
      <c r="F1780" s="1454"/>
      <c r="G1780" s="1444" t="str">
        <f t="shared" si="238"/>
        <v/>
      </c>
      <c r="H1780" s="1447" t="str">
        <f>IF(C1780=TRUE,Comments!$B$20&amp;DOLLAR(INDEX(Min_Table,L1780),0)&amp;Comments!$B$18&amp;DOLLAR(INDEX(Max_Table,L1780),0)&amp;Comments!$B$19&amp;DOLLAR(Page5i_SANS_OBJECT!$M$38/Page5i_SANS_OBJECT!$K$38,0),"")</f>
        <v/>
      </c>
      <c r="I1780" s="1446" t="str">
        <f>IF(D1780=TRUE,Comments!$B$24,"")</f>
        <v/>
      </c>
      <c r="J1780" s="1446" t="str">
        <f>IF(E1780=TRUE,Comments!$B$22&amp;DOLLAR(INDEX(Min_Table,M1780),0)&amp;Comments!$B$18&amp;DOLLAR(INDEX(Max_Table,M1780),0)&amp;Comments!$B$19&amp;IFERROR(DOLLAR(IFERROR(Page5i_SANS_OBJECT!$M38/Page5i_SANS_OBJECT!$K38,0),0),0),"")</f>
        <v/>
      </c>
      <c r="K1780" s="1452"/>
      <c r="L1780" s="611">
        <f>ROW(OR_VEH!$A$667)</f>
        <v>667</v>
      </c>
      <c r="M1780" s="611">
        <f>ROW(OR_VEH!$A$437)</f>
        <v>437</v>
      </c>
      <c r="N1780" s="611" t="str">
        <f>"CPTE # "&amp;Page5i_SANS_OBJECT!$E$38&amp;"  "&amp;Page5i_SANS_OBJECT!$C$38&amp;" - COÛT DES VENTES - AAD"</f>
        <v>CPTE # 433I  NE PAS UTILISER - COÛT DES VENTES - AAD</v>
      </c>
      <c r="O1780" s="611" t="str">
        <f t="shared" si="237"/>
        <v/>
      </c>
      <c r="P1780" s="611" t="str">
        <f t="shared" si="239"/>
        <v>Page5i_SANS_OBJECT!M</v>
      </c>
      <c r="Q1780" s="611">
        <f t="shared" si="240"/>
        <v>38</v>
      </c>
      <c r="R1780" s="1447">
        <f t="shared" ca="1" si="241"/>
        <v>0</v>
      </c>
      <c r="S1780" s="1447">
        <f t="shared" ca="1" si="242"/>
        <v>0</v>
      </c>
      <c r="T1780" s="611">
        <v>22</v>
      </c>
      <c r="V1780" s="2557" t="str">
        <f t="shared" ca="1" si="244"/>
        <v/>
      </c>
      <c r="W1780" s="611" t="str">
        <f t="shared" ca="1" si="243"/>
        <v>Page5i_SANS_OBJECT, Ligne 35 [Page5i_SANS_OBJECT!M38]  -</v>
      </c>
    </row>
    <row r="1781" spans="1:23">
      <c r="A1781" s="1443" t="str">
        <f>celladdr(Page5i_SANS_OBJECT!M39)</f>
        <v>Page5i_SANS_OBJECT!M39</v>
      </c>
      <c r="B1781" s="1456" t="s">
        <v>1086</v>
      </c>
      <c r="C1781" s="1451" t="b">
        <f>IF(Page5i_SANS_OBJECT!$K$39=0,FALSE,OR(Page5i_SANS_OBJECT!$M$39/Page5i_SANS_OBJECT!$K$39&lt;INDEX(Min_Table,L1781),Page5i_SANS_OBJECT!$M$39/Page5i_SANS_OBJECT!$K$39&gt;INDEX(Max_Table,L1781)))</f>
        <v>0</v>
      </c>
      <c r="D1781" s="1454" t="b">
        <f>OR(AND(Page5i_SANS_OBJECT!$L39&lt;&gt;0,Page5i_SANS_OBJECT!$M39=0),AND(Page5i_SANS_OBJECT!$M39&lt;&gt;0,Page5i_SANS_OBJECT!$L39=0))</f>
        <v>0</v>
      </c>
      <c r="E1781" s="1454" t="b">
        <f>IF(Page5i_SANS_OBJECT!$K$39=0,FALSE,OR(Page5i_SANS_OBJECT!$M$39/Page5i_SANS_OBJECT!$K$39&lt;INDEX(Min_Table,M1781),Page5i_SANS_OBJECT!$M$39/Page5i_SANS_OBJECT!$K$39&gt;INDEX(Max_Table,M1781)))</f>
        <v>0</v>
      </c>
      <c r="F1781" s="1454"/>
      <c r="G1781" s="1444" t="str">
        <f t="shared" si="238"/>
        <v/>
      </c>
      <c r="H1781" s="1447" t="str">
        <f>IF(C1781=TRUE,Comments!$B$20&amp;DOLLAR(INDEX(Min_Table,L1781),0)&amp;Comments!$B$18&amp;DOLLAR(INDEX(Max_Table,L1781),0)&amp;Comments!$B$19&amp;DOLLAR(Page5i_SANS_OBJECT!$M$39/Page5i_SANS_OBJECT!$K$39,0),"")</f>
        <v/>
      </c>
      <c r="I1781" s="1446" t="str">
        <f>IF(D1781=TRUE,Comments!$B$24,"")</f>
        <v/>
      </c>
      <c r="J1781" s="1446" t="str">
        <f>IF(E1781=TRUE,Comments!$B$22&amp;DOLLAR(INDEX(Min_Table,M1781),0)&amp;Comments!$B$18&amp;DOLLAR(INDEX(Max_Table,M1781),0)&amp;Comments!$B$19&amp;IFERROR(DOLLAR(IFERROR(Page5i_SANS_OBJECT!$M39/Page5i_SANS_OBJECT!$K39,0),0),0),"")</f>
        <v/>
      </c>
      <c r="K1781" s="1452"/>
      <c r="L1781" s="611">
        <f>ROW(OR_VEH!$A$667)</f>
        <v>667</v>
      </c>
      <c r="M1781" s="611">
        <f>ROW(OR_VEH!$A$438)</f>
        <v>438</v>
      </c>
      <c r="N1781" s="611" t="str">
        <f>"CPTE # "&amp;Page5i_SANS_OBJECT!$E$39&amp;"  "&amp;Page5i_SANS_OBJECT!$C$39&amp;" - COÛT DES VENTES - AAD"</f>
        <v>CPTE # 434I  NE PAS UTILISER - COÛT DES VENTES - AAD</v>
      </c>
      <c r="O1781" s="611" t="str">
        <f t="shared" si="237"/>
        <v/>
      </c>
      <c r="P1781" s="611" t="str">
        <f t="shared" si="239"/>
        <v>Page5i_SANS_OBJECT!M</v>
      </c>
      <c r="Q1781" s="611">
        <f t="shared" si="240"/>
        <v>39</v>
      </c>
      <c r="R1781" s="1447">
        <f t="shared" ca="1" si="241"/>
        <v>0</v>
      </c>
      <c r="S1781" s="1447">
        <f t="shared" ca="1" si="242"/>
        <v>0</v>
      </c>
      <c r="T1781" s="611">
        <v>22</v>
      </c>
      <c r="V1781" s="2557" t="str">
        <f t="shared" ca="1" si="244"/>
        <v/>
      </c>
      <c r="W1781" s="611" t="str">
        <f t="shared" ca="1" si="243"/>
        <v>Page5i_SANS_OBJECT, Ligne 36 [Page5i_SANS_OBJECT!M39]  -</v>
      </c>
    </row>
    <row r="1782" spans="1:23">
      <c r="A1782" s="1443" t="str">
        <f>celladdr(Page5i_SANS_OBJECT!M40)</f>
        <v>Page5i_SANS_OBJECT!M40</v>
      </c>
      <c r="B1782" s="1456" t="s">
        <v>1086</v>
      </c>
      <c r="C1782" s="1451" t="b">
        <f>IF(Page5i_SANS_OBJECT!$K$40=0,FALSE,OR(Page5i_SANS_OBJECT!$M$40/Page5i_SANS_OBJECT!$K$40&lt;INDEX(Min_Table,L1782),Page5i_SANS_OBJECT!$M$40/Page5i_SANS_OBJECT!$K$40&gt;INDEX(Max_Table,L1782)))</f>
        <v>0</v>
      </c>
      <c r="D1782" s="1454" t="b">
        <f>OR(AND(Page5i_SANS_OBJECT!$L40&lt;&gt;0,Page5i_SANS_OBJECT!$M40=0),AND(Page5i_SANS_OBJECT!$M40&lt;&gt;0,Page5i_SANS_OBJECT!$L40=0))</f>
        <v>0</v>
      </c>
      <c r="E1782" s="1454" t="b">
        <f>IF(Page5i_SANS_OBJECT!$K$40=0,FALSE,OR(Page5i_SANS_OBJECT!$M$40/Page5i_SANS_OBJECT!$K$40&lt;INDEX(Min_Table,M1782),Page5i_SANS_OBJECT!$M$40/Page5i_SANS_OBJECT!$K$40&gt;INDEX(Max_Table,M1782)))</f>
        <v>0</v>
      </c>
      <c r="F1782" s="1454"/>
      <c r="G1782" s="1444" t="str">
        <f t="shared" si="238"/>
        <v/>
      </c>
      <c r="H1782" s="1447" t="str">
        <f>IF(C1782=TRUE,Comments!$B$20&amp;DOLLAR(INDEX(Min_Table,L1782),0)&amp;Comments!$B$18&amp;DOLLAR(INDEX(Max_Table,L1782),0)&amp;Comments!$B$19&amp;DOLLAR(Page5i_SANS_OBJECT!$M$40/Page5i_SANS_OBJECT!$K$40,0),"")</f>
        <v/>
      </c>
      <c r="I1782" s="1446" t="str">
        <f>IF(D1782=TRUE,Comments!$B$24,"")</f>
        <v/>
      </c>
      <c r="J1782" s="1446" t="str">
        <f>IF(E1782=TRUE,Comments!$B$22&amp;DOLLAR(INDEX(Min_Table,M1782),0)&amp;Comments!$B$18&amp;DOLLAR(INDEX(Max_Table,M1782),0)&amp;Comments!$B$19&amp;IFERROR(DOLLAR(IFERROR(Page5i_SANS_OBJECT!$M40/Page5i_SANS_OBJECT!$K40,0),0),0),"")</f>
        <v/>
      </c>
      <c r="K1782" s="1452"/>
      <c r="L1782" s="611">
        <f>ROW(OR_VEH!$A$667)</f>
        <v>667</v>
      </c>
      <c r="M1782" s="611">
        <f>ROW(OR_VEH!$A$439)</f>
        <v>439</v>
      </c>
      <c r="N1782" s="611" t="str">
        <f>"CPTE # "&amp;Page5i_SANS_OBJECT!$E$40&amp;"  "&amp;Page5i_SANS_OBJECT!$C$40&amp;" - COÛT DES VENTES - AAD"</f>
        <v>CPTE # 435I  NE PAS UTILISER - COÛT DES VENTES - AAD</v>
      </c>
      <c r="O1782" s="611" t="str">
        <f t="shared" si="237"/>
        <v/>
      </c>
      <c r="P1782" s="611" t="str">
        <f t="shared" si="239"/>
        <v>Page5i_SANS_OBJECT!M</v>
      </c>
      <c r="Q1782" s="611">
        <f t="shared" si="240"/>
        <v>40</v>
      </c>
      <c r="R1782" s="1447">
        <f t="shared" ca="1" si="241"/>
        <v>0</v>
      </c>
      <c r="S1782" s="1447">
        <f t="shared" ca="1" si="242"/>
        <v>0</v>
      </c>
      <c r="T1782" s="611">
        <v>22</v>
      </c>
      <c r="V1782" s="2557" t="str">
        <f t="shared" ca="1" si="244"/>
        <v/>
      </c>
      <c r="W1782" s="611" t="str">
        <f t="shared" ca="1" si="243"/>
        <v>Page5i_SANS_OBJECT, Ligne 37 [Page5i_SANS_OBJECT!M40]  -</v>
      </c>
    </row>
    <row r="1783" spans="1:23">
      <c r="A1783" s="1443" t="str">
        <f>celladdr(Page5i_SANS_OBJECT!M41)</f>
        <v>Page5i_SANS_OBJECT!M41</v>
      </c>
      <c r="B1783" s="1456" t="s">
        <v>1086</v>
      </c>
      <c r="C1783" s="1451" t="b">
        <f>IF(Page5i_SANS_OBJECT!$K$41=0,FALSE,OR(Page5i_SANS_OBJECT!$M$41/Page5i_SANS_OBJECT!$K$41&lt;INDEX(Min_Table,L1783),Page5i_SANS_OBJECT!$M$41/Page5i_SANS_OBJECT!$K$41&gt;INDEX(Max_Table,L1783)))</f>
        <v>0</v>
      </c>
      <c r="D1783" s="1454" t="b">
        <f>OR(AND(Page5i_SANS_OBJECT!$L41&lt;&gt;0,Page5i_SANS_OBJECT!$M41=0),AND(Page5i_SANS_OBJECT!$M41&lt;&gt;0,Page5i_SANS_OBJECT!$L41=0))</f>
        <v>0</v>
      </c>
      <c r="E1783" s="1454" t="b">
        <f>IF(Page5i_SANS_OBJECT!$K$41=0,FALSE,OR(Page5i_SANS_OBJECT!$M$41/Page5i_SANS_OBJECT!$K$41&lt;INDEX(Min_Table,M1783),Page5i_SANS_OBJECT!$M$41/Page5i_SANS_OBJECT!$K$41&gt;INDEX(Max_Table,M1783)))</f>
        <v>0</v>
      </c>
      <c r="F1783" s="1454"/>
      <c r="G1783" s="1444" t="str">
        <f t="shared" si="238"/>
        <v/>
      </c>
      <c r="H1783" s="1447" t="str">
        <f>IF(C1783=TRUE,Comments!$B$20&amp;DOLLAR(INDEX(Min_Table,L1783),0)&amp;Comments!$B$18&amp;DOLLAR(INDEX(Max_Table,L1783),0)&amp;Comments!$B$19&amp;DOLLAR(Page5i_SANS_OBJECT!$M$41/Page5i_SANS_OBJECT!$K$41,0),"")</f>
        <v/>
      </c>
      <c r="I1783" s="1446" t="str">
        <f>IF(D1783=TRUE,Comments!$B$24,"")</f>
        <v/>
      </c>
      <c r="J1783" s="1446" t="str">
        <f>IF(E1783=TRUE,Comments!$B$22&amp;DOLLAR(INDEX(Min_Table,M1783),0)&amp;Comments!$B$18&amp;DOLLAR(INDEX(Max_Table,M1783),0)&amp;Comments!$B$19&amp;IFERROR(DOLLAR(IFERROR(Page5i_SANS_OBJECT!$M41/Page5i_SANS_OBJECT!$K41,0),0),0),"")</f>
        <v/>
      </c>
      <c r="K1783" s="1452"/>
      <c r="L1783" s="611">
        <f>ROW(OR_VEH!$A$667)</f>
        <v>667</v>
      </c>
      <c r="M1783" s="611">
        <f>ROW(OR_VEH!$A$440)</f>
        <v>440</v>
      </c>
      <c r="N1783" s="611" t="str">
        <f>"CPTE # "&amp;Page5i_SANS_OBJECT!$E$41&amp;"  "&amp;Page5i_SANS_OBJECT!$C$41&amp;" - COÛT DES VENTES - AAD"</f>
        <v>CPTE # 436I  NE PAS UTILISER - COÛT DES VENTES - AAD</v>
      </c>
      <c r="O1783" s="611" t="str">
        <f t="shared" si="237"/>
        <v/>
      </c>
      <c r="P1783" s="611" t="str">
        <f t="shared" si="239"/>
        <v>Page5i_SANS_OBJECT!M</v>
      </c>
      <c r="Q1783" s="611">
        <f t="shared" si="240"/>
        <v>41</v>
      </c>
      <c r="R1783" s="1447">
        <f t="shared" ca="1" si="241"/>
        <v>0</v>
      </c>
      <c r="S1783" s="1447">
        <f t="shared" ca="1" si="242"/>
        <v>0</v>
      </c>
      <c r="T1783" s="611">
        <v>22</v>
      </c>
      <c r="V1783" s="2557" t="str">
        <f t="shared" ca="1" si="244"/>
        <v/>
      </c>
      <c r="W1783" s="611" t="str">
        <f t="shared" ca="1" si="243"/>
        <v>Page5i_SANS_OBJECT, Ligne 38 [Page5i_SANS_OBJECT!M41]  -</v>
      </c>
    </row>
    <row r="1784" spans="1:23">
      <c r="A1784" s="1443" t="str">
        <f>celladdr(Page5i_SANS_OBJECT!M42)</f>
        <v>Page5i_SANS_OBJECT!M42</v>
      </c>
      <c r="B1784" s="1456" t="s">
        <v>1086</v>
      </c>
      <c r="C1784" s="1451" t="b">
        <f>IF(Page5i_SANS_OBJECT!$K$42=0,FALSE,OR(Page5i_SANS_OBJECT!$M$42/Page5i_SANS_OBJECT!$K$42&lt;INDEX(Min_Table,L1784),Page5i_SANS_OBJECT!$M$42/Page5i_SANS_OBJECT!$K$42&gt;INDEX(Max_Table,L1784)))</f>
        <v>0</v>
      </c>
      <c r="D1784" s="1454" t="b">
        <f>OR(AND(Page5i_SANS_OBJECT!$L42&lt;&gt;0,Page5i_SANS_OBJECT!$M42=0),AND(Page5i_SANS_OBJECT!$M42&lt;&gt;0,Page5i_SANS_OBJECT!$L42=0))</f>
        <v>0</v>
      </c>
      <c r="E1784" s="1454" t="b">
        <f>IF(Page5i_SANS_OBJECT!$K$42=0,FALSE,OR(Page5i_SANS_OBJECT!$M$42/Page5i_SANS_OBJECT!$K$42&lt;INDEX(Min_Table,M1784),Page5i_SANS_OBJECT!$M$42/Page5i_SANS_OBJECT!$K$42&gt;INDEX(Max_Table,M1784)))</f>
        <v>0</v>
      </c>
      <c r="F1784" s="1454"/>
      <c r="G1784" s="1444" t="str">
        <f t="shared" si="238"/>
        <v/>
      </c>
      <c r="H1784" s="1447" t="str">
        <f>IF(C1784=TRUE,Comments!$B$20&amp;DOLLAR(INDEX(Min_Table,L1784),0)&amp;Comments!$B$18&amp;DOLLAR(INDEX(Max_Table,L1784),0)&amp;Comments!$B$19&amp;DOLLAR(Page5i_SANS_OBJECT!$M$42/Page5i_SANS_OBJECT!$K$42,0),"")</f>
        <v/>
      </c>
      <c r="I1784" s="1446" t="str">
        <f>IF(D1784=TRUE,Comments!$B$24,"")</f>
        <v/>
      </c>
      <c r="J1784" s="1446" t="str">
        <f>IF(E1784=TRUE,Comments!$B$22&amp;DOLLAR(INDEX(Min_Table,M1784),0)&amp;Comments!$B$18&amp;DOLLAR(INDEX(Max_Table,M1784),0)&amp;Comments!$B$19&amp;IFERROR(DOLLAR(IFERROR(Page5i_SANS_OBJECT!$M42/Page5i_SANS_OBJECT!$K42,0),0),0),"")</f>
        <v/>
      </c>
      <c r="K1784" s="1452"/>
      <c r="L1784" s="611">
        <f>ROW(OR_VEH!$A$667)</f>
        <v>667</v>
      </c>
      <c r="M1784" s="611">
        <f>ROW(OR_VEH!$A$441)</f>
        <v>441</v>
      </c>
      <c r="N1784" s="611" t="str">
        <f>"CPTE # "&amp;Page5i_SANS_OBJECT!$E$42&amp;"  "&amp;Page5i_SANS_OBJECT!$C$42&amp;" - COÛT DES VENTES - AAD"</f>
        <v>CPTE # 437I  POUR USAGE FUTUR - COÛT DES VENTES - AAD</v>
      </c>
      <c r="O1784" s="611" t="str">
        <f t="shared" si="237"/>
        <v/>
      </c>
      <c r="P1784" s="611" t="str">
        <f t="shared" si="239"/>
        <v>Page5i_SANS_OBJECT!M</v>
      </c>
      <c r="Q1784" s="611">
        <f t="shared" si="240"/>
        <v>42</v>
      </c>
      <c r="R1784" s="1447">
        <f t="shared" ca="1" si="241"/>
        <v>0</v>
      </c>
      <c r="S1784" s="1447">
        <f t="shared" ca="1" si="242"/>
        <v>0</v>
      </c>
      <c r="T1784" s="611">
        <v>22</v>
      </c>
      <c r="V1784" s="2557" t="str">
        <f t="shared" ca="1" si="244"/>
        <v/>
      </c>
      <c r="W1784" s="611" t="str">
        <f t="shared" ca="1" si="243"/>
        <v>Page5i_SANS_OBJECT, Ligne 39 [Page5i_SANS_OBJECT!M42]  -</v>
      </c>
    </row>
    <row r="1785" spans="1:23">
      <c r="A1785" s="1443" t="str">
        <f>celladdr(Page5i_SANS_OBJECT!M43)</f>
        <v>Page5i_SANS_OBJECT!M43</v>
      </c>
      <c r="B1785" s="1456" t="s">
        <v>1086</v>
      </c>
      <c r="C1785" s="1451" t="b">
        <f>IF(Page5i_SANS_OBJECT!$K$43=0,FALSE,OR(Page5i_SANS_OBJECT!$M$43/Page5i_SANS_OBJECT!$K$43&lt;INDEX(Min_Table,L1785),Page5i_SANS_OBJECT!$M$43/Page5i_SANS_OBJECT!$K$43&gt;INDEX(Max_Table,L1785)))</f>
        <v>0</v>
      </c>
      <c r="D1785" s="1454" t="b">
        <f>OR(AND(Page5i_SANS_OBJECT!$L43&lt;&gt;0,Page5i_SANS_OBJECT!$M43=0),AND(Page5i_SANS_OBJECT!$M43&lt;&gt;0,Page5i_SANS_OBJECT!$L43=0))</f>
        <v>0</v>
      </c>
      <c r="E1785" s="1454" t="b">
        <f>IF(Page5i_SANS_OBJECT!$K$43=0,FALSE,OR(Page5i_SANS_OBJECT!$M$43/Page5i_SANS_OBJECT!$K$43&lt;INDEX(Min_Table,M1785),Page5i_SANS_OBJECT!$M$43/Page5i_SANS_OBJECT!$K$43&gt;INDEX(Max_Table,M1785)))</f>
        <v>0</v>
      </c>
      <c r="F1785" s="1454"/>
      <c r="G1785" s="1444" t="str">
        <f t="shared" si="238"/>
        <v/>
      </c>
      <c r="H1785" s="1447" t="str">
        <f>IF(C1785=TRUE,Comments!$B$20&amp;DOLLAR(INDEX(Min_Table,L1785),0)&amp;Comments!$B$18&amp;DOLLAR(INDEX(Max_Table,L1785),0)&amp;Comments!$B$19&amp;DOLLAR(Page5i_SANS_OBJECT!$M$43/Page5i_SANS_OBJECT!$K$43,0),"")</f>
        <v/>
      </c>
      <c r="I1785" s="1446" t="str">
        <f>IF(D1785=TRUE,Comments!$B$24,"")</f>
        <v/>
      </c>
      <c r="J1785" s="1446" t="str">
        <f>IF(E1785=TRUE,Comments!$B$22&amp;DOLLAR(INDEX(Min_Table,M1785),0)&amp;Comments!$B$18&amp;DOLLAR(INDEX(Max_Table,M1785),0)&amp;Comments!$B$19&amp;IFERROR(DOLLAR(IFERROR(Page5i_SANS_OBJECT!$M43/Page5i_SANS_OBJECT!$K43,0),0),0),"")</f>
        <v/>
      </c>
      <c r="K1785" s="1452"/>
      <c r="L1785" s="611">
        <f>ROW(OR_VEH!$A$667)</f>
        <v>667</v>
      </c>
      <c r="M1785" s="611">
        <f>ROW(OR_VEH!$A$442)</f>
        <v>442</v>
      </c>
      <c r="N1785" s="611" t="str">
        <f>"CPTE # "&amp;Page5i_SANS_OBJECT!$E$43&amp;"  "&amp;Page5i_SANS_OBJECT!$C$43&amp;" - COÛT DES VENTES - AAD"</f>
        <v>CPTE # 438I  AUTRES POIDS MOYEN - COÛT DES VENTES - AAD</v>
      </c>
      <c r="O1785" s="611" t="str">
        <f t="shared" si="237"/>
        <v/>
      </c>
      <c r="P1785" s="611" t="str">
        <f t="shared" si="239"/>
        <v>Page5i_SANS_OBJECT!M</v>
      </c>
      <c r="Q1785" s="611">
        <f t="shared" si="240"/>
        <v>43</v>
      </c>
      <c r="R1785" s="1447">
        <f t="shared" ca="1" si="241"/>
        <v>0</v>
      </c>
      <c r="S1785" s="1447">
        <f t="shared" ca="1" si="242"/>
        <v>0</v>
      </c>
      <c r="T1785" s="611">
        <v>22</v>
      </c>
      <c r="V1785" s="2557" t="str">
        <f t="shared" ca="1" si="244"/>
        <v/>
      </c>
      <c r="W1785" s="611" t="str">
        <f t="shared" ca="1" si="243"/>
        <v>Page5i_SANS_OBJECT, Ligne 40 [Page5i_SANS_OBJECT!M43]  -</v>
      </c>
    </row>
    <row r="1786" spans="1:23">
      <c r="A1786" s="1443" t="str">
        <f>celladdr(Page5i_SANS_OBJECT!M44)</f>
        <v>Page5i_SANS_OBJECT!M44</v>
      </c>
      <c r="B1786" s="1444" t="s">
        <v>1086</v>
      </c>
      <c r="C1786" s="1451"/>
      <c r="D1786" s="1454"/>
      <c r="E1786" s="1454"/>
      <c r="F1786" s="1454"/>
      <c r="G1786" s="1444" t="str">
        <f t="shared" si="238"/>
        <v/>
      </c>
      <c r="H1786" s="1447" t="str">
        <f>IF(C1786=TRUE,Comments!$B$26,"")</f>
        <v/>
      </c>
      <c r="I1786" s="1446" t="str">
        <f>IF(D1786=TRUE,Comments!$B$24,"")</f>
        <v/>
      </c>
      <c r="J1786" s="1446"/>
      <c r="K1786" s="1452"/>
      <c r="O1786" s="611" t="str">
        <f t="shared" si="237"/>
        <v/>
      </c>
      <c r="P1786" s="611" t="str">
        <f t="shared" si="239"/>
        <v>Page5i_SANS_OBJECT!M</v>
      </c>
      <c r="Q1786" s="611">
        <f t="shared" si="240"/>
        <v>44</v>
      </c>
      <c r="R1786" s="1447">
        <f t="shared" ca="1" si="241"/>
        <v>0</v>
      </c>
      <c r="S1786" s="1447">
        <f t="shared" ca="1" si="242"/>
        <v>0</v>
      </c>
      <c r="V1786" s="2557" t="str">
        <f t="shared" ca="1" si="244"/>
        <v/>
      </c>
      <c r="W1786" s="611" t="str">
        <f t="shared" ca="1" si="243"/>
        <v>Page5i_SANS_OBJECT, Ligne 41 [Page5i_SANS_OBJECT!M44]  -</v>
      </c>
    </row>
    <row r="1787" spans="1:23">
      <c r="A1787" s="1443" t="str">
        <f>celladdr(Page5i_SANS_OBJECT!M45)</f>
        <v>Page5i_SANS_OBJECT!M45</v>
      </c>
      <c r="B1787" s="1456" t="s">
        <v>1086</v>
      </c>
      <c r="C1787" s="1451" t="b">
        <f>IF(Page5i_SANS_OBJECT!$K$45=0,FALSE,OR(Page5i_SANS_OBJECT!$M$45/Page5i_SANS_OBJECT!$K$45&lt;INDEX(Min_Table,L1787),Page5i_SANS_OBJECT!$M$45/Page5i_SANS_OBJECT!$K$45&gt;INDEX(Max_Table,L1787)))</f>
        <v>0</v>
      </c>
      <c r="D1787" s="1454" t="b">
        <f>OR(AND(Page5i_SANS_OBJECT!$L45&lt;&gt;0,Page5i_SANS_OBJECT!$M45=0),AND(Page5i_SANS_OBJECT!$M45&lt;&gt;0,Page5i_SANS_OBJECT!$L45=0))</f>
        <v>0</v>
      </c>
      <c r="E1787" s="1454" t="b">
        <f>IF(Page5i_SANS_OBJECT!$K$45=0,FALSE,OR(Page5i_SANS_OBJECT!$M$45/Page5i_SANS_OBJECT!$K$45&lt;INDEX(Min_Table,M1787),Page5i_SANS_OBJECT!$M$45/Page5i_SANS_OBJECT!$K$45&gt;INDEX(Max_Table,M1787)))</f>
        <v>0</v>
      </c>
      <c r="F1787" s="1454"/>
      <c r="G1787" s="1444" t="str">
        <f t="shared" si="238"/>
        <v/>
      </c>
      <c r="H1787" s="1447" t="str">
        <f>IF(C1787=TRUE,Comments!$B$20&amp;DOLLAR(INDEX(Min_Table,L1787),0)&amp;Comments!$B$18&amp;DOLLAR(INDEX(Max_Table,L1787),0)&amp;Comments!$B$19&amp;DOLLAR(Page5i_SANS_OBJECT!$M$45/Page5i_SANS_OBJECT!$K$45,0),"")</f>
        <v/>
      </c>
      <c r="I1787" s="1446" t="str">
        <f>IF(D1787=TRUE,Comments!$B$24,"")</f>
        <v/>
      </c>
      <c r="J1787" s="1446" t="str">
        <f>IF(E1787=TRUE,Comments!$B$22&amp;DOLLAR(INDEX(Min_Table,M1787),0)&amp;Comments!$B$18&amp;DOLLAR(INDEX(Max_Table,M1787),0)&amp;Comments!$B$19&amp;IFERROR(DOLLAR(IFERROR(Page5i_SANS_OBJECT!$M45/Page5i_SANS_OBJECT!$K45,0),0),0),"")</f>
        <v/>
      </c>
      <c r="K1787" s="1452"/>
      <c r="L1787" s="611">
        <f>ROW(OR_VEH!$A$667)</f>
        <v>667</v>
      </c>
      <c r="M1787" s="611">
        <f>ROW(OR_VEH!$A$444)</f>
        <v>444</v>
      </c>
      <c r="N1787" s="611" t="str">
        <f>"CPTE # "&amp;Page5i_SANS_OBJECT!$E$45&amp;"  "&amp;Page5i_SANS_OBJECT!$C$45&amp;" - COÛT DES VENTES - AAD"</f>
        <v>CPTE # 439I  MÉMO* VENTES INTERNET CAMIONS - COÛT DES VENTES - AAD</v>
      </c>
      <c r="O1787" s="611" t="str">
        <f t="shared" si="237"/>
        <v/>
      </c>
      <c r="P1787" s="611" t="str">
        <f t="shared" si="239"/>
        <v>Page5i_SANS_OBJECT!M</v>
      </c>
      <c r="Q1787" s="611">
        <f t="shared" si="240"/>
        <v>45</v>
      </c>
      <c r="R1787" s="1447">
        <f t="shared" ca="1" si="241"/>
        <v>0</v>
      </c>
      <c r="S1787" s="1447">
        <f t="shared" ca="1" si="242"/>
        <v>0</v>
      </c>
      <c r="T1787" s="611">
        <v>22</v>
      </c>
      <c r="V1787" s="2557" t="str">
        <f t="shared" ca="1" si="244"/>
        <v/>
      </c>
      <c r="W1787" s="611" t="str">
        <f t="shared" ca="1" si="243"/>
        <v>Page5i_SANS_OBJECT, Ligne 42 [Page5i_SANS_OBJECT!M45]  -</v>
      </c>
    </row>
    <row r="1788" spans="1:23">
      <c r="A1788" s="1443" t="str">
        <f>celladdr(Page5i_SANS_OBJECT!M46)</f>
        <v>Page5i_SANS_OBJECT!M46</v>
      </c>
      <c r="B1788" s="1456" t="s">
        <v>1086</v>
      </c>
      <c r="C1788" s="1451" t="b">
        <f>IF(Page5i_SANS_OBJECT!$K$46=0,FALSE,OR(Page5i_SANS_OBJECT!$M$46/Page5i_SANS_OBJECT!$K$46&lt;INDEX(Min_Table,L1788),Page5i_SANS_OBJECT!$M$46/Page5i_SANS_OBJECT!$K$46&gt;INDEX(Max_Table,L1788)))</f>
        <v>0</v>
      </c>
      <c r="D1788" s="1454" t="b">
        <f>OR(AND(Page5i_SANS_OBJECT!$L46&lt;&gt;0,Page5i_SANS_OBJECT!$M46=0),AND(Page5i_SANS_OBJECT!$M46&lt;&gt;0,Page5i_SANS_OBJECT!$L46=0))</f>
        <v>0</v>
      </c>
      <c r="E1788" s="1454" t="b">
        <f>IF(Page5i_SANS_OBJECT!$K$46=0,FALSE,OR(Page5i_SANS_OBJECT!$M$46/Page5i_SANS_OBJECT!$K$46&lt;INDEX(Min_Table,M1788),Page5i_SANS_OBJECT!$M$46/Page5i_SANS_OBJECT!$K$46&gt;INDEX(Max_Table,M1788)))</f>
        <v>0</v>
      </c>
      <c r="F1788" s="1454"/>
      <c r="G1788" s="1444" t="str">
        <f t="shared" si="238"/>
        <v/>
      </c>
      <c r="H1788" s="1447" t="str">
        <f>IF(C1788=TRUE,Comments!$B$20&amp;DOLLAR(INDEX(Min_Table,L1788),0)&amp;Comments!$B$18&amp;DOLLAR(INDEX(Max_Table,L1788),0)&amp;Comments!$B$19&amp;DOLLAR(Page5i_SANS_OBJECT!$M$46/Page5i_SANS_OBJECT!$K$46,0),"")</f>
        <v/>
      </c>
      <c r="I1788" s="1446" t="str">
        <f>IF(D1788=TRUE,Comments!$B$24,"")</f>
        <v/>
      </c>
      <c r="J1788" s="1446" t="str">
        <f>IF(E1788=TRUE,Comments!$B$22&amp;DOLLAR(INDEX(Min_Table,M1788),0)&amp;Comments!$B$18&amp;DOLLAR(INDEX(Max_Table,M1788),0)&amp;Comments!$B$19&amp;IFERROR(DOLLAR(IFERROR(Page5i_SANS_OBJECT!$M46/Page5i_SANS_OBJECT!$K46,0),0),0),"")</f>
        <v/>
      </c>
      <c r="K1788" s="1452"/>
      <c r="L1788" s="611">
        <f>ROW(OR_VEH!$A$667)</f>
        <v>667</v>
      </c>
      <c r="M1788" s="611">
        <f>ROW(OR_VEH!$A$445)</f>
        <v>445</v>
      </c>
      <c r="N1788" s="611" t="str">
        <f>"CPTE # "&amp;Page5i_SANS_OBJECT!$E$46&amp;"  "&amp;Page5i_SANS_OBJECT!$C$46&amp;" - COÛT DES VENTES - AAD"</f>
        <v>CPTE # 440I  TOTAL PARCS - CAMIONS - COÛT DES VENTES - AAD</v>
      </c>
      <c r="O1788" s="611" t="str">
        <f t="shared" si="237"/>
        <v/>
      </c>
      <c r="P1788" s="611" t="str">
        <f t="shared" si="239"/>
        <v>Page5i_SANS_OBJECT!M</v>
      </c>
      <c r="Q1788" s="611">
        <f t="shared" si="240"/>
        <v>46</v>
      </c>
      <c r="R1788" s="1447">
        <f t="shared" ca="1" si="241"/>
        <v>0</v>
      </c>
      <c r="S1788" s="1447">
        <f t="shared" ca="1" si="242"/>
        <v>0</v>
      </c>
      <c r="T1788" s="611">
        <v>22</v>
      </c>
      <c r="V1788" s="2557" t="str">
        <f t="shared" ca="1" si="244"/>
        <v/>
      </c>
      <c r="W1788" s="611" t="str">
        <f t="shared" ca="1" si="243"/>
        <v>Page5i_SANS_OBJECT, Ligne 43 [Page5i_SANS_OBJECT!M46]  -</v>
      </c>
    </row>
    <row r="1789" spans="1:23">
      <c r="A1789" s="1443" t="str">
        <f>celladdr(Page5i_SANS_OBJECT!M47)</f>
        <v>Page5i_SANS_OBJECT!M47</v>
      </c>
      <c r="B1789" s="1456" t="s">
        <v>1086</v>
      </c>
      <c r="C1789" s="1451" t="b">
        <f>IF(Page5i_SANS_OBJECT!$K$47=0,FALSE,OR(Page5i_SANS_OBJECT!$M$47/Page5i_SANS_OBJECT!$K$47&lt;INDEX(Min_Table,L1789),Page5i_SANS_OBJECT!$M$47/Page5i_SANS_OBJECT!$K$47&gt;INDEX(Max_Table,L1789)))</f>
        <v>0</v>
      </c>
      <c r="D1789" s="1454" t="b">
        <f>OR(AND(Page5i_SANS_OBJECT!$L47&lt;&gt;0,Page5i_SANS_OBJECT!$M47=0),AND(Page5i_SANS_OBJECT!$M47&lt;&gt;0,Page5i_SANS_OBJECT!$L47=0))</f>
        <v>0</v>
      </c>
      <c r="E1789" s="1454" t="b">
        <f>IF(Page5i_SANS_OBJECT!$K$47=0,FALSE,OR(Page5i_SANS_OBJECT!$M$47/Page5i_SANS_OBJECT!$K$47&lt;INDEX(Min_Table,M1789),Page5i_SANS_OBJECT!$M$47/Page5i_SANS_OBJECT!$K$47&gt;INDEX(Max_Table,M1789)))</f>
        <v>0</v>
      </c>
      <c r="F1789" s="1454"/>
      <c r="G1789" s="1444" t="str">
        <f t="shared" si="238"/>
        <v/>
      </c>
      <c r="H1789" s="1447" t="str">
        <f>IF(C1789=TRUE,Comments!$B$20&amp;DOLLAR(INDEX(Min_Table,L1789),0)&amp;Comments!$B$18&amp;DOLLAR(INDEX(Max_Table,L1789),0)&amp;Comments!$B$19&amp;DOLLAR(Page5i_SANS_OBJECT!$M$47/Page5i_SANS_OBJECT!$K$47,0),"")</f>
        <v/>
      </c>
      <c r="I1789" s="1446" t="str">
        <f>IF(D1789=TRUE,Comments!$B$24,"")</f>
        <v/>
      </c>
      <c r="J1789" s="1446" t="str">
        <f>IF(E1789=TRUE,Comments!$B$22&amp;DOLLAR(INDEX(Min_Table,M1789),0)&amp;Comments!$B$18&amp;DOLLAR(INDEX(Max_Table,M1789),0)&amp;Comments!$B$19&amp;IFERROR(DOLLAR(IFERROR(Page5i_SANS_OBJECT!$M47/Page5i_SANS_OBJECT!$K47,0),0),0),"")</f>
        <v/>
      </c>
      <c r="K1789" s="1452"/>
      <c r="L1789" s="611">
        <f>ROW(OR_VEH!$A$667)</f>
        <v>667</v>
      </c>
      <c r="M1789" s="611">
        <f>ROW(OR_VEH!$A$446)</f>
        <v>446</v>
      </c>
      <c r="N1789" s="611" t="str">
        <f>"CPTE # "&amp;Page5i_SANS_OBJECT!$E$47&amp;"  "&amp;Page5i_SANS_OBJECT!$C$47&amp;" - COÛT DES VENTES - AAD"</f>
        <v>CPTE # 441I  TOTAL IINTERNE - CAMIONS  - COÛT DES VENTES - AAD</v>
      </c>
      <c r="O1789" s="611" t="str">
        <f t="shared" si="237"/>
        <v/>
      </c>
      <c r="P1789" s="611" t="str">
        <f t="shared" si="239"/>
        <v>Page5i_SANS_OBJECT!M</v>
      </c>
      <c r="Q1789" s="611">
        <f t="shared" si="240"/>
        <v>47</v>
      </c>
      <c r="R1789" s="1447">
        <f t="shared" ca="1" si="241"/>
        <v>0</v>
      </c>
      <c r="S1789" s="1447">
        <f t="shared" ca="1" si="242"/>
        <v>0</v>
      </c>
      <c r="T1789" s="611">
        <v>22</v>
      </c>
      <c r="V1789" s="2557" t="str">
        <f t="shared" ca="1" si="244"/>
        <v/>
      </c>
      <c r="W1789" s="611" t="str">
        <f t="shared" ca="1" si="243"/>
        <v>Page5i_SANS_OBJECT, Ligne 44 [Page5i_SANS_OBJECT!M47]  -</v>
      </c>
    </row>
    <row r="1790" spans="1:23">
      <c r="A1790" s="1443" t="str">
        <f>celladdr(Page5i_SANS_OBJECT!M48)</f>
        <v>Page5i_SANS_OBJECT!M48</v>
      </c>
      <c r="B1790" s="1444" t="s">
        <v>1086</v>
      </c>
      <c r="C1790" s="1451"/>
      <c r="D1790" s="1454"/>
      <c r="E1790" s="1454"/>
      <c r="F1790" s="1454"/>
      <c r="G1790" s="1444" t="str">
        <f t="shared" si="238"/>
        <v/>
      </c>
      <c r="H1790" s="1447" t="str">
        <f>IF(C1790=TRUE,Comments!$B$26,"")</f>
        <v/>
      </c>
      <c r="I1790" s="1446" t="str">
        <f>IF(D1790=TRUE,Comments!$B$24,"")</f>
        <v/>
      </c>
      <c r="J1790" s="1446"/>
      <c r="K1790" s="1452"/>
      <c r="O1790" s="611" t="str">
        <f t="shared" ref="O1790:O1853" si="245">IF(A1790=A1789,"TRUE","")</f>
        <v/>
      </c>
      <c r="P1790" s="611" t="str">
        <f t="shared" si="239"/>
        <v>Page5i_SANS_OBJECT!M</v>
      </c>
      <c r="Q1790" s="611">
        <f t="shared" si="240"/>
        <v>48</v>
      </c>
      <c r="R1790" s="1447">
        <f t="shared" ca="1" si="241"/>
        <v>0</v>
      </c>
      <c r="S1790" s="1447">
        <f t="shared" ca="1" si="242"/>
        <v>0</v>
      </c>
      <c r="V1790" s="2557" t="str">
        <f t="shared" ca="1" si="244"/>
        <v/>
      </c>
      <c r="W1790" s="611" t="str">
        <f t="shared" ca="1" si="243"/>
        <v>Page5i_SANS_OBJECT, Ligne 45 [Page5i_SANS_OBJECT!M48]  -</v>
      </c>
    </row>
    <row r="1791" spans="1:23">
      <c r="A1791" s="1443" t="str">
        <f>celladdr(Page5i_SANS_OBJECT!M49)</f>
        <v>Page5i_SANS_OBJECT!M49</v>
      </c>
      <c r="B1791" s="1456" t="s">
        <v>1086</v>
      </c>
      <c r="C1791" s="1451"/>
      <c r="D1791" s="1454" t="b">
        <f>OR(AND(Page5i_SANS_OBJECT!$L49&lt;&gt;0,Page5i_SANS_OBJECT!$M49=0),AND(Page5i_SANS_OBJECT!$M49&lt;&gt;0,Page5i_SANS_OBJECT!$L49=0))</f>
        <v>0</v>
      </c>
      <c r="E1791" s="1454"/>
      <c r="F1791" s="1454"/>
      <c r="G1791" s="1444" t="str">
        <f t="shared" si="238"/>
        <v/>
      </c>
      <c r="I1791" s="1446" t="str">
        <f>IF(D1791=TRUE,Comments!$B$24,"")</f>
        <v/>
      </c>
      <c r="J1791" s="1446"/>
      <c r="K1791" s="1452"/>
      <c r="N1791" s="611" t="str">
        <f>"CPTE # "&amp;Page5i_SANS_OBJECT!$E$49&amp;"  "&amp;Page5i_SANS_OBJECT!$C$49&amp;" - COÛT DES VENTES - AAD"</f>
        <v>CPTE # 445I   - COÛT DES VENTES - AAD</v>
      </c>
      <c r="O1791" s="611" t="str">
        <f t="shared" si="245"/>
        <v/>
      </c>
      <c r="P1791" s="611" t="str">
        <f t="shared" si="239"/>
        <v>Page5i_SANS_OBJECT!M</v>
      </c>
      <c r="Q1791" s="611">
        <f t="shared" si="240"/>
        <v>49</v>
      </c>
      <c r="R1791" s="1447">
        <f t="shared" ca="1" si="241"/>
        <v>0</v>
      </c>
      <c r="S1791" s="1447">
        <f t="shared" ca="1" si="242"/>
        <v>0</v>
      </c>
      <c r="V1791" s="2557" t="str">
        <f t="shared" ca="1" si="244"/>
        <v/>
      </c>
      <c r="W1791" s="611" t="str">
        <f t="shared" ca="1" si="243"/>
        <v>Page5i_SANS_OBJECT, Ligne 46 [Page5i_SANS_OBJECT!M49]  -</v>
      </c>
    </row>
    <row r="1792" spans="1:23">
      <c r="A1792" s="1443" t="str">
        <f>celladdr(Page5i_SANS_OBJECT!M50)</f>
        <v>Page5i_SANS_OBJECT!M50</v>
      </c>
      <c r="B1792" s="1456" t="s">
        <v>1086</v>
      </c>
      <c r="C1792" s="1451"/>
      <c r="D1792" s="1454" t="b">
        <f>OR(AND(Page5i_SANS_OBJECT!$L50&lt;&gt;0,Page5i_SANS_OBJECT!$M50=0),AND(Page5i_SANS_OBJECT!$M50&lt;&gt;0,Page5i_SANS_OBJECT!$L50=0))</f>
        <v>0</v>
      </c>
      <c r="E1792" s="1454"/>
      <c r="F1792" s="1454"/>
      <c r="G1792" s="1444" t="str">
        <f t="shared" si="238"/>
        <v/>
      </c>
      <c r="I1792" s="1446" t="str">
        <f>IF(D1792=TRUE,Comments!$B$24,"")</f>
        <v/>
      </c>
      <c r="J1792" s="1446"/>
      <c r="K1792" s="1452"/>
      <c r="N1792" s="611" t="str">
        <f>"CPTE # "&amp;Page5i_SANS_OBJECT!$E$50&amp;"  "&amp;Page5i_SANS_OBJECT!$C$50&amp;" - COÛT DES VENTES - AAD"</f>
        <v>CPTE # 457I  ACCESSOIRES - COÛT DES VENTES - AAD</v>
      </c>
      <c r="O1792" s="611" t="str">
        <f t="shared" si="245"/>
        <v/>
      </c>
      <c r="P1792" s="611" t="str">
        <f t="shared" si="239"/>
        <v>Page5i_SANS_OBJECT!M</v>
      </c>
      <c r="Q1792" s="611">
        <f t="shared" si="240"/>
        <v>50</v>
      </c>
      <c r="R1792" s="1447">
        <f t="shared" ca="1" si="241"/>
        <v>0</v>
      </c>
      <c r="S1792" s="1447">
        <f t="shared" ca="1" si="242"/>
        <v>0</v>
      </c>
      <c r="V1792" s="2557" t="str">
        <f t="shared" ca="1" si="244"/>
        <v/>
      </c>
      <c r="W1792" s="611" t="str">
        <f t="shared" ca="1" si="243"/>
        <v>Page5i_SANS_OBJECT, Ligne 47 [Page5i_SANS_OBJECT!M50]  -</v>
      </c>
    </row>
    <row r="1793" spans="1:23">
      <c r="A1793" s="1443" t="str">
        <f>celladdr(Page5i_SANS_OBJECT!N51)</f>
        <v>Page5i_SANS_OBJECT!N51</v>
      </c>
      <c r="B1793" s="1455" t="s">
        <v>1086</v>
      </c>
      <c r="C1793" s="1445" t="b">
        <f>Page5i_SANS_OBJECT!$N$51&lt;&gt;Page5i_SANS_OBJECT!$N$48+Page5i_SANS_OBJECT!$N$49+Page5i_SANS_OBJECT!$N$27+Page5i_SANS_OBJECT!$N$50</f>
        <v>0</v>
      </c>
      <c r="D1793" s="1454"/>
      <c r="F1793" s="1454"/>
      <c r="G1793" s="1444" t="str">
        <f t="shared" si="238"/>
        <v/>
      </c>
      <c r="H1793" s="1446" t="str">
        <f>IF(C1793=TRUE,Comments!$B$39&amp;DOLLAR(Page5i_SANS_OBJECT!$N$51-(Page5i_SANS_OBJECT!$N$48+Page5i_SANS_OBJECT!$N$49+Page5i_SANS_OBJECT!$N$27+Page5i_SANS_OBJECT!$N$50),0),"")</f>
        <v/>
      </c>
      <c r="I1793" s="1452"/>
      <c r="J1793" s="1452"/>
      <c r="K1793" s="1452"/>
      <c r="N1793" s="611" t="str">
        <f>Page5i_SANS_OBJECT!$B$1&amp;" TOTAL VÉHICULES NEUFS - PROFIT BRUT - AAD"</f>
        <v>SANS OBJECT TOTAL VÉHICULES NEUFS - PROFIT BRUT - AAD</v>
      </c>
      <c r="O1793" s="611" t="str">
        <f t="shared" si="245"/>
        <v/>
      </c>
      <c r="P1793" s="611" t="str">
        <f t="shared" si="239"/>
        <v>Page5i_SANS_OBJECT!N</v>
      </c>
      <c r="Q1793" s="611">
        <f t="shared" si="240"/>
        <v>51</v>
      </c>
      <c r="R1793" s="1447">
        <f t="shared" ca="1" si="241"/>
        <v>0</v>
      </c>
      <c r="S1793" s="1447">
        <f t="shared" ca="1" si="242"/>
        <v>0</v>
      </c>
      <c r="V1793" s="2557" t="str">
        <f t="shared" ca="1" si="244"/>
        <v/>
      </c>
      <c r="W1793" s="611" t="str">
        <f t="shared" ca="1" si="243"/>
        <v>Page5i_SANS_OBJECT, Ligne 48 [Page5i_SANS_OBJECT!N51]  -</v>
      </c>
    </row>
    <row r="1794" spans="1:23">
      <c r="A1794" s="1443" t="str">
        <f>celladdr(Page5j_SANS_OBJECT!F51)</f>
        <v>Page5j_SANS_OBJECT!F51</v>
      </c>
      <c r="B1794" s="1453" t="s">
        <v>1086</v>
      </c>
      <c r="C1794" s="1445" t="b">
        <f>Page5j_SANS_OBJECT!$F$51&lt;&gt;Page5j_SANS_OBJECT!$F$48+Page5j_SANS_OBJECT!$F$27</f>
        <v>0</v>
      </c>
      <c r="D1794" s="1454"/>
      <c r="F1794" s="1454"/>
      <c r="G1794" s="1444" t="str">
        <f t="shared" ref="G1794:G1857" si="246">IF(H1794&amp;I1794&amp;J1794&amp;K1794&lt;&gt;"","No.de ref. du commentaire.: "&amp;W1794&amp;" "&amp;N1794&amp;" "&amp;H1794&amp;I1794&amp;IF(OR(C1794=TRUE,D1794=TRUE),"",J1794&amp;K1794&amp;V1794),"")</f>
        <v/>
      </c>
      <c r="H1794" s="1446" t="str">
        <f>IF(C1794=TRUE,Comments!$B$38&amp;Page5j_SANS_OBJECT!$F$51-(Page5j_SANS_OBJECT!$F$48+Page5j_SANS_OBJECT!$F$27),"")</f>
        <v/>
      </c>
      <c r="I1794" s="1452"/>
      <c r="J1794" s="1452"/>
      <c r="K1794" s="1452"/>
      <c r="N1794" s="611" t="str">
        <f>Page5j_SANS_OBJECT!$B$1&amp;" TOTAL VÉHICULES NEUFS  - UNITÉS - MOIS"</f>
        <v>SANS OBJECT TOTAL VÉHICULES NEUFS  - UNITÉS - MOIS</v>
      </c>
      <c r="O1794" s="611" t="str">
        <f t="shared" si="245"/>
        <v/>
      </c>
      <c r="P1794" s="611" t="str">
        <f t="shared" ref="P1794:P1857" si="247">LEFT(A1794,FIND("!",A1794)+1)</f>
        <v>Page5j_SANS_OBJECT!F</v>
      </c>
      <c r="Q1794" s="611">
        <f t="shared" ref="Q1794:Q1857" si="248">VALUE(RIGHT(A1794,LEN(A1794)-FIND("!",A1794)-1))</f>
        <v>51</v>
      </c>
      <c r="R1794" s="1447">
        <f t="shared" ref="R1794:R1857" ca="1" si="249">IF(E1794=TRUE,INDIRECT("Comments!$D$"&amp;T1794),0)</f>
        <v>0</v>
      </c>
      <c r="S1794" s="1447">
        <f t="shared" ref="S1794:S1857" ca="1" si="250">IF(F1794=TRUE,INDIRECT("Comments!$D$"&amp;U1794),0)</f>
        <v>0</v>
      </c>
      <c r="V1794" s="2557" t="str">
        <f t="shared" ca="1" si="244"/>
        <v/>
      </c>
      <c r="W1794" s="611" t="str">
        <f t="shared" ref="W1794:W1857" ca="1" si="251">LEFT(A1794,FIND("!",A1794,1)-1)&amp;", Ligne "&amp;INDIRECT(ADDRESS(ROW(INDIRECT(A1794)),IF(INDIRECT(ADDRESS(ROW(INDIRECT(A1794)),1,,,LEFT(A1794,FIND("!",A1794,1)-1)))="",2,1),,,LEFT(A1794,FIND("!",A1794,1)-1)))&amp;" ["&amp;A1794&amp;"] "&amp;" -"</f>
        <v>Page5j_SANS_OBJECT, Ligne 48 [Page5j_SANS_OBJECT!F51]  -</v>
      </c>
    </row>
    <row r="1795" spans="1:23">
      <c r="A1795" s="1443" t="str">
        <f>celladdr(Page5j_SANS_OBJECT!I51)</f>
        <v>Page5j_SANS_OBJECT!I51</v>
      </c>
      <c r="B1795" s="1455" t="s">
        <v>1086</v>
      </c>
      <c r="C1795" s="1445" t="b">
        <f>Page5j_SANS_OBJECT!$I$51&lt;&gt;Page5j_SANS_OBJECT!$I$48+Page5j_SANS_OBJECT!$I$49+Page5j_SANS_OBJECT!$I$27+Page5j_SANS_OBJECT!$I$50</f>
        <v>0</v>
      </c>
      <c r="D1795" s="1454"/>
      <c r="F1795" s="1454"/>
      <c r="G1795" s="1444" t="str">
        <f t="shared" si="246"/>
        <v/>
      </c>
      <c r="H1795" s="1446" t="str">
        <f>IF(C1795=TRUE,Comments!$B$39&amp;DOLLAR(Page5j_SANS_OBJECT!$I$51-(Page5j_SANS_OBJECT!$I$48+Page5j_SANS_OBJECT!$I$49+Page5j_SANS_OBJECT!$I$27+Page5j_SANS_OBJECT!$I$50),0),"")</f>
        <v/>
      </c>
      <c r="I1795" s="1452"/>
      <c r="J1795" s="1452"/>
      <c r="K1795" s="1452"/>
      <c r="N1795" s="611" t="str">
        <f>Page5j_SANS_OBJECT!$B$1&amp;" TOTAL VÉHICULES NEUFS - PROFIT BRUT - MOIS"</f>
        <v>SANS OBJECT TOTAL VÉHICULES NEUFS - PROFIT BRUT - MOIS</v>
      </c>
      <c r="O1795" s="611" t="str">
        <f t="shared" si="245"/>
        <v/>
      </c>
      <c r="P1795" s="611" t="str">
        <f t="shared" si="247"/>
        <v>Page5j_SANS_OBJECT!I</v>
      </c>
      <c r="Q1795" s="611">
        <f t="shared" si="248"/>
        <v>51</v>
      </c>
      <c r="R1795" s="1447">
        <f t="shared" ca="1" si="249"/>
        <v>0</v>
      </c>
      <c r="S1795" s="1447">
        <f t="shared" ca="1" si="250"/>
        <v>0</v>
      </c>
      <c r="V1795" s="2557" t="str">
        <f t="shared" ca="1" si="244"/>
        <v/>
      </c>
      <c r="W1795" s="611" t="str">
        <f t="shared" ca="1" si="251"/>
        <v>Page5j_SANS_OBJECT, Ligne 48 [Page5j_SANS_OBJECT!I51]  -</v>
      </c>
    </row>
    <row r="1796" spans="1:23">
      <c r="A1796" s="1443" t="str">
        <f>celladdr(Page5j_SANS_OBJECT!K4)</f>
        <v>Page5j_SANS_OBJECT!K4</v>
      </c>
      <c r="B1796" s="1464" t="s">
        <v>1086</v>
      </c>
      <c r="C1796" s="1451" t="b">
        <f>Page5j_SANS_OBJECT!$K$4&lt;0</f>
        <v>0</v>
      </c>
      <c r="D1796" s="1454" t="b">
        <f>OR(AND(Page5j_SANS_OBJECT!$K4&gt;0,Page5j_SANS_OBJECT!$M4=0),AND(Page5j_SANS_OBJECT!$M4&lt;&gt;0,Page5j_SANS_OBJECT!$K4=0))</f>
        <v>0</v>
      </c>
      <c r="E1796" s="1454"/>
      <c r="F1796" s="1454"/>
      <c r="G1796" s="1444" t="str">
        <f t="shared" si="246"/>
        <v/>
      </c>
      <c r="H1796" s="1447" t="str">
        <f>IF(C1796=TRUE,Comments!$B$26,"")</f>
        <v/>
      </c>
      <c r="I1796" s="1446" t="str">
        <f>IF(D1796=TRUE,Comments!$B$21,"")</f>
        <v/>
      </c>
      <c r="J1796" s="1446"/>
      <c r="K1796" s="1452"/>
      <c r="N1796" s="611" t="str">
        <f>"CPTE # "&amp;Page5j_SANS_OBJECT!$E$4&amp;"  "&amp;Page5j_SANS_OBJECT!$C$4&amp;" - UNITÉS - AAD"</f>
        <v>CPTE # 400J  NE PAS UTILISER - UNITÉS - AAD</v>
      </c>
      <c r="O1796" s="611" t="str">
        <f t="shared" si="245"/>
        <v/>
      </c>
      <c r="P1796" s="611" t="str">
        <f t="shared" si="247"/>
        <v>Page5j_SANS_OBJECT!K</v>
      </c>
      <c r="Q1796" s="611">
        <f t="shared" si="248"/>
        <v>4</v>
      </c>
      <c r="R1796" s="1447">
        <f t="shared" ca="1" si="249"/>
        <v>0</v>
      </c>
      <c r="S1796" s="1447">
        <f t="shared" ca="1" si="250"/>
        <v>0</v>
      </c>
      <c r="V1796" s="2557" t="str">
        <f t="shared" ca="1" si="244"/>
        <v/>
      </c>
      <c r="W1796" s="611" t="str">
        <f t="shared" ca="1" si="251"/>
        <v>Page5j_SANS_OBJECT, Ligne 1 [Page5j_SANS_OBJECT!K4]  -</v>
      </c>
    </row>
    <row r="1797" spans="1:23">
      <c r="A1797" s="1443" t="str">
        <f>celladdr(Page5j_SANS_OBJECT!K5)</f>
        <v>Page5j_SANS_OBJECT!K5</v>
      </c>
      <c r="B1797" s="1464" t="s">
        <v>1086</v>
      </c>
      <c r="C1797" s="1451" t="b">
        <f>Page5j_SANS_OBJECT!$K$5&lt;0</f>
        <v>0</v>
      </c>
      <c r="D1797" s="1454" t="b">
        <f>OR(AND(Page5j_SANS_OBJECT!$K5&gt;0,Page5j_SANS_OBJECT!$M5=0),AND(Page5j_SANS_OBJECT!$M5&lt;&gt;0,Page5j_SANS_OBJECT!$K5=0))</f>
        <v>0</v>
      </c>
      <c r="E1797" s="1454"/>
      <c r="F1797" s="1454"/>
      <c r="G1797" s="1444" t="str">
        <f t="shared" si="246"/>
        <v/>
      </c>
      <c r="H1797" s="1447" t="str">
        <f>IF(C1797=TRUE,Comments!$B$26,"")</f>
        <v/>
      </c>
      <c r="I1797" s="1446" t="str">
        <f>IF(D1797=TRUE,Comments!$B$21,"")</f>
        <v/>
      </c>
      <c r="J1797" s="1446"/>
      <c r="K1797" s="1452"/>
      <c r="N1797" s="611" t="str">
        <f>"CPTE # "&amp;Page5j_SANS_OBJECT!$E$5&amp;"  "&amp;Page5j_SANS_OBJECT!$C$5&amp;" - UNITÉS - AAD"</f>
        <v>CPTE # 401J  NE PAS UTILISER - UNITÉS - AAD</v>
      </c>
      <c r="O1797" s="611" t="str">
        <f t="shared" si="245"/>
        <v/>
      </c>
      <c r="P1797" s="611" t="str">
        <f t="shared" si="247"/>
        <v>Page5j_SANS_OBJECT!K</v>
      </c>
      <c r="Q1797" s="611">
        <f t="shared" si="248"/>
        <v>5</v>
      </c>
      <c r="R1797" s="1447">
        <f t="shared" ca="1" si="249"/>
        <v>0</v>
      </c>
      <c r="S1797" s="1447">
        <f t="shared" ca="1" si="250"/>
        <v>0</v>
      </c>
      <c r="V1797" s="2557" t="str">
        <f t="shared" ca="1" si="244"/>
        <v/>
      </c>
      <c r="W1797" s="611" t="str">
        <f t="shared" ca="1" si="251"/>
        <v>Page5j_SANS_OBJECT, Ligne 2 [Page5j_SANS_OBJECT!K5]  -</v>
      </c>
    </row>
    <row r="1798" spans="1:23">
      <c r="A1798" s="1443" t="str">
        <f>celladdr(Page5j_SANS_OBJECT!K6)</f>
        <v>Page5j_SANS_OBJECT!K6</v>
      </c>
      <c r="B1798" s="1464" t="s">
        <v>1086</v>
      </c>
      <c r="C1798" s="1451" t="b">
        <f>Page5j_SANS_OBJECT!$K$6&lt;0</f>
        <v>0</v>
      </c>
      <c r="D1798" s="1454" t="b">
        <f>OR(AND(Page5j_SANS_OBJECT!$K6&gt;0,Page5j_SANS_OBJECT!$M6=0),AND(Page5j_SANS_OBJECT!$M6&lt;&gt;0,Page5j_SANS_OBJECT!$K6=0))</f>
        <v>0</v>
      </c>
      <c r="E1798" s="1454"/>
      <c r="F1798" s="1454"/>
      <c r="G1798" s="1444" t="str">
        <f t="shared" si="246"/>
        <v/>
      </c>
      <c r="H1798" s="1447" t="str">
        <f>IF(C1798=TRUE,Comments!$B$26,"")</f>
        <v/>
      </c>
      <c r="I1798" s="1446" t="str">
        <f>IF(D1798=TRUE,Comments!$B$21,"")</f>
        <v/>
      </c>
      <c r="J1798" s="1446"/>
      <c r="K1798" s="1452"/>
      <c r="N1798" s="611" t="str">
        <f>"CPTE # "&amp;Page5j_SANS_OBJECT!$E$6&amp;"  "&amp;Page5j_SANS_OBJECT!$C$6&amp;" - UNITÉS - AAD"</f>
        <v>CPTE # 402J  NE PAS UTILISER - UNITÉS - AAD</v>
      </c>
      <c r="O1798" s="611" t="str">
        <f t="shared" si="245"/>
        <v/>
      </c>
      <c r="P1798" s="611" t="str">
        <f t="shared" si="247"/>
        <v>Page5j_SANS_OBJECT!K</v>
      </c>
      <c r="Q1798" s="611">
        <f t="shared" si="248"/>
        <v>6</v>
      </c>
      <c r="R1798" s="1447">
        <f t="shared" ca="1" si="249"/>
        <v>0</v>
      </c>
      <c r="S1798" s="1447">
        <f t="shared" ca="1" si="250"/>
        <v>0</v>
      </c>
      <c r="V1798" s="2557" t="str">
        <f t="shared" ca="1" si="244"/>
        <v/>
      </c>
      <c r="W1798" s="611" t="str">
        <f t="shared" ca="1" si="251"/>
        <v>Page5j_SANS_OBJECT, Ligne 3 [Page5j_SANS_OBJECT!K6]  -</v>
      </c>
    </row>
    <row r="1799" spans="1:23">
      <c r="A1799" s="1443" t="str">
        <f>celladdr(Page5j_SANS_OBJECT!K7)</f>
        <v>Page5j_SANS_OBJECT!K7</v>
      </c>
      <c r="B1799" s="1464" t="s">
        <v>1086</v>
      </c>
      <c r="C1799" s="1451" t="b">
        <f>Page5j_SANS_OBJECT!$K$7&lt;0</f>
        <v>0</v>
      </c>
      <c r="D1799" s="1454" t="b">
        <f>OR(AND(Page5j_SANS_OBJECT!$K7&gt;0,Page5j_SANS_OBJECT!$M7=0),AND(Page5j_SANS_OBJECT!$M7&lt;&gt;0,Page5j_SANS_OBJECT!$K7=0))</f>
        <v>0</v>
      </c>
      <c r="E1799" s="1454"/>
      <c r="F1799" s="1454"/>
      <c r="G1799" s="1444" t="str">
        <f t="shared" si="246"/>
        <v/>
      </c>
      <c r="H1799" s="1447" t="str">
        <f>IF(C1799=TRUE,Comments!$B$26,"")</f>
        <v/>
      </c>
      <c r="I1799" s="1446" t="str">
        <f>IF(D1799=TRUE,Comments!$B$21,"")</f>
        <v/>
      </c>
      <c r="J1799" s="1446"/>
      <c r="K1799" s="1452"/>
      <c r="N1799" s="611" t="str">
        <f>"CPTE # "&amp;Page5j_SANS_OBJECT!$E$7&amp;"  "&amp;Page5j_SANS_OBJECT!$C$7&amp;" - UNITÉS - AAD"</f>
        <v>CPTE # 403J  NE PAS UTILISER - UNITÉS - AAD</v>
      </c>
      <c r="O1799" s="611" t="str">
        <f t="shared" si="245"/>
        <v/>
      </c>
      <c r="P1799" s="611" t="str">
        <f t="shared" si="247"/>
        <v>Page5j_SANS_OBJECT!K</v>
      </c>
      <c r="Q1799" s="611">
        <f t="shared" si="248"/>
        <v>7</v>
      </c>
      <c r="R1799" s="1447">
        <f t="shared" ca="1" si="249"/>
        <v>0</v>
      </c>
      <c r="S1799" s="1447">
        <f t="shared" ca="1" si="250"/>
        <v>0</v>
      </c>
      <c r="V1799" s="2557" t="str">
        <f t="shared" ca="1" si="244"/>
        <v/>
      </c>
      <c r="W1799" s="611" t="str">
        <f t="shared" ca="1" si="251"/>
        <v>Page5j_SANS_OBJECT, Ligne 4 [Page5j_SANS_OBJECT!K7]  -</v>
      </c>
    </row>
    <row r="1800" spans="1:23">
      <c r="A1800" s="1443" t="str">
        <f>celladdr(Page5j_SANS_OBJECT!K8)</f>
        <v>Page5j_SANS_OBJECT!K8</v>
      </c>
      <c r="B1800" s="1464" t="s">
        <v>1086</v>
      </c>
      <c r="C1800" s="1451" t="b">
        <f>Page5j_SANS_OBJECT!$K$8&lt;0</f>
        <v>0</v>
      </c>
      <c r="D1800" s="1454" t="b">
        <f>OR(AND(Page5j_SANS_OBJECT!$K8&gt;0,Page5j_SANS_OBJECT!$M8=0),AND(Page5j_SANS_OBJECT!$M8&lt;&gt;0,Page5j_SANS_OBJECT!$K8=0))</f>
        <v>0</v>
      </c>
      <c r="E1800" s="1454"/>
      <c r="F1800" s="1454"/>
      <c r="G1800" s="1444" t="str">
        <f t="shared" si="246"/>
        <v/>
      </c>
      <c r="H1800" s="1447" t="str">
        <f>IF(C1800=TRUE,Comments!$B$26,"")</f>
        <v/>
      </c>
      <c r="I1800" s="1446" t="str">
        <f>IF(D1800=TRUE,Comments!$B$21,"")</f>
        <v/>
      </c>
      <c r="J1800" s="1446"/>
      <c r="K1800" s="1452"/>
      <c r="N1800" s="611" t="str">
        <f>"CPTE # "&amp;Page5j_SANS_OBJECT!$E$8&amp;"  "&amp;Page5j_SANS_OBJECT!$C$8&amp;" - UNITÉS - AAD"</f>
        <v>CPTE # 404J  NE PAS UTILISER - UNITÉS - AAD</v>
      </c>
      <c r="O1800" s="611" t="str">
        <f t="shared" si="245"/>
        <v/>
      </c>
      <c r="P1800" s="611" t="str">
        <f t="shared" si="247"/>
        <v>Page5j_SANS_OBJECT!K</v>
      </c>
      <c r="Q1800" s="611">
        <f t="shared" si="248"/>
        <v>8</v>
      </c>
      <c r="R1800" s="1447">
        <f t="shared" ca="1" si="249"/>
        <v>0</v>
      </c>
      <c r="S1800" s="1447">
        <f t="shared" ca="1" si="250"/>
        <v>0</v>
      </c>
      <c r="V1800" s="2557" t="str">
        <f t="shared" ca="1" si="244"/>
        <v/>
      </c>
      <c r="W1800" s="611" t="str">
        <f t="shared" ca="1" si="251"/>
        <v>Page5j_SANS_OBJECT, Ligne 5 [Page5j_SANS_OBJECT!K8]  -</v>
      </c>
    </row>
    <row r="1801" spans="1:23">
      <c r="A1801" s="1443" t="str">
        <f>celladdr(Page5j_SANS_OBJECT!K9)</f>
        <v>Page5j_SANS_OBJECT!K9</v>
      </c>
      <c r="B1801" s="1464" t="s">
        <v>1086</v>
      </c>
      <c r="C1801" s="1451" t="b">
        <f>Page5j_SANS_OBJECT!$K$9&lt;0</f>
        <v>0</v>
      </c>
      <c r="D1801" s="1454" t="b">
        <f>OR(AND(Page5j_SANS_OBJECT!$K9&gt;0,Page5j_SANS_OBJECT!$M9=0),AND(Page5j_SANS_OBJECT!$M9&lt;&gt;0,Page5j_SANS_OBJECT!$K9=0))</f>
        <v>0</v>
      </c>
      <c r="E1801" s="1454"/>
      <c r="F1801" s="1454"/>
      <c r="G1801" s="1444" t="str">
        <f t="shared" si="246"/>
        <v/>
      </c>
      <c r="H1801" s="1447" t="str">
        <f>IF(C1801=TRUE,Comments!$B$26,"")</f>
        <v/>
      </c>
      <c r="I1801" s="1446" t="str">
        <f>IF(D1801=TRUE,Comments!$B$21,"")</f>
        <v/>
      </c>
      <c r="J1801" s="1446"/>
      <c r="K1801" s="1452"/>
      <c r="N1801" s="611" t="str">
        <f>"CPTE # "&amp;Page5j_SANS_OBJECT!$E$9&amp;"  "&amp;Page5j_SANS_OBJECT!$C$9&amp;" - UNITÉS - AAD"</f>
        <v>CPTE # 405J  NE PAS UTILISER - UNITÉS - AAD</v>
      </c>
      <c r="O1801" s="611" t="str">
        <f t="shared" si="245"/>
        <v/>
      </c>
      <c r="P1801" s="611" t="str">
        <f t="shared" si="247"/>
        <v>Page5j_SANS_OBJECT!K</v>
      </c>
      <c r="Q1801" s="611">
        <f t="shared" si="248"/>
        <v>9</v>
      </c>
      <c r="R1801" s="1447">
        <f t="shared" ca="1" si="249"/>
        <v>0</v>
      </c>
      <c r="S1801" s="1447">
        <f t="shared" ca="1" si="250"/>
        <v>0</v>
      </c>
      <c r="V1801" s="2557" t="str">
        <f t="shared" ca="1" si="244"/>
        <v/>
      </c>
      <c r="W1801" s="611" t="str">
        <f t="shared" ca="1" si="251"/>
        <v>Page5j_SANS_OBJECT, Ligne 6 [Page5j_SANS_OBJECT!K9]  -</v>
      </c>
    </row>
    <row r="1802" spans="1:23">
      <c r="A1802" s="1443" t="str">
        <f>celladdr(Page5j_SANS_OBJECT!K10)</f>
        <v>Page5j_SANS_OBJECT!K10</v>
      </c>
      <c r="B1802" s="1464" t="s">
        <v>1086</v>
      </c>
      <c r="C1802" s="1451" t="b">
        <f>Page5j_SANS_OBJECT!$K$10&lt;0</f>
        <v>0</v>
      </c>
      <c r="D1802" s="1454" t="b">
        <f>OR(AND(Page5j_SANS_OBJECT!$K10&gt;0,Page5j_SANS_OBJECT!$M10=0),AND(Page5j_SANS_OBJECT!$M10&lt;&gt;0,Page5j_SANS_OBJECT!$K10=0))</f>
        <v>0</v>
      </c>
      <c r="E1802" s="1454"/>
      <c r="F1802" s="1454"/>
      <c r="G1802" s="1444" t="str">
        <f t="shared" si="246"/>
        <v/>
      </c>
      <c r="H1802" s="1447" t="str">
        <f>IF(C1802=TRUE,Comments!$B$26,"")</f>
        <v/>
      </c>
      <c r="I1802" s="1446" t="str">
        <f>IF(D1802=TRUE,Comments!$B$21,"")</f>
        <v/>
      </c>
      <c r="J1802" s="1446"/>
      <c r="K1802" s="1452"/>
      <c r="N1802" s="611" t="str">
        <f>"CPTE # "&amp;Page5j_SANS_OBJECT!$E$10&amp;"  "&amp;Page5j_SANS_OBJECT!$C$10&amp;" - UNITÉS - AAD"</f>
        <v>CPTE # 406J  NE PAS UTILISER - UNITÉS - AAD</v>
      </c>
      <c r="O1802" s="611" t="str">
        <f t="shared" si="245"/>
        <v/>
      </c>
      <c r="P1802" s="611" t="str">
        <f t="shared" si="247"/>
        <v>Page5j_SANS_OBJECT!K</v>
      </c>
      <c r="Q1802" s="611">
        <f t="shared" si="248"/>
        <v>10</v>
      </c>
      <c r="R1802" s="1447">
        <f t="shared" ca="1" si="249"/>
        <v>0</v>
      </c>
      <c r="S1802" s="1447">
        <f t="shared" ca="1" si="250"/>
        <v>0</v>
      </c>
      <c r="V1802" s="2557" t="str">
        <f t="shared" ca="1" si="244"/>
        <v/>
      </c>
      <c r="W1802" s="611" t="str">
        <f t="shared" ca="1" si="251"/>
        <v>Page5j_SANS_OBJECT, Ligne 7 [Page5j_SANS_OBJECT!K10]  -</v>
      </c>
    </row>
    <row r="1803" spans="1:23">
      <c r="A1803" s="1443" t="str">
        <f>celladdr(Page5j_SANS_OBJECT!K11)</f>
        <v>Page5j_SANS_OBJECT!K11</v>
      </c>
      <c r="B1803" s="1464" t="s">
        <v>1086</v>
      </c>
      <c r="C1803" s="1451" t="b">
        <f>Page5j_SANS_OBJECT!$K$11&lt;0</f>
        <v>0</v>
      </c>
      <c r="D1803" s="1454" t="b">
        <f>OR(AND(Page5j_SANS_OBJECT!$K11&gt;0,Page5j_SANS_OBJECT!$M11=0),AND(Page5j_SANS_OBJECT!$M11&lt;&gt;0,Page5j_SANS_OBJECT!$K11=0))</f>
        <v>0</v>
      </c>
      <c r="E1803" s="1454"/>
      <c r="F1803" s="1454"/>
      <c r="G1803" s="1444" t="str">
        <f t="shared" si="246"/>
        <v/>
      </c>
      <c r="H1803" s="1447" t="str">
        <f>IF(C1803=TRUE,Comments!$B$26,"")</f>
        <v/>
      </c>
      <c r="I1803" s="1446" t="str">
        <f>IF(D1803=TRUE,Comments!$B$21,"")</f>
        <v/>
      </c>
      <c r="J1803" s="1446"/>
      <c r="K1803" s="1452"/>
      <c r="N1803" s="611" t="str">
        <f>"CPTE # "&amp;Page5j_SANS_OBJECT!$E$11&amp;"  "&amp;Page5j_SANS_OBJECT!$C$11&amp;" - UNITÉS - AAD"</f>
        <v>CPTE # 407J  NE PAS UTILISER - UNITÉS - AAD</v>
      </c>
      <c r="O1803" s="611" t="str">
        <f t="shared" si="245"/>
        <v/>
      </c>
      <c r="P1803" s="611" t="str">
        <f t="shared" si="247"/>
        <v>Page5j_SANS_OBJECT!K</v>
      </c>
      <c r="Q1803" s="611">
        <f t="shared" si="248"/>
        <v>11</v>
      </c>
      <c r="R1803" s="1447">
        <f t="shared" ca="1" si="249"/>
        <v>0</v>
      </c>
      <c r="S1803" s="1447">
        <f t="shared" ca="1" si="250"/>
        <v>0</v>
      </c>
      <c r="V1803" s="2557" t="str">
        <f t="shared" ca="1" si="244"/>
        <v/>
      </c>
      <c r="W1803" s="611" t="str">
        <f t="shared" ca="1" si="251"/>
        <v>Page5j_SANS_OBJECT, Ligne 8 [Page5j_SANS_OBJECT!K11]  -</v>
      </c>
    </row>
    <row r="1804" spans="1:23">
      <c r="A1804" s="1443" t="str">
        <f>celladdr(Page5j_SANS_OBJECT!K12)</f>
        <v>Page5j_SANS_OBJECT!K12</v>
      </c>
      <c r="B1804" s="1464" t="s">
        <v>1086</v>
      </c>
      <c r="C1804" s="1451" t="b">
        <f>Page5j_SANS_OBJECT!$K$12&lt;0</f>
        <v>0</v>
      </c>
      <c r="D1804" s="1454" t="b">
        <f>OR(AND(Page5j_SANS_OBJECT!$K12&gt;0,Page5j_SANS_OBJECT!$M12=0),AND(Page5j_SANS_OBJECT!$M12&lt;&gt;0,Page5j_SANS_OBJECT!$K12=0))</f>
        <v>0</v>
      </c>
      <c r="E1804" s="1454"/>
      <c r="F1804" s="1454"/>
      <c r="G1804" s="1444" t="str">
        <f t="shared" si="246"/>
        <v/>
      </c>
      <c r="H1804" s="1447" t="str">
        <f>IF(C1804=TRUE,Comments!$B$26,"")</f>
        <v/>
      </c>
      <c r="I1804" s="1446" t="str">
        <f>IF(D1804=TRUE,Comments!$B$21,"")</f>
        <v/>
      </c>
      <c r="J1804" s="1446"/>
      <c r="K1804" s="1452"/>
      <c r="N1804" s="611" t="str">
        <f>"CPTE # "&amp;Page5j_SANS_OBJECT!$E$12&amp;"  "&amp;Page5j_SANS_OBJECT!$C$12&amp;" - UNITÉS - AAD"</f>
        <v>CPTE # 408J  NE PAS UTILISER - UNITÉS - AAD</v>
      </c>
      <c r="O1804" s="611" t="str">
        <f t="shared" si="245"/>
        <v/>
      </c>
      <c r="P1804" s="611" t="str">
        <f t="shared" si="247"/>
        <v>Page5j_SANS_OBJECT!K</v>
      </c>
      <c r="Q1804" s="611">
        <f t="shared" si="248"/>
        <v>12</v>
      </c>
      <c r="R1804" s="1447">
        <f t="shared" ca="1" si="249"/>
        <v>0</v>
      </c>
      <c r="S1804" s="1447">
        <f t="shared" ca="1" si="250"/>
        <v>0</v>
      </c>
      <c r="V1804" s="2557" t="str">
        <f t="shared" ca="1" si="244"/>
        <v/>
      </c>
      <c r="W1804" s="611" t="str">
        <f t="shared" ca="1" si="251"/>
        <v>Page5j_SANS_OBJECT, Ligne 9 [Page5j_SANS_OBJECT!K12]  -</v>
      </c>
    </row>
    <row r="1805" spans="1:23">
      <c r="A1805" s="1443" t="str">
        <f>celladdr(Page5j_SANS_OBJECT!K13)</f>
        <v>Page5j_SANS_OBJECT!K13</v>
      </c>
      <c r="B1805" s="1464" t="s">
        <v>1086</v>
      </c>
      <c r="C1805" s="1451" t="b">
        <f>Page5j_SANS_OBJECT!$K$13&lt;0</f>
        <v>0</v>
      </c>
      <c r="D1805" s="1454" t="b">
        <f>OR(AND(Page5j_SANS_OBJECT!$K13&gt;0,Page5j_SANS_OBJECT!$M13=0),AND(Page5j_SANS_OBJECT!$M13&lt;&gt;0,Page5j_SANS_OBJECT!$K13=0))</f>
        <v>0</v>
      </c>
      <c r="E1805" s="1454"/>
      <c r="F1805" s="1454"/>
      <c r="G1805" s="1444" t="str">
        <f t="shared" si="246"/>
        <v/>
      </c>
      <c r="H1805" s="1447" t="str">
        <f>IF(C1805=TRUE,Comments!$B$26,"")</f>
        <v/>
      </c>
      <c r="I1805" s="1446" t="str">
        <f>IF(D1805=TRUE,Comments!$B$21,"")</f>
        <v/>
      </c>
      <c r="J1805" s="1446"/>
      <c r="K1805" s="1452"/>
      <c r="N1805" s="611" t="str">
        <f>"CPTE # "&amp;Page5j_SANS_OBJECT!$E$13&amp;"  "&amp;Page5j_SANS_OBJECT!$C$13&amp;" - UNITÉS - AAD"</f>
        <v>CPTE # 409J  NE PAS UTILISER - UNITÉS - AAD</v>
      </c>
      <c r="O1805" s="611" t="str">
        <f t="shared" si="245"/>
        <v/>
      </c>
      <c r="P1805" s="611" t="str">
        <f t="shared" si="247"/>
        <v>Page5j_SANS_OBJECT!K</v>
      </c>
      <c r="Q1805" s="611">
        <f t="shared" si="248"/>
        <v>13</v>
      </c>
      <c r="R1805" s="1447">
        <f t="shared" ca="1" si="249"/>
        <v>0</v>
      </c>
      <c r="S1805" s="1447">
        <f t="shared" ca="1" si="250"/>
        <v>0</v>
      </c>
      <c r="V1805" s="2557" t="str">
        <f t="shared" ca="1" si="244"/>
        <v/>
      </c>
      <c r="W1805" s="611" t="str">
        <f t="shared" ca="1" si="251"/>
        <v>Page5j_SANS_OBJECT, Ligne 10 [Page5j_SANS_OBJECT!K13]  -</v>
      </c>
    </row>
    <row r="1806" spans="1:23">
      <c r="A1806" s="1443" t="str">
        <f>celladdr(Page5j_SANS_OBJECT!K14)</f>
        <v>Page5j_SANS_OBJECT!K14</v>
      </c>
      <c r="B1806" s="1464" t="s">
        <v>1086</v>
      </c>
      <c r="C1806" s="1451" t="b">
        <f>Page5j_SANS_OBJECT!$K$14&lt;0</f>
        <v>0</v>
      </c>
      <c r="D1806" s="1454" t="b">
        <f>OR(AND(Page5j_SANS_OBJECT!$K14&gt;0,Page5j_SANS_OBJECT!$M14=0),AND(Page5j_SANS_OBJECT!$M14&lt;&gt;0,Page5j_SANS_OBJECT!$K14=0))</f>
        <v>0</v>
      </c>
      <c r="E1806" s="1454"/>
      <c r="F1806" s="1454"/>
      <c r="G1806" s="1444" t="str">
        <f t="shared" si="246"/>
        <v/>
      </c>
      <c r="H1806" s="1447" t="str">
        <f>IF(C1806=TRUE,Comments!$B$26,"")</f>
        <v/>
      </c>
      <c r="I1806" s="1446" t="str">
        <f>IF(D1806=TRUE,Comments!$B$21,"")</f>
        <v/>
      </c>
      <c r="J1806" s="1446"/>
      <c r="K1806" s="1452"/>
      <c r="N1806" s="611" t="str">
        <f>"CPTE # "&amp;Page5j_SANS_OBJECT!$E$14&amp;"  "&amp;Page5j_SANS_OBJECT!$C$14&amp;" - UNITÉS - AAD"</f>
        <v>CPTE # 410J  NE PAS UTILISER - UNITÉS - AAD</v>
      </c>
      <c r="O1806" s="611" t="str">
        <f t="shared" si="245"/>
        <v/>
      </c>
      <c r="P1806" s="611" t="str">
        <f t="shared" si="247"/>
        <v>Page5j_SANS_OBJECT!K</v>
      </c>
      <c r="Q1806" s="611">
        <f t="shared" si="248"/>
        <v>14</v>
      </c>
      <c r="R1806" s="1447">
        <f t="shared" ca="1" si="249"/>
        <v>0</v>
      </c>
      <c r="S1806" s="1447">
        <f t="shared" ca="1" si="250"/>
        <v>0</v>
      </c>
      <c r="V1806" s="2557" t="str">
        <f t="shared" ca="1" si="244"/>
        <v/>
      </c>
      <c r="W1806" s="611" t="str">
        <f t="shared" ca="1" si="251"/>
        <v>Page5j_SANS_OBJECT, Ligne 11 [Page5j_SANS_OBJECT!K14]  -</v>
      </c>
    </row>
    <row r="1807" spans="1:23">
      <c r="A1807" s="1443" t="str">
        <f>celladdr(Page5j_SANS_OBJECT!K15)</f>
        <v>Page5j_SANS_OBJECT!K15</v>
      </c>
      <c r="B1807" s="1464" t="s">
        <v>1086</v>
      </c>
      <c r="C1807" s="1451" t="b">
        <f>Page5j_SANS_OBJECT!$K$15&lt;0</f>
        <v>0</v>
      </c>
      <c r="D1807" s="1454" t="b">
        <f>OR(AND(Page5j_SANS_OBJECT!$K15&gt;0,Page5j_SANS_OBJECT!$M15=0),AND(Page5j_SANS_OBJECT!$M15&lt;&gt;0,Page5j_SANS_OBJECT!$K15=0))</f>
        <v>0</v>
      </c>
      <c r="E1807" s="1454"/>
      <c r="F1807" s="1454"/>
      <c r="G1807" s="1444" t="str">
        <f t="shared" si="246"/>
        <v/>
      </c>
      <c r="H1807" s="1447" t="str">
        <f>IF(C1807=TRUE,Comments!$B$26,"")</f>
        <v/>
      </c>
      <c r="I1807" s="1446" t="str">
        <f>IF(D1807=TRUE,Comments!$B$21,"")</f>
        <v/>
      </c>
      <c r="J1807" s="1446"/>
      <c r="K1807" s="1452"/>
      <c r="N1807" s="611" t="str">
        <f>"CPTE # "&amp;Page5j_SANS_OBJECT!$E$15&amp;"  "&amp;Page5j_SANS_OBJECT!$C$15&amp;" - UNITÉS - AAD"</f>
        <v>CPTE # 411J  NE PAS UTILISER - UNITÉS - AAD</v>
      </c>
      <c r="O1807" s="611" t="str">
        <f t="shared" si="245"/>
        <v/>
      </c>
      <c r="P1807" s="611" t="str">
        <f t="shared" si="247"/>
        <v>Page5j_SANS_OBJECT!K</v>
      </c>
      <c r="Q1807" s="611">
        <f t="shared" si="248"/>
        <v>15</v>
      </c>
      <c r="R1807" s="1447">
        <f t="shared" ca="1" si="249"/>
        <v>0</v>
      </c>
      <c r="S1807" s="1447">
        <f t="shared" ca="1" si="250"/>
        <v>0</v>
      </c>
      <c r="V1807" s="2557" t="str">
        <f t="shared" ca="1" si="244"/>
        <v/>
      </c>
      <c r="W1807" s="611" t="str">
        <f t="shared" ca="1" si="251"/>
        <v>Page5j_SANS_OBJECT, Ligne 12 [Page5j_SANS_OBJECT!K15]  -</v>
      </c>
    </row>
    <row r="1808" spans="1:23">
      <c r="A1808" s="1443" t="str">
        <f>celladdr(Page5j_SANS_OBJECT!K16)</f>
        <v>Page5j_SANS_OBJECT!K16</v>
      </c>
      <c r="B1808" s="1464" t="s">
        <v>1086</v>
      </c>
      <c r="C1808" s="1451" t="b">
        <f>Page5j_SANS_OBJECT!$K$16&lt;0</f>
        <v>0</v>
      </c>
      <c r="D1808" s="1454" t="b">
        <f>OR(AND(Page5j_SANS_OBJECT!$K16&gt;0,Page5j_SANS_OBJECT!$M16=0),AND(Page5j_SANS_OBJECT!$M16&lt;&gt;0,Page5j_SANS_OBJECT!$K16=0))</f>
        <v>0</v>
      </c>
      <c r="E1808" s="1454"/>
      <c r="F1808" s="1454"/>
      <c r="G1808" s="1444" t="str">
        <f t="shared" si="246"/>
        <v/>
      </c>
      <c r="H1808" s="1447" t="str">
        <f>IF(C1808=TRUE,Comments!$B$26,"")</f>
        <v/>
      </c>
      <c r="I1808" s="1446" t="str">
        <f>IF(D1808=TRUE,Comments!$B$21,"")</f>
        <v/>
      </c>
      <c r="J1808" s="1446"/>
      <c r="K1808" s="1452"/>
      <c r="N1808" s="611" t="str">
        <f>"CPTE # "&amp;Page5j_SANS_OBJECT!$E$16&amp;"  "&amp;Page5j_SANS_OBJECT!$C$16&amp;" - UNITÉS - AAD"</f>
        <v>CPTE # 412J  NE PAS UTILISER - UNITÉS - AAD</v>
      </c>
      <c r="O1808" s="611" t="str">
        <f t="shared" si="245"/>
        <v/>
      </c>
      <c r="P1808" s="611" t="str">
        <f t="shared" si="247"/>
        <v>Page5j_SANS_OBJECT!K</v>
      </c>
      <c r="Q1808" s="611">
        <f t="shared" si="248"/>
        <v>16</v>
      </c>
      <c r="R1808" s="1447">
        <f t="shared" ca="1" si="249"/>
        <v>0</v>
      </c>
      <c r="S1808" s="1447">
        <f t="shared" ca="1" si="250"/>
        <v>0</v>
      </c>
      <c r="V1808" s="2557" t="str">
        <f t="shared" ca="1" si="244"/>
        <v/>
      </c>
      <c r="W1808" s="611" t="str">
        <f t="shared" ca="1" si="251"/>
        <v>Page5j_SANS_OBJECT, Ligne 13 [Page5j_SANS_OBJECT!K16]  -</v>
      </c>
    </row>
    <row r="1809" spans="1:23">
      <c r="A1809" s="1443" t="str">
        <f>celladdr(Page5j_SANS_OBJECT!K17)</f>
        <v>Page5j_SANS_OBJECT!K17</v>
      </c>
      <c r="B1809" s="1464" t="s">
        <v>1086</v>
      </c>
      <c r="C1809" s="1451" t="b">
        <f>Page5j_SANS_OBJECT!$K$17&lt;0</f>
        <v>0</v>
      </c>
      <c r="D1809" s="1454" t="b">
        <f>OR(AND(Page5j_SANS_OBJECT!$K17&gt;0,Page5j_SANS_OBJECT!$M17=0),AND(Page5j_SANS_OBJECT!$M17&lt;&gt;0,Page5j_SANS_OBJECT!$K17=0))</f>
        <v>0</v>
      </c>
      <c r="E1809" s="1454"/>
      <c r="F1809" s="1454"/>
      <c r="G1809" s="1444" t="str">
        <f t="shared" si="246"/>
        <v/>
      </c>
      <c r="H1809" s="1447" t="str">
        <f>IF(C1809=TRUE,Comments!$B$26,"")</f>
        <v/>
      </c>
      <c r="I1809" s="1446" t="str">
        <f>IF(D1809=TRUE,Comments!$B$21,"")</f>
        <v/>
      </c>
      <c r="J1809" s="1446"/>
      <c r="K1809" s="1452"/>
      <c r="N1809" s="611" t="str">
        <f>"CPTE # "&amp;Page5j_SANS_OBJECT!$E$17&amp;"  "&amp;Page5j_SANS_OBJECT!$C$17&amp;" - UNITÉS - AAD"</f>
        <v>CPTE # 413J  NE PAS UTILISER - UNITÉS - AAD</v>
      </c>
      <c r="O1809" s="611" t="str">
        <f t="shared" si="245"/>
        <v/>
      </c>
      <c r="P1809" s="611" t="str">
        <f t="shared" si="247"/>
        <v>Page5j_SANS_OBJECT!K</v>
      </c>
      <c r="Q1809" s="611">
        <f t="shared" si="248"/>
        <v>17</v>
      </c>
      <c r="R1809" s="1447">
        <f t="shared" ca="1" si="249"/>
        <v>0</v>
      </c>
      <c r="S1809" s="1447">
        <f t="shared" ca="1" si="250"/>
        <v>0</v>
      </c>
      <c r="V1809" s="2557" t="str">
        <f t="shared" ca="1" si="244"/>
        <v/>
      </c>
      <c r="W1809" s="611" t="str">
        <f t="shared" ca="1" si="251"/>
        <v>Page5j_SANS_OBJECT, Ligne 14 [Page5j_SANS_OBJECT!K17]  -</v>
      </c>
    </row>
    <row r="1810" spans="1:23">
      <c r="A1810" s="1443" t="str">
        <f>celladdr(Page5j_SANS_OBJECT!K18)</f>
        <v>Page5j_SANS_OBJECT!K18</v>
      </c>
      <c r="B1810" s="1464" t="s">
        <v>1086</v>
      </c>
      <c r="C1810" s="1451" t="b">
        <f>Page5j_SANS_OBJECT!$K$18&lt;0</f>
        <v>0</v>
      </c>
      <c r="D1810" s="1454" t="b">
        <f>OR(AND(Page5j_SANS_OBJECT!$K18&gt;0,Page5j_SANS_OBJECT!$M18=0),AND(Page5j_SANS_OBJECT!$M18&lt;&gt;0,Page5j_SANS_OBJECT!$K18=0))</f>
        <v>0</v>
      </c>
      <c r="E1810" s="1454"/>
      <c r="F1810" s="1454"/>
      <c r="G1810" s="1444" t="str">
        <f t="shared" si="246"/>
        <v/>
      </c>
      <c r="H1810" s="1447" t="str">
        <f>IF(C1810=TRUE,Comments!$B$26,"")</f>
        <v/>
      </c>
      <c r="I1810" s="1446" t="str">
        <f>IF(D1810=TRUE,Comments!$B$21,"")</f>
        <v/>
      </c>
      <c r="J1810" s="1446"/>
      <c r="K1810" s="1452"/>
      <c r="N1810" s="611" t="str">
        <f>"CPTE # "&amp;Page5j_SANS_OBJECT!$E$18&amp;"  "&amp;Page5j_SANS_OBJECT!$C$18&amp;" - UNITÉS - AAD"</f>
        <v>CPTE # 414J  NE PAS UTILISER - UNITÉS - AAD</v>
      </c>
      <c r="O1810" s="611" t="str">
        <f t="shared" si="245"/>
        <v/>
      </c>
      <c r="P1810" s="611" t="str">
        <f t="shared" si="247"/>
        <v>Page5j_SANS_OBJECT!K</v>
      </c>
      <c r="Q1810" s="611">
        <f t="shared" si="248"/>
        <v>18</v>
      </c>
      <c r="R1810" s="1447">
        <f t="shared" ca="1" si="249"/>
        <v>0</v>
      </c>
      <c r="S1810" s="1447">
        <f t="shared" ca="1" si="250"/>
        <v>0</v>
      </c>
      <c r="V1810" s="2557" t="str">
        <f t="shared" ca="1" si="244"/>
        <v/>
      </c>
      <c r="W1810" s="611" t="str">
        <f t="shared" ca="1" si="251"/>
        <v>Page5j_SANS_OBJECT, Ligne 15 [Page5j_SANS_OBJECT!K18]  -</v>
      </c>
    </row>
    <row r="1811" spans="1:23">
      <c r="A1811" s="1443" t="str">
        <f>celladdr(Page5j_SANS_OBJECT!K19)</f>
        <v>Page5j_SANS_OBJECT!K19</v>
      </c>
      <c r="B1811" s="1464" t="s">
        <v>1086</v>
      </c>
      <c r="C1811" s="1451" t="b">
        <f>Page5j_SANS_OBJECT!$K$19&lt;0</f>
        <v>0</v>
      </c>
      <c r="D1811" s="1454" t="b">
        <f>OR(AND(Page5j_SANS_OBJECT!$K19&gt;0,Page5j_SANS_OBJECT!$M19=0),AND(Page5j_SANS_OBJECT!$M19&lt;&gt;0,Page5j_SANS_OBJECT!$K19=0))</f>
        <v>0</v>
      </c>
      <c r="E1811" s="1454"/>
      <c r="F1811" s="1454"/>
      <c r="G1811" s="1444" t="str">
        <f t="shared" si="246"/>
        <v/>
      </c>
      <c r="H1811" s="1447" t="str">
        <f>IF(C1811=TRUE,Comments!$B$26,"")</f>
        <v/>
      </c>
      <c r="I1811" s="1446" t="str">
        <f>IF(D1811=TRUE,Comments!$B$21,"")</f>
        <v/>
      </c>
      <c r="J1811" s="1446"/>
      <c r="K1811" s="1452"/>
      <c r="N1811" s="611" t="str">
        <f>"CPTE # "&amp;Page5j_SANS_OBJECT!$E$19&amp;"  "&amp;Page5j_SANS_OBJECT!$C$19&amp;" - UNITÉS - AAD"</f>
        <v>CPTE # 415J  NE PAS UTILISER - UNITÉS - AAD</v>
      </c>
      <c r="O1811" s="611" t="str">
        <f t="shared" si="245"/>
        <v/>
      </c>
      <c r="P1811" s="611" t="str">
        <f t="shared" si="247"/>
        <v>Page5j_SANS_OBJECT!K</v>
      </c>
      <c r="Q1811" s="611">
        <f t="shared" si="248"/>
        <v>19</v>
      </c>
      <c r="R1811" s="1447">
        <f t="shared" ca="1" si="249"/>
        <v>0</v>
      </c>
      <c r="S1811" s="1447">
        <f t="shared" ca="1" si="250"/>
        <v>0</v>
      </c>
      <c r="V1811" s="2557" t="str">
        <f t="shared" ca="1" si="244"/>
        <v/>
      </c>
      <c r="W1811" s="611" t="str">
        <f t="shared" ca="1" si="251"/>
        <v>Page5j_SANS_OBJECT, Ligne 16 [Page5j_SANS_OBJECT!K19]  -</v>
      </c>
    </row>
    <row r="1812" spans="1:23">
      <c r="A1812" s="1443" t="str">
        <f>celladdr(Page5j_SANS_OBJECT!K20)</f>
        <v>Page5j_SANS_OBJECT!K20</v>
      </c>
      <c r="B1812" s="1464" t="s">
        <v>1086</v>
      </c>
      <c r="C1812" s="1451" t="b">
        <f>Page5j_SANS_OBJECT!$K$20&lt;0</f>
        <v>0</v>
      </c>
      <c r="D1812" s="1454" t="b">
        <f>OR(AND(Page5j_SANS_OBJECT!$K20&gt;0,Page5j_SANS_OBJECT!$M20=0),AND(Page5j_SANS_OBJECT!$M20&lt;&gt;0,Page5j_SANS_OBJECT!$K20=0))</f>
        <v>0</v>
      </c>
      <c r="E1812" s="1454"/>
      <c r="F1812" s="1454"/>
      <c r="G1812" s="1444" t="str">
        <f t="shared" si="246"/>
        <v/>
      </c>
      <c r="H1812" s="1447" t="str">
        <f>IF(C1812=TRUE,Comments!$B$26,"")</f>
        <v/>
      </c>
      <c r="I1812" s="1446" t="str">
        <f>IF(D1812=TRUE,Comments!$B$21,"")</f>
        <v/>
      </c>
      <c r="J1812" s="1446"/>
      <c r="K1812" s="1452"/>
      <c r="N1812" s="611" t="str">
        <f>"CPTE # "&amp;Page5j_SANS_OBJECT!$E$20&amp;"  "&amp;Page5j_SANS_OBJECT!$C$20&amp;" - UNITÉS - AAD"</f>
        <v>CPTE # 416J  NE PAS UTILISER - UNITÉS - AAD</v>
      </c>
      <c r="O1812" s="611" t="str">
        <f t="shared" si="245"/>
        <v/>
      </c>
      <c r="P1812" s="611" t="str">
        <f t="shared" si="247"/>
        <v>Page5j_SANS_OBJECT!K</v>
      </c>
      <c r="Q1812" s="611">
        <f t="shared" si="248"/>
        <v>20</v>
      </c>
      <c r="R1812" s="1447">
        <f t="shared" ca="1" si="249"/>
        <v>0</v>
      </c>
      <c r="S1812" s="1447">
        <f t="shared" ca="1" si="250"/>
        <v>0</v>
      </c>
      <c r="V1812" s="2557" t="str">
        <f t="shared" ca="1" si="244"/>
        <v/>
      </c>
      <c r="W1812" s="611" t="str">
        <f t="shared" ca="1" si="251"/>
        <v>Page5j_SANS_OBJECT, Ligne 17 [Page5j_SANS_OBJECT!K20]  -</v>
      </c>
    </row>
    <row r="1813" spans="1:23">
      <c r="A1813" s="1443" t="str">
        <f>celladdr(Page5j_SANS_OBJECT!K21)</f>
        <v>Page5j_SANS_OBJECT!K21</v>
      </c>
      <c r="B1813" s="1464" t="s">
        <v>1086</v>
      </c>
      <c r="C1813" s="1451" t="b">
        <f>Page5j_SANS_OBJECT!$K$21&lt;0</f>
        <v>0</v>
      </c>
      <c r="D1813" s="1454" t="b">
        <f>OR(AND(Page5j_SANS_OBJECT!$K21&gt;0,Page5j_SANS_OBJECT!$M21=0),AND(Page5j_SANS_OBJECT!$M21&lt;&gt;0,Page5j_SANS_OBJECT!$K21=0))</f>
        <v>0</v>
      </c>
      <c r="E1813" s="1454"/>
      <c r="F1813" s="1454"/>
      <c r="G1813" s="1444" t="str">
        <f t="shared" si="246"/>
        <v/>
      </c>
      <c r="H1813" s="1447" t="str">
        <f>IF(C1813=TRUE,Comments!$B$26,"")</f>
        <v/>
      </c>
      <c r="I1813" s="1446" t="str">
        <f>IF(D1813=TRUE,Comments!$B$21,"")</f>
        <v/>
      </c>
      <c r="J1813" s="1446"/>
      <c r="K1813" s="1452"/>
      <c r="N1813" s="611" t="str">
        <f>"CPTE # "&amp;Page5j_SANS_OBJECT!$E$21&amp;"  "&amp;Page5j_SANS_OBJECT!$C$21&amp;" - UNITÉS - AAD"</f>
        <v>CPTE # 417J  NE PAS UTILISER - UNITÉS - AAD</v>
      </c>
      <c r="O1813" s="611" t="str">
        <f t="shared" si="245"/>
        <v/>
      </c>
      <c r="P1813" s="611" t="str">
        <f t="shared" si="247"/>
        <v>Page5j_SANS_OBJECT!K</v>
      </c>
      <c r="Q1813" s="611">
        <f t="shared" si="248"/>
        <v>21</v>
      </c>
      <c r="R1813" s="1447">
        <f t="shared" ca="1" si="249"/>
        <v>0</v>
      </c>
      <c r="S1813" s="1447">
        <f t="shared" ca="1" si="250"/>
        <v>0</v>
      </c>
      <c r="V1813" s="2557" t="str">
        <f t="shared" ca="1" si="244"/>
        <v/>
      </c>
      <c r="W1813" s="611" t="str">
        <f t="shared" ca="1" si="251"/>
        <v>Page5j_SANS_OBJECT, Ligne 18 [Page5j_SANS_OBJECT!K21]  -</v>
      </c>
    </row>
    <row r="1814" spans="1:23">
      <c r="A1814" s="1443" t="str">
        <f>celladdr(Page5j_SANS_OBJECT!K22)</f>
        <v>Page5j_SANS_OBJECT!K22</v>
      </c>
      <c r="B1814" s="1464" t="s">
        <v>1086</v>
      </c>
      <c r="C1814" s="1451" t="b">
        <f>Page5j_SANS_OBJECT!$K$22&lt;0</f>
        <v>0</v>
      </c>
      <c r="D1814" s="1454" t="b">
        <f>OR(AND(Page5j_SANS_OBJECT!$K22&gt;0,Page5j_SANS_OBJECT!$M22=0),AND(Page5j_SANS_OBJECT!$M22&lt;&gt;0,Page5j_SANS_OBJECT!$K22=0))</f>
        <v>0</v>
      </c>
      <c r="E1814" s="1454"/>
      <c r="F1814" s="1454"/>
      <c r="G1814" s="1444" t="str">
        <f t="shared" si="246"/>
        <v/>
      </c>
      <c r="H1814" s="1447" t="str">
        <f>IF(C1814=TRUE,Comments!$B$26,"")</f>
        <v/>
      </c>
      <c r="I1814" s="1446" t="str">
        <f>IF(D1814=TRUE,Comments!$B$21,"")</f>
        <v/>
      </c>
      <c r="J1814" s="1446"/>
      <c r="K1814" s="1452"/>
      <c r="N1814" s="611" t="str">
        <f>"CPTE # "&amp;Page5j_SANS_OBJECT!$E$22&amp;"  "&amp;Page5j_SANS_OBJECT!$C$22&amp;" - UNITÉS - AAD"</f>
        <v>CPTE # 418J  NE PAS UTILISER - UNITÉS - AAD</v>
      </c>
      <c r="O1814" s="611" t="str">
        <f t="shared" si="245"/>
        <v/>
      </c>
      <c r="P1814" s="611" t="str">
        <f t="shared" si="247"/>
        <v>Page5j_SANS_OBJECT!K</v>
      </c>
      <c r="Q1814" s="611">
        <f t="shared" si="248"/>
        <v>22</v>
      </c>
      <c r="R1814" s="1447">
        <f t="shared" ca="1" si="249"/>
        <v>0</v>
      </c>
      <c r="S1814" s="1447">
        <f t="shared" ca="1" si="250"/>
        <v>0</v>
      </c>
      <c r="V1814" s="2557" t="str">
        <f t="shared" ca="1" si="244"/>
        <v/>
      </c>
      <c r="W1814" s="611" t="str">
        <f t="shared" ca="1" si="251"/>
        <v>Page5j_SANS_OBJECT, Ligne 19 [Page5j_SANS_OBJECT!K22]  -</v>
      </c>
    </row>
    <row r="1815" spans="1:23">
      <c r="A1815" s="1443" t="str">
        <f>celladdr(Page5j_SANS_OBJECT!K23)</f>
        <v>Page5j_SANS_OBJECT!K23</v>
      </c>
      <c r="B1815" s="1444" t="s">
        <v>1086</v>
      </c>
      <c r="C1815" s="1451"/>
      <c r="D1815" s="1454"/>
      <c r="E1815" s="1454"/>
      <c r="F1815" s="1454"/>
      <c r="G1815" s="1444" t="str">
        <f t="shared" si="246"/>
        <v/>
      </c>
      <c r="H1815" s="1447" t="str">
        <f>IF(C1815=TRUE,Comments!$B$26,"")</f>
        <v/>
      </c>
      <c r="I1815" s="1446" t="str">
        <f>IF(D1815=TRUE,Comments!$B$21,"")</f>
        <v/>
      </c>
      <c r="J1815" s="1446"/>
      <c r="K1815" s="1452"/>
      <c r="O1815" s="611" t="str">
        <f t="shared" si="245"/>
        <v/>
      </c>
      <c r="P1815" s="611" t="str">
        <f t="shared" si="247"/>
        <v>Page5j_SANS_OBJECT!K</v>
      </c>
      <c r="Q1815" s="611">
        <f t="shared" si="248"/>
        <v>23</v>
      </c>
      <c r="R1815" s="1447">
        <f t="shared" ca="1" si="249"/>
        <v>0</v>
      </c>
      <c r="S1815" s="1447">
        <f t="shared" ca="1" si="250"/>
        <v>0</v>
      </c>
      <c r="V1815" s="2557" t="str">
        <f t="shared" ca="1" si="244"/>
        <v/>
      </c>
      <c r="W1815" s="611" t="str">
        <f t="shared" ca="1" si="251"/>
        <v>Page5j_SANS_OBJECT, Ligne 20 [Page5j_SANS_OBJECT!K23]  -</v>
      </c>
    </row>
    <row r="1816" spans="1:23">
      <c r="A1816" s="1443" t="str">
        <f>celladdr(Page5j_SANS_OBJECT!K24)</f>
        <v>Page5j_SANS_OBJECT!K24</v>
      </c>
      <c r="B1816" s="1464" t="s">
        <v>1086</v>
      </c>
      <c r="C1816" s="1451" t="b">
        <f>Page5j_SANS_OBJECT!$K$24&lt;0</f>
        <v>0</v>
      </c>
      <c r="D1816" s="1454" t="b">
        <f>OR(AND(Page5j_SANS_OBJECT!$K24&gt;0,Page5j_SANS_OBJECT!$M24=0),AND(Page5j_SANS_OBJECT!$M24&lt;&gt;0,Page5j_SANS_OBJECT!$K24=0))</f>
        <v>0</v>
      </c>
      <c r="E1816" s="1454"/>
      <c r="F1816" s="1454"/>
      <c r="G1816" s="1444" t="str">
        <f t="shared" si="246"/>
        <v/>
      </c>
      <c r="H1816" s="1447" t="str">
        <f>IF(C1816=TRUE,Comments!$B$26,"")</f>
        <v/>
      </c>
      <c r="I1816" s="1446" t="str">
        <f>IF(D1816=TRUE,Comments!$B$21,"")</f>
        <v/>
      </c>
      <c r="J1816" s="1446"/>
      <c r="K1816" s="1452"/>
      <c r="N1816" s="611" t="str">
        <f>"CPTE # "&amp;Page5j_SANS_OBJECT!$E$24&amp;"  "&amp;Page5j_SANS_OBJECT!$C$24&amp;" - UNITÉS - AAD"</f>
        <v>CPTE # 419J  MÉMO* VENTES INTERNET VOITURES - UNITÉS - AAD</v>
      </c>
      <c r="O1816" s="611" t="str">
        <f t="shared" si="245"/>
        <v/>
      </c>
      <c r="P1816" s="611" t="str">
        <f t="shared" si="247"/>
        <v>Page5j_SANS_OBJECT!K</v>
      </c>
      <c r="Q1816" s="611">
        <f t="shared" si="248"/>
        <v>24</v>
      </c>
      <c r="R1816" s="1447">
        <f t="shared" ca="1" si="249"/>
        <v>0</v>
      </c>
      <c r="S1816" s="1447">
        <f t="shared" ca="1" si="250"/>
        <v>0</v>
      </c>
      <c r="V1816" s="2557" t="str">
        <f t="shared" ref="V1816:V1879" ca="1" si="252">IF(SUM(R1816+S1816)=0,"","
*** "&amp;TEXT(SUM(R1816+S1816),"0,0")&amp;" Points de précision seront déduits suite à cette(ces) erreur(s) !")</f>
        <v/>
      </c>
      <c r="W1816" s="611" t="str">
        <f t="shared" ca="1" si="251"/>
        <v>Page5j_SANS_OBJECT, Ligne 21 [Page5j_SANS_OBJECT!K24]  -</v>
      </c>
    </row>
    <row r="1817" spans="1:23">
      <c r="A1817" s="1443" t="str">
        <f>celladdr(Page5j_SANS_OBJECT!K25)</f>
        <v>Page5j_SANS_OBJECT!K25</v>
      </c>
      <c r="B1817" s="1464" t="s">
        <v>1086</v>
      </c>
      <c r="C1817" s="1451" t="b">
        <f>Page5j_SANS_OBJECT!$K$25&lt;0</f>
        <v>0</v>
      </c>
      <c r="D1817" s="1454" t="b">
        <f>OR(AND(Page5j_SANS_OBJECT!$K25&gt;0,Page5j_SANS_OBJECT!$M25=0),AND(Page5j_SANS_OBJECT!$M25&lt;&gt;0,Page5j_SANS_OBJECT!$K25=0))</f>
        <v>0</v>
      </c>
      <c r="E1817" s="1454"/>
      <c r="F1817" s="1454"/>
      <c r="G1817" s="1444" t="str">
        <f t="shared" si="246"/>
        <v/>
      </c>
      <c r="H1817" s="1447" t="str">
        <f>IF(C1817=TRUE,Comments!$B$26,"")</f>
        <v/>
      </c>
      <c r="I1817" s="1446" t="str">
        <f>IF(D1817=TRUE,Comments!$B$21,"")</f>
        <v/>
      </c>
      <c r="J1817" s="1446"/>
      <c r="K1817" s="1452"/>
      <c r="N1817" s="611" t="str">
        <f>"CPTE # "&amp;Page5j_SANS_OBJECT!$E$25&amp;"  "&amp;Page5j_SANS_OBJECT!$C$25&amp;" - UNITÉS - AAD"</f>
        <v>CPTE # 420J  TOTAL PARCS - VOITURES - UNITÉS - AAD</v>
      </c>
      <c r="O1817" s="611" t="str">
        <f t="shared" si="245"/>
        <v/>
      </c>
      <c r="P1817" s="611" t="str">
        <f t="shared" si="247"/>
        <v>Page5j_SANS_OBJECT!K</v>
      </c>
      <c r="Q1817" s="611">
        <f t="shared" si="248"/>
        <v>25</v>
      </c>
      <c r="R1817" s="1447">
        <f t="shared" ca="1" si="249"/>
        <v>0</v>
      </c>
      <c r="S1817" s="1447">
        <f t="shared" ca="1" si="250"/>
        <v>0</v>
      </c>
      <c r="V1817" s="2557" t="str">
        <f t="shared" ca="1" si="252"/>
        <v/>
      </c>
      <c r="W1817" s="611" t="str">
        <f t="shared" ca="1" si="251"/>
        <v>Page5j_SANS_OBJECT, Ligne 22 [Page5j_SANS_OBJECT!K25]  -</v>
      </c>
    </row>
    <row r="1818" spans="1:23">
      <c r="A1818" s="1443" t="str">
        <f>celladdr(Page5j_SANS_OBJECT!K26)</f>
        <v>Page5j_SANS_OBJECT!K26</v>
      </c>
      <c r="B1818" s="1464" t="s">
        <v>1086</v>
      </c>
      <c r="C1818" s="1451" t="b">
        <f>Page5j_SANS_OBJECT!$K$26&lt;0</f>
        <v>0</v>
      </c>
      <c r="D1818" s="1454" t="b">
        <f>OR(AND(Page5j_SANS_OBJECT!$K26&gt;0,Page5j_SANS_OBJECT!$M26=0),AND(Page5j_SANS_OBJECT!$M26&lt;&gt;0,Page5j_SANS_OBJECT!$K26=0))</f>
        <v>0</v>
      </c>
      <c r="E1818" s="1454"/>
      <c r="F1818" s="1454"/>
      <c r="G1818" s="1444" t="str">
        <f t="shared" si="246"/>
        <v/>
      </c>
      <c r="H1818" s="1447" t="str">
        <f>IF(C1818=TRUE,Comments!$B$26,"")</f>
        <v/>
      </c>
      <c r="I1818" s="1446" t="str">
        <f>IF(D1818=TRUE,Comments!$B$21,"")</f>
        <v/>
      </c>
      <c r="J1818" s="1446"/>
      <c r="K1818" s="1452"/>
      <c r="N1818" s="611" t="str">
        <f>"CPTE # "&amp;Page5j_SANS_OBJECT!$E$26&amp;"  "&amp;Page5j_SANS_OBJECT!$C$26&amp;" - UNITÉS - AAD"</f>
        <v>CPTE # 421J  TOTAL INTERNE - VOITURES - UNITÉS - AAD</v>
      </c>
      <c r="O1818" s="611" t="str">
        <f t="shared" si="245"/>
        <v/>
      </c>
      <c r="P1818" s="611" t="str">
        <f t="shared" si="247"/>
        <v>Page5j_SANS_OBJECT!K</v>
      </c>
      <c r="Q1818" s="611">
        <f t="shared" si="248"/>
        <v>26</v>
      </c>
      <c r="R1818" s="1447">
        <f t="shared" ca="1" si="249"/>
        <v>0</v>
      </c>
      <c r="S1818" s="1447">
        <f t="shared" ca="1" si="250"/>
        <v>0</v>
      </c>
      <c r="V1818" s="2557" t="str">
        <f t="shared" ca="1" si="252"/>
        <v/>
      </c>
      <c r="W1818" s="611" t="str">
        <f t="shared" ca="1" si="251"/>
        <v>Page5j_SANS_OBJECT, Ligne 23 [Page5j_SANS_OBJECT!K26]  -</v>
      </c>
    </row>
    <row r="1819" spans="1:23">
      <c r="A1819" s="1443" t="str">
        <f>celladdr(Page5j_SANS_OBJECT!K27)</f>
        <v>Page5j_SANS_OBJECT!K27</v>
      </c>
      <c r="B1819" s="1444" t="s">
        <v>1086</v>
      </c>
      <c r="C1819" s="1451"/>
      <c r="D1819" s="1454"/>
      <c r="E1819" s="1454"/>
      <c r="F1819" s="1454"/>
      <c r="G1819" s="1444" t="str">
        <f t="shared" si="246"/>
        <v/>
      </c>
      <c r="H1819" s="1447" t="str">
        <f>IF(C1819=TRUE,Comments!$B$26,"")</f>
        <v/>
      </c>
      <c r="I1819" s="1446" t="str">
        <f>IF(D1819=TRUE,Comments!$B$21,"")</f>
        <v/>
      </c>
      <c r="J1819" s="1446"/>
      <c r="K1819" s="1452"/>
      <c r="O1819" s="611" t="str">
        <f t="shared" si="245"/>
        <v/>
      </c>
      <c r="P1819" s="611" t="str">
        <f t="shared" si="247"/>
        <v>Page5j_SANS_OBJECT!K</v>
      </c>
      <c r="Q1819" s="611">
        <f t="shared" si="248"/>
        <v>27</v>
      </c>
      <c r="R1819" s="1447">
        <f t="shared" ca="1" si="249"/>
        <v>0</v>
      </c>
      <c r="S1819" s="1447">
        <f t="shared" ca="1" si="250"/>
        <v>0</v>
      </c>
      <c r="V1819" s="2557" t="str">
        <f t="shared" ca="1" si="252"/>
        <v/>
      </c>
      <c r="W1819" s="611" t="str">
        <f t="shared" ca="1" si="251"/>
        <v>Page5j_SANS_OBJECT, Ligne 24 [Page5j_SANS_OBJECT!K27]  -</v>
      </c>
    </row>
    <row r="1820" spans="1:23">
      <c r="A1820" s="1443" t="str">
        <f>celladdr(Page5j_SANS_OBJECT!K28)</f>
        <v>Page5j_SANS_OBJECT!K28</v>
      </c>
      <c r="B1820" s="1464" t="s">
        <v>1086</v>
      </c>
      <c r="C1820" s="1451" t="b">
        <f>Page5j_SANS_OBJECT!$K$28&lt;0</f>
        <v>0</v>
      </c>
      <c r="D1820" s="1454" t="b">
        <f>OR(AND(Page5j_SANS_OBJECT!$K28&gt;0,Page5j_SANS_OBJECT!$M28=0),AND(Page5j_SANS_OBJECT!$M28&lt;&gt;0,Page5j_SANS_OBJECT!$K28=0))</f>
        <v>0</v>
      </c>
      <c r="E1820" s="1454"/>
      <c r="F1820" s="1454"/>
      <c r="G1820" s="1444" t="str">
        <f t="shared" si="246"/>
        <v/>
      </c>
      <c r="H1820" s="1447" t="str">
        <f>IF(C1820=TRUE,Comments!$B$26,"")</f>
        <v/>
      </c>
      <c r="I1820" s="1446" t="str">
        <f>IF(D1820=TRUE,Comments!$B$21,"")</f>
        <v/>
      </c>
      <c r="J1820" s="1446"/>
      <c r="K1820" s="1452"/>
      <c r="N1820" s="611" t="str">
        <f>"CPTE # "&amp;Page5j_SANS_OBJECT!$E$28&amp;"  "&amp;Page5j_SANS_OBJECT!$C$28&amp;" - UNITÉS - AAD"</f>
        <v>CPTE # 423J  POIDS LOURD - UNITÉS - AAD</v>
      </c>
      <c r="O1820" s="611" t="str">
        <f t="shared" si="245"/>
        <v/>
      </c>
      <c r="P1820" s="611" t="str">
        <f t="shared" si="247"/>
        <v>Page5j_SANS_OBJECT!K</v>
      </c>
      <c r="Q1820" s="611">
        <f t="shared" si="248"/>
        <v>28</v>
      </c>
      <c r="R1820" s="1447">
        <f t="shared" ca="1" si="249"/>
        <v>0</v>
      </c>
      <c r="S1820" s="1447">
        <f t="shared" ca="1" si="250"/>
        <v>0</v>
      </c>
      <c r="V1820" s="2557" t="str">
        <f t="shared" ca="1" si="252"/>
        <v/>
      </c>
      <c r="W1820" s="611" t="str">
        <f t="shared" ca="1" si="251"/>
        <v>Page5j_SANS_OBJECT, Ligne 25 [Page5j_SANS_OBJECT!K28]  -</v>
      </c>
    </row>
    <row r="1821" spans="1:23">
      <c r="A1821" s="1443" t="str">
        <f>celladdr(Page5j_SANS_OBJECT!K29)</f>
        <v>Page5j_SANS_OBJECT!K29</v>
      </c>
      <c r="B1821" s="1464" t="s">
        <v>1086</v>
      </c>
      <c r="C1821" s="1451" t="b">
        <f>Page5j_SANS_OBJECT!$K$29&lt;0</f>
        <v>0</v>
      </c>
      <c r="D1821" s="1454" t="b">
        <f>OR(AND(Page5j_SANS_OBJECT!$K29&gt;0,Page5j_SANS_OBJECT!$M29=0),AND(Page5j_SANS_OBJECT!$M29&lt;&gt;0,Page5j_SANS_OBJECT!$K29=0))</f>
        <v>0</v>
      </c>
      <c r="E1821" s="1454"/>
      <c r="F1821" s="1454"/>
      <c r="G1821" s="1444" t="str">
        <f t="shared" si="246"/>
        <v/>
      </c>
      <c r="H1821" s="1447" t="str">
        <f>IF(C1821=TRUE,Comments!$B$26,"")</f>
        <v/>
      </c>
      <c r="I1821" s="1446" t="str">
        <f>IF(D1821=TRUE,Comments!$B$21,"")</f>
        <v/>
      </c>
      <c r="J1821" s="1446"/>
      <c r="K1821" s="1452"/>
      <c r="N1821" s="611" t="str">
        <f>"CPTE # "&amp;Page5j_SANS_OBJECT!$E$29&amp;"  "&amp;Page5j_SANS_OBJECT!$C$29&amp;" - UNITÉS - AAD"</f>
        <v>CPTE # 424J  NE PAS UTILISER - UNITÉS - AAD</v>
      </c>
      <c r="O1821" s="611" t="str">
        <f t="shared" si="245"/>
        <v/>
      </c>
      <c r="P1821" s="611" t="str">
        <f t="shared" si="247"/>
        <v>Page5j_SANS_OBJECT!K</v>
      </c>
      <c r="Q1821" s="611">
        <f t="shared" si="248"/>
        <v>29</v>
      </c>
      <c r="R1821" s="1447">
        <f t="shared" ca="1" si="249"/>
        <v>0</v>
      </c>
      <c r="S1821" s="1447">
        <f t="shared" ca="1" si="250"/>
        <v>0</v>
      </c>
      <c r="V1821" s="2557" t="str">
        <f t="shared" ca="1" si="252"/>
        <v/>
      </c>
      <c r="W1821" s="611" t="str">
        <f t="shared" ca="1" si="251"/>
        <v>Page5j_SANS_OBJECT, Ligne 26 [Page5j_SANS_OBJECT!K29]  -</v>
      </c>
    </row>
    <row r="1822" spans="1:23">
      <c r="A1822" s="1443" t="str">
        <f>celladdr(Page5j_SANS_OBJECT!K30)</f>
        <v>Page5j_SANS_OBJECT!K30</v>
      </c>
      <c r="B1822" s="1464" t="s">
        <v>1086</v>
      </c>
      <c r="C1822" s="1451" t="b">
        <f>Page5j_SANS_OBJECT!$K$30&lt;0</f>
        <v>0</v>
      </c>
      <c r="D1822" s="1454" t="b">
        <f>OR(AND(Page5j_SANS_OBJECT!$K30&gt;0,Page5j_SANS_OBJECT!$M30=0),AND(Page5j_SANS_OBJECT!$M30&lt;&gt;0,Page5j_SANS_OBJECT!$K30=0))</f>
        <v>0</v>
      </c>
      <c r="E1822" s="1454"/>
      <c r="F1822" s="1454"/>
      <c r="G1822" s="1444" t="str">
        <f t="shared" si="246"/>
        <v/>
      </c>
      <c r="H1822" s="1447" t="str">
        <f>IF(C1822=TRUE,Comments!$B$26,"")</f>
        <v/>
      </c>
      <c r="I1822" s="1446" t="str">
        <f>IF(D1822=TRUE,Comments!$B$21,"")</f>
        <v/>
      </c>
      <c r="J1822" s="1446"/>
      <c r="K1822" s="1452"/>
      <c r="N1822" s="611" t="str">
        <f>"CPTE # "&amp;Page5j_SANS_OBJECT!$E$30&amp;"  "&amp;Page5j_SANS_OBJECT!$C$30&amp;" - UNITÉS - AAD"</f>
        <v>CPTE # 425J  NE PAS UTILISER - UNITÉS - AAD</v>
      </c>
      <c r="O1822" s="611" t="str">
        <f t="shared" si="245"/>
        <v/>
      </c>
      <c r="P1822" s="611" t="str">
        <f t="shared" si="247"/>
        <v>Page5j_SANS_OBJECT!K</v>
      </c>
      <c r="Q1822" s="611">
        <f t="shared" si="248"/>
        <v>30</v>
      </c>
      <c r="R1822" s="1447">
        <f t="shared" ca="1" si="249"/>
        <v>0</v>
      </c>
      <c r="S1822" s="1447">
        <f t="shared" ca="1" si="250"/>
        <v>0</v>
      </c>
      <c r="V1822" s="2557" t="str">
        <f t="shared" ca="1" si="252"/>
        <v/>
      </c>
      <c r="W1822" s="611" t="str">
        <f t="shared" ca="1" si="251"/>
        <v>Page5j_SANS_OBJECT, Ligne 27 [Page5j_SANS_OBJECT!K30]  -</v>
      </c>
    </row>
    <row r="1823" spans="1:23">
      <c r="A1823" s="1443" t="str">
        <f>celladdr(Page5j_SANS_OBJECT!K31)</f>
        <v>Page5j_SANS_OBJECT!K31</v>
      </c>
      <c r="B1823" s="1464" t="s">
        <v>1086</v>
      </c>
      <c r="C1823" s="1451" t="b">
        <f>Page5j_SANS_OBJECT!$K$31&lt;0</f>
        <v>0</v>
      </c>
      <c r="D1823" s="1454" t="b">
        <f>OR(AND(Page5j_SANS_OBJECT!$K31&gt;0,Page5j_SANS_OBJECT!$M31=0),AND(Page5j_SANS_OBJECT!$M31&lt;&gt;0,Page5j_SANS_OBJECT!$K31=0))</f>
        <v>0</v>
      </c>
      <c r="E1823" s="1454"/>
      <c r="F1823" s="1454"/>
      <c r="G1823" s="1444" t="str">
        <f t="shared" si="246"/>
        <v/>
      </c>
      <c r="H1823" s="1447" t="str">
        <f>IF(C1823=TRUE,Comments!$B$26,"")</f>
        <v/>
      </c>
      <c r="I1823" s="1446" t="str">
        <f>IF(D1823=TRUE,Comments!$B$21,"")</f>
        <v/>
      </c>
      <c r="J1823" s="1446"/>
      <c r="K1823" s="1452"/>
      <c r="N1823" s="611" t="str">
        <f>"CPTE # "&amp;Page5j_SANS_OBJECT!$E$31&amp;"  "&amp;Page5j_SANS_OBJECT!$C$31&amp;" - UNITÉS - AAD"</f>
        <v>CPTE # 426J  NE PAS UTILISER - UNITÉS - AAD</v>
      </c>
      <c r="O1823" s="611" t="str">
        <f t="shared" si="245"/>
        <v/>
      </c>
      <c r="P1823" s="611" t="str">
        <f t="shared" si="247"/>
        <v>Page5j_SANS_OBJECT!K</v>
      </c>
      <c r="Q1823" s="611">
        <f t="shared" si="248"/>
        <v>31</v>
      </c>
      <c r="R1823" s="1447">
        <f t="shared" ca="1" si="249"/>
        <v>0</v>
      </c>
      <c r="S1823" s="1447">
        <f t="shared" ca="1" si="250"/>
        <v>0</v>
      </c>
      <c r="V1823" s="2557" t="str">
        <f t="shared" ca="1" si="252"/>
        <v/>
      </c>
      <c r="W1823" s="611" t="str">
        <f t="shared" ca="1" si="251"/>
        <v>Page5j_SANS_OBJECT, Ligne 28 [Page5j_SANS_OBJECT!K31]  -</v>
      </c>
    </row>
    <row r="1824" spans="1:23">
      <c r="A1824" s="1443" t="str">
        <f>celladdr(Page5j_SANS_OBJECT!K32)</f>
        <v>Page5j_SANS_OBJECT!K32</v>
      </c>
      <c r="B1824" s="1464" t="s">
        <v>1086</v>
      </c>
      <c r="C1824" s="1451" t="b">
        <f>Page5j_SANS_OBJECT!$K$32&lt;0</f>
        <v>0</v>
      </c>
      <c r="D1824" s="1454" t="b">
        <f>OR(AND(Page5j_SANS_OBJECT!$K32&gt;0,Page5j_SANS_OBJECT!$M32=0),AND(Page5j_SANS_OBJECT!$M32&lt;&gt;0,Page5j_SANS_OBJECT!$K32=0))</f>
        <v>0</v>
      </c>
      <c r="E1824" s="1454"/>
      <c r="F1824" s="1454"/>
      <c r="G1824" s="1444" t="str">
        <f t="shared" si="246"/>
        <v/>
      </c>
      <c r="H1824" s="1447" t="str">
        <f>IF(C1824=TRUE,Comments!$B$26,"")</f>
        <v/>
      </c>
      <c r="I1824" s="1446" t="str">
        <f>IF(D1824=TRUE,Comments!$B$21,"")</f>
        <v/>
      </c>
      <c r="J1824" s="1446"/>
      <c r="K1824" s="1452"/>
      <c r="N1824" s="611" t="str">
        <f>"CPTE # "&amp;Page5j_SANS_OBJECT!$E$32&amp;"  "&amp;Page5j_SANS_OBJECT!$C$32&amp;" - UNITÉS - AAD"</f>
        <v>CPTE # 427J  NE PAS UTILISER - UNITÉS - AAD</v>
      </c>
      <c r="O1824" s="611" t="str">
        <f t="shared" si="245"/>
        <v/>
      </c>
      <c r="P1824" s="611" t="str">
        <f t="shared" si="247"/>
        <v>Page5j_SANS_OBJECT!K</v>
      </c>
      <c r="Q1824" s="611">
        <f t="shared" si="248"/>
        <v>32</v>
      </c>
      <c r="R1824" s="1447">
        <f t="shared" ca="1" si="249"/>
        <v>0</v>
      </c>
      <c r="S1824" s="1447">
        <f t="shared" ca="1" si="250"/>
        <v>0</v>
      </c>
      <c r="V1824" s="2557" t="str">
        <f t="shared" ca="1" si="252"/>
        <v/>
      </c>
      <c r="W1824" s="611" t="str">
        <f t="shared" ca="1" si="251"/>
        <v>Page5j_SANS_OBJECT, Ligne 29 [Page5j_SANS_OBJECT!K32]  -</v>
      </c>
    </row>
    <row r="1825" spans="1:23">
      <c r="A1825" s="1443" t="str">
        <f>celladdr(Page5j_SANS_OBJECT!K33)</f>
        <v>Page5j_SANS_OBJECT!K33</v>
      </c>
      <c r="B1825" s="1464" t="s">
        <v>1086</v>
      </c>
      <c r="C1825" s="1451" t="b">
        <f>Page5j_SANS_OBJECT!$K$33&lt;0</f>
        <v>0</v>
      </c>
      <c r="D1825" s="1454" t="b">
        <f>OR(AND(Page5j_SANS_OBJECT!$K33&gt;0,Page5j_SANS_OBJECT!$M33=0),AND(Page5j_SANS_OBJECT!$M33&lt;&gt;0,Page5j_SANS_OBJECT!$K33=0))</f>
        <v>0</v>
      </c>
      <c r="E1825" s="1454"/>
      <c r="F1825" s="1454"/>
      <c r="G1825" s="1444" t="str">
        <f t="shared" si="246"/>
        <v/>
      </c>
      <c r="H1825" s="1447" t="str">
        <f>IF(C1825=TRUE,Comments!$B$26,"")</f>
        <v/>
      </c>
      <c r="I1825" s="1446" t="str">
        <f>IF(D1825=TRUE,Comments!$B$21,"")</f>
        <v/>
      </c>
      <c r="J1825" s="1446"/>
      <c r="K1825" s="1452"/>
      <c r="N1825" s="611" t="str">
        <f>"CPTE # "&amp;Page5j_SANS_OBJECT!$E$33&amp;"  "&amp;Page5j_SANS_OBJECT!$C$33&amp;" - UNITÉS - AAD"</f>
        <v>CPTE # 428J  NE PAS UTILISER - UNITÉS - AAD</v>
      </c>
      <c r="O1825" s="611" t="str">
        <f t="shared" si="245"/>
        <v/>
      </c>
      <c r="P1825" s="611" t="str">
        <f t="shared" si="247"/>
        <v>Page5j_SANS_OBJECT!K</v>
      </c>
      <c r="Q1825" s="611">
        <f t="shared" si="248"/>
        <v>33</v>
      </c>
      <c r="R1825" s="1447">
        <f t="shared" ca="1" si="249"/>
        <v>0</v>
      </c>
      <c r="S1825" s="1447">
        <f t="shared" ca="1" si="250"/>
        <v>0</v>
      </c>
      <c r="V1825" s="2557" t="str">
        <f t="shared" ca="1" si="252"/>
        <v/>
      </c>
      <c r="W1825" s="611" t="str">
        <f t="shared" ca="1" si="251"/>
        <v>Page5j_SANS_OBJECT, Ligne 30 [Page5j_SANS_OBJECT!K33]  -</v>
      </c>
    </row>
    <row r="1826" spans="1:23">
      <c r="A1826" s="1443" t="str">
        <f>celladdr(Page5j_SANS_OBJECT!K34)</f>
        <v>Page5j_SANS_OBJECT!K34</v>
      </c>
      <c r="B1826" s="1464" t="s">
        <v>1086</v>
      </c>
      <c r="C1826" s="1451" t="b">
        <f>Page5j_SANS_OBJECT!$K$34&lt;0</f>
        <v>0</v>
      </c>
      <c r="D1826" s="1454" t="b">
        <f>OR(AND(Page5j_SANS_OBJECT!$K34&gt;0,Page5j_SANS_OBJECT!$M34=0),AND(Page5j_SANS_OBJECT!$M34&lt;&gt;0,Page5j_SANS_OBJECT!$K34=0))</f>
        <v>0</v>
      </c>
      <c r="E1826" s="1454"/>
      <c r="F1826" s="1454"/>
      <c r="G1826" s="1444" t="str">
        <f t="shared" si="246"/>
        <v/>
      </c>
      <c r="H1826" s="1447" t="str">
        <f>IF(C1826=TRUE,Comments!$B$26,"")</f>
        <v/>
      </c>
      <c r="I1826" s="1446" t="str">
        <f>IF(D1826=TRUE,Comments!$B$21,"")</f>
        <v/>
      </c>
      <c r="J1826" s="1446"/>
      <c r="K1826" s="1452"/>
      <c r="N1826" s="611" t="str">
        <f>"CPTE # "&amp;Page5j_SANS_OBJECT!$E$34&amp;"  "&amp;Page5j_SANS_OBJECT!$C$34&amp;" - UNITÉS - AAD"</f>
        <v>CPTE # 429J  NE PAS UTILISER - UNITÉS - AAD</v>
      </c>
      <c r="O1826" s="611" t="str">
        <f t="shared" si="245"/>
        <v/>
      </c>
      <c r="P1826" s="611" t="str">
        <f t="shared" si="247"/>
        <v>Page5j_SANS_OBJECT!K</v>
      </c>
      <c r="Q1826" s="611">
        <f t="shared" si="248"/>
        <v>34</v>
      </c>
      <c r="R1826" s="1447">
        <f t="shared" ca="1" si="249"/>
        <v>0</v>
      </c>
      <c r="S1826" s="1447">
        <f t="shared" ca="1" si="250"/>
        <v>0</v>
      </c>
      <c r="V1826" s="2557" t="str">
        <f t="shared" ca="1" si="252"/>
        <v/>
      </c>
      <c r="W1826" s="611" t="str">
        <f t="shared" ca="1" si="251"/>
        <v>Page5j_SANS_OBJECT, Ligne 31 [Page5j_SANS_OBJECT!K34]  -</v>
      </c>
    </row>
    <row r="1827" spans="1:23">
      <c r="A1827" s="1443" t="str">
        <f>celladdr(Page5j_SANS_OBJECT!K35)</f>
        <v>Page5j_SANS_OBJECT!K35</v>
      </c>
      <c r="B1827" s="1464" t="s">
        <v>1086</v>
      </c>
      <c r="C1827" s="1451" t="b">
        <f>Page5j_SANS_OBJECT!$K$35&lt;0</f>
        <v>0</v>
      </c>
      <c r="D1827" s="1454" t="b">
        <f>OR(AND(Page5j_SANS_OBJECT!$K35&gt;0,Page5j_SANS_OBJECT!$M35=0),AND(Page5j_SANS_OBJECT!$M35&lt;&gt;0,Page5j_SANS_OBJECT!$K35=0))</f>
        <v>0</v>
      </c>
      <c r="E1827" s="1454"/>
      <c r="F1827" s="1454"/>
      <c r="G1827" s="1444" t="str">
        <f t="shared" si="246"/>
        <v/>
      </c>
      <c r="H1827" s="1447" t="str">
        <f>IF(C1827=TRUE,Comments!$B$26,"")</f>
        <v/>
      </c>
      <c r="I1827" s="1446" t="str">
        <f>IF(D1827=TRUE,Comments!$B$21,"")</f>
        <v/>
      </c>
      <c r="J1827" s="1446"/>
      <c r="K1827" s="1452"/>
      <c r="N1827" s="611" t="str">
        <f>"CPTE # "&amp;Page5j_SANS_OBJECT!$E$35&amp;"  "&amp;Page5j_SANS_OBJECT!$C$35&amp;" - UNITÉS - AAD"</f>
        <v>CPTE # 430J  NE PAS UTILISER - UNITÉS - AAD</v>
      </c>
      <c r="O1827" s="611" t="str">
        <f t="shared" si="245"/>
        <v/>
      </c>
      <c r="P1827" s="611" t="str">
        <f t="shared" si="247"/>
        <v>Page5j_SANS_OBJECT!K</v>
      </c>
      <c r="Q1827" s="611">
        <f t="shared" si="248"/>
        <v>35</v>
      </c>
      <c r="R1827" s="1447">
        <f t="shared" ca="1" si="249"/>
        <v>0</v>
      </c>
      <c r="S1827" s="1447">
        <f t="shared" ca="1" si="250"/>
        <v>0</v>
      </c>
      <c r="V1827" s="2557" t="str">
        <f t="shared" ca="1" si="252"/>
        <v/>
      </c>
      <c r="W1827" s="611" t="str">
        <f t="shared" ca="1" si="251"/>
        <v>Page5j_SANS_OBJECT, Ligne 32 [Page5j_SANS_OBJECT!K35]  -</v>
      </c>
    </row>
    <row r="1828" spans="1:23">
      <c r="A1828" s="1443" t="str">
        <f>celladdr(Page5j_SANS_OBJECT!K36)</f>
        <v>Page5j_SANS_OBJECT!K36</v>
      </c>
      <c r="B1828" s="1464" t="s">
        <v>1086</v>
      </c>
      <c r="C1828" s="1451" t="b">
        <f>Page5j_SANS_OBJECT!$K$36&lt;0</f>
        <v>0</v>
      </c>
      <c r="D1828" s="1454" t="b">
        <f>OR(AND(Page5j_SANS_OBJECT!$K36&gt;0,Page5j_SANS_OBJECT!$M36=0),AND(Page5j_SANS_OBJECT!$M36&lt;&gt;0,Page5j_SANS_OBJECT!$K36=0))</f>
        <v>0</v>
      </c>
      <c r="E1828" s="1454"/>
      <c r="F1828" s="1454"/>
      <c r="G1828" s="1444" t="str">
        <f t="shared" si="246"/>
        <v/>
      </c>
      <c r="H1828" s="1447" t="str">
        <f>IF(C1828=TRUE,Comments!$B$26,"")</f>
        <v/>
      </c>
      <c r="I1828" s="1446" t="str">
        <f>IF(D1828=TRUE,Comments!$B$21,"")</f>
        <v/>
      </c>
      <c r="J1828" s="1446"/>
      <c r="K1828" s="1452"/>
      <c r="N1828" s="611" t="str">
        <f>"CPTE # "&amp;Page5j_SANS_OBJECT!$E$36&amp;"  "&amp;Page5j_SANS_OBJECT!$C$36&amp;" - UNITÉS - AAD"</f>
        <v>CPTE # 431J  NE PAS UTILISER - UNITÉS - AAD</v>
      </c>
      <c r="O1828" s="611" t="str">
        <f t="shared" si="245"/>
        <v/>
      </c>
      <c r="P1828" s="611" t="str">
        <f t="shared" si="247"/>
        <v>Page5j_SANS_OBJECT!K</v>
      </c>
      <c r="Q1828" s="611">
        <f t="shared" si="248"/>
        <v>36</v>
      </c>
      <c r="R1828" s="1447">
        <f t="shared" ca="1" si="249"/>
        <v>0</v>
      </c>
      <c r="S1828" s="1447">
        <f t="shared" ca="1" si="250"/>
        <v>0</v>
      </c>
      <c r="V1828" s="2557" t="str">
        <f t="shared" ca="1" si="252"/>
        <v/>
      </c>
      <c r="W1828" s="611" t="str">
        <f t="shared" ca="1" si="251"/>
        <v>Page5j_SANS_OBJECT, Ligne 33 [Page5j_SANS_OBJECT!K36]  -</v>
      </c>
    </row>
    <row r="1829" spans="1:23">
      <c r="A1829" s="1443" t="str">
        <f>celladdr(Page5j_SANS_OBJECT!K37)</f>
        <v>Page5j_SANS_OBJECT!K37</v>
      </c>
      <c r="B1829" s="1464" t="s">
        <v>1086</v>
      </c>
      <c r="C1829" s="1451" t="b">
        <f>Page5j_SANS_OBJECT!$K$37&lt;0</f>
        <v>0</v>
      </c>
      <c r="D1829" s="1454" t="b">
        <f>OR(AND(Page5j_SANS_OBJECT!$K37&gt;0,Page5j_SANS_OBJECT!$M37=0),AND(Page5j_SANS_OBJECT!$M37&lt;&gt;0,Page5j_SANS_OBJECT!$K37=0))</f>
        <v>0</v>
      </c>
      <c r="E1829" s="1454"/>
      <c r="F1829" s="1454"/>
      <c r="G1829" s="1444" t="str">
        <f t="shared" si="246"/>
        <v/>
      </c>
      <c r="H1829" s="1447" t="str">
        <f>IF(C1829=TRUE,Comments!$B$26,"")</f>
        <v/>
      </c>
      <c r="I1829" s="1446" t="str">
        <f>IF(D1829=TRUE,Comments!$B$21,"")</f>
        <v/>
      </c>
      <c r="J1829" s="1446"/>
      <c r="K1829" s="1452"/>
      <c r="N1829" s="611" t="str">
        <f>"CPTE # "&amp;Page5j_SANS_OBJECT!$E$37&amp;"  "&amp;Page5j_SANS_OBJECT!$C$37&amp;" - UNITÉS - AAD"</f>
        <v>CPTE # 432J  NE PAS UTILISER - UNITÉS - AAD</v>
      </c>
      <c r="O1829" s="611" t="str">
        <f t="shared" si="245"/>
        <v/>
      </c>
      <c r="P1829" s="611" t="str">
        <f t="shared" si="247"/>
        <v>Page5j_SANS_OBJECT!K</v>
      </c>
      <c r="Q1829" s="611">
        <f t="shared" si="248"/>
        <v>37</v>
      </c>
      <c r="R1829" s="1447">
        <f t="shared" ca="1" si="249"/>
        <v>0</v>
      </c>
      <c r="S1829" s="1447">
        <f t="shared" ca="1" si="250"/>
        <v>0</v>
      </c>
      <c r="V1829" s="2557" t="str">
        <f t="shared" ca="1" si="252"/>
        <v/>
      </c>
      <c r="W1829" s="611" t="str">
        <f t="shared" ca="1" si="251"/>
        <v>Page5j_SANS_OBJECT, Ligne 34 [Page5j_SANS_OBJECT!K37]  -</v>
      </c>
    </row>
    <row r="1830" spans="1:23">
      <c r="A1830" s="1443" t="str">
        <f>celladdr(Page5j_SANS_OBJECT!K38)</f>
        <v>Page5j_SANS_OBJECT!K38</v>
      </c>
      <c r="B1830" s="1464" t="s">
        <v>1086</v>
      </c>
      <c r="C1830" s="1451" t="b">
        <f>Page5j_SANS_OBJECT!$K$38&lt;0</f>
        <v>0</v>
      </c>
      <c r="D1830" s="1454" t="b">
        <f>OR(AND(Page5j_SANS_OBJECT!$K38&gt;0,Page5j_SANS_OBJECT!$M38=0),AND(Page5j_SANS_OBJECT!$M38&lt;&gt;0,Page5j_SANS_OBJECT!$K38=0))</f>
        <v>0</v>
      </c>
      <c r="E1830" s="1454"/>
      <c r="F1830" s="1454"/>
      <c r="G1830" s="1444" t="str">
        <f t="shared" si="246"/>
        <v/>
      </c>
      <c r="H1830" s="1447" t="str">
        <f>IF(C1830=TRUE,Comments!$B$26,"")</f>
        <v/>
      </c>
      <c r="I1830" s="1446" t="str">
        <f>IF(D1830=TRUE,Comments!$B$21,"")</f>
        <v/>
      </c>
      <c r="J1830" s="1446"/>
      <c r="K1830" s="1452"/>
      <c r="N1830" s="611" t="str">
        <f>"CPTE # "&amp;Page5j_SANS_OBJECT!$E$38&amp;"  "&amp;Page5j_SANS_OBJECT!$C$38&amp;" - UNITÉS - AAD"</f>
        <v>CPTE # 433J  NE PAS UTILISER - UNITÉS - AAD</v>
      </c>
      <c r="O1830" s="611" t="str">
        <f t="shared" si="245"/>
        <v/>
      </c>
      <c r="P1830" s="611" t="str">
        <f t="shared" si="247"/>
        <v>Page5j_SANS_OBJECT!K</v>
      </c>
      <c r="Q1830" s="611">
        <f t="shared" si="248"/>
        <v>38</v>
      </c>
      <c r="R1830" s="1447">
        <f t="shared" ca="1" si="249"/>
        <v>0</v>
      </c>
      <c r="S1830" s="1447">
        <f t="shared" ca="1" si="250"/>
        <v>0</v>
      </c>
      <c r="V1830" s="2557" t="str">
        <f t="shared" ca="1" si="252"/>
        <v/>
      </c>
      <c r="W1830" s="611" t="str">
        <f t="shared" ca="1" si="251"/>
        <v>Page5j_SANS_OBJECT, Ligne 35 [Page5j_SANS_OBJECT!K38]  -</v>
      </c>
    </row>
    <row r="1831" spans="1:23">
      <c r="A1831" s="1443" t="str">
        <f>celladdr(Page5j_SANS_OBJECT!K39)</f>
        <v>Page5j_SANS_OBJECT!K39</v>
      </c>
      <c r="B1831" s="1464" t="s">
        <v>1086</v>
      </c>
      <c r="C1831" s="1451" t="b">
        <f>Page5j_SANS_OBJECT!$K$39&lt;0</f>
        <v>0</v>
      </c>
      <c r="D1831" s="1454" t="b">
        <f>OR(AND(Page5j_SANS_OBJECT!$K39&gt;0,Page5j_SANS_OBJECT!$M39=0),AND(Page5j_SANS_OBJECT!$M39&lt;&gt;0,Page5j_SANS_OBJECT!$K39=0))</f>
        <v>0</v>
      </c>
      <c r="E1831" s="1454"/>
      <c r="F1831" s="1454"/>
      <c r="G1831" s="1444" t="str">
        <f t="shared" si="246"/>
        <v/>
      </c>
      <c r="H1831" s="1447" t="str">
        <f>IF(C1831=TRUE,Comments!$B$26,"")</f>
        <v/>
      </c>
      <c r="I1831" s="1446" t="str">
        <f>IF(D1831=TRUE,Comments!$B$21,"")</f>
        <v/>
      </c>
      <c r="J1831" s="1446"/>
      <c r="K1831" s="1452"/>
      <c r="N1831" s="611" t="str">
        <f>"CPTE # "&amp;Page5j_SANS_OBJECT!$E$39&amp;"  "&amp;Page5j_SANS_OBJECT!$C$39&amp;" - UNITÉS - AAD"</f>
        <v>CPTE # 434J  NE PAS UTILISER - UNITÉS - AAD</v>
      </c>
      <c r="O1831" s="611" t="str">
        <f t="shared" si="245"/>
        <v/>
      </c>
      <c r="P1831" s="611" t="str">
        <f t="shared" si="247"/>
        <v>Page5j_SANS_OBJECT!K</v>
      </c>
      <c r="Q1831" s="611">
        <f t="shared" si="248"/>
        <v>39</v>
      </c>
      <c r="R1831" s="1447">
        <f t="shared" ca="1" si="249"/>
        <v>0</v>
      </c>
      <c r="S1831" s="1447">
        <f t="shared" ca="1" si="250"/>
        <v>0</v>
      </c>
      <c r="V1831" s="2557" t="str">
        <f t="shared" ca="1" si="252"/>
        <v/>
      </c>
      <c r="W1831" s="611" t="str">
        <f t="shared" ca="1" si="251"/>
        <v>Page5j_SANS_OBJECT, Ligne 36 [Page5j_SANS_OBJECT!K39]  -</v>
      </c>
    </row>
    <row r="1832" spans="1:23">
      <c r="A1832" s="1443" t="str">
        <f>celladdr(Page5j_SANS_OBJECT!K40)</f>
        <v>Page5j_SANS_OBJECT!K40</v>
      </c>
      <c r="B1832" s="1464" t="s">
        <v>1086</v>
      </c>
      <c r="C1832" s="1451" t="b">
        <f>Page5j_SANS_OBJECT!$K$40&lt;0</f>
        <v>0</v>
      </c>
      <c r="D1832" s="1454" t="b">
        <f>OR(AND(Page5j_SANS_OBJECT!$K40&gt;0,Page5j_SANS_OBJECT!$M40=0),AND(Page5j_SANS_OBJECT!$M40&lt;&gt;0,Page5j_SANS_OBJECT!$K40=0))</f>
        <v>0</v>
      </c>
      <c r="E1832" s="1454"/>
      <c r="F1832" s="1454"/>
      <c r="G1832" s="1444" t="str">
        <f t="shared" si="246"/>
        <v/>
      </c>
      <c r="H1832" s="1447" t="str">
        <f>IF(C1832=TRUE,Comments!$B$26,"")</f>
        <v/>
      </c>
      <c r="I1832" s="1446" t="str">
        <f>IF(D1832=TRUE,Comments!$B$21,"")</f>
        <v/>
      </c>
      <c r="J1832" s="1446"/>
      <c r="K1832" s="1452"/>
      <c r="N1832" s="611" t="str">
        <f>"CPTE # "&amp;Page5j_SANS_OBJECT!$E$40&amp;"  "&amp;Page5j_SANS_OBJECT!$C$40&amp;" - UNITÉS - AAD"</f>
        <v>CPTE # 435J  NE PAS UTILISER - UNITÉS - AAD</v>
      </c>
      <c r="O1832" s="611" t="str">
        <f t="shared" si="245"/>
        <v/>
      </c>
      <c r="P1832" s="611" t="str">
        <f t="shared" si="247"/>
        <v>Page5j_SANS_OBJECT!K</v>
      </c>
      <c r="Q1832" s="611">
        <f t="shared" si="248"/>
        <v>40</v>
      </c>
      <c r="R1832" s="1447">
        <f t="shared" ca="1" si="249"/>
        <v>0</v>
      </c>
      <c r="S1832" s="1447">
        <f t="shared" ca="1" si="250"/>
        <v>0</v>
      </c>
      <c r="V1832" s="2557" t="str">
        <f t="shared" ca="1" si="252"/>
        <v/>
      </c>
      <c r="W1832" s="611" t="str">
        <f t="shared" ca="1" si="251"/>
        <v>Page5j_SANS_OBJECT, Ligne 37 [Page5j_SANS_OBJECT!K40]  -</v>
      </c>
    </row>
    <row r="1833" spans="1:23">
      <c r="A1833" s="1443" t="str">
        <f>celladdr(Page5j_SANS_OBJECT!K41)</f>
        <v>Page5j_SANS_OBJECT!K41</v>
      </c>
      <c r="B1833" s="1464" t="s">
        <v>1086</v>
      </c>
      <c r="C1833" s="1451" t="b">
        <f>Page5j_SANS_OBJECT!$K$41&lt;0</f>
        <v>0</v>
      </c>
      <c r="D1833" s="1454" t="b">
        <f>OR(AND(Page5j_SANS_OBJECT!$K41&gt;0,Page5j_SANS_OBJECT!$M41=0),AND(Page5j_SANS_OBJECT!$M41&lt;&gt;0,Page5j_SANS_OBJECT!$K41=0))</f>
        <v>0</v>
      </c>
      <c r="E1833" s="1454"/>
      <c r="F1833" s="1454"/>
      <c r="G1833" s="1444" t="str">
        <f t="shared" si="246"/>
        <v/>
      </c>
      <c r="H1833" s="1447" t="str">
        <f>IF(C1833=TRUE,Comments!$B$26,"")</f>
        <v/>
      </c>
      <c r="I1833" s="1446" t="str">
        <f>IF(D1833=TRUE,Comments!$B$21,"")</f>
        <v/>
      </c>
      <c r="J1833" s="1446"/>
      <c r="K1833" s="1452"/>
      <c r="N1833" s="611" t="str">
        <f>"CPTE # "&amp;Page5j_SANS_OBJECT!$E$41&amp;"  "&amp;Page5j_SANS_OBJECT!$C$41&amp;" - UNITÉS - AAD"</f>
        <v>CPTE # 436J  NE PAS UTILISER - UNITÉS - AAD</v>
      </c>
      <c r="O1833" s="611" t="str">
        <f t="shared" si="245"/>
        <v/>
      </c>
      <c r="P1833" s="611" t="str">
        <f t="shared" si="247"/>
        <v>Page5j_SANS_OBJECT!K</v>
      </c>
      <c r="Q1833" s="611">
        <f t="shared" si="248"/>
        <v>41</v>
      </c>
      <c r="R1833" s="1447">
        <f t="shared" ca="1" si="249"/>
        <v>0</v>
      </c>
      <c r="S1833" s="1447">
        <f t="shared" ca="1" si="250"/>
        <v>0</v>
      </c>
      <c r="V1833" s="2557" t="str">
        <f t="shared" ca="1" si="252"/>
        <v/>
      </c>
      <c r="W1833" s="611" t="str">
        <f t="shared" ca="1" si="251"/>
        <v>Page5j_SANS_OBJECT, Ligne 38 [Page5j_SANS_OBJECT!K41]  -</v>
      </c>
    </row>
    <row r="1834" spans="1:23">
      <c r="A1834" s="1443" t="str">
        <f>celladdr(Page5j_SANS_OBJECT!K42)</f>
        <v>Page5j_SANS_OBJECT!K42</v>
      </c>
      <c r="B1834" s="1464" t="s">
        <v>1086</v>
      </c>
      <c r="C1834" s="1451" t="b">
        <f>Page5j_SANS_OBJECT!$K$42&lt;0</f>
        <v>0</v>
      </c>
      <c r="D1834" s="1454" t="b">
        <f>OR(AND(Page5j_SANS_OBJECT!$K42&gt;0,Page5j_SANS_OBJECT!$M42=0),AND(Page5j_SANS_OBJECT!$M42&lt;&gt;0,Page5j_SANS_OBJECT!$K42=0))</f>
        <v>0</v>
      </c>
      <c r="E1834" s="1454"/>
      <c r="F1834" s="1454"/>
      <c r="G1834" s="1444" t="str">
        <f t="shared" si="246"/>
        <v/>
      </c>
      <c r="H1834" s="1447" t="str">
        <f>IF(C1834=TRUE,Comments!$B$26,"")</f>
        <v/>
      </c>
      <c r="I1834" s="1446" t="str">
        <f>IF(D1834=TRUE,Comments!$B$21,"")</f>
        <v/>
      </c>
      <c r="J1834" s="1446"/>
      <c r="K1834" s="1452"/>
      <c r="N1834" s="611" t="str">
        <f>"CPTE # "&amp;Page5j_SANS_OBJECT!$E$42&amp;"  "&amp;Page5j_SANS_OBJECT!$C$42&amp;" - UNITÉS - AAD"</f>
        <v>CPTE # 437J  NE PAS UTILISER - UNITÉS - AAD</v>
      </c>
      <c r="O1834" s="611" t="str">
        <f t="shared" si="245"/>
        <v/>
      </c>
      <c r="P1834" s="611" t="str">
        <f t="shared" si="247"/>
        <v>Page5j_SANS_OBJECT!K</v>
      </c>
      <c r="Q1834" s="611">
        <f t="shared" si="248"/>
        <v>42</v>
      </c>
      <c r="R1834" s="1447">
        <f t="shared" ca="1" si="249"/>
        <v>0</v>
      </c>
      <c r="S1834" s="1447">
        <f t="shared" ca="1" si="250"/>
        <v>0</v>
      </c>
      <c r="V1834" s="2557" t="str">
        <f t="shared" ca="1" si="252"/>
        <v/>
      </c>
      <c r="W1834" s="611" t="str">
        <f t="shared" ca="1" si="251"/>
        <v>Page5j_SANS_OBJECT, Ligne 39 [Page5j_SANS_OBJECT!K42]  -</v>
      </c>
    </row>
    <row r="1835" spans="1:23">
      <c r="A1835" s="1443" t="str">
        <f>celladdr(Page5j_SANS_OBJECT!K43)</f>
        <v>Page5j_SANS_OBJECT!K43</v>
      </c>
      <c r="B1835" s="1464" t="s">
        <v>1086</v>
      </c>
      <c r="C1835" s="1451" t="b">
        <f>Page5j_SANS_OBJECT!$K$43&lt;0</f>
        <v>0</v>
      </c>
      <c r="D1835" s="1454" t="b">
        <f>OR(AND(Page5j_SANS_OBJECT!$K43&gt;0,Page5j_SANS_OBJECT!$M43=0),AND(Page5j_SANS_OBJECT!$M43&lt;&gt;0,Page5j_SANS_OBJECT!$K43=0))</f>
        <v>0</v>
      </c>
      <c r="E1835" s="1454"/>
      <c r="F1835" s="1454"/>
      <c r="G1835" s="1444" t="str">
        <f t="shared" si="246"/>
        <v/>
      </c>
      <c r="H1835" s="1447" t="str">
        <f>IF(C1835=TRUE,Comments!$B$26,"")</f>
        <v/>
      </c>
      <c r="I1835" s="1446" t="str">
        <f>IF(D1835=TRUE,Comments!$B$21,"")</f>
        <v/>
      </c>
      <c r="J1835" s="1446"/>
      <c r="K1835" s="1452"/>
      <c r="N1835" s="611" t="str">
        <f>"CPTE # "&amp;Page5j_SANS_OBJECT!$E$43&amp;"  "&amp;Page5j_SANS_OBJECT!$C$43&amp;" - UNITÉS - AAD"</f>
        <v>CPTE # 438J  NE PAS UTILISER - UNITÉS - AAD</v>
      </c>
      <c r="O1835" s="611" t="str">
        <f t="shared" si="245"/>
        <v/>
      </c>
      <c r="P1835" s="611" t="str">
        <f t="shared" si="247"/>
        <v>Page5j_SANS_OBJECT!K</v>
      </c>
      <c r="Q1835" s="611">
        <f t="shared" si="248"/>
        <v>43</v>
      </c>
      <c r="R1835" s="1447">
        <f t="shared" ca="1" si="249"/>
        <v>0</v>
      </c>
      <c r="S1835" s="1447">
        <f t="shared" ca="1" si="250"/>
        <v>0</v>
      </c>
      <c r="V1835" s="2557" t="str">
        <f t="shared" ca="1" si="252"/>
        <v/>
      </c>
      <c r="W1835" s="611" t="str">
        <f t="shared" ca="1" si="251"/>
        <v>Page5j_SANS_OBJECT, Ligne 40 [Page5j_SANS_OBJECT!K43]  -</v>
      </c>
    </row>
    <row r="1836" spans="1:23">
      <c r="A1836" s="1443" t="str">
        <f>celladdr(Page5j_SANS_OBJECT!K44)</f>
        <v>Page5j_SANS_OBJECT!K44</v>
      </c>
      <c r="B1836" s="1444" t="s">
        <v>1086</v>
      </c>
      <c r="C1836" s="1451"/>
      <c r="D1836" s="1454"/>
      <c r="E1836" s="1454"/>
      <c r="F1836" s="1454"/>
      <c r="G1836" s="1444" t="str">
        <f t="shared" si="246"/>
        <v/>
      </c>
      <c r="H1836" s="1447" t="str">
        <f>IF(C1836=TRUE,Comments!$B$26,"")</f>
        <v/>
      </c>
      <c r="I1836" s="1446" t="str">
        <f>IF(D1836=TRUE,Comments!$B$21,"")</f>
        <v/>
      </c>
      <c r="J1836" s="1446"/>
      <c r="K1836" s="1452"/>
      <c r="O1836" s="611" t="str">
        <f t="shared" si="245"/>
        <v/>
      </c>
      <c r="P1836" s="611" t="str">
        <f t="shared" si="247"/>
        <v>Page5j_SANS_OBJECT!K</v>
      </c>
      <c r="Q1836" s="611">
        <f t="shared" si="248"/>
        <v>44</v>
      </c>
      <c r="R1836" s="1447">
        <f t="shared" ca="1" si="249"/>
        <v>0</v>
      </c>
      <c r="S1836" s="1447">
        <f t="shared" ca="1" si="250"/>
        <v>0</v>
      </c>
      <c r="V1836" s="2557" t="str">
        <f t="shared" ca="1" si="252"/>
        <v/>
      </c>
      <c r="W1836" s="611" t="str">
        <f t="shared" ca="1" si="251"/>
        <v>Page5j_SANS_OBJECT, Ligne 41 [Page5j_SANS_OBJECT!K44]  -</v>
      </c>
    </row>
    <row r="1837" spans="1:23">
      <c r="A1837" s="1443" t="str">
        <f>celladdr(Page5j_SANS_OBJECT!K45)</f>
        <v>Page5j_SANS_OBJECT!K45</v>
      </c>
      <c r="B1837" s="1464" t="s">
        <v>1086</v>
      </c>
      <c r="C1837" s="1451" t="b">
        <f>Page5j_SANS_OBJECT!$K$45&lt;0</f>
        <v>0</v>
      </c>
      <c r="D1837" s="1454" t="b">
        <f>OR(AND(Page5j_SANS_OBJECT!$K45&gt;0,Page5j_SANS_OBJECT!$M45=0),AND(Page5j_SANS_OBJECT!$M45&lt;&gt;0,Page5j_SANS_OBJECT!$K45=0))</f>
        <v>0</v>
      </c>
      <c r="E1837" s="1454"/>
      <c r="F1837" s="1454"/>
      <c r="G1837" s="1444" t="str">
        <f t="shared" si="246"/>
        <v/>
      </c>
      <c r="H1837" s="1447" t="str">
        <f>IF(C1837=TRUE,Comments!$B$26,"")</f>
        <v/>
      </c>
      <c r="I1837" s="1446" t="str">
        <f>IF(D1837=TRUE,Comments!$B$21,"")</f>
        <v/>
      </c>
      <c r="J1837" s="1446"/>
      <c r="K1837" s="1452"/>
      <c r="N1837" s="611" t="str">
        <f>"CPTE # "&amp;Page5j_SANS_OBJECT!$E$45&amp;"  "&amp;Page5j_SANS_OBJECT!$C$45&amp;" - UNITÉS - AAD"</f>
        <v>CPTE # 439J  MÉMO* VENTES INTERNET CAMIONS - UNITÉS - AAD</v>
      </c>
      <c r="O1837" s="611" t="str">
        <f t="shared" si="245"/>
        <v/>
      </c>
      <c r="P1837" s="611" t="str">
        <f t="shared" si="247"/>
        <v>Page5j_SANS_OBJECT!K</v>
      </c>
      <c r="Q1837" s="611">
        <f t="shared" si="248"/>
        <v>45</v>
      </c>
      <c r="R1837" s="1447">
        <f t="shared" ca="1" si="249"/>
        <v>0</v>
      </c>
      <c r="S1837" s="1447">
        <f t="shared" ca="1" si="250"/>
        <v>0</v>
      </c>
      <c r="V1837" s="2557" t="str">
        <f t="shared" ca="1" si="252"/>
        <v/>
      </c>
      <c r="W1837" s="611" t="str">
        <f t="shared" ca="1" si="251"/>
        <v>Page5j_SANS_OBJECT, Ligne 42 [Page5j_SANS_OBJECT!K45]  -</v>
      </c>
    </row>
    <row r="1838" spans="1:23">
      <c r="A1838" s="1443" t="str">
        <f>celladdr(Page5j_SANS_OBJECT!K46)</f>
        <v>Page5j_SANS_OBJECT!K46</v>
      </c>
      <c r="B1838" s="1464" t="s">
        <v>1086</v>
      </c>
      <c r="C1838" s="1451" t="b">
        <f>Page5j_SANS_OBJECT!$K$46&lt;0</f>
        <v>0</v>
      </c>
      <c r="D1838" s="1454" t="b">
        <f>OR(AND(Page5j_SANS_OBJECT!$K46&gt;0,Page5j_SANS_OBJECT!$M46=0),AND(Page5j_SANS_OBJECT!$M46&lt;&gt;0,Page5j_SANS_OBJECT!$K46=0))</f>
        <v>0</v>
      </c>
      <c r="E1838" s="1454"/>
      <c r="F1838" s="1454"/>
      <c r="G1838" s="1444" t="str">
        <f t="shared" si="246"/>
        <v/>
      </c>
      <c r="H1838" s="1447" t="str">
        <f>IF(C1838=TRUE,Comments!$B$26,"")</f>
        <v/>
      </c>
      <c r="I1838" s="1446" t="str">
        <f>IF(D1838=TRUE,Comments!$B$21,"")</f>
        <v/>
      </c>
      <c r="J1838" s="1446"/>
      <c r="K1838" s="1452"/>
      <c r="N1838" s="611" t="str">
        <f>"CPTE # "&amp;Page5j_SANS_OBJECT!$E$46&amp;"  "&amp;Page5j_SANS_OBJECT!$C$46&amp;" - UNITÉS - AAD"</f>
        <v>CPTE # 440J  TOTAL PARCS - CAMIONS - UNITÉS - AAD</v>
      </c>
      <c r="O1838" s="611" t="str">
        <f t="shared" si="245"/>
        <v/>
      </c>
      <c r="P1838" s="611" t="str">
        <f t="shared" si="247"/>
        <v>Page5j_SANS_OBJECT!K</v>
      </c>
      <c r="Q1838" s="611">
        <f t="shared" si="248"/>
        <v>46</v>
      </c>
      <c r="R1838" s="1447">
        <f t="shared" ca="1" si="249"/>
        <v>0</v>
      </c>
      <c r="S1838" s="1447">
        <f t="shared" ca="1" si="250"/>
        <v>0</v>
      </c>
      <c r="V1838" s="2557" t="str">
        <f t="shared" ca="1" si="252"/>
        <v/>
      </c>
      <c r="W1838" s="611" t="str">
        <f t="shared" ca="1" si="251"/>
        <v>Page5j_SANS_OBJECT, Ligne 43 [Page5j_SANS_OBJECT!K46]  -</v>
      </c>
    </row>
    <row r="1839" spans="1:23">
      <c r="A1839" s="1443" t="str">
        <f>celladdr(Page5j_SANS_OBJECT!K47)</f>
        <v>Page5j_SANS_OBJECT!K47</v>
      </c>
      <c r="B1839" s="1464" t="s">
        <v>1086</v>
      </c>
      <c r="C1839" s="1451" t="b">
        <f>Page5j_SANS_OBJECT!$K$47&lt;0</f>
        <v>0</v>
      </c>
      <c r="D1839" s="1454" t="b">
        <f>OR(AND(Page5j_SANS_OBJECT!$K47&gt;0,Page5j_SANS_OBJECT!$M47=0),AND(Page5j_SANS_OBJECT!$M47&lt;&gt;0,Page5j_SANS_OBJECT!$K47=0))</f>
        <v>0</v>
      </c>
      <c r="E1839" s="1454"/>
      <c r="F1839" s="1454"/>
      <c r="G1839" s="1444" t="str">
        <f t="shared" si="246"/>
        <v/>
      </c>
      <c r="H1839" s="1447" t="str">
        <f>IF(C1839=TRUE,Comments!$B$26,"")</f>
        <v/>
      </c>
      <c r="I1839" s="1446" t="str">
        <f>IF(D1839=TRUE,Comments!$B$21,"")</f>
        <v/>
      </c>
      <c r="J1839" s="1446"/>
      <c r="K1839" s="1452"/>
      <c r="N1839" s="611" t="str">
        <f>"CPTE # "&amp;Page5j_SANS_OBJECT!$E$47&amp;"  "&amp;Page5j_SANS_OBJECT!$C$47&amp;" - UNITÉS - AAD"</f>
        <v>CPTE # 441J  TOTAL IINTERNE - CAMIONS  - UNITÉS - AAD</v>
      </c>
      <c r="O1839" s="611" t="str">
        <f t="shared" si="245"/>
        <v/>
      </c>
      <c r="P1839" s="611" t="str">
        <f t="shared" si="247"/>
        <v>Page5j_SANS_OBJECT!K</v>
      </c>
      <c r="Q1839" s="611">
        <f t="shared" si="248"/>
        <v>47</v>
      </c>
      <c r="R1839" s="1447">
        <f t="shared" ca="1" si="249"/>
        <v>0</v>
      </c>
      <c r="S1839" s="1447">
        <f t="shared" ca="1" si="250"/>
        <v>0</v>
      </c>
      <c r="V1839" s="2557" t="str">
        <f t="shared" ca="1" si="252"/>
        <v/>
      </c>
      <c r="W1839" s="611" t="str">
        <f t="shared" ca="1" si="251"/>
        <v>Page5j_SANS_OBJECT, Ligne 44 [Page5j_SANS_OBJECT!K47]  -</v>
      </c>
    </row>
    <row r="1840" spans="1:23">
      <c r="A1840" s="1443" t="str">
        <f>celladdr(Page5j_SANS_OBJECT!K48)</f>
        <v>Page5j_SANS_OBJECT!K48</v>
      </c>
      <c r="B1840" s="1444" t="s">
        <v>1086</v>
      </c>
      <c r="C1840" s="1451"/>
      <c r="D1840" s="1454"/>
      <c r="E1840" s="1454"/>
      <c r="F1840" s="1454"/>
      <c r="G1840" s="1444" t="str">
        <f t="shared" si="246"/>
        <v/>
      </c>
      <c r="H1840" s="1447" t="str">
        <f>IF(C1840=TRUE,Comments!$B$26,"")</f>
        <v/>
      </c>
      <c r="I1840" s="1446" t="str">
        <f>IF(D1840=TRUE,Comments!$B$21,"")</f>
        <v/>
      </c>
      <c r="J1840" s="1446"/>
      <c r="K1840" s="1452"/>
      <c r="O1840" s="611" t="str">
        <f t="shared" si="245"/>
        <v/>
      </c>
      <c r="P1840" s="611" t="str">
        <f t="shared" si="247"/>
        <v>Page5j_SANS_OBJECT!K</v>
      </c>
      <c r="Q1840" s="611">
        <f t="shared" si="248"/>
        <v>48</v>
      </c>
      <c r="R1840" s="1447">
        <f t="shared" ca="1" si="249"/>
        <v>0</v>
      </c>
      <c r="S1840" s="1447">
        <f t="shared" ca="1" si="250"/>
        <v>0</v>
      </c>
      <c r="V1840" s="2557" t="str">
        <f t="shared" ca="1" si="252"/>
        <v/>
      </c>
      <c r="W1840" s="611" t="str">
        <f t="shared" ca="1" si="251"/>
        <v>Page5j_SANS_OBJECT, Ligne 45 [Page5j_SANS_OBJECT!K48]  -</v>
      </c>
    </row>
    <row r="1841" spans="1:23">
      <c r="A1841" s="1443" t="str">
        <f>celladdr(Page5j_SANS_OBJECT!K49)</f>
        <v>Page5j_SANS_OBJECT!K49</v>
      </c>
      <c r="B1841" s="1444" t="s">
        <v>1086</v>
      </c>
      <c r="C1841" s="1451"/>
      <c r="D1841" s="1454"/>
      <c r="E1841" s="1454"/>
      <c r="F1841" s="1454"/>
      <c r="G1841" s="1444" t="str">
        <f t="shared" si="246"/>
        <v/>
      </c>
      <c r="H1841" s="1447" t="str">
        <f>IF(C1841=TRUE,Comments!$B$26,"")</f>
        <v/>
      </c>
      <c r="I1841" s="1446" t="str">
        <f>IF(D1841=TRUE,Comments!$B$21,"")</f>
        <v/>
      </c>
      <c r="J1841" s="1446"/>
      <c r="K1841" s="1452"/>
      <c r="O1841" s="611" t="str">
        <f t="shared" si="245"/>
        <v/>
      </c>
      <c r="P1841" s="611" t="str">
        <f t="shared" si="247"/>
        <v>Page5j_SANS_OBJECT!K</v>
      </c>
      <c r="Q1841" s="611">
        <f t="shared" si="248"/>
        <v>49</v>
      </c>
      <c r="R1841" s="1447">
        <f t="shared" ca="1" si="249"/>
        <v>0</v>
      </c>
      <c r="S1841" s="1447">
        <f t="shared" ca="1" si="250"/>
        <v>0</v>
      </c>
      <c r="V1841" s="2557" t="str">
        <f t="shared" ca="1" si="252"/>
        <v/>
      </c>
      <c r="W1841" s="611" t="str">
        <f t="shared" ca="1" si="251"/>
        <v>Page5j_SANS_OBJECT, Ligne 46 [Page5j_SANS_OBJECT!K49]  -</v>
      </c>
    </row>
    <row r="1842" spans="1:23">
      <c r="A1842" s="1443" t="str">
        <f>celladdr(Page5j_SANS_OBJECT!K50)</f>
        <v>Page5j_SANS_OBJECT!K50</v>
      </c>
      <c r="B1842" s="1464" t="s">
        <v>1086</v>
      </c>
      <c r="C1842" s="1451"/>
      <c r="D1842" s="1454" t="b">
        <f>OR(AND(Page5j_SANS_OBJECT!$K50&gt;0,Page5j_SANS_OBJECT!$M50=0),AND(Page5j_SANS_OBJECT!$M50&lt;&gt;0,Page5j_SANS_OBJECT!$K50=0))</f>
        <v>0</v>
      </c>
      <c r="E1842" s="1454"/>
      <c r="F1842" s="1454"/>
      <c r="G1842" s="1444" t="str">
        <f t="shared" si="246"/>
        <v/>
      </c>
      <c r="I1842" s="1446" t="str">
        <f>IF(D1842=TRUE,Comments!$B$21,"")</f>
        <v/>
      </c>
      <c r="J1842" s="1446"/>
      <c r="K1842" s="1452"/>
      <c r="N1842" s="611" t="str">
        <f>"CPTE # "&amp;Page5j_SANS_OBJECT!$E$50&amp;"  "&amp;Page5j_SANS_OBJECT!$C$50&amp;" - UNITÉS - AAD"</f>
        <v>CPTE # 457J  ACCESSOIRES - UNITÉS - AAD</v>
      </c>
      <c r="O1842" s="611" t="str">
        <f t="shared" si="245"/>
        <v/>
      </c>
      <c r="P1842" s="611" t="str">
        <f t="shared" si="247"/>
        <v>Page5j_SANS_OBJECT!K</v>
      </c>
      <c r="Q1842" s="611">
        <f t="shared" si="248"/>
        <v>50</v>
      </c>
      <c r="R1842" s="1447">
        <f t="shared" ca="1" si="249"/>
        <v>0</v>
      </c>
      <c r="S1842" s="1447">
        <f t="shared" ca="1" si="250"/>
        <v>0</v>
      </c>
      <c r="V1842" s="2557" t="str">
        <f t="shared" ca="1" si="252"/>
        <v/>
      </c>
      <c r="W1842" s="611" t="str">
        <f t="shared" ca="1" si="251"/>
        <v>Page5j_SANS_OBJECT, Ligne 47 [Page5j_SANS_OBJECT!K50]  -</v>
      </c>
    </row>
    <row r="1843" spans="1:23">
      <c r="A1843" s="1443" t="str">
        <f>celladdr(Page5j_SANS_OBJECT!K51)</f>
        <v>Page5j_SANS_OBJECT!K51</v>
      </c>
      <c r="B1843" s="1453" t="s">
        <v>1086</v>
      </c>
      <c r="C1843" s="1445" t="b">
        <f>Page5j_SANS_OBJECT!$K$51&lt;&gt;Page5j_SANS_OBJECT!$K$48+Page5j_SANS_OBJECT!$K$27</f>
        <v>0</v>
      </c>
      <c r="D1843" s="1454"/>
      <c r="F1843" s="1454"/>
      <c r="G1843" s="1444" t="str">
        <f t="shared" si="246"/>
        <v/>
      </c>
      <c r="H1843" s="1446" t="str">
        <f>IF(C1843=TRUE,Comments!$B$38&amp;Page5j_SANS_OBJECT!$K$51-(Page5j_SANS_OBJECT!$K$48+Page5j_SANS_OBJECT!$K$27),"")</f>
        <v/>
      </c>
      <c r="I1843" s="1452"/>
      <c r="J1843" s="1452"/>
      <c r="K1843" s="1452"/>
      <c r="N1843" s="611" t="str">
        <f>Page5j_SANS_OBJECT!$B$1&amp;" TOTAL VÉHICULES NEUFS  - UNITÉS - AAD"</f>
        <v>SANS OBJECT TOTAL VÉHICULES NEUFS  - UNITÉS - AAD</v>
      </c>
      <c r="O1843" s="611" t="str">
        <f t="shared" si="245"/>
        <v/>
      </c>
      <c r="P1843" s="611" t="str">
        <f t="shared" si="247"/>
        <v>Page5j_SANS_OBJECT!K</v>
      </c>
      <c r="Q1843" s="611">
        <f t="shared" si="248"/>
        <v>51</v>
      </c>
      <c r="R1843" s="1447">
        <f t="shared" ca="1" si="249"/>
        <v>0</v>
      </c>
      <c r="S1843" s="1447">
        <f t="shared" ca="1" si="250"/>
        <v>0</v>
      </c>
      <c r="V1843" s="2557" t="str">
        <f t="shared" ca="1" si="252"/>
        <v/>
      </c>
      <c r="W1843" s="611" t="str">
        <f t="shared" ca="1" si="251"/>
        <v>Page5j_SANS_OBJECT, Ligne 48 [Page5j_SANS_OBJECT!K51]  -</v>
      </c>
    </row>
    <row r="1844" spans="1:23">
      <c r="A1844" s="1443" t="str">
        <f>celladdr(Page5j_SANS_OBJECT!L4)</f>
        <v>Page5j_SANS_OBJECT!L4</v>
      </c>
      <c r="B1844" s="1456" t="s">
        <v>1086</v>
      </c>
      <c r="C1844" s="1451" t="b">
        <f>Page5j_SANS_OBJECT!$L$4&lt;0</f>
        <v>0</v>
      </c>
      <c r="D1844" s="1454" t="b">
        <f>OR(AND(Page5j_SANS_OBJECT!$L4&lt;&gt;0,Page5j_SANS_OBJECT!$M4=0),AND(Page5j_SANS_OBJECT!$M4&lt;&gt;0,Page5j_SANS_OBJECT!$L4=0))</f>
        <v>0</v>
      </c>
      <c r="E1844" s="1454"/>
      <c r="F1844" s="1454"/>
      <c r="G1844" s="1444" t="str">
        <f t="shared" si="246"/>
        <v/>
      </c>
      <c r="H1844" s="1447" t="str">
        <f>IF(C1844=TRUE,Comments!$B$23,"")</f>
        <v/>
      </c>
      <c r="I1844" s="1446" t="str">
        <f>IF(D1844=TRUE,Comments!$B$24,"")</f>
        <v/>
      </c>
      <c r="J1844" s="1446"/>
      <c r="K1844" s="1452"/>
      <c r="N1844" s="611" t="str">
        <f>"CPTE # "&amp;Page5j_SANS_OBJECT!$E$4&amp;"  "&amp;Page5j_SANS_OBJECT!$C$4&amp;" - CHIFFRE D'AFFAIRES RÉALISÉ - AAD"</f>
        <v>CPTE # 400J  NE PAS UTILISER - CHIFFRE D'AFFAIRES RÉALISÉ - AAD</v>
      </c>
      <c r="O1844" s="611" t="str">
        <f t="shared" si="245"/>
        <v/>
      </c>
      <c r="P1844" s="611" t="str">
        <f t="shared" si="247"/>
        <v>Page5j_SANS_OBJECT!L</v>
      </c>
      <c r="Q1844" s="611">
        <f t="shared" si="248"/>
        <v>4</v>
      </c>
      <c r="R1844" s="1447">
        <f t="shared" ca="1" si="249"/>
        <v>0</v>
      </c>
      <c r="S1844" s="1447">
        <f t="shared" ca="1" si="250"/>
        <v>0</v>
      </c>
      <c r="V1844" s="2557" t="str">
        <f t="shared" ca="1" si="252"/>
        <v/>
      </c>
      <c r="W1844" s="611" t="str">
        <f t="shared" ca="1" si="251"/>
        <v>Page5j_SANS_OBJECT, Ligne 1 [Page5j_SANS_OBJECT!L4]  -</v>
      </c>
    </row>
    <row r="1845" spans="1:23">
      <c r="A1845" s="1443" t="str">
        <f>celladdr(Page5j_SANS_OBJECT!L5)</f>
        <v>Page5j_SANS_OBJECT!L5</v>
      </c>
      <c r="B1845" s="1456" t="s">
        <v>1086</v>
      </c>
      <c r="C1845" s="1451" t="b">
        <f>Page5j_SANS_OBJECT!$L$5&lt;0</f>
        <v>0</v>
      </c>
      <c r="D1845" s="1454" t="b">
        <f>OR(AND(Page5j_SANS_OBJECT!$L5&lt;&gt;0,Page5j_SANS_OBJECT!$M5=0),AND(Page5j_SANS_OBJECT!$M5&lt;&gt;0,Page5j_SANS_OBJECT!$L5=0))</f>
        <v>0</v>
      </c>
      <c r="E1845" s="1454"/>
      <c r="F1845" s="1454"/>
      <c r="G1845" s="1444" t="str">
        <f t="shared" si="246"/>
        <v/>
      </c>
      <c r="H1845" s="1447" t="str">
        <f>IF(C1845=TRUE,Comments!$B$23,"")</f>
        <v/>
      </c>
      <c r="I1845" s="1446" t="str">
        <f>IF(D1845=TRUE,Comments!$B$24,"")</f>
        <v/>
      </c>
      <c r="J1845" s="1446"/>
      <c r="K1845" s="1452"/>
      <c r="N1845" s="611" t="str">
        <f>"CPTE # "&amp;Page5j_SANS_OBJECT!$E$5&amp;"  "&amp;Page5j_SANS_OBJECT!$C$5&amp;" - CHIFFRE D'AFFAIRES RÉALISÉ - AAD"</f>
        <v>CPTE # 401J  NE PAS UTILISER - CHIFFRE D'AFFAIRES RÉALISÉ - AAD</v>
      </c>
      <c r="O1845" s="611" t="str">
        <f t="shared" si="245"/>
        <v/>
      </c>
      <c r="P1845" s="611" t="str">
        <f t="shared" si="247"/>
        <v>Page5j_SANS_OBJECT!L</v>
      </c>
      <c r="Q1845" s="611">
        <f t="shared" si="248"/>
        <v>5</v>
      </c>
      <c r="R1845" s="1447">
        <f t="shared" ca="1" si="249"/>
        <v>0</v>
      </c>
      <c r="S1845" s="1447">
        <f t="shared" ca="1" si="250"/>
        <v>0</v>
      </c>
      <c r="V1845" s="2557" t="str">
        <f t="shared" ca="1" si="252"/>
        <v/>
      </c>
      <c r="W1845" s="611" t="str">
        <f t="shared" ca="1" si="251"/>
        <v>Page5j_SANS_OBJECT, Ligne 2 [Page5j_SANS_OBJECT!L5]  -</v>
      </c>
    </row>
    <row r="1846" spans="1:23">
      <c r="A1846" s="1443" t="str">
        <f>celladdr(Page5j_SANS_OBJECT!L6)</f>
        <v>Page5j_SANS_OBJECT!L6</v>
      </c>
      <c r="B1846" s="1456" t="s">
        <v>1086</v>
      </c>
      <c r="C1846" s="1451" t="b">
        <f>Page5j_SANS_OBJECT!$L$6&lt;0</f>
        <v>0</v>
      </c>
      <c r="D1846" s="1454" t="b">
        <f>OR(AND(Page5j_SANS_OBJECT!$L6&lt;&gt;0,Page5j_SANS_OBJECT!$M6=0),AND(Page5j_SANS_OBJECT!$M6&lt;&gt;0,Page5j_SANS_OBJECT!$L6=0))</f>
        <v>0</v>
      </c>
      <c r="E1846" s="1454"/>
      <c r="F1846" s="1454"/>
      <c r="G1846" s="1444" t="str">
        <f t="shared" si="246"/>
        <v/>
      </c>
      <c r="H1846" s="1447" t="str">
        <f>IF(C1846=TRUE,Comments!$B$23,"")</f>
        <v/>
      </c>
      <c r="I1846" s="1446" t="str">
        <f>IF(D1846=TRUE,Comments!$B$24,"")</f>
        <v/>
      </c>
      <c r="J1846" s="1446"/>
      <c r="K1846" s="1452"/>
      <c r="N1846" s="611" t="str">
        <f>"CPTE # "&amp;Page5j_SANS_OBJECT!$E$6&amp;"  "&amp;Page5j_SANS_OBJECT!$C$6&amp;" - CHIFFRE D'AFFAIRES RÉALISÉ - AAD"</f>
        <v>CPTE # 402J  NE PAS UTILISER - CHIFFRE D'AFFAIRES RÉALISÉ - AAD</v>
      </c>
      <c r="O1846" s="611" t="str">
        <f t="shared" si="245"/>
        <v/>
      </c>
      <c r="P1846" s="611" t="str">
        <f t="shared" si="247"/>
        <v>Page5j_SANS_OBJECT!L</v>
      </c>
      <c r="Q1846" s="611">
        <f t="shared" si="248"/>
        <v>6</v>
      </c>
      <c r="R1846" s="1447">
        <f t="shared" ca="1" si="249"/>
        <v>0</v>
      </c>
      <c r="S1846" s="1447">
        <f t="shared" ca="1" si="250"/>
        <v>0</v>
      </c>
      <c r="V1846" s="2557" t="str">
        <f t="shared" ca="1" si="252"/>
        <v/>
      </c>
      <c r="W1846" s="611" t="str">
        <f t="shared" ca="1" si="251"/>
        <v>Page5j_SANS_OBJECT, Ligne 3 [Page5j_SANS_OBJECT!L6]  -</v>
      </c>
    </row>
    <row r="1847" spans="1:23">
      <c r="A1847" s="1443" t="str">
        <f>celladdr(Page5j_SANS_OBJECT!L7)</f>
        <v>Page5j_SANS_OBJECT!L7</v>
      </c>
      <c r="B1847" s="1456" t="s">
        <v>1086</v>
      </c>
      <c r="C1847" s="1451" t="b">
        <f>Page5j_SANS_OBJECT!$L$7&lt;0</f>
        <v>0</v>
      </c>
      <c r="D1847" s="1454" t="b">
        <f>OR(AND(Page5j_SANS_OBJECT!$L7&lt;&gt;0,Page5j_SANS_OBJECT!$M7=0),AND(Page5j_SANS_OBJECT!$M7&lt;&gt;0,Page5j_SANS_OBJECT!$L7=0))</f>
        <v>0</v>
      </c>
      <c r="E1847" s="1454"/>
      <c r="F1847" s="1454"/>
      <c r="G1847" s="1444" t="str">
        <f t="shared" si="246"/>
        <v/>
      </c>
      <c r="H1847" s="1447" t="str">
        <f>IF(C1847=TRUE,Comments!$B$23,"")</f>
        <v/>
      </c>
      <c r="I1847" s="1446" t="str">
        <f>IF(D1847=TRUE,Comments!$B$24,"")</f>
        <v/>
      </c>
      <c r="J1847" s="1446"/>
      <c r="K1847" s="1452"/>
      <c r="N1847" s="611" t="str">
        <f>"CPTE # "&amp;Page5j_SANS_OBJECT!$E$7&amp;"  "&amp;Page5j_SANS_OBJECT!$C$7&amp;" - CHIFFRE D'AFFAIRES RÉALISÉ - AAD"</f>
        <v>CPTE # 403J  NE PAS UTILISER - CHIFFRE D'AFFAIRES RÉALISÉ - AAD</v>
      </c>
      <c r="O1847" s="611" t="str">
        <f t="shared" si="245"/>
        <v/>
      </c>
      <c r="P1847" s="611" t="str">
        <f t="shared" si="247"/>
        <v>Page5j_SANS_OBJECT!L</v>
      </c>
      <c r="Q1847" s="611">
        <f t="shared" si="248"/>
        <v>7</v>
      </c>
      <c r="R1847" s="1447">
        <f t="shared" ca="1" si="249"/>
        <v>0</v>
      </c>
      <c r="S1847" s="1447">
        <f t="shared" ca="1" si="250"/>
        <v>0</v>
      </c>
      <c r="V1847" s="2557" t="str">
        <f t="shared" ca="1" si="252"/>
        <v/>
      </c>
      <c r="W1847" s="611" t="str">
        <f t="shared" ca="1" si="251"/>
        <v>Page5j_SANS_OBJECT, Ligne 4 [Page5j_SANS_OBJECT!L7]  -</v>
      </c>
    </row>
    <row r="1848" spans="1:23">
      <c r="A1848" s="1443" t="str">
        <f>celladdr(Page5j_SANS_OBJECT!L8)</f>
        <v>Page5j_SANS_OBJECT!L8</v>
      </c>
      <c r="B1848" s="1456" t="s">
        <v>1086</v>
      </c>
      <c r="C1848" s="1451" t="b">
        <f>Page5j_SANS_OBJECT!$L$8&lt;0</f>
        <v>0</v>
      </c>
      <c r="D1848" s="1454" t="b">
        <f>OR(AND(Page5j_SANS_OBJECT!$L8&lt;&gt;0,Page5j_SANS_OBJECT!$M8=0),AND(Page5j_SANS_OBJECT!$M8&lt;&gt;0,Page5j_SANS_OBJECT!$L8=0))</f>
        <v>0</v>
      </c>
      <c r="E1848" s="1454"/>
      <c r="F1848" s="1454"/>
      <c r="G1848" s="1444" t="str">
        <f t="shared" si="246"/>
        <v/>
      </c>
      <c r="H1848" s="1447" t="str">
        <f>IF(C1848=TRUE,Comments!$B$23,"")</f>
        <v/>
      </c>
      <c r="I1848" s="1446" t="str">
        <f>IF(D1848=TRUE,Comments!$B$24,"")</f>
        <v/>
      </c>
      <c r="J1848" s="1446"/>
      <c r="K1848" s="1452"/>
      <c r="N1848" s="611" t="str">
        <f>"CPTE # "&amp;Page5j_SANS_OBJECT!$E$8&amp;"  "&amp;Page5j_SANS_OBJECT!$C$8&amp;" - CHIFFRE D'AFFAIRES RÉALISÉ - AAD"</f>
        <v>CPTE # 404J  NE PAS UTILISER - CHIFFRE D'AFFAIRES RÉALISÉ - AAD</v>
      </c>
      <c r="O1848" s="611" t="str">
        <f t="shared" si="245"/>
        <v/>
      </c>
      <c r="P1848" s="611" t="str">
        <f t="shared" si="247"/>
        <v>Page5j_SANS_OBJECT!L</v>
      </c>
      <c r="Q1848" s="611">
        <f t="shared" si="248"/>
        <v>8</v>
      </c>
      <c r="R1848" s="1447">
        <f t="shared" ca="1" si="249"/>
        <v>0</v>
      </c>
      <c r="S1848" s="1447">
        <f t="shared" ca="1" si="250"/>
        <v>0</v>
      </c>
      <c r="V1848" s="2557" t="str">
        <f t="shared" ca="1" si="252"/>
        <v/>
      </c>
      <c r="W1848" s="611" t="str">
        <f t="shared" ca="1" si="251"/>
        <v>Page5j_SANS_OBJECT, Ligne 5 [Page5j_SANS_OBJECT!L8]  -</v>
      </c>
    </row>
    <row r="1849" spans="1:23">
      <c r="A1849" s="1443" t="str">
        <f>celladdr(Page5j_SANS_OBJECT!L9)</f>
        <v>Page5j_SANS_OBJECT!L9</v>
      </c>
      <c r="B1849" s="1456" t="s">
        <v>1086</v>
      </c>
      <c r="C1849" s="1451" t="b">
        <f>Page5j_SANS_OBJECT!$L$9&lt;0</f>
        <v>0</v>
      </c>
      <c r="D1849" s="1454" t="b">
        <f>OR(AND(Page5j_SANS_OBJECT!$L9&lt;&gt;0,Page5j_SANS_OBJECT!$M9=0),AND(Page5j_SANS_OBJECT!$M9&lt;&gt;0,Page5j_SANS_OBJECT!$L9=0))</f>
        <v>0</v>
      </c>
      <c r="E1849" s="1454"/>
      <c r="F1849" s="1454"/>
      <c r="G1849" s="1444" t="str">
        <f t="shared" si="246"/>
        <v/>
      </c>
      <c r="H1849" s="1447" t="str">
        <f>IF(C1849=TRUE,Comments!$B$23,"")</f>
        <v/>
      </c>
      <c r="I1849" s="1446" t="str">
        <f>IF(D1849=TRUE,Comments!$B$24,"")</f>
        <v/>
      </c>
      <c r="J1849" s="1446"/>
      <c r="K1849" s="1452"/>
      <c r="N1849" s="611" t="str">
        <f>"CPTE # "&amp;Page5j_SANS_OBJECT!$E$9&amp;"  "&amp;Page5j_SANS_OBJECT!$C$9&amp;" - CHIFFRE D'AFFAIRES RÉALISÉ - AAD"</f>
        <v>CPTE # 405J  NE PAS UTILISER - CHIFFRE D'AFFAIRES RÉALISÉ - AAD</v>
      </c>
      <c r="O1849" s="611" t="str">
        <f t="shared" si="245"/>
        <v/>
      </c>
      <c r="P1849" s="611" t="str">
        <f t="shared" si="247"/>
        <v>Page5j_SANS_OBJECT!L</v>
      </c>
      <c r="Q1849" s="611">
        <f t="shared" si="248"/>
        <v>9</v>
      </c>
      <c r="R1849" s="1447">
        <f t="shared" ca="1" si="249"/>
        <v>0</v>
      </c>
      <c r="S1849" s="1447">
        <f t="shared" ca="1" si="250"/>
        <v>0</v>
      </c>
      <c r="V1849" s="2557" t="str">
        <f t="shared" ca="1" si="252"/>
        <v/>
      </c>
      <c r="W1849" s="611" t="str">
        <f t="shared" ca="1" si="251"/>
        <v>Page5j_SANS_OBJECT, Ligne 6 [Page5j_SANS_OBJECT!L9]  -</v>
      </c>
    </row>
    <row r="1850" spans="1:23">
      <c r="A1850" s="1443" t="str">
        <f>celladdr(Page5j_SANS_OBJECT!L10)</f>
        <v>Page5j_SANS_OBJECT!L10</v>
      </c>
      <c r="B1850" s="1456" t="s">
        <v>1086</v>
      </c>
      <c r="C1850" s="1451" t="b">
        <f>Page5j_SANS_OBJECT!$L$10&lt;0</f>
        <v>0</v>
      </c>
      <c r="D1850" s="1454" t="b">
        <f>OR(AND(Page5j_SANS_OBJECT!$L10&lt;&gt;0,Page5j_SANS_OBJECT!$M10=0),AND(Page5j_SANS_OBJECT!$M10&lt;&gt;0,Page5j_SANS_OBJECT!$L10=0))</f>
        <v>0</v>
      </c>
      <c r="E1850" s="1454"/>
      <c r="F1850" s="1454"/>
      <c r="G1850" s="1444" t="str">
        <f t="shared" si="246"/>
        <v/>
      </c>
      <c r="H1850" s="1447" t="str">
        <f>IF(C1850=TRUE,Comments!$B$23,"")</f>
        <v/>
      </c>
      <c r="I1850" s="1446" t="str">
        <f>IF(D1850=TRUE,Comments!$B$24,"")</f>
        <v/>
      </c>
      <c r="J1850" s="1446"/>
      <c r="K1850" s="1452"/>
      <c r="N1850" s="611" t="str">
        <f>"CPTE # "&amp;Page5j_SANS_OBJECT!$E$10&amp;"  "&amp;Page5j_SANS_OBJECT!$C$10&amp;" - CHIFFRE D'AFFAIRES RÉALISÉ - AAD"</f>
        <v>CPTE # 406J  NE PAS UTILISER - CHIFFRE D'AFFAIRES RÉALISÉ - AAD</v>
      </c>
      <c r="O1850" s="611" t="str">
        <f t="shared" si="245"/>
        <v/>
      </c>
      <c r="P1850" s="611" t="str">
        <f t="shared" si="247"/>
        <v>Page5j_SANS_OBJECT!L</v>
      </c>
      <c r="Q1850" s="611">
        <f t="shared" si="248"/>
        <v>10</v>
      </c>
      <c r="R1850" s="1447">
        <f t="shared" ca="1" si="249"/>
        <v>0</v>
      </c>
      <c r="S1850" s="1447">
        <f t="shared" ca="1" si="250"/>
        <v>0</v>
      </c>
      <c r="V1850" s="2557" t="str">
        <f t="shared" ca="1" si="252"/>
        <v/>
      </c>
      <c r="W1850" s="611" t="str">
        <f t="shared" ca="1" si="251"/>
        <v>Page5j_SANS_OBJECT, Ligne 7 [Page5j_SANS_OBJECT!L10]  -</v>
      </c>
    </row>
    <row r="1851" spans="1:23">
      <c r="A1851" s="1443" t="str">
        <f>celladdr(Page5j_SANS_OBJECT!L11)</f>
        <v>Page5j_SANS_OBJECT!L11</v>
      </c>
      <c r="B1851" s="1456" t="s">
        <v>1086</v>
      </c>
      <c r="C1851" s="1451" t="b">
        <f>Page5j_SANS_OBJECT!$L$11&lt;0</f>
        <v>0</v>
      </c>
      <c r="D1851" s="1454" t="b">
        <f>OR(AND(Page5j_SANS_OBJECT!$L11&lt;&gt;0,Page5j_SANS_OBJECT!$M11=0),AND(Page5j_SANS_OBJECT!$M11&lt;&gt;0,Page5j_SANS_OBJECT!$L11=0))</f>
        <v>0</v>
      </c>
      <c r="E1851" s="1454"/>
      <c r="F1851" s="1454"/>
      <c r="G1851" s="1444" t="str">
        <f t="shared" si="246"/>
        <v/>
      </c>
      <c r="H1851" s="1447" t="str">
        <f>IF(C1851=TRUE,Comments!$B$23,"")</f>
        <v/>
      </c>
      <c r="I1851" s="1446" t="str">
        <f>IF(D1851=TRUE,Comments!$B$24,"")</f>
        <v/>
      </c>
      <c r="J1851" s="1446"/>
      <c r="K1851" s="1452"/>
      <c r="N1851" s="611" t="str">
        <f>"CPTE # "&amp;Page5j_SANS_OBJECT!$E$11&amp;"  "&amp;Page5j_SANS_OBJECT!$C$11&amp;" - CHIFFRE D'AFFAIRES RÉALISÉ - AAD"</f>
        <v>CPTE # 407J  NE PAS UTILISER - CHIFFRE D'AFFAIRES RÉALISÉ - AAD</v>
      </c>
      <c r="O1851" s="611" t="str">
        <f t="shared" si="245"/>
        <v/>
      </c>
      <c r="P1851" s="611" t="str">
        <f t="shared" si="247"/>
        <v>Page5j_SANS_OBJECT!L</v>
      </c>
      <c r="Q1851" s="611">
        <f t="shared" si="248"/>
        <v>11</v>
      </c>
      <c r="R1851" s="1447">
        <f t="shared" ca="1" si="249"/>
        <v>0</v>
      </c>
      <c r="S1851" s="1447">
        <f t="shared" ca="1" si="250"/>
        <v>0</v>
      </c>
      <c r="V1851" s="2557" t="str">
        <f t="shared" ca="1" si="252"/>
        <v/>
      </c>
      <c r="W1851" s="611" t="str">
        <f t="shared" ca="1" si="251"/>
        <v>Page5j_SANS_OBJECT, Ligne 8 [Page5j_SANS_OBJECT!L11]  -</v>
      </c>
    </row>
    <row r="1852" spans="1:23">
      <c r="A1852" s="1443" t="str">
        <f>celladdr(Page5j_SANS_OBJECT!L12)</f>
        <v>Page5j_SANS_OBJECT!L12</v>
      </c>
      <c r="B1852" s="1456" t="s">
        <v>1086</v>
      </c>
      <c r="C1852" s="1451" t="b">
        <f>Page5j_SANS_OBJECT!$L$12&lt;0</f>
        <v>0</v>
      </c>
      <c r="D1852" s="1454" t="b">
        <f>OR(AND(Page5j_SANS_OBJECT!$L12&lt;&gt;0,Page5j_SANS_OBJECT!$M12=0),AND(Page5j_SANS_OBJECT!$M12&lt;&gt;0,Page5j_SANS_OBJECT!$L12=0))</f>
        <v>0</v>
      </c>
      <c r="E1852" s="1454"/>
      <c r="F1852" s="1454"/>
      <c r="G1852" s="1444" t="str">
        <f t="shared" si="246"/>
        <v/>
      </c>
      <c r="H1852" s="1447" t="str">
        <f>IF(C1852=TRUE,Comments!$B$23,"")</f>
        <v/>
      </c>
      <c r="I1852" s="1446" t="str">
        <f>IF(D1852=TRUE,Comments!$B$24,"")</f>
        <v/>
      </c>
      <c r="J1852" s="1446"/>
      <c r="K1852" s="1452"/>
      <c r="N1852" s="611" t="str">
        <f>"CPTE # "&amp;Page5j_SANS_OBJECT!$E$12&amp;"  "&amp;Page5j_SANS_OBJECT!$C$12&amp;" - CHIFFRE D'AFFAIRES RÉALISÉ - AAD"</f>
        <v>CPTE # 408J  NE PAS UTILISER - CHIFFRE D'AFFAIRES RÉALISÉ - AAD</v>
      </c>
      <c r="O1852" s="611" t="str">
        <f t="shared" si="245"/>
        <v/>
      </c>
      <c r="P1852" s="611" t="str">
        <f t="shared" si="247"/>
        <v>Page5j_SANS_OBJECT!L</v>
      </c>
      <c r="Q1852" s="611">
        <f t="shared" si="248"/>
        <v>12</v>
      </c>
      <c r="R1852" s="1447">
        <f t="shared" ca="1" si="249"/>
        <v>0</v>
      </c>
      <c r="S1852" s="1447">
        <f t="shared" ca="1" si="250"/>
        <v>0</v>
      </c>
      <c r="V1852" s="2557" t="str">
        <f t="shared" ca="1" si="252"/>
        <v/>
      </c>
      <c r="W1852" s="611" t="str">
        <f t="shared" ca="1" si="251"/>
        <v>Page5j_SANS_OBJECT, Ligne 9 [Page5j_SANS_OBJECT!L12]  -</v>
      </c>
    </row>
    <row r="1853" spans="1:23">
      <c r="A1853" s="1443" t="str">
        <f>celladdr(Page5j_SANS_OBJECT!L13)</f>
        <v>Page5j_SANS_OBJECT!L13</v>
      </c>
      <c r="B1853" s="1456" t="s">
        <v>1086</v>
      </c>
      <c r="C1853" s="1451" t="b">
        <f>Page5j_SANS_OBJECT!$L$13&lt;0</f>
        <v>0</v>
      </c>
      <c r="D1853" s="1454" t="b">
        <f>OR(AND(Page5j_SANS_OBJECT!$L13&lt;&gt;0,Page5j_SANS_OBJECT!$M13=0),AND(Page5j_SANS_OBJECT!$M13&lt;&gt;0,Page5j_SANS_OBJECT!$L13=0))</f>
        <v>0</v>
      </c>
      <c r="E1853" s="1454"/>
      <c r="F1853" s="1454"/>
      <c r="G1853" s="1444" t="str">
        <f t="shared" si="246"/>
        <v/>
      </c>
      <c r="H1853" s="1447" t="str">
        <f>IF(C1853=TRUE,Comments!$B$23,"")</f>
        <v/>
      </c>
      <c r="I1853" s="1446" t="str">
        <f>IF(D1853=TRUE,Comments!$B$24,"")</f>
        <v/>
      </c>
      <c r="J1853" s="1446"/>
      <c r="K1853" s="1452"/>
      <c r="N1853" s="611" t="str">
        <f>"CPTE # "&amp;Page5j_SANS_OBJECT!$E$13&amp;"  "&amp;Page5j_SANS_OBJECT!$C$13&amp;" - CHIFFRE D'AFFAIRES RÉALISÉ - AAD"</f>
        <v>CPTE # 409J  NE PAS UTILISER - CHIFFRE D'AFFAIRES RÉALISÉ - AAD</v>
      </c>
      <c r="O1853" s="611" t="str">
        <f t="shared" si="245"/>
        <v/>
      </c>
      <c r="P1853" s="611" t="str">
        <f t="shared" si="247"/>
        <v>Page5j_SANS_OBJECT!L</v>
      </c>
      <c r="Q1853" s="611">
        <f t="shared" si="248"/>
        <v>13</v>
      </c>
      <c r="R1853" s="1447">
        <f t="shared" ca="1" si="249"/>
        <v>0</v>
      </c>
      <c r="S1853" s="1447">
        <f t="shared" ca="1" si="250"/>
        <v>0</v>
      </c>
      <c r="V1853" s="2557" t="str">
        <f t="shared" ca="1" si="252"/>
        <v/>
      </c>
      <c r="W1853" s="611" t="str">
        <f t="shared" ca="1" si="251"/>
        <v>Page5j_SANS_OBJECT, Ligne 10 [Page5j_SANS_OBJECT!L13]  -</v>
      </c>
    </row>
    <row r="1854" spans="1:23">
      <c r="A1854" s="1443" t="str">
        <f>celladdr(Page5j_SANS_OBJECT!L14)</f>
        <v>Page5j_SANS_OBJECT!L14</v>
      </c>
      <c r="B1854" s="1456" t="s">
        <v>1086</v>
      </c>
      <c r="C1854" s="1451" t="b">
        <f>Page5j_SANS_OBJECT!$L$14&lt;0</f>
        <v>0</v>
      </c>
      <c r="D1854" s="1454" t="b">
        <f>OR(AND(Page5j_SANS_OBJECT!$L14&lt;&gt;0,Page5j_SANS_OBJECT!$M14=0),AND(Page5j_SANS_OBJECT!$M14&lt;&gt;0,Page5j_SANS_OBJECT!$L14=0))</f>
        <v>0</v>
      </c>
      <c r="E1854" s="1454"/>
      <c r="F1854" s="1454"/>
      <c r="G1854" s="1444" t="str">
        <f t="shared" si="246"/>
        <v/>
      </c>
      <c r="H1854" s="1447" t="str">
        <f>IF(C1854=TRUE,Comments!$B$23,"")</f>
        <v/>
      </c>
      <c r="I1854" s="1446" t="str">
        <f>IF(D1854=TRUE,Comments!$B$24,"")</f>
        <v/>
      </c>
      <c r="J1854" s="1446"/>
      <c r="K1854" s="1452"/>
      <c r="N1854" s="611" t="str">
        <f>"CPTE # "&amp;Page5j_SANS_OBJECT!$E$14&amp;"  "&amp;Page5j_SANS_OBJECT!$C$14&amp;" - CHIFFRE D'AFFAIRES RÉALISÉ - AAD"</f>
        <v>CPTE # 410J  NE PAS UTILISER - CHIFFRE D'AFFAIRES RÉALISÉ - AAD</v>
      </c>
      <c r="O1854" s="611" t="str">
        <f t="shared" ref="O1854:O1917" si="253">IF(A1854=A1853,"TRUE","")</f>
        <v/>
      </c>
      <c r="P1854" s="611" t="str">
        <f t="shared" si="247"/>
        <v>Page5j_SANS_OBJECT!L</v>
      </c>
      <c r="Q1854" s="611">
        <f t="shared" si="248"/>
        <v>14</v>
      </c>
      <c r="R1854" s="1447">
        <f t="shared" ca="1" si="249"/>
        <v>0</v>
      </c>
      <c r="S1854" s="1447">
        <f t="shared" ca="1" si="250"/>
        <v>0</v>
      </c>
      <c r="V1854" s="2557" t="str">
        <f t="shared" ca="1" si="252"/>
        <v/>
      </c>
      <c r="W1854" s="611" t="str">
        <f t="shared" ca="1" si="251"/>
        <v>Page5j_SANS_OBJECT, Ligne 11 [Page5j_SANS_OBJECT!L14]  -</v>
      </c>
    </row>
    <row r="1855" spans="1:23">
      <c r="A1855" s="1443" t="str">
        <f>celladdr(Page5j_SANS_OBJECT!L15)</f>
        <v>Page5j_SANS_OBJECT!L15</v>
      </c>
      <c r="B1855" s="1456" t="s">
        <v>1086</v>
      </c>
      <c r="C1855" s="1451" t="b">
        <f>Page5j_SANS_OBJECT!$L$15&lt;0</f>
        <v>0</v>
      </c>
      <c r="D1855" s="1454" t="b">
        <f>OR(AND(Page5j_SANS_OBJECT!$L15&lt;&gt;0,Page5j_SANS_OBJECT!$M15=0),AND(Page5j_SANS_OBJECT!$M15&lt;&gt;0,Page5j_SANS_OBJECT!$L15=0))</f>
        <v>0</v>
      </c>
      <c r="E1855" s="1454"/>
      <c r="F1855" s="1454"/>
      <c r="G1855" s="1444" t="str">
        <f t="shared" si="246"/>
        <v/>
      </c>
      <c r="H1855" s="1447" t="str">
        <f>IF(C1855=TRUE,Comments!$B$23,"")</f>
        <v/>
      </c>
      <c r="I1855" s="1446" t="str">
        <f>IF(D1855=TRUE,Comments!$B$24,"")</f>
        <v/>
      </c>
      <c r="J1855" s="1446"/>
      <c r="K1855" s="1452"/>
      <c r="N1855" s="611" t="str">
        <f>"CPTE # "&amp;Page5j_SANS_OBJECT!$E$15&amp;"  "&amp;Page5j_SANS_OBJECT!$C$15&amp;" - CHIFFRE D'AFFAIRES RÉALISÉ - AAD"</f>
        <v>CPTE # 411J  NE PAS UTILISER - CHIFFRE D'AFFAIRES RÉALISÉ - AAD</v>
      </c>
      <c r="O1855" s="611" t="str">
        <f t="shared" si="253"/>
        <v/>
      </c>
      <c r="P1855" s="611" t="str">
        <f t="shared" si="247"/>
        <v>Page5j_SANS_OBJECT!L</v>
      </c>
      <c r="Q1855" s="611">
        <f t="shared" si="248"/>
        <v>15</v>
      </c>
      <c r="R1855" s="1447">
        <f t="shared" ca="1" si="249"/>
        <v>0</v>
      </c>
      <c r="S1855" s="1447">
        <f t="shared" ca="1" si="250"/>
        <v>0</v>
      </c>
      <c r="V1855" s="2557" t="str">
        <f t="shared" ca="1" si="252"/>
        <v/>
      </c>
      <c r="W1855" s="611" t="str">
        <f t="shared" ca="1" si="251"/>
        <v>Page5j_SANS_OBJECT, Ligne 12 [Page5j_SANS_OBJECT!L15]  -</v>
      </c>
    </row>
    <row r="1856" spans="1:23">
      <c r="A1856" s="1443" t="str">
        <f>celladdr(Page5j_SANS_OBJECT!L16)</f>
        <v>Page5j_SANS_OBJECT!L16</v>
      </c>
      <c r="B1856" s="1456" t="s">
        <v>1086</v>
      </c>
      <c r="C1856" s="1451" t="b">
        <f>Page5j_SANS_OBJECT!$L$16&lt;0</f>
        <v>0</v>
      </c>
      <c r="D1856" s="1454" t="b">
        <f>OR(AND(Page5j_SANS_OBJECT!$L16&lt;&gt;0,Page5j_SANS_OBJECT!$M16=0),AND(Page5j_SANS_OBJECT!$M16&lt;&gt;0,Page5j_SANS_OBJECT!$L16=0))</f>
        <v>0</v>
      </c>
      <c r="E1856" s="1454"/>
      <c r="F1856" s="1454"/>
      <c r="G1856" s="1444" t="str">
        <f t="shared" si="246"/>
        <v/>
      </c>
      <c r="H1856" s="1447" t="str">
        <f>IF(C1856=TRUE,Comments!$B$23,"")</f>
        <v/>
      </c>
      <c r="I1856" s="1446" t="str">
        <f>IF(D1856=TRUE,Comments!$B$24,"")</f>
        <v/>
      </c>
      <c r="J1856" s="1446"/>
      <c r="K1856" s="1452"/>
      <c r="N1856" s="611" t="str">
        <f>"CPTE # "&amp;Page5j_SANS_OBJECT!$E$16&amp;"  "&amp;Page5j_SANS_OBJECT!$C$16&amp;" - CHIFFRE D'AFFAIRES RÉALISÉ - AAD"</f>
        <v>CPTE # 412J  NE PAS UTILISER - CHIFFRE D'AFFAIRES RÉALISÉ - AAD</v>
      </c>
      <c r="O1856" s="611" t="str">
        <f t="shared" si="253"/>
        <v/>
      </c>
      <c r="P1856" s="611" t="str">
        <f t="shared" si="247"/>
        <v>Page5j_SANS_OBJECT!L</v>
      </c>
      <c r="Q1856" s="611">
        <f t="shared" si="248"/>
        <v>16</v>
      </c>
      <c r="R1856" s="1447">
        <f t="shared" ca="1" si="249"/>
        <v>0</v>
      </c>
      <c r="S1856" s="1447">
        <f t="shared" ca="1" si="250"/>
        <v>0</v>
      </c>
      <c r="V1856" s="2557" t="str">
        <f t="shared" ca="1" si="252"/>
        <v/>
      </c>
      <c r="W1856" s="611" t="str">
        <f t="shared" ca="1" si="251"/>
        <v>Page5j_SANS_OBJECT, Ligne 13 [Page5j_SANS_OBJECT!L16]  -</v>
      </c>
    </row>
    <row r="1857" spans="1:23">
      <c r="A1857" s="1443" t="str">
        <f>celladdr(Page5j_SANS_OBJECT!L17)</f>
        <v>Page5j_SANS_OBJECT!L17</v>
      </c>
      <c r="B1857" s="1456" t="s">
        <v>1086</v>
      </c>
      <c r="C1857" s="1451" t="b">
        <f>Page5j_SANS_OBJECT!$L$17&lt;0</f>
        <v>0</v>
      </c>
      <c r="D1857" s="1454" t="b">
        <f>OR(AND(Page5j_SANS_OBJECT!$L17&lt;&gt;0,Page5j_SANS_OBJECT!$M17=0),AND(Page5j_SANS_OBJECT!$M17&lt;&gt;0,Page5j_SANS_OBJECT!$L17=0))</f>
        <v>0</v>
      </c>
      <c r="E1857" s="1454"/>
      <c r="F1857" s="1454"/>
      <c r="G1857" s="1444" t="str">
        <f t="shared" si="246"/>
        <v/>
      </c>
      <c r="H1857" s="1447" t="str">
        <f>IF(C1857=TRUE,Comments!$B$23,"")</f>
        <v/>
      </c>
      <c r="I1857" s="1446" t="str">
        <f>IF(D1857=TRUE,Comments!$B$24,"")</f>
        <v/>
      </c>
      <c r="J1857" s="1446"/>
      <c r="K1857" s="1452"/>
      <c r="N1857" s="611" t="str">
        <f>"CPTE # "&amp;Page5j_SANS_OBJECT!$E$17&amp;"  "&amp;Page5j_SANS_OBJECT!$C$17&amp;" - CHIFFRE D'AFFAIRES RÉALISÉ - AAD"</f>
        <v>CPTE # 413J  NE PAS UTILISER - CHIFFRE D'AFFAIRES RÉALISÉ - AAD</v>
      </c>
      <c r="O1857" s="611" t="str">
        <f t="shared" si="253"/>
        <v/>
      </c>
      <c r="P1857" s="611" t="str">
        <f t="shared" si="247"/>
        <v>Page5j_SANS_OBJECT!L</v>
      </c>
      <c r="Q1857" s="611">
        <f t="shared" si="248"/>
        <v>17</v>
      </c>
      <c r="R1857" s="1447">
        <f t="shared" ca="1" si="249"/>
        <v>0</v>
      </c>
      <c r="S1857" s="1447">
        <f t="shared" ca="1" si="250"/>
        <v>0</v>
      </c>
      <c r="V1857" s="2557" t="str">
        <f t="shared" ca="1" si="252"/>
        <v/>
      </c>
      <c r="W1857" s="611" t="str">
        <f t="shared" ca="1" si="251"/>
        <v>Page5j_SANS_OBJECT, Ligne 14 [Page5j_SANS_OBJECT!L17]  -</v>
      </c>
    </row>
    <row r="1858" spans="1:23">
      <c r="A1858" s="1443" t="str">
        <f>celladdr(Page5j_SANS_OBJECT!L18)</f>
        <v>Page5j_SANS_OBJECT!L18</v>
      </c>
      <c r="B1858" s="1456" t="s">
        <v>1086</v>
      </c>
      <c r="C1858" s="1451" t="b">
        <f>Page5j_SANS_OBJECT!$L$18&lt;0</f>
        <v>0</v>
      </c>
      <c r="D1858" s="1454" t="b">
        <f>OR(AND(Page5j_SANS_OBJECT!$L18&lt;&gt;0,Page5j_SANS_OBJECT!$M18=0),AND(Page5j_SANS_OBJECT!$M18&lt;&gt;0,Page5j_SANS_OBJECT!$L18=0))</f>
        <v>0</v>
      </c>
      <c r="E1858" s="1454"/>
      <c r="F1858" s="1454"/>
      <c r="G1858" s="1444" t="str">
        <f t="shared" ref="G1858:G1921" si="254">IF(H1858&amp;I1858&amp;J1858&amp;K1858&lt;&gt;"","No.de ref. du commentaire.: "&amp;W1858&amp;" "&amp;N1858&amp;" "&amp;H1858&amp;I1858&amp;IF(OR(C1858=TRUE,D1858=TRUE),"",J1858&amp;K1858&amp;V1858),"")</f>
        <v/>
      </c>
      <c r="H1858" s="1447" t="str">
        <f>IF(C1858=TRUE,Comments!$B$23,"")</f>
        <v/>
      </c>
      <c r="I1858" s="1446" t="str">
        <f>IF(D1858=TRUE,Comments!$B$24,"")</f>
        <v/>
      </c>
      <c r="J1858" s="1446"/>
      <c r="K1858" s="1452"/>
      <c r="N1858" s="611" t="str">
        <f>"CPTE # "&amp;Page5j_SANS_OBJECT!$E$18&amp;"  "&amp;Page5j_SANS_OBJECT!$C$18&amp;" - CHIFFRE D'AFFAIRES RÉALISÉ - AAD"</f>
        <v>CPTE # 414J  NE PAS UTILISER - CHIFFRE D'AFFAIRES RÉALISÉ - AAD</v>
      </c>
      <c r="O1858" s="611" t="str">
        <f t="shared" si="253"/>
        <v/>
      </c>
      <c r="P1858" s="611" t="str">
        <f t="shared" ref="P1858:P1921" si="255">LEFT(A1858,FIND("!",A1858)+1)</f>
        <v>Page5j_SANS_OBJECT!L</v>
      </c>
      <c r="Q1858" s="611">
        <f t="shared" ref="Q1858:Q1921" si="256">VALUE(RIGHT(A1858,LEN(A1858)-FIND("!",A1858)-1))</f>
        <v>18</v>
      </c>
      <c r="R1858" s="1447">
        <f t="shared" ref="R1858:R1921" ca="1" si="257">IF(E1858=TRUE,INDIRECT("Comments!$D$"&amp;T1858),0)</f>
        <v>0</v>
      </c>
      <c r="S1858" s="1447">
        <f t="shared" ref="S1858:S1921" ca="1" si="258">IF(F1858=TRUE,INDIRECT("Comments!$D$"&amp;U1858),0)</f>
        <v>0</v>
      </c>
      <c r="V1858" s="2557" t="str">
        <f t="shared" ca="1" si="252"/>
        <v/>
      </c>
      <c r="W1858" s="611" t="str">
        <f t="shared" ref="W1858:W1921" ca="1" si="259">LEFT(A1858,FIND("!",A1858,1)-1)&amp;", Ligne "&amp;INDIRECT(ADDRESS(ROW(INDIRECT(A1858)),IF(INDIRECT(ADDRESS(ROW(INDIRECT(A1858)),1,,,LEFT(A1858,FIND("!",A1858,1)-1)))="",2,1),,,LEFT(A1858,FIND("!",A1858,1)-1)))&amp;" ["&amp;A1858&amp;"] "&amp;" -"</f>
        <v>Page5j_SANS_OBJECT, Ligne 15 [Page5j_SANS_OBJECT!L18]  -</v>
      </c>
    </row>
    <row r="1859" spans="1:23">
      <c r="A1859" s="1443" t="str">
        <f>celladdr(Page5j_SANS_OBJECT!L19)</f>
        <v>Page5j_SANS_OBJECT!L19</v>
      </c>
      <c r="B1859" s="1456" t="s">
        <v>1086</v>
      </c>
      <c r="C1859" s="1451" t="b">
        <f>Page5j_SANS_OBJECT!$L$19&lt;0</f>
        <v>0</v>
      </c>
      <c r="D1859" s="1454" t="b">
        <f>OR(AND(Page5j_SANS_OBJECT!$L19&lt;&gt;0,Page5j_SANS_OBJECT!$M19=0),AND(Page5j_SANS_OBJECT!$M19&lt;&gt;0,Page5j_SANS_OBJECT!$L19=0))</f>
        <v>0</v>
      </c>
      <c r="E1859" s="1454"/>
      <c r="F1859" s="1454"/>
      <c r="G1859" s="1444" t="str">
        <f t="shared" si="254"/>
        <v/>
      </c>
      <c r="H1859" s="1447" t="str">
        <f>IF(C1859=TRUE,Comments!$B$23,"")</f>
        <v/>
      </c>
      <c r="I1859" s="1446" t="str">
        <f>IF(D1859=TRUE,Comments!$B$24,"")</f>
        <v/>
      </c>
      <c r="J1859" s="1446"/>
      <c r="K1859" s="1452"/>
      <c r="N1859" s="611" t="str">
        <f>"CPTE # "&amp;Page5j_SANS_OBJECT!$E$19&amp;"  "&amp;Page5j_SANS_OBJECT!$C$19&amp;" - CHIFFRE D'AFFAIRES RÉALISÉ - AAD"</f>
        <v>CPTE # 415J  NE PAS UTILISER - CHIFFRE D'AFFAIRES RÉALISÉ - AAD</v>
      </c>
      <c r="O1859" s="611" t="str">
        <f t="shared" si="253"/>
        <v/>
      </c>
      <c r="P1859" s="611" t="str">
        <f t="shared" si="255"/>
        <v>Page5j_SANS_OBJECT!L</v>
      </c>
      <c r="Q1859" s="611">
        <f t="shared" si="256"/>
        <v>19</v>
      </c>
      <c r="R1859" s="1447">
        <f t="shared" ca="1" si="257"/>
        <v>0</v>
      </c>
      <c r="S1859" s="1447">
        <f t="shared" ca="1" si="258"/>
        <v>0</v>
      </c>
      <c r="V1859" s="2557" t="str">
        <f t="shared" ca="1" si="252"/>
        <v/>
      </c>
      <c r="W1859" s="611" t="str">
        <f t="shared" ca="1" si="259"/>
        <v>Page5j_SANS_OBJECT, Ligne 16 [Page5j_SANS_OBJECT!L19]  -</v>
      </c>
    </row>
    <row r="1860" spans="1:23">
      <c r="A1860" s="1443" t="str">
        <f>celladdr(Page5j_SANS_OBJECT!L20)</f>
        <v>Page5j_SANS_OBJECT!L20</v>
      </c>
      <c r="B1860" s="1456" t="s">
        <v>1086</v>
      </c>
      <c r="C1860" s="1451" t="b">
        <f>Page5j_SANS_OBJECT!$L$20&lt;0</f>
        <v>0</v>
      </c>
      <c r="D1860" s="1454" t="b">
        <f>OR(AND(Page5j_SANS_OBJECT!$L20&lt;&gt;0,Page5j_SANS_OBJECT!$M20=0),AND(Page5j_SANS_OBJECT!$M20&lt;&gt;0,Page5j_SANS_OBJECT!$L20=0))</f>
        <v>0</v>
      </c>
      <c r="E1860" s="1454"/>
      <c r="F1860" s="1454"/>
      <c r="G1860" s="1444" t="str">
        <f t="shared" si="254"/>
        <v/>
      </c>
      <c r="H1860" s="1447" t="str">
        <f>IF(C1860=TRUE,Comments!$B$23,"")</f>
        <v/>
      </c>
      <c r="I1860" s="1446" t="str">
        <f>IF(D1860=TRUE,Comments!$B$24,"")</f>
        <v/>
      </c>
      <c r="J1860" s="1446"/>
      <c r="K1860" s="1452"/>
      <c r="N1860" s="611" t="str">
        <f>"CPTE # "&amp;Page5j_SANS_OBJECT!$E$20&amp;"  "&amp;Page5j_SANS_OBJECT!$C$20&amp;" - CHIFFRE D'AFFAIRES RÉALISÉ - AAD"</f>
        <v>CPTE # 416J  NE PAS UTILISER - CHIFFRE D'AFFAIRES RÉALISÉ - AAD</v>
      </c>
      <c r="O1860" s="611" t="str">
        <f t="shared" si="253"/>
        <v/>
      </c>
      <c r="P1860" s="611" t="str">
        <f t="shared" si="255"/>
        <v>Page5j_SANS_OBJECT!L</v>
      </c>
      <c r="Q1860" s="611">
        <f t="shared" si="256"/>
        <v>20</v>
      </c>
      <c r="R1860" s="1447">
        <f t="shared" ca="1" si="257"/>
        <v>0</v>
      </c>
      <c r="S1860" s="1447">
        <f t="shared" ca="1" si="258"/>
        <v>0</v>
      </c>
      <c r="V1860" s="2557" t="str">
        <f t="shared" ca="1" si="252"/>
        <v/>
      </c>
      <c r="W1860" s="611" t="str">
        <f t="shared" ca="1" si="259"/>
        <v>Page5j_SANS_OBJECT, Ligne 17 [Page5j_SANS_OBJECT!L20]  -</v>
      </c>
    </row>
    <row r="1861" spans="1:23">
      <c r="A1861" s="1443" t="str">
        <f>celladdr(Page5j_SANS_OBJECT!L21)</f>
        <v>Page5j_SANS_OBJECT!L21</v>
      </c>
      <c r="B1861" s="1456" t="s">
        <v>1086</v>
      </c>
      <c r="C1861" s="1451" t="b">
        <f>Page5j_SANS_OBJECT!$L$21&lt;0</f>
        <v>0</v>
      </c>
      <c r="D1861" s="1454" t="b">
        <f>OR(AND(Page5j_SANS_OBJECT!$L21&lt;&gt;0,Page5j_SANS_OBJECT!$M21=0),AND(Page5j_SANS_OBJECT!$M21&lt;&gt;0,Page5j_SANS_OBJECT!$L21=0))</f>
        <v>0</v>
      </c>
      <c r="E1861" s="1454"/>
      <c r="F1861" s="1454"/>
      <c r="G1861" s="1444" t="str">
        <f t="shared" si="254"/>
        <v/>
      </c>
      <c r="H1861" s="1447" t="str">
        <f>IF(C1861=TRUE,Comments!$B$23,"")</f>
        <v/>
      </c>
      <c r="I1861" s="1446" t="str">
        <f>IF(D1861=TRUE,Comments!$B$24,"")</f>
        <v/>
      </c>
      <c r="J1861" s="1446"/>
      <c r="K1861" s="1452"/>
      <c r="N1861" s="611" t="str">
        <f>"CPTE # "&amp;Page5j_SANS_OBJECT!$E$21&amp;"  "&amp;Page5j_SANS_OBJECT!$C$21&amp;" - CHIFFRE D'AFFAIRES RÉALISÉ - AAD"</f>
        <v>CPTE # 417J  NE PAS UTILISER - CHIFFRE D'AFFAIRES RÉALISÉ - AAD</v>
      </c>
      <c r="O1861" s="611" t="str">
        <f t="shared" si="253"/>
        <v/>
      </c>
      <c r="P1861" s="611" t="str">
        <f t="shared" si="255"/>
        <v>Page5j_SANS_OBJECT!L</v>
      </c>
      <c r="Q1861" s="611">
        <f t="shared" si="256"/>
        <v>21</v>
      </c>
      <c r="R1861" s="1447">
        <f t="shared" ca="1" si="257"/>
        <v>0</v>
      </c>
      <c r="S1861" s="1447">
        <f t="shared" ca="1" si="258"/>
        <v>0</v>
      </c>
      <c r="V1861" s="2557" t="str">
        <f t="shared" ca="1" si="252"/>
        <v/>
      </c>
      <c r="W1861" s="611" t="str">
        <f t="shared" ca="1" si="259"/>
        <v>Page5j_SANS_OBJECT, Ligne 18 [Page5j_SANS_OBJECT!L21]  -</v>
      </c>
    </row>
    <row r="1862" spans="1:23">
      <c r="A1862" s="1443" t="str">
        <f>celladdr(Page5j_SANS_OBJECT!L22)</f>
        <v>Page5j_SANS_OBJECT!L22</v>
      </c>
      <c r="B1862" s="1456" t="s">
        <v>1086</v>
      </c>
      <c r="C1862" s="1451" t="b">
        <f>Page5j_SANS_OBJECT!$L$22&lt;0</f>
        <v>0</v>
      </c>
      <c r="D1862" s="1454" t="b">
        <f>OR(AND(Page5j_SANS_OBJECT!$L22&lt;&gt;0,Page5j_SANS_OBJECT!$M22=0),AND(Page5j_SANS_OBJECT!$M22&lt;&gt;0,Page5j_SANS_OBJECT!$L22=0))</f>
        <v>0</v>
      </c>
      <c r="E1862" s="1454"/>
      <c r="F1862" s="1454"/>
      <c r="G1862" s="1444" t="str">
        <f t="shared" si="254"/>
        <v/>
      </c>
      <c r="H1862" s="1447" t="str">
        <f>IF(C1862=TRUE,Comments!$B$23,"")</f>
        <v/>
      </c>
      <c r="I1862" s="1446" t="str">
        <f>IF(D1862=TRUE,Comments!$B$24,"")</f>
        <v/>
      </c>
      <c r="J1862" s="1446"/>
      <c r="K1862" s="1452"/>
      <c r="N1862" s="611" t="str">
        <f>"CPTE # "&amp;Page5j_SANS_OBJECT!$E$22&amp;"  "&amp;Page5j_SANS_OBJECT!$C$22&amp;" - CHIFFRE D'AFFAIRES RÉALISÉ - AAD"</f>
        <v>CPTE # 418J  NE PAS UTILISER - CHIFFRE D'AFFAIRES RÉALISÉ - AAD</v>
      </c>
      <c r="O1862" s="611" t="str">
        <f t="shared" si="253"/>
        <v/>
      </c>
      <c r="P1862" s="611" t="str">
        <f t="shared" si="255"/>
        <v>Page5j_SANS_OBJECT!L</v>
      </c>
      <c r="Q1862" s="611">
        <f t="shared" si="256"/>
        <v>22</v>
      </c>
      <c r="R1862" s="1447">
        <f t="shared" ca="1" si="257"/>
        <v>0</v>
      </c>
      <c r="S1862" s="1447">
        <f t="shared" ca="1" si="258"/>
        <v>0</v>
      </c>
      <c r="V1862" s="2557" t="str">
        <f t="shared" ca="1" si="252"/>
        <v/>
      </c>
      <c r="W1862" s="611" t="str">
        <f t="shared" ca="1" si="259"/>
        <v>Page5j_SANS_OBJECT, Ligne 19 [Page5j_SANS_OBJECT!L22]  -</v>
      </c>
    </row>
    <row r="1863" spans="1:23">
      <c r="A1863" s="1443" t="str">
        <f>celladdr(Page5j_SANS_OBJECT!L23)</f>
        <v>Page5j_SANS_OBJECT!L23</v>
      </c>
      <c r="B1863" s="1444" t="s">
        <v>1086</v>
      </c>
      <c r="C1863" s="1451"/>
      <c r="D1863" s="1454"/>
      <c r="E1863" s="1454"/>
      <c r="F1863" s="1454"/>
      <c r="G1863" s="1444" t="str">
        <f t="shared" si="254"/>
        <v/>
      </c>
      <c r="H1863" s="1447" t="str">
        <f>IF(C1863=TRUE,Comments!$B$26,"")</f>
        <v/>
      </c>
      <c r="I1863" s="1446" t="str">
        <f>IF(D1863=TRUE,Comments!$B$24,"")</f>
        <v/>
      </c>
      <c r="J1863" s="1446"/>
      <c r="K1863" s="1452"/>
      <c r="O1863" s="611" t="str">
        <f t="shared" si="253"/>
        <v/>
      </c>
      <c r="P1863" s="611" t="str">
        <f t="shared" si="255"/>
        <v>Page5j_SANS_OBJECT!L</v>
      </c>
      <c r="Q1863" s="611">
        <f t="shared" si="256"/>
        <v>23</v>
      </c>
      <c r="R1863" s="1447">
        <f t="shared" ca="1" si="257"/>
        <v>0</v>
      </c>
      <c r="S1863" s="1447">
        <f t="shared" ca="1" si="258"/>
        <v>0</v>
      </c>
      <c r="V1863" s="2557" t="str">
        <f t="shared" ca="1" si="252"/>
        <v/>
      </c>
      <c r="W1863" s="611" t="str">
        <f t="shared" ca="1" si="259"/>
        <v>Page5j_SANS_OBJECT, Ligne 20 [Page5j_SANS_OBJECT!L23]  -</v>
      </c>
    </row>
    <row r="1864" spans="1:23">
      <c r="A1864" s="1443" t="str">
        <f>celladdr(Page5j_SANS_OBJECT!L24)</f>
        <v>Page5j_SANS_OBJECT!L24</v>
      </c>
      <c r="B1864" s="1456" t="s">
        <v>1086</v>
      </c>
      <c r="C1864" s="1451" t="b">
        <f>Page5j_SANS_OBJECT!$L$24&lt;0</f>
        <v>0</v>
      </c>
      <c r="D1864" s="1454" t="b">
        <f>OR(AND(Page5j_SANS_OBJECT!$L24&lt;&gt;0,Page5j_SANS_OBJECT!$M24=0),AND(Page5j_SANS_OBJECT!$M24&lt;&gt;0,Page5j_SANS_OBJECT!$L24=0))</f>
        <v>0</v>
      </c>
      <c r="E1864" s="1454"/>
      <c r="F1864" s="1454"/>
      <c r="G1864" s="1444" t="str">
        <f t="shared" si="254"/>
        <v/>
      </c>
      <c r="H1864" s="1447" t="str">
        <f>IF(C1864=TRUE,Comments!$B$23,"")</f>
        <v/>
      </c>
      <c r="I1864" s="1446" t="str">
        <f>IF(D1864=TRUE,Comments!$B$24,"")</f>
        <v/>
      </c>
      <c r="J1864" s="1446"/>
      <c r="K1864" s="1452"/>
      <c r="N1864" s="611" t="str">
        <f>"CPTE # "&amp;Page5j_SANS_OBJECT!$E$24&amp;"  "&amp;Page5j_SANS_OBJECT!$C$24&amp;" - CHIFFRE D'AFFAIRES RÉALISÉ - AAD"</f>
        <v>CPTE # 419J  MÉMO* VENTES INTERNET VOITURES - CHIFFRE D'AFFAIRES RÉALISÉ - AAD</v>
      </c>
      <c r="O1864" s="611" t="str">
        <f t="shared" si="253"/>
        <v/>
      </c>
      <c r="P1864" s="611" t="str">
        <f t="shared" si="255"/>
        <v>Page5j_SANS_OBJECT!L</v>
      </c>
      <c r="Q1864" s="611">
        <f t="shared" si="256"/>
        <v>24</v>
      </c>
      <c r="R1864" s="1447">
        <f t="shared" ca="1" si="257"/>
        <v>0</v>
      </c>
      <c r="S1864" s="1447">
        <f t="shared" ca="1" si="258"/>
        <v>0</v>
      </c>
      <c r="V1864" s="2557" t="str">
        <f t="shared" ca="1" si="252"/>
        <v/>
      </c>
      <c r="W1864" s="611" t="str">
        <f t="shared" ca="1" si="259"/>
        <v>Page5j_SANS_OBJECT, Ligne 21 [Page5j_SANS_OBJECT!L24]  -</v>
      </c>
    </row>
    <row r="1865" spans="1:23">
      <c r="A1865" s="1443" t="str">
        <f>celladdr(Page5j_SANS_OBJECT!L25)</f>
        <v>Page5j_SANS_OBJECT!L25</v>
      </c>
      <c r="B1865" s="1456" t="s">
        <v>1086</v>
      </c>
      <c r="C1865" s="1451" t="b">
        <f>Page5j_SANS_OBJECT!$L$25&lt;0</f>
        <v>0</v>
      </c>
      <c r="D1865" s="1454" t="b">
        <f>OR(AND(Page5j_SANS_OBJECT!$L25&lt;&gt;0,Page5j_SANS_OBJECT!$M25=0),AND(Page5j_SANS_OBJECT!$M25&lt;&gt;0,Page5j_SANS_OBJECT!$L25=0))</f>
        <v>0</v>
      </c>
      <c r="E1865" s="1454"/>
      <c r="F1865" s="1454"/>
      <c r="G1865" s="1444" t="str">
        <f t="shared" si="254"/>
        <v/>
      </c>
      <c r="H1865" s="1447" t="str">
        <f>IF(C1865=TRUE,Comments!$B$23,"")</f>
        <v/>
      </c>
      <c r="I1865" s="1446" t="str">
        <f>IF(D1865=TRUE,Comments!$B$24,"")</f>
        <v/>
      </c>
      <c r="J1865" s="1446"/>
      <c r="K1865" s="1452"/>
      <c r="N1865" s="611" t="str">
        <f>"CPTE # "&amp;Page5j_SANS_OBJECT!$E$25&amp;"  "&amp;Page5j_SANS_OBJECT!$C$25&amp;" - CHIFFRE D'AFFAIRES RÉALISÉ - AAD"</f>
        <v>CPTE # 420J  TOTAL PARCS - VOITURES - CHIFFRE D'AFFAIRES RÉALISÉ - AAD</v>
      </c>
      <c r="O1865" s="611" t="str">
        <f t="shared" si="253"/>
        <v/>
      </c>
      <c r="P1865" s="611" t="str">
        <f t="shared" si="255"/>
        <v>Page5j_SANS_OBJECT!L</v>
      </c>
      <c r="Q1865" s="611">
        <f t="shared" si="256"/>
        <v>25</v>
      </c>
      <c r="R1865" s="1447">
        <f t="shared" ca="1" si="257"/>
        <v>0</v>
      </c>
      <c r="S1865" s="1447">
        <f t="shared" ca="1" si="258"/>
        <v>0</v>
      </c>
      <c r="V1865" s="2557" t="str">
        <f t="shared" ca="1" si="252"/>
        <v/>
      </c>
      <c r="W1865" s="611" t="str">
        <f t="shared" ca="1" si="259"/>
        <v>Page5j_SANS_OBJECT, Ligne 22 [Page5j_SANS_OBJECT!L25]  -</v>
      </c>
    </row>
    <row r="1866" spans="1:23">
      <c r="A1866" s="1443" t="str">
        <f>celladdr(Page5j_SANS_OBJECT!L26)</f>
        <v>Page5j_SANS_OBJECT!L26</v>
      </c>
      <c r="B1866" s="1456" t="s">
        <v>1086</v>
      </c>
      <c r="C1866" s="1451" t="b">
        <f>Page5j_SANS_OBJECT!$L$26&lt;0</f>
        <v>0</v>
      </c>
      <c r="D1866" s="1454" t="b">
        <f>OR(AND(Page5j_SANS_OBJECT!$L26&lt;&gt;0,Page5j_SANS_OBJECT!$M26=0),AND(Page5j_SANS_OBJECT!$M26&lt;&gt;0,Page5j_SANS_OBJECT!$L26=0))</f>
        <v>0</v>
      </c>
      <c r="E1866" s="1454"/>
      <c r="F1866" s="1454"/>
      <c r="G1866" s="1444" t="str">
        <f t="shared" si="254"/>
        <v/>
      </c>
      <c r="H1866" s="1447" t="str">
        <f>IF(C1866=TRUE,Comments!$B$23,"")</f>
        <v/>
      </c>
      <c r="I1866" s="1446" t="str">
        <f>IF(D1866=TRUE,Comments!$B$24,"")</f>
        <v/>
      </c>
      <c r="J1866" s="1446"/>
      <c r="K1866" s="1452"/>
      <c r="N1866" s="611" t="str">
        <f>"CPTE # "&amp;Page5j_SANS_OBJECT!$E$26&amp;"  "&amp;Page5j_SANS_OBJECT!$C$26&amp;" - CHIFFRE D'AFFAIRES RÉALISÉ - AAD"</f>
        <v>CPTE # 421J  TOTAL INTERNE - VOITURES - CHIFFRE D'AFFAIRES RÉALISÉ - AAD</v>
      </c>
      <c r="O1866" s="611" t="str">
        <f t="shared" si="253"/>
        <v/>
      </c>
      <c r="P1866" s="611" t="str">
        <f t="shared" si="255"/>
        <v>Page5j_SANS_OBJECT!L</v>
      </c>
      <c r="Q1866" s="611">
        <f t="shared" si="256"/>
        <v>26</v>
      </c>
      <c r="R1866" s="1447">
        <f t="shared" ca="1" si="257"/>
        <v>0</v>
      </c>
      <c r="S1866" s="1447">
        <f t="shared" ca="1" si="258"/>
        <v>0</v>
      </c>
      <c r="V1866" s="2557" t="str">
        <f t="shared" ca="1" si="252"/>
        <v/>
      </c>
      <c r="W1866" s="611" t="str">
        <f t="shared" ca="1" si="259"/>
        <v>Page5j_SANS_OBJECT, Ligne 23 [Page5j_SANS_OBJECT!L26]  -</v>
      </c>
    </row>
    <row r="1867" spans="1:23">
      <c r="A1867" s="1443" t="str">
        <f>celladdr(Page5j_SANS_OBJECT!L27)</f>
        <v>Page5j_SANS_OBJECT!L27</v>
      </c>
      <c r="B1867" s="1444" t="s">
        <v>1086</v>
      </c>
      <c r="C1867" s="1451"/>
      <c r="D1867" s="1454"/>
      <c r="E1867" s="1454"/>
      <c r="F1867" s="1454"/>
      <c r="G1867" s="1444" t="str">
        <f t="shared" si="254"/>
        <v/>
      </c>
      <c r="H1867" s="1447" t="str">
        <f>IF(C1867=TRUE,Comments!$B$26,"")</f>
        <v/>
      </c>
      <c r="I1867" s="1446" t="str">
        <f>IF(D1867=TRUE,Comments!$B$24,"")</f>
        <v/>
      </c>
      <c r="J1867" s="1446"/>
      <c r="K1867" s="1452"/>
      <c r="O1867" s="611" t="str">
        <f t="shared" si="253"/>
        <v/>
      </c>
      <c r="P1867" s="611" t="str">
        <f t="shared" si="255"/>
        <v>Page5j_SANS_OBJECT!L</v>
      </c>
      <c r="Q1867" s="611">
        <f t="shared" si="256"/>
        <v>27</v>
      </c>
      <c r="R1867" s="1447">
        <f t="shared" ca="1" si="257"/>
        <v>0</v>
      </c>
      <c r="S1867" s="1447">
        <f t="shared" ca="1" si="258"/>
        <v>0</v>
      </c>
      <c r="V1867" s="2557" t="str">
        <f t="shared" ca="1" si="252"/>
        <v/>
      </c>
      <c r="W1867" s="611" t="str">
        <f t="shared" ca="1" si="259"/>
        <v>Page5j_SANS_OBJECT, Ligne 24 [Page5j_SANS_OBJECT!L27]  -</v>
      </c>
    </row>
    <row r="1868" spans="1:23">
      <c r="A1868" s="1443" t="str">
        <f>celladdr(Page5j_SANS_OBJECT!L28)</f>
        <v>Page5j_SANS_OBJECT!L28</v>
      </c>
      <c r="B1868" s="1456" t="s">
        <v>1086</v>
      </c>
      <c r="C1868" s="1451" t="b">
        <f>Page5j_SANS_OBJECT!$L$28&lt;0</f>
        <v>0</v>
      </c>
      <c r="D1868" s="1454" t="b">
        <f>OR(AND(Page5j_SANS_OBJECT!$L28&lt;&gt;0,Page5j_SANS_OBJECT!$M28=0),AND(Page5j_SANS_OBJECT!$M28&lt;&gt;0,Page5j_SANS_OBJECT!$L28=0))</f>
        <v>0</v>
      </c>
      <c r="E1868" s="1454"/>
      <c r="F1868" s="1454"/>
      <c r="G1868" s="1444" t="str">
        <f t="shared" si="254"/>
        <v/>
      </c>
      <c r="H1868" s="1447" t="str">
        <f>IF(C1868=TRUE,Comments!$B$23,"")</f>
        <v/>
      </c>
      <c r="I1868" s="1446" t="str">
        <f>IF(D1868=TRUE,Comments!$B$24,"")</f>
        <v/>
      </c>
      <c r="J1868" s="1446"/>
      <c r="K1868" s="1452"/>
      <c r="N1868" s="611" t="str">
        <f>"CPTE # "&amp;Page5j_SANS_OBJECT!$E$28&amp;"  "&amp;Page5j_SANS_OBJECT!$C$28&amp;" - CHIFFRE D'AFFAIRES RÉALISÉ - AAD"</f>
        <v>CPTE # 423J  POIDS LOURD - CHIFFRE D'AFFAIRES RÉALISÉ - AAD</v>
      </c>
      <c r="O1868" s="611" t="str">
        <f t="shared" si="253"/>
        <v/>
      </c>
      <c r="P1868" s="611" t="str">
        <f t="shared" si="255"/>
        <v>Page5j_SANS_OBJECT!L</v>
      </c>
      <c r="Q1868" s="611">
        <f t="shared" si="256"/>
        <v>28</v>
      </c>
      <c r="R1868" s="1447">
        <f t="shared" ca="1" si="257"/>
        <v>0</v>
      </c>
      <c r="S1868" s="1447">
        <f t="shared" ca="1" si="258"/>
        <v>0</v>
      </c>
      <c r="V1868" s="2557" t="str">
        <f t="shared" ca="1" si="252"/>
        <v/>
      </c>
      <c r="W1868" s="611" t="str">
        <f t="shared" ca="1" si="259"/>
        <v>Page5j_SANS_OBJECT, Ligne 25 [Page5j_SANS_OBJECT!L28]  -</v>
      </c>
    </row>
    <row r="1869" spans="1:23">
      <c r="A1869" s="1443" t="str">
        <f>celladdr(Page5j_SANS_OBJECT!L29)</f>
        <v>Page5j_SANS_OBJECT!L29</v>
      </c>
      <c r="B1869" s="1456" t="s">
        <v>1086</v>
      </c>
      <c r="C1869" s="1451" t="b">
        <f>Page5j_SANS_OBJECT!$L$29&lt;0</f>
        <v>0</v>
      </c>
      <c r="D1869" s="1454" t="b">
        <f>OR(AND(Page5j_SANS_OBJECT!$L29&lt;&gt;0,Page5j_SANS_OBJECT!$M29=0),AND(Page5j_SANS_OBJECT!$M29&lt;&gt;0,Page5j_SANS_OBJECT!$L29=0))</f>
        <v>0</v>
      </c>
      <c r="E1869" s="1454"/>
      <c r="F1869" s="1454"/>
      <c r="G1869" s="1444" t="str">
        <f t="shared" si="254"/>
        <v/>
      </c>
      <c r="H1869" s="1447" t="str">
        <f>IF(C1869=TRUE,Comments!$B$23,"")</f>
        <v/>
      </c>
      <c r="I1869" s="1446" t="str">
        <f>IF(D1869=TRUE,Comments!$B$24,"")</f>
        <v/>
      </c>
      <c r="J1869" s="1446"/>
      <c r="K1869" s="1452"/>
      <c r="N1869" s="611" t="str">
        <f>"CPTE # "&amp;Page5j_SANS_OBJECT!$E$29&amp;"  "&amp;Page5j_SANS_OBJECT!$C$29&amp;" - CHIFFRE D'AFFAIRES RÉALISÉ - AAD"</f>
        <v>CPTE # 424J  NE PAS UTILISER - CHIFFRE D'AFFAIRES RÉALISÉ - AAD</v>
      </c>
      <c r="O1869" s="611" t="str">
        <f t="shared" si="253"/>
        <v/>
      </c>
      <c r="P1869" s="611" t="str">
        <f t="shared" si="255"/>
        <v>Page5j_SANS_OBJECT!L</v>
      </c>
      <c r="Q1869" s="611">
        <f t="shared" si="256"/>
        <v>29</v>
      </c>
      <c r="R1869" s="1447">
        <f t="shared" ca="1" si="257"/>
        <v>0</v>
      </c>
      <c r="S1869" s="1447">
        <f t="shared" ca="1" si="258"/>
        <v>0</v>
      </c>
      <c r="V1869" s="2557" t="str">
        <f t="shared" ca="1" si="252"/>
        <v/>
      </c>
      <c r="W1869" s="611" t="str">
        <f t="shared" ca="1" si="259"/>
        <v>Page5j_SANS_OBJECT, Ligne 26 [Page5j_SANS_OBJECT!L29]  -</v>
      </c>
    </row>
    <row r="1870" spans="1:23">
      <c r="A1870" s="1443" t="str">
        <f>celladdr(Page5j_SANS_OBJECT!L30)</f>
        <v>Page5j_SANS_OBJECT!L30</v>
      </c>
      <c r="B1870" s="1456" t="s">
        <v>1086</v>
      </c>
      <c r="C1870" s="1451" t="b">
        <f>Page5j_SANS_OBJECT!$L$30&lt;0</f>
        <v>0</v>
      </c>
      <c r="D1870" s="1454" t="b">
        <f>OR(AND(Page5j_SANS_OBJECT!$L30&lt;&gt;0,Page5j_SANS_OBJECT!$M30=0),AND(Page5j_SANS_OBJECT!$M30&lt;&gt;0,Page5j_SANS_OBJECT!$L30=0))</f>
        <v>0</v>
      </c>
      <c r="E1870" s="1454"/>
      <c r="F1870" s="1454"/>
      <c r="G1870" s="1444" t="str">
        <f t="shared" si="254"/>
        <v/>
      </c>
      <c r="H1870" s="1447" t="str">
        <f>IF(C1870=TRUE,Comments!$B$23,"")</f>
        <v/>
      </c>
      <c r="I1870" s="1446" t="str">
        <f>IF(D1870=TRUE,Comments!$B$24,"")</f>
        <v/>
      </c>
      <c r="J1870" s="1446"/>
      <c r="K1870" s="1452"/>
      <c r="N1870" s="611" t="str">
        <f>"CPTE # "&amp;Page5j_SANS_OBJECT!$E$30&amp;"  "&amp;Page5j_SANS_OBJECT!$C$30&amp;" - CHIFFRE D'AFFAIRES RÉALISÉ - AAD"</f>
        <v>CPTE # 425J  NE PAS UTILISER - CHIFFRE D'AFFAIRES RÉALISÉ - AAD</v>
      </c>
      <c r="O1870" s="611" t="str">
        <f t="shared" si="253"/>
        <v/>
      </c>
      <c r="P1870" s="611" t="str">
        <f t="shared" si="255"/>
        <v>Page5j_SANS_OBJECT!L</v>
      </c>
      <c r="Q1870" s="611">
        <f t="shared" si="256"/>
        <v>30</v>
      </c>
      <c r="R1870" s="1447">
        <f t="shared" ca="1" si="257"/>
        <v>0</v>
      </c>
      <c r="S1870" s="1447">
        <f t="shared" ca="1" si="258"/>
        <v>0</v>
      </c>
      <c r="V1870" s="2557" t="str">
        <f t="shared" ca="1" si="252"/>
        <v/>
      </c>
      <c r="W1870" s="611" t="str">
        <f t="shared" ca="1" si="259"/>
        <v>Page5j_SANS_OBJECT, Ligne 27 [Page5j_SANS_OBJECT!L30]  -</v>
      </c>
    </row>
    <row r="1871" spans="1:23">
      <c r="A1871" s="1443" t="str">
        <f>celladdr(Page5j_SANS_OBJECT!L31)</f>
        <v>Page5j_SANS_OBJECT!L31</v>
      </c>
      <c r="B1871" s="1456" t="s">
        <v>1086</v>
      </c>
      <c r="C1871" s="1451" t="b">
        <f>Page5j_SANS_OBJECT!$L$31&lt;0</f>
        <v>0</v>
      </c>
      <c r="D1871" s="1454" t="b">
        <f>OR(AND(Page5j_SANS_OBJECT!$L31&lt;&gt;0,Page5j_SANS_OBJECT!$M31=0),AND(Page5j_SANS_OBJECT!$M31&lt;&gt;0,Page5j_SANS_OBJECT!$L31=0))</f>
        <v>0</v>
      </c>
      <c r="E1871" s="1454"/>
      <c r="F1871" s="1454"/>
      <c r="G1871" s="1444" t="str">
        <f t="shared" si="254"/>
        <v/>
      </c>
      <c r="H1871" s="1447" t="str">
        <f>IF(C1871=TRUE,Comments!$B$23,"")</f>
        <v/>
      </c>
      <c r="I1871" s="1446" t="str">
        <f>IF(D1871=TRUE,Comments!$B$24,"")</f>
        <v/>
      </c>
      <c r="J1871" s="1446"/>
      <c r="K1871" s="1452"/>
      <c r="N1871" s="611" t="str">
        <f>"CPTE # "&amp;Page5j_SANS_OBJECT!$E$31&amp;"  "&amp;Page5j_SANS_OBJECT!$C$31&amp;" - CHIFFRE D'AFFAIRES RÉALISÉ - AAD"</f>
        <v>CPTE # 426J  NE PAS UTILISER - CHIFFRE D'AFFAIRES RÉALISÉ - AAD</v>
      </c>
      <c r="O1871" s="611" t="str">
        <f t="shared" si="253"/>
        <v/>
      </c>
      <c r="P1871" s="611" t="str">
        <f t="shared" si="255"/>
        <v>Page5j_SANS_OBJECT!L</v>
      </c>
      <c r="Q1871" s="611">
        <f t="shared" si="256"/>
        <v>31</v>
      </c>
      <c r="R1871" s="1447">
        <f t="shared" ca="1" si="257"/>
        <v>0</v>
      </c>
      <c r="S1871" s="1447">
        <f t="shared" ca="1" si="258"/>
        <v>0</v>
      </c>
      <c r="V1871" s="2557" t="str">
        <f t="shared" ca="1" si="252"/>
        <v/>
      </c>
      <c r="W1871" s="611" t="str">
        <f t="shared" ca="1" si="259"/>
        <v>Page5j_SANS_OBJECT, Ligne 28 [Page5j_SANS_OBJECT!L31]  -</v>
      </c>
    </row>
    <row r="1872" spans="1:23">
      <c r="A1872" s="1443" t="str">
        <f>celladdr(Page5j_SANS_OBJECT!L32)</f>
        <v>Page5j_SANS_OBJECT!L32</v>
      </c>
      <c r="B1872" s="1456" t="s">
        <v>1086</v>
      </c>
      <c r="C1872" s="1451" t="b">
        <f>Page5j_SANS_OBJECT!$L$32&lt;0</f>
        <v>0</v>
      </c>
      <c r="D1872" s="1454" t="b">
        <f>OR(AND(Page5j_SANS_OBJECT!$L32&lt;&gt;0,Page5j_SANS_OBJECT!$M32=0),AND(Page5j_SANS_OBJECT!$M32&lt;&gt;0,Page5j_SANS_OBJECT!$L32=0))</f>
        <v>0</v>
      </c>
      <c r="E1872" s="1454"/>
      <c r="F1872" s="1454"/>
      <c r="G1872" s="1444" t="str">
        <f t="shared" si="254"/>
        <v/>
      </c>
      <c r="H1872" s="1447" t="str">
        <f>IF(C1872=TRUE,Comments!$B$23,"")</f>
        <v/>
      </c>
      <c r="I1872" s="1446" t="str">
        <f>IF(D1872=TRUE,Comments!$B$24,"")</f>
        <v/>
      </c>
      <c r="J1872" s="1446"/>
      <c r="K1872" s="1452"/>
      <c r="N1872" s="611" t="str">
        <f>"CPTE # "&amp;Page5j_SANS_OBJECT!$E$32&amp;"  "&amp;Page5j_SANS_OBJECT!$C$32&amp;" - CHIFFRE D'AFFAIRES RÉALISÉ - AAD"</f>
        <v>CPTE # 427J  NE PAS UTILISER - CHIFFRE D'AFFAIRES RÉALISÉ - AAD</v>
      </c>
      <c r="O1872" s="611" t="str">
        <f t="shared" si="253"/>
        <v/>
      </c>
      <c r="P1872" s="611" t="str">
        <f t="shared" si="255"/>
        <v>Page5j_SANS_OBJECT!L</v>
      </c>
      <c r="Q1872" s="611">
        <f t="shared" si="256"/>
        <v>32</v>
      </c>
      <c r="R1872" s="1447">
        <f t="shared" ca="1" si="257"/>
        <v>0</v>
      </c>
      <c r="S1872" s="1447">
        <f t="shared" ca="1" si="258"/>
        <v>0</v>
      </c>
      <c r="V1872" s="2557" t="str">
        <f t="shared" ca="1" si="252"/>
        <v/>
      </c>
      <c r="W1872" s="611" t="str">
        <f t="shared" ca="1" si="259"/>
        <v>Page5j_SANS_OBJECT, Ligne 29 [Page5j_SANS_OBJECT!L32]  -</v>
      </c>
    </row>
    <row r="1873" spans="1:23">
      <c r="A1873" s="1443" t="str">
        <f>celladdr(Page5j_SANS_OBJECT!L33)</f>
        <v>Page5j_SANS_OBJECT!L33</v>
      </c>
      <c r="B1873" s="1456" t="s">
        <v>1086</v>
      </c>
      <c r="C1873" s="1451" t="b">
        <f>Page5j_SANS_OBJECT!$L$33&lt;0</f>
        <v>0</v>
      </c>
      <c r="D1873" s="1454" t="b">
        <f>OR(AND(Page5j_SANS_OBJECT!$L33&lt;&gt;0,Page5j_SANS_OBJECT!$M33=0),AND(Page5j_SANS_OBJECT!$M33&lt;&gt;0,Page5j_SANS_OBJECT!$L33=0))</f>
        <v>0</v>
      </c>
      <c r="E1873" s="1454"/>
      <c r="F1873" s="1454"/>
      <c r="G1873" s="1444" t="str">
        <f t="shared" si="254"/>
        <v/>
      </c>
      <c r="H1873" s="1447" t="str">
        <f>IF(C1873=TRUE,Comments!$B$23,"")</f>
        <v/>
      </c>
      <c r="I1873" s="1446" t="str">
        <f>IF(D1873=TRUE,Comments!$B$24,"")</f>
        <v/>
      </c>
      <c r="J1873" s="1446"/>
      <c r="K1873" s="1452"/>
      <c r="N1873" s="611" t="str">
        <f>"CPTE # "&amp;Page5j_SANS_OBJECT!$E$33&amp;"  "&amp;Page5j_SANS_OBJECT!$C$33&amp;" - CHIFFRE D'AFFAIRES RÉALISÉ - AAD"</f>
        <v>CPTE # 428J  NE PAS UTILISER - CHIFFRE D'AFFAIRES RÉALISÉ - AAD</v>
      </c>
      <c r="O1873" s="611" t="str">
        <f t="shared" si="253"/>
        <v/>
      </c>
      <c r="P1873" s="611" t="str">
        <f t="shared" si="255"/>
        <v>Page5j_SANS_OBJECT!L</v>
      </c>
      <c r="Q1873" s="611">
        <f t="shared" si="256"/>
        <v>33</v>
      </c>
      <c r="R1873" s="1447">
        <f t="shared" ca="1" si="257"/>
        <v>0</v>
      </c>
      <c r="S1873" s="1447">
        <f t="shared" ca="1" si="258"/>
        <v>0</v>
      </c>
      <c r="V1873" s="2557" t="str">
        <f t="shared" ca="1" si="252"/>
        <v/>
      </c>
      <c r="W1873" s="611" t="str">
        <f t="shared" ca="1" si="259"/>
        <v>Page5j_SANS_OBJECT, Ligne 30 [Page5j_SANS_OBJECT!L33]  -</v>
      </c>
    </row>
    <row r="1874" spans="1:23">
      <c r="A1874" s="1443" t="str">
        <f>celladdr(Page5j_SANS_OBJECT!L34)</f>
        <v>Page5j_SANS_OBJECT!L34</v>
      </c>
      <c r="B1874" s="1456" t="s">
        <v>1086</v>
      </c>
      <c r="C1874" s="1451" t="b">
        <f>Page5j_SANS_OBJECT!$L$34&lt;0</f>
        <v>0</v>
      </c>
      <c r="D1874" s="1454" t="b">
        <f>OR(AND(Page5j_SANS_OBJECT!$L34&lt;&gt;0,Page5j_SANS_OBJECT!$M34=0),AND(Page5j_SANS_OBJECT!$M34&lt;&gt;0,Page5j_SANS_OBJECT!$L34=0))</f>
        <v>0</v>
      </c>
      <c r="E1874" s="1454"/>
      <c r="F1874" s="1454"/>
      <c r="G1874" s="1444" t="str">
        <f t="shared" si="254"/>
        <v/>
      </c>
      <c r="H1874" s="1447" t="str">
        <f>IF(C1874=TRUE,Comments!$B$23,"")</f>
        <v/>
      </c>
      <c r="I1874" s="1446" t="str">
        <f>IF(D1874=TRUE,Comments!$B$24,"")</f>
        <v/>
      </c>
      <c r="J1874" s="1446"/>
      <c r="K1874" s="1452"/>
      <c r="N1874" s="611" t="str">
        <f>"CPTE # "&amp;Page5j_SANS_OBJECT!$E$34&amp;"  "&amp;Page5j_SANS_OBJECT!$C$34&amp;" - CHIFFRE D'AFFAIRES RÉALISÉ - AAD"</f>
        <v>CPTE # 429J  NE PAS UTILISER - CHIFFRE D'AFFAIRES RÉALISÉ - AAD</v>
      </c>
      <c r="O1874" s="611" t="str">
        <f t="shared" si="253"/>
        <v/>
      </c>
      <c r="P1874" s="611" t="str">
        <f t="shared" si="255"/>
        <v>Page5j_SANS_OBJECT!L</v>
      </c>
      <c r="Q1874" s="611">
        <f t="shared" si="256"/>
        <v>34</v>
      </c>
      <c r="R1874" s="1447">
        <f t="shared" ca="1" si="257"/>
        <v>0</v>
      </c>
      <c r="S1874" s="1447">
        <f t="shared" ca="1" si="258"/>
        <v>0</v>
      </c>
      <c r="V1874" s="2557" t="str">
        <f t="shared" ca="1" si="252"/>
        <v/>
      </c>
      <c r="W1874" s="611" t="str">
        <f t="shared" ca="1" si="259"/>
        <v>Page5j_SANS_OBJECT, Ligne 31 [Page5j_SANS_OBJECT!L34]  -</v>
      </c>
    </row>
    <row r="1875" spans="1:23">
      <c r="A1875" s="1443" t="str">
        <f>celladdr(Page5j_SANS_OBJECT!L35)</f>
        <v>Page5j_SANS_OBJECT!L35</v>
      </c>
      <c r="B1875" s="1456" t="s">
        <v>1086</v>
      </c>
      <c r="C1875" s="1451" t="b">
        <f>Page5j_SANS_OBJECT!$L$35&lt;0</f>
        <v>0</v>
      </c>
      <c r="D1875" s="1454" t="b">
        <f>OR(AND(Page5j_SANS_OBJECT!$L35&lt;&gt;0,Page5j_SANS_OBJECT!$M35=0),AND(Page5j_SANS_OBJECT!$M35&lt;&gt;0,Page5j_SANS_OBJECT!$L35=0))</f>
        <v>0</v>
      </c>
      <c r="E1875" s="1454"/>
      <c r="F1875" s="1454"/>
      <c r="G1875" s="1444" t="str">
        <f t="shared" si="254"/>
        <v/>
      </c>
      <c r="H1875" s="1447" t="str">
        <f>IF(C1875=TRUE,Comments!$B$23,"")</f>
        <v/>
      </c>
      <c r="I1875" s="1446" t="str">
        <f>IF(D1875=TRUE,Comments!$B$24,"")</f>
        <v/>
      </c>
      <c r="J1875" s="1446"/>
      <c r="K1875" s="1452"/>
      <c r="N1875" s="611" t="str">
        <f>"CPTE # "&amp;Page5j_SANS_OBJECT!$E$35&amp;"  "&amp;Page5j_SANS_OBJECT!$C$35&amp;" - CHIFFRE D'AFFAIRES RÉALISÉ - AAD"</f>
        <v>CPTE # 430J  NE PAS UTILISER - CHIFFRE D'AFFAIRES RÉALISÉ - AAD</v>
      </c>
      <c r="O1875" s="611" t="str">
        <f t="shared" si="253"/>
        <v/>
      </c>
      <c r="P1875" s="611" t="str">
        <f t="shared" si="255"/>
        <v>Page5j_SANS_OBJECT!L</v>
      </c>
      <c r="Q1875" s="611">
        <f t="shared" si="256"/>
        <v>35</v>
      </c>
      <c r="R1875" s="1447">
        <f t="shared" ca="1" si="257"/>
        <v>0</v>
      </c>
      <c r="S1875" s="1447">
        <f t="shared" ca="1" si="258"/>
        <v>0</v>
      </c>
      <c r="V1875" s="2557" t="str">
        <f t="shared" ca="1" si="252"/>
        <v/>
      </c>
      <c r="W1875" s="611" t="str">
        <f t="shared" ca="1" si="259"/>
        <v>Page5j_SANS_OBJECT, Ligne 32 [Page5j_SANS_OBJECT!L35]  -</v>
      </c>
    </row>
    <row r="1876" spans="1:23">
      <c r="A1876" s="1443" t="str">
        <f>celladdr(Page5j_SANS_OBJECT!L36)</f>
        <v>Page5j_SANS_OBJECT!L36</v>
      </c>
      <c r="B1876" s="1456" t="s">
        <v>1086</v>
      </c>
      <c r="C1876" s="1451" t="b">
        <f>Page5j_SANS_OBJECT!$L$36&lt;0</f>
        <v>0</v>
      </c>
      <c r="D1876" s="1454" t="b">
        <f>OR(AND(Page5j_SANS_OBJECT!$L36&lt;&gt;0,Page5j_SANS_OBJECT!$M36=0),AND(Page5j_SANS_OBJECT!$M36&lt;&gt;0,Page5j_SANS_OBJECT!$L36=0))</f>
        <v>0</v>
      </c>
      <c r="E1876" s="1454"/>
      <c r="F1876" s="1454"/>
      <c r="G1876" s="1444" t="str">
        <f t="shared" si="254"/>
        <v/>
      </c>
      <c r="H1876" s="1447" t="str">
        <f>IF(C1876=TRUE,Comments!$B$23,"")</f>
        <v/>
      </c>
      <c r="I1876" s="1446" t="str">
        <f>IF(D1876=TRUE,Comments!$B$24,"")</f>
        <v/>
      </c>
      <c r="J1876" s="1446"/>
      <c r="K1876" s="1452"/>
      <c r="N1876" s="611" t="str">
        <f>"CPTE # "&amp;Page5j_SANS_OBJECT!$E$36&amp;"  "&amp;Page5j_SANS_OBJECT!$C$36&amp;" - CHIFFRE D'AFFAIRES RÉALISÉ - AAD"</f>
        <v>CPTE # 431J  NE PAS UTILISER - CHIFFRE D'AFFAIRES RÉALISÉ - AAD</v>
      </c>
      <c r="O1876" s="611" t="str">
        <f t="shared" si="253"/>
        <v/>
      </c>
      <c r="P1876" s="611" t="str">
        <f t="shared" si="255"/>
        <v>Page5j_SANS_OBJECT!L</v>
      </c>
      <c r="Q1876" s="611">
        <f t="shared" si="256"/>
        <v>36</v>
      </c>
      <c r="R1876" s="1447">
        <f t="shared" ca="1" si="257"/>
        <v>0</v>
      </c>
      <c r="S1876" s="1447">
        <f t="shared" ca="1" si="258"/>
        <v>0</v>
      </c>
      <c r="V1876" s="2557" t="str">
        <f t="shared" ca="1" si="252"/>
        <v/>
      </c>
      <c r="W1876" s="611" t="str">
        <f t="shared" ca="1" si="259"/>
        <v>Page5j_SANS_OBJECT, Ligne 33 [Page5j_SANS_OBJECT!L36]  -</v>
      </c>
    </row>
    <row r="1877" spans="1:23">
      <c r="A1877" s="1443" t="str">
        <f>celladdr(Page5j_SANS_OBJECT!L37)</f>
        <v>Page5j_SANS_OBJECT!L37</v>
      </c>
      <c r="B1877" s="1456" t="s">
        <v>1086</v>
      </c>
      <c r="C1877" s="1451" t="b">
        <f>Page5j_SANS_OBJECT!$L$37&lt;0</f>
        <v>0</v>
      </c>
      <c r="D1877" s="1454" t="b">
        <f>OR(AND(Page5j_SANS_OBJECT!$L37&lt;&gt;0,Page5j_SANS_OBJECT!$M37=0),AND(Page5j_SANS_OBJECT!$M37&lt;&gt;0,Page5j_SANS_OBJECT!$L37=0))</f>
        <v>0</v>
      </c>
      <c r="E1877" s="1454"/>
      <c r="F1877" s="1454"/>
      <c r="G1877" s="1444" t="str">
        <f t="shared" si="254"/>
        <v/>
      </c>
      <c r="H1877" s="1447" t="str">
        <f>IF(C1877=TRUE,Comments!$B$23,"")</f>
        <v/>
      </c>
      <c r="I1877" s="1446" t="str">
        <f>IF(D1877=TRUE,Comments!$B$24,"")</f>
        <v/>
      </c>
      <c r="J1877" s="1446"/>
      <c r="K1877" s="1452"/>
      <c r="N1877" s="611" t="str">
        <f>"CPTE # "&amp;Page5j_SANS_OBJECT!$E$37&amp;"  "&amp;Page5j_SANS_OBJECT!$C$37&amp;" - CHIFFRE D'AFFAIRES RÉALISÉ - AAD"</f>
        <v>CPTE # 432J  NE PAS UTILISER - CHIFFRE D'AFFAIRES RÉALISÉ - AAD</v>
      </c>
      <c r="O1877" s="611" t="str">
        <f t="shared" si="253"/>
        <v/>
      </c>
      <c r="P1877" s="611" t="str">
        <f t="shared" si="255"/>
        <v>Page5j_SANS_OBJECT!L</v>
      </c>
      <c r="Q1877" s="611">
        <f t="shared" si="256"/>
        <v>37</v>
      </c>
      <c r="R1877" s="1447">
        <f t="shared" ca="1" si="257"/>
        <v>0</v>
      </c>
      <c r="S1877" s="1447">
        <f t="shared" ca="1" si="258"/>
        <v>0</v>
      </c>
      <c r="V1877" s="2557" t="str">
        <f t="shared" ca="1" si="252"/>
        <v/>
      </c>
      <c r="W1877" s="611" t="str">
        <f t="shared" ca="1" si="259"/>
        <v>Page5j_SANS_OBJECT, Ligne 34 [Page5j_SANS_OBJECT!L37]  -</v>
      </c>
    </row>
    <row r="1878" spans="1:23">
      <c r="A1878" s="1443" t="str">
        <f>celladdr(Page5j_SANS_OBJECT!L38)</f>
        <v>Page5j_SANS_OBJECT!L38</v>
      </c>
      <c r="B1878" s="1456" t="s">
        <v>1086</v>
      </c>
      <c r="C1878" s="1451" t="b">
        <f>Page5j_SANS_OBJECT!$L$38&lt;0</f>
        <v>0</v>
      </c>
      <c r="D1878" s="1454" t="b">
        <f>OR(AND(Page5j_SANS_OBJECT!$L38&lt;&gt;0,Page5j_SANS_OBJECT!$M38=0),AND(Page5j_SANS_OBJECT!$M38&lt;&gt;0,Page5j_SANS_OBJECT!$L38=0))</f>
        <v>0</v>
      </c>
      <c r="E1878" s="1454"/>
      <c r="F1878" s="1454"/>
      <c r="G1878" s="1444" t="str">
        <f t="shared" si="254"/>
        <v/>
      </c>
      <c r="H1878" s="1447" t="str">
        <f>IF(C1878=TRUE,Comments!$B$23,"")</f>
        <v/>
      </c>
      <c r="I1878" s="1446" t="str">
        <f>IF(D1878=TRUE,Comments!$B$24,"")</f>
        <v/>
      </c>
      <c r="J1878" s="1446"/>
      <c r="K1878" s="1452"/>
      <c r="N1878" s="611" t="str">
        <f>"CPTE # "&amp;Page5j_SANS_OBJECT!$E$38&amp;"  "&amp;Page5j_SANS_OBJECT!$C$38&amp;" - CHIFFRE D'AFFAIRES RÉALISÉ - AAD"</f>
        <v>CPTE # 433J  NE PAS UTILISER - CHIFFRE D'AFFAIRES RÉALISÉ - AAD</v>
      </c>
      <c r="O1878" s="611" t="str">
        <f t="shared" si="253"/>
        <v/>
      </c>
      <c r="P1878" s="611" t="str">
        <f t="shared" si="255"/>
        <v>Page5j_SANS_OBJECT!L</v>
      </c>
      <c r="Q1878" s="611">
        <f t="shared" si="256"/>
        <v>38</v>
      </c>
      <c r="R1878" s="1447">
        <f t="shared" ca="1" si="257"/>
        <v>0</v>
      </c>
      <c r="S1878" s="1447">
        <f t="shared" ca="1" si="258"/>
        <v>0</v>
      </c>
      <c r="V1878" s="2557" t="str">
        <f t="shared" ca="1" si="252"/>
        <v/>
      </c>
      <c r="W1878" s="611" t="str">
        <f t="shared" ca="1" si="259"/>
        <v>Page5j_SANS_OBJECT, Ligne 35 [Page5j_SANS_OBJECT!L38]  -</v>
      </c>
    </row>
    <row r="1879" spans="1:23">
      <c r="A1879" s="1443" t="str">
        <f>celladdr(Page5j_SANS_OBJECT!L39)</f>
        <v>Page5j_SANS_OBJECT!L39</v>
      </c>
      <c r="B1879" s="1456" t="s">
        <v>1086</v>
      </c>
      <c r="C1879" s="1451" t="b">
        <f>Page5j_SANS_OBJECT!$L$39&lt;0</f>
        <v>0</v>
      </c>
      <c r="D1879" s="1454" t="b">
        <f>OR(AND(Page5j_SANS_OBJECT!$L39&lt;&gt;0,Page5j_SANS_OBJECT!$M39=0),AND(Page5j_SANS_OBJECT!$M39&lt;&gt;0,Page5j_SANS_OBJECT!$L39=0))</f>
        <v>0</v>
      </c>
      <c r="E1879" s="1454"/>
      <c r="F1879" s="1454"/>
      <c r="G1879" s="1444" t="str">
        <f t="shared" si="254"/>
        <v/>
      </c>
      <c r="H1879" s="1447" t="str">
        <f>IF(C1879=TRUE,Comments!$B$23,"")</f>
        <v/>
      </c>
      <c r="I1879" s="1446" t="str">
        <f>IF(D1879=TRUE,Comments!$B$24,"")</f>
        <v/>
      </c>
      <c r="J1879" s="1446"/>
      <c r="K1879" s="1452"/>
      <c r="N1879" s="611" t="str">
        <f>"CPTE # "&amp;Page5j_SANS_OBJECT!$E$39&amp;"  "&amp;Page5j_SANS_OBJECT!$C$39&amp;" - CHIFFRE D'AFFAIRES RÉALISÉ - AAD"</f>
        <v>CPTE # 434J  NE PAS UTILISER - CHIFFRE D'AFFAIRES RÉALISÉ - AAD</v>
      </c>
      <c r="O1879" s="611" t="str">
        <f t="shared" si="253"/>
        <v/>
      </c>
      <c r="P1879" s="611" t="str">
        <f t="shared" si="255"/>
        <v>Page5j_SANS_OBJECT!L</v>
      </c>
      <c r="Q1879" s="611">
        <f t="shared" si="256"/>
        <v>39</v>
      </c>
      <c r="R1879" s="1447">
        <f t="shared" ca="1" si="257"/>
        <v>0</v>
      </c>
      <c r="S1879" s="1447">
        <f t="shared" ca="1" si="258"/>
        <v>0</v>
      </c>
      <c r="V1879" s="2557" t="str">
        <f t="shared" ca="1" si="252"/>
        <v/>
      </c>
      <c r="W1879" s="611" t="str">
        <f t="shared" ca="1" si="259"/>
        <v>Page5j_SANS_OBJECT, Ligne 36 [Page5j_SANS_OBJECT!L39]  -</v>
      </c>
    </row>
    <row r="1880" spans="1:23">
      <c r="A1880" s="1443" t="str">
        <f>celladdr(Page5j_SANS_OBJECT!L40)</f>
        <v>Page5j_SANS_OBJECT!L40</v>
      </c>
      <c r="B1880" s="1456" t="s">
        <v>1086</v>
      </c>
      <c r="C1880" s="1451" t="b">
        <f>Page5j_SANS_OBJECT!$L$40&lt;0</f>
        <v>0</v>
      </c>
      <c r="D1880" s="1454" t="b">
        <f>OR(AND(Page5j_SANS_OBJECT!$L40&lt;&gt;0,Page5j_SANS_OBJECT!$M40=0),AND(Page5j_SANS_OBJECT!$M40&lt;&gt;0,Page5j_SANS_OBJECT!$L40=0))</f>
        <v>0</v>
      </c>
      <c r="E1880" s="1454"/>
      <c r="F1880" s="1454"/>
      <c r="G1880" s="1444" t="str">
        <f t="shared" si="254"/>
        <v/>
      </c>
      <c r="H1880" s="1447" t="str">
        <f>IF(C1880=TRUE,Comments!$B$23,"")</f>
        <v/>
      </c>
      <c r="I1880" s="1446" t="str">
        <f>IF(D1880=TRUE,Comments!$B$24,"")</f>
        <v/>
      </c>
      <c r="J1880" s="1446"/>
      <c r="K1880" s="1452"/>
      <c r="N1880" s="611" t="str">
        <f>"CPTE # "&amp;Page5j_SANS_OBJECT!$E$40&amp;"  "&amp;Page5j_SANS_OBJECT!$C$40&amp;" - CHIFFRE D'AFFAIRES RÉALISÉ - AAD"</f>
        <v>CPTE # 435J  NE PAS UTILISER - CHIFFRE D'AFFAIRES RÉALISÉ - AAD</v>
      </c>
      <c r="O1880" s="611" t="str">
        <f t="shared" si="253"/>
        <v/>
      </c>
      <c r="P1880" s="611" t="str">
        <f t="shared" si="255"/>
        <v>Page5j_SANS_OBJECT!L</v>
      </c>
      <c r="Q1880" s="611">
        <f t="shared" si="256"/>
        <v>40</v>
      </c>
      <c r="R1880" s="1447">
        <f t="shared" ca="1" si="257"/>
        <v>0</v>
      </c>
      <c r="S1880" s="1447">
        <f t="shared" ca="1" si="258"/>
        <v>0</v>
      </c>
      <c r="V1880" s="2557" t="str">
        <f t="shared" ref="V1880:V1943" ca="1" si="260">IF(SUM(R1880+S1880)=0,"","
*** "&amp;TEXT(SUM(R1880+S1880),"0,0")&amp;" Points de précision seront déduits suite à cette(ces) erreur(s) !")</f>
        <v/>
      </c>
      <c r="W1880" s="611" t="str">
        <f t="shared" ca="1" si="259"/>
        <v>Page5j_SANS_OBJECT, Ligne 37 [Page5j_SANS_OBJECT!L40]  -</v>
      </c>
    </row>
    <row r="1881" spans="1:23">
      <c r="A1881" s="1443" t="str">
        <f>celladdr(Page5j_SANS_OBJECT!L41)</f>
        <v>Page5j_SANS_OBJECT!L41</v>
      </c>
      <c r="B1881" s="1456" t="s">
        <v>1086</v>
      </c>
      <c r="C1881" s="1451" t="b">
        <f>Page5j_SANS_OBJECT!$L$41&lt;0</f>
        <v>0</v>
      </c>
      <c r="D1881" s="1454" t="b">
        <f>OR(AND(Page5j_SANS_OBJECT!$L41&lt;&gt;0,Page5j_SANS_OBJECT!$M41=0),AND(Page5j_SANS_OBJECT!$M41&lt;&gt;0,Page5j_SANS_OBJECT!$L41=0))</f>
        <v>0</v>
      </c>
      <c r="E1881" s="1454"/>
      <c r="F1881" s="1454"/>
      <c r="G1881" s="1444" t="str">
        <f t="shared" si="254"/>
        <v/>
      </c>
      <c r="H1881" s="1447" t="str">
        <f>IF(C1881=TRUE,Comments!$B$23,"")</f>
        <v/>
      </c>
      <c r="I1881" s="1446" t="str">
        <f>IF(D1881=TRUE,Comments!$B$24,"")</f>
        <v/>
      </c>
      <c r="J1881" s="1446"/>
      <c r="K1881" s="1452"/>
      <c r="N1881" s="611" t="str">
        <f>"CPTE # "&amp;Page5j_SANS_OBJECT!$E$41&amp;"  "&amp;Page5j_SANS_OBJECT!$C$41&amp;" - CHIFFRE D'AFFAIRES RÉALISÉ - AAD"</f>
        <v>CPTE # 436J  NE PAS UTILISER - CHIFFRE D'AFFAIRES RÉALISÉ - AAD</v>
      </c>
      <c r="O1881" s="611" t="str">
        <f t="shared" si="253"/>
        <v/>
      </c>
      <c r="P1881" s="611" t="str">
        <f t="shared" si="255"/>
        <v>Page5j_SANS_OBJECT!L</v>
      </c>
      <c r="Q1881" s="611">
        <f t="shared" si="256"/>
        <v>41</v>
      </c>
      <c r="R1881" s="1447">
        <f t="shared" ca="1" si="257"/>
        <v>0</v>
      </c>
      <c r="S1881" s="1447">
        <f t="shared" ca="1" si="258"/>
        <v>0</v>
      </c>
      <c r="V1881" s="2557" t="str">
        <f t="shared" ca="1" si="260"/>
        <v/>
      </c>
      <c r="W1881" s="611" t="str">
        <f t="shared" ca="1" si="259"/>
        <v>Page5j_SANS_OBJECT, Ligne 38 [Page5j_SANS_OBJECT!L41]  -</v>
      </c>
    </row>
    <row r="1882" spans="1:23">
      <c r="A1882" s="1443" t="str">
        <f>celladdr(Page5j_SANS_OBJECT!L42)</f>
        <v>Page5j_SANS_OBJECT!L42</v>
      </c>
      <c r="B1882" s="1456" t="s">
        <v>1086</v>
      </c>
      <c r="C1882" s="1451" t="b">
        <f>Page5j_SANS_OBJECT!$L$42&lt;0</f>
        <v>0</v>
      </c>
      <c r="D1882" s="1454" t="b">
        <f>OR(AND(Page5j_SANS_OBJECT!$L42&lt;&gt;0,Page5j_SANS_OBJECT!$M42=0),AND(Page5j_SANS_OBJECT!$M42&lt;&gt;0,Page5j_SANS_OBJECT!$L42=0))</f>
        <v>0</v>
      </c>
      <c r="E1882" s="1454"/>
      <c r="F1882" s="1454"/>
      <c r="G1882" s="1444" t="str">
        <f t="shared" si="254"/>
        <v/>
      </c>
      <c r="H1882" s="1447" t="str">
        <f>IF(C1882=TRUE,Comments!$B$23,"")</f>
        <v/>
      </c>
      <c r="I1882" s="1446" t="str">
        <f>IF(D1882=TRUE,Comments!$B$24,"")</f>
        <v/>
      </c>
      <c r="J1882" s="1446"/>
      <c r="K1882" s="1452"/>
      <c r="N1882" s="611" t="str">
        <f>"CPTE # "&amp;Page5j_SANS_OBJECT!$E$42&amp;"  "&amp;Page5j_SANS_OBJECT!$C$42&amp;" - CHIFFRE D'AFFAIRES RÉALISÉ - AAD"</f>
        <v>CPTE # 437J  NE PAS UTILISER - CHIFFRE D'AFFAIRES RÉALISÉ - AAD</v>
      </c>
      <c r="O1882" s="611" t="str">
        <f t="shared" si="253"/>
        <v/>
      </c>
      <c r="P1882" s="611" t="str">
        <f t="shared" si="255"/>
        <v>Page5j_SANS_OBJECT!L</v>
      </c>
      <c r="Q1882" s="611">
        <f t="shared" si="256"/>
        <v>42</v>
      </c>
      <c r="R1882" s="1447">
        <f t="shared" ca="1" si="257"/>
        <v>0</v>
      </c>
      <c r="S1882" s="1447">
        <f t="shared" ca="1" si="258"/>
        <v>0</v>
      </c>
      <c r="V1882" s="2557" t="str">
        <f t="shared" ca="1" si="260"/>
        <v/>
      </c>
      <c r="W1882" s="611" t="str">
        <f t="shared" ca="1" si="259"/>
        <v>Page5j_SANS_OBJECT, Ligne 39 [Page5j_SANS_OBJECT!L42]  -</v>
      </c>
    </row>
    <row r="1883" spans="1:23">
      <c r="A1883" s="1443" t="str">
        <f>celladdr(Page5j_SANS_OBJECT!L43)</f>
        <v>Page5j_SANS_OBJECT!L43</v>
      </c>
      <c r="B1883" s="1456" t="s">
        <v>1086</v>
      </c>
      <c r="C1883" s="1451" t="b">
        <f>Page5j_SANS_OBJECT!$L$43&lt;0</f>
        <v>0</v>
      </c>
      <c r="D1883" s="1454" t="b">
        <f>OR(AND(Page5j_SANS_OBJECT!$L43&lt;&gt;0,Page5j_SANS_OBJECT!$M43=0),AND(Page5j_SANS_OBJECT!$M43&lt;&gt;0,Page5j_SANS_OBJECT!$L43=0))</f>
        <v>0</v>
      </c>
      <c r="E1883" s="1454"/>
      <c r="F1883" s="1454"/>
      <c r="G1883" s="1444" t="str">
        <f t="shared" si="254"/>
        <v/>
      </c>
      <c r="H1883" s="1447" t="str">
        <f>IF(C1883=TRUE,Comments!$B$23,"")</f>
        <v/>
      </c>
      <c r="I1883" s="1446" t="str">
        <f>IF(D1883=TRUE,Comments!$B$24,"")</f>
        <v/>
      </c>
      <c r="J1883" s="1446"/>
      <c r="K1883" s="1452"/>
      <c r="N1883" s="611" t="str">
        <f>"CPTE # "&amp;Page5j_SANS_OBJECT!$E$43&amp;"  "&amp;Page5j_SANS_OBJECT!$C$43&amp;" - CHIFFRE D'AFFAIRES RÉALISÉ - AAD"</f>
        <v>CPTE # 438J  NE PAS UTILISER - CHIFFRE D'AFFAIRES RÉALISÉ - AAD</v>
      </c>
      <c r="O1883" s="611" t="str">
        <f t="shared" si="253"/>
        <v/>
      </c>
      <c r="P1883" s="611" t="str">
        <f t="shared" si="255"/>
        <v>Page5j_SANS_OBJECT!L</v>
      </c>
      <c r="Q1883" s="611">
        <f t="shared" si="256"/>
        <v>43</v>
      </c>
      <c r="R1883" s="1447">
        <f t="shared" ca="1" si="257"/>
        <v>0</v>
      </c>
      <c r="S1883" s="1447">
        <f t="shared" ca="1" si="258"/>
        <v>0</v>
      </c>
      <c r="V1883" s="2557" t="str">
        <f t="shared" ca="1" si="260"/>
        <v/>
      </c>
      <c r="W1883" s="611" t="str">
        <f t="shared" ca="1" si="259"/>
        <v>Page5j_SANS_OBJECT, Ligne 40 [Page5j_SANS_OBJECT!L43]  -</v>
      </c>
    </row>
    <row r="1884" spans="1:23">
      <c r="A1884" s="1443" t="str">
        <f>celladdr(Page5j_SANS_OBJECT!L44)</f>
        <v>Page5j_SANS_OBJECT!L44</v>
      </c>
      <c r="B1884" s="1444" t="s">
        <v>1086</v>
      </c>
      <c r="C1884" s="1451"/>
      <c r="D1884" s="1454"/>
      <c r="E1884" s="1454"/>
      <c r="F1884" s="1454"/>
      <c r="G1884" s="1444" t="str">
        <f t="shared" si="254"/>
        <v/>
      </c>
      <c r="H1884" s="1447" t="str">
        <f>IF(C1884=TRUE,Comments!$B$26,"")</f>
        <v/>
      </c>
      <c r="I1884" s="1446" t="str">
        <f>IF(D1884=TRUE,Comments!$B$24,"")</f>
        <v/>
      </c>
      <c r="J1884" s="1446"/>
      <c r="K1884" s="1452"/>
      <c r="O1884" s="611" t="str">
        <f t="shared" si="253"/>
        <v/>
      </c>
      <c r="P1884" s="611" t="str">
        <f t="shared" si="255"/>
        <v>Page5j_SANS_OBJECT!L</v>
      </c>
      <c r="Q1884" s="611">
        <f t="shared" si="256"/>
        <v>44</v>
      </c>
      <c r="R1884" s="1447">
        <f t="shared" ca="1" si="257"/>
        <v>0</v>
      </c>
      <c r="S1884" s="1447">
        <f t="shared" ca="1" si="258"/>
        <v>0</v>
      </c>
      <c r="V1884" s="2557" t="str">
        <f t="shared" ca="1" si="260"/>
        <v/>
      </c>
      <c r="W1884" s="611" t="str">
        <f t="shared" ca="1" si="259"/>
        <v>Page5j_SANS_OBJECT, Ligne 41 [Page5j_SANS_OBJECT!L44]  -</v>
      </c>
    </row>
    <row r="1885" spans="1:23">
      <c r="A1885" s="1443" t="str">
        <f>celladdr(Page5j_SANS_OBJECT!L45)</f>
        <v>Page5j_SANS_OBJECT!L45</v>
      </c>
      <c r="B1885" s="1456" t="s">
        <v>1086</v>
      </c>
      <c r="C1885" s="1451" t="b">
        <f>Page5j_SANS_OBJECT!$L$45&lt;0</f>
        <v>0</v>
      </c>
      <c r="D1885" s="1454" t="b">
        <f>OR(AND(Page5j_SANS_OBJECT!$L45&lt;&gt;0,Page5j_SANS_OBJECT!$M45=0),AND(Page5j_SANS_OBJECT!$M45&lt;&gt;0,Page5j_SANS_OBJECT!$L45=0))</f>
        <v>0</v>
      </c>
      <c r="E1885" s="1454"/>
      <c r="F1885" s="1454"/>
      <c r="G1885" s="1444" t="str">
        <f t="shared" si="254"/>
        <v/>
      </c>
      <c r="H1885" s="1447" t="str">
        <f>IF(C1885=TRUE,Comments!$B$23,"")</f>
        <v/>
      </c>
      <c r="I1885" s="1446" t="str">
        <f>IF(D1885=TRUE,Comments!$B$24,"")</f>
        <v/>
      </c>
      <c r="J1885" s="1446"/>
      <c r="K1885" s="1452"/>
      <c r="N1885" s="611" t="str">
        <f>"CPTE # "&amp;Page5j_SANS_OBJECT!$E$45&amp;"  "&amp;Page5j_SANS_OBJECT!$C$45&amp;" - CHIFFRE D'AFFAIRES RÉALISÉ - AAD"</f>
        <v>CPTE # 439J  MÉMO* VENTES INTERNET CAMIONS - CHIFFRE D'AFFAIRES RÉALISÉ - AAD</v>
      </c>
      <c r="O1885" s="611" t="str">
        <f t="shared" si="253"/>
        <v/>
      </c>
      <c r="P1885" s="611" t="str">
        <f t="shared" si="255"/>
        <v>Page5j_SANS_OBJECT!L</v>
      </c>
      <c r="Q1885" s="611">
        <f t="shared" si="256"/>
        <v>45</v>
      </c>
      <c r="R1885" s="1447">
        <f t="shared" ca="1" si="257"/>
        <v>0</v>
      </c>
      <c r="S1885" s="1447">
        <f t="shared" ca="1" si="258"/>
        <v>0</v>
      </c>
      <c r="V1885" s="2557" t="str">
        <f t="shared" ca="1" si="260"/>
        <v/>
      </c>
      <c r="W1885" s="611" t="str">
        <f t="shared" ca="1" si="259"/>
        <v>Page5j_SANS_OBJECT, Ligne 42 [Page5j_SANS_OBJECT!L45]  -</v>
      </c>
    </row>
    <row r="1886" spans="1:23">
      <c r="A1886" s="1443" t="str">
        <f>celladdr(Page5j_SANS_OBJECT!L46)</f>
        <v>Page5j_SANS_OBJECT!L46</v>
      </c>
      <c r="B1886" s="1456" t="s">
        <v>1086</v>
      </c>
      <c r="C1886" s="1451" t="b">
        <f>Page5j_SANS_OBJECT!$L$46&lt;0</f>
        <v>0</v>
      </c>
      <c r="D1886" s="1454" t="b">
        <f>OR(AND(Page5j_SANS_OBJECT!$L46&lt;&gt;0,Page5j_SANS_OBJECT!$M46=0),AND(Page5j_SANS_OBJECT!$M46&lt;&gt;0,Page5j_SANS_OBJECT!$L46=0))</f>
        <v>0</v>
      </c>
      <c r="E1886" s="1454"/>
      <c r="F1886" s="1454"/>
      <c r="G1886" s="1444" t="str">
        <f t="shared" si="254"/>
        <v/>
      </c>
      <c r="H1886" s="1447" t="str">
        <f>IF(C1886=TRUE,Comments!$B$23,"")</f>
        <v/>
      </c>
      <c r="I1886" s="1446" t="str">
        <f>IF(D1886=TRUE,Comments!$B$24,"")</f>
        <v/>
      </c>
      <c r="J1886" s="1446"/>
      <c r="K1886" s="1452"/>
      <c r="N1886" s="611" t="str">
        <f>"CPTE # "&amp;Page5j_SANS_OBJECT!$E$46&amp;"  "&amp;Page5j_SANS_OBJECT!$C$46&amp;" - CHIFFRE D'AFFAIRES RÉALISÉ - AAD"</f>
        <v>CPTE # 440J  TOTAL PARCS - CAMIONS - CHIFFRE D'AFFAIRES RÉALISÉ - AAD</v>
      </c>
      <c r="O1886" s="611" t="str">
        <f t="shared" si="253"/>
        <v/>
      </c>
      <c r="P1886" s="611" t="str">
        <f t="shared" si="255"/>
        <v>Page5j_SANS_OBJECT!L</v>
      </c>
      <c r="Q1886" s="611">
        <f t="shared" si="256"/>
        <v>46</v>
      </c>
      <c r="R1886" s="1447">
        <f t="shared" ca="1" si="257"/>
        <v>0</v>
      </c>
      <c r="S1886" s="1447">
        <f t="shared" ca="1" si="258"/>
        <v>0</v>
      </c>
      <c r="V1886" s="2557" t="str">
        <f t="shared" ca="1" si="260"/>
        <v/>
      </c>
      <c r="W1886" s="611" t="str">
        <f t="shared" ca="1" si="259"/>
        <v>Page5j_SANS_OBJECT, Ligne 43 [Page5j_SANS_OBJECT!L46]  -</v>
      </c>
    </row>
    <row r="1887" spans="1:23">
      <c r="A1887" s="1443" t="str">
        <f>celladdr(Page5j_SANS_OBJECT!L47)</f>
        <v>Page5j_SANS_OBJECT!L47</v>
      </c>
      <c r="B1887" s="1456" t="s">
        <v>1086</v>
      </c>
      <c r="C1887" s="1451" t="b">
        <f>Page5j_SANS_OBJECT!$L$47&lt;0</f>
        <v>0</v>
      </c>
      <c r="D1887" s="1454" t="b">
        <f>OR(AND(Page5j_SANS_OBJECT!$L47&lt;&gt;0,Page5j_SANS_OBJECT!$M47=0),AND(Page5j_SANS_OBJECT!$M47&lt;&gt;0,Page5j_SANS_OBJECT!$L47=0))</f>
        <v>0</v>
      </c>
      <c r="E1887" s="1454"/>
      <c r="F1887" s="1454"/>
      <c r="G1887" s="1444" t="str">
        <f t="shared" si="254"/>
        <v/>
      </c>
      <c r="H1887" s="1447" t="str">
        <f>IF(C1887=TRUE,Comments!$B$23,"")</f>
        <v/>
      </c>
      <c r="I1887" s="1446" t="str">
        <f>IF(D1887=TRUE,Comments!$B$24,"")</f>
        <v/>
      </c>
      <c r="J1887" s="1446"/>
      <c r="K1887" s="1452"/>
      <c r="N1887" s="611" t="str">
        <f>"CPTE # "&amp;Page5j_SANS_OBJECT!$E$47&amp;"  "&amp;Page5j_SANS_OBJECT!$C$47&amp;" - CHIFFRE D'AFFAIRES RÉALISÉ - AAD"</f>
        <v>CPTE # 441J  TOTAL IINTERNE - CAMIONS  - CHIFFRE D'AFFAIRES RÉALISÉ - AAD</v>
      </c>
      <c r="O1887" s="611" t="str">
        <f t="shared" si="253"/>
        <v/>
      </c>
      <c r="P1887" s="611" t="str">
        <f t="shared" si="255"/>
        <v>Page5j_SANS_OBJECT!L</v>
      </c>
      <c r="Q1887" s="611">
        <f t="shared" si="256"/>
        <v>47</v>
      </c>
      <c r="R1887" s="1447">
        <f t="shared" ca="1" si="257"/>
        <v>0</v>
      </c>
      <c r="S1887" s="1447">
        <f t="shared" ca="1" si="258"/>
        <v>0</v>
      </c>
      <c r="V1887" s="2557" t="str">
        <f t="shared" ca="1" si="260"/>
        <v/>
      </c>
      <c r="W1887" s="611" t="str">
        <f t="shared" ca="1" si="259"/>
        <v>Page5j_SANS_OBJECT, Ligne 44 [Page5j_SANS_OBJECT!L47]  -</v>
      </c>
    </row>
    <row r="1888" spans="1:23">
      <c r="A1888" s="1443" t="str">
        <f>celladdr(Page5j_SANS_OBJECT!L48)</f>
        <v>Page5j_SANS_OBJECT!L48</v>
      </c>
      <c r="B1888" s="1444" t="s">
        <v>1086</v>
      </c>
      <c r="C1888" s="1451"/>
      <c r="D1888" s="1454"/>
      <c r="E1888" s="1454"/>
      <c r="F1888" s="1454"/>
      <c r="G1888" s="1444" t="str">
        <f t="shared" si="254"/>
        <v/>
      </c>
      <c r="H1888" s="1447" t="str">
        <f>IF(C1888=TRUE,Comments!$B$26,"")</f>
        <v/>
      </c>
      <c r="I1888" s="1446" t="str">
        <f>IF(D1888=TRUE,Comments!$B$24,"")</f>
        <v/>
      </c>
      <c r="J1888" s="1446"/>
      <c r="K1888" s="1452"/>
      <c r="O1888" s="611" t="str">
        <f t="shared" si="253"/>
        <v/>
      </c>
      <c r="P1888" s="611" t="str">
        <f t="shared" si="255"/>
        <v>Page5j_SANS_OBJECT!L</v>
      </c>
      <c r="Q1888" s="611">
        <f t="shared" si="256"/>
        <v>48</v>
      </c>
      <c r="R1888" s="1447">
        <f t="shared" ca="1" si="257"/>
        <v>0</v>
      </c>
      <c r="S1888" s="1447">
        <f t="shared" ca="1" si="258"/>
        <v>0</v>
      </c>
      <c r="V1888" s="2557" t="str">
        <f t="shared" ca="1" si="260"/>
        <v/>
      </c>
      <c r="W1888" s="611" t="str">
        <f t="shared" ca="1" si="259"/>
        <v>Page5j_SANS_OBJECT, Ligne 45 [Page5j_SANS_OBJECT!L48]  -</v>
      </c>
    </row>
    <row r="1889" spans="1:23">
      <c r="A1889" s="1443" t="str">
        <f>celladdr(Page5j_SANS_OBJECT!L49)</f>
        <v>Page5j_SANS_OBJECT!L49</v>
      </c>
      <c r="B1889" s="1444" t="s">
        <v>1086</v>
      </c>
      <c r="C1889" s="1451"/>
      <c r="D1889" s="1454"/>
      <c r="E1889" s="1454"/>
      <c r="F1889" s="1454"/>
      <c r="G1889" s="1444" t="str">
        <f t="shared" si="254"/>
        <v/>
      </c>
      <c r="H1889" s="1447" t="str">
        <f>IF(C1889=TRUE,Comments!$B$26,"")</f>
        <v/>
      </c>
      <c r="I1889" s="1446" t="str">
        <f>IF(D1889=TRUE,Comments!$B$24,"")</f>
        <v/>
      </c>
      <c r="J1889" s="1446"/>
      <c r="K1889" s="1452"/>
      <c r="O1889" s="611" t="str">
        <f t="shared" si="253"/>
        <v/>
      </c>
      <c r="P1889" s="611" t="str">
        <f t="shared" si="255"/>
        <v>Page5j_SANS_OBJECT!L</v>
      </c>
      <c r="Q1889" s="611">
        <f t="shared" si="256"/>
        <v>49</v>
      </c>
      <c r="R1889" s="1447">
        <f t="shared" ca="1" si="257"/>
        <v>0</v>
      </c>
      <c r="S1889" s="1447">
        <f t="shared" ca="1" si="258"/>
        <v>0</v>
      </c>
      <c r="V1889" s="2557" t="str">
        <f t="shared" ca="1" si="260"/>
        <v/>
      </c>
      <c r="W1889" s="611" t="str">
        <f t="shared" ca="1" si="259"/>
        <v>Page5j_SANS_OBJECT, Ligne 46 [Page5j_SANS_OBJECT!L49]  -</v>
      </c>
    </row>
    <row r="1890" spans="1:23">
      <c r="A1890" s="1443" t="str">
        <f>celladdr(Page5j_SANS_OBJECT!L50)</f>
        <v>Page5j_SANS_OBJECT!L50</v>
      </c>
      <c r="B1890" s="1456" t="s">
        <v>1086</v>
      </c>
      <c r="C1890" s="1451" t="b">
        <f>Page5j_SANS_OBJECT!$L$50&lt;0</f>
        <v>0</v>
      </c>
      <c r="D1890" s="1454" t="b">
        <f>OR(AND(Page5j_SANS_OBJECT!$L50&lt;&gt;0,Page5j_SANS_OBJECT!$M50=0),AND(Page5j_SANS_OBJECT!$M50&lt;&gt;0,Page5j_SANS_OBJECT!$L50=0))</f>
        <v>0</v>
      </c>
      <c r="E1890" s="1454"/>
      <c r="F1890" s="1454"/>
      <c r="G1890" s="1444" t="str">
        <f t="shared" si="254"/>
        <v/>
      </c>
      <c r="H1890" s="1447" t="str">
        <f>IF(C1890=TRUE,Comments!$B$23,"")</f>
        <v/>
      </c>
      <c r="I1890" s="1446" t="str">
        <f>IF(D1890=TRUE,Comments!$B$24,"")</f>
        <v/>
      </c>
      <c r="J1890" s="1446"/>
      <c r="K1890" s="1452"/>
      <c r="N1890" s="611" t="str">
        <f>"CPTE # "&amp;Page5j_SANS_OBJECT!$E$50&amp;"  "&amp;Page5j_SANS_OBJECT!$C$50&amp;" - CHIFFRE D'AFFAIRES RÉALISÉ - AAD"</f>
        <v>CPTE # 457J  ACCESSOIRES - CHIFFRE D'AFFAIRES RÉALISÉ - AAD</v>
      </c>
      <c r="O1890" s="611" t="str">
        <f t="shared" si="253"/>
        <v/>
      </c>
      <c r="P1890" s="611" t="str">
        <f t="shared" si="255"/>
        <v>Page5j_SANS_OBJECT!L</v>
      </c>
      <c r="Q1890" s="611">
        <f t="shared" si="256"/>
        <v>50</v>
      </c>
      <c r="R1890" s="1447">
        <f t="shared" ca="1" si="257"/>
        <v>0</v>
      </c>
      <c r="S1890" s="1447">
        <f t="shared" ca="1" si="258"/>
        <v>0</v>
      </c>
      <c r="V1890" s="2557" t="str">
        <f t="shared" ca="1" si="260"/>
        <v/>
      </c>
      <c r="W1890" s="611" t="str">
        <f t="shared" ca="1" si="259"/>
        <v>Page5j_SANS_OBJECT, Ligne 47 [Page5j_SANS_OBJECT!L50]  -</v>
      </c>
    </row>
    <row r="1891" spans="1:23">
      <c r="A1891" s="1443" t="str">
        <f>celladdr(Page5j_SANS_OBJECT!M4)</f>
        <v>Page5j_SANS_OBJECT!M4</v>
      </c>
      <c r="B1891" s="1456" t="s">
        <v>1086</v>
      </c>
      <c r="C1891" s="1451" t="b">
        <f>IF(Page5j_SANS_OBJECT!$K$4=0,FALSE,OR(Page5j_SANS_OBJECT!$M$4/Page5j_SANS_OBJECT!$K$4&lt;INDEX(Min_Table,L1891),Page5j_SANS_OBJECT!$M$4/Page5j_SANS_OBJECT!$K$4&gt;INDEX(Max_Table,L1891)))</f>
        <v>0</v>
      </c>
      <c r="D1891" s="1454" t="b">
        <f>OR(AND(Page5j_SANS_OBJECT!$L4&lt;&gt;0,Page5j_SANS_OBJECT!$M4=0),AND(Page5j_SANS_OBJECT!$M4&lt;&gt;0,Page5j_SANS_OBJECT!$L4=0))</f>
        <v>0</v>
      </c>
      <c r="E1891" s="1454" t="b">
        <f>IF(Page5j_SANS_OBJECT!$K$4=0,FALSE,OR(Page5j_SANS_OBJECT!$M$4/Page5j_SANS_OBJECT!$K$4&lt;INDEX(Min_Table,M1891),Page5j_SANS_OBJECT!$M$4/Page5j_SANS_OBJECT!$K$4&gt;INDEX(Max_Table,M1891)))</f>
        <v>0</v>
      </c>
      <c r="F1891" s="1454"/>
      <c r="G1891" s="1444" t="str">
        <f t="shared" si="254"/>
        <v/>
      </c>
      <c r="H1891" s="1447" t="str">
        <f>IF(C1891=TRUE,Comments!$B$20&amp;DOLLAR(INDEX(Max_Table,L1891),0)&amp;Comments!$B$18&amp;DOLLAR(HLOOKUP(Page5j_SANS_OBJECT!$D$56,VehTable,L1891),0)&amp;Comments!$B$19&amp;DOLLAR(Page5j_SANS_OBJECT!$M$4/Page5j_SANS_OBJECT!$K$4,0),"")</f>
        <v/>
      </c>
      <c r="I1891" s="1446" t="str">
        <f>IF(D1891=TRUE,Comments!$B$24,"")</f>
        <v/>
      </c>
      <c r="J1891" s="1446" t="str">
        <f>IF(E1891=TRUE,Comments!$B$22&amp;DOLLAR(INDEX(Min_Table,M1891),0)&amp;Comments!$B$18&amp;DOLLAR(INDEX(Max_Table,M1891),0)&amp;Comments!$B$19&amp;IFERROR(DOLLAR(Page5i_SANS_OBJECT!$M$4/Page5i_SANS_OBJECT!$K$4,0),0),"")</f>
        <v/>
      </c>
      <c r="K1891" s="1452"/>
      <c r="L1891" s="611">
        <f>ROW(OR_VEH!$A$667)</f>
        <v>667</v>
      </c>
      <c r="M1891" s="611">
        <f>ROW(OR_VEH!$A$453)</f>
        <v>453</v>
      </c>
      <c r="N1891" s="611" t="str">
        <f>"CPTE # "&amp;Page5j_SANS_OBJECT!$E$4&amp;"  "&amp;Page5j_SANS_OBJECT!$C$4&amp;" - COÛT DES VENTES - AAD"</f>
        <v>CPTE # 400J  NE PAS UTILISER - COÛT DES VENTES - AAD</v>
      </c>
      <c r="O1891" s="611" t="str">
        <f t="shared" si="253"/>
        <v/>
      </c>
      <c r="P1891" s="611" t="str">
        <f t="shared" si="255"/>
        <v>Page5j_SANS_OBJECT!M</v>
      </c>
      <c r="Q1891" s="611">
        <f t="shared" si="256"/>
        <v>4</v>
      </c>
      <c r="R1891" s="1447">
        <f t="shared" ca="1" si="257"/>
        <v>0</v>
      </c>
      <c r="S1891" s="1447">
        <f t="shared" ca="1" si="258"/>
        <v>0</v>
      </c>
      <c r="T1891" s="611">
        <v>22</v>
      </c>
      <c r="V1891" s="2557" t="str">
        <f t="shared" ca="1" si="260"/>
        <v/>
      </c>
      <c r="W1891" s="611" t="str">
        <f t="shared" ca="1" si="259"/>
        <v>Page5j_SANS_OBJECT, Ligne 1 [Page5j_SANS_OBJECT!M4]  -</v>
      </c>
    </row>
    <row r="1892" spans="1:23">
      <c r="A1892" s="1443" t="str">
        <f>celladdr(Page5j_SANS_OBJECT!M5)</f>
        <v>Page5j_SANS_OBJECT!M5</v>
      </c>
      <c r="B1892" s="1456" t="s">
        <v>1086</v>
      </c>
      <c r="C1892" s="1451" t="b">
        <f>IF(Page5j_SANS_OBJECT!$K$5=0,FALSE,OR(Page5j_SANS_OBJECT!$M$5/Page5j_SANS_OBJECT!$K$5&lt;INDEX(Min_Table,L1892),Page5j_SANS_OBJECT!$M$5/Page5j_SANS_OBJECT!$K$5&gt;INDEX(Max_Table,L1892)))</f>
        <v>0</v>
      </c>
      <c r="D1892" s="1454" t="b">
        <f>OR(AND(Page5j_SANS_OBJECT!$L5&lt;&gt;0,Page5j_SANS_OBJECT!$M5=0),AND(Page5j_SANS_OBJECT!$M5&lt;&gt;0,Page5j_SANS_OBJECT!$L5=0))</f>
        <v>0</v>
      </c>
      <c r="E1892" s="1454" t="b">
        <f>IF(Page5j_SANS_OBJECT!$K$5=0,FALSE,OR(Page5j_SANS_OBJECT!$M$5/Page5j_SANS_OBJECT!$K$5&lt;INDEX(Min_Table,M1892),Page5j_SANS_OBJECT!$M$5/Page5j_SANS_OBJECT!$K$5&gt;INDEX(Max_Table,M1892)))</f>
        <v>0</v>
      </c>
      <c r="F1892" s="1454"/>
      <c r="G1892" s="1444" t="str">
        <f t="shared" si="254"/>
        <v/>
      </c>
      <c r="H1892" s="1447" t="str">
        <f>IF(C1892=TRUE,Comments!$B$20&amp;DOLLAR(INDEX(Max_Table,L1892),0)&amp;Comments!$B$18&amp;DOLLAR(HLOOKUP(Page5j_SANS_OBJECT!$D$56,VehTable,L1892),0)&amp;Comments!$B$19&amp;DOLLAR(Page5j_SANS_OBJECT!$M$5/Page5j_SANS_OBJECT!$K$5,0),"")</f>
        <v/>
      </c>
      <c r="I1892" s="1446" t="str">
        <f>IF(D1892=TRUE,Comments!$B$24,"")</f>
        <v/>
      </c>
      <c r="J1892" s="1446" t="str">
        <f>IF(E1892=TRUE,Comments!$B$22&amp;DOLLAR(INDEX(Min_Table,M1892),0)&amp;Comments!$B$18&amp;DOLLAR(INDEX(Max_Table,M1892),0)&amp;Comments!$B$19&amp;IFERROR(DOLLAR(Page5i_SANS_OBJECT!$M$5/Page5i_SANS_OBJECT!$K$5,0),0),"")</f>
        <v/>
      </c>
      <c r="K1892" s="1452"/>
      <c r="L1892" s="611">
        <f>ROW(OR_VEH!$A$667)</f>
        <v>667</v>
      </c>
      <c r="M1892" s="611">
        <f>ROW(OR_VEH!$A$454)</f>
        <v>454</v>
      </c>
      <c r="N1892" s="611" t="str">
        <f>"CPTE # "&amp;Page5j_SANS_OBJECT!$E$5&amp;"  "&amp;Page5j_SANS_OBJECT!$C$5&amp;" - COÛT DES VENTES - AAD"</f>
        <v>CPTE # 401J  NE PAS UTILISER - COÛT DES VENTES - AAD</v>
      </c>
      <c r="O1892" s="611" t="str">
        <f t="shared" si="253"/>
        <v/>
      </c>
      <c r="P1892" s="611" t="str">
        <f t="shared" si="255"/>
        <v>Page5j_SANS_OBJECT!M</v>
      </c>
      <c r="Q1892" s="611">
        <f t="shared" si="256"/>
        <v>5</v>
      </c>
      <c r="R1892" s="1447">
        <f t="shared" ca="1" si="257"/>
        <v>0</v>
      </c>
      <c r="S1892" s="1447">
        <f t="shared" ca="1" si="258"/>
        <v>0</v>
      </c>
      <c r="T1892" s="611">
        <v>22</v>
      </c>
      <c r="V1892" s="2557" t="str">
        <f t="shared" ca="1" si="260"/>
        <v/>
      </c>
      <c r="W1892" s="611" t="str">
        <f t="shared" ca="1" si="259"/>
        <v>Page5j_SANS_OBJECT, Ligne 2 [Page5j_SANS_OBJECT!M5]  -</v>
      </c>
    </row>
    <row r="1893" spans="1:23">
      <c r="A1893" s="1443" t="str">
        <f>celladdr(Page5j_SANS_OBJECT!M6)</f>
        <v>Page5j_SANS_OBJECT!M6</v>
      </c>
      <c r="B1893" s="1456" t="s">
        <v>1086</v>
      </c>
      <c r="C1893" s="1451" t="b">
        <f>IF(Page5j_SANS_OBJECT!$K$6=0,FALSE,OR(Page5j_SANS_OBJECT!$M$6/Page5j_SANS_OBJECT!$K$6&lt;INDEX(Min_Table,L1893),Page5j_SANS_OBJECT!$M$6/Page5j_SANS_OBJECT!$K$6&gt;INDEX(Max_Table,L1893)))</f>
        <v>0</v>
      </c>
      <c r="D1893" s="1454" t="b">
        <f>OR(AND(Page5j_SANS_OBJECT!$L6&lt;&gt;0,Page5j_SANS_OBJECT!$M6=0),AND(Page5j_SANS_OBJECT!$M6&lt;&gt;0,Page5j_SANS_OBJECT!$L6=0))</f>
        <v>0</v>
      </c>
      <c r="E1893" s="1454" t="b">
        <f>IF(Page5j_SANS_OBJECT!$K$6=0,FALSE,OR(Page5j_SANS_OBJECT!$M$6/Page5j_SANS_OBJECT!$K$6&lt;INDEX(Min_Table,M1893),Page5j_SANS_OBJECT!$M$6/Page5j_SANS_OBJECT!$K$6&gt;INDEX(Max_Table,M1893)))</f>
        <v>0</v>
      </c>
      <c r="F1893" s="1454"/>
      <c r="G1893" s="1444" t="str">
        <f t="shared" si="254"/>
        <v/>
      </c>
      <c r="H1893" s="1447" t="str">
        <f>IF(C1893=TRUE,Comments!$B$20&amp;DOLLAR(INDEX(Max_Table,L1893),0)&amp;Comments!$B$18&amp;DOLLAR(HLOOKUP(Page5j_SANS_OBJECT!$D$56,VehTable,L1893),0)&amp;Comments!$B$19&amp;DOLLAR(Page5j_SANS_OBJECT!$M$6/Page5j_SANS_OBJECT!$K$6,0),"")</f>
        <v/>
      </c>
      <c r="I1893" s="1446" t="str">
        <f>IF(D1893=TRUE,Comments!$B$24,"")</f>
        <v/>
      </c>
      <c r="J1893" s="1446" t="str">
        <f>IF(E1893=TRUE,Comments!$B$22&amp;DOLLAR(INDEX(Min_Table,M1893),0)&amp;Comments!$B$18&amp;DOLLAR(INDEX(Max_Table,M1893),0)&amp;Comments!$B$19&amp;IFERROR(DOLLAR(Page5i_SANS_OBJECT!$M$6/Page5i_SANS_OBJECT!$K$6,0),0),"")</f>
        <v/>
      </c>
      <c r="K1893" s="1452"/>
      <c r="L1893" s="611">
        <f>ROW(OR_VEH!$A$667)</f>
        <v>667</v>
      </c>
      <c r="M1893" s="611">
        <f>ROW(OR_VEH!$A$455)</f>
        <v>455</v>
      </c>
      <c r="N1893" s="611" t="str">
        <f>"CPTE # "&amp;Page5j_SANS_OBJECT!$E$6&amp;"  "&amp;Page5j_SANS_OBJECT!$C$6&amp;" - COÛT DES VENTES - AAD"</f>
        <v>CPTE # 402J  NE PAS UTILISER - COÛT DES VENTES - AAD</v>
      </c>
      <c r="O1893" s="611" t="str">
        <f t="shared" si="253"/>
        <v/>
      </c>
      <c r="P1893" s="611" t="str">
        <f t="shared" si="255"/>
        <v>Page5j_SANS_OBJECT!M</v>
      </c>
      <c r="Q1893" s="611">
        <f t="shared" si="256"/>
        <v>6</v>
      </c>
      <c r="R1893" s="1447">
        <f t="shared" ca="1" si="257"/>
        <v>0</v>
      </c>
      <c r="S1893" s="1447">
        <f t="shared" ca="1" si="258"/>
        <v>0</v>
      </c>
      <c r="T1893" s="611">
        <v>22</v>
      </c>
      <c r="V1893" s="2557" t="str">
        <f t="shared" ca="1" si="260"/>
        <v/>
      </c>
      <c r="W1893" s="611" t="str">
        <f t="shared" ca="1" si="259"/>
        <v>Page5j_SANS_OBJECT, Ligne 3 [Page5j_SANS_OBJECT!M6]  -</v>
      </c>
    </row>
    <row r="1894" spans="1:23">
      <c r="A1894" s="1443" t="str">
        <f>celladdr(Page5j_SANS_OBJECT!M7)</f>
        <v>Page5j_SANS_OBJECT!M7</v>
      </c>
      <c r="B1894" s="1456" t="s">
        <v>1086</v>
      </c>
      <c r="C1894" s="1451" t="b">
        <f>IF(Page5j_SANS_OBJECT!$K$7=0,FALSE,OR(Page5j_SANS_OBJECT!$M$7/Page5j_SANS_OBJECT!$K$7&lt;INDEX(Min_Table,L1894),Page5j_SANS_OBJECT!$M$7/Page5j_SANS_OBJECT!$K$7&gt;INDEX(Max_Table,L1894)))</f>
        <v>0</v>
      </c>
      <c r="D1894" s="1454" t="b">
        <f>OR(AND(Page5j_SANS_OBJECT!$L7&lt;&gt;0,Page5j_SANS_OBJECT!$M7=0),AND(Page5j_SANS_OBJECT!$M7&lt;&gt;0,Page5j_SANS_OBJECT!$L7=0))</f>
        <v>0</v>
      </c>
      <c r="E1894" s="1454" t="b">
        <f>IF(Page5j_SANS_OBJECT!$K$7=0,FALSE,OR(Page5j_SANS_OBJECT!$M$7/Page5j_SANS_OBJECT!$K$7&lt;INDEX(Min_Table,M1894),Page5j_SANS_OBJECT!$M$7/Page5j_SANS_OBJECT!$K$7&gt;INDEX(Max_Table,M1894)))</f>
        <v>0</v>
      </c>
      <c r="F1894" s="1454"/>
      <c r="G1894" s="1444" t="str">
        <f t="shared" si="254"/>
        <v/>
      </c>
      <c r="H1894" s="1447" t="str">
        <f>IF(C1894=TRUE,Comments!$B$20&amp;DOLLAR(INDEX(Max_Table,L1894),0)&amp;Comments!$B$18&amp;DOLLAR(HLOOKUP(Page5j_SANS_OBJECT!$D$56,VehTable,L1894),0)&amp;Comments!$B$19&amp;DOLLAR(Page5j_SANS_OBJECT!$M$7/Page5j_SANS_OBJECT!$K$7,0),"")</f>
        <v/>
      </c>
      <c r="I1894" s="1446" t="str">
        <f>IF(D1894=TRUE,Comments!$B$24,"")</f>
        <v/>
      </c>
      <c r="J1894" s="1446" t="str">
        <f>IF(E1894=TRUE,Comments!$B$22&amp;DOLLAR(INDEX(Min_Table,M1894),0)&amp;Comments!$B$18&amp;DOLLAR(INDEX(Max_Table,M1894),0)&amp;Comments!$B$19&amp;IFERROR(DOLLAR(Page5i_SANS_OBJECT!$M$7/Page5i_SANS_OBJECT!$K$7,0),0),"")</f>
        <v/>
      </c>
      <c r="K1894" s="1452"/>
      <c r="L1894" s="611">
        <f>ROW(OR_VEH!$A$667)</f>
        <v>667</v>
      </c>
      <c r="M1894" s="611">
        <f>ROW(OR_VEH!$A$456)</f>
        <v>456</v>
      </c>
      <c r="N1894" s="611" t="str">
        <f>"CPTE # "&amp;Page5j_SANS_OBJECT!$E$7&amp;"  "&amp;Page5j_SANS_OBJECT!$C$7&amp;" - COÛT DES VENTES - AAD"</f>
        <v>CPTE # 403J  NE PAS UTILISER - COÛT DES VENTES - AAD</v>
      </c>
      <c r="O1894" s="611" t="str">
        <f t="shared" si="253"/>
        <v/>
      </c>
      <c r="P1894" s="611" t="str">
        <f t="shared" si="255"/>
        <v>Page5j_SANS_OBJECT!M</v>
      </c>
      <c r="Q1894" s="611">
        <f t="shared" si="256"/>
        <v>7</v>
      </c>
      <c r="R1894" s="1447">
        <f t="shared" ca="1" si="257"/>
        <v>0</v>
      </c>
      <c r="S1894" s="1447">
        <f t="shared" ca="1" si="258"/>
        <v>0</v>
      </c>
      <c r="T1894" s="611">
        <v>22</v>
      </c>
      <c r="V1894" s="2557" t="str">
        <f t="shared" ca="1" si="260"/>
        <v/>
      </c>
      <c r="W1894" s="611" t="str">
        <f t="shared" ca="1" si="259"/>
        <v>Page5j_SANS_OBJECT, Ligne 4 [Page5j_SANS_OBJECT!M7]  -</v>
      </c>
    </row>
    <row r="1895" spans="1:23">
      <c r="A1895" s="1443" t="str">
        <f>celladdr(Page5j_SANS_OBJECT!M8)</f>
        <v>Page5j_SANS_OBJECT!M8</v>
      </c>
      <c r="B1895" s="1456" t="s">
        <v>1086</v>
      </c>
      <c r="C1895" s="1451" t="b">
        <f>IF(Page5j_SANS_OBJECT!$K$8=0,FALSE,OR(Page5j_SANS_OBJECT!$M$8/Page5j_SANS_OBJECT!$K$8&lt;INDEX(Min_Table,L1895),Page5j_SANS_OBJECT!$M$8/Page5j_SANS_OBJECT!$K$8&gt;INDEX(Max_Table,L1895)))</f>
        <v>0</v>
      </c>
      <c r="D1895" s="1454" t="b">
        <f>OR(AND(Page5j_SANS_OBJECT!$L8&lt;&gt;0,Page5j_SANS_OBJECT!$M8=0),AND(Page5j_SANS_OBJECT!$M8&lt;&gt;0,Page5j_SANS_OBJECT!$L8=0))</f>
        <v>0</v>
      </c>
      <c r="E1895" s="1454" t="b">
        <f>IF(Page5j_SANS_OBJECT!$K$8=0,FALSE,OR(Page5j_SANS_OBJECT!$M$8/Page5j_SANS_OBJECT!$K$8&lt;INDEX(Min_Table,M1895),Page5j_SANS_OBJECT!$M$8/Page5j_SANS_OBJECT!$K$8&gt;INDEX(Max_Table,M1895)))</f>
        <v>0</v>
      </c>
      <c r="F1895" s="1454"/>
      <c r="G1895" s="1444" t="str">
        <f t="shared" si="254"/>
        <v/>
      </c>
      <c r="H1895" s="1447" t="str">
        <f>IF(C1895=TRUE,Comments!$B$20&amp;DOLLAR(INDEX(Max_Table,L1895),0)&amp;Comments!$B$18&amp;DOLLAR(HLOOKUP(Page5j_SANS_OBJECT!$D$56,VehTable,L1895),0)&amp;Comments!$B$19&amp;DOLLAR(Page5j_SANS_OBJECT!$M$8/Page5j_SANS_OBJECT!$K$8,0),"")</f>
        <v/>
      </c>
      <c r="I1895" s="1446" t="str">
        <f>IF(D1895=TRUE,Comments!$B$24,"")</f>
        <v/>
      </c>
      <c r="J1895" s="1446" t="str">
        <f>IF(E1895=TRUE,Comments!$B$22&amp;DOLLAR(INDEX(Min_Table,M1895),0)&amp;Comments!$B$18&amp;DOLLAR(INDEX(Max_Table,M1895),0)&amp;Comments!$B$19&amp;IFERROR(DOLLAR(Page5i_SANS_OBJECT!$M$8/Page5i_SANS_OBJECT!$K$8,0),0),"")</f>
        <v/>
      </c>
      <c r="K1895" s="1452"/>
      <c r="L1895" s="611">
        <f>ROW(OR_VEH!$A$667)</f>
        <v>667</v>
      </c>
      <c r="M1895" s="611">
        <f>ROW(OR_VEH!$A$457)</f>
        <v>457</v>
      </c>
      <c r="N1895" s="611" t="str">
        <f>"CPTE # "&amp;Page5j_SANS_OBJECT!$E$8&amp;"  "&amp;Page5j_SANS_OBJECT!$C$8&amp;" - COÛT DES VENTES - AAD"</f>
        <v>CPTE # 404J  NE PAS UTILISER - COÛT DES VENTES - AAD</v>
      </c>
      <c r="O1895" s="611" t="str">
        <f t="shared" si="253"/>
        <v/>
      </c>
      <c r="P1895" s="611" t="str">
        <f t="shared" si="255"/>
        <v>Page5j_SANS_OBJECT!M</v>
      </c>
      <c r="Q1895" s="611">
        <f t="shared" si="256"/>
        <v>8</v>
      </c>
      <c r="R1895" s="1447">
        <f t="shared" ca="1" si="257"/>
        <v>0</v>
      </c>
      <c r="S1895" s="1447">
        <f t="shared" ca="1" si="258"/>
        <v>0</v>
      </c>
      <c r="T1895" s="611">
        <v>22</v>
      </c>
      <c r="V1895" s="2557" t="str">
        <f t="shared" ca="1" si="260"/>
        <v/>
      </c>
      <c r="W1895" s="611" t="str">
        <f t="shared" ca="1" si="259"/>
        <v>Page5j_SANS_OBJECT, Ligne 5 [Page5j_SANS_OBJECT!M8]  -</v>
      </c>
    </row>
    <row r="1896" spans="1:23">
      <c r="A1896" s="1443" t="str">
        <f>celladdr(Page5j_SANS_OBJECT!M9)</f>
        <v>Page5j_SANS_OBJECT!M9</v>
      </c>
      <c r="B1896" s="1456" t="s">
        <v>1086</v>
      </c>
      <c r="C1896" s="1451" t="b">
        <f>IF(Page5j_SANS_OBJECT!$K$9=0,FALSE,OR(Page5j_SANS_OBJECT!$M$9/Page5j_SANS_OBJECT!$K$9&lt;INDEX(Min_Table,L1896),Page5j_SANS_OBJECT!$M$9/Page5j_SANS_OBJECT!$K$9&gt;INDEX(Max_Table,L1896)))</f>
        <v>0</v>
      </c>
      <c r="D1896" s="1454" t="b">
        <f>OR(AND(Page5j_SANS_OBJECT!$L9&lt;&gt;0,Page5j_SANS_OBJECT!$M9=0),AND(Page5j_SANS_OBJECT!$M9&lt;&gt;0,Page5j_SANS_OBJECT!$L9=0))</f>
        <v>0</v>
      </c>
      <c r="E1896" s="1454" t="b">
        <f>IF(Page5j_SANS_OBJECT!$K$9=0,FALSE,OR(Page5j_SANS_OBJECT!$M$9/Page5j_SANS_OBJECT!$K$9&lt;INDEX(Min_Table,M1896),Page5j_SANS_OBJECT!$M$9/Page5j_SANS_OBJECT!$K$9&gt;INDEX(Max_Table,M1896)))</f>
        <v>0</v>
      </c>
      <c r="F1896" s="1454"/>
      <c r="G1896" s="1444" t="str">
        <f t="shared" si="254"/>
        <v/>
      </c>
      <c r="H1896" s="1447" t="str">
        <f>IF(C1896=TRUE,Comments!$B$20&amp;DOLLAR(INDEX(Max_Table,L1896),0)&amp;Comments!$B$18&amp;DOLLAR(HLOOKUP(Page5j_SANS_OBJECT!$D$56,VehTable,L1896),0)&amp;Comments!$B$19&amp;DOLLAR(Page5j_SANS_OBJECT!$M$9/Page5j_SANS_OBJECT!$K$9,0),"")</f>
        <v/>
      </c>
      <c r="I1896" s="1446" t="str">
        <f>IF(D1896=TRUE,Comments!$B$24,"")</f>
        <v/>
      </c>
      <c r="J1896" s="1446" t="str">
        <f>IF(E1896=TRUE,Comments!$B$22&amp;DOLLAR(INDEX(Min_Table,M1896),0)&amp;Comments!$B$18&amp;DOLLAR(INDEX(Max_Table,M1896),0)&amp;Comments!$B$19&amp;IFERROR(DOLLAR(Page5i_SANS_OBJECT!$M$9/Page5i_SANS_OBJECT!$K$9,0),0),"")</f>
        <v/>
      </c>
      <c r="K1896" s="1452"/>
      <c r="L1896" s="611">
        <f>ROW(OR_VEH!$A$667)</f>
        <v>667</v>
      </c>
      <c r="M1896" s="611">
        <f>ROW(OR_VEH!$A$458)</f>
        <v>458</v>
      </c>
      <c r="N1896" s="611" t="str">
        <f>"CPTE # "&amp;Page5j_SANS_OBJECT!$E$9&amp;"  "&amp;Page5j_SANS_OBJECT!$C$9&amp;" - COÛT DES VENTES - AAD"</f>
        <v>CPTE # 405J  NE PAS UTILISER - COÛT DES VENTES - AAD</v>
      </c>
      <c r="O1896" s="611" t="str">
        <f t="shared" si="253"/>
        <v/>
      </c>
      <c r="P1896" s="611" t="str">
        <f t="shared" si="255"/>
        <v>Page5j_SANS_OBJECT!M</v>
      </c>
      <c r="Q1896" s="611">
        <f t="shared" si="256"/>
        <v>9</v>
      </c>
      <c r="R1896" s="1447">
        <f t="shared" ca="1" si="257"/>
        <v>0</v>
      </c>
      <c r="S1896" s="1447">
        <f t="shared" ca="1" si="258"/>
        <v>0</v>
      </c>
      <c r="T1896" s="611">
        <v>22</v>
      </c>
      <c r="V1896" s="2557" t="str">
        <f t="shared" ca="1" si="260"/>
        <v/>
      </c>
      <c r="W1896" s="611" t="str">
        <f t="shared" ca="1" si="259"/>
        <v>Page5j_SANS_OBJECT, Ligne 6 [Page5j_SANS_OBJECT!M9]  -</v>
      </c>
    </row>
    <row r="1897" spans="1:23">
      <c r="A1897" s="1443" t="str">
        <f>celladdr(Page5j_SANS_OBJECT!M10)</f>
        <v>Page5j_SANS_OBJECT!M10</v>
      </c>
      <c r="B1897" s="1456" t="s">
        <v>1086</v>
      </c>
      <c r="C1897" s="1451" t="b">
        <f>IF(Page5j_SANS_OBJECT!$K$10=0,FALSE,OR(Page5j_SANS_OBJECT!$M$10/Page5j_SANS_OBJECT!$K$10&lt;INDEX(Min_Table,L1897),Page5j_SANS_OBJECT!$M$10/Page5j_SANS_OBJECT!$K$10&gt;INDEX(Max_Table,L1897)))</f>
        <v>0</v>
      </c>
      <c r="D1897" s="1454" t="b">
        <f>OR(AND(Page5j_SANS_OBJECT!$L10&lt;&gt;0,Page5j_SANS_OBJECT!$M10=0),AND(Page5j_SANS_OBJECT!$M10&lt;&gt;0,Page5j_SANS_OBJECT!$L10=0))</f>
        <v>0</v>
      </c>
      <c r="E1897" s="1454" t="b">
        <f>IF(Page5j_SANS_OBJECT!$K$10=0,FALSE,OR(Page5j_SANS_OBJECT!$M$10/Page5j_SANS_OBJECT!$K$10&lt;INDEX(Min_Table,M1897),Page5j_SANS_OBJECT!$M$10/Page5j_SANS_OBJECT!$K$10&gt;INDEX(Max_Table,M1897)))</f>
        <v>0</v>
      </c>
      <c r="F1897" s="1454"/>
      <c r="G1897" s="1444" t="str">
        <f t="shared" si="254"/>
        <v/>
      </c>
      <c r="H1897" s="1447" t="str">
        <f>IF(C1897=TRUE,Comments!$B$20&amp;DOLLAR(INDEX(Max_Table,L1897),0)&amp;Comments!$B$18&amp;DOLLAR(HLOOKUP(Page5j_SANS_OBJECT!$D$56,VehTable,L1897),0)&amp;Comments!$B$19&amp;DOLLAR(Page5j_SANS_OBJECT!$M$10/Page5j_SANS_OBJECT!$K$10,0),"")</f>
        <v/>
      </c>
      <c r="I1897" s="1446" t="str">
        <f>IF(D1897=TRUE,Comments!$B$24,"")</f>
        <v/>
      </c>
      <c r="J1897" s="1446" t="str">
        <f>IF(E1897=TRUE,Comments!$B$22&amp;DOLLAR(INDEX(Min_Table,M1897),0)&amp;Comments!$B$18&amp;DOLLAR(INDEX(Max_Table,M1897),0)&amp;Comments!$B$19&amp;IFERROR(DOLLAR(Page5i_SANS_OBJECT!$M$10/Page5i_SANS_OBJECT!$K$10,0),0),"")</f>
        <v/>
      </c>
      <c r="K1897" s="1452"/>
      <c r="L1897" s="611">
        <f>ROW(OR_VEH!$A$667)</f>
        <v>667</v>
      </c>
      <c r="M1897" s="611">
        <f>ROW(OR_VEH!$A$459)</f>
        <v>459</v>
      </c>
      <c r="N1897" s="611" t="str">
        <f>"CPTE # "&amp;Page5j_SANS_OBJECT!$E$10&amp;"  "&amp;Page5j_SANS_OBJECT!$C$10&amp;" - COÛT DES VENTES - AAD"</f>
        <v>CPTE # 406J  NE PAS UTILISER - COÛT DES VENTES - AAD</v>
      </c>
      <c r="O1897" s="611" t="str">
        <f t="shared" si="253"/>
        <v/>
      </c>
      <c r="P1897" s="611" t="str">
        <f t="shared" si="255"/>
        <v>Page5j_SANS_OBJECT!M</v>
      </c>
      <c r="Q1897" s="611">
        <f t="shared" si="256"/>
        <v>10</v>
      </c>
      <c r="R1897" s="1447">
        <f t="shared" ca="1" si="257"/>
        <v>0</v>
      </c>
      <c r="S1897" s="1447">
        <f t="shared" ca="1" si="258"/>
        <v>0</v>
      </c>
      <c r="T1897" s="611">
        <v>22</v>
      </c>
      <c r="V1897" s="2557" t="str">
        <f t="shared" ca="1" si="260"/>
        <v/>
      </c>
      <c r="W1897" s="611" t="str">
        <f t="shared" ca="1" si="259"/>
        <v>Page5j_SANS_OBJECT, Ligne 7 [Page5j_SANS_OBJECT!M10]  -</v>
      </c>
    </row>
    <row r="1898" spans="1:23">
      <c r="A1898" s="1443" t="str">
        <f>celladdr(Page5j_SANS_OBJECT!M11)</f>
        <v>Page5j_SANS_OBJECT!M11</v>
      </c>
      <c r="B1898" s="1456" t="s">
        <v>1086</v>
      </c>
      <c r="C1898" s="1451" t="b">
        <f>IF(Page5j_SANS_OBJECT!$K$11=0,FALSE,OR(Page5j_SANS_OBJECT!$M$11/Page5j_SANS_OBJECT!$K$11&lt;INDEX(Min_Table,L1898),Page5j_SANS_OBJECT!$M$11/Page5j_SANS_OBJECT!$K$11&gt;INDEX(Max_Table,L1898)))</f>
        <v>0</v>
      </c>
      <c r="D1898" s="1454" t="b">
        <f>OR(AND(Page5j_SANS_OBJECT!$L11&lt;&gt;0,Page5j_SANS_OBJECT!$M11=0),AND(Page5j_SANS_OBJECT!$M11&lt;&gt;0,Page5j_SANS_OBJECT!$L11=0))</f>
        <v>0</v>
      </c>
      <c r="E1898" s="1454" t="b">
        <f>IF(Page5j_SANS_OBJECT!$K$11=0,FALSE,OR(Page5j_SANS_OBJECT!$M$11/Page5j_SANS_OBJECT!$K$11&lt;INDEX(Min_Table,M1898),Page5j_SANS_OBJECT!$M$11/Page5j_SANS_OBJECT!$K$11&gt;INDEX(Max_Table,M1898)))</f>
        <v>0</v>
      </c>
      <c r="F1898" s="1454"/>
      <c r="G1898" s="1444" t="str">
        <f t="shared" si="254"/>
        <v/>
      </c>
      <c r="H1898" s="1447" t="str">
        <f>IF(C1898=TRUE,Comments!$B$20&amp;DOLLAR(INDEX(Max_Table,L1898),0)&amp;Comments!$B$18&amp;DOLLAR(HLOOKUP(Page5j_SANS_OBJECT!$D$56,VehTable,L1898),0)&amp;Comments!$B$19&amp;DOLLAR(Page5j_SANS_OBJECT!$M$11/Page5j_SANS_OBJECT!$K$11,0),"")</f>
        <v/>
      </c>
      <c r="I1898" s="1446" t="str">
        <f>IF(D1898=TRUE,Comments!$B$24,"")</f>
        <v/>
      </c>
      <c r="J1898" s="1446" t="str">
        <f>IF(E1898=TRUE,Comments!$B$22&amp;DOLLAR(INDEX(Min_Table,M1898),0)&amp;Comments!$B$18&amp;DOLLAR(INDEX(Max_Table,M1898),0)&amp;Comments!$B$19&amp;IFERROR(DOLLAR(Page5i_SANS_OBJECT!$M$11/Page5i_SANS_OBJECT!$K$11,0),0),"")</f>
        <v/>
      </c>
      <c r="K1898" s="1452"/>
      <c r="L1898" s="611">
        <f>ROW(OR_VEH!$A$667)</f>
        <v>667</v>
      </c>
      <c r="M1898" s="611">
        <f>ROW(OR_VEH!$A$460)</f>
        <v>460</v>
      </c>
      <c r="N1898" s="611" t="str">
        <f>"CPTE # "&amp;Page5j_SANS_OBJECT!$E$11&amp;"  "&amp;Page5j_SANS_OBJECT!$C$11&amp;" - COÛT DES VENTES - AAD"</f>
        <v>CPTE # 407J  NE PAS UTILISER - COÛT DES VENTES - AAD</v>
      </c>
      <c r="O1898" s="611" t="str">
        <f t="shared" si="253"/>
        <v/>
      </c>
      <c r="P1898" s="611" t="str">
        <f t="shared" si="255"/>
        <v>Page5j_SANS_OBJECT!M</v>
      </c>
      <c r="Q1898" s="611">
        <f t="shared" si="256"/>
        <v>11</v>
      </c>
      <c r="R1898" s="1447">
        <f t="shared" ca="1" si="257"/>
        <v>0</v>
      </c>
      <c r="S1898" s="1447">
        <f t="shared" ca="1" si="258"/>
        <v>0</v>
      </c>
      <c r="T1898" s="611">
        <v>22</v>
      </c>
      <c r="V1898" s="2557" t="str">
        <f t="shared" ca="1" si="260"/>
        <v/>
      </c>
      <c r="W1898" s="611" t="str">
        <f t="shared" ca="1" si="259"/>
        <v>Page5j_SANS_OBJECT, Ligne 8 [Page5j_SANS_OBJECT!M11]  -</v>
      </c>
    </row>
    <row r="1899" spans="1:23">
      <c r="A1899" s="1443" t="str">
        <f>celladdr(Page5j_SANS_OBJECT!M12)</f>
        <v>Page5j_SANS_OBJECT!M12</v>
      </c>
      <c r="B1899" s="1456" t="s">
        <v>1086</v>
      </c>
      <c r="C1899" s="1451" t="b">
        <f>IF(Page5j_SANS_OBJECT!$K$12=0,FALSE,OR(Page5j_SANS_OBJECT!$M$12/Page5j_SANS_OBJECT!$K$12&lt;INDEX(Min_Table,L1899),Page5j_SANS_OBJECT!$M$12/Page5j_SANS_OBJECT!$K$12&gt;INDEX(Max_Table,L1899)))</f>
        <v>0</v>
      </c>
      <c r="D1899" s="1454" t="b">
        <f>OR(AND(Page5j_SANS_OBJECT!$L12&lt;&gt;0,Page5j_SANS_OBJECT!$M12=0),AND(Page5j_SANS_OBJECT!$M12&lt;&gt;0,Page5j_SANS_OBJECT!$L12=0))</f>
        <v>0</v>
      </c>
      <c r="E1899" s="1454" t="b">
        <f>IF(Page5j_SANS_OBJECT!$K$12=0,FALSE,OR(Page5j_SANS_OBJECT!$M$12/Page5j_SANS_OBJECT!$K$12&lt;INDEX(Min_Table,M1899),Page5j_SANS_OBJECT!$M$12/Page5j_SANS_OBJECT!$K$12&gt;INDEX(Max_Table,M1899)))</f>
        <v>0</v>
      </c>
      <c r="F1899" s="1454"/>
      <c r="G1899" s="1444" t="str">
        <f t="shared" si="254"/>
        <v/>
      </c>
      <c r="H1899" s="1447" t="str">
        <f>IF(C1899=TRUE,Comments!$B$20&amp;DOLLAR(INDEX(Max_Table,L1899),0)&amp;Comments!$B$18&amp;DOLLAR(HLOOKUP(Page5j_SANS_OBJECT!$D$56,VehTable,L1899),0)&amp;Comments!$B$19&amp;DOLLAR(Page5j_SANS_OBJECT!$M$12/Page5j_SANS_OBJECT!$K$12,0),"")</f>
        <v/>
      </c>
      <c r="I1899" s="1446" t="str">
        <f>IF(D1899=TRUE,Comments!$B$24,"")</f>
        <v/>
      </c>
      <c r="J1899" s="1446" t="str">
        <f>IF(E1899=TRUE,Comments!$B$22&amp;DOLLAR(INDEX(Min_Table,M1899),0)&amp;Comments!$B$18&amp;DOLLAR(INDEX(Max_Table,M1899),0)&amp;Comments!$B$19&amp;IFERROR(DOLLAR(Page5i_SANS_OBJECT!$M$12/Page5i_SANS_OBJECT!$K$12,0),0),"")</f>
        <v/>
      </c>
      <c r="K1899" s="1452"/>
      <c r="L1899" s="611">
        <f>ROW(OR_VEH!$A$667)</f>
        <v>667</v>
      </c>
      <c r="M1899" s="611">
        <f>ROW(OR_VEH!$A$461)</f>
        <v>461</v>
      </c>
      <c r="N1899" s="611" t="str">
        <f>"CPTE # "&amp;Page5j_SANS_OBJECT!$E$12&amp;"  "&amp;Page5j_SANS_OBJECT!$C$12&amp;" - COÛT DES VENTES - AAD"</f>
        <v>CPTE # 408J  NE PAS UTILISER - COÛT DES VENTES - AAD</v>
      </c>
      <c r="O1899" s="611" t="str">
        <f t="shared" si="253"/>
        <v/>
      </c>
      <c r="P1899" s="611" t="str">
        <f t="shared" si="255"/>
        <v>Page5j_SANS_OBJECT!M</v>
      </c>
      <c r="Q1899" s="611">
        <f t="shared" si="256"/>
        <v>12</v>
      </c>
      <c r="R1899" s="1447">
        <f t="shared" ca="1" si="257"/>
        <v>0</v>
      </c>
      <c r="S1899" s="1447">
        <f t="shared" ca="1" si="258"/>
        <v>0</v>
      </c>
      <c r="T1899" s="611">
        <v>22</v>
      </c>
      <c r="V1899" s="2557" t="str">
        <f t="shared" ca="1" si="260"/>
        <v/>
      </c>
      <c r="W1899" s="611" t="str">
        <f t="shared" ca="1" si="259"/>
        <v>Page5j_SANS_OBJECT, Ligne 9 [Page5j_SANS_OBJECT!M12]  -</v>
      </c>
    </row>
    <row r="1900" spans="1:23">
      <c r="A1900" s="1443" t="str">
        <f>celladdr(Page5j_SANS_OBJECT!M13)</f>
        <v>Page5j_SANS_OBJECT!M13</v>
      </c>
      <c r="B1900" s="1456" t="s">
        <v>1086</v>
      </c>
      <c r="C1900" s="1451" t="b">
        <f>IF(Page5j_SANS_OBJECT!$K$13=0,FALSE,OR(Page5j_SANS_OBJECT!$M$13/Page5j_SANS_OBJECT!$K$13&lt;INDEX(Min_Table,L1900),Page5j_SANS_OBJECT!$M$13/Page5j_SANS_OBJECT!$K$13&gt;INDEX(Max_Table,L1900)))</f>
        <v>0</v>
      </c>
      <c r="D1900" s="1454" t="b">
        <f>OR(AND(Page5j_SANS_OBJECT!$L13&lt;&gt;0,Page5j_SANS_OBJECT!$M13=0),AND(Page5j_SANS_OBJECT!$M13&lt;&gt;0,Page5j_SANS_OBJECT!$L13=0))</f>
        <v>0</v>
      </c>
      <c r="E1900" s="1454" t="b">
        <f>IF(Page5j_SANS_OBJECT!$K$13=0,FALSE,OR(Page5j_SANS_OBJECT!$M$13/Page5j_SANS_OBJECT!$K$13&lt;INDEX(Min_Table,M1900),Page5j_SANS_OBJECT!$M$13/Page5j_SANS_OBJECT!$K$13&gt;INDEX(Max_Table,M1900)))</f>
        <v>0</v>
      </c>
      <c r="F1900" s="1454"/>
      <c r="G1900" s="1444" t="str">
        <f t="shared" si="254"/>
        <v/>
      </c>
      <c r="H1900" s="1447" t="str">
        <f>IF(C1900=TRUE,Comments!$B$20&amp;DOLLAR(INDEX(Max_Table,L1900),0)&amp;Comments!$B$18&amp;DOLLAR(HLOOKUP(Page5j_SANS_OBJECT!$D$56,VehTable,L1900),0)&amp;Comments!$B$19&amp;DOLLAR(Page5j_SANS_OBJECT!$M$13/Page5j_SANS_OBJECT!$K$13,0),"")</f>
        <v/>
      </c>
      <c r="I1900" s="1446" t="str">
        <f>IF(D1900=TRUE,Comments!$B$24,"")</f>
        <v/>
      </c>
      <c r="J1900" s="1446" t="str">
        <f>IF(E1900=TRUE,Comments!$B$22&amp;DOLLAR(INDEX(Min_Table,M1900),0)&amp;Comments!$B$18&amp;DOLLAR(INDEX(Max_Table,M1900),0)&amp;Comments!$B$19&amp;IFERROR(DOLLAR(Page5i_SANS_OBJECT!$M$13/Page5i_SANS_OBJECT!$K$13,0),0),"")</f>
        <v/>
      </c>
      <c r="K1900" s="1452"/>
      <c r="L1900" s="611">
        <f>ROW(OR_VEH!$A$667)</f>
        <v>667</v>
      </c>
      <c r="M1900" s="611">
        <f>ROW(OR_VEH!$A$462)</f>
        <v>462</v>
      </c>
      <c r="N1900" s="611" t="str">
        <f>"CPTE # "&amp;Page5j_SANS_OBJECT!$E$13&amp;"  "&amp;Page5j_SANS_OBJECT!$C$13&amp;" - COÛT DES VENTES - AAD"</f>
        <v>CPTE # 409J  NE PAS UTILISER - COÛT DES VENTES - AAD</v>
      </c>
      <c r="O1900" s="611" t="str">
        <f t="shared" si="253"/>
        <v/>
      </c>
      <c r="P1900" s="611" t="str">
        <f t="shared" si="255"/>
        <v>Page5j_SANS_OBJECT!M</v>
      </c>
      <c r="Q1900" s="611">
        <f t="shared" si="256"/>
        <v>13</v>
      </c>
      <c r="R1900" s="1447">
        <f t="shared" ca="1" si="257"/>
        <v>0</v>
      </c>
      <c r="S1900" s="1447">
        <f t="shared" ca="1" si="258"/>
        <v>0</v>
      </c>
      <c r="T1900" s="611">
        <v>22</v>
      </c>
      <c r="V1900" s="2557" t="str">
        <f t="shared" ca="1" si="260"/>
        <v/>
      </c>
      <c r="W1900" s="611" t="str">
        <f t="shared" ca="1" si="259"/>
        <v>Page5j_SANS_OBJECT, Ligne 10 [Page5j_SANS_OBJECT!M13]  -</v>
      </c>
    </row>
    <row r="1901" spans="1:23">
      <c r="A1901" s="1443" t="str">
        <f>celladdr(Page5j_SANS_OBJECT!M14)</f>
        <v>Page5j_SANS_OBJECT!M14</v>
      </c>
      <c r="B1901" s="1456" t="s">
        <v>1086</v>
      </c>
      <c r="C1901" s="1451" t="b">
        <f>IF(Page5j_SANS_OBJECT!$K$14=0,FALSE,OR(Page5j_SANS_OBJECT!$M$14/Page5j_SANS_OBJECT!$K$14&lt;INDEX(Min_Table,L1901),Page5j_SANS_OBJECT!$M$14/Page5j_SANS_OBJECT!$K$14&gt;INDEX(Max_Table,L1901)))</f>
        <v>0</v>
      </c>
      <c r="D1901" s="1454" t="b">
        <f>OR(AND(Page5j_SANS_OBJECT!$L14&lt;&gt;0,Page5j_SANS_OBJECT!$M14=0),AND(Page5j_SANS_OBJECT!$M14&lt;&gt;0,Page5j_SANS_OBJECT!$L14=0))</f>
        <v>0</v>
      </c>
      <c r="E1901" s="1454" t="b">
        <f>IF(Page5j_SANS_OBJECT!$K$14=0,FALSE,OR(Page5j_SANS_OBJECT!$M$14/Page5j_SANS_OBJECT!$K$14&lt;INDEX(Min_Table,M1901),Page5j_SANS_OBJECT!$M$14/Page5j_SANS_OBJECT!$K$14&gt;INDEX(Max_Table,M1901)))</f>
        <v>0</v>
      </c>
      <c r="F1901" s="1454"/>
      <c r="G1901" s="1444" t="str">
        <f t="shared" si="254"/>
        <v/>
      </c>
      <c r="H1901" s="1447" t="str">
        <f>IF(C1901=TRUE,Comments!$B$20&amp;DOLLAR(INDEX(Max_Table,L1901),0)&amp;Comments!$B$18&amp;DOLLAR(HLOOKUP(Page5j_SANS_OBJECT!$D$56,VehTable,L1901),0)&amp;Comments!$B$19&amp;DOLLAR(Page5j_SANS_OBJECT!$M$14/Page5j_SANS_OBJECT!$K$14,0),"")</f>
        <v/>
      </c>
      <c r="I1901" s="1446" t="str">
        <f>IF(D1901=TRUE,Comments!$B$24,"")</f>
        <v/>
      </c>
      <c r="J1901" s="1446" t="str">
        <f>IF(E1901=TRUE,Comments!$B$22&amp;DOLLAR(INDEX(Min_Table,M1901),0)&amp;Comments!$B$18&amp;DOLLAR(INDEX(Max_Table,M1901),0)&amp;Comments!$B$19&amp;IFERROR(DOLLAR(Page5i_SANS_OBJECT!$M$14/Page5i_SANS_OBJECT!$K$14,0),0),"")</f>
        <v/>
      </c>
      <c r="K1901" s="1452"/>
      <c r="L1901" s="611">
        <f>ROW(OR_VEH!$A$667)</f>
        <v>667</v>
      </c>
      <c r="M1901" s="611">
        <f>ROW(OR_VEH!$A$463)</f>
        <v>463</v>
      </c>
      <c r="N1901" s="611" t="str">
        <f>"CPTE # "&amp;Page5j_SANS_OBJECT!$E$14&amp;"  "&amp;Page5j_SANS_OBJECT!$C$14&amp;" - COÛT DES VENTES - AAD"</f>
        <v>CPTE # 410J  NE PAS UTILISER - COÛT DES VENTES - AAD</v>
      </c>
      <c r="O1901" s="611" t="str">
        <f t="shared" si="253"/>
        <v/>
      </c>
      <c r="P1901" s="611" t="str">
        <f t="shared" si="255"/>
        <v>Page5j_SANS_OBJECT!M</v>
      </c>
      <c r="Q1901" s="611">
        <f t="shared" si="256"/>
        <v>14</v>
      </c>
      <c r="R1901" s="1447">
        <f t="shared" ca="1" si="257"/>
        <v>0</v>
      </c>
      <c r="S1901" s="1447">
        <f t="shared" ca="1" si="258"/>
        <v>0</v>
      </c>
      <c r="T1901" s="611">
        <v>22</v>
      </c>
      <c r="V1901" s="2557" t="str">
        <f t="shared" ca="1" si="260"/>
        <v/>
      </c>
      <c r="W1901" s="611" t="str">
        <f t="shared" ca="1" si="259"/>
        <v>Page5j_SANS_OBJECT, Ligne 11 [Page5j_SANS_OBJECT!M14]  -</v>
      </c>
    </row>
    <row r="1902" spans="1:23">
      <c r="A1902" s="1443" t="str">
        <f>celladdr(Page5j_SANS_OBJECT!M15)</f>
        <v>Page5j_SANS_OBJECT!M15</v>
      </c>
      <c r="B1902" s="1456" t="s">
        <v>1086</v>
      </c>
      <c r="C1902" s="1451" t="b">
        <f>IF(Page5j_SANS_OBJECT!$K$15=0,FALSE,OR(Page5j_SANS_OBJECT!$M$15/Page5j_SANS_OBJECT!$K$15&lt;INDEX(Min_Table,L1902),Page5j_SANS_OBJECT!$M$15/Page5j_SANS_OBJECT!$K$15&gt;INDEX(Max_Table,L1902)))</f>
        <v>0</v>
      </c>
      <c r="D1902" s="1454" t="b">
        <f>OR(AND(Page5j_SANS_OBJECT!$L15&lt;&gt;0,Page5j_SANS_OBJECT!$M15=0),AND(Page5j_SANS_OBJECT!$M15&lt;&gt;0,Page5j_SANS_OBJECT!$L15=0))</f>
        <v>0</v>
      </c>
      <c r="E1902" s="1454" t="b">
        <f>IF(Page5j_SANS_OBJECT!$K$15=0,FALSE,OR(Page5j_SANS_OBJECT!$M$15/Page5j_SANS_OBJECT!$K$15&lt;INDEX(Min_Table,M1902),Page5j_SANS_OBJECT!$M$15/Page5j_SANS_OBJECT!$K$15&gt;INDEX(Max_Table,M1902)))</f>
        <v>0</v>
      </c>
      <c r="F1902" s="1454"/>
      <c r="G1902" s="1444" t="str">
        <f t="shared" si="254"/>
        <v/>
      </c>
      <c r="H1902" s="1447" t="str">
        <f>IF(C1902=TRUE,Comments!$B$20&amp;DOLLAR(INDEX(Max_Table,L1902),0)&amp;Comments!$B$18&amp;DOLLAR(HLOOKUP(Page5j_SANS_OBJECT!$D$56,VehTable,L1902),0)&amp;Comments!$B$19&amp;DOLLAR(Page5j_SANS_OBJECT!$M$15/Page5j_SANS_OBJECT!$K$15,0),"")</f>
        <v/>
      </c>
      <c r="I1902" s="1446" t="str">
        <f>IF(D1902=TRUE,Comments!$B$24,"")</f>
        <v/>
      </c>
      <c r="J1902" s="1446" t="str">
        <f>IF(E1902=TRUE,Comments!$B$22&amp;DOLLAR(INDEX(Min_Table,M1902),0)&amp;Comments!$B$18&amp;DOLLAR(INDEX(Max_Table,M1902),0)&amp;Comments!$B$19&amp;IFERROR(DOLLAR(Page5i_SANS_OBJECT!$M$15/Page5i_SANS_OBJECT!$K$15,0),0),"")</f>
        <v/>
      </c>
      <c r="K1902" s="1452"/>
      <c r="L1902" s="611">
        <f>ROW(OR_VEH!$A$667)</f>
        <v>667</v>
      </c>
      <c r="M1902" s="611">
        <f>ROW(OR_VEH!$A$464)</f>
        <v>464</v>
      </c>
      <c r="N1902" s="611" t="str">
        <f>"CPTE # "&amp;Page5j_SANS_OBJECT!$E$15&amp;"  "&amp;Page5j_SANS_OBJECT!$C$15&amp;" - COÛT DES VENTES - AAD"</f>
        <v>CPTE # 411J  NE PAS UTILISER - COÛT DES VENTES - AAD</v>
      </c>
      <c r="O1902" s="611" t="str">
        <f t="shared" si="253"/>
        <v/>
      </c>
      <c r="P1902" s="611" t="str">
        <f t="shared" si="255"/>
        <v>Page5j_SANS_OBJECT!M</v>
      </c>
      <c r="Q1902" s="611">
        <f t="shared" si="256"/>
        <v>15</v>
      </c>
      <c r="R1902" s="1447">
        <f t="shared" ca="1" si="257"/>
        <v>0</v>
      </c>
      <c r="S1902" s="1447">
        <f t="shared" ca="1" si="258"/>
        <v>0</v>
      </c>
      <c r="T1902" s="611">
        <v>22</v>
      </c>
      <c r="V1902" s="2557" t="str">
        <f t="shared" ca="1" si="260"/>
        <v/>
      </c>
      <c r="W1902" s="611" t="str">
        <f t="shared" ca="1" si="259"/>
        <v>Page5j_SANS_OBJECT, Ligne 12 [Page5j_SANS_OBJECT!M15]  -</v>
      </c>
    </row>
    <row r="1903" spans="1:23">
      <c r="A1903" s="1443" t="str">
        <f>celladdr(Page5j_SANS_OBJECT!M16)</f>
        <v>Page5j_SANS_OBJECT!M16</v>
      </c>
      <c r="B1903" s="1456" t="s">
        <v>1086</v>
      </c>
      <c r="C1903" s="1451" t="b">
        <f>IF(Page5j_SANS_OBJECT!$K$16=0,FALSE,OR(Page5j_SANS_OBJECT!$M$16/Page5j_SANS_OBJECT!$K$16&lt;INDEX(Min_Table,L1903),Page5j_SANS_OBJECT!$M$16/Page5j_SANS_OBJECT!$K$16&gt;INDEX(Max_Table,L1903)))</f>
        <v>0</v>
      </c>
      <c r="D1903" s="1454" t="b">
        <f>OR(AND(Page5j_SANS_OBJECT!$L16&lt;&gt;0,Page5j_SANS_OBJECT!$M16=0),AND(Page5j_SANS_OBJECT!$M16&lt;&gt;0,Page5j_SANS_OBJECT!$L16=0))</f>
        <v>0</v>
      </c>
      <c r="E1903" s="1454" t="b">
        <f>IF(Page5j_SANS_OBJECT!$K$16=0,FALSE,OR(Page5j_SANS_OBJECT!$M$16/Page5j_SANS_OBJECT!$K$16&lt;INDEX(Min_Table,M1903),Page5j_SANS_OBJECT!$M$16/Page5j_SANS_OBJECT!$K$16&gt;INDEX(Max_Table,M1903)))</f>
        <v>0</v>
      </c>
      <c r="F1903" s="1454"/>
      <c r="G1903" s="1444" t="str">
        <f t="shared" si="254"/>
        <v/>
      </c>
      <c r="H1903" s="1447" t="str">
        <f>IF(C1903=TRUE,Comments!$B$20&amp;DOLLAR(INDEX(Max_Table,L1903),0)&amp;Comments!$B$18&amp;DOLLAR(HLOOKUP(Page5j_SANS_OBJECT!$D$56,VehTable,L1903),0)&amp;Comments!$B$19&amp;DOLLAR(Page5j_SANS_OBJECT!$M$16/Page5j_SANS_OBJECT!$K$16,0),"")</f>
        <v/>
      </c>
      <c r="I1903" s="1446" t="str">
        <f>IF(D1903=TRUE,Comments!$B$24,"")</f>
        <v/>
      </c>
      <c r="J1903" s="1446" t="str">
        <f>IF(E1903=TRUE,Comments!$B$22&amp;DOLLAR(INDEX(Min_Table,M1903),0)&amp;Comments!$B$18&amp;DOLLAR(INDEX(Max_Table,M1903),0)&amp;Comments!$B$19&amp;IFERROR(DOLLAR(Page5i_SANS_OBJECT!$M$16/Page5i_SANS_OBJECT!$K$16,0),0),"")</f>
        <v/>
      </c>
      <c r="K1903" s="1452"/>
      <c r="L1903" s="611">
        <f>ROW(OR_VEH!$A$667)</f>
        <v>667</v>
      </c>
      <c r="M1903" s="611">
        <f>ROW(OR_VEH!$A$465)</f>
        <v>465</v>
      </c>
      <c r="N1903" s="611" t="str">
        <f>"CPTE # "&amp;Page5j_SANS_OBJECT!$E$16&amp;"  "&amp;Page5j_SANS_OBJECT!$C$16&amp;" - COÛT DES VENTES - AAD"</f>
        <v>CPTE # 412J  NE PAS UTILISER - COÛT DES VENTES - AAD</v>
      </c>
      <c r="O1903" s="611" t="str">
        <f t="shared" si="253"/>
        <v/>
      </c>
      <c r="P1903" s="611" t="str">
        <f t="shared" si="255"/>
        <v>Page5j_SANS_OBJECT!M</v>
      </c>
      <c r="Q1903" s="611">
        <f t="shared" si="256"/>
        <v>16</v>
      </c>
      <c r="R1903" s="1447">
        <f t="shared" ca="1" si="257"/>
        <v>0</v>
      </c>
      <c r="S1903" s="1447">
        <f t="shared" ca="1" si="258"/>
        <v>0</v>
      </c>
      <c r="T1903" s="611">
        <v>22</v>
      </c>
      <c r="V1903" s="2557" t="str">
        <f t="shared" ca="1" si="260"/>
        <v/>
      </c>
      <c r="W1903" s="611" t="str">
        <f t="shared" ca="1" si="259"/>
        <v>Page5j_SANS_OBJECT, Ligne 13 [Page5j_SANS_OBJECT!M16]  -</v>
      </c>
    </row>
    <row r="1904" spans="1:23">
      <c r="A1904" s="1443" t="str">
        <f>celladdr(Page5j_SANS_OBJECT!M17)</f>
        <v>Page5j_SANS_OBJECT!M17</v>
      </c>
      <c r="B1904" s="1456" t="s">
        <v>1086</v>
      </c>
      <c r="C1904" s="1451" t="b">
        <f>IF(Page5j_SANS_OBJECT!$K$17=0,FALSE,OR(Page5j_SANS_OBJECT!$M$17/Page5j_SANS_OBJECT!$K$17&lt;INDEX(Min_Table,L1904),Page5j_SANS_OBJECT!$M$17/Page5j_SANS_OBJECT!$K$17&gt;INDEX(Max_Table,L1904)))</f>
        <v>0</v>
      </c>
      <c r="D1904" s="1454" t="b">
        <f>OR(AND(Page5j_SANS_OBJECT!$L17&lt;&gt;0,Page5j_SANS_OBJECT!$M17=0),AND(Page5j_SANS_OBJECT!$M17&lt;&gt;0,Page5j_SANS_OBJECT!$L17=0))</f>
        <v>0</v>
      </c>
      <c r="E1904" s="1454" t="b">
        <f>IF(Page5j_SANS_OBJECT!$K$17=0,FALSE,OR(Page5j_SANS_OBJECT!$M$17/Page5j_SANS_OBJECT!$K$17&lt;INDEX(Min_Table,M1904),Page5j_SANS_OBJECT!$M$17/Page5j_SANS_OBJECT!$K$17&gt;INDEX(Max_Table,M1904)))</f>
        <v>0</v>
      </c>
      <c r="F1904" s="1454"/>
      <c r="G1904" s="1444" t="str">
        <f t="shared" si="254"/>
        <v/>
      </c>
      <c r="H1904" s="1447" t="str">
        <f>IF(C1904=TRUE,Comments!$B$20&amp;DOLLAR(INDEX(Max_Table,L1904),0)&amp;Comments!$B$18&amp;DOLLAR(HLOOKUP(Page5j_SANS_OBJECT!$D$56,VehTable,L1904),0)&amp;Comments!$B$19&amp;DOLLAR(Page5j_SANS_OBJECT!$M$17/Page5j_SANS_OBJECT!$K$17,0),"")</f>
        <v/>
      </c>
      <c r="I1904" s="1446" t="str">
        <f>IF(D1904=TRUE,Comments!$B$24,"")</f>
        <v/>
      </c>
      <c r="J1904" s="1446" t="str">
        <f>IF(E1904=TRUE,Comments!$B$22&amp;DOLLAR(INDEX(Min_Table,M1904),0)&amp;Comments!$B$18&amp;DOLLAR(INDEX(Max_Table,M1904),0)&amp;Comments!$B$19&amp;IFERROR(DOLLAR(Page5i_SANS_OBJECT!$M$17/Page5i_SANS_OBJECT!$K$17,0),0),"")</f>
        <v/>
      </c>
      <c r="K1904" s="1452"/>
      <c r="L1904" s="611">
        <f>ROW(OR_VEH!$A$667)</f>
        <v>667</v>
      </c>
      <c r="M1904" s="611">
        <f>ROW(OR_VEH!$A$466)</f>
        <v>466</v>
      </c>
      <c r="N1904" s="611" t="str">
        <f>"CPTE # "&amp;Page5j_SANS_OBJECT!$E$17&amp;"  "&amp;Page5j_SANS_OBJECT!$C$17&amp;" - COÛT DES VENTES - AAD"</f>
        <v>CPTE # 413J  NE PAS UTILISER - COÛT DES VENTES - AAD</v>
      </c>
      <c r="O1904" s="611" t="str">
        <f t="shared" si="253"/>
        <v/>
      </c>
      <c r="P1904" s="611" t="str">
        <f t="shared" si="255"/>
        <v>Page5j_SANS_OBJECT!M</v>
      </c>
      <c r="Q1904" s="611">
        <f t="shared" si="256"/>
        <v>17</v>
      </c>
      <c r="R1904" s="1447">
        <f t="shared" ca="1" si="257"/>
        <v>0</v>
      </c>
      <c r="S1904" s="1447">
        <f t="shared" ca="1" si="258"/>
        <v>0</v>
      </c>
      <c r="T1904" s="611">
        <v>22</v>
      </c>
      <c r="V1904" s="2557" t="str">
        <f t="shared" ca="1" si="260"/>
        <v/>
      </c>
      <c r="W1904" s="611" t="str">
        <f t="shared" ca="1" si="259"/>
        <v>Page5j_SANS_OBJECT, Ligne 14 [Page5j_SANS_OBJECT!M17]  -</v>
      </c>
    </row>
    <row r="1905" spans="1:23">
      <c r="A1905" s="1443" t="str">
        <f>celladdr(Page5j_SANS_OBJECT!M18)</f>
        <v>Page5j_SANS_OBJECT!M18</v>
      </c>
      <c r="B1905" s="1456" t="s">
        <v>1086</v>
      </c>
      <c r="C1905" s="1451" t="b">
        <f>IF(Page5j_SANS_OBJECT!$K$18=0,FALSE,OR(Page5j_SANS_OBJECT!$M$18/Page5j_SANS_OBJECT!$K$18&lt;INDEX(Min_Table,L1905),Page5j_SANS_OBJECT!$M$18/Page5j_SANS_OBJECT!$K$18&gt;INDEX(Max_Table,L1905)))</f>
        <v>0</v>
      </c>
      <c r="D1905" s="1454" t="b">
        <f>OR(AND(Page5j_SANS_OBJECT!$L18&lt;&gt;0,Page5j_SANS_OBJECT!$M18=0),AND(Page5j_SANS_OBJECT!$M18&lt;&gt;0,Page5j_SANS_OBJECT!$L18=0))</f>
        <v>0</v>
      </c>
      <c r="E1905" s="1454" t="b">
        <f>IF(Page5j_SANS_OBJECT!$K$18=0,FALSE,OR(Page5j_SANS_OBJECT!$M$18/Page5j_SANS_OBJECT!$K$18&lt;INDEX(Min_Table,M1905),Page5j_SANS_OBJECT!$M$18/Page5j_SANS_OBJECT!$K$18&gt;INDEX(Max_Table,M1905)))</f>
        <v>0</v>
      </c>
      <c r="F1905" s="1454"/>
      <c r="G1905" s="1444" t="str">
        <f t="shared" si="254"/>
        <v/>
      </c>
      <c r="H1905" s="1447" t="str">
        <f>IF(C1905=TRUE,Comments!$B$20&amp;DOLLAR(INDEX(Max_Table,L1905),0)&amp;Comments!$B$18&amp;DOLLAR(HLOOKUP(Page5j_SANS_OBJECT!$D$56,VehTable,L1905),0)&amp;Comments!$B$19&amp;DOLLAR(Page5j_SANS_OBJECT!$M$18/Page5j_SANS_OBJECT!$K$18,0),"")</f>
        <v/>
      </c>
      <c r="I1905" s="1446" t="str">
        <f>IF(D1905=TRUE,Comments!$B$24,"")</f>
        <v/>
      </c>
      <c r="J1905" s="1446" t="str">
        <f>IF(E1905=TRUE,Comments!$B$22&amp;DOLLAR(INDEX(Min_Table,M1905),0)&amp;Comments!$B$18&amp;DOLLAR(INDEX(Max_Table,M1905),0)&amp;Comments!$B$19&amp;IFERROR(DOLLAR(Page5i_SANS_OBJECT!$M$18/Page5i_SANS_OBJECT!$K$18,0),0),"")</f>
        <v/>
      </c>
      <c r="K1905" s="1452"/>
      <c r="L1905" s="611">
        <f>ROW(OR_VEH!$A$667)</f>
        <v>667</v>
      </c>
      <c r="M1905" s="611">
        <f>ROW(OR_VEH!$A$467)</f>
        <v>467</v>
      </c>
      <c r="N1905" s="611" t="str">
        <f>"CPTE # "&amp;Page5j_SANS_OBJECT!$E$18&amp;"  "&amp;Page5j_SANS_OBJECT!$C$18&amp;" - COÛT DES VENTES - AAD"</f>
        <v>CPTE # 414J  NE PAS UTILISER - COÛT DES VENTES - AAD</v>
      </c>
      <c r="O1905" s="611" t="str">
        <f t="shared" si="253"/>
        <v/>
      </c>
      <c r="P1905" s="611" t="str">
        <f t="shared" si="255"/>
        <v>Page5j_SANS_OBJECT!M</v>
      </c>
      <c r="Q1905" s="611">
        <f t="shared" si="256"/>
        <v>18</v>
      </c>
      <c r="R1905" s="1447">
        <f t="shared" ca="1" si="257"/>
        <v>0</v>
      </c>
      <c r="S1905" s="1447">
        <f t="shared" ca="1" si="258"/>
        <v>0</v>
      </c>
      <c r="T1905" s="611">
        <v>22</v>
      </c>
      <c r="V1905" s="2557" t="str">
        <f t="shared" ca="1" si="260"/>
        <v/>
      </c>
      <c r="W1905" s="611" t="str">
        <f t="shared" ca="1" si="259"/>
        <v>Page5j_SANS_OBJECT, Ligne 15 [Page5j_SANS_OBJECT!M18]  -</v>
      </c>
    </row>
    <row r="1906" spans="1:23">
      <c r="A1906" s="1443" t="str">
        <f>celladdr(Page5j_SANS_OBJECT!M19)</f>
        <v>Page5j_SANS_OBJECT!M19</v>
      </c>
      <c r="B1906" s="1456" t="s">
        <v>1086</v>
      </c>
      <c r="C1906" s="1451" t="b">
        <f>IF(Page5j_SANS_OBJECT!$K$19=0,FALSE,OR(Page5j_SANS_OBJECT!$M$19/Page5j_SANS_OBJECT!$K$19&lt;INDEX(Min_Table,L1906),Page5j_SANS_OBJECT!$M$19/Page5j_SANS_OBJECT!$K$19&gt;INDEX(Max_Table,L1906)))</f>
        <v>0</v>
      </c>
      <c r="D1906" s="1454" t="b">
        <f>OR(AND(Page5j_SANS_OBJECT!$L19&lt;&gt;0,Page5j_SANS_OBJECT!$M19=0),AND(Page5j_SANS_OBJECT!$M19&lt;&gt;0,Page5j_SANS_OBJECT!$L19=0))</f>
        <v>0</v>
      </c>
      <c r="E1906" s="1454" t="b">
        <f>IF(Page5j_SANS_OBJECT!$K$19=0,FALSE,OR(Page5j_SANS_OBJECT!$M$19/Page5j_SANS_OBJECT!$K$19&lt;INDEX(Min_Table,M1906),Page5j_SANS_OBJECT!$M$19/Page5j_SANS_OBJECT!$K$19&gt;INDEX(Max_Table,M1906)))</f>
        <v>0</v>
      </c>
      <c r="F1906" s="1454"/>
      <c r="G1906" s="1444" t="str">
        <f t="shared" si="254"/>
        <v/>
      </c>
      <c r="H1906" s="1447" t="str">
        <f>IF(C1906=TRUE,Comments!$B$20&amp;DOLLAR(INDEX(Max_Table,L1906),0)&amp;Comments!$B$18&amp;DOLLAR(HLOOKUP(Page5j_SANS_OBJECT!$D$56,VehTable,L1906),0)&amp;Comments!$B$19&amp;DOLLAR(Page5j_SANS_OBJECT!$M$19/Page5j_SANS_OBJECT!$K$19,0),"")</f>
        <v/>
      </c>
      <c r="I1906" s="1446" t="str">
        <f>IF(D1906=TRUE,Comments!$B$24,"")</f>
        <v/>
      </c>
      <c r="J1906" s="1446" t="str">
        <f>IF(E1906=TRUE,Comments!$B$22&amp;DOLLAR(INDEX(Min_Table,M1906),0)&amp;Comments!$B$18&amp;DOLLAR(INDEX(Max_Table,M1906),0)&amp;Comments!$B$19&amp;IFERROR(DOLLAR(Page5i_SANS_OBJECT!$M$19/Page5i_SANS_OBJECT!$K$19,0),0),"")</f>
        <v/>
      </c>
      <c r="K1906" s="1452"/>
      <c r="L1906" s="611">
        <f>ROW(OR_VEH!$A$667)</f>
        <v>667</v>
      </c>
      <c r="M1906" s="611">
        <f>ROW(OR_VEH!$A$468)</f>
        <v>468</v>
      </c>
      <c r="N1906" s="611" t="str">
        <f>"CPTE # "&amp;Page5j_SANS_OBJECT!$E$19&amp;"  "&amp;Page5j_SANS_OBJECT!$C$19&amp;" - COÛT DES VENTES - AAD"</f>
        <v>CPTE # 415J  NE PAS UTILISER - COÛT DES VENTES - AAD</v>
      </c>
      <c r="O1906" s="611" t="str">
        <f t="shared" si="253"/>
        <v/>
      </c>
      <c r="P1906" s="611" t="str">
        <f t="shared" si="255"/>
        <v>Page5j_SANS_OBJECT!M</v>
      </c>
      <c r="Q1906" s="611">
        <f t="shared" si="256"/>
        <v>19</v>
      </c>
      <c r="R1906" s="1447">
        <f t="shared" ca="1" si="257"/>
        <v>0</v>
      </c>
      <c r="S1906" s="1447">
        <f t="shared" ca="1" si="258"/>
        <v>0</v>
      </c>
      <c r="T1906" s="611">
        <v>22</v>
      </c>
      <c r="V1906" s="2557" t="str">
        <f t="shared" ca="1" si="260"/>
        <v/>
      </c>
      <c r="W1906" s="611" t="str">
        <f t="shared" ca="1" si="259"/>
        <v>Page5j_SANS_OBJECT, Ligne 16 [Page5j_SANS_OBJECT!M19]  -</v>
      </c>
    </row>
    <row r="1907" spans="1:23">
      <c r="A1907" s="1443" t="str">
        <f>celladdr(Page5j_SANS_OBJECT!M20)</f>
        <v>Page5j_SANS_OBJECT!M20</v>
      </c>
      <c r="B1907" s="1456" t="s">
        <v>1086</v>
      </c>
      <c r="C1907" s="1451" t="b">
        <f>IF(Page5j_SANS_OBJECT!$K$20=0,FALSE,OR(Page5j_SANS_OBJECT!$M$20/Page5j_SANS_OBJECT!$K$20&lt;INDEX(Min_Table,L1907),Page5j_SANS_OBJECT!$M$20/Page5j_SANS_OBJECT!$K$20&gt;INDEX(Max_Table,L1907)))</f>
        <v>0</v>
      </c>
      <c r="D1907" s="1454" t="b">
        <f>OR(AND(Page5j_SANS_OBJECT!$L20&lt;&gt;0,Page5j_SANS_OBJECT!$M20=0),AND(Page5j_SANS_OBJECT!$M20&lt;&gt;0,Page5j_SANS_OBJECT!$L20=0))</f>
        <v>0</v>
      </c>
      <c r="E1907" s="1454" t="b">
        <f>IF(Page5j_SANS_OBJECT!$K$20=0,FALSE,OR(Page5j_SANS_OBJECT!$M$20/Page5j_SANS_OBJECT!$K$20&lt;INDEX(Min_Table,M1907),Page5j_SANS_OBJECT!$M$20/Page5j_SANS_OBJECT!$K$20&gt;INDEX(Max_Table,M1907)))</f>
        <v>0</v>
      </c>
      <c r="F1907" s="1454"/>
      <c r="G1907" s="1444" t="str">
        <f t="shared" si="254"/>
        <v/>
      </c>
      <c r="H1907" s="1447" t="str">
        <f>IF(C1907=TRUE,Comments!$B$20&amp;DOLLAR(INDEX(Max_Table,L1907),0)&amp;Comments!$B$18&amp;DOLLAR(HLOOKUP(Page5j_SANS_OBJECT!$D$56,VehTable,L1907),0)&amp;Comments!$B$19&amp;DOLLAR(Page5j_SANS_OBJECT!$M$20/Page5j_SANS_OBJECT!$K$20,0),"")</f>
        <v/>
      </c>
      <c r="I1907" s="1446" t="str">
        <f>IF(D1907=TRUE,Comments!$B$24,"")</f>
        <v/>
      </c>
      <c r="J1907" s="1446" t="str">
        <f>IF(E1907=TRUE,Comments!$B$22&amp;DOLLAR(INDEX(Min_Table,M1907),0)&amp;Comments!$B$18&amp;DOLLAR(INDEX(Max_Table,M1907),0)&amp;Comments!$B$19&amp;IFERROR(DOLLAR(Page5i_SANS_OBJECT!$M$20/Page5i_SANS_OBJECT!$K$20,0),0),"")</f>
        <v/>
      </c>
      <c r="K1907" s="1452"/>
      <c r="L1907" s="611">
        <f>ROW(OR_VEH!$A$667)</f>
        <v>667</v>
      </c>
      <c r="M1907" s="611">
        <f>ROW(OR_VEH!$A$469)</f>
        <v>469</v>
      </c>
      <c r="N1907" s="611" t="str">
        <f>"CPTE # "&amp;Page5j_SANS_OBJECT!$E$20&amp;"  "&amp;Page5j_SANS_OBJECT!$C$20&amp;" - COÛT DES VENTES - AAD"</f>
        <v>CPTE # 416J  NE PAS UTILISER - COÛT DES VENTES - AAD</v>
      </c>
      <c r="O1907" s="611" t="str">
        <f t="shared" si="253"/>
        <v/>
      </c>
      <c r="P1907" s="611" t="str">
        <f t="shared" si="255"/>
        <v>Page5j_SANS_OBJECT!M</v>
      </c>
      <c r="Q1907" s="611">
        <f t="shared" si="256"/>
        <v>20</v>
      </c>
      <c r="R1907" s="1447">
        <f t="shared" ca="1" si="257"/>
        <v>0</v>
      </c>
      <c r="S1907" s="1447">
        <f t="shared" ca="1" si="258"/>
        <v>0</v>
      </c>
      <c r="T1907" s="611">
        <v>22</v>
      </c>
      <c r="V1907" s="2557" t="str">
        <f t="shared" ca="1" si="260"/>
        <v/>
      </c>
      <c r="W1907" s="611" t="str">
        <f t="shared" ca="1" si="259"/>
        <v>Page5j_SANS_OBJECT, Ligne 17 [Page5j_SANS_OBJECT!M20]  -</v>
      </c>
    </row>
    <row r="1908" spans="1:23">
      <c r="A1908" s="1443" t="str">
        <f>celladdr(Page5j_SANS_OBJECT!M21)</f>
        <v>Page5j_SANS_OBJECT!M21</v>
      </c>
      <c r="B1908" s="1456" t="s">
        <v>1086</v>
      </c>
      <c r="C1908" s="1451" t="b">
        <f>IF(Page5j_SANS_OBJECT!$K$21=0,FALSE,OR(Page5j_SANS_OBJECT!$M$21/Page5j_SANS_OBJECT!$K$21&lt;INDEX(Min_Table,L1908),Page5j_SANS_OBJECT!$M$21/Page5j_SANS_OBJECT!$K$21&gt;INDEX(Max_Table,L1908)))</f>
        <v>0</v>
      </c>
      <c r="D1908" s="1454" t="b">
        <f>OR(AND(Page5j_SANS_OBJECT!$L21&lt;&gt;0,Page5j_SANS_OBJECT!$M21=0),AND(Page5j_SANS_OBJECT!$M21&lt;&gt;0,Page5j_SANS_OBJECT!$L21=0))</f>
        <v>0</v>
      </c>
      <c r="E1908" s="1454" t="b">
        <f>IF(Page5j_SANS_OBJECT!$K$21=0,FALSE,OR(Page5j_SANS_OBJECT!$M$21/Page5j_SANS_OBJECT!$K$21&lt;INDEX(Min_Table,M1908),Page5j_SANS_OBJECT!$M$21/Page5j_SANS_OBJECT!$K$21&gt;INDEX(Max_Table,M1908)))</f>
        <v>0</v>
      </c>
      <c r="F1908" s="1454"/>
      <c r="G1908" s="1444" t="str">
        <f t="shared" si="254"/>
        <v/>
      </c>
      <c r="H1908" s="1447" t="str">
        <f>IF(C1908=TRUE,Comments!$B$20&amp;DOLLAR(INDEX(Max_Table,L1908),0)&amp;Comments!$B$18&amp;DOLLAR(HLOOKUP(Page5j_SANS_OBJECT!$D$56,VehTable,L1908),0)&amp;Comments!$B$19&amp;DOLLAR(Page5j_SANS_OBJECT!$M$21/Page5j_SANS_OBJECT!$K$21,0),"")</f>
        <v/>
      </c>
      <c r="I1908" s="1446" t="str">
        <f>IF(D1908=TRUE,Comments!$B$24,"")</f>
        <v/>
      </c>
      <c r="J1908" s="1446" t="str">
        <f>IF(E1908=TRUE,Comments!$B$22&amp;DOLLAR(INDEX(Min_Table,M1908),0)&amp;Comments!$B$18&amp;DOLLAR(INDEX(Max_Table,M1908),0)&amp;Comments!$B$19&amp;IFERROR(DOLLAR(Page5i_SANS_OBJECT!$M$21/Page5i_SANS_OBJECT!$K$21,0),0),"")</f>
        <v/>
      </c>
      <c r="K1908" s="1452"/>
      <c r="L1908" s="611">
        <f>ROW(OR_VEH!$A$667)</f>
        <v>667</v>
      </c>
      <c r="M1908" s="611">
        <f>ROW(OR_VEH!$A$470)</f>
        <v>470</v>
      </c>
      <c r="N1908" s="611" t="str">
        <f>"CPTE # "&amp;Page5j_SANS_OBJECT!$E$21&amp;"  "&amp;Page5j_SANS_OBJECT!$C$21&amp;" - COÛT DES VENTES - AAD"</f>
        <v>CPTE # 417J  NE PAS UTILISER - COÛT DES VENTES - AAD</v>
      </c>
      <c r="O1908" s="611" t="str">
        <f t="shared" si="253"/>
        <v/>
      </c>
      <c r="P1908" s="611" t="str">
        <f t="shared" si="255"/>
        <v>Page5j_SANS_OBJECT!M</v>
      </c>
      <c r="Q1908" s="611">
        <f t="shared" si="256"/>
        <v>21</v>
      </c>
      <c r="R1908" s="1447">
        <f t="shared" ca="1" si="257"/>
        <v>0</v>
      </c>
      <c r="S1908" s="1447">
        <f t="shared" ca="1" si="258"/>
        <v>0</v>
      </c>
      <c r="T1908" s="611">
        <v>22</v>
      </c>
      <c r="V1908" s="2557" t="str">
        <f t="shared" ca="1" si="260"/>
        <v/>
      </c>
      <c r="W1908" s="611" t="str">
        <f t="shared" ca="1" si="259"/>
        <v>Page5j_SANS_OBJECT, Ligne 18 [Page5j_SANS_OBJECT!M21]  -</v>
      </c>
    </row>
    <row r="1909" spans="1:23">
      <c r="A1909" s="1443" t="str">
        <f>celladdr(Page5j_SANS_OBJECT!M22)</f>
        <v>Page5j_SANS_OBJECT!M22</v>
      </c>
      <c r="B1909" s="1456" t="s">
        <v>1086</v>
      </c>
      <c r="C1909" s="1451" t="b">
        <f>IF(Page5j_SANS_OBJECT!$K$22=0,FALSE,OR(Page5j_SANS_OBJECT!$M$22/Page5j_SANS_OBJECT!$K$22&lt;INDEX(Min_Table,L1909),Page5j_SANS_OBJECT!$M$22/Page5j_SANS_OBJECT!$K$22&gt;INDEX(Max_Table,L1909)))</f>
        <v>0</v>
      </c>
      <c r="D1909" s="1454" t="b">
        <f>OR(AND(Page5j_SANS_OBJECT!$L22&lt;&gt;0,Page5j_SANS_OBJECT!$M22=0),AND(Page5j_SANS_OBJECT!$M22&lt;&gt;0,Page5j_SANS_OBJECT!$L22=0))</f>
        <v>0</v>
      </c>
      <c r="E1909" s="1454" t="b">
        <f>IF(Page5j_SANS_OBJECT!$K$22=0,FALSE,OR(Page5j_SANS_OBJECT!$M$22/Page5j_SANS_OBJECT!$K$22&lt;INDEX(Min_Table,M1909),Page5j_SANS_OBJECT!$M$22/Page5j_SANS_OBJECT!$K$22&gt;INDEX(Max_Table,M1909)))</f>
        <v>0</v>
      </c>
      <c r="F1909" s="1454"/>
      <c r="G1909" s="1444" t="str">
        <f t="shared" si="254"/>
        <v/>
      </c>
      <c r="H1909" s="1447" t="str">
        <f>IF(C1909=TRUE,Comments!$B$20&amp;DOLLAR(INDEX(Max_Table,L1909),0)&amp;Comments!$B$18&amp;DOLLAR(HLOOKUP(Page5j_SANS_OBJECT!$D$56,VehTable,L1909),0)&amp;Comments!$B$19&amp;DOLLAR(Page5j_SANS_OBJECT!$M$22/Page5j_SANS_OBJECT!$K$22,0),"")</f>
        <v/>
      </c>
      <c r="I1909" s="1446" t="str">
        <f>IF(D1909=TRUE,Comments!$B$24,"")</f>
        <v/>
      </c>
      <c r="J1909" s="1446" t="str">
        <f>IF(E1909=TRUE,Comments!$B$22&amp;DOLLAR(INDEX(Min_Table,M1909),0)&amp;Comments!$B$18&amp;DOLLAR(INDEX(Max_Table,M1909),0)&amp;Comments!$B$19&amp;IFERROR(DOLLAR(Page5i_SANS_OBJECT!$M$22/Page5i_SANS_OBJECT!$K$22,0),0),"")</f>
        <v/>
      </c>
      <c r="K1909" s="1452"/>
      <c r="L1909" s="611">
        <f>ROW(OR_VEH!$A$667)</f>
        <v>667</v>
      </c>
      <c r="M1909" s="611">
        <f>ROW(OR_VEH!$A$471)</f>
        <v>471</v>
      </c>
      <c r="N1909" s="611" t="str">
        <f>"CPTE # "&amp;Page5j_SANS_OBJECT!$E$22&amp;"  "&amp;Page5j_SANS_OBJECT!$C$22&amp;" - COÛT DES VENTES - AAD"</f>
        <v>CPTE # 418J  NE PAS UTILISER - COÛT DES VENTES - AAD</v>
      </c>
      <c r="O1909" s="611" t="str">
        <f t="shared" si="253"/>
        <v/>
      </c>
      <c r="P1909" s="611" t="str">
        <f t="shared" si="255"/>
        <v>Page5j_SANS_OBJECT!M</v>
      </c>
      <c r="Q1909" s="611">
        <f t="shared" si="256"/>
        <v>22</v>
      </c>
      <c r="R1909" s="1447">
        <f t="shared" ca="1" si="257"/>
        <v>0</v>
      </c>
      <c r="S1909" s="1447">
        <f t="shared" ca="1" si="258"/>
        <v>0</v>
      </c>
      <c r="T1909" s="611">
        <v>22</v>
      </c>
      <c r="V1909" s="2557" t="str">
        <f t="shared" ca="1" si="260"/>
        <v/>
      </c>
      <c r="W1909" s="611" t="str">
        <f t="shared" ca="1" si="259"/>
        <v>Page5j_SANS_OBJECT, Ligne 19 [Page5j_SANS_OBJECT!M22]  -</v>
      </c>
    </row>
    <row r="1910" spans="1:23">
      <c r="A1910" s="1443" t="str">
        <f>celladdr(Page5j_SANS_OBJECT!M23)</f>
        <v>Page5j_SANS_OBJECT!M23</v>
      </c>
      <c r="B1910" s="1444" t="s">
        <v>1086</v>
      </c>
      <c r="C1910" s="1451"/>
      <c r="D1910" s="1454"/>
      <c r="E1910" s="1454"/>
      <c r="F1910" s="1454"/>
      <c r="G1910" s="1444" t="str">
        <f t="shared" si="254"/>
        <v/>
      </c>
      <c r="H1910" s="1447" t="str">
        <f>IF(C1910=TRUE,Comments!$B$26,"")</f>
        <v/>
      </c>
      <c r="I1910" s="1446" t="str">
        <f>IF(D1910=TRUE,Comments!$B$24,"")</f>
        <v/>
      </c>
      <c r="J1910" s="1446"/>
      <c r="K1910" s="1452"/>
      <c r="O1910" s="611" t="str">
        <f t="shared" si="253"/>
        <v/>
      </c>
      <c r="P1910" s="611" t="str">
        <f t="shared" si="255"/>
        <v>Page5j_SANS_OBJECT!M</v>
      </c>
      <c r="Q1910" s="611">
        <f t="shared" si="256"/>
        <v>23</v>
      </c>
      <c r="R1910" s="1447">
        <f t="shared" ca="1" si="257"/>
        <v>0</v>
      </c>
      <c r="S1910" s="1447">
        <f t="shared" ca="1" si="258"/>
        <v>0</v>
      </c>
      <c r="V1910" s="2557" t="str">
        <f t="shared" ca="1" si="260"/>
        <v/>
      </c>
      <c r="W1910" s="611" t="str">
        <f t="shared" ca="1" si="259"/>
        <v>Page5j_SANS_OBJECT, Ligne 20 [Page5j_SANS_OBJECT!M23]  -</v>
      </c>
    </row>
    <row r="1911" spans="1:23">
      <c r="A1911" s="1443" t="str">
        <f>celladdr(Page5j_SANS_OBJECT!M24)</f>
        <v>Page5j_SANS_OBJECT!M24</v>
      </c>
      <c r="B1911" s="1456" t="s">
        <v>1086</v>
      </c>
      <c r="C1911" s="1451" t="b">
        <f>IF(Page5j_SANS_OBJECT!$K$24=0,FALSE,OR(Page5j_SANS_OBJECT!$M$24/Page5j_SANS_OBJECT!$K$24&lt;INDEX(Min_Table,L1911),Page5j_SANS_OBJECT!$M$24/Page5j_SANS_OBJECT!$K$24&gt;INDEX(Max_Table,L1911)))</f>
        <v>0</v>
      </c>
      <c r="D1911" s="1454" t="b">
        <f>OR(AND(Page5j_SANS_OBJECT!$L24&lt;&gt;0,Page5j_SANS_OBJECT!$M24=0),AND(Page5j_SANS_OBJECT!$M24&lt;&gt;0,Page5j_SANS_OBJECT!$L24=0))</f>
        <v>0</v>
      </c>
      <c r="E1911" s="1454" t="b">
        <f>IF(Page5j_SANS_OBJECT!$K$24=0,FALSE,OR(Page5j_SANS_OBJECT!$M$24/Page5j_SANS_OBJECT!$K$24&lt;INDEX(Min_Table,M1911),Page5j_SANS_OBJECT!$M$24/Page5j_SANS_OBJECT!$K$24&gt;INDEX(Max_Table,M1911)))</f>
        <v>0</v>
      </c>
      <c r="F1911" s="1454"/>
      <c r="G1911" s="1444" t="str">
        <f t="shared" si="254"/>
        <v/>
      </c>
      <c r="H1911" s="1447" t="str">
        <f>IF(C1911=TRUE,Comments!$B$20&amp;DOLLAR(INDEX(Max_Table,L1911),0)&amp;Comments!$B$18&amp;DOLLAR(HLOOKUP(Page5j_SANS_OBJECT!$D$56,VehTable,L1911),0)&amp;Comments!$B$19&amp;DOLLAR(Page5j_SANS_OBJECT!$M$24/Page5j_SANS_OBJECT!$K$24,0),"")</f>
        <v/>
      </c>
      <c r="I1911" s="1446" t="str">
        <f>IF(D1911=TRUE,Comments!$B$24,"")</f>
        <v/>
      </c>
      <c r="J1911" s="1446" t="str">
        <f>IF(E1911=TRUE,Comments!$B$22&amp;DOLLAR(INDEX(Min_Table,M1911),0)&amp;Comments!$B$18&amp;DOLLAR(INDEX(Max_Table,M1911),0)&amp;Comments!$B$19&amp;IFERROR(DOLLAR(Page5i_SANS_OBJECT!$M$24/Page5i_SANS_OBJECT!$K$24,0),0),"")</f>
        <v/>
      </c>
      <c r="K1911" s="1452"/>
      <c r="L1911" s="611">
        <f>ROW(OR_VEH!$A$667)</f>
        <v>667</v>
      </c>
      <c r="M1911" s="611">
        <f>ROW(OR_VEH!$A$473)</f>
        <v>473</v>
      </c>
      <c r="N1911" s="611" t="str">
        <f>"CPTE # "&amp;Page5j_SANS_OBJECT!$E$24&amp;"  "&amp;Page5j_SANS_OBJECT!$C$24&amp;" - COÛT DES VENTES - AAD"</f>
        <v>CPTE # 419J  MÉMO* VENTES INTERNET VOITURES - COÛT DES VENTES - AAD</v>
      </c>
      <c r="O1911" s="611" t="str">
        <f t="shared" si="253"/>
        <v/>
      </c>
      <c r="P1911" s="611" t="str">
        <f t="shared" si="255"/>
        <v>Page5j_SANS_OBJECT!M</v>
      </c>
      <c r="Q1911" s="611">
        <f t="shared" si="256"/>
        <v>24</v>
      </c>
      <c r="R1911" s="1447">
        <f t="shared" ca="1" si="257"/>
        <v>0</v>
      </c>
      <c r="S1911" s="1447">
        <f t="shared" ca="1" si="258"/>
        <v>0</v>
      </c>
      <c r="T1911" s="611">
        <v>22</v>
      </c>
      <c r="V1911" s="2557" t="str">
        <f t="shared" ca="1" si="260"/>
        <v/>
      </c>
      <c r="W1911" s="611" t="str">
        <f t="shared" ca="1" si="259"/>
        <v>Page5j_SANS_OBJECT, Ligne 21 [Page5j_SANS_OBJECT!M24]  -</v>
      </c>
    </row>
    <row r="1912" spans="1:23">
      <c r="A1912" s="1443" t="str">
        <f>celladdr(Page5j_SANS_OBJECT!M25)</f>
        <v>Page5j_SANS_OBJECT!M25</v>
      </c>
      <c r="B1912" s="1456" t="s">
        <v>1086</v>
      </c>
      <c r="C1912" s="1451" t="b">
        <f>IF(Page5j_SANS_OBJECT!$K$25=0,FALSE,OR(Page5j_SANS_OBJECT!$M$25/Page5j_SANS_OBJECT!$K$25&lt;INDEX(Min_Table,L1912),Page5j_SANS_OBJECT!$M$25/Page5j_SANS_OBJECT!$K$25&gt;INDEX(Max_Table,L1912)))</f>
        <v>0</v>
      </c>
      <c r="D1912" s="1454" t="b">
        <f>OR(AND(Page5j_SANS_OBJECT!$L25&lt;&gt;0,Page5j_SANS_OBJECT!$M25=0),AND(Page5j_SANS_OBJECT!$M25&lt;&gt;0,Page5j_SANS_OBJECT!$L25=0))</f>
        <v>0</v>
      </c>
      <c r="E1912" s="1454" t="b">
        <f>IF(Page5j_SANS_OBJECT!$K$25=0,FALSE,OR(Page5j_SANS_OBJECT!$M$25/Page5j_SANS_OBJECT!$K$25&lt;INDEX(Min_Table,M1912),Page5j_SANS_OBJECT!$M$25/Page5j_SANS_OBJECT!$K$25&gt;INDEX(Max_Table,M1912)))</f>
        <v>0</v>
      </c>
      <c r="F1912" s="1454"/>
      <c r="G1912" s="1444" t="str">
        <f t="shared" si="254"/>
        <v/>
      </c>
      <c r="H1912" s="1447" t="str">
        <f>IF(C1912=TRUE,Comments!$B$20&amp;DOLLAR(INDEX(Max_Table,L1912),0)&amp;Comments!$B$18&amp;DOLLAR(HLOOKUP(Page5j_SANS_OBJECT!$D$56,VehTable,L1912),0)&amp;Comments!$B$19&amp;DOLLAR(Page5j_SANS_OBJECT!$M$25/Page5j_SANS_OBJECT!$K$25,0),"")</f>
        <v/>
      </c>
      <c r="I1912" s="1446" t="str">
        <f>IF(D1912=TRUE,Comments!$B$24,"")</f>
        <v/>
      </c>
      <c r="J1912" s="1446" t="str">
        <f>IF(E1912=TRUE,Comments!$B$22&amp;DOLLAR(INDEX(Min_Table,M1912),0)&amp;Comments!$B$18&amp;DOLLAR(INDEX(Max_Table,M1912),0)&amp;Comments!$B$19&amp;IFERROR(DOLLAR(Page5i_SANS_OBJECT!$M$25/Page5i_SANS_OBJECT!$K$25,0),0),"")</f>
        <v/>
      </c>
      <c r="K1912" s="1452"/>
      <c r="L1912" s="611">
        <f>ROW(OR_VEH!$A$667)</f>
        <v>667</v>
      </c>
      <c r="M1912" s="611">
        <f>ROW(OR_VEH!$A$474)</f>
        <v>474</v>
      </c>
      <c r="N1912" s="611" t="str">
        <f>"CPTE # "&amp;Page5j_SANS_OBJECT!$E$25&amp;"  "&amp;Page5j_SANS_OBJECT!$C$25&amp;" - COÛT DES VENTES - AAD"</f>
        <v>CPTE # 420J  TOTAL PARCS - VOITURES - COÛT DES VENTES - AAD</v>
      </c>
      <c r="O1912" s="611" t="str">
        <f t="shared" si="253"/>
        <v/>
      </c>
      <c r="P1912" s="611" t="str">
        <f t="shared" si="255"/>
        <v>Page5j_SANS_OBJECT!M</v>
      </c>
      <c r="Q1912" s="611">
        <f t="shared" si="256"/>
        <v>25</v>
      </c>
      <c r="R1912" s="1447">
        <f t="shared" ca="1" si="257"/>
        <v>0</v>
      </c>
      <c r="S1912" s="1447">
        <f t="shared" ca="1" si="258"/>
        <v>0</v>
      </c>
      <c r="T1912" s="611">
        <v>22</v>
      </c>
      <c r="V1912" s="2557" t="str">
        <f t="shared" ca="1" si="260"/>
        <v/>
      </c>
      <c r="W1912" s="611" t="str">
        <f t="shared" ca="1" si="259"/>
        <v>Page5j_SANS_OBJECT, Ligne 22 [Page5j_SANS_OBJECT!M25]  -</v>
      </c>
    </row>
    <row r="1913" spans="1:23">
      <c r="A1913" s="1443" t="str">
        <f>celladdr(Page5j_SANS_OBJECT!M26)</f>
        <v>Page5j_SANS_OBJECT!M26</v>
      </c>
      <c r="B1913" s="1456" t="s">
        <v>1086</v>
      </c>
      <c r="C1913" s="1451" t="b">
        <f>IF(Page5j_SANS_OBJECT!$K$26=0,FALSE,OR(Page5j_SANS_OBJECT!$M$26/Page5j_SANS_OBJECT!$K$26&lt;INDEX(Min_Table,L1913),Page5j_SANS_OBJECT!$M$26/Page5j_SANS_OBJECT!$K$26&gt;INDEX(Max_Table,L1913)))</f>
        <v>0</v>
      </c>
      <c r="D1913" s="1454" t="b">
        <f>OR(AND(Page5j_SANS_OBJECT!$L26&lt;&gt;0,Page5j_SANS_OBJECT!$M26=0),AND(Page5j_SANS_OBJECT!$M26&lt;&gt;0,Page5j_SANS_OBJECT!$L26=0))</f>
        <v>0</v>
      </c>
      <c r="E1913" s="1454" t="b">
        <f>IF(Page5j_SANS_OBJECT!$K$26=0,FALSE,OR(Page5j_SANS_OBJECT!$M$26/Page5j_SANS_OBJECT!$K$26&lt;INDEX(Min_Table,M1913),Page5j_SANS_OBJECT!$M$26/Page5j_SANS_OBJECT!$K$26&gt;INDEX(Max_Table,M1913)))</f>
        <v>0</v>
      </c>
      <c r="F1913" s="1454"/>
      <c r="G1913" s="1444" t="str">
        <f t="shared" si="254"/>
        <v/>
      </c>
      <c r="H1913" s="1447" t="str">
        <f>IF(C1913=TRUE,Comments!$B$20&amp;DOLLAR(INDEX(Max_Table,L1913),0)&amp;Comments!$B$18&amp;DOLLAR(HLOOKUP(Page5j_SANS_OBJECT!$D$56,VehTable,L1913),0)&amp;Comments!$B$19&amp;DOLLAR(Page5j_SANS_OBJECT!$M$26/Page5j_SANS_OBJECT!$K$26,0),"")</f>
        <v/>
      </c>
      <c r="I1913" s="1446" t="str">
        <f>IF(D1913=TRUE,Comments!$B$24,"")</f>
        <v/>
      </c>
      <c r="J1913" s="1446" t="str">
        <f>IF(E1913=TRUE,Comments!$B$22&amp;DOLLAR(INDEX(Min_Table,M1913),0)&amp;Comments!$B$18&amp;DOLLAR(INDEX(Max_Table,M1913),0)&amp;Comments!$B$19&amp;IFERROR(DOLLAR(Page5i_SANS_OBJECT!$M$26/Page5i_SANS_OBJECT!$K$26,0),0),"")</f>
        <v/>
      </c>
      <c r="K1913" s="1452"/>
      <c r="L1913" s="611">
        <f>ROW(OR_VEH!$A$667)</f>
        <v>667</v>
      </c>
      <c r="M1913" s="611">
        <f>ROW(OR_VEH!$A$475)</f>
        <v>475</v>
      </c>
      <c r="N1913" s="611" t="str">
        <f>"CPTE # "&amp;Page5j_SANS_OBJECT!$E$26&amp;"  "&amp;Page5j_SANS_OBJECT!$C$26&amp;" - COÛT DES VENTES - AAD"</f>
        <v>CPTE # 421J  TOTAL INTERNE - VOITURES - COÛT DES VENTES - AAD</v>
      </c>
      <c r="O1913" s="611" t="str">
        <f t="shared" si="253"/>
        <v/>
      </c>
      <c r="P1913" s="611" t="str">
        <f t="shared" si="255"/>
        <v>Page5j_SANS_OBJECT!M</v>
      </c>
      <c r="Q1913" s="611">
        <f t="shared" si="256"/>
        <v>26</v>
      </c>
      <c r="R1913" s="1447">
        <f t="shared" ca="1" si="257"/>
        <v>0</v>
      </c>
      <c r="S1913" s="1447">
        <f t="shared" ca="1" si="258"/>
        <v>0</v>
      </c>
      <c r="T1913" s="611">
        <v>22</v>
      </c>
      <c r="V1913" s="2557" t="str">
        <f t="shared" ca="1" si="260"/>
        <v/>
      </c>
      <c r="W1913" s="611" t="str">
        <f t="shared" ca="1" si="259"/>
        <v>Page5j_SANS_OBJECT, Ligne 23 [Page5j_SANS_OBJECT!M26]  -</v>
      </c>
    </row>
    <row r="1914" spans="1:23">
      <c r="A1914" s="1443" t="str">
        <f>celladdr(Page5j_SANS_OBJECT!M27)</f>
        <v>Page5j_SANS_OBJECT!M27</v>
      </c>
      <c r="B1914" s="1444" t="s">
        <v>1086</v>
      </c>
      <c r="C1914" s="1451"/>
      <c r="D1914" s="1454"/>
      <c r="E1914" s="1454"/>
      <c r="F1914" s="1454"/>
      <c r="G1914" s="1444" t="str">
        <f t="shared" si="254"/>
        <v/>
      </c>
      <c r="H1914" s="1447" t="str">
        <f>IF(C1914=TRUE,Comments!$B$26,"")</f>
        <v/>
      </c>
      <c r="I1914" s="1446" t="str">
        <f>IF(D1914=TRUE,Comments!$B$24,"")</f>
        <v/>
      </c>
      <c r="J1914" s="1446"/>
      <c r="K1914" s="1452"/>
      <c r="O1914" s="611" t="str">
        <f t="shared" si="253"/>
        <v/>
      </c>
      <c r="P1914" s="611" t="str">
        <f t="shared" si="255"/>
        <v>Page5j_SANS_OBJECT!M</v>
      </c>
      <c r="Q1914" s="611">
        <f t="shared" si="256"/>
        <v>27</v>
      </c>
      <c r="R1914" s="1447">
        <f t="shared" ca="1" si="257"/>
        <v>0</v>
      </c>
      <c r="S1914" s="1447">
        <f t="shared" ca="1" si="258"/>
        <v>0</v>
      </c>
      <c r="V1914" s="2557" t="str">
        <f t="shared" ca="1" si="260"/>
        <v/>
      </c>
      <c r="W1914" s="611" t="str">
        <f t="shared" ca="1" si="259"/>
        <v>Page5j_SANS_OBJECT, Ligne 24 [Page5j_SANS_OBJECT!M27]  -</v>
      </c>
    </row>
    <row r="1915" spans="1:23">
      <c r="A1915" s="1443" t="str">
        <f>celladdr(Page5j_SANS_OBJECT!M28)</f>
        <v>Page5j_SANS_OBJECT!M28</v>
      </c>
      <c r="B1915" s="1456" t="s">
        <v>1086</v>
      </c>
      <c r="C1915" s="1451" t="b">
        <f>IF(Page5j_SANS_OBJECT!$K$28=0,FALSE,OR(Page5j_SANS_OBJECT!$M$28/Page5j_SANS_OBJECT!$K$28&lt;INDEX(Min_Table,L1915),Page5j_SANS_OBJECT!$M$28/Page5j_SANS_OBJECT!$K$28&gt;INDEX(Max_Table,L1915)))</f>
        <v>0</v>
      </c>
      <c r="D1915" s="1454" t="b">
        <f>OR(AND(Page5j_SANS_OBJECT!$L28&lt;&gt;0,Page5j_SANS_OBJECT!$M28=0),AND(Page5j_SANS_OBJECT!$M28&lt;&gt;0,Page5j_SANS_OBJECT!$L28=0))</f>
        <v>0</v>
      </c>
      <c r="E1915" s="1454" t="b">
        <f>IF(Page5j_SANS_OBJECT!$K$28=0,FALSE,OR(Page5j_SANS_OBJECT!$M$28/Page5j_SANS_OBJECT!$K$28&lt;INDEX(Min_Table,M1915),Page5j_SANS_OBJECT!$M$28/Page5j_SANS_OBJECT!$K$28&gt;INDEX(Max_Table,M1915)))</f>
        <v>0</v>
      </c>
      <c r="F1915" s="1454"/>
      <c r="G1915" s="1444" t="str">
        <f t="shared" si="254"/>
        <v/>
      </c>
      <c r="H1915" s="1447" t="str">
        <f>IF(C1915=TRUE,Comments!$B$20&amp;DOLLAR(INDEX(Max_Table,L1915),0)&amp;Comments!$B$18&amp;DOLLAR(HLOOKUP(Page5j_SANS_OBJECT!$D$56,VehTable,L1915),0)&amp;Comments!$B$19&amp;DOLLAR(Page5j_SANS_OBJECT!$M$28/Page5j_SANS_OBJECT!$K$28,0),"")</f>
        <v/>
      </c>
      <c r="I1915" s="1446" t="str">
        <f>IF(D1915=TRUE,Comments!$B$24,"")</f>
        <v/>
      </c>
      <c r="J1915" s="1446" t="str">
        <f>IF(E1915=TRUE,Comments!$B$22&amp;DOLLAR(INDEX(Min_Table,M1915),0)&amp;Comments!$B$18&amp;DOLLAR(INDEX(Max_Table,M1915),0)&amp;Comments!$B$19&amp;IFERROR(DOLLAR(Page5i_SANS_OBJECT!$M$28/Page5i_SANS_OBJECT!$K$28,0),0),"")</f>
        <v/>
      </c>
      <c r="K1915" s="1452"/>
      <c r="L1915" s="611">
        <f>ROW(OR_VEH!$A$667)</f>
        <v>667</v>
      </c>
      <c r="M1915" s="611">
        <f>ROW(OR_VEH!$A$477)</f>
        <v>477</v>
      </c>
      <c r="N1915" s="611" t="str">
        <f>"CPTE # "&amp;Page5j_SANS_OBJECT!$E$28&amp;"  "&amp;Page5j_SANS_OBJECT!$C$28&amp;" - COÛT DES VENTES - AAD"</f>
        <v>CPTE # 423J  POIDS LOURD - COÛT DES VENTES - AAD</v>
      </c>
      <c r="O1915" s="611" t="str">
        <f t="shared" si="253"/>
        <v/>
      </c>
      <c r="P1915" s="611" t="str">
        <f t="shared" si="255"/>
        <v>Page5j_SANS_OBJECT!M</v>
      </c>
      <c r="Q1915" s="611">
        <f t="shared" si="256"/>
        <v>28</v>
      </c>
      <c r="R1915" s="1447">
        <f t="shared" ca="1" si="257"/>
        <v>0</v>
      </c>
      <c r="S1915" s="1447">
        <f t="shared" ca="1" si="258"/>
        <v>0</v>
      </c>
      <c r="T1915" s="611">
        <v>22</v>
      </c>
      <c r="V1915" s="2557" t="str">
        <f t="shared" ca="1" si="260"/>
        <v/>
      </c>
      <c r="W1915" s="611" t="str">
        <f t="shared" ca="1" si="259"/>
        <v>Page5j_SANS_OBJECT, Ligne 25 [Page5j_SANS_OBJECT!M28]  -</v>
      </c>
    </row>
    <row r="1916" spans="1:23">
      <c r="A1916" s="1443" t="str">
        <f>celladdr(Page5j_SANS_OBJECT!M29)</f>
        <v>Page5j_SANS_OBJECT!M29</v>
      </c>
      <c r="B1916" s="1456" t="s">
        <v>1086</v>
      </c>
      <c r="C1916" s="1451" t="b">
        <f>IF(Page5j_SANS_OBJECT!$K$29=0,FALSE,OR(Page5j_SANS_OBJECT!$M$29/Page5j_SANS_OBJECT!$K$29&lt;INDEX(Min_Table,L1916),Page5j_SANS_OBJECT!$M$29/Page5j_SANS_OBJECT!$K$29&gt;INDEX(Max_Table,L1916)))</f>
        <v>0</v>
      </c>
      <c r="D1916" s="1454" t="b">
        <f>OR(AND(Page5j_SANS_OBJECT!$L29&lt;&gt;0,Page5j_SANS_OBJECT!$M29=0),AND(Page5j_SANS_OBJECT!$M29&lt;&gt;0,Page5j_SANS_OBJECT!$L29=0))</f>
        <v>0</v>
      </c>
      <c r="E1916" s="1454" t="b">
        <f>IF(Page5j_SANS_OBJECT!$K$29=0,FALSE,OR(Page5j_SANS_OBJECT!$M$29/Page5j_SANS_OBJECT!$K$29&lt;INDEX(Min_Table,M1916),Page5j_SANS_OBJECT!$M$29/Page5j_SANS_OBJECT!$K$29&gt;INDEX(Max_Table,M1916)))</f>
        <v>0</v>
      </c>
      <c r="F1916" s="1454"/>
      <c r="G1916" s="1444" t="str">
        <f t="shared" si="254"/>
        <v/>
      </c>
      <c r="H1916" s="1447" t="str">
        <f>IF(C1916=TRUE,Comments!$B$20&amp;DOLLAR(INDEX(Max_Table,L1916),0)&amp;Comments!$B$18&amp;DOLLAR(HLOOKUP(Page5j_SANS_OBJECT!$D$56,VehTable,L1916),0)&amp;Comments!$B$19&amp;DOLLAR(Page5j_SANS_OBJECT!$M$29/Page5j_SANS_OBJECT!$K$29,0),"")</f>
        <v/>
      </c>
      <c r="I1916" s="1446" t="str">
        <f>IF(D1916=TRUE,Comments!$B$24,"")</f>
        <v/>
      </c>
      <c r="J1916" s="1446" t="str">
        <f>IF(E1916=TRUE,Comments!$B$22&amp;DOLLAR(INDEX(Min_Table,M1916),0)&amp;Comments!$B$18&amp;DOLLAR(INDEX(Max_Table,M1916),0)&amp;Comments!$B$19&amp;IFERROR(DOLLAR(Page5i_SANS_OBJECT!$M$29/Page5i_SANS_OBJECT!$K$29,0),0),"")</f>
        <v/>
      </c>
      <c r="K1916" s="1452"/>
      <c r="L1916" s="611">
        <f>ROW(OR_VEH!$A$667)</f>
        <v>667</v>
      </c>
      <c r="M1916" s="611">
        <f>ROW(OR_VEH!$A$478)</f>
        <v>478</v>
      </c>
      <c r="N1916" s="611" t="str">
        <f>"CPTE # "&amp;Page5j_SANS_OBJECT!$E$29&amp;"  "&amp;Page5j_SANS_OBJECT!$C$29&amp;" - COÛT DES VENTES - AAD"</f>
        <v>CPTE # 424J  NE PAS UTILISER - COÛT DES VENTES - AAD</v>
      </c>
      <c r="O1916" s="611" t="str">
        <f t="shared" si="253"/>
        <v/>
      </c>
      <c r="P1916" s="611" t="str">
        <f t="shared" si="255"/>
        <v>Page5j_SANS_OBJECT!M</v>
      </c>
      <c r="Q1916" s="611">
        <f t="shared" si="256"/>
        <v>29</v>
      </c>
      <c r="R1916" s="1447">
        <f t="shared" ca="1" si="257"/>
        <v>0</v>
      </c>
      <c r="S1916" s="1447">
        <f t="shared" ca="1" si="258"/>
        <v>0</v>
      </c>
      <c r="T1916" s="611">
        <v>22</v>
      </c>
      <c r="V1916" s="2557" t="str">
        <f t="shared" ca="1" si="260"/>
        <v/>
      </c>
      <c r="W1916" s="611" t="str">
        <f t="shared" ca="1" si="259"/>
        <v>Page5j_SANS_OBJECT, Ligne 26 [Page5j_SANS_OBJECT!M29]  -</v>
      </c>
    </row>
    <row r="1917" spans="1:23">
      <c r="A1917" s="1443" t="str">
        <f>celladdr(Page5j_SANS_OBJECT!M30)</f>
        <v>Page5j_SANS_OBJECT!M30</v>
      </c>
      <c r="B1917" s="1456" t="s">
        <v>1086</v>
      </c>
      <c r="C1917" s="1451" t="b">
        <f>IF(Page5j_SANS_OBJECT!$K$30=0,FALSE,OR(Page5j_SANS_OBJECT!$M$30/Page5j_SANS_OBJECT!$K$30&lt;INDEX(Min_Table,L1917),Page5j_SANS_OBJECT!$M$30/Page5j_SANS_OBJECT!$K$30&gt;INDEX(Max_Table,L1917)))</f>
        <v>0</v>
      </c>
      <c r="D1917" s="1454" t="b">
        <f>OR(AND(Page5j_SANS_OBJECT!$L30&lt;&gt;0,Page5j_SANS_OBJECT!$M30=0),AND(Page5j_SANS_OBJECT!$M30&lt;&gt;0,Page5j_SANS_OBJECT!$L30=0))</f>
        <v>0</v>
      </c>
      <c r="E1917" s="1454" t="b">
        <f>IF(Page5j_SANS_OBJECT!$K$30=0,FALSE,OR(Page5j_SANS_OBJECT!$M$30/Page5j_SANS_OBJECT!$K$30&lt;INDEX(Min_Table,M1917),Page5j_SANS_OBJECT!$M$30/Page5j_SANS_OBJECT!$K$30&gt;INDEX(Max_Table,M1917)))</f>
        <v>0</v>
      </c>
      <c r="F1917" s="1454"/>
      <c r="G1917" s="1444" t="str">
        <f t="shared" si="254"/>
        <v/>
      </c>
      <c r="H1917" s="1447" t="str">
        <f>IF(C1917=TRUE,Comments!$B$20&amp;DOLLAR(INDEX(Max_Table,L1917),0)&amp;Comments!$B$18&amp;DOLLAR(HLOOKUP(Page5j_SANS_OBJECT!$D$56,VehTable,L1917),0)&amp;Comments!$B$19&amp;DOLLAR(Page5j_SANS_OBJECT!$M$30/Page5j_SANS_OBJECT!$K$30,0),"")</f>
        <v/>
      </c>
      <c r="I1917" s="1446" t="str">
        <f>IF(D1917=TRUE,Comments!$B$24,"")</f>
        <v/>
      </c>
      <c r="J1917" s="1446" t="str">
        <f>IF(E1917=TRUE,Comments!$B$22&amp;DOLLAR(INDEX(Min_Table,M1917),0)&amp;Comments!$B$18&amp;DOLLAR(INDEX(Max_Table,M1917),0)&amp;Comments!$B$19&amp;IFERROR(DOLLAR(Page5i_SANS_OBJECT!$M$30/Page5i_SANS_OBJECT!$K$30,0),0),"")</f>
        <v/>
      </c>
      <c r="K1917" s="1452"/>
      <c r="L1917" s="611">
        <f>ROW(OR_VEH!$A$667)</f>
        <v>667</v>
      </c>
      <c r="M1917" s="611">
        <f>ROW(OR_VEH!$A$479)</f>
        <v>479</v>
      </c>
      <c r="N1917" s="611" t="str">
        <f>"CPTE # "&amp;Page5j_SANS_OBJECT!$E$30&amp;"  "&amp;Page5j_SANS_OBJECT!$C$30&amp;" - COÛT DES VENTES - AAD"</f>
        <v>CPTE # 425J  NE PAS UTILISER - COÛT DES VENTES - AAD</v>
      </c>
      <c r="O1917" s="611" t="str">
        <f t="shared" si="253"/>
        <v/>
      </c>
      <c r="P1917" s="611" t="str">
        <f t="shared" si="255"/>
        <v>Page5j_SANS_OBJECT!M</v>
      </c>
      <c r="Q1917" s="611">
        <f t="shared" si="256"/>
        <v>30</v>
      </c>
      <c r="R1917" s="1447">
        <f t="shared" ca="1" si="257"/>
        <v>0</v>
      </c>
      <c r="S1917" s="1447">
        <f t="shared" ca="1" si="258"/>
        <v>0</v>
      </c>
      <c r="T1917" s="611">
        <v>22</v>
      </c>
      <c r="V1917" s="2557" t="str">
        <f t="shared" ca="1" si="260"/>
        <v/>
      </c>
      <c r="W1917" s="611" t="str">
        <f t="shared" ca="1" si="259"/>
        <v>Page5j_SANS_OBJECT, Ligne 27 [Page5j_SANS_OBJECT!M30]  -</v>
      </c>
    </row>
    <row r="1918" spans="1:23">
      <c r="A1918" s="1443" t="str">
        <f>celladdr(Page5j_SANS_OBJECT!M31)</f>
        <v>Page5j_SANS_OBJECT!M31</v>
      </c>
      <c r="B1918" s="1456" t="s">
        <v>1086</v>
      </c>
      <c r="C1918" s="1451" t="b">
        <f>IF(Page5j_SANS_OBJECT!$K$31=0,FALSE,OR(Page5j_SANS_OBJECT!$M$31/Page5j_SANS_OBJECT!$K$31&lt;INDEX(Min_Table,L1918),Page5j_SANS_OBJECT!$M$31/Page5j_SANS_OBJECT!$K$31&gt;INDEX(Max_Table,L1918)))</f>
        <v>0</v>
      </c>
      <c r="D1918" s="1454" t="b">
        <f>OR(AND(Page5j_SANS_OBJECT!$L31&lt;&gt;0,Page5j_SANS_OBJECT!$M31=0),AND(Page5j_SANS_OBJECT!$M31&lt;&gt;0,Page5j_SANS_OBJECT!$L31=0))</f>
        <v>0</v>
      </c>
      <c r="E1918" s="1454" t="b">
        <f>IF(Page5j_SANS_OBJECT!$K$31=0,FALSE,OR(Page5j_SANS_OBJECT!$M$31/Page5j_SANS_OBJECT!$K$31&lt;INDEX(Min_Table,M1918),Page5j_SANS_OBJECT!$M$31/Page5j_SANS_OBJECT!$K$31&gt;INDEX(Max_Table,M1918)))</f>
        <v>0</v>
      </c>
      <c r="F1918" s="1454"/>
      <c r="G1918" s="1444" t="str">
        <f t="shared" si="254"/>
        <v/>
      </c>
      <c r="H1918" s="1447" t="str">
        <f>IF(C1918=TRUE,Comments!$B$20&amp;DOLLAR(INDEX(Max_Table,L1918),0)&amp;Comments!$B$18&amp;DOLLAR(HLOOKUP(Page5j_SANS_OBJECT!$D$56,VehTable,L1918),0)&amp;Comments!$B$19&amp;DOLLAR(Page5j_SANS_OBJECT!$M$31/Page5j_SANS_OBJECT!$K$31,0),"")</f>
        <v/>
      </c>
      <c r="I1918" s="1446" t="str">
        <f>IF(D1918=TRUE,Comments!$B$24,"")</f>
        <v/>
      </c>
      <c r="J1918" s="1446" t="str">
        <f>IF(E1918=TRUE,Comments!$B$22&amp;DOLLAR(INDEX(Min_Table,M1918),0)&amp;Comments!$B$18&amp;DOLLAR(INDEX(Max_Table,M1918),0)&amp;Comments!$B$19&amp;IFERROR(DOLLAR(Page5i_SANS_OBJECT!$M$31/Page5i_SANS_OBJECT!$K$31,0),0),"")</f>
        <v/>
      </c>
      <c r="K1918" s="1452"/>
      <c r="L1918" s="611">
        <f>ROW(OR_VEH!$A$667)</f>
        <v>667</v>
      </c>
      <c r="M1918" s="611">
        <f>ROW(OR_VEH!$A$480)</f>
        <v>480</v>
      </c>
      <c r="N1918" s="611" t="str">
        <f>"CPTE # "&amp;Page5j_SANS_OBJECT!$E$31&amp;"  "&amp;Page5j_SANS_OBJECT!$C$31&amp;" - COÛT DES VENTES - AAD"</f>
        <v>CPTE # 426J  NE PAS UTILISER - COÛT DES VENTES - AAD</v>
      </c>
      <c r="O1918" s="611" t="str">
        <f t="shared" ref="O1918:O1981" si="261">IF(A1918=A1917,"TRUE","")</f>
        <v/>
      </c>
      <c r="P1918" s="611" t="str">
        <f t="shared" si="255"/>
        <v>Page5j_SANS_OBJECT!M</v>
      </c>
      <c r="Q1918" s="611">
        <f t="shared" si="256"/>
        <v>31</v>
      </c>
      <c r="R1918" s="1447">
        <f t="shared" ca="1" si="257"/>
        <v>0</v>
      </c>
      <c r="S1918" s="1447">
        <f t="shared" ca="1" si="258"/>
        <v>0</v>
      </c>
      <c r="T1918" s="611">
        <v>22</v>
      </c>
      <c r="V1918" s="2557" t="str">
        <f t="shared" ca="1" si="260"/>
        <v/>
      </c>
      <c r="W1918" s="611" t="str">
        <f t="shared" ca="1" si="259"/>
        <v>Page5j_SANS_OBJECT, Ligne 28 [Page5j_SANS_OBJECT!M31]  -</v>
      </c>
    </row>
    <row r="1919" spans="1:23">
      <c r="A1919" s="1443" t="str">
        <f>celladdr(Page5j_SANS_OBJECT!M32)</f>
        <v>Page5j_SANS_OBJECT!M32</v>
      </c>
      <c r="B1919" s="1456" t="s">
        <v>1086</v>
      </c>
      <c r="C1919" s="1451" t="b">
        <f>IF(Page5j_SANS_OBJECT!$K$32=0,FALSE,OR(Page5j_SANS_OBJECT!$M$32/Page5j_SANS_OBJECT!$K$32&lt;INDEX(Min_Table,L1919),Page5j_SANS_OBJECT!$M$32/Page5j_SANS_OBJECT!$K$32&gt;INDEX(Max_Table,L1919)))</f>
        <v>0</v>
      </c>
      <c r="D1919" s="1454" t="b">
        <f>OR(AND(Page5j_SANS_OBJECT!$L32&lt;&gt;0,Page5j_SANS_OBJECT!$M32=0),AND(Page5j_SANS_OBJECT!$M32&lt;&gt;0,Page5j_SANS_OBJECT!$L32=0))</f>
        <v>0</v>
      </c>
      <c r="E1919" s="1454" t="b">
        <f>IF(Page5j_SANS_OBJECT!$K$32=0,FALSE,OR(Page5j_SANS_OBJECT!$M$32/Page5j_SANS_OBJECT!$K$32&lt;INDEX(Min_Table,M1919),Page5j_SANS_OBJECT!$M$32/Page5j_SANS_OBJECT!$K$32&gt;INDEX(Max_Table,M1919)))</f>
        <v>0</v>
      </c>
      <c r="F1919" s="1454"/>
      <c r="G1919" s="1444" t="str">
        <f t="shared" si="254"/>
        <v/>
      </c>
      <c r="H1919" s="1447" t="str">
        <f>IF(C1919=TRUE,Comments!$B$20&amp;DOLLAR(INDEX(Max_Table,L1919),0)&amp;Comments!$B$18&amp;DOLLAR(HLOOKUP(Page5j_SANS_OBJECT!$D$56,VehTable,L1919),0)&amp;Comments!$B$19&amp;DOLLAR(Page5j_SANS_OBJECT!$M$32/Page5j_SANS_OBJECT!$K$32,0),"")</f>
        <v/>
      </c>
      <c r="I1919" s="1446" t="str">
        <f>IF(D1919=TRUE,Comments!$B$24,"")</f>
        <v/>
      </c>
      <c r="J1919" s="1446" t="str">
        <f>IF(E1919=TRUE,Comments!$B$22&amp;DOLLAR(INDEX(Min_Table,M1919),0)&amp;Comments!$B$18&amp;DOLLAR(INDEX(Max_Table,M1919),0)&amp;Comments!$B$19&amp;IFERROR(DOLLAR(Page5i_SANS_OBJECT!$M$32/Page5i_SANS_OBJECT!$K$32,0),0),"")</f>
        <v/>
      </c>
      <c r="K1919" s="1452"/>
      <c r="L1919" s="611">
        <f>ROW(OR_VEH!$A$667)</f>
        <v>667</v>
      </c>
      <c r="M1919" s="611">
        <f>ROW(OR_VEH!$A$481)</f>
        <v>481</v>
      </c>
      <c r="N1919" s="611" t="str">
        <f>"CPTE # "&amp;Page5j_SANS_OBJECT!$E$32&amp;"  "&amp;Page5j_SANS_OBJECT!$C$32&amp;" - COÛT DES VENTES - AAD"</f>
        <v>CPTE # 427J  NE PAS UTILISER - COÛT DES VENTES - AAD</v>
      </c>
      <c r="O1919" s="611" t="str">
        <f t="shared" si="261"/>
        <v/>
      </c>
      <c r="P1919" s="611" t="str">
        <f t="shared" si="255"/>
        <v>Page5j_SANS_OBJECT!M</v>
      </c>
      <c r="Q1919" s="611">
        <f t="shared" si="256"/>
        <v>32</v>
      </c>
      <c r="R1919" s="1447">
        <f t="shared" ca="1" si="257"/>
        <v>0</v>
      </c>
      <c r="S1919" s="1447">
        <f t="shared" ca="1" si="258"/>
        <v>0</v>
      </c>
      <c r="T1919" s="611">
        <v>22</v>
      </c>
      <c r="V1919" s="2557" t="str">
        <f t="shared" ca="1" si="260"/>
        <v/>
      </c>
      <c r="W1919" s="611" t="str">
        <f t="shared" ca="1" si="259"/>
        <v>Page5j_SANS_OBJECT, Ligne 29 [Page5j_SANS_OBJECT!M32]  -</v>
      </c>
    </row>
    <row r="1920" spans="1:23">
      <c r="A1920" s="1443" t="str">
        <f>celladdr(Page5j_SANS_OBJECT!M33)</f>
        <v>Page5j_SANS_OBJECT!M33</v>
      </c>
      <c r="B1920" s="1456" t="s">
        <v>1086</v>
      </c>
      <c r="C1920" s="1451" t="b">
        <f>IF(Page5j_SANS_OBJECT!$K$33=0,FALSE,OR(Page5j_SANS_OBJECT!$M$33/Page5j_SANS_OBJECT!$K$33&lt;INDEX(Min_Table,L1920),Page5j_SANS_OBJECT!$M$33/Page5j_SANS_OBJECT!$K$33&gt;INDEX(Max_Table,L1920)))</f>
        <v>0</v>
      </c>
      <c r="D1920" s="1454" t="b">
        <f>OR(AND(Page5j_SANS_OBJECT!$L33&lt;&gt;0,Page5j_SANS_OBJECT!$M33=0),AND(Page5j_SANS_OBJECT!$M33&lt;&gt;0,Page5j_SANS_OBJECT!$L33=0))</f>
        <v>0</v>
      </c>
      <c r="E1920" s="1454" t="b">
        <f>IF(Page5j_SANS_OBJECT!$K$33=0,FALSE,OR(Page5j_SANS_OBJECT!$M$33/Page5j_SANS_OBJECT!$K$33&lt;INDEX(Min_Table,M1920),Page5j_SANS_OBJECT!$M$33/Page5j_SANS_OBJECT!$K$33&gt;INDEX(Max_Table,M1920)))</f>
        <v>0</v>
      </c>
      <c r="F1920" s="1454"/>
      <c r="G1920" s="1444" t="str">
        <f t="shared" si="254"/>
        <v/>
      </c>
      <c r="H1920" s="1447" t="str">
        <f>IF(C1920=TRUE,Comments!$B$20&amp;DOLLAR(INDEX(Max_Table,L1920),0)&amp;Comments!$B$18&amp;DOLLAR(HLOOKUP(Page5j_SANS_OBJECT!$D$56,VehTable,L1920),0)&amp;Comments!$B$19&amp;DOLLAR(Page5j_SANS_OBJECT!$M$33/Page5j_SANS_OBJECT!$K$33,0),"")</f>
        <v/>
      </c>
      <c r="I1920" s="1446" t="str">
        <f>IF(D1920=TRUE,Comments!$B$24,"")</f>
        <v/>
      </c>
      <c r="J1920" s="1446" t="str">
        <f>IF(E1920=TRUE,Comments!$B$22&amp;DOLLAR(INDEX(Min_Table,M1920),0)&amp;Comments!$B$18&amp;DOLLAR(INDEX(Max_Table,M1920),0)&amp;Comments!$B$19&amp;IFERROR(DOLLAR(Page5i_SANS_OBJECT!$M$33/Page5i_SANS_OBJECT!$K$33,0),0),"")</f>
        <v/>
      </c>
      <c r="K1920" s="1452"/>
      <c r="L1920" s="611">
        <f>ROW(OR_VEH!$A$667)</f>
        <v>667</v>
      </c>
      <c r="M1920" s="611">
        <f>ROW(OR_VEH!$A$482)</f>
        <v>482</v>
      </c>
      <c r="N1920" s="611" t="str">
        <f>"CPTE # "&amp;Page5j_SANS_OBJECT!$E$33&amp;"  "&amp;Page5j_SANS_OBJECT!$C$33&amp;" - COÛT DES VENTES - AAD"</f>
        <v>CPTE # 428J  NE PAS UTILISER - COÛT DES VENTES - AAD</v>
      </c>
      <c r="O1920" s="611" t="str">
        <f t="shared" si="261"/>
        <v/>
      </c>
      <c r="P1920" s="611" t="str">
        <f t="shared" si="255"/>
        <v>Page5j_SANS_OBJECT!M</v>
      </c>
      <c r="Q1920" s="611">
        <f t="shared" si="256"/>
        <v>33</v>
      </c>
      <c r="R1920" s="1447">
        <f t="shared" ca="1" si="257"/>
        <v>0</v>
      </c>
      <c r="S1920" s="1447">
        <f t="shared" ca="1" si="258"/>
        <v>0</v>
      </c>
      <c r="T1920" s="611">
        <v>22</v>
      </c>
      <c r="V1920" s="2557" t="str">
        <f t="shared" ca="1" si="260"/>
        <v/>
      </c>
      <c r="W1920" s="611" t="str">
        <f t="shared" ca="1" si="259"/>
        <v>Page5j_SANS_OBJECT, Ligne 30 [Page5j_SANS_OBJECT!M33]  -</v>
      </c>
    </row>
    <row r="1921" spans="1:23">
      <c r="A1921" s="1443" t="str">
        <f>celladdr(Page5j_SANS_OBJECT!M34)</f>
        <v>Page5j_SANS_OBJECT!M34</v>
      </c>
      <c r="B1921" s="1456" t="s">
        <v>1086</v>
      </c>
      <c r="C1921" s="1451" t="b">
        <f>IF(Page5j_SANS_OBJECT!$K$34=0,FALSE,OR(Page5j_SANS_OBJECT!$M$34/Page5j_SANS_OBJECT!$K$34&lt;INDEX(Min_Table,L1921),Page5j_SANS_OBJECT!$M$34/Page5j_SANS_OBJECT!$K$34&gt;INDEX(Max_Table,L1921)))</f>
        <v>0</v>
      </c>
      <c r="D1921" s="1454" t="b">
        <f>OR(AND(Page5j_SANS_OBJECT!$L34&lt;&gt;0,Page5j_SANS_OBJECT!$M34=0),AND(Page5j_SANS_OBJECT!$M34&lt;&gt;0,Page5j_SANS_OBJECT!$L34=0))</f>
        <v>0</v>
      </c>
      <c r="E1921" s="1454" t="b">
        <f>IF(Page5j_SANS_OBJECT!$K$34=0,FALSE,OR(Page5j_SANS_OBJECT!$M$34/Page5j_SANS_OBJECT!$K$34&lt;INDEX(Min_Table,M1921),Page5j_SANS_OBJECT!$M$34/Page5j_SANS_OBJECT!$K$34&gt;INDEX(Max_Table,M1921)))</f>
        <v>0</v>
      </c>
      <c r="F1921" s="1454"/>
      <c r="G1921" s="1444" t="str">
        <f t="shared" si="254"/>
        <v/>
      </c>
      <c r="H1921" s="1447" t="str">
        <f>IF(C1921=TRUE,Comments!$B$20&amp;DOLLAR(INDEX(Max_Table,L1921),0)&amp;Comments!$B$18&amp;DOLLAR(HLOOKUP(Page5j_SANS_OBJECT!$D$56,VehTable,L1921),0)&amp;Comments!$B$19&amp;DOLLAR(Page5j_SANS_OBJECT!$M$34/Page5j_SANS_OBJECT!$K$34,0),"")</f>
        <v/>
      </c>
      <c r="I1921" s="1446" t="str">
        <f>IF(D1921=TRUE,Comments!$B$24,"")</f>
        <v/>
      </c>
      <c r="J1921" s="1446" t="str">
        <f>IF(E1921=TRUE,Comments!$B$22&amp;DOLLAR(INDEX(Min_Table,M1921),0)&amp;Comments!$B$18&amp;DOLLAR(INDEX(Max_Table,M1921),0)&amp;Comments!$B$19&amp;IFERROR(DOLLAR(Page5i_SANS_OBJECT!$M$34/Page5i_SANS_OBJECT!$K$34,0),0),"")</f>
        <v/>
      </c>
      <c r="K1921" s="1452"/>
      <c r="L1921" s="611">
        <f>ROW(OR_VEH!$A$667)</f>
        <v>667</v>
      </c>
      <c r="M1921" s="611">
        <f>ROW(OR_VEH!$A$483)</f>
        <v>483</v>
      </c>
      <c r="N1921" s="611" t="str">
        <f>"CPTE # "&amp;Page5j_SANS_OBJECT!$E$34&amp;"  "&amp;Page5j_SANS_OBJECT!$C$34&amp;" - COÛT DES VENTES - AAD"</f>
        <v>CPTE # 429J  NE PAS UTILISER - COÛT DES VENTES - AAD</v>
      </c>
      <c r="O1921" s="611" t="str">
        <f t="shared" si="261"/>
        <v/>
      </c>
      <c r="P1921" s="611" t="str">
        <f t="shared" si="255"/>
        <v>Page5j_SANS_OBJECT!M</v>
      </c>
      <c r="Q1921" s="611">
        <f t="shared" si="256"/>
        <v>34</v>
      </c>
      <c r="R1921" s="1447">
        <f t="shared" ca="1" si="257"/>
        <v>0</v>
      </c>
      <c r="S1921" s="1447">
        <f t="shared" ca="1" si="258"/>
        <v>0</v>
      </c>
      <c r="T1921" s="611">
        <v>22</v>
      </c>
      <c r="V1921" s="2557" t="str">
        <f t="shared" ca="1" si="260"/>
        <v/>
      </c>
      <c r="W1921" s="611" t="str">
        <f t="shared" ca="1" si="259"/>
        <v>Page5j_SANS_OBJECT, Ligne 31 [Page5j_SANS_OBJECT!M34]  -</v>
      </c>
    </row>
    <row r="1922" spans="1:23">
      <c r="A1922" s="1443" t="str">
        <f>celladdr(Page5j_SANS_OBJECT!M35)</f>
        <v>Page5j_SANS_OBJECT!M35</v>
      </c>
      <c r="B1922" s="1456" t="s">
        <v>1086</v>
      </c>
      <c r="C1922" s="1451" t="b">
        <f>IF(Page5j_SANS_OBJECT!$K$35=0,FALSE,OR(Page5j_SANS_OBJECT!$M$35/Page5j_SANS_OBJECT!$K$35&lt;INDEX(Min_Table,L1922),Page5j_SANS_OBJECT!$M$35/Page5j_SANS_OBJECT!$K$35&gt;INDEX(Max_Table,L1922)))</f>
        <v>0</v>
      </c>
      <c r="D1922" s="1454" t="b">
        <f>OR(AND(Page5j_SANS_OBJECT!$L35&lt;&gt;0,Page5j_SANS_OBJECT!$M35=0),AND(Page5j_SANS_OBJECT!$M35&lt;&gt;0,Page5j_SANS_OBJECT!$L35=0))</f>
        <v>0</v>
      </c>
      <c r="E1922" s="1454" t="b">
        <f>IF(Page5j_SANS_OBJECT!$K$35=0,FALSE,OR(Page5j_SANS_OBJECT!$M$35/Page5j_SANS_OBJECT!$K$35&lt;INDEX(Min_Table,M1922),Page5j_SANS_OBJECT!$M$35/Page5j_SANS_OBJECT!$K$35&gt;INDEX(Max_Table,M1922)))</f>
        <v>0</v>
      </c>
      <c r="F1922" s="1454"/>
      <c r="G1922" s="1444" t="str">
        <f t="shared" ref="G1922:G1985" si="262">IF(H1922&amp;I1922&amp;J1922&amp;K1922&lt;&gt;"","No.de ref. du commentaire.: "&amp;W1922&amp;" "&amp;N1922&amp;" "&amp;H1922&amp;I1922&amp;IF(OR(C1922=TRUE,D1922=TRUE),"",J1922&amp;K1922&amp;V1922),"")</f>
        <v/>
      </c>
      <c r="H1922" s="1447" t="str">
        <f>IF(C1922=TRUE,Comments!$B$20&amp;DOLLAR(INDEX(Max_Table,L1922),0)&amp;Comments!$B$18&amp;DOLLAR(HLOOKUP(Page5j_SANS_OBJECT!$D$56,VehTable,L1922),0)&amp;Comments!$B$19&amp;DOLLAR(Page5j_SANS_OBJECT!$M$35/Page5j_SANS_OBJECT!$K$35,0),"")</f>
        <v/>
      </c>
      <c r="I1922" s="1446" t="str">
        <f>IF(D1922=TRUE,Comments!$B$24,"")</f>
        <v/>
      </c>
      <c r="J1922" s="1446" t="str">
        <f>IF(E1922=TRUE,Comments!$B$22&amp;DOLLAR(INDEX(Min_Table,M1922),0)&amp;Comments!$B$18&amp;DOLLAR(INDEX(Max_Table,M1922),0)&amp;Comments!$B$19&amp;IFERROR(DOLLAR(Page5i_SANS_OBJECT!$M$35/Page5i_SANS_OBJECT!$K$35,0),0),"")</f>
        <v/>
      </c>
      <c r="K1922" s="1452"/>
      <c r="L1922" s="611">
        <f>ROW(OR_VEH!$A$667)</f>
        <v>667</v>
      </c>
      <c r="M1922" s="611">
        <f>ROW(OR_VEH!$A$484)</f>
        <v>484</v>
      </c>
      <c r="N1922" s="611" t="str">
        <f>"CPTE # "&amp;Page5j_SANS_OBJECT!$E$35&amp;"  "&amp;Page5j_SANS_OBJECT!$C$35&amp;" - COÛT DES VENTES - AAD"</f>
        <v>CPTE # 430J  NE PAS UTILISER - COÛT DES VENTES - AAD</v>
      </c>
      <c r="O1922" s="611" t="str">
        <f t="shared" si="261"/>
        <v/>
      </c>
      <c r="P1922" s="611" t="str">
        <f t="shared" ref="P1922:P1985" si="263">LEFT(A1922,FIND("!",A1922)+1)</f>
        <v>Page5j_SANS_OBJECT!M</v>
      </c>
      <c r="Q1922" s="611">
        <f t="shared" ref="Q1922:Q1985" si="264">VALUE(RIGHT(A1922,LEN(A1922)-FIND("!",A1922)-1))</f>
        <v>35</v>
      </c>
      <c r="R1922" s="1447">
        <f t="shared" ref="R1922:R1985" ca="1" si="265">IF(E1922=TRUE,INDIRECT("Comments!$D$"&amp;T1922),0)</f>
        <v>0</v>
      </c>
      <c r="S1922" s="1447">
        <f t="shared" ref="S1922:S1985" ca="1" si="266">IF(F1922=TRUE,INDIRECT("Comments!$D$"&amp;U1922),0)</f>
        <v>0</v>
      </c>
      <c r="T1922" s="611">
        <v>22</v>
      </c>
      <c r="V1922" s="2557" t="str">
        <f t="shared" ca="1" si="260"/>
        <v/>
      </c>
      <c r="W1922" s="611" t="str">
        <f t="shared" ref="W1922:W1985" ca="1" si="267">LEFT(A1922,FIND("!",A1922,1)-1)&amp;", Ligne "&amp;INDIRECT(ADDRESS(ROW(INDIRECT(A1922)),IF(INDIRECT(ADDRESS(ROW(INDIRECT(A1922)),1,,,LEFT(A1922,FIND("!",A1922,1)-1)))="",2,1),,,LEFT(A1922,FIND("!",A1922,1)-1)))&amp;" ["&amp;A1922&amp;"] "&amp;" -"</f>
        <v>Page5j_SANS_OBJECT, Ligne 32 [Page5j_SANS_OBJECT!M35]  -</v>
      </c>
    </row>
    <row r="1923" spans="1:23">
      <c r="A1923" s="1443" t="str">
        <f>celladdr(Page5j_SANS_OBJECT!M36)</f>
        <v>Page5j_SANS_OBJECT!M36</v>
      </c>
      <c r="B1923" s="1456" t="s">
        <v>1086</v>
      </c>
      <c r="C1923" s="1451" t="b">
        <f>IF(Page5j_SANS_OBJECT!$K$36=0,FALSE,OR(Page5j_SANS_OBJECT!$M$36/Page5j_SANS_OBJECT!$K$36&lt;INDEX(Min_Table,L1923),Page5j_SANS_OBJECT!$M$36/Page5j_SANS_OBJECT!$K$36&gt;INDEX(Max_Table,L1923)))</f>
        <v>0</v>
      </c>
      <c r="D1923" s="1454" t="b">
        <f>OR(AND(Page5j_SANS_OBJECT!$L36&lt;&gt;0,Page5j_SANS_OBJECT!$M36=0),AND(Page5j_SANS_OBJECT!$M36&lt;&gt;0,Page5j_SANS_OBJECT!$L36=0))</f>
        <v>0</v>
      </c>
      <c r="E1923" s="1454" t="b">
        <f>IF(Page5j_SANS_OBJECT!$K$36=0,FALSE,OR(Page5j_SANS_OBJECT!$M$36/Page5j_SANS_OBJECT!$K$36&lt;INDEX(Min_Table,M1923),Page5j_SANS_OBJECT!$M$36/Page5j_SANS_OBJECT!$K$36&gt;INDEX(Max_Table,M1923)))</f>
        <v>0</v>
      </c>
      <c r="F1923" s="1454"/>
      <c r="G1923" s="1444" t="str">
        <f t="shared" si="262"/>
        <v/>
      </c>
      <c r="H1923" s="1447" t="str">
        <f>IF(C1923=TRUE,Comments!$B$20&amp;DOLLAR(INDEX(Max_Table,L1923),0)&amp;Comments!$B$18&amp;DOLLAR(HLOOKUP(Page5j_SANS_OBJECT!$D$56,VehTable,L1923),0)&amp;Comments!$B$19&amp;DOLLAR(Page5j_SANS_OBJECT!$M$36/Page5j_SANS_OBJECT!$K$36,0),"")</f>
        <v/>
      </c>
      <c r="I1923" s="1446" t="str">
        <f>IF(D1923=TRUE,Comments!$B$24,"")</f>
        <v/>
      </c>
      <c r="J1923" s="1446" t="str">
        <f>IF(E1923=TRUE,Comments!$B$22&amp;DOLLAR(INDEX(Min_Table,M1923),0)&amp;Comments!$B$18&amp;DOLLAR(INDEX(Max_Table,M1923),0)&amp;Comments!$B$19&amp;IFERROR(DOLLAR(Page5i_SANS_OBJECT!$M$36/Page5i_SANS_OBJECT!$K$36,0),0),"")</f>
        <v/>
      </c>
      <c r="K1923" s="1452"/>
      <c r="L1923" s="611">
        <f>ROW(OR_VEH!$A$667)</f>
        <v>667</v>
      </c>
      <c r="M1923" s="611">
        <f>ROW(OR_VEH!$A$485)</f>
        <v>485</v>
      </c>
      <c r="N1923" s="611" t="str">
        <f>"CPTE # "&amp;Page5j_SANS_OBJECT!$E$36&amp;"  "&amp;Page5j_SANS_OBJECT!$C$36&amp;" - COÛT DES VENTES - AAD"</f>
        <v>CPTE # 431J  NE PAS UTILISER - COÛT DES VENTES - AAD</v>
      </c>
      <c r="O1923" s="611" t="str">
        <f t="shared" si="261"/>
        <v/>
      </c>
      <c r="P1923" s="611" t="str">
        <f t="shared" si="263"/>
        <v>Page5j_SANS_OBJECT!M</v>
      </c>
      <c r="Q1923" s="611">
        <f t="shared" si="264"/>
        <v>36</v>
      </c>
      <c r="R1923" s="1447">
        <f t="shared" ca="1" si="265"/>
        <v>0</v>
      </c>
      <c r="S1923" s="1447">
        <f t="shared" ca="1" si="266"/>
        <v>0</v>
      </c>
      <c r="T1923" s="611">
        <v>22</v>
      </c>
      <c r="V1923" s="2557" t="str">
        <f t="shared" ca="1" si="260"/>
        <v/>
      </c>
      <c r="W1923" s="611" t="str">
        <f t="shared" ca="1" si="267"/>
        <v>Page5j_SANS_OBJECT, Ligne 33 [Page5j_SANS_OBJECT!M36]  -</v>
      </c>
    </row>
    <row r="1924" spans="1:23">
      <c r="A1924" s="1443" t="str">
        <f>celladdr(Page5j_SANS_OBJECT!M37)</f>
        <v>Page5j_SANS_OBJECT!M37</v>
      </c>
      <c r="B1924" s="1456" t="s">
        <v>1086</v>
      </c>
      <c r="C1924" s="1451" t="b">
        <f>IF(Page5j_SANS_OBJECT!$K$37=0,FALSE,OR(Page5j_SANS_OBJECT!$M$37/Page5j_SANS_OBJECT!$K$37&lt;INDEX(Min_Table,L1924),Page5j_SANS_OBJECT!$M$37/Page5j_SANS_OBJECT!$K$37&gt;INDEX(Max_Table,L1924)))</f>
        <v>0</v>
      </c>
      <c r="D1924" s="1454" t="b">
        <f>OR(AND(Page5j_SANS_OBJECT!$L37&lt;&gt;0,Page5j_SANS_OBJECT!$M37=0),AND(Page5j_SANS_OBJECT!$M37&lt;&gt;0,Page5j_SANS_OBJECT!$L37=0))</f>
        <v>0</v>
      </c>
      <c r="E1924" s="1454" t="b">
        <f>IF(Page5j_SANS_OBJECT!$K$37=0,FALSE,OR(Page5j_SANS_OBJECT!$M$37/Page5j_SANS_OBJECT!$K$37&lt;INDEX(Min_Table,M1924),Page5j_SANS_OBJECT!$M$37/Page5j_SANS_OBJECT!$K$37&gt;INDEX(Max_Table,M1924)))</f>
        <v>0</v>
      </c>
      <c r="F1924" s="1454"/>
      <c r="G1924" s="1444" t="str">
        <f t="shared" si="262"/>
        <v/>
      </c>
      <c r="H1924" s="1447" t="str">
        <f>IF(C1924=TRUE,Comments!$B$20&amp;DOLLAR(INDEX(Max_Table,L1924),0)&amp;Comments!$B$18&amp;DOLLAR(HLOOKUP(Page5j_SANS_OBJECT!$D$56,VehTable,L1924),0)&amp;Comments!$B$19&amp;DOLLAR(Page5j_SANS_OBJECT!$M$37/Page5j_SANS_OBJECT!$K$37,0),"")</f>
        <v/>
      </c>
      <c r="I1924" s="1446" t="str">
        <f>IF(D1924=TRUE,Comments!$B$24,"")</f>
        <v/>
      </c>
      <c r="J1924" s="1446" t="str">
        <f>IF(E1924=TRUE,Comments!$B$22&amp;DOLLAR(INDEX(Min_Table,M1924),0)&amp;Comments!$B$18&amp;DOLLAR(INDEX(Max_Table,M1924),0)&amp;Comments!$B$19&amp;IFERROR(DOLLAR(Page5i_SANS_OBJECT!$M$37/Page5i_SANS_OBJECT!$K$37,0),0),"")</f>
        <v/>
      </c>
      <c r="K1924" s="1452"/>
      <c r="L1924" s="611">
        <f>ROW(OR_VEH!$A$667)</f>
        <v>667</v>
      </c>
      <c r="M1924" s="611">
        <f>ROW(OR_VEH!$A$486)</f>
        <v>486</v>
      </c>
      <c r="N1924" s="611" t="str">
        <f>"CPTE # "&amp;Page5j_SANS_OBJECT!$E$37&amp;"  "&amp;Page5j_SANS_OBJECT!$C$37&amp;" - COÛT DES VENTES - AAD"</f>
        <v>CPTE # 432J  NE PAS UTILISER - COÛT DES VENTES - AAD</v>
      </c>
      <c r="O1924" s="611" t="str">
        <f t="shared" si="261"/>
        <v/>
      </c>
      <c r="P1924" s="611" t="str">
        <f t="shared" si="263"/>
        <v>Page5j_SANS_OBJECT!M</v>
      </c>
      <c r="Q1924" s="611">
        <f t="shared" si="264"/>
        <v>37</v>
      </c>
      <c r="R1924" s="1447">
        <f t="shared" ca="1" si="265"/>
        <v>0</v>
      </c>
      <c r="S1924" s="1447">
        <f t="shared" ca="1" si="266"/>
        <v>0</v>
      </c>
      <c r="T1924" s="611">
        <v>22</v>
      </c>
      <c r="V1924" s="2557" t="str">
        <f t="shared" ca="1" si="260"/>
        <v/>
      </c>
      <c r="W1924" s="611" t="str">
        <f t="shared" ca="1" si="267"/>
        <v>Page5j_SANS_OBJECT, Ligne 34 [Page5j_SANS_OBJECT!M37]  -</v>
      </c>
    </row>
    <row r="1925" spans="1:23">
      <c r="A1925" s="1443" t="str">
        <f>celladdr(Page5j_SANS_OBJECT!M38)</f>
        <v>Page5j_SANS_OBJECT!M38</v>
      </c>
      <c r="B1925" s="1456" t="s">
        <v>1086</v>
      </c>
      <c r="C1925" s="1451" t="b">
        <f>IF(Page5j_SANS_OBJECT!$K$38=0,FALSE,OR(Page5j_SANS_OBJECT!$M$38/Page5j_SANS_OBJECT!$K$38&lt;INDEX(Min_Table,L1925),Page5j_SANS_OBJECT!$M$38/Page5j_SANS_OBJECT!$K$38&gt;INDEX(Max_Table,L1925)))</f>
        <v>0</v>
      </c>
      <c r="D1925" s="1454" t="b">
        <f>OR(AND(Page5j_SANS_OBJECT!$L38&lt;&gt;0,Page5j_SANS_OBJECT!$M38=0),AND(Page5j_SANS_OBJECT!$M38&lt;&gt;0,Page5j_SANS_OBJECT!$L38=0))</f>
        <v>0</v>
      </c>
      <c r="E1925" s="1454" t="b">
        <f>IF(Page5j_SANS_OBJECT!$K$38=0,FALSE,OR(Page5j_SANS_OBJECT!$M$38/Page5j_SANS_OBJECT!$K$38&lt;INDEX(Min_Table,M1925),Page5j_SANS_OBJECT!$M$38/Page5j_SANS_OBJECT!$K$38&gt;INDEX(Max_Table,M1925)))</f>
        <v>0</v>
      </c>
      <c r="F1925" s="1454"/>
      <c r="G1925" s="1444" t="str">
        <f t="shared" si="262"/>
        <v/>
      </c>
      <c r="H1925" s="1447" t="str">
        <f>IF(C1925=TRUE,Comments!$B$20&amp;DOLLAR(INDEX(Max_Table,L1925),0)&amp;Comments!$B$18&amp;DOLLAR(HLOOKUP(Page5j_SANS_OBJECT!$D$56,VehTable,L1925),0)&amp;Comments!$B$19&amp;DOLLAR(Page5j_SANS_OBJECT!$M$38/Page5j_SANS_OBJECT!$K$38,0),"")</f>
        <v/>
      </c>
      <c r="I1925" s="1446" t="str">
        <f>IF(D1925=TRUE,Comments!$B$24,"")</f>
        <v/>
      </c>
      <c r="J1925" s="1446" t="str">
        <f>IF(E1925=TRUE,Comments!$B$22&amp;DOLLAR(INDEX(Min_Table,M1925),0)&amp;Comments!$B$18&amp;DOLLAR(INDEX(Max_Table,M1925),0)&amp;Comments!$B$19&amp;IFERROR(DOLLAR(Page5i_SANS_OBJECT!$M$38/Page5i_SANS_OBJECT!$K$38,0),0),"")</f>
        <v/>
      </c>
      <c r="K1925" s="1452"/>
      <c r="L1925" s="611">
        <f>ROW(OR_VEH!$A$667)</f>
        <v>667</v>
      </c>
      <c r="M1925" s="611">
        <f>ROW(OR_VEH!$A$487)</f>
        <v>487</v>
      </c>
      <c r="N1925" s="611" t="str">
        <f>"CPTE # "&amp;Page5j_SANS_OBJECT!$E$38&amp;"  "&amp;Page5j_SANS_OBJECT!$C$38&amp;" - COÛT DES VENTES - AAD"</f>
        <v>CPTE # 433J  NE PAS UTILISER - COÛT DES VENTES - AAD</v>
      </c>
      <c r="O1925" s="611" t="str">
        <f t="shared" si="261"/>
        <v/>
      </c>
      <c r="P1925" s="611" t="str">
        <f t="shared" si="263"/>
        <v>Page5j_SANS_OBJECT!M</v>
      </c>
      <c r="Q1925" s="611">
        <f t="shared" si="264"/>
        <v>38</v>
      </c>
      <c r="R1925" s="1447">
        <f t="shared" ca="1" si="265"/>
        <v>0</v>
      </c>
      <c r="S1925" s="1447">
        <f t="shared" ca="1" si="266"/>
        <v>0</v>
      </c>
      <c r="T1925" s="611">
        <v>22</v>
      </c>
      <c r="V1925" s="2557" t="str">
        <f t="shared" ca="1" si="260"/>
        <v/>
      </c>
      <c r="W1925" s="611" t="str">
        <f t="shared" ca="1" si="267"/>
        <v>Page5j_SANS_OBJECT, Ligne 35 [Page5j_SANS_OBJECT!M38]  -</v>
      </c>
    </row>
    <row r="1926" spans="1:23">
      <c r="A1926" s="1443" t="str">
        <f>celladdr(Page5j_SANS_OBJECT!M39)</f>
        <v>Page5j_SANS_OBJECT!M39</v>
      </c>
      <c r="B1926" s="1456" t="s">
        <v>1086</v>
      </c>
      <c r="C1926" s="1451" t="b">
        <f>IF(Page5j_SANS_OBJECT!$K$39=0,FALSE,OR(Page5j_SANS_OBJECT!$M$39/Page5j_SANS_OBJECT!$K$39&lt;INDEX(Min_Table,L1926),Page5j_SANS_OBJECT!$M$39/Page5j_SANS_OBJECT!$K$39&gt;INDEX(Max_Table,L1926)))</f>
        <v>0</v>
      </c>
      <c r="D1926" s="1454" t="b">
        <f>OR(AND(Page5j_SANS_OBJECT!$L39&lt;&gt;0,Page5j_SANS_OBJECT!$M39=0),AND(Page5j_SANS_OBJECT!$M39&lt;&gt;0,Page5j_SANS_OBJECT!$L39=0))</f>
        <v>0</v>
      </c>
      <c r="E1926" s="1454" t="b">
        <f>IF(Page5j_SANS_OBJECT!$K$39=0,FALSE,OR(Page5j_SANS_OBJECT!$M$39/Page5j_SANS_OBJECT!$K$39&lt;INDEX(Min_Table,M1926),Page5j_SANS_OBJECT!$M$39/Page5j_SANS_OBJECT!$K$39&gt;INDEX(Max_Table,M1926)))</f>
        <v>0</v>
      </c>
      <c r="F1926" s="1454"/>
      <c r="G1926" s="1444" t="str">
        <f t="shared" si="262"/>
        <v/>
      </c>
      <c r="H1926" s="1447" t="str">
        <f>IF(C1926=TRUE,Comments!$B$20&amp;DOLLAR(INDEX(Max_Table,L1926),0)&amp;Comments!$B$18&amp;DOLLAR(HLOOKUP(Page5j_SANS_OBJECT!$D$56,VehTable,L1926),0)&amp;Comments!$B$19&amp;DOLLAR(Page5j_SANS_OBJECT!$M$39/Page5j_SANS_OBJECT!$K$39,0),"")</f>
        <v/>
      </c>
      <c r="I1926" s="1446" t="str">
        <f>IF(D1926=TRUE,Comments!$B$24,"")</f>
        <v/>
      </c>
      <c r="J1926" s="1446" t="str">
        <f>IF(E1926=TRUE,Comments!$B$22&amp;DOLLAR(INDEX(Min_Table,M1926),0)&amp;Comments!$B$18&amp;DOLLAR(INDEX(Max_Table,M1926),0)&amp;Comments!$B$19&amp;IFERROR(DOLLAR(Page5i_SANS_OBJECT!$M$39/Page5i_SANS_OBJECT!$K$39,0),0),"")</f>
        <v/>
      </c>
      <c r="K1926" s="1452"/>
      <c r="L1926" s="611">
        <f>ROW(OR_VEH!$A$667)</f>
        <v>667</v>
      </c>
      <c r="M1926" s="611">
        <f>ROW(OR_VEH!$A$488)</f>
        <v>488</v>
      </c>
      <c r="N1926" s="611" t="str">
        <f>"CPTE # "&amp;Page5j_SANS_OBJECT!$E$39&amp;"  "&amp;Page5j_SANS_OBJECT!$C$39&amp;" - COÛT DES VENTES - AAD"</f>
        <v>CPTE # 434J  NE PAS UTILISER - COÛT DES VENTES - AAD</v>
      </c>
      <c r="O1926" s="611" t="str">
        <f t="shared" si="261"/>
        <v/>
      </c>
      <c r="P1926" s="611" t="str">
        <f t="shared" si="263"/>
        <v>Page5j_SANS_OBJECT!M</v>
      </c>
      <c r="Q1926" s="611">
        <f t="shared" si="264"/>
        <v>39</v>
      </c>
      <c r="R1926" s="1447">
        <f t="shared" ca="1" si="265"/>
        <v>0</v>
      </c>
      <c r="S1926" s="1447">
        <f t="shared" ca="1" si="266"/>
        <v>0</v>
      </c>
      <c r="T1926" s="611">
        <v>22</v>
      </c>
      <c r="V1926" s="2557" t="str">
        <f t="shared" ca="1" si="260"/>
        <v/>
      </c>
      <c r="W1926" s="611" t="str">
        <f t="shared" ca="1" si="267"/>
        <v>Page5j_SANS_OBJECT, Ligne 36 [Page5j_SANS_OBJECT!M39]  -</v>
      </c>
    </row>
    <row r="1927" spans="1:23">
      <c r="A1927" s="1443" t="str">
        <f>celladdr(Page5j_SANS_OBJECT!M40)</f>
        <v>Page5j_SANS_OBJECT!M40</v>
      </c>
      <c r="B1927" s="1456" t="s">
        <v>1086</v>
      </c>
      <c r="C1927" s="1451" t="b">
        <f>IF(Page5j_SANS_OBJECT!$K$40=0,FALSE,OR(Page5j_SANS_OBJECT!$M$40/Page5j_SANS_OBJECT!$K$40&lt;INDEX(Min_Table,L1927),Page5j_SANS_OBJECT!$M$40/Page5j_SANS_OBJECT!$K$40&gt;INDEX(Max_Table,L1927)))</f>
        <v>0</v>
      </c>
      <c r="D1927" s="1454" t="b">
        <f>OR(AND(Page5j_SANS_OBJECT!$L40&lt;&gt;0,Page5j_SANS_OBJECT!$M40=0),AND(Page5j_SANS_OBJECT!$M40&lt;&gt;0,Page5j_SANS_OBJECT!$L40=0))</f>
        <v>0</v>
      </c>
      <c r="E1927" s="1454" t="b">
        <f>IF(Page5j_SANS_OBJECT!$K$40=0,FALSE,OR(Page5j_SANS_OBJECT!$M$40/Page5j_SANS_OBJECT!$K$40&lt;INDEX(Min_Table,M1927),Page5j_SANS_OBJECT!$M$40/Page5j_SANS_OBJECT!$K$40&gt;INDEX(Max_Table,M1927)))</f>
        <v>0</v>
      </c>
      <c r="F1927" s="1454"/>
      <c r="G1927" s="1444" t="str">
        <f t="shared" si="262"/>
        <v/>
      </c>
      <c r="H1927" s="1447" t="str">
        <f>IF(C1927=TRUE,Comments!$B$20&amp;DOLLAR(INDEX(Max_Table,L1927),0)&amp;Comments!$B$18&amp;DOLLAR(HLOOKUP(Page5j_SANS_OBJECT!$D$56,VehTable,L1927),0)&amp;Comments!$B$19&amp;DOLLAR(Page5j_SANS_OBJECT!$M$40/Page5j_SANS_OBJECT!$K$40,0),"")</f>
        <v/>
      </c>
      <c r="I1927" s="1446" t="str">
        <f>IF(D1927=TRUE,Comments!$B$24,"")</f>
        <v/>
      </c>
      <c r="J1927" s="1446" t="str">
        <f>IF(E1927=TRUE,Comments!$B$22&amp;DOLLAR(INDEX(Min_Table,M1927),0)&amp;Comments!$B$18&amp;DOLLAR(INDEX(Max_Table,M1927),0)&amp;Comments!$B$19&amp;IFERROR(DOLLAR(Page5i_SANS_OBJECT!$M$40/Page5i_SANS_OBJECT!$K$40,0),0),"")</f>
        <v/>
      </c>
      <c r="K1927" s="1452"/>
      <c r="L1927" s="611">
        <f>ROW(OR_VEH!$A$667)</f>
        <v>667</v>
      </c>
      <c r="M1927" s="611">
        <f>ROW(OR_VEH!$A$489)</f>
        <v>489</v>
      </c>
      <c r="N1927" s="611" t="str">
        <f>"CPTE # "&amp;Page5j_SANS_OBJECT!$E$40&amp;"  "&amp;Page5j_SANS_OBJECT!$C$40&amp;" - COÛT DES VENTES - AAD"</f>
        <v>CPTE # 435J  NE PAS UTILISER - COÛT DES VENTES - AAD</v>
      </c>
      <c r="O1927" s="611" t="str">
        <f t="shared" si="261"/>
        <v/>
      </c>
      <c r="P1927" s="611" t="str">
        <f t="shared" si="263"/>
        <v>Page5j_SANS_OBJECT!M</v>
      </c>
      <c r="Q1927" s="611">
        <f t="shared" si="264"/>
        <v>40</v>
      </c>
      <c r="R1927" s="1447">
        <f t="shared" ca="1" si="265"/>
        <v>0</v>
      </c>
      <c r="S1927" s="1447">
        <f t="shared" ca="1" si="266"/>
        <v>0</v>
      </c>
      <c r="T1927" s="611">
        <v>22</v>
      </c>
      <c r="V1927" s="2557" t="str">
        <f t="shared" ca="1" si="260"/>
        <v/>
      </c>
      <c r="W1927" s="611" t="str">
        <f t="shared" ca="1" si="267"/>
        <v>Page5j_SANS_OBJECT, Ligne 37 [Page5j_SANS_OBJECT!M40]  -</v>
      </c>
    </row>
    <row r="1928" spans="1:23">
      <c r="A1928" s="1443" t="str">
        <f>celladdr(Page5j_SANS_OBJECT!M41)</f>
        <v>Page5j_SANS_OBJECT!M41</v>
      </c>
      <c r="B1928" s="1456" t="s">
        <v>1086</v>
      </c>
      <c r="C1928" s="1451" t="b">
        <f>IF(Page5j_SANS_OBJECT!$K$41=0,FALSE,OR(Page5j_SANS_OBJECT!$M$41/Page5j_SANS_OBJECT!$K$41&lt;INDEX(Min_Table,L1928),Page5j_SANS_OBJECT!$M$41/Page5j_SANS_OBJECT!$K$41&gt;INDEX(Max_Table,L1928)))</f>
        <v>0</v>
      </c>
      <c r="D1928" s="1454" t="b">
        <f>OR(AND(Page5j_SANS_OBJECT!$L41&lt;&gt;0,Page5j_SANS_OBJECT!$M41=0),AND(Page5j_SANS_OBJECT!$M41&lt;&gt;0,Page5j_SANS_OBJECT!$L41=0))</f>
        <v>0</v>
      </c>
      <c r="E1928" s="1454" t="b">
        <f>IF(Page5j_SANS_OBJECT!$K$41=0,FALSE,OR(Page5j_SANS_OBJECT!$M$41/Page5j_SANS_OBJECT!$K$41&lt;INDEX(Min_Table,M1928),Page5j_SANS_OBJECT!$M$41/Page5j_SANS_OBJECT!$K$41&gt;INDEX(Max_Table,M1928)))</f>
        <v>0</v>
      </c>
      <c r="F1928" s="1454"/>
      <c r="G1928" s="1444" t="str">
        <f t="shared" si="262"/>
        <v/>
      </c>
      <c r="H1928" s="1447" t="str">
        <f>IF(C1928=TRUE,Comments!$B$20&amp;DOLLAR(INDEX(Max_Table,L1928),0)&amp;Comments!$B$18&amp;DOLLAR(HLOOKUP(Page5j_SANS_OBJECT!$D$56,VehTable,L1928),0)&amp;Comments!$B$19&amp;DOLLAR(Page5j_SANS_OBJECT!$M$41/Page5j_SANS_OBJECT!$K$41,0),"")</f>
        <v/>
      </c>
      <c r="I1928" s="1446" t="str">
        <f>IF(D1928=TRUE,Comments!$B$24,"")</f>
        <v/>
      </c>
      <c r="J1928" s="1446" t="str">
        <f>IF(E1928=TRUE,Comments!$B$22&amp;DOLLAR(INDEX(Min_Table,M1928),0)&amp;Comments!$B$18&amp;DOLLAR(INDEX(Max_Table,M1928),0)&amp;Comments!$B$19&amp;IFERROR(DOLLAR(Page5i_SANS_OBJECT!$M$41/Page5i_SANS_OBJECT!$K$41,0),0),"")</f>
        <v/>
      </c>
      <c r="K1928" s="1452"/>
      <c r="L1928" s="611">
        <f>ROW(OR_VEH!$A$667)</f>
        <v>667</v>
      </c>
      <c r="M1928" s="611">
        <f>ROW(OR_VEH!$A$490)</f>
        <v>490</v>
      </c>
      <c r="N1928" s="611" t="str">
        <f>"CPTE # "&amp;Page5j_SANS_OBJECT!$E$41&amp;"  "&amp;Page5j_SANS_OBJECT!$C$41&amp;" - COÛT DES VENTES - AAD"</f>
        <v>CPTE # 436J  NE PAS UTILISER - COÛT DES VENTES - AAD</v>
      </c>
      <c r="O1928" s="611" t="str">
        <f t="shared" si="261"/>
        <v/>
      </c>
      <c r="P1928" s="611" t="str">
        <f t="shared" si="263"/>
        <v>Page5j_SANS_OBJECT!M</v>
      </c>
      <c r="Q1928" s="611">
        <f t="shared" si="264"/>
        <v>41</v>
      </c>
      <c r="R1928" s="1447">
        <f t="shared" ca="1" si="265"/>
        <v>0</v>
      </c>
      <c r="S1928" s="1447">
        <f t="shared" ca="1" si="266"/>
        <v>0</v>
      </c>
      <c r="T1928" s="611">
        <v>22</v>
      </c>
      <c r="V1928" s="2557" t="str">
        <f t="shared" ca="1" si="260"/>
        <v/>
      </c>
      <c r="W1928" s="611" t="str">
        <f t="shared" ca="1" si="267"/>
        <v>Page5j_SANS_OBJECT, Ligne 38 [Page5j_SANS_OBJECT!M41]  -</v>
      </c>
    </row>
    <row r="1929" spans="1:23">
      <c r="A1929" s="1443" t="str">
        <f>celladdr(Page5j_SANS_OBJECT!M42)</f>
        <v>Page5j_SANS_OBJECT!M42</v>
      </c>
      <c r="B1929" s="1456" t="s">
        <v>1086</v>
      </c>
      <c r="C1929" s="1451" t="b">
        <f>IF(Page5j_SANS_OBJECT!$K$42=0,FALSE,OR(Page5j_SANS_OBJECT!$M$42/Page5j_SANS_OBJECT!$K$42&lt;INDEX(Min_Table,L1929),Page5j_SANS_OBJECT!$M$42/Page5j_SANS_OBJECT!$K$42&gt;INDEX(Max_Table,L1929)))</f>
        <v>0</v>
      </c>
      <c r="D1929" s="1454" t="b">
        <f>OR(AND(Page5j_SANS_OBJECT!$L42&lt;&gt;0,Page5j_SANS_OBJECT!$M42=0),AND(Page5j_SANS_OBJECT!$M42&lt;&gt;0,Page5j_SANS_OBJECT!$L42=0))</f>
        <v>0</v>
      </c>
      <c r="E1929" s="1454" t="b">
        <f>IF(Page5j_SANS_OBJECT!$K$42=0,FALSE,OR(Page5j_SANS_OBJECT!$M$42/Page5j_SANS_OBJECT!$K$42&lt;INDEX(Min_Table,M1929),Page5j_SANS_OBJECT!$M$42/Page5j_SANS_OBJECT!$K$42&gt;INDEX(Max_Table,M1929)))</f>
        <v>0</v>
      </c>
      <c r="F1929" s="1454"/>
      <c r="G1929" s="1444" t="str">
        <f t="shared" si="262"/>
        <v/>
      </c>
      <c r="H1929" s="1447" t="str">
        <f>IF(C1929=TRUE,Comments!$B$20&amp;DOLLAR(INDEX(Max_Table,L1929),0)&amp;Comments!$B$18&amp;DOLLAR(HLOOKUP(Page5j_SANS_OBJECT!$D$56,VehTable,L1929),0)&amp;Comments!$B$19&amp;DOLLAR(Page5j_SANS_OBJECT!$M$42/Page5j_SANS_OBJECT!$K$42,0),"")</f>
        <v/>
      </c>
      <c r="I1929" s="1446" t="str">
        <f>IF(D1929=TRUE,Comments!$B$24,"")</f>
        <v/>
      </c>
      <c r="J1929" s="1446" t="str">
        <f>IF(E1929=TRUE,Comments!$B$22&amp;DOLLAR(INDEX(Min_Table,M1929),0)&amp;Comments!$B$18&amp;DOLLAR(INDEX(Max_Table,M1929),0)&amp;Comments!$B$19&amp;IFERROR(DOLLAR(Page5i_SANS_OBJECT!$M$42/Page5i_SANS_OBJECT!$K$42,0),0),"")</f>
        <v/>
      </c>
      <c r="K1929" s="1452"/>
      <c r="L1929" s="611">
        <f>ROW(OR_VEH!$A$667)</f>
        <v>667</v>
      </c>
      <c r="M1929" s="611">
        <f>ROW(OR_VEH!$A$491)</f>
        <v>491</v>
      </c>
      <c r="N1929" s="611" t="str">
        <f>"CPTE # "&amp;Page5j_SANS_OBJECT!$E$42&amp;"  "&amp;Page5j_SANS_OBJECT!$C$42&amp;" - COÛT DES VENTES - AAD"</f>
        <v>CPTE # 437J  NE PAS UTILISER - COÛT DES VENTES - AAD</v>
      </c>
      <c r="O1929" s="611" t="str">
        <f t="shared" si="261"/>
        <v/>
      </c>
      <c r="P1929" s="611" t="str">
        <f t="shared" si="263"/>
        <v>Page5j_SANS_OBJECT!M</v>
      </c>
      <c r="Q1929" s="611">
        <f t="shared" si="264"/>
        <v>42</v>
      </c>
      <c r="R1929" s="1447">
        <f t="shared" ca="1" si="265"/>
        <v>0</v>
      </c>
      <c r="S1929" s="1447">
        <f t="shared" ca="1" si="266"/>
        <v>0</v>
      </c>
      <c r="T1929" s="611">
        <v>22</v>
      </c>
      <c r="V1929" s="2557" t="str">
        <f t="shared" ca="1" si="260"/>
        <v/>
      </c>
      <c r="W1929" s="611" t="str">
        <f t="shared" ca="1" si="267"/>
        <v>Page5j_SANS_OBJECT, Ligne 39 [Page5j_SANS_OBJECT!M42]  -</v>
      </c>
    </row>
    <row r="1930" spans="1:23">
      <c r="A1930" s="1443" t="str">
        <f>celladdr(Page5j_SANS_OBJECT!M43)</f>
        <v>Page5j_SANS_OBJECT!M43</v>
      </c>
      <c r="B1930" s="1456" t="s">
        <v>1086</v>
      </c>
      <c r="C1930" s="1451" t="b">
        <f>IF(Page5j_SANS_OBJECT!$K$43=0,FALSE,OR(Page5j_SANS_OBJECT!$M$43/Page5j_SANS_OBJECT!$K$43&lt;INDEX(Min_Table,L1930),Page5j_SANS_OBJECT!$M$43/Page5j_SANS_OBJECT!$K$43&gt;INDEX(Max_Table,L1930)))</f>
        <v>0</v>
      </c>
      <c r="D1930" s="1454" t="b">
        <f>OR(AND(Page5j_SANS_OBJECT!$L43&lt;&gt;0,Page5j_SANS_OBJECT!$M43=0),AND(Page5j_SANS_OBJECT!$M43&lt;&gt;0,Page5j_SANS_OBJECT!$L43=0))</f>
        <v>0</v>
      </c>
      <c r="E1930" s="1454" t="b">
        <f>IF(Page5j_SANS_OBJECT!$K$43=0,FALSE,OR(Page5j_SANS_OBJECT!$M$43/Page5j_SANS_OBJECT!$K$43&lt;INDEX(Min_Table,M1930),Page5j_SANS_OBJECT!$M$43/Page5j_SANS_OBJECT!$K$43&gt;INDEX(Max_Table,M1930)))</f>
        <v>0</v>
      </c>
      <c r="F1930" s="1454"/>
      <c r="G1930" s="1444" t="str">
        <f t="shared" si="262"/>
        <v/>
      </c>
      <c r="H1930" s="1447" t="str">
        <f>IF(C1930=TRUE,Comments!$B$20&amp;DOLLAR(INDEX(Max_Table,L1930),0)&amp;Comments!$B$18&amp;DOLLAR(HLOOKUP(Page5j_SANS_OBJECT!$D$56,VehTable,L1930),0)&amp;Comments!$B$19&amp;DOLLAR(Page5j_SANS_OBJECT!$M$43/Page5j_SANS_OBJECT!$K$43,0),"")</f>
        <v/>
      </c>
      <c r="I1930" s="1446" t="str">
        <f>IF(D1930=TRUE,Comments!$B$24,"")</f>
        <v/>
      </c>
      <c r="J1930" s="1446" t="str">
        <f>IF(E1930=TRUE,Comments!$B$22&amp;DOLLAR(INDEX(Min_Table,M1930),0)&amp;Comments!$B$18&amp;DOLLAR(INDEX(Max_Table,M1930),0)&amp;Comments!$B$19&amp;IFERROR(DOLLAR(Page5i_SANS_OBJECT!$M$43/Page5i_SANS_OBJECT!$K$43,0),0),"")</f>
        <v/>
      </c>
      <c r="K1930" s="1452"/>
      <c r="L1930" s="611">
        <f>ROW(OR_VEH!$A$667)</f>
        <v>667</v>
      </c>
      <c r="M1930" s="611">
        <f>ROW(OR_VEH!$A$492)</f>
        <v>492</v>
      </c>
      <c r="N1930" s="611" t="str">
        <f>"CPTE # "&amp;Page5j_SANS_OBJECT!$E$43&amp;"  "&amp;Page5j_SANS_OBJECT!$C$43&amp;" - COÛT DES VENTES - AAD"</f>
        <v>CPTE # 438J  NE PAS UTILISER - COÛT DES VENTES - AAD</v>
      </c>
      <c r="O1930" s="611" t="str">
        <f t="shared" si="261"/>
        <v/>
      </c>
      <c r="P1930" s="611" t="str">
        <f t="shared" si="263"/>
        <v>Page5j_SANS_OBJECT!M</v>
      </c>
      <c r="Q1930" s="611">
        <f t="shared" si="264"/>
        <v>43</v>
      </c>
      <c r="R1930" s="1447">
        <f t="shared" ca="1" si="265"/>
        <v>0</v>
      </c>
      <c r="S1930" s="1447">
        <f t="shared" ca="1" si="266"/>
        <v>0</v>
      </c>
      <c r="T1930" s="611">
        <v>22</v>
      </c>
      <c r="V1930" s="2557" t="str">
        <f t="shared" ca="1" si="260"/>
        <v/>
      </c>
      <c r="W1930" s="611" t="str">
        <f t="shared" ca="1" si="267"/>
        <v>Page5j_SANS_OBJECT, Ligne 40 [Page5j_SANS_OBJECT!M43]  -</v>
      </c>
    </row>
    <row r="1931" spans="1:23">
      <c r="A1931" s="1443" t="str">
        <f>celladdr(Page5j_SANS_OBJECT!M44)</f>
        <v>Page5j_SANS_OBJECT!M44</v>
      </c>
      <c r="B1931" s="1444" t="s">
        <v>1086</v>
      </c>
      <c r="C1931" s="1451"/>
      <c r="D1931" s="1454"/>
      <c r="E1931" s="1454"/>
      <c r="F1931" s="1454"/>
      <c r="G1931" s="1444" t="str">
        <f t="shared" si="262"/>
        <v/>
      </c>
      <c r="H1931" s="1447" t="str">
        <f>IF(C1931=TRUE,Comments!$B$26,"")</f>
        <v/>
      </c>
      <c r="I1931" s="1446" t="str">
        <f>IF(D1931=TRUE,Comments!$B$24,"")</f>
        <v/>
      </c>
      <c r="J1931" s="1446"/>
      <c r="K1931" s="1452"/>
      <c r="O1931" s="611" t="str">
        <f t="shared" si="261"/>
        <v/>
      </c>
      <c r="P1931" s="611" t="str">
        <f t="shared" si="263"/>
        <v>Page5j_SANS_OBJECT!M</v>
      </c>
      <c r="Q1931" s="611">
        <f t="shared" si="264"/>
        <v>44</v>
      </c>
      <c r="R1931" s="1447">
        <f t="shared" ca="1" si="265"/>
        <v>0</v>
      </c>
      <c r="S1931" s="1447">
        <f t="shared" ca="1" si="266"/>
        <v>0</v>
      </c>
      <c r="V1931" s="2557" t="str">
        <f t="shared" ca="1" si="260"/>
        <v/>
      </c>
      <c r="W1931" s="611" t="str">
        <f t="shared" ca="1" si="267"/>
        <v>Page5j_SANS_OBJECT, Ligne 41 [Page5j_SANS_OBJECT!M44]  -</v>
      </c>
    </row>
    <row r="1932" spans="1:23">
      <c r="A1932" s="1443" t="str">
        <f>celladdr(Page5j_SANS_OBJECT!M45)</f>
        <v>Page5j_SANS_OBJECT!M45</v>
      </c>
      <c r="B1932" s="1456" t="s">
        <v>1086</v>
      </c>
      <c r="C1932" s="1451" t="b">
        <f>IF(Page5j_SANS_OBJECT!$K$45=0,FALSE,OR(Page5j_SANS_OBJECT!$M$45/Page5j_SANS_OBJECT!$K$45&lt;INDEX(Min_Table,L1932),Page5j_SANS_OBJECT!$M$45/Page5j_SANS_OBJECT!$K$45&gt;INDEX(Max_Table,L1932)))</f>
        <v>0</v>
      </c>
      <c r="D1932" s="1454" t="b">
        <f>OR(AND(Page5j_SANS_OBJECT!$L45&lt;&gt;0,Page5j_SANS_OBJECT!$M45=0),AND(Page5j_SANS_OBJECT!$M45&lt;&gt;0,Page5j_SANS_OBJECT!$L45=0))</f>
        <v>0</v>
      </c>
      <c r="E1932" s="1454" t="b">
        <f>IF(Page5j_SANS_OBJECT!$K$45=0,FALSE,OR(Page5j_SANS_OBJECT!$M$45/Page5j_SANS_OBJECT!$K$45&lt;INDEX(Min_Table,M1932),Page5j_SANS_OBJECT!$M$45/Page5j_SANS_OBJECT!$K$45&gt;INDEX(Max_Table,M1932)))</f>
        <v>0</v>
      </c>
      <c r="F1932" s="1454"/>
      <c r="G1932" s="1444" t="str">
        <f t="shared" si="262"/>
        <v/>
      </c>
      <c r="H1932" s="1447" t="str">
        <f>IF(C1932=TRUE,Comments!$B$20&amp;DOLLAR(INDEX(Max_Table,L1932),0)&amp;Comments!$B$18&amp;DOLLAR(HLOOKUP(Page5j_SANS_OBJECT!$D$56,VehTable,L1932),0)&amp;Comments!$B$19&amp;DOLLAR(Page5j_SANS_OBJECT!$M$45/Page5j_SANS_OBJECT!$K$45,0),"")</f>
        <v/>
      </c>
      <c r="I1932" s="1446" t="str">
        <f>IF(D1932=TRUE,Comments!$B$24,"")</f>
        <v/>
      </c>
      <c r="J1932" s="1446" t="str">
        <f>IF(E1932=TRUE,Comments!$B$22&amp;DOLLAR(INDEX(Min_Table,M1932),0)&amp;Comments!$B$18&amp;DOLLAR(INDEX(Max_Table,M1932),0)&amp;Comments!$B$19&amp;IFERROR(DOLLAR(Page5i_SANS_OBJECT!$M$45/Page5i_SANS_OBJECT!$K$45,0),0),"")</f>
        <v/>
      </c>
      <c r="K1932" s="1452"/>
      <c r="L1932" s="611">
        <f>ROW(OR_VEH!$A$667)</f>
        <v>667</v>
      </c>
      <c r="M1932" s="611">
        <f>ROW(OR_VEH!$A$494)</f>
        <v>494</v>
      </c>
      <c r="N1932" s="611" t="str">
        <f>"CPTE # "&amp;Page5j_SANS_OBJECT!$E$45&amp;"  "&amp;Page5j_SANS_OBJECT!$C$45&amp;" - COÛT DES VENTES - AAD"</f>
        <v>CPTE # 439J  MÉMO* VENTES INTERNET CAMIONS - COÛT DES VENTES - AAD</v>
      </c>
      <c r="O1932" s="611" t="str">
        <f t="shared" si="261"/>
        <v/>
      </c>
      <c r="P1932" s="611" t="str">
        <f t="shared" si="263"/>
        <v>Page5j_SANS_OBJECT!M</v>
      </c>
      <c r="Q1932" s="611">
        <f t="shared" si="264"/>
        <v>45</v>
      </c>
      <c r="R1932" s="1447">
        <f t="shared" ca="1" si="265"/>
        <v>0</v>
      </c>
      <c r="S1932" s="1447">
        <f t="shared" ca="1" si="266"/>
        <v>0</v>
      </c>
      <c r="T1932" s="611">
        <v>22</v>
      </c>
      <c r="V1932" s="2557" t="str">
        <f t="shared" ca="1" si="260"/>
        <v/>
      </c>
      <c r="W1932" s="611" t="str">
        <f t="shared" ca="1" si="267"/>
        <v>Page5j_SANS_OBJECT, Ligne 42 [Page5j_SANS_OBJECT!M45]  -</v>
      </c>
    </row>
    <row r="1933" spans="1:23">
      <c r="A1933" s="1443" t="str">
        <f>celladdr(Page5j_SANS_OBJECT!M46)</f>
        <v>Page5j_SANS_OBJECT!M46</v>
      </c>
      <c r="B1933" s="1456" t="s">
        <v>1086</v>
      </c>
      <c r="C1933" s="1451" t="b">
        <f>IF(Page5j_SANS_OBJECT!$K$46=0,FALSE,OR(Page5j_SANS_OBJECT!$M$46/Page5j_SANS_OBJECT!$K$46&lt;INDEX(Min_Table,L1933),Page5j_SANS_OBJECT!$M$46/Page5j_SANS_OBJECT!$K$46&gt;INDEX(Max_Table,L1933)))</f>
        <v>0</v>
      </c>
      <c r="D1933" s="1454" t="b">
        <f>OR(AND(Page5j_SANS_OBJECT!$L46&lt;&gt;0,Page5j_SANS_OBJECT!$M46=0),AND(Page5j_SANS_OBJECT!$M46&lt;&gt;0,Page5j_SANS_OBJECT!$L46=0))</f>
        <v>0</v>
      </c>
      <c r="E1933" s="1454" t="b">
        <f>IF(Page5j_SANS_OBJECT!$K$46=0,FALSE,OR(Page5j_SANS_OBJECT!$M$46/Page5j_SANS_OBJECT!$K$46&lt;INDEX(Min_Table,M1933),Page5j_SANS_OBJECT!$M$46/Page5j_SANS_OBJECT!$K$46&gt;INDEX(Max_Table,M1933)))</f>
        <v>0</v>
      </c>
      <c r="F1933" s="1454"/>
      <c r="G1933" s="1444" t="str">
        <f t="shared" si="262"/>
        <v/>
      </c>
      <c r="H1933" s="1447" t="str">
        <f>IF(C1933=TRUE,Comments!$B$20&amp;DOLLAR(INDEX(Max_Table,L1933),0)&amp;Comments!$B$18&amp;DOLLAR(HLOOKUP(Page5j_SANS_OBJECT!$D$56,VehTable,L1933),0)&amp;Comments!$B$19&amp;DOLLAR(Page5j_SANS_OBJECT!$M$46/Page5j_SANS_OBJECT!$K$46,0),"")</f>
        <v/>
      </c>
      <c r="I1933" s="1446" t="str">
        <f>IF(D1933=TRUE,Comments!$B$24,"")</f>
        <v/>
      </c>
      <c r="J1933" s="1446" t="str">
        <f>IF(E1933=TRUE,Comments!$B$22&amp;DOLLAR(INDEX(Min_Table,M1933),0)&amp;Comments!$B$18&amp;DOLLAR(INDEX(Max_Table,M1933),0)&amp;Comments!$B$19&amp;IFERROR(DOLLAR(Page5i_SANS_OBJECT!$M$46/Page5i_SANS_OBJECT!$K$46,0),0),"")</f>
        <v/>
      </c>
      <c r="K1933" s="1452"/>
      <c r="L1933" s="611">
        <f>ROW(OR_VEH!$A$667)</f>
        <v>667</v>
      </c>
      <c r="M1933" s="611">
        <f>ROW(OR_VEH!$A$495)</f>
        <v>495</v>
      </c>
      <c r="N1933" s="611" t="str">
        <f>"CPTE # "&amp;Page5j_SANS_OBJECT!$E$46&amp;"  "&amp;Page5j_SANS_OBJECT!$C$46&amp;" - COÛT DES VENTES - AAD"</f>
        <v>CPTE # 440J  TOTAL PARCS - CAMIONS - COÛT DES VENTES - AAD</v>
      </c>
      <c r="O1933" s="611" t="str">
        <f t="shared" si="261"/>
        <v/>
      </c>
      <c r="P1933" s="611" t="str">
        <f t="shared" si="263"/>
        <v>Page5j_SANS_OBJECT!M</v>
      </c>
      <c r="Q1933" s="611">
        <f t="shared" si="264"/>
        <v>46</v>
      </c>
      <c r="R1933" s="1447">
        <f t="shared" ca="1" si="265"/>
        <v>0</v>
      </c>
      <c r="S1933" s="1447">
        <f t="shared" ca="1" si="266"/>
        <v>0</v>
      </c>
      <c r="T1933" s="611">
        <v>22</v>
      </c>
      <c r="V1933" s="2557" t="str">
        <f t="shared" ca="1" si="260"/>
        <v/>
      </c>
      <c r="W1933" s="611" t="str">
        <f t="shared" ca="1" si="267"/>
        <v>Page5j_SANS_OBJECT, Ligne 43 [Page5j_SANS_OBJECT!M46]  -</v>
      </c>
    </row>
    <row r="1934" spans="1:23">
      <c r="A1934" s="1443" t="str">
        <f>celladdr(Page5j_SANS_OBJECT!M47)</f>
        <v>Page5j_SANS_OBJECT!M47</v>
      </c>
      <c r="B1934" s="1456" t="s">
        <v>1086</v>
      </c>
      <c r="C1934" s="1451" t="b">
        <f>IF(Page5j_SANS_OBJECT!$K$47=0,FALSE,OR(Page5j_SANS_OBJECT!$M$47/Page5j_SANS_OBJECT!$K$47&lt;INDEX(Min_Table,L1934),Page5j_SANS_OBJECT!$M$47/Page5j_SANS_OBJECT!$K$47&gt;INDEX(Max_Table,L1934)))</f>
        <v>0</v>
      </c>
      <c r="D1934" s="1454" t="b">
        <f>OR(AND(Page5j_SANS_OBJECT!$L47&lt;&gt;0,Page5j_SANS_OBJECT!$M47=0),AND(Page5j_SANS_OBJECT!$M47&lt;&gt;0,Page5j_SANS_OBJECT!$L47=0))</f>
        <v>0</v>
      </c>
      <c r="E1934" s="1454" t="b">
        <f>IF(Page5j_SANS_OBJECT!$K$47=0,FALSE,OR(Page5j_SANS_OBJECT!$M$47/Page5j_SANS_OBJECT!$K$47&lt;INDEX(Min_Table,M1934),Page5j_SANS_OBJECT!$M$47/Page5j_SANS_OBJECT!$K$47&gt;INDEX(Max_Table,M1934)))</f>
        <v>0</v>
      </c>
      <c r="F1934" s="1454"/>
      <c r="G1934" s="1444" t="str">
        <f t="shared" si="262"/>
        <v/>
      </c>
      <c r="H1934" s="1447" t="str">
        <f>IF(C1934=TRUE,Comments!$B$20&amp;DOLLAR(INDEX(Max_Table,L1934),0)&amp;Comments!$B$18&amp;DOLLAR(HLOOKUP(Page5j_SANS_OBJECT!$D$56,VehTable,L1934),0)&amp;Comments!$B$19&amp;DOLLAR(Page5j_SANS_OBJECT!$M$47/Page5j_SANS_OBJECT!$K$47,0),"")</f>
        <v/>
      </c>
      <c r="I1934" s="1446" t="str">
        <f>IF(D1934=TRUE,Comments!$B$24,"")</f>
        <v/>
      </c>
      <c r="J1934" s="1446" t="str">
        <f>IF(E1934=TRUE,Comments!$B$22&amp;DOLLAR(INDEX(Min_Table,M1934),0)&amp;Comments!$B$18&amp;DOLLAR(INDEX(Max_Table,M1934),0)&amp;Comments!$B$19&amp;IFERROR(DOLLAR(Page5i_SANS_OBJECT!$M$47/Page5i_SANS_OBJECT!$K$47,0),0),"")</f>
        <v/>
      </c>
      <c r="K1934" s="1452"/>
      <c r="L1934" s="611">
        <f>ROW(OR_VEH!$A$667)</f>
        <v>667</v>
      </c>
      <c r="M1934" s="611">
        <f>ROW(OR_VEH!$A$496)</f>
        <v>496</v>
      </c>
      <c r="N1934" s="611" t="str">
        <f>"CPTE # "&amp;Page5j_SANS_OBJECT!$E$47&amp;"  "&amp;Page5j_SANS_OBJECT!$C$47&amp;" - COÛT DES VENTES - AAD"</f>
        <v>CPTE # 441J  TOTAL IINTERNE - CAMIONS  - COÛT DES VENTES - AAD</v>
      </c>
      <c r="O1934" s="611" t="str">
        <f t="shared" si="261"/>
        <v/>
      </c>
      <c r="P1934" s="611" t="str">
        <f t="shared" si="263"/>
        <v>Page5j_SANS_OBJECT!M</v>
      </c>
      <c r="Q1934" s="611">
        <f t="shared" si="264"/>
        <v>47</v>
      </c>
      <c r="R1934" s="1447">
        <f t="shared" ca="1" si="265"/>
        <v>0</v>
      </c>
      <c r="S1934" s="1447">
        <f t="shared" ca="1" si="266"/>
        <v>0</v>
      </c>
      <c r="T1934" s="611">
        <v>22</v>
      </c>
      <c r="V1934" s="2557" t="str">
        <f t="shared" ca="1" si="260"/>
        <v/>
      </c>
      <c r="W1934" s="611" t="str">
        <f t="shared" ca="1" si="267"/>
        <v>Page5j_SANS_OBJECT, Ligne 44 [Page5j_SANS_OBJECT!M47]  -</v>
      </c>
    </row>
    <row r="1935" spans="1:23">
      <c r="A1935" s="1443" t="str">
        <f>celladdr(Page5j_SANS_OBJECT!M48)</f>
        <v>Page5j_SANS_OBJECT!M48</v>
      </c>
      <c r="B1935" s="1444" t="s">
        <v>1086</v>
      </c>
      <c r="C1935" s="1451"/>
      <c r="D1935" s="1454"/>
      <c r="E1935" s="1454"/>
      <c r="F1935" s="1454"/>
      <c r="G1935" s="1444" t="str">
        <f t="shared" si="262"/>
        <v/>
      </c>
      <c r="H1935" s="1447" t="str">
        <f>IF(C1935=TRUE,Comments!$B$26,"")</f>
        <v/>
      </c>
      <c r="I1935" s="1446" t="str">
        <f>IF(D1935=TRUE,Comments!$B$24,"")</f>
        <v/>
      </c>
      <c r="J1935" s="1446"/>
      <c r="K1935" s="1452"/>
      <c r="O1935" s="611" t="str">
        <f t="shared" si="261"/>
        <v/>
      </c>
      <c r="P1935" s="611" t="str">
        <f t="shared" si="263"/>
        <v>Page5j_SANS_OBJECT!M</v>
      </c>
      <c r="Q1935" s="611">
        <f t="shared" si="264"/>
        <v>48</v>
      </c>
      <c r="R1935" s="1447">
        <f t="shared" ca="1" si="265"/>
        <v>0</v>
      </c>
      <c r="S1935" s="1447">
        <f t="shared" ca="1" si="266"/>
        <v>0</v>
      </c>
      <c r="V1935" s="2557" t="str">
        <f t="shared" ca="1" si="260"/>
        <v/>
      </c>
      <c r="W1935" s="611" t="str">
        <f t="shared" ca="1" si="267"/>
        <v>Page5j_SANS_OBJECT, Ligne 45 [Page5j_SANS_OBJECT!M48]  -</v>
      </c>
    </row>
    <row r="1936" spans="1:23">
      <c r="A1936" s="1443" t="str">
        <f>celladdr(Page5j_SANS_OBJECT!M49)</f>
        <v>Page5j_SANS_OBJECT!M49</v>
      </c>
      <c r="B1936" s="1444" t="s">
        <v>1086</v>
      </c>
      <c r="C1936" s="1451"/>
      <c r="D1936" s="1454"/>
      <c r="E1936" s="1454"/>
      <c r="F1936" s="1454"/>
      <c r="G1936" s="1444" t="str">
        <f t="shared" si="262"/>
        <v/>
      </c>
      <c r="H1936" s="1447" t="str">
        <f>IF(C1936=TRUE,Comments!$B$26,"")</f>
        <v/>
      </c>
      <c r="I1936" s="1446" t="str">
        <f>IF(D1936=TRUE,Comments!$B$24,"")</f>
        <v/>
      </c>
      <c r="J1936" s="1446"/>
      <c r="K1936" s="1452"/>
      <c r="O1936" s="611" t="str">
        <f t="shared" si="261"/>
        <v/>
      </c>
      <c r="P1936" s="611" t="str">
        <f t="shared" si="263"/>
        <v>Page5j_SANS_OBJECT!M</v>
      </c>
      <c r="Q1936" s="611">
        <f t="shared" si="264"/>
        <v>49</v>
      </c>
      <c r="R1936" s="1447">
        <f t="shared" ca="1" si="265"/>
        <v>0</v>
      </c>
      <c r="S1936" s="1447">
        <f t="shared" ca="1" si="266"/>
        <v>0</v>
      </c>
      <c r="V1936" s="2557" t="str">
        <f t="shared" ca="1" si="260"/>
        <v/>
      </c>
      <c r="W1936" s="611" t="str">
        <f t="shared" ca="1" si="267"/>
        <v>Page5j_SANS_OBJECT, Ligne 46 [Page5j_SANS_OBJECT!M49]  -</v>
      </c>
    </row>
    <row r="1937" spans="1:23">
      <c r="A1937" s="1443" t="str">
        <f>celladdr(Page5j_SANS_OBJECT!M50)</f>
        <v>Page5j_SANS_OBJECT!M50</v>
      </c>
      <c r="B1937" s="1456" t="s">
        <v>1086</v>
      </c>
      <c r="C1937" s="1451"/>
      <c r="D1937" s="1454" t="b">
        <f>OR(AND(Page5j_SANS_OBJECT!$L50&lt;&gt;0,Page5j_SANS_OBJECT!$M50=0),AND(Page5j_SANS_OBJECT!$M50&lt;&gt;0,Page5j_SANS_OBJECT!$L50=0))</f>
        <v>0</v>
      </c>
      <c r="E1937" s="1454"/>
      <c r="F1937" s="1454"/>
      <c r="G1937" s="1444" t="str">
        <f t="shared" si="262"/>
        <v/>
      </c>
      <c r="I1937" s="1446" t="str">
        <f>IF(D1937=TRUE,Comments!$B$24,"")</f>
        <v/>
      </c>
      <c r="J1937" s="1446"/>
      <c r="K1937" s="1452"/>
      <c r="N1937" s="611" t="str">
        <f>"CPTE # "&amp;Page5j_SANS_OBJECT!$E$50&amp;"  "&amp;Page5j_SANS_OBJECT!$C$50&amp;" - COÛT DES VENTES - AAD"</f>
        <v>CPTE # 457J  ACCESSOIRES - COÛT DES VENTES - AAD</v>
      </c>
      <c r="O1937" s="611" t="str">
        <f t="shared" si="261"/>
        <v/>
      </c>
      <c r="P1937" s="611" t="str">
        <f t="shared" si="263"/>
        <v>Page5j_SANS_OBJECT!M</v>
      </c>
      <c r="Q1937" s="611">
        <f t="shared" si="264"/>
        <v>50</v>
      </c>
      <c r="R1937" s="1447">
        <f t="shared" ca="1" si="265"/>
        <v>0</v>
      </c>
      <c r="S1937" s="1447">
        <f t="shared" ca="1" si="266"/>
        <v>0</v>
      </c>
      <c r="V1937" s="2557" t="str">
        <f t="shared" ca="1" si="260"/>
        <v/>
      </c>
      <c r="W1937" s="611" t="str">
        <f t="shared" ca="1" si="267"/>
        <v>Page5j_SANS_OBJECT, Ligne 47 [Page5j_SANS_OBJECT!M50]  -</v>
      </c>
    </row>
    <row r="1938" spans="1:23">
      <c r="A1938" s="1443" t="str">
        <f>celladdr(Page5j_SANS_OBJECT!N51)</f>
        <v>Page5j_SANS_OBJECT!N51</v>
      </c>
      <c r="B1938" s="1455" t="s">
        <v>1086</v>
      </c>
      <c r="C1938" s="1445" t="b">
        <f>Page5j_SANS_OBJECT!$N$51&lt;&gt;Page5j_SANS_OBJECT!$N$48+Page5j_SANS_OBJECT!$N$49+Page5j_SANS_OBJECT!$N$27+Page5j_SANS_OBJECT!$N$50</f>
        <v>0</v>
      </c>
      <c r="D1938" s="1454"/>
      <c r="F1938" s="1454"/>
      <c r="G1938" s="1444" t="str">
        <f t="shared" si="262"/>
        <v/>
      </c>
      <c r="H1938" s="1446" t="str">
        <f>IF(C1938=TRUE,Comments!$B$39&amp;DOLLAR(Page5j_SANS_OBJECT!$N$51-(Page5j_SANS_OBJECT!$N$48+Page5j_SANS_OBJECT!$N$27+Page5j_SANS_OBJECT!$N$49+Page5j_SANS_OBJECT!$N$50),0),"")</f>
        <v/>
      </c>
      <c r="I1938" s="1452"/>
      <c r="J1938" s="1452"/>
      <c r="K1938" s="1452"/>
      <c r="N1938" s="611" t="str">
        <f>Page5j_SANS_OBJECT!$B$1&amp;" TOTAL VÉHICULES NEUFS - PROFIT BRUT - AAD"</f>
        <v>SANS OBJECT TOTAL VÉHICULES NEUFS - PROFIT BRUT - AAD</v>
      </c>
      <c r="O1938" s="611" t="str">
        <f t="shared" si="261"/>
        <v/>
      </c>
      <c r="P1938" s="611" t="str">
        <f t="shared" si="263"/>
        <v>Page5j_SANS_OBJECT!N</v>
      </c>
      <c r="Q1938" s="611">
        <f t="shared" si="264"/>
        <v>51</v>
      </c>
      <c r="R1938" s="1447">
        <f t="shared" ca="1" si="265"/>
        <v>0</v>
      </c>
      <c r="S1938" s="1447">
        <f t="shared" ca="1" si="266"/>
        <v>0</v>
      </c>
      <c r="V1938" s="2557" t="str">
        <f t="shared" ca="1" si="260"/>
        <v/>
      </c>
      <c r="W1938" s="611" t="str">
        <f t="shared" ca="1" si="267"/>
        <v>Page5j_SANS_OBJECT, Ligne 48 [Page5j_SANS_OBJECT!N51]  -</v>
      </c>
    </row>
    <row r="1939" spans="1:23">
      <c r="A1939" s="1443" t="str">
        <f>celladdr(Page5_PARCS!F68)</f>
        <v>Page5_PARCS!F68</v>
      </c>
      <c r="B1939" s="1453" t="s">
        <v>1086</v>
      </c>
      <c r="C1939" s="1445" t="b">
        <f>Page5_PARCS!$F$68&lt;&gt;Page5_PARCS!$F$57+Page5_PARCS!$F$58</f>
        <v>0</v>
      </c>
      <c r="D1939" s="1454"/>
      <c r="F1939" s="1454"/>
      <c r="G1939" s="1444" t="str">
        <f t="shared" si="262"/>
        <v/>
      </c>
      <c r="H1939" s="1446" t="str">
        <f>IF(C1939=TRUE,Comments!$B$38&amp;Page5_PARCS!$F$68-(Page5_PARCS!$F$57+Page5_PARCS!$F$58),"")</f>
        <v/>
      </c>
      <c r="I1939" s="1452"/>
      <c r="J1939" s="1452"/>
      <c r="K1939" s="1452"/>
      <c r="N1939" s="611" t="str">
        <f>Page5_PARCS!$B$1&amp;" TOTAL VÉHICULES NEUFS  - UNITÉS - MOIS"</f>
        <v xml:space="preserve"> TOTAL VÉHICULES NEUFS  - UNITÉS - MOIS</v>
      </c>
      <c r="O1939" s="611" t="str">
        <f t="shared" si="261"/>
        <v/>
      </c>
      <c r="P1939" s="611" t="str">
        <f t="shared" si="263"/>
        <v>Page5_PARCS!F</v>
      </c>
      <c r="Q1939" s="611">
        <f t="shared" si="264"/>
        <v>68</v>
      </c>
      <c r="R1939" s="1447">
        <f t="shared" ca="1" si="265"/>
        <v>0</v>
      </c>
      <c r="S1939" s="1447">
        <f t="shared" ca="1" si="266"/>
        <v>0</v>
      </c>
      <c r="V1939" s="2557" t="str">
        <f t="shared" ca="1" si="260"/>
        <v/>
      </c>
      <c r="W1939" s="611" t="str">
        <f t="shared" ca="1" si="267"/>
        <v>Page5_PARCS, Ligne 65 [Page5_PARCS!F68]  -</v>
      </c>
    </row>
    <row r="1940" spans="1:23">
      <c r="A1940" s="1443" t="str">
        <f>celladdr(Page5_PARCS!I68)</f>
        <v>Page5_PARCS!I68</v>
      </c>
      <c r="B1940" s="1455" t="s">
        <v>1086</v>
      </c>
      <c r="C1940" s="1445" t="b">
        <f>Page5_PARCS!$I$68&lt;&gt;(Page5_PARCS!$I$57+Page5_PARCS!$I$58)-Page5_PARCS!$I$67</f>
        <v>0</v>
      </c>
      <c r="D1940" s="1454"/>
      <c r="F1940" s="1454"/>
      <c r="G1940" s="1444" t="str">
        <f t="shared" si="262"/>
        <v/>
      </c>
      <c r="H1940" s="1446" t="str">
        <f>IF(C1940=TRUE,Comments!$B$40&amp;DOLLAR(Page5_PARCS!$I$68-(Page5_PARCS!$I$57+Page5_PARCS!$I$58-Page5_PARCS!$I$67),0),"")</f>
        <v/>
      </c>
      <c r="I1940" s="1452"/>
      <c r="J1940" s="1452"/>
      <c r="K1940" s="1452"/>
      <c r="N1940" s="611" t="str">
        <f>Page5_PARCS!$B$1&amp;" TOTAL VÉHICULES NEUFS - PROFIT BRUT - MOIS"</f>
        <v xml:space="preserve"> TOTAL VÉHICULES NEUFS - PROFIT BRUT - MOIS</v>
      </c>
      <c r="O1940" s="611" t="str">
        <f t="shared" si="261"/>
        <v/>
      </c>
      <c r="P1940" s="611" t="str">
        <f t="shared" si="263"/>
        <v>Page5_PARCS!I</v>
      </c>
      <c r="Q1940" s="611">
        <f t="shared" si="264"/>
        <v>68</v>
      </c>
      <c r="R1940" s="1447">
        <f t="shared" ca="1" si="265"/>
        <v>0</v>
      </c>
      <c r="S1940" s="1447">
        <f t="shared" ca="1" si="266"/>
        <v>0</v>
      </c>
      <c r="V1940" s="2557" t="str">
        <f t="shared" ca="1" si="260"/>
        <v/>
      </c>
      <c r="W1940" s="611" t="str">
        <f t="shared" ca="1" si="267"/>
        <v>Page5_PARCS, Ligne 65 [Page5_PARCS!I68]  -</v>
      </c>
    </row>
    <row r="1941" spans="1:23">
      <c r="A1941" s="1443" t="str">
        <f>celladdr(Page5_PARCS!K4)</f>
        <v>Page5_PARCS!K4</v>
      </c>
      <c r="B1941" s="1464" t="s">
        <v>1086</v>
      </c>
      <c r="C1941" s="1451" t="b">
        <f>Page5_PARCS!$K$4&lt;0</f>
        <v>0</v>
      </c>
      <c r="D1941" s="1454" t="b">
        <f>OR(AND(Page5_PARCS!$K4&gt;0,Page5_PARCS!$M4=0),AND(Page5_PARCS!$M4&lt;&gt;0,Page5_PARCS!$K4=0))</f>
        <v>0</v>
      </c>
      <c r="E1941" s="1454"/>
      <c r="F1941" s="1454"/>
      <c r="G1941" s="1444" t="str">
        <f t="shared" si="262"/>
        <v/>
      </c>
      <c r="H1941" s="1446" t="str">
        <f>IF(C1941=TRUE,Comments!$B$26,"")</f>
        <v/>
      </c>
      <c r="I1941" s="1446" t="str">
        <f>IF(D1941=TRUE,Comments!$B$21,"")</f>
        <v/>
      </c>
      <c r="J1941" s="1446"/>
      <c r="K1941" s="1452"/>
      <c r="N1941" s="611" t="str">
        <f>"CPTE # "&amp;Page5_PARCS!E4&amp;"  "&amp;Page5_PARCS!C4&amp;" - UNITÉS - AAD"</f>
        <v>CPTE # 400K  CHEVROLET VOITURES MCI - UNITÉS - AAD</v>
      </c>
      <c r="O1941" s="611" t="str">
        <f t="shared" si="261"/>
        <v/>
      </c>
      <c r="P1941" s="611" t="str">
        <f t="shared" si="263"/>
        <v>Page5_PARCS!K</v>
      </c>
      <c r="Q1941" s="611">
        <f t="shared" si="264"/>
        <v>4</v>
      </c>
      <c r="R1941" s="1447">
        <f t="shared" ca="1" si="265"/>
        <v>0</v>
      </c>
      <c r="S1941" s="1447">
        <f t="shared" ca="1" si="266"/>
        <v>0</v>
      </c>
      <c r="V1941" s="2557" t="str">
        <f t="shared" ca="1" si="260"/>
        <v/>
      </c>
      <c r="W1941" s="611" t="str">
        <f t="shared" ca="1" si="267"/>
        <v>Page5_PARCS, Ligne 1 [Page5_PARCS!K4]  -</v>
      </c>
    </row>
    <row r="1942" spans="1:23">
      <c r="A1942" s="1443" t="str">
        <f>celladdr(Page5_PARCS!K5)</f>
        <v>Page5_PARCS!K5</v>
      </c>
      <c r="B1942" s="1464" t="s">
        <v>1086</v>
      </c>
      <c r="C1942" s="1451" t="b">
        <f>Page5_PARCS!$K$5&lt;0</f>
        <v>0</v>
      </c>
      <c r="D1942" s="1454" t="b">
        <f>OR(AND(Page5_PARCS!$K5&gt;0,Page5_PARCS!$M5=0),AND(Page5_PARCS!$M5&lt;&gt;0,Page5_PARCS!$K5=0))</f>
        <v>0</v>
      </c>
      <c r="E1942" s="1454"/>
      <c r="F1942" s="1454"/>
      <c r="G1942" s="1444" t="str">
        <f t="shared" si="262"/>
        <v/>
      </c>
      <c r="H1942" s="1446" t="str">
        <f>IF(C1942=TRUE,Comments!$B$26,"")</f>
        <v/>
      </c>
      <c r="I1942" s="1446" t="str">
        <f>IF(D1942=TRUE,Comments!$B$21,"")</f>
        <v/>
      </c>
      <c r="J1942" s="1446"/>
      <c r="K1942" s="1452"/>
      <c r="N1942" s="611" t="str">
        <f>"CPTE # "&amp;Page5_PARCS!E5&amp;"  "&amp;Page5_PARCS!C5&amp;" - UNITÉS - AAD"</f>
        <v>CPTE # 401K  CHEVROLET VOITURES VE - UNITÉS - AAD</v>
      </c>
      <c r="O1942" s="611" t="str">
        <f t="shared" si="261"/>
        <v/>
      </c>
      <c r="P1942" s="611" t="str">
        <f t="shared" si="263"/>
        <v>Page5_PARCS!K</v>
      </c>
      <c r="Q1942" s="611">
        <f t="shared" si="264"/>
        <v>5</v>
      </c>
      <c r="R1942" s="1447">
        <f t="shared" ca="1" si="265"/>
        <v>0</v>
      </c>
      <c r="S1942" s="1447">
        <f t="shared" ca="1" si="266"/>
        <v>0</v>
      </c>
      <c r="V1942" s="2557" t="str">
        <f t="shared" ca="1" si="260"/>
        <v/>
      </c>
      <c r="W1942" s="611" t="str">
        <f t="shared" ca="1" si="267"/>
        <v>Page5_PARCS, Ligne 2 [Page5_PARCS!K5]  -</v>
      </c>
    </row>
    <row r="1943" spans="1:23">
      <c r="A1943" s="1443" t="str">
        <f>celladdr(Page5_PARCS!K6)</f>
        <v>Page5_PARCS!K6</v>
      </c>
      <c r="B1943" s="1464" t="s">
        <v>1086</v>
      </c>
      <c r="C1943" s="1451" t="b">
        <f>Page5_PARCS!$K$6&lt;0</f>
        <v>0</v>
      </c>
      <c r="D1943" s="1454" t="b">
        <f>OR(AND(Page5_PARCS!$K6&gt;0,Page5_PARCS!$M6=0),AND(Page5_PARCS!$M6&lt;&gt;0,Page5_PARCS!$K6=0))</f>
        <v>0</v>
      </c>
      <c r="E1943" s="1454"/>
      <c r="F1943" s="1454"/>
      <c r="G1943" s="1444" t="str">
        <f t="shared" si="262"/>
        <v/>
      </c>
      <c r="H1943" s="1446" t="str">
        <f>IF(C1943=TRUE,Comments!$B$26,"")</f>
        <v/>
      </c>
      <c r="I1943" s="1446" t="str">
        <f>IF(D1943=TRUE,Comments!$B$21,"")</f>
        <v/>
      </c>
      <c r="J1943" s="1446"/>
      <c r="K1943" s="1452"/>
      <c r="N1943" s="611" t="str">
        <f>"CPTE # "&amp;Page5_PARCS!E6&amp;"  "&amp;Page5_PARCS!C6&amp;" - UNITÉS - AAD"</f>
        <v>CPTE # 402K  BUICK VOITURES MCI - UNITÉS - AAD</v>
      </c>
      <c r="O1943" s="611" t="str">
        <f t="shared" si="261"/>
        <v/>
      </c>
      <c r="P1943" s="611" t="str">
        <f t="shared" si="263"/>
        <v>Page5_PARCS!K</v>
      </c>
      <c r="Q1943" s="611">
        <f t="shared" si="264"/>
        <v>6</v>
      </c>
      <c r="R1943" s="1447">
        <f t="shared" ca="1" si="265"/>
        <v>0</v>
      </c>
      <c r="S1943" s="1447">
        <f t="shared" ca="1" si="266"/>
        <v>0</v>
      </c>
      <c r="V1943" s="2557" t="str">
        <f t="shared" ca="1" si="260"/>
        <v/>
      </c>
      <c r="W1943" s="611" t="str">
        <f t="shared" ca="1" si="267"/>
        <v>Page5_PARCS, Ligne 3 [Page5_PARCS!K6]  -</v>
      </c>
    </row>
    <row r="1944" spans="1:23">
      <c r="A1944" s="1443" t="str">
        <f>celladdr(Page5_PARCS!K7)</f>
        <v>Page5_PARCS!K7</v>
      </c>
      <c r="B1944" s="1464" t="s">
        <v>1086</v>
      </c>
      <c r="C1944" s="1451" t="b">
        <f>Page5_PARCS!$K$7&lt;0</f>
        <v>0</v>
      </c>
      <c r="D1944" s="1454" t="b">
        <f>OR(AND(Page5_PARCS!$K7&gt;0,Page5_PARCS!$M7=0),AND(Page5_PARCS!$M7&lt;&gt;0,Page5_PARCS!$K7=0))</f>
        <v>0</v>
      </c>
      <c r="E1944" s="1454"/>
      <c r="F1944" s="1454"/>
      <c r="G1944" s="1444" t="str">
        <f t="shared" si="262"/>
        <v/>
      </c>
      <c r="H1944" s="1446" t="str">
        <f>IF(C1944=TRUE,Comments!$B$26,"")</f>
        <v/>
      </c>
      <c r="I1944" s="1446" t="str">
        <f>IF(D1944=TRUE,Comments!$B$21,"")</f>
        <v/>
      </c>
      <c r="J1944" s="1446"/>
      <c r="K1944" s="1452"/>
      <c r="N1944" s="611" t="str">
        <f>"CPTE # "&amp;Page5_PARCS!E7&amp;"  "&amp;Page5_PARCS!C7&amp;" - UNITÉS - AAD"</f>
        <v>CPTE # 403K  BUICK VOITURES VE - UNITÉS - AAD</v>
      </c>
      <c r="O1944" s="611" t="str">
        <f t="shared" si="261"/>
        <v/>
      </c>
      <c r="P1944" s="611" t="str">
        <f t="shared" si="263"/>
        <v>Page5_PARCS!K</v>
      </c>
      <c r="Q1944" s="611">
        <f t="shared" si="264"/>
        <v>7</v>
      </c>
      <c r="R1944" s="1447">
        <f t="shared" ca="1" si="265"/>
        <v>0</v>
      </c>
      <c r="S1944" s="1447">
        <f t="shared" ca="1" si="266"/>
        <v>0</v>
      </c>
      <c r="V1944" s="2557" t="str">
        <f t="shared" ref="V1944:V2007" ca="1" si="268">IF(SUM(R1944+S1944)=0,"","
*** "&amp;TEXT(SUM(R1944+S1944),"0,0")&amp;" Points de précision seront déduits suite à cette(ces) erreur(s) !")</f>
        <v/>
      </c>
      <c r="W1944" s="611" t="str">
        <f t="shared" ca="1" si="267"/>
        <v>Page5_PARCS, Ligne 4 [Page5_PARCS!K7]  -</v>
      </c>
    </row>
    <row r="1945" spans="1:23">
      <c r="A1945" s="1443" t="str">
        <f>celladdr(Page5_PARCS!K8)</f>
        <v>Page5_PARCS!K8</v>
      </c>
      <c r="B1945" s="1464" t="s">
        <v>1086</v>
      </c>
      <c r="C1945" s="1451" t="b">
        <f>Page5_PARCS!$K$8&lt;0</f>
        <v>0</v>
      </c>
      <c r="D1945" s="1454" t="b">
        <f>OR(AND(Page5_PARCS!$K8&gt;0,Page5_PARCS!$M8=0),AND(Page5_PARCS!$M8&lt;&gt;0,Page5_PARCS!$K8=0))</f>
        <v>0</v>
      </c>
      <c r="E1945" s="1454"/>
      <c r="F1945" s="1454"/>
      <c r="G1945" s="1444" t="str">
        <f t="shared" si="262"/>
        <v/>
      </c>
      <c r="H1945" s="1446" t="str">
        <f>IF(C1945=TRUE,Comments!$B$26,"")</f>
        <v/>
      </c>
      <c r="I1945" s="1446" t="str">
        <f>IF(D1945=TRUE,Comments!$B$21,"")</f>
        <v/>
      </c>
      <c r="J1945" s="1446"/>
      <c r="K1945" s="1452"/>
      <c r="N1945" s="611" t="str">
        <f>"CPTE # "&amp;Page5_PARCS!E8&amp;"  "&amp;Page5_PARCS!C8&amp;" - UNITÉS - AAD"</f>
        <v>CPTE # 404K  CADILLAC VOITURES MCI - UNITÉS - AAD</v>
      </c>
      <c r="O1945" s="611" t="str">
        <f t="shared" si="261"/>
        <v/>
      </c>
      <c r="P1945" s="611" t="str">
        <f t="shared" si="263"/>
        <v>Page5_PARCS!K</v>
      </c>
      <c r="Q1945" s="611">
        <f t="shared" si="264"/>
        <v>8</v>
      </c>
      <c r="R1945" s="1447">
        <f t="shared" ca="1" si="265"/>
        <v>0</v>
      </c>
      <c r="S1945" s="1447">
        <f t="shared" ca="1" si="266"/>
        <v>0</v>
      </c>
      <c r="V1945" s="2557" t="str">
        <f t="shared" ca="1" si="268"/>
        <v/>
      </c>
      <c r="W1945" s="611" t="str">
        <f t="shared" ca="1" si="267"/>
        <v>Page5_PARCS, Ligne 5 [Page5_PARCS!K8]  -</v>
      </c>
    </row>
    <row r="1946" spans="1:23">
      <c r="A1946" s="1443" t="str">
        <f>celladdr(Page5_PARCS!K9)</f>
        <v>Page5_PARCS!K9</v>
      </c>
      <c r="B1946" s="1464" t="s">
        <v>1086</v>
      </c>
      <c r="C1946" s="1451" t="b">
        <f>Page5_PARCS!$K$9&lt;0</f>
        <v>0</v>
      </c>
      <c r="D1946" s="1454" t="b">
        <f>OR(AND(Page5_PARCS!$K9&gt;0,Page5_PARCS!$M9=0),AND(Page5_PARCS!$M9&lt;&gt;0,Page5_PARCS!$K9=0))</f>
        <v>0</v>
      </c>
      <c r="E1946" s="1454"/>
      <c r="F1946" s="1454"/>
      <c r="G1946" s="1444" t="str">
        <f t="shared" si="262"/>
        <v/>
      </c>
      <c r="H1946" s="1446" t="str">
        <f>IF(C1946=TRUE,Comments!$B$26,"")</f>
        <v/>
      </c>
      <c r="I1946" s="1446" t="str">
        <f>IF(D1946=TRUE,Comments!$B$21,"")</f>
        <v/>
      </c>
      <c r="J1946" s="1446"/>
      <c r="K1946" s="1452"/>
      <c r="N1946" s="611" t="str">
        <f>"CPTE # "&amp;Page5_PARCS!E9&amp;"  "&amp;Page5_PARCS!C9&amp;" - UNITÉS - AAD"</f>
        <v>CPTE # 405K  CADILLAC VOITURES VE - UNITÉS - AAD</v>
      </c>
      <c r="O1946" s="611" t="str">
        <f t="shared" si="261"/>
        <v/>
      </c>
      <c r="P1946" s="611" t="str">
        <f t="shared" si="263"/>
        <v>Page5_PARCS!K</v>
      </c>
      <c r="Q1946" s="611">
        <f t="shared" si="264"/>
        <v>9</v>
      </c>
      <c r="R1946" s="1447">
        <f t="shared" ca="1" si="265"/>
        <v>0</v>
      </c>
      <c r="S1946" s="1447">
        <f t="shared" ca="1" si="266"/>
        <v>0</v>
      </c>
      <c r="V1946" s="2557" t="str">
        <f t="shared" ca="1" si="268"/>
        <v/>
      </c>
      <c r="W1946" s="611" t="str">
        <f t="shared" ca="1" si="267"/>
        <v>Page5_PARCS, Ligne 6 [Page5_PARCS!K9]  -</v>
      </c>
    </row>
    <row r="1947" spans="1:23">
      <c r="A1947" s="1443" t="str">
        <f>celladdr(Page5_PARCS!K10)</f>
        <v>Page5_PARCS!K10</v>
      </c>
      <c r="B1947" s="1464" t="s">
        <v>1086</v>
      </c>
      <c r="C1947" s="1451" t="b">
        <f>Page5_PARCS!$K$10&lt;0</f>
        <v>0</v>
      </c>
      <c r="D1947" s="1454" t="b">
        <f>OR(AND(Page5_PARCS!$K10&gt;0,Page5_PARCS!$M10=0),AND(Page5_PARCS!$M10&lt;&gt;0,Page5_PARCS!$K10=0))</f>
        <v>0</v>
      </c>
      <c r="E1947" s="1454"/>
      <c r="F1947" s="1454"/>
      <c r="G1947" s="1444" t="str">
        <f t="shared" si="262"/>
        <v/>
      </c>
      <c r="H1947" s="1446" t="str">
        <f>IF(C1947=TRUE,Comments!$B$26,"")</f>
        <v/>
      </c>
      <c r="I1947" s="1446" t="str">
        <f>IF(D1947=TRUE,Comments!$B$21,"")</f>
        <v/>
      </c>
      <c r="J1947" s="1446"/>
      <c r="K1947" s="1452"/>
      <c r="N1947" s="611" t="str">
        <f>"CPTE # "&amp;Page5_PARCS!E10&amp;"  "&amp;Page5_PARCS!C10&amp;" - UNITÉS - AAD"</f>
        <v>CPTE # 406K  NE PAS UTILISER - UNITÉS - AAD</v>
      </c>
      <c r="O1947" s="611" t="str">
        <f t="shared" si="261"/>
        <v/>
      </c>
      <c r="P1947" s="611" t="str">
        <f t="shared" si="263"/>
        <v>Page5_PARCS!K</v>
      </c>
      <c r="Q1947" s="611">
        <f t="shared" si="264"/>
        <v>10</v>
      </c>
      <c r="R1947" s="1447">
        <f t="shared" ca="1" si="265"/>
        <v>0</v>
      </c>
      <c r="S1947" s="1447">
        <f t="shared" ca="1" si="266"/>
        <v>0</v>
      </c>
      <c r="V1947" s="2557" t="str">
        <f t="shared" ca="1" si="268"/>
        <v/>
      </c>
      <c r="W1947" s="611" t="str">
        <f t="shared" ca="1" si="267"/>
        <v>Page5_PARCS, Ligne 7 [Page5_PARCS!K10]  -</v>
      </c>
    </row>
    <row r="1948" spans="1:23">
      <c r="A1948" s="1443" t="str">
        <f>celladdr(Page5_PARCS!K11)</f>
        <v>Page5_PARCS!K11</v>
      </c>
      <c r="B1948" s="1464" t="s">
        <v>1086</v>
      </c>
      <c r="C1948" s="1451" t="b">
        <f>Page5_PARCS!$K$11&lt;0</f>
        <v>0</v>
      </c>
      <c r="D1948" s="1454" t="b">
        <f>OR(AND(Page5_PARCS!$K11&gt;0,Page5_PARCS!$M11=0),AND(Page5_PARCS!$M11&lt;&gt;0,Page5_PARCS!$K11=0))</f>
        <v>0</v>
      </c>
      <c r="E1948" s="1454"/>
      <c r="F1948" s="1454"/>
      <c r="G1948" s="1444" t="str">
        <f t="shared" si="262"/>
        <v/>
      </c>
      <c r="H1948" s="1446" t="str">
        <f>IF(C1948=TRUE,Comments!$B$26,"")</f>
        <v/>
      </c>
      <c r="I1948" s="1446" t="str">
        <f>IF(D1948=TRUE,Comments!$B$21,"")</f>
        <v/>
      </c>
      <c r="J1948" s="1446"/>
      <c r="K1948" s="1452"/>
      <c r="N1948" s="611" t="str">
        <f>"CPTE # "&amp;Page5_PARCS!E11&amp;"  "&amp;Page5_PARCS!C11&amp;" - UNITÉS - AAD"</f>
        <v>CPTE # 407K  NE PAS UTILISER - UNITÉS - AAD</v>
      </c>
      <c r="O1948" s="611" t="str">
        <f t="shared" si="261"/>
        <v/>
      </c>
      <c r="P1948" s="611" t="str">
        <f t="shared" si="263"/>
        <v>Page5_PARCS!K</v>
      </c>
      <c r="Q1948" s="611">
        <f t="shared" si="264"/>
        <v>11</v>
      </c>
      <c r="R1948" s="1447">
        <f t="shared" ca="1" si="265"/>
        <v>0</v>
      </c>
      <c r="S1948" s="1447">
        <f t="shared" ca="1" si="266"/>
        <v>0</v>
      </c>
      <c r="V1948" s="2557" t="str">
        <f t="shared" ca="1" si="268"/>
        <v/>
      </c>
      <c r="W1948" s="611" t="str">
        <f t="shared" ca="1" si="267"/>
        <v>Page5_PARCS, Ligne 8 [Page5_PARCS!K11]  -</v>
      </c>
    </row>
    <row r="1949" spans="1:23">
      <c r="A1949" s="1443" t="str">
        <f>celladdr(Page5_PARCS!K12)</f>
        <v>Page5_PARCS!K12</v>
      </c>
      <c r="B1949" s="2449" t="s">
        <v>1086</v>
      </c>
      <c r="C1949" s="1451"/>
      <c r="D1949" s="1454"/>
      <c r="E1949" s="1454"/>
      <c r="F1949" s="1454"/>
      <c r="G1949" s="1444" t="str">
        <f t="shared" si="262"/>
        <v/>
      </c>
      <c r="H1949" s="1446"/>
      <c r="I1949" s="1446"/>
      <c r="J1949" s="1446"/>
      <c r="K1949" s="1452"/>
      <c r="N1949" s="611" t="str">
        <f>"CPTE # "&amp;Page5_PARCS!E12&amp;"  "&amp;Page5_PARCS!C12&amp;" - UNITÉS - AAD"</f>
        <v>CPTE #   TOTAL VOITURES DE PETITE ENTREPRISE - UNITÉS - AAD</v>
      </c>
      <c r="O1949" s="611" t="str">
        <f t="shared" si="261"/>
        <v/>
      </c>
      <c r="P1949" s="611" t="str">
        <f t="shared" si="263"/>
        <v>Page5_PARCS!K</v>
      </c>
      <c r="Q1949" s="611">
        <f t="shared" si="264"/>
        <v>12</v>
      </c>
      <c r="R1949" s="1447">
        <f t="shared" ca="1" si="265"/>
        <v>0</v>
      </c>
      <c r="S1949" s="1447">
        <f t="shared" ca="1" si="266"/>
        <v>0</v>
      </c>
      <c r="V1949" s="2557" t="str">
        <f t="shared" ca="1" si="268"/>
        <v/>
      </c>
      <c r="W1949" s="611" t="str">
        <f t="shared" ca="1" si="267"/>
        <v>Page5_PARCS, Ligne 9 [Page5_PARCS!K12]  -</v>
      </c>
    </row>
    <row r="1950" spans="1:23">
      <c r="A1950" s="1443" t="str">
        <f>celladdr(Page5_PARCS!K13)</f>
        <v>Page5_PARCS!K13</v>
      </c>
      <c r="B1950" s="1464" t="s">
        <v>1086</v>
      </c>
      <c r="C1950" s="1451" t="b">
        <f>Page5_PARCS!$K$13&lt;0</f>
        <v>0</v>
      </c>
      <c r="D1950" s="1454" t="b">
        <f>OR(AND(Page5_PARCS!$K13&gt;0,Page5_PARCS!$M13=0),AND(Page5_PARCS!$M13&lt;&gt;0,Page5_PARCS!$K13=0))</f>
        <v>0</v>
      </c>
      <c r="E1950" s="1454"/>
      <c r="F1950" s="1454"/>
      <c r="G1950" s="1444" t="str">
        <f t="shared" si="262"/>
        <v/>
      </c>
      <c r="H1950" s="1446" t="str">
        <f>IF(C1950=TRUE,Comments!$B$26,"")</f>
        <v/>
      </c>
      <c r="I1950" s="1446" t="str">
        <f>IF(D1950=TRUE,Comments!$B$21,"")</f>
        <v/>
      </c>
      <c r="J1950" s="1446"/>
      <c r="K1950" s="1452"/>
      <c r="N1950" s="611" t="str">
        <f>"CPTE # "&amp;Page5_PARCS!E13&amp;"  "&amp;Page5_PARCS!C13&amp;" - UNITÉS - AAD"</f>
        <v>CPTE # 412K  BUICK / CADILLAC PETIT VUS VE - UNITÉS - AAD</v>
      </c>
      <c r="O1950" s="611" t="str">
        <f t="shared" si="261"/>
        <v/>
      </c>
      <c r="P1950" s="611" t="str">
        <f t="shared" si="263"/>
        <v>Page5_PARCS!K</v>
      </c>
      <c r="Q1950" s="611">
        <f t="shared" si="264"/>
        <v>13</v>
      </c>
      <c r="R1950" s="1447">
        <f t="shared" ca="1" si="265"/>
        <v>0</v>
      </c>
      <c r="S1950" s="1447">
        <f t="shared" ca="1" si="266"/>
        <v>0</v>
      </c>
      <c r="V1950" s="2557" t="str">
        <f t="shared" ca="1" si="268"/>
        <v/>
      </c>
      <c r="W1950" s="611" t="str">
        <f t="shared" ca="1" si="267"/>
        <v>Page5_PARCS, Ligne 10 [Page5_PARCS!K13]  -</v>
      </c>
    </row>
    <row r="1951" spans="1:23">
      <c r="A1951" s="1443" t="str">
        <f>celladdr(Page5_PARCS!K14)</f>
        <v>Page5_PARCS!K14</v>
      </c>
      <c r="B1951" s="1464" t="s">
        <v>1086</v>
      </c>
      <c r="C1951" s="1451" t="b">
        <f>Page5_PARCS!$K$14&lt;0</f>
        <v>0</v>
      </c>
      <c r="D1951" s="1454" t="b">
        <f>OR(AND(Page5_PARCS!$K14&gt;0,Page5_PARCS!$M14=0),AND(Page5_PARCS!$M14&lt;&gt;0,Page5_PARCS!$K14=0))</f>
        <v>0</v>
      </c>
      <c r="E1951" s="1454"/>
      <c r="F1951" s="1454"/>
      <c r="G1951" s="1444" t="str">
        <f t="shared" si="262"/>
        <v/>
      </c>
      <c r="H1951" s="1446" t="str">
        <f>IF(C1951=TRUE,Comments!$B$26,"")</f>
        <v/>
      </c>
      <c r="I1951" s="1446" t="str">
        <f>IF(D1951=TRUE,Comments!$B$21,"")</f>
        <v/>
      </c>
      <c r="J1951" s="1446"/>
      <c r="K1951" s="1452"/>
      <c r="N1951" s="611" t="str">
        <f>"CPTE # "&amp;Page5_PARCS!E14&amp;"  "&amp;Page5_PARCS!C14&amp;" - UNITÉS - AAD"</f>
        <v>CPTE # 413K  BUICK / CADILLAC PETIT VUS MCI - UNITÉS - AAD</v>
      </c>
      <c r="O1951" s="611" t="str">
        <f t="shared" si="261"/>
        <v/>
      </c>
      <c r="P1951" s="611" t="str">
        <f t="shared" si="263"/>
        <v>Page5_PARCS!K</v>
      </c>
      <c r="Q1951" s="611">
        <f t="shared" si="264"/>
        <v>14</v>
      </c>
      <c r="R1951" s="1447">
        <f t="shared" ca="1" si="265"/>
        <v>0</v>
      </c>
      <c r="S1951" s="1447">
        <f t="shared" ca="1" si="266"/>
        <v>0</v>
      </c>
      <c r="V1951" s="2557" t="str">
        <f t="shared" ca="1" si="268"/>
        <v/>
      </c>
      <c r="W1951" s="611" t="str">
        <f t="shared" ca="1" si="267"/>
        <v>Page5_PARCS, Ligne 11 [Page5_PARCS!K14]  -</v>
      </c>
    </row>
    <row r="1952" spans="1:23">
      <c r="A1952" s="1443" t="str">
        <f>celladdr(Page5_PARCS!K15)</f>
        <v>Page5_PARCS!K15</v>
      </c>
      <c r="B1952" s="1464" t="s">
        <v>1086</v>
      </c>
      <c r="C1952" s="1451" t="b">
        <f>Page5_PARCS!$K$15&lt;0</f>
        <v>0</v>
      </c>
      <c r="D1952" s="1454" t="b">
        <f>OR(AND(Page5_PARCS!$K15&gt;0,Page5_PARCS!$M15=0),AND(Page5_PARCS!$M15&lt;&gt;0,Page5_PARCS!$K15=0))</f>
        <v>0</v>
      </c>
      <c r="E1952" s="1454"/>
      <c r="F1952" s="1454"/>
      <c r="G1952" s="1444" t="str">
        <f t="shared" si="262"/>
        <v/>
      </c>
      <c r="H1952" s="1446" t="str">
        <f>IF(C1952=TRUE,Comments!$B$26,"")</f>
        <v/>
      </c>
      <c r="I1952" s="1446" t="str">
        <f>IF(D1952=TRUE,Comments!$B$21,"")</f>
        <v/>
      </c>
      <c r="J1952" s="1446"/>
      <c r="K1952" s="1452"/>
      <c r="N1952" s="611" t="str">
        <f>"CPTE # "&amp;Page5_PARCS!E15&amp;"  "&amp;Page5_PARCS!C15&amp;" - UNITÉS - AAD"</f>
        <v>CPTE # 414K  BUICK / CADILLAC MOYEN VUS VE - UNITÉS - AAD</v>
      </c>
      <c r="O1952" s="611" t="str">
        <f t="shared" si="261"/>
        <v/>
      </c>
      <c r="P1952" s="611" t="str">
        <f t="shared" si="263"/>
        <v>Page5_PARCS!K</v>
      </c>
      <c r="Q1952" s="611">
        <f t="shared" si="264"/>
        <v>15</v>
      </c>
      <c r="R1952" s="1447">
        <f t="shared" ca="1" si="265"/>
        <v>0</v>
      </c>
      <c r="S1952" s="1447">
        <f t="shared" ca="1" si="266"/>
        <v>0</v>
      </c>
      <c r="V1952" s="2557" t="str">
        <f t="shared" ca="1" si="268"/>
        <v/>
      </c>
      <c r="W1952" s="611" t="str">
        <f t="shared" ca="1" si="267"/>
        <v>Page5_PARCS, Ligne 12 [Page5_PARCS!K15]  -</v>
      </c>
    </row>
    <row r="1953" spans="1:23">
      <c r="A1953" s="1443" t="str">
        <f>celladdr(Page5_PARCS!K16)</f>
        <v>Page5_PARCS!K16</v>
      </c>
      <c r="B1953" s="1464" t="s">
        <v>1086</v>
      </c>
      <c r="C1953" s="1451" t="b">
        <f>Page5_PARCS!$K$16&lt;0</f>
        <v>0</v>
      </c>
      <c r="D1953" s="1454" t="b">
        <f>OR(AND(Page5_PARCS!$K16&gt;0,Page5_PARCS!$M16=0),AND(Page5_PARCS!$M16&lt;&gt;0,Page5_PARCS!$K16=0))</f>
        <v>0</v>
      </c>
      <c r="E1953" s="1454"/>
      <c r="F1953" s="1454"/>
      <c r="G1953" s="1444" t="str">
        <f t="shared" si="262"/>
        <v/>
      </c>
      <c r="H1953" s="1446" t="str">
        <f>IF(C1953=TRUE,Comments!$B$26,"")</f>
        <v/>
      </c>
      <c r="I1953" s="1446" t="str">
        <f>IF(D1953=TRUE,Comments!$B$21,"")</f>
        <v/>
      </c>
      <c r="J1953" s="1446"/>
      <c r="K1953" s="1452"/>
      <c r="N1953" s="611" t="str">
        <f>"CPTE # "&amp;Page5_PARCS!E16&amp;"  "&amp;Page5_PARCS!C16&amp;" - UNITÉS - AAD"</f>
        <v>CPTE # 415K  BUICK / CADILLAC MOYEN VUS MCI - UNITÉS - AAD</v>
      </c>
      <c r="O1953" s="611" t="str">
        <f t="shared" si="261"/>
        <v/>
      </c>
      <c r="P1953" s="611" t="str">
        <f t="shared" si="263"/>
        <v>Page5_PARCS!K</v>
      </c>
      <c r="Q1953" s="611">
        <f t="shared" si="264"/>
        <v>16</v>
      </c>
      <c r="R1953" s="1447">
        <f t="shared" ca="1" si="265"/>
        <v>0</v>
      </c>
      <c r="S1953" s="1447">
        <f t="shared" ca="1" si="266"/>
        <v>0</v>
      </c>
      <c r="V1953" s="2557" t="str">
        <f t="shared" ca="1" si="268"/>
        <v/>
      </c>
      <c r="W1953" s="611" t="str">
        <f t="shared" ca="1" si="267"/>
        <v>Page5_PARCS, Ligne 13 [Page5_PARCS!K16]  -</v>
      </c>
    </row>
    <row r="1954" spans="1:23">
      <c r="A1954" s="1443" t="str">
        <f>celladdr(Page5_PARCS!K17)</f>
        <v>Page5_PARCS!K17</v>
      </c>
      <c r="B1954" s="1464" t="s">
        <v>1086</v>
      </c>
      <c r="C1954" s="1451" t="b">
        <f>Page5_PARCS!$K$17&lt;0</f>
        <v>0</v>
      </c>
      <c r="D1954" s="1454" t="b">
        <f>OR(AND(Page5_PARCS!$K17&gt;0,Page5_PARCS!$M17=0),AND(Page5_PARCS!$M17&lt;&gt;0,Page5_PARCS!$K17=0))</f>
        <v>0</v>
      </c>
      <c r="E1954" s="1454"/>
      <c r="F1954" s="1454"/>
      <c r="G1954" s="1444" t="str">
        <f t="shared" si="262"/>
        <v/>
      </c>
      <c r="H1954" s="1446" t="str">
        <f>IF(C1954=TRUE,Comments!$B$26,"")</f>
        <v/>
      </c>
      <c r="I1954" s="1446" t="str">
        <f>IF(D1954=TRUE,Comments!$B$21,"")</f>
        <v/>
      </c>
      <c r="J1954" s="1446"/>
      <c r="K1954" s="1452"/>
      <c r="N1954" s="611" t="str">
        <f>"CPTE # "&amp;Page5_PARCS!E17&amp;"  "&amp;Page5_PARCS!C17&amp;" - UNITÉS - AAD"</f>
        <v>CPTE # 416K  BUICK / CADILLAC GRAND VUS VE - UNITÉS - AAD</v>
      </c>
      <c r="O1954" s="611" t="str">
        <f t="shared" si="261"/>
        <v/>
      </c>
      <c r="P1954" s="611" t="str">
        <f t="shared" si="263"/>
        <v>Page5_PARCS!K</v>
      </c>
      <c r="Q1954" s="611">
        <f t="shared" si="264"/>
        <v>17</v>
      </c>
      <c r="R1954" s="1447">
        <f t="shared" ca="1" si="265"/>
        <v>0</v>
      </c>
      <c r="S1954" s="1447">
        <f t="shared" ca="1" si="266"/>
        <v>0</v>
      </c>
      <c r="V1954" s="2557" t="str">
        <f t="shared" ca="1" si="268"/>
        <v/>
      </c>
      <c r="W1954" s="611" t="str">
        <f t="shared" ca="1" si="267"/>
        <v>Page5_PARCS, Ligne 14 [Page5_PARCS!K17]  -</v>
      </c>
    </row>
    <row r="1955" spans="1:23">
      <c r="A1955" s="1443" t="str">
        <f>celladdr(Page5_PARCS!K18)</f>
        <v>Page5_PARCS!K18</v>
      </c>
      <c r="B1955" s="1464" t="s">
        <v>1086</v>
      </c>
      <c r="C1955" s="1451" t="b">
        <f>Page5_PARCS!$K$18&lt;0</f>
        <v>0</v>
      </c>
      <c r="D1955" s="1454" t="b">
        <f>OR(AND(Page5_PARCS!$K18&gt;0,Page5_PARCS!$M18=0),AND(Page5_PARCS!$M18&lt;&gt;0,Page5_PARCS!$K18=0))</f>
        <v>0</v>
      </c>
      <c r="E1955" s="1454"/>
      <c r="F1955" s="1454"/>
      <c r="G1955" s="1444" t="str">
        <f t="shared" si="262"/>
        <v/>
      </c>
      <c r="H1955" s="1446" t="str">
        <f>IF(C1955=TRUE,Comments!$B$26,"")</f>
        <v/>
      </c>
      <c r="I1955" s="1446" t="str">
        <f>IF(D1955=TRUE,Comments!$B$21,"")</f>
        <v/>
      </c>
      <c r="J1955" s="1446"/>
      <c r="K1955" s="1452"/>
      <c r="N1955" s="611" t="str">
        <f>"CPTE # "&amp;Page5_PARCS!E18&amp;"  "&amp;Page5_PARCS!C18&amp;" - UNITÉS - AAD"</f>
        <v>CPTE # 417K  BUICK / CADILLAC GRAND VUS MCI - UNITÉS - AAD</v>
      </c>
      <c r="O1955" s="611" t="str">
        <f t="shared" si="261"/>
        <v/>
      </c>
      <c r="P1955" s="611" t="str">
        <f t="shared" si="263"/>
        <v>Page5_PARCS!K</v>
      </c>
      <c r="Q1955" s="611">
        <f t="shared" si="264"/>
        <v>18</v>
      </c>
      <c r="R1955" s="1447">
        <f t="shared" ca="1" si="265"/>
        <v>0</v>
      </c>
      <c r="S1955" s="1447">
        <f t="shared" ca="1" si="266"/>
        <v>0</v>
      </c>
      <c r="V1955" s="2557" t="str">
        <f t="shared" ca="1" si="268"/>
        <v/>
      </c>
      <c r="W1955" s="611" t="str">
        <f t="shared" ca="1" si="267"/>
        <v>Page5_PARCS, Ligne 15 [Page5_PARCS!K18]  -</v>
      </c>
    </row>
    <row r="1956" spans="1:23">
      <c r="A1956" s="1443" t="str">
        <f>celladdr(Page5_PARCS!K19)</f>
        <v>Page5_PARCS!K19</v>
      </c>
      <c r="B1956" s="1464" t="s">
        <v>1086</v>
      </c>
      <c r="C1956" s="1451" t="b">
        <f>Page5_PARCS!$K$19&lt;0</f>
        <v>0</v>
      </c>
      <c r="D1956" s="1454" t="b">
        <f>OR(AND(Page5_PARCS!$K19&gt;0,Page5_PARCS!$M19=0),AND(Page5_PARCS!$M19&lt;&gt;0,Page5_PARCS!$K19=0))</f>
        <v>0</v>
      </c>
      <c r="E1956" s="1454"/>
      <c r="F1956" s="1454"/>
      <c r="G1956" s="1444" t="str">
        <f t="shared" si="262"/>
        <v/>
      </c>
      <c r="H1956" s="1446" t="str">
        <f>IF(C1956=TRUE,Comments!$B$26,"")</f>
        <v/>
      </c>
      <c r="I1956" s="1446" t="str">
        <f>IF(D1956=TRUE,Comments!$B$21,"")</f>
        <v/>
      </c>
      <c r="J1956" s="1446"/>
      <c r="K1956" s="1452"/>
      <c r="N1956" s="611" t="str">
        <f>"CPTE # "&amp;Page5_PARCS!E19&amp;"  "&amp;Page5_PARCS!C19&amp;" - UNITÉS - AAD"</f>
        <v>CPTE # 418K  CHEVROLET / GMC PETIT VUS VE - UNITÉS - AAD</v>
      </c>
      <c r="O1956" s="611" t="str">
        <f t="shared" si="261"/>
        <v/>
      </c>
      <c r="P1956" s="611" t="str">
        <f t="shared" si="263"/>
        <v>Page5_PARCS!K</v>
      </c>
      <c r="Q1956" s="611">
        <f t="shared" si="264"/>
        <v>19</v>
      </c>
      <c r="R1956" s="1447">
        <f t="shared" ca="1" si="265"/>
        <v>0</v>
      </c>
      <c r="S1956" s="1447">
        <f t="shared" ca="1" si="266"/>
        <v>0</v>
      </c>
      <c r="V1956" s="2557" t="str">
        <f t="shared" ca="1" si="268"/>
        <v/>
      </c>
      <c r="W1956" s="611" t="str">
        <f t="shared" ca="1" si="267"/>
        <v>Page5_PARCS, Ligne 16 [Page5_PARCS!K19]  -</v>
      </c>
    </row>
    <row r="1957" spans="1:23">
      <c r="A1957" s="1443" t="str">
        <f>celladdr(Page5_PARCS!K20)</f>
        <v>Page5_PARCS!K20</v>
      </c>
      <c r="B1957" s="1464" t="s">
        <v>1086</v>
      </c>
      <c r="C1957" s="1451" t="b">
        <f>Page5_PARCS!$K$20&lt;0</f>
        <v>0</v>
      </c>
      <c r="D1957" s="1454" t="b">
        <f>OR(AND(Page5_PARCS!$K20&gt;0,Page5_PARCS!$M20=0),AND(Page5_PARCS!$M20&lt;&gt;0,Page5_PARCS!$K20=0))</f>
        <v>0</v>
      </c>
      <c r="E1957" s="1454"/>
      <c r="F1957" s="1454"/>
      <c r="G1957" s="1444" t="str">
        <f t="shared" si="262"/>
        <v/>
      </c>
      <c r="H1957" s="1446" t="str">
        <f>IF(C1957=TRUE,Comments!$B$26,"")</f>
        <v/>
      </c>
      <c r="I1957" s="1446" t="str">
        <f>IF(D1957=TRUE,Comments!$B$21,"")</f>
        <v/>
      </c>
      <c r="J1957" s="1446"/>
      <c r="K1957" s="1452"/>
      <c r="N1957" s="611" t="str">
        <f>"CPTE # "&amp;Page5_PARCS!E20&amp;"  "&amp;Page5_PARCS!C20&amp;" - UNITÉS - AAD"</f>
        <v>CPTE # 419K  CHEVROLET / GMC PETIT VUS MCI - UNITÉS - AAD</v>
      </c>
      <c r="O1957" s="611" t="str">
        <f t="shared" si="261"/>
        <v/>
      </c>
      <c r="P1957" s="611" t="str">
        <f t="shared" si="263"/>
        <v>Page5_PARCS!K</v>
      </c>
      <c r="Q1957" s="611">
        <f t="shared" si="264"/>
        <v>20</v>
      </c>
      <c r="R1957" s="1447">
        <f t="shared" ca="1" si="265"/>
        <v>0</v>
      </c>
      <c r="S1957" s="1447">
        <f t="shared" ca="1" si="266"/>
        <v>0</v>
      </c>
      <c r="V1957" s="2557" t="str">
        <f t="shared" ca="1" si="268"/>
        <v/>
      </c>
      <c r="W1957" s="611" t="str">
        <f t="shared" ca="1" si="267"/>
        <v>Page5_PARCS, Ligne 17 [Page5_PARCS!K20]  -</v>
      </c>
    </row>
    <row r="1958" spans="1:23">
      <c r="A1958" s="1443" t="str">
        <f>celladdr(Page5_PARCS!K21)</f>
        <v>Page5_PARCS!K21</v>
      </c>
      <c r="B1958" s="1464" t="s">
        <v>1086</v>
      </c>
      <c r="C1958" s="1451" t="b">
        <f>Page5_PARCS!$K$21&lt;0</f>
        <v>0</v>
      </c>
      <c r="D1958" s="1454" t="b">
        <f>OR(AND(Page5_PARCS!$K21&gt;0,Page5_PARCS!$M21=0),AND(Page5_PARCS!$M21&lt;&gt;0,Page5_PARCS!$K21=0))</f>
        <v>0</v>
      </c>
      <c r="E1958" s="1454"/>
      <c r="F1958" s="1454"/>
      <c r="G1958" s="1444" t="str">
        <f t="shared" si="262"/>
        <v/>
      </c>
      <c r="H1958" s="1446" t="str">
        <f>IF(C1958=TRUE,Comments!$B$26,"")</f>
        <v/>
      </c>
      <c r="I1958" s="1446" t="str">
        <f>IF(D1958=TRUE,Comments!$B$21,"")</f>
        <v/>
      </c>
      <c r="J1958" s="1446"/>
      <c r="K1958" s="1452"/>
      <c r="N1958" s="611" t="str">
        <f>"CPTE # "&amp;Page5_PARCS!E21&amp;"  "&amp;Page5_PARCS!C21&amp;" - UNITÉS - AAD"</f>
        <v>CPTE # 420K  CHEVROLET / GMC MOYEN VUS VE - UNITÉS - AAD</v>
      </c>
      <c r="O1958" s="611" t="str">
        <f t="shared" si="261"/>
        <v/>
      </c>
      <c r="P1958" s="611" t="str">
        <f t="shared" si="263"/>
        <v>Page5_PARCS!K</v>
      </c>
      <c r="Q1958" s="611">
        <f t="shared" si="264"/>
        <v>21</v>
      </c>
      <c r="R1958" s="1447">
        <f t="shared" ca="1" si="265"/>
        <v>0</v>
      </c>
      <c r="S1958" s="1447">
        <f t="shared" ca="1" si="266"/>
        <v>0</v>
      </c>
      <c r="V1958" s="2557" t="str">
        <f t="shared" ca="1" si="268"/>
        <v/>
      </c>
      <c r="W1958" s="611" t="str">
        <f t="shared" ca="1" si="267"/>
        <v>Page5_PARCS, Ligne 18 [Page5_PARCS!K21]  -</v>
      </c>
    </row>
    <row r="1959" spans="1:23">
      <c r="A1959" s="1443" t="str">
        <f>celladdr(Page5_PARCS!K22)</f>
        <v>Page5_PARCS!K22</v>
      </c>
      <c r="B1959" s="1464" t="s">
        <v>1086</v>
      </c>
      <c r="C1959" s="1451" t="b">
        <f>Page5_PARCS!$K$22&lt;0</f>
        <v>0</v>
      </c>
      <c r="D1959" s="1454" t="b">
        <f>OR(AND(Page5_PARCS!$K22&gt;0,Page5_PARCS!$M22=0),AND(Page5_PARCS!$M22&lt;&gt;0,Page5_PARCS!$K22=0))</f>
        <v>0</v>
      </c>
      <c r="E1959" s="1454"/>
      <c r="F1959" s="1454"/>
      <c r="G1959" s="1444" t="str">
        <f t="shared" si="262"/>
        <v/>
      </c>
      <c r="H1959" s="1446" t="str">
        <f>IF(C1959=TRUE,Comments!$B$26,"")</f>
        <v/>
      </c>
      <c r="I1959" s="1446" t="str">
        <f>IF(D1959=TRUE,Comments!$B$21,"")</f>
        <v/>
      </c>
      <c r="J1959" s="1446"/>
      <c r="K1959" s="1452"/>
      <c r="N1959" s="611" t="str">
        <f>"CPTE # "&amp;Page5_PARCS!E22&amp;"  "&amp;Page5_PARCS!C22&amp;" - UNITÉS - AAD"</f>
        <v>CPTE # 421K  CHEVROLET / GMC MOYEN VUS MCI - UNITÉS - AAD</v>
      </c>
      <c r="O1959" s="611" t="str">
        <f t="shared" si="261"/>
        <v/>
      </c>
      <c r="P1959" s="611" t="str">
        <f t="shared" si="263"/>
        <v>Page5_PARCS!K</v>
      </c>
      <c r="Q1959" s="611">
        <f t="shared" si="264"/>
        <v>22</v>
      </c>
      <c r="R1959" s="1447">
        <f t="shared" ca="1" si="265"/>
        <v>0</v>
      </c>
      <c r="S1959" s="1447">
        <f t="shared" ca="1" si="266"/>
        <v>0</v>
      </c>
      <c r="V1959" s="2557" t="str">
        <f t="shared" ca="1" si="268"/>
        <v/>
      </c>
      <c r="W1959" s="611" t="str">
        <f t="shared" ca="1" si="267"/>
        <v>Page5_PARCS, Ligne 19 [Page5_PARCS!K22]  -</v>
      </c>
    </row>
    <row r="1960" spans="1:23">
      <c r="A1960" s="1443" t="str">
        <f>celladdr(Page5_PARCS!K23)</f>
        <v>Page5_PARCS!K23</v>
      </c>
      <c r="B1960" s="1464" t="s">
        <v>1086</v>
      </c>
      <c r="C1960" s="1451" t="b">
        <f>Page5_PARCS!$K$23&lt;0</f>
        <v>0</v>
      </c>
      <c r="D1960" s="1454" t="b">
        <f>OR(AND(Page5_PARCS!$K23&gt;0,Page5_PARCS!$M23=0),AND(Page5_PARCS!$M23&lt;&gt;0,Page5_PARCS!$K23=0))</f>
        <v>0</v>
      </c>
      <c r="E1960" s="1454"/>
      <c r="F1960" s="1454"/>
      <c r="G1960" s="1444" t="str">
        <f t="shared" si="262"/>
        <v/>
      </c>
      <c r="H1960" s="1446" t="str">
        <f>IF(C1960=TRUE,Comments!$B$26,"")</f>
        <v/>
      </c>
      <c r="I1960" s="1446" t="str">
        <f>IF(D1960=TRUE,Comments!$B$21,"")</f>
        <v/>
      </c>
      <c r="J1960" s="1446"/>
      <c r="K1960" s="1452"/>
      <c r="N1960" s="611" t="str">
        <f>"CPTE # "&amp;Page5_PARCS!E23&amp;"  "&amp;Page5_PARCS!C23&amp;" - UNITÉS - AAD"</f>
        <v>CPTE # 422K  CHEVROLET / GMC / HUMMER GRAND VUS VE - UNITÉS - AAD</v>
      </c>
      <c r="O1960" s="611" t="str">
        <f t="shared" si="261"/>
        <v/>
      </c>
      <c r="P1960" s="611" t="str">
        <f t="shared" si="263"/>
        <v>Page5_PARCS!K</v>
      </c>
      <c r="Q1960" s="611">
        <f t="shared" si="264"/>
        <v>23</v>
      </c>
      <c r="R1960" s="1447">
        <f t="shared" ca="1" si="265"/>
        <v>0</v>
      </c>
      <c r="S1960" s="1447">
        <f t="shared" ca="1" si="266"/>
        <v>0</v>
      </c>
      <c r="V1960" s="2557" t="str">
        <f t="shared" ca="1" si="268"/>
        <v/>
      </c>
      <c r="W1960" s="611" t="str">
        <f t="shared" ca="1" si="267"/>
        <v>Page5_PARCS, Ligne 20 [Page5_PARCS!K23]  -</v>
      </c>
    </row>
    <row r="1961" spans="1:23">
      <c r="A1961" s="1443" t="str">
        <f>celladdr(Page5_PARCS!K24)</f>
        <v>Page5_PARCS!K24</v>
      </c>
      <c r="B1961" s="1464" t="s">
        <v>1086</v>
      </c>
      <c r="C1961" s="1451" t="b">
        <f>Page5_PARCS!$K$24&lt;0</f>
        <v>0</v>
      </c>
      <c r="D1961" s="1454" t="b">
        <f>OR(AND(Page5_PARCS!$K24&gt;0,Page5_PARCS!$M24=0),AND(Page5_PARCS!$M24&lt;&gt;0,Page5_PARCS!$K24=0))</f>
        <v>0</v>
      </c>
      <c r="E1961" s="1454"/>
      <c r="F1961" s="1454"/>
      <c r="G1961" s="1444" t="str">
        <f t="shared" si="262"/>
        <v/>
      </c>
      <c r="H1961" s="1446" t="str">
        <f>IF(C1961=TRUE,Comments!$B$26,"")</f>
        <v/>
      </c>
      <c r="I1961" s="1446" t="str">
        <f>IF(D1961=TRUE,Comments!$B$21,"")</f>
        <v/>
      </c>
      <c r="J1961" s="1446"/>
      <c r="K1961" s="1452"/>
      <c r="N1961" s="611" t="str">
        <f>"CPTE # "&amp;Page5_PARCS!E24&amp;"  "&amp;Page5_PARCS!C24&amp;" - UNITÉS - AAD"</f>
        <v>CPTE # 423K  CHEVROLET / GMC GRAND VUS MCI - UNITÉS - AAD</v>
      </c>
      <c r="O1961" s="611" t="str">
        <f t="shared" si="261"/>
        <v/>
      </c>
      <c r="P1961" s="611" t="str">
        <f t="shared" si="263"/>
        <v>Page5_PARCS!K</v>
      </c>
      <c r="Q1961" s="611">
        <f t="shared" si="264"/>
        <v>24</v>
      </c>
      <c r="R1961" s="1447">
        <f t="shared" ca="1" si="265"/>
        <v>0</v>
      </c>
      <c r="S1961" s="1447">
        <f t="shared" ca="1" si="266"/>
        <v>0</v>
      </c>
      <c r="V1961" s="2557" t="str">
        <f t="shared" ca="1" si="268"/>
        <v/>
      </c>
      <c r="W1961" s="611" t="str">
        <f t="shared" ca="1" si="267"/>
        <v>Page5_PARCS, Ligne 21 [Page5_PARCS!K24]  -</v>
      </c>
    </row>
    <row r="1962" spans="1:23">
      <c r="A1962" s="1443" t="str">
        <f>celladdr(Page5_PARCS!K25)</f>
        <v>Page5_PARCS!K25</v>
      </c>
      <c r="B1962" s="1464" t="s">
        <v>1086</v>
      </c>
      <c r="C1962" s="1451" t="b">
        <f>Page5_PARCS!$K$25&lt;0</f>
        <v>0</v>
      </c>
      <c r="D1962" s="1454" t="b">
        <f>OR(AND(Page5_PARCS!$K25&gt;0,Page5_PARCS!$M25=0),AND(Page5_PARCS!$M25&lt;&gt;0,Page5_PARCS!$K25=0))</f>
        <v>0</v>
      </c>
      <c r="E1962" s="1454"/>
      <c r="F1962" s="1454"/>
      <c r="G1962" s="1444" t="str">
        <f t="shared" si="262"/>
        <v/>
      </c>
      <c r="H1962" s="1446" t="str">
        <f>IF(C1962=TRUE,Comments!$B$26,"")</f>
        <v/>
      </c>
      <c r="I1962" s="1446" t="str">
        <f>IF(D1962=TRUE,Comments!$B$21,"")</f>
        <v/>
      </c>
      <c r="J1962" s="1446"/>
      <c r="K1962" s="1452"/>
      <c r="N1962" s="611" t="str">
        <f>"CPTE # "&amp;Page5_PARCS!E25&amp;"  "&amp;Page5_PARCS!C25&amp;" - UNITÉS - AAD"</f>
        <v>CPTE # 424K  SILVERADO/SIERRA POIDS LOURD MCI (2500/3500) - UNITÉS - AAD</v>
      </c>
      <c r="O1962" s="611" t="str">
        <f t="shared" si="261"/>
        <v/>
      </c>
      <c r="P1962" s="611" t="str">
        <f t="shared" si="263"/>
        <v>Page5_PARCS!K</v>
      </c>
      <c r="Q1962" s="611">
        <f t="shared" si="264"/>
        <v>25</v>
      </c>
      <c r="R1962" s="1447">
        <f t="shared" ca="1" si="265"/>
        <v>0</v>
      </c>
      <c r="S1962" s="1447">
        <f t="shared" ca="1" si="266"/>
        <v>0</v>
      </c>
      <c r="V1962" s="2557" t="str">
        <f t="shared" ca="1" si="268"/>
        <v/>
      </c>
      <c r="W1962" s="611" t="str">
        <f t="shared" ca="1" si="267"/>
        <v>Page5_PARCS, Ligne 22 [Page5_PARCS!K25]  -</v>
      </c>
    </row>
    <row r="1963" spans="1:23">
      <c r="A1963" s="1443" t="str">
        <f>celladdr(Page5_PARCS!K26)</f>
        <v>Page5_PARCS!K26</v>
      </c>
      <c r="B1963" s="1464" t="s">
        <v>1086</v>
      </c>
      <c r="C1963" s="1451" t="b">
        <f>Page5_PARCS!$K$26&lt;0</f>
        <v>0</v>
      </c>
      <c r="D1963" s="1454" t="b">
        <f>OR(AND(Page5_PARCS!$K26&gt;0,Page5_PARCS!$M26=0),AND(Page5_PARCS!$M26&lt;&gt;0,Page5_PARCS!$K26=0))</f>
        <v>0</v>
      </c>
      <c r="E1963" s="1454"/>
      <c r="F1963" s="1454"/>
      <c r="G1963" s="1444" t="str">
        <f t="shared" si="262"/>
        <v/>
      </c>
      <c r="H1963" s="1446" t="str">
        <f>IF(C1963=TRUE,Comments!$B$26,"")</f>
        <v/>
      </c>
      <c r="I1963" s="1446" t="str">
        <f>IF(D1963=TRUE,Comments!$B$21,"")</f>
        <v/>
      </c>
      <c r="J1963" s="1446"/>
      <c r="K1963" s="1452"/>
      <c r="N1963" s="611" t="str">
        <f>"CPTE # "&amp;Page5_PARCS!E26&amp;"  "&amp;Page5_PARCS!C26&amp;" - UNITÉS - AAD"</f>
        <v>CPTE # 425K  NE PAS UTILISER - UNITÉS - AAD</v>
      </c>
      <c r="O1963" s="611" t="str">
        <f t="shared" si="261"/>
        <v/>
      </c>
      <c r="P1963" s="611" t="str">
        <f t="shared" si="263"/>
        <v>Page5_PARCS!K</v>
      </c>
      <c r="Q1963" s="611">
        <f t="shared" si="264"/>
        <v>26</v>
      </c>
      <c r="R1963" s="1447">
        <f t="shared" ca="1" si="265"/>
        <v>0</v>
      </c>
      <c r="S1963" s="1447">
        <f t="shared" ca="1" si="266"/>
        <v>0</v>
      </c>
      <c r="V1963" s="2557" t="str">
        <f t="shared" ca="1" si="268"/>
        <v/>
      </c>
      <c r="W1963" s="611" t="str">
        <f t="shared" ca="1" si="267"/>
        <v>Page5_PARCS, Ligne 23 [Page5_PARCS!K26]  -</v>
      </c>
    </row>
    <row r="1964" spans="1:23">
      <c r="A1964" s="1443" t="str">
        <f>celladdr(Page5_PARCS!K27)</f>
        <v>Page5_PARCS!K27</v>
      </c>
      <c r="B1964" s="1464" t="s">
        <v>1086</v>
      </c>
      <c r="C1964" s="1451" t="b">
        <f>Page5_PARCS!$K$27&lt;0</f>
        <v>0</v>
      </c>
      <c r="D1964" s="1454" t="b">
        <f>OR(AND(Page5_PARCS!$K27&gt;0,Page5_PARCS!$M27=0),AND(Page5_PARCS!$M27&lt;&gt;0,Page5_PARCS!$K27=0))</f>
        <v>0</v>
      </c>
      <c r="E1964" s="1454"/>
      <c r="F1964" s="1454"/>
      <c r="G1964" s="1444" t="str">
        <f t="shared" si="262"/>
        <v/>
      </c>
      <c r="H1964" s="1446" t="str">
        <f>IF(C1964=TRUE,Comments!$B$26,"")</f>
        <v/>
      </c>
      <c r="I1964" s="1446" t="str">
        <f>IF(D1964=TRUE,Comments!$B$21,"")</f>
        <v/>
      </c>
      <c r="J1964" s="1446"/>
      <c r="K1964" s="1452"/>
      <c r="N1964" s="611" t="str">
        <f>"CPTE # "&amp;Page5_PARCS!E27&amp;"  "&amp;Page5_PARCS!C27&amp;" - UNITÉS - AAD"</f>
        <v>CPTE # 426K  SILVERADO/SIERRA POIDS LÉGER MCI (1500) - UNITÉS - AAD</v>
      </c>
      <c r="O1964" s="611" t="str">
        <f t="shared" si="261"/>
        <v/>
      </c>
      <c r="P1964" s="611" t="str">
        <f t="shared" si="263"/>
        <v>Page5_PARCS!K</v>
      </c>
      <c r="Q1964" s="611">
        <f t="shared" si="264"/>
        <v>27</v>
      </c>
      <c r="R1964" s="1447">
        <f t="shared" ca="1" si="265"/>
        <v>0</v>
      </c>
      <c r="S1964" s="1447">
        <f t="shared" ca="1" si="266"/>
        <v>0</v>
      </c>
      <c r="V1964" s="2557" t="str">
        <f t="shared" ca="1" si="268"/>
        <v/>
      </c>
      <c r="W1964" s="611" t="str">
        <f t="shared" ca="1" si="267"/>
        <v>Page5_PARCS, Ligne 24 [Page5_PARCS!K27]  -</v>
      </c>
    </row>
    <row r="1965" spans="1:23">
      <c r="A1965" s="1443" t="str">
        <f>celladdr(Page5_PARCS!K28)</f>
        <v>Page5_PARCS!K28</v>
      </c>
      <c r="B1965" s="1464" t="s">
        <v>1086</v>
      </c>
      <c r="C1965" s="1451" t="b">
        <f>Page5_PARCS!$K$28&lt;0</f>
        <v>0</v>
      </c>
      <c r="D1965" s="1454" t="b">
        <f>OR(AND(Page5_PARCS!$K28&gt;0,Page5_PARCS!$M28=0),AND(Page5_PARCS!$M28&lt;&gt;0,Page5_PARCS!$K28=0))</f>
        <v>0</v>
      </c>
      <c r="E1965" s="1454"/>
      <c r="F1965" s="1454"/>
      <c r="G1965" s="1444" t="str">
        <f t="shared" si="262"/>
        <v/>
      </c>
      <c r="H1965" s="1446" t="str">
        <f>IF(C1965=TRUE,Comments!$B$26,"")</f>
        <v/>
      </c>
      <c r="I1965" s="1446" t="str">
        <f>IF(D1965=TRUE,Comments!$B$21,"")</f>
        <v/>
      </c>
      <c r="J1965" s="1446"/>
      <c r="K1965" s="1452"/>
      <c r="N1965" s="611" t="str">
        <f>"CPTE # "&amp;Page5_PARCS!E28&amp;"  "&amp;Page5_PARCS!C28&amp;" - UNITÉS - AAD"</f>
        <v>CPTE # 427K  SILVERADO/SIERRA/HUMMER POIDS LOURD VE - UNITÉS - AAD</v>
      </c>
      <c r="O1965" s="611" t="str">
        <f t="shared" si="261"/>
        <v/>
      </c>
      <c r="P1965" s="611" t="str">
        <f t="shared" si="263"/>
        <v>Page5_PARCS!K</v>
      </c>
      <c r="Q1965" s="611">
        <f t="shared" si="264"/>
        <v>28</v>
      </c>
      <c r="R1965" s="1447">
        <f t="shared" ca="1" si="265"/>
        <v>0</v>
      </c>
      <c r="S1965" s="1447">
        <f t="shared" ca="1" si="266"/>
        <v>0</v>
      </c>
      <c r="V1965" s="2557" t="str">
        <f t="shared" ca="1" si="268"/>
        <v/>
      </c>
      <c r="W1965" s="611" t="str">
        <f t="shared" ca="1" si="267"/>
        <v>Page5_PARCS, Ligne 25 [Page5_PARCS!K28]  -</v>
      </c>
    </row>
    <row r="1966" spans="1:23">
      <c r="A1966" s="1443" t="str">
        <f>celladdr(Page5_PARCS!K29)</f>
        <v>Page5_PARCS!K29</v>
      </c>
      <c r="B1966" s="1464" t="s">
        <v>1086</v>
      </c>
      <c r="C1966" s="1451" t="b">
        <f>Page5_PARCS!$K$29&lt;0</f>
        <v>0</v>
      </c>
      <c r="D1966" s="1454" t="b">
        <f>OR(AND(Page5_PARCS!$K29&gt;0,Page5_PARCS!$M29=0),AND(Page5_PARCS!$M29&lt;&gt;0,Page5_PARCS!$K29=0))</f>
        <v>0</v>
      </c>
      <c r="E1966" s="1454"/>
      <c r="F1966" s="1454"/>
      <c r="G1966" s="1444" t="str">
        <f t="shared" si="262"/>
        <v/>
      </c>
      <c r="H1966" s="1446" t="str">
        <f>IF(C1966=TRUE,Comments!$B$26,"")</f>
        <v/>
      </c>
      <c r="I1966" s="1446" t="str">
        <f>IF(D1966=TRUE,Comments!$B$21,"")</f>
        <v/>
      </c>
      <c r="J1966" s="1446"/>
      <c r="K1966" s="1452"/>
      <c r="N1966" s="611" t="str">
        <f>"CPTE # "&amp;Page5_PARCS!E29&amp;"  "&amp;Page5_PARCS!C29&amp;" - UNITÉS - AAD"</f>
        <v>CPTE # 428K  COLORADO/CANYON MCI - UNITÉS - AAD</v>
      </c>
      <c r="O1966" s="611" t="str">
        <f t="shared" si="261"/>
        <v/>
      </c>
      <c r="P1966" s="611" t="str">
        <f t="shared" si="263"/>
        <v>Page5_PARCS!K</v>
      </c>
      <c r="Q1966" s="611">
        <f t="shared" si="264"/>
        <v>29</v>
      </c>
      <c r="R1966" s="1447">
        <f t="shared" ca="1" si="265"/>
        <v>0</v>
      </c>
      <c r="S1966" s="1447">
        <f t="shared" ca="1" si="266"/>
        <v>0</v>
      </c>
      <c r="V1966" s="2557" t="str">
        <f t="shared" ca="1" si="268"/>
        <v/>
      </c>
      <c r="W1966" s="611" t="str">
        <f t="shared" ca="1" si="267"/>
        <v>Page5_PARCS, Ligne 26 [Page5_PARCS!K29]  -</v>
      </c>
    </row>
    <row r="1967" spans="1:23">
      <c r="A1967" s="1443" t="str">
        <f>celladdr(Page5_PARCS!K30)</f>
        <v>Page5_PARCS!K30</v>
      </c>
      <c r="B1967" s="1464" t="s">
        <v>1086</v>
      </c>
      <c r="C1967" s="1451" t="b">
        <f>Page5_PARCS!$K$30&lt;0</f>
        <v>0</v>
      </c>
      <c r="D1967" s="1454" t="b">
        <f>OR(AND(Page5_PARCS!$K30&gt;0,Page5_PARCS!$M30=0),AND(Page5_PARCS!$M30&lt;&gt;0,Page5_PARCS!$K30=0))</f>
        <v>0</v>
      </c>
      <c r="E1967" s="1454"/>
      <c r="F1967" s="1454"/>
      <c r="G1967" s="1444" t="str">
        <f t="shared" si="262"/>
        <v/>
      </c>
      <c r="H1967" s="1446" t="str">
        <f>IF(C1967=TRUE,Comments!$B$26,"")</f>
        <v/>
      </c>
      <c r="I1967" s="1446" t="str">
        <f>IF(D1967=TRUE,Comments!$B$21,"")</f>
        <v/>
      </c>
      <c r="J1967" s="1446"/>
      <c r="K1967" s="1452"/>
      <c r="N1967" s="611" t="str">
        <f>"CPTE # "&amp;Page5_PARCS!E30&amp;"  "&amp;Page5_PARCS!C30&amp;" - UNITÉS - AAD"</f>
        <v>CPTE # 429K  NE PAS UTILISER - UNITÉS - AAD</v>
      </c>
      <c r="O1967" s="611" t="str">
        <f t="shared" si="261"/>
        <v/>
      </c>
      <c r="P1967" s="611" t="str">
        <f t="shared" si="263"/>
        <v>Page5_PARCS!K</v>
      </c>
      <c r="Q1967" s="611">
        <f t="shared" si="264"/>
        <v>30</v>
      </c>
      <c r="R1967" s="1447">
        <f t="shared" ca="1" si="265"/>
        <v>0</v>
      </c>
      <c r="S1967" s="1447">
        <f t="shared" ca="1" si="266"/>
        <v>0</v>
      </c>
      <c r="V1967" s="2557" t="str">
        <f t="shared" ca="1" si="268"/>
        <v/>
      </c>
      <c r="W1967" s="611" t="str">
        <f t="shared" ca="1" si="267"/>
        <v>Page5_PARCS, Ligne 27 [Page5_PARCS!K30]  -</v>
      </c>
    </row>
    <row r="1968" spans="1:23">
      <c r="A1968" s="1443" t="str">
        <f>celladdr(Page5_PARCS!K31)</f>
        <v>Page5_PARCS!K31</v>
      </c>
      <c r="B1968" s="1464" t="s">
        <v>1086</v>
      </c>
      <c r="C1968" s="1451" t="b">
        <f>Page5_PARCS!$K$31&lt;0</f>
        <v>0</v>
      </c>
      <c r="D1968" s="1454" t="b">
        <f>OR(AND(Page5_PARCS!$K31&gt;0,Page5_PARCS!$M31=0),AND(Page5_PARCS!$M31&lt;&gt;0,Page5_PARCS!$K31=0))</f>
        <v>0</v>
      </c>
      <c r="E1968" s="1454"/>
      <c r="F1968" s="1454"/>
      <c r="G1968" s="1444" t="str">
        <f t="shared" si="262"/>
        <v/>
      </c>
      <c r="H1968" s="1446" t="str">
        <f>IF(C1968=TRUE,Comments!$B$26,"")</f>
        <v/>
      </c>
      <c r="I1968" s="1446" t="str">
        <f>IF(D1968=TRUE,Comments!$B$21,"")</f>
        <v/>
      </c>
      <c r="J1968" s="1446"/>
      <c r="K1968" s="1452"/>
      <c r="N1968" s="611" t="str">
        <f>"CPTE # "&amp;Page5_PARCS!E31&amp;"  "&amp;Page5_PARCS!C31&amp;" - UNITÉS - AAD"</f>
        <v>CPTE # 430K  SILVERADO CHASSIS (4500+) - UNITÉS - AAD</v>
      </c>
      <c r="O1968" s="611" t="str">
        <f t="shared" si="261"/>
        <v/>
      </c>
      <c r="P1968" s="611" t="str">
        <f t="shared" si="263"/>
        <v>Page5_PARCS!K</v>
      </c>
      <c r="Q1968" s="611">
        <f t="shared" si="264"/>
        <v>31</v>
      </c>
      <c r="R1968" s="1447">
        <f t="shared" ca="1" si="265"/>
        <v>0</v>
      </c>
      <c r="S1968" s="1447">
        <f t="shared" ca="1" si="266"/>
        <v>0</v>
      </c>
      <c r="V1968" s="2557" t="str">
        <f t="shared" ca="1" si="268"/>
        <v/>
      </c>
      <c r="W1968" s="611" t="str">
        <f t="shared" ca="1" si="267"/>
        <v>Page5_PARCS, Ligne 28 [Page5_PARCS!K31]  -</v>
      </c>
    </row>
    <row r="1969" spans="1:23">
      <c r="A1969" s="1443" t="str">
        <f>celladdr(Page5_PARCS!K32)</f>
        <v>Page5_PARCS!K32</v>
      </c>
      <c r="B1969" s="1464" t="s">
        <v>1086</v>
      </c>
      <c r="C1969" s="1451" t="b">
        <f>Page5_PARCS!$K$32&lt;0</f>
        <v>0</v>
      </c>
      <c r="D1969" s="1454" t="b">
        <f>OR(AND(Page5_PARCS!$K32&gt;0,Page5_PARCS!$M32=0),AND(Page5_PARCS!$M32&lt;&gt;0,Page5_PARCS!$K32=0))</f>
        <v>0</v>
      </c>
      <c r="E1969" s="1454"/>
      <c r="F1969" s="1454"/>
      <c r="G1969" s="1444" t="str">
        <f t="shared" si="262"/>
        <v/>
      </c>
      <c r="H1969" s="1446" t="str">
        <f>IF(C1969=TRUE,Comments!$B$26,"")</f>
        <v/>
      </c>
      <c r="I1969" s="1446" t="str">
        <f>IF(D1969=TRUE,Comments!$B$21,"")</f>
        <v/>
      </c>
      <c r="J1969" s="1446"/>
      <c r="K1969" s="1452"/>
      <c r="N1969" s="611" t="str">
        <f>"CPTE # "&amp;Page5_PARCS!E32&amp;"  "&amp;Page5_PARCS!C32&amp;" - UNITÉS - AAD"</f>
        <v>CPTE # 431K  CHEVROLET/GMC LCF/CONV - UNITÉS - AAD</v>
      </c>
      <c r="O1969" s="611" t="str">
        <f t="shared" si="261"/>
        <v/>
      </c>
      <c r="P1969" s="611" t="str">
        <f t="shared" si="263"/>
        <v>Page5_PARCS!K</v>
      </c>
      <c r="Q1969" s="611">
        <f t="shared" si="264"/>
        <v>32</v>
      </c>
      <c r="R1969" s="1447">
        <f t="shared" ca="1" si="265"/>
        <v>0</v>
      </c>
      <c r="S1969" s="1447">
        <f t="shared" ca="1" si="266"/>
        <v>0</v>
      </c>
      <c r="V1969" s="2557" t="str">
        <f t="shared" ca="1" si="268"/>
        <v/>
      </c>
      <c r="W1969" s="611" t="str">
        <f t="shared" ca="1" si="267"/>
        <v>Page5_PARCS, Ligne 29 [Page5_PARCS!K32]  -</v>
      </c>
    </row>
    <row r="1970" spans="1:23">
      <c r="A1970" s="1443" t="str">
        <f>celladdr(Page5_PARCS!K33)</f>
        <v>Page5_PARCS!K33</v>
      </c>
      <c r="B1970" s="1464" t="s">
        <v>1086</v>
      </c>
      <c r="C1970" s="1451" t="b">
        <f>Page5_PARCS!$K$33&lt;0</f>
        <v>0</v>
      </c>
      <c r="D1970" s="1454" t="b">
        <f>OR(AND(Page5_PARCS!$K33&gt;0,Page5_PARCS!$M33=0),AND(Page5_PARCS!$M33&lt;&gt;0,Page5_PARCS!$K33=0))</f>
        <v>0</v>
      </c>
      <c r="E1970" s="1454"/>
      <c r="F1970" s="1454"/>
      <c r="G1970" s="1444" t="str">
        <f t="shared" si="262"/>
        <v/>
      </c>
      <c r="H1970" s="1446" t="str">
        <f>IF(C1970=TRUE,Comments!$B$26,"")</f>
        <v/>
      </c>
      <c r="I1970" s="1446" t="str">
        <f>IF(D1970=TRUE,Comments!$B$21,"")</f>
        <v/>
      </c>
      <c r="J1970" s="1446"/>
      <c r="K1970" s="1452"/>
      <c r="N1970" s="611" t="str">
        <f>"CPTE # "&amp;Page5_PARCS!E33&amp;"  "&amp;Page5_PARCS!C33&amp;" - UNITÉS - AAD"</f>
        <v>CPTE # 432K  EXPRESS/SAVANA MCI - UNITÉS - AAD</v>
      </c>
      <c r="O1970" s="611" t="str">
        <f t="shared" si="261"/>
        <v/>
      </c>
      <c r="P1970" s="611" t="str">
        <f t="shared" si="263"/>
        <v>Page5_PARCS!K</v>
      </c>
      <c r="Q1970" s="611">
        <f t="shared" si="264"/>
        <v>33</v>
      </c>
      <c r="R1970" s="1447">
        <f t="shared" ca="1" si="265"/>
        <v>0</v>
      </c>
      <c r="S1970" s="1447">
        <f t="shared" ca="1" si="266"/>
        <v>0</v>
      </c>
      <c r="V1970" s="2557" t="str">
        <f t="shared" ca="1" si="268"/>
        <v/>
      </c>
      <c r="W1970" s="611" t="str">
        <f t="shared" ca="1" si="267"/>
        <v>Page5_PARCS, Ligne 30 [Page5_PARCS!K33]  -</v>
      </c>
    </row>
    <row r="1971" spans="1:23">
      <c r="A1971" s="1443" t="str">
        <f>celladdr(Page5_PARCS!K34)</f>
        <v>Page5_PARCS!K34</v>
      </c>
      <c r="B1971" s="1464" t="s">
        <v>1086</v>
      </c>
      <c r="C1971" s="1451" t="b">
        <f>Page5_PARCS!$K$34&lt;0</f>
        <v>0</v>
      </c>
      <c r="D1971" s="1454" t="b">
        <f>OR(AND(Page5_PARCS!$K34&gt;0,Page5_PARCS!$M34=0),AND(Page5_PARCS!$M34&lt;&gt;0,Page5_PARCS!$K34=0))</f>
        <v>0</v>
      </c>
      <c r="E1971" s="1454"/>
      <c r="F1971" s="1454"/>
      <c r="G1971" s="1444" t="str">
        <f t="shared" si="262"/>
        <v/>
      </c>
      <c r="H1971" s="1446" t="str">
        <f>IF(C1971=TRUE,Comments!$B$26,"")</f>
        <v/>
      </c>
      <c r="I1971" s="1446" t="str">
        <f>IF(D1971=TRUE,Comments!$B$21,"")</f>
        <v/>
      </c>
      <c r="J1971" s="1446"/>
      <c r="K1971" s="1452"/>
      <c r="N1971" s="611" t="str">
        <f>"CPTE # "&amp;Page5_PARCS!E34&amp;"  "&amp;Page5_PARCS!C34&amp;" - UNITÉS - AAD"</f>
        <v>CPTE # 433K  NE PAS UTILISER - UNITÉS - AAD</v>
      </c>
      <c r="O1971" s="611" t="str">
        <f t="shared" si="261"/>
        <v/>
      </c>
      <c r="P1971" s="611" t="str">
        <f t="shared" si="263"/>
        <v>Page5_PARCS!K</v>
      </c>
      <c r="Q1971" s="611">
        <f t="shared" si="264"/>
        <v>34</v>
      </c>
      <c r="R1971" s="1447">
        <f t="shared" ca="1" si="265"/>
        <v>0</v>
      </c>
      <c r="S1971" s="1447">
        <f t="shared" ca="1" si="266"/>
        <v>0</v>
      </c>
      <c r="V1971" s="2557" t="str">
        <f t="shared" ca="1" si="268"/>
        <v/>
      </c>
      <c r="W1971" s="611" t="str">
        <f t="shared" ca="1" si="267"/>
        <v>Page5_PARCS, Ligne 31 [Page5_PARCS!K34]  -</v>
      </c>
    </row>
    <row r="1972" spans="1:23">
      <c r="A1972" s="1443" t="str">
        <f>celladdr(Page5_PARCS!K35)</f>
        <v>Page5_PARCS!K35</v>
      </c>
      <c r="B1972" s="1464" t="s">
        <v>1086</v>
      </c>
      <c r="C1972" s="1451" t="b">
        <f>Page5_PARCS!$K$35&lt;0</f>
        <v>0</v>
      </c>
      <c r="D1972" s="1454" t="b">
        <f>OR(AND(Page5_PARCS!$K35&gt;0,Page5_PARCS!$M35=0),AND(Page5_PARCS!$M35&lt;&gt;0,Page5_PARCS!$K35=0))</f>
        <v>0</v>
      </c>
      <c r="E1972" s="1454"/>
      <c r="F1972" s="1454"/>
      <c r="G1972" s="1444" t="str">
        <f t="shared" si="262"/>
        <v/>
      </c>
      <c r="H1972" s="1446" t="str">
        <f>IF(C1972=TRUE,Comments!$B$26,"")</f>
        <v/>
      </c>
      <c r="I1972" s="1446" t="str">
        <f>IF(D1972=TRUE,Comments!$B$21,"")</f>
        <v/>
      </c>
      <c r="J1972" s="1446"/>
      <c r="K1972" s="1452"/>
      <c r="N1972" s="611" t="str">
        <f>"CPTE # "&amp;Page5_PARCS!E35&amp;"  "&amp;Page5_PARCS!C35&amp;" - UNITÉS - AAD"</f>
        <v>CPTE # 434K  NE PAS UTILISER - UNITÉS - AAD</v>
      </c>
      <c r="O1972" s="611" t="str">
        <f t="shared" si="261"/>
        <v/>
      </c>
      <c r="P1972" s="611" t="str">
        <f t="shared" si="263"/>
        <v>Page5_PARCS!K</v>
      </c>
      <c r="Q1972" s="611">
        <f t="shared" si="264"/>
        <v>35</v>
      </c>
      <c r="R1972" s="1447">
        <f t="shared" ca="1" si="265"/>
        <v>0</v>
      </c>
      <c r="S1972" s="1447">
        <f t="shared" ca="1" si="266"/>
        <v>0</v>
      </c>
      <c r="V1972" s="2557" t="str">
        <f t="shared" ca="1" si="268"/>
        <v/>
      </c>
      <c r="W1972" s="611" t="str">
        <f t="shared" ca="1" si="267"/>
        <v>Page5_PARCS, Ligne 32 [Page5_PARCS!K35]  -</v>
      </c>
    </row>
    <row r="1973" spans="1:23">
      <c r="A1973" s="1443" t="str">
        <f>celladdr(Page5_PARCS!K68)</f>
        <v>Page5_PARCS!K68</v>
      </c>
      <c r="B1973" s="1453" t="s">
        <v>1086</v>
      </c>
      <c r="C1973" s="1445" t="b">
        <f>Page5_PARCS!$K$68&lt;&gt;Page5_PARCS!$K$57+Page5_PARCS!$K$58</f>
        <v>0</v>
      </c>
      <c r="D1973" s="1454"/>
      <c r="F1973" s="1454"/>
      <c r="G1973" s="1444" t="str">
        <f t="shared" si="262"/>
        <v/>
      </c>
      <c r="H1973" s="1446" t="str">
        <f>IF(C1973=TRUE,Comments!$B$38&amp;Page5_PARCS!$K$68-(Page5_PARCS!$K$57+Page5_PARCS!$K$58),"")</f>
        <v/>
      </c>
      <c r="I1973" s="1452"/>
      <c r="J1973" s="1452"/>
      <c r="K1973" s="1452"/>
      <c r="N1973" s="611" t="str">
        <f>Page5_PARCS!$B$1&amp;"TOTAL VÉHICULES NEUFS  - UNITÉS - AAD"</f>
        <v>TOTAL VÉHICULES NEUFS  - UNITÉS - AAD</v>
      </c>
      <c r="O1973" s="611" t="str">
        <f t="shared" si="261"/>
        <v/>
      </c>
      <c r="P1973" s="611" t="str">
        <f t="shared" si="263"/>
        <v>Page5_PARCS!K</v>
      </c>
      <c r="Q1973" s="611">
        <f t="shared" si="264"/>
        <v>68</v>
      </c>
      <c r="R1973" s="1447">
        <f t="shared" ca="1" si="265"/>
        <v>0</v>
      </c>
      <c r="S1973" s="1447">
        <f t="shared" ca="1" si="266"/>
        <v>0</v>
      </c>
      <c r="V1973" s="2557" t="str">
        <f t="shared" ca="1" si="268"/>
        <v/>
      </c>
      <c r="W1973" s="611" t="str">
        <f t="shared" ca="1" si="267"/>
        <v>Page5_PARCS, Ligne 65 [Page5_PARCS!K68]  -</v>
      </c>
    </row>
    <row r="1974" spans="1:23">
      <c r="A1974" s="1443" t="str">
        <f>celladdr(Page5_PARCS!L4)</f>
        <v>Page5_PARCS!L4</v>
      </c>
      <c r="B1974" s="1456" t="s">
        <v>1086</v>
      </c>
      <c r="C1974" s="1451" t="b">
        <f>Page5_PARCS!$L$4&lt;0</f>
        <v>0</v>
      </c>
      <c r="D1974" s="1454" t="b">
        <f>OR(AND(Page5_PARCS!$L4&lt;&gt;0,Page5_PARCS!$M4=0),AND(Page5_PARCS!$M4&lt;&gt;0,Page5_PARCS!$L4=0))</f>
        <v>0</v>
      </c>
      <c r="E1974" s="1454"/>
      <c r="F1974" s="1454"/>
      <c r="G1974" s="1444" t="str">
        <f t="shared" si="262"/>
        <v/>
      </c>
      <c r="H1974" s="1446" t="str">
        <f>IF(C1974=TRUE,Comments!$B$23,"")</f>
        <v/>
      </c>
      <c r="I1974" s="1446" t="str">
        <f>IF(D1974=TRUE,Comments!$B$24,"")</f>
        <v/>
      </c>
      <c r="J1974" s="1446"/>
      <c r="K1974" s="1452"/>
      <c r="N1974" s="611" t="str">
        <f>"CPTE # "&amp;Page5_PARCS!E4&amp;"  "&amp;Page5_PARCS!C4&amp;" - CHIFFRE D'AFFAIRES RÉALISÉ - AAD"</f>
        <v>CPTE # 400K  CHEVROLET VOITURES MCI - CHIFFRE D'AFFAIRES RÉALISÉ - AAD</v>
      </c>
      <c r="O1974" s="611" t="str">
        <f t="shared" si="261"/>
        <v/>
      </c>
      <c r="P1974" s="611" t="str">
        <f t="shared" si="263"/>
        <v>Page5_PARCS!L</v>
      </c>
      <c r="Q1974" s="611">
        <f t="shared" si="264"/>
        <v>4</v>
      </c>
      <c r="R1974" s="1447">
        <f t="shared" ca="1" si="265"/>
        <v>0</v>
      </c>
      <c r="S1974" s="1447">
        <f t="shared" ca="1" si="266"/>
        <v>0</v>
      </c>
      <c r="V1974" s="2557" t="str">
        <f t="shared" ca="1" si="268"/>
        <v/>
      </c>
      <c r="W1974" s="611" t="str">
        <f t="shared" ca="1" si="267"/>
        <v>Page5_PARCS, Ligne 1 [Page5_PARCS!L4]  -</v>
      </c>
    </row>
    <row r="1975" spans="1:23">
      <c r="A1975" s="1443" t="str">
        <f>celladdr(Page5_PARCS!L5)</f>
        <v>Page5_PARCS!L5</v>
      </c>
      <c r="B1975" s="1456" t="s">
        <v>1086</v>
      </c>
      <c r="C1975" s="1451" t="b">
        <f>Page5_PARCS!$L$5&lt;0</f>
        <v>0</v>
      </c>
      <c r="D1975" s="1454" t="b">
        <f>OR(AND(Page5_PARCS!$L5&lt;&gt;0,Page5_PARCS!$M5=0),AND(Page5_PARCS!$M5&lt;&gt;0,Page5_PARCS!$L5=0))</f>
        <v>0</v>
      </c>
      <c r="E1975" s="1454"/>
      <c r="F1975" s="1454"/>
      <c r="G1975" s="1444" t="str">
        <f t="shared" si="262"/>
        <v/>
      </c>
      <c r="H1975" s="1446" t="str">
        <f>IF(C1975=TRUE,Comments!$B$23,"")</f>
        <v/>
      </c>
      <c r="I1975" s="1446" t="str">
        <f>IF(D1975=TRUE,Comments!$B$24,"")</f>
        <v/>
      </c>
      <c r="J1975" s="1446"/>
      <c r="K1975" s="1452"/>
      <c r="N1975" s="611" t="str">
        <f>"CPTE # "&amp;Page5_PARCS!E5&amp;"  "&amp;Page5_PARCS!C5&amp;" - CHIFFRE D'AFFAIRES RÉALISÉ - AAD"</f>
        <v>CPTE # 401K  CHEVROLET VOITURES VE - CHIFFRE D'AFFAIRES RÉALISÉ - AAD</v>
      </c>
      <c r="O1975" s="611" t="str">
        <f t="shared" si="261"/>
        <v/>
      </c>
      <c r="P1975" s="611" t="str">
        <f t="shared" si="263"/>
        <v>Page5_PARCS!L</v>
      </c>
      <c r="Q1975" s="611">
        <f t="shared" si="264"/>
        <v>5</v>
      </c>
      <c r="R1975" s="1447">
        <f t="shared" ca="1" si="265"/>
        <v>0</v>
      </c>
      <c r="S1975" s="1447">
        <f t="shared" ca="1" si="266"/>
        <v>0</v>
      </c>
      <c r="V1975" s="2557" t="str">
        <f t="shared" ca="1" si="268"/>
        <v/>
      </c>
      <c r="W1975" s="611" t="str">
        <f t="shared" ca="1" si="267"/>
        <v>Page5_PARCS, Ligne 2 [Page5_PARCS!L5]  -</v>
      </c>
    </row>
    <row r="1976" spans="1:23">
      <c r="A1976" s="1443" t="str">
        <f>celladdr(Page5_PARCS!L6)</f>
        <v>Page5_PARCS!L6</v>
      </c>
      <c r="B1976" s="1456" t="s">
        <v>1086</v>
      </c>
      <c r="C1976" s="1451" t="b">
        <f>Page5_PARCS!$L$6&lt;0</f>
        <v>0</v>
      </c>
      <c r="D1976" s="1454" t="b">
        <f>OR(AND(Page5_PARCS!$L6&lt;&gt;0,Page5_PARCS!$M6=0),AND(Page5_PARCS!$M6&lt;&gt;0,Page5_PARCS!$L6=0))</f>
        <v>0</v>
      </c>
      <c r="E1976" s="1454"/>
      <c r="F1976" s="1454"/>
      <c r="G1976" s="1444" t="str">
        <f t="shared" si="262"/>
        <v/>
      </c>
      <c r="H1976" s="1446" t="str">
        <f>IF(C1976=TRUE,Comments!$B$23,"")</f>
        <v/>
      </c>
      <c r="I1976" s="1446" t="str">
        <f>IF(D1976=TRUE,Comments!$B$24,"")</f>
        <v/>
      </c>
      <c r="J1976" s="1446"/>
      <c r="K1976" s="1452"/>
      <c r="N1976" s="611" t="str">
        <f>"CPTE # "&amp;Page5_PARCS!E6&amp;"  "&amp;Page5_PARCS!C6&amp;" - CHIFFRE D'AFFAIRES RÉALISÉ - AAD"</f>
        <v>CPTE # 402K  BUICK VOITURES MCI - CHIFFRE D'AFFAIRES RÉALISÉ - AAD</v>
      </c>
      <c r="O1976" s="611" t="str">
        <f t="shared" si="261"/>
        <v/>
      </c>
      <c r="P1976" s="611" t="str">
        <f t="shared" si="263"/>
        <v>Page5_PARCS!L</v>
      </c>
      <c r="Q1976" s="611">
        <f t="shared" si="264"/>
        <v>6</v>
      </c>
      <c r="R1976" s="1447">
        <f t="shared" ca="1" si="265"/>
        <v>0</v>
      </c>
      <c r="S1976" s="1447">
        <f t="shared" ca="1" si="266"/>
        <v>0</v>
      </c>
      <c r="V1976" s="2557" t="str">
        <f t="shared" ca="1" si="268"/>
        <v/>
      </c>
      <c r="W1976" s="611" t="str">
        <f t="shared" ca="1" si="267"/>
        <v>Page5_PARCS, Ligne 3 [Page5_PARCS!L6]  -</v>
      </c>
    </row>
    <row r="1977" spans="1:23">
      <c r="A1977" s="1443" t="str">
        <f>celladdr(Page5_PARCS!L7)</f>
        <v>Page5_PARCS!L7</v>
      </c>
      <c r="B1977" s="1456" t="s">
        <v>1086</v>
      </c>
      <c r="C1977" s="1451" t="b">
        <f>Page5_PARCS!$L$7&lt;0</f>
        <v>0</v>
      </c>
      <c r="D1977" s="1454" t="b">
        <f>OR(AND(Page5_PARCS!$L7&lt;&gt;0,Page5_PARCS!$M7=0),AND(Page5_PARCS!$M7&lt;&gt;0,Page5_PARCS!$L7=0))</f>
        <v>0</v>
      </c>
      <c r="E1977" s="1454"/>
      <c r="F1977" s="1454"/>
      <c r="G1977" s="1444" t="str">
        <f t="shared" si="262"/>
        <v/>
      </c>
      <c r="H1977" s="1446" t="str">
        <f>IF(C1977=TRUE,Comments!$B$23,"")</f>
        <v/>
      </c>
      <c r="I1977" s="1446" t="str">
        <f>IF(D1977=TRUE,Comments!$B$24,"")</f>
        <v/>
      </c>
      <c r="J1977" s="1446"/>
      <c r="K1977" s="1452"/>
      <c r="N1977" s="611" t="str">
        <f>"CPTE # "&amp;Page5_PARCS!E7&amp;"  "&amp;Page5_PARCS!C7&amp;" - CHIFFRE D'AFFAIRES RÉALISÉ - AAD"</f>
        <v>CPTE # 403K  BUICK VOITURES VE - CHIFFRE D'AFFAIRES RÉALISÉ - AAD</v>
      </c>
      <c r="O1977" s="611" t="str">
        <f t="shared" si="261"/>
        <v/>
      </c>
      <c r="P1977" s="611" t="str">
        <f t="shared" si="263"/>
        <v>Page5_PARCS!L</v>
      </c>
      <c r="Q1977" s="611">
        <f t="shared" si="264"/>
        <v>7</v>
      </c>
      <c r="R1977" s="1447">
        <f t="shared" ca="1" si="265"/>
        <v>0</v>
      </c>
      <c r="S1977" s="1447">
        <f t="shared" ca="1" si="266"/>
        <v>0</v>
      </c>
      <c r="V1977" s="2557" t="str">
        <f t="shared" ca="1" si="268"/>
        <v/>
      </c>
      <c r="W1977" s="611" t="str">
        <f t="shared" ca="1" si="267"/>
        <v>Page5_PARCS, Ligne 4 [Page5_PARCS!L7]  -</v>
      </c>
    </row>
    <row r="1978" spans="1:23">
      <c r="A1978" s="1443" t="str">
        <f>celladdr(Page5_PARCS!L8)</f>
        <v>Page5_PARCS!L8</v>
      </c>
      <c r="B1978" s="1456" t="s">
        <v>1086</v>
      </c>
      <c r="C1978" s="1451" t="b">
        <f>Page5_PARCS!$L$8&lt;0</f>
        <v>0</v>
      </c>
      <c r="D1978" s="1454" t="b">
        <f>OR(AND(Page5_PARCS!$L8&lt;&gt;0,Page5_PARCS!$M8=0),AND(Page5_PARCS!$M8&lt;&gt;0,Page5_PARCS!$L8=0))</f>
        <v>0</v>
      </c>
      <c r="E1978" s="1454"/>
      <c r="F1978" s="1454"/>
      <c r="G1978" s="1444" t="str">
        <f t="shared" si="262"/>
        <v/>
      </c>
      <c r="H1978" s="1446" t="str">
        <f>IF(C1978=TRUE,Comments!$B$23,"")</f>
        <v/>
      </c>
      <c r="I1978" s="1446" t="str">
        <f>IF(D1978=TRUE,Comments!$B$24,"")</f>
        <v/>
      </c>
      <c r="J1978" s="1446"/>
      <c r="K1978" s="1452"/>
      <c r="N1978" s="611" t="str">
        <f>"CPTE # "&amp;Page5_PARCS!E8&amp;"  "&amp;Page5_PARCS!C8&amp;" - CHIFFRE D'AFFAIRES RÉALISÉ - AAD"</f>
        <v>CPTE # 404K  CADILLAC VOITURES MCI - CHIFFRE D'AFFAIRES RÉALISÉ - AAD</v>
      </c>
      <c r="O1978" s="611" t="str">
        <f t="shared" si="261"/>
        <v/>
      </c>
      <c r="P1978" s="611" t="str">
        <f t="shared" si="263"/>
        <v>Page5_PARCS!L</v>
      </c>
      <c r="Q1978" s="611">
        <f t="shared" si="264"/>
        <v>8</v>
      </c>
      <c r="R1978" s="1447">
        <f t="shared" ca="1" si="265"/>
        <v>0</v>
      </c>
      <c r="S1978" s="1447">
        <f t="shared" ca="1" si="266"/>
        <v>0</v>
      </c>
      <c r="V1978" s="2557" t="str">
        <f t="shared" ca="1" si="268"/>
        <v/>
      </c>
      <c r="W1978" s="611" t="str">
        <f t="shared" ca="1" si="267"/>
        <v>Page5_PARCS, Ligne 5 [Page5_PARCS!L8]  -</v>
      </c>
    </row>
    <row r="1979" spans="1:23">
      <c r="A1979" s="1443" t="str">
        <f>celladdr(Page5_PARCS!L9)</f>
        <v>Page5_PARCS!L9</v>
      </c>
      <c r="B1979" s="1456" t="s">
        <v>1086</v>
      </c>
      <c r="C1979" s="1451" t="b">
        <f>Page5_PARCS!$L$9&lt;0</f>
        <v>0</v>
      </c>
      <c r="D1979" s="1454" t="b">
        <f>OR(AND(Page5_PARCS!$L9&lt;&gt;0,Page5_PARCS!$M9=0),AND(Page5_PARCS!$M9&lt;&gt;0,Page5_PARCS!$L9=0))</f>
        <v>0</v>
      </c>
      <c r="E1979" s="1454"/>
      <c r="F1979" s="1454"/>
      <c r="G1979" s="1444" t="str">
        <f t="shared" si="262"/>
        <v/>
      </c>
      <c r="H1979" s="1446" t="str">
        <f>IF(C1979=TRUE,Comments!$B$23,"")</f>
        <v/>
      </c>
      <c r="I1979" s="1446" t="str">
        <f>IF(D1979=TRUE,Comments!$B$24,"")</f>
        <v/>
      </c>
      <c r="J1979" s="1446"/>
      <c r="K1979" s="1452"/>
      <c r="N1979" s="611" t="str">
        <f>"CPTE # "&amp;Page5_PARCS!E9&amp;"  "&amp;Page5_PARCS!C9&amp;" - CHIFFRE D'AFFAIRES RÉALISÉ - AAD"</f>
        <v>CPTE # 405K  CADILLAC VOITURES VE - CHIFFRE D'AFFAIRES RÉALISÉ - AAD</v>
      </c>
      <c r="O1979" s="611" t="str">
        <f t="shared" si="261"/>
        <v/>
      </c>
      <c r="P1979" s="611" t="str">
        <f t="shared" si="263"/>
        <v>Page5_PARCS!L</v>
      </c>
      <c r="Q1979" s="611">
        <f t="shared" si="264"/>
        <v>9</v>
      </c>
      <c r="R1979" s="1447">
        <f t="shared" ca="1" si="265"/>
        <v>0</v>
      </c>
      <c r="S1979" s="1447">
        <f t="shared" ca="1" si="266"/>
        <v>0</v>
      </c>
      <c r="V1979" s="2557" t="str">
        <f t="shared" ca="1" si="268"/>
        <v/>
      </c>
      <c r="W1979" s="611" t="str">
        <f t="shared" ca="1" si="267"/>
        <v>Page5_PARCS, Ligne 6 [Page5_PARCS!L9]  -</v>
      </c>
    </row>
    <row r="1980" spans="1:23">
      <c r="A1980" s="1443" t="str">
        <f>celladdr(Page5_PARCS!L10)</f>
        <v>Page5_PARCS!L10</v>
      </c>
      <c r="B1980" s="1456" t="s">
        <v>1086</v>
      </c>
      <c r="C1980" s="1451" t="b">
        <f>Page5_PARCS!$L$10&lt;0</f>
        <v>0</v>
      </c>
      <c r="D1980" s="1454" t="b">
        <f>OR(AND(Page5_PARCS!$L10&lt;&gt;0,Page5_PARCS!$M10=0),AND(Page5_PARCS!$M10&lt;&gt;0,Page5_PARCS!$L10=0))</f>
        <v>0</v>
      </c>
      <c r="E1980" s="1454"/>
      <c r="F1980" s="1454"/>
      <c r="G1980" s="1444" t="str">
        <f t="shared" si="262"/>
        <v/>
      </c>
      <c r="H1980" s="1446" t="str">
        <f>IF(C1980=TRUE,Comments!$B$23,"")</f>
        <v/>
      </c>
      <c r="I1980" s="1446" t="str">
        <f>IF(D1980=TRUE,Comments!$B$24,"")</f>
        <v/>
      </c>
      <c r="J1980" s="1446"/>
      <c r="K1980" s="1452"/>
      <c r="N1980" s="611" t="str">
        <f>"CPTE # "&amp;Page5_PARCS!E10&amp;"  "&amp;Page5_PARCS!C10&amp;" - CHIFFRE D'AFFAIRES RÉALISÉ - AAD"</f>
        <v>CPTE # 406K  NE PAS UTILISER - CHIFFRE D'AFFAIRES RÉALISÉ - AAD</v>
      </c>
      <c r="O1980" s="611" t="str">
        <f t="shared" si="261"/>
        <v/>
      </c>
      <c r="P1980" s="611" t="str">
        <f t="shared" si="263"/>
        <v>Page5_PARCS!L</v>
      </c>
      <c r="Q1980" s="611">
        <f t="shared" si="264"/>
        <v>10</v>
      </c>
      <c r="R1980" s="1447">
        <f t="shared" ca="1" si="265"/>
        <v>0</v>
      </c>
      <c r="S1980" s="1447">
        <f t="shared" ca="1" si="266"/>
        <v>0</v>
      </c>
      <c r="V1980" s="2557" t="str">
        <f t="shared" ca="1" si="268"/>
        <v/>
      </c>
      <c r="W1980" s="611" t="str">
        <f t="shared" ca="1" si="267"/>
        <v>Page5_PARCS, Ligne 7 [Page5_PARCS!L10]  -</v>
      </c>
    </row>
    <row r="1981" spans="1:23">
      <c r="A1981" s="1443" t="str">
        <f>celladdr(Page5_PARCS!L11)</f>
        <v>Page5_PARCS!L11</v>
      </c>
      <c r="B1981" s="1456" t="s">
        <v>1086</v>
      </c>
      <c r="C1981" s="1451" t="b">
        <f>Page5_PARCS!$L$11&lt;0</f>
        <v>0</v>
      </c>
      <c r="D1981" s="1454" t="b">
        <f>OR(AND(Page5_PARCS!$L11&lt;&gt;0,Page5_PARCS!$M11=0),AND(Page5_PARCS!$M11&lt;&gt;0,Page5_PARCS!$L11=0))</f>
        <v>0</v>
      </c>
      <c r="E1981" s="1454"/>
      <c r="F1981" s="1454"/>
      <c r="G1981" s="1444" t="str">
        <f t="shared" si="262"/>
        <v/>
      </c>
      <c r="H1981" s="1446" t="str">
        <f>IF(C1981=TRUE,Comments!$B$23,"")</f>
        <v/>
      </c>
      <c r="I1981" s="1446" t="str">
        <f>IF(D1981=TRUE,Comments!$B$24,"")</f>
        <v/>
      </c>
      <c r="J1981" s="1446"/>
      <c r="K1981" s="1452"/>
      <c r="N1981" s="611" t="str">
        <f>"CPTE # "&amp;Page5_PARCS!E11&amp;"  "&amp;Page5_PARCS!C11&amp;" - CHIFFRE D'AFFAIRES RÉALISÉ - AAD"</f>
        <v>CPTE # 407K  NE PAS UTILISER - CHIFFRE D'AFFAIRES RÉALISÉ - AAD</v>
      </c>
      <c r="O1981" s="611" t="str">
        <f t="shared" si="261"/>
        <v/>
      </c>
      <c r="P1981" s="611" t="str">
        <f t="shared" si="263"/>
        <v>Page5_PARCS!L</v>
      </c>
      <c r="Q1981" s="611">
        <f t="shared" si="264"/>
        <v>11</v>
      </c>
      <c r="R1981" s="1447">
        <f t="shared" ca="1" si="265"/>
        <v>0</v>
      </c>
      <c r="S1981" s="1447">
        <f t="shared" ca="1" si="266"/>
        <v>0</v>
      </c>
      <c r="V1981" s="2557" t="str">
        <f t="shared" ca="1" si="268"/>
        <v/>
      </c>
      <c r="W1981" s="611" t="str">
        <f t="shared" ca="1" si="267"/>
        <v>Page5_PARCS, Ligne 8 [Page5_PARCS!L11]  -</v>
      </c>
    </row>
    <row r="1982" spans="1:23">
      <c r="A1982" s="1443" t="str">
        <f>celladdr(Page5_PARCS!L12)</f>
        <v>Page5_PARCS!L12</v>
      </c>
      <c r="B1982" s="2449" t="s">
        <v>1086</v>
      </c>
      <c r="C1982" s="1451" t="b">
        <f>Page5_PARCS!$L$12&lt;0</f>
        <v>0</v>
      </c>
      <c r="D1982" s="1454" t="b">
        <f>OR(AND(Page5_PARCS!$L12&lt;&gt;0,Page5_PARCS!$M12=0),AND(Page5_PARCS!$M12&lt;&gt;0,Page5_PARCS!$L12=0))</f>
        <v>0</v>
      </c>
      <c r="E1982" s="1454"/>
      <c r="F1982" s="1454"/>
      <c r="G1982" s="1444" t="str">
        <f t="shared" si="262"/>
        <v/>
      </c>
      <c r="H1982" s="1446"/>
      <c r="I1982" s="1446"/>
      <c r="J1982" s="1446"/>
      <c r="K1982" s="1452"/>
      <c r="N1982" s="611" t="str">
        <f>"CPTE # "&amp;Page5_PARCS!E12&amp;"  "&amp;Page5_PARCS!C12&amp;" - CHIFFRE D'AFFAIRES RÉALISÉ - AAD"</f>
        <v>CPTE #   TOTAL VOITURES DE PETITE ENTREPRISE - CHIFFRE D'AFFAIRES RÉALISÉ - AAD</v>
      </c>
      <c r="O1982" s="611" t="str">
        <f t="shared" ref="O1982:O2045" si="269">IF(A1982=A1981,"TRUE","")</f>
        <v/>
      </c>
      <c r="P1982" s="611" t="str">
        <f t="shared" si="263"/>
        <v>Page5_PARCS!L</v>
      </c>
      <c r="Q1982" s="611">
        <f t="shared" si="264"/>
        <v>12</v>
      </c>
      <c r="R1982" s="1447">
        <f t="shared" ca="1" si="265"/>
        <v>0</v>
      </c>
      <c r="S1982" s="1447">
        <f t="shared" ca="1" si="266"/>
        <v>0</v>
      </c>
      <c r="V1982" s="2557" t="str">
        <f t="shared" ca="1" si="268"/>
        <v/>
      </c>
      <c r="W1982" s="611" t="str">
        <f t="shared" ca="1" si="267"/>
        <v>Page5_PARCS, Ligne 9 [Page5_PARCS!L12]  -</v>
      </c>
    </row>
    <row r="1983" spans="1:23">
      <c r="A1983" s="1443" t="str">
        <f>celladdr(Page5_PARCS!L13)</f>
        <v>Page5_PARCS!L13</v>
      </c>
      <c r="B1983" s="1456" t="s">
        <v>1086</v>
      </c>
      <c r="C1983" s="1451" t="b">
        <f>Page5_PARCS!$L$13&lt;0</f>
        <v>0</v>
      </c>
      <c r="D1983" s="1454" t="b">
        <f>OR(AND(Page5_PARCS!$L13&lt;&gt;0,Page5_PARCS!$M13=0),AND(Page5_PARCS!$M13&lt;&gt;0,Page5_PARCS!$L13=0))</f>
        <v>0</v>
      </c>
      <c r="E1983" s="1454"/>
      <c r="F1983" s="1454"/>
      <c r="G1983" s="1444" t="str">
        <f t="shared" si="262"/>
        <v/>
      </c>
      <c r="H1983" s="1446" t="str">
        <f>IF(C1983=TRUE,Comments!$B$23,"")</f>
        <v/>
      </c>
      <c r="I1983" s="1446" t="str">
        <f>IF(D1983=TRUE,Comments!$B$24,"")</f>
        <v/>
      </c>
      <c r="J1983" s="1446"/>
      <c r="K1983" s="1452"/>
      <c r="N1983" s="611" t="str">
        <f>"CPTE # "&amp;Page5_PARCS!E13&amp;"  "&amp;Page5_PARCS!C13&amp;" - CHIFFRE D'AFFAIRES RÉALISÉ - AAD"</f>
        <v>CPTE # 412K  BUICK / CADILLAC PETIT VUS VE - CHIFFRE D'AFFAIRES RÉALISÉ - AAD</v>
      </c>
      <c r="O1983" s="611" t="str">
        <f t="shared" si="269"/>
        <v/>
      </c>
      <c r="P1983" s="611" t="str">
        <f t="shared" si="263"/>
        <v>Page5_PARCS!L</v>
      </c>
      <c r="Q1983" s="611">
        <f t="shared" si="264"/>
        <v>13</v>
      </c>
      <c r="R1983" s="1447">
        <f t="shared" ca="1" si="265"/>
        <v>0</v>
      </c>
      <c r="S1983" s="1447">
        <f t="shared" ca="1" si="266"/>
        <v>0</v>
      </c>
      <c r="V1983" s="2557" t="str">
        <f t="shared" ca="1" si="268"/>
        <v/>
      </c>
      <c r="W1983" s="611" t="str">
        <f t="shared" ca="1" si="267"/>
        <v>Page5_PARCS, Ligne 10 [Page5_PARCS!L13]  -</v>
      </c>
    </row>
    <row r="1984" spans="1:23">
      <c r="A1984" s="1443" t="str">
        <f>celladdr(Page5_PARCS!L14)</f>
        <v>Page5_PARCS!L14</v>
      </c>
      <c r="B1984" s="1456" t="s">
        <v>1086</v>
      </c>
      <c r="C1984" s="1451" t="b">
        <f>Page5_PARCS!$L$14&lt;0</f>
        <v>0</v>
      </c>
      <c r="D1984" s="1454" t="b">
        <f>OR(AND(Page5_PARCS!$L14&lt;&gt;0,Page5_PARCS!$M14=0),AND(Page5_PARCS!$M14&lt;&gt;0,Page5_PARCS!$L14=0))</f>
        <v>0</v>
      </c>
      <c r="E1984" s="1454"/>
      <c r="F1984" s="1454"/>
      <c r="G1984" s="1444" t="str">
        <f t="shared" si="262"/>
        <v/>
      </c>
      <c r="H1984" s="1446" t="str">
        <f>IF(C1984=TRUE,Comments!$B$23,"")</f>
        <v/>
      </c>
      <c r="I1984" s="1446" t="str">
        <f>IF(D1984=TRUE,Comments!$B$24,"")</f>
        <v/>
      </c>
      <c r="J1984" s="1446"/>
      <c r="K1984" s="1452"/>
      <c r="N1984" s="611" t="str">
        <f>"CPTE # "&amp;Page5_PARCS!E14&amp;"  "&amp;Page5_PARCS!C14&amp;" - CHIFFRE D'AFFAIRES RÉALISÉ - AAD"</f>
        <v>CPTE # 413K  BUICK / CADILLAC PETIT VUS MCI - CHIFFRE D'AFFAIRES RÉALISÉ - AAD</v>
      </c>
      <c r="O1984" s="611" t="str">
        <f t="shared" si="269"/>
        <v/>
      </c>
      <c r="P1984" s="611" t="str">
        <f t="shared" si="263"/>
        <v>Page5_PARCS!L</v>
      </c>
      <c r="Q1984" s="611">
        <f t="shared" si="264"/>
        <v>14</v>
      </c>
      <c r="R1984" s="1447">
        <f t="shared" ca="1" si="265"/>
        <v>0</v>
      </c>
      <c r="S1984" s="1447">
        <f t="shared" ca="1" si="266"/>
        <v>0</v>
      </c>
      <c r="V1984" s="2557" t="str">
        <f t="shared" ca="1" si="268"/>
        <v/>
      </c>
      <c r="W1984" s="611" t="str">
        <f t="shared" ca="1" si="267"/>
        <v>Page5_PARCS, Ligne 11 [Page5_PARCS!L14]  -</v>
      </c>
    </row>
    <row r="1985" spans="1:23">
      <c r="A1985" s="1443" t="str">
        <f>celladdr(Page5_PARCS!L15)</f>
        <v>Page5_PARCS!L15</v>
      </c>
      <c r="B1985" s="1456" t="s">
        <v>1086</v>
      </c>
      <c r="C1985" s="1451" t="b">
        <f>Page5_PARCS!$L$15&lt;0</f>
        <v>0</v>
      </c>
      <c r="D1985" s="1454" t="b">
        <f>OR(AND(Page5_PARCS!$L15&lt;&gt;0,Page5_PARCS!$M15=0),AND(Page5_PARCS!$M15&lt;&gt;0,Page5_PARCS!$L15=0))</f>
        <v>0</v>
      </c>
      <c r="E1985" s="1454"/>
      <c r="F1985" s="1454"/>
      <c r="G1985" s="1444" t="str">
        <f t="shared" si="262"/>
        <v/>
      </c>
      <c r="H1985" s="1446" t="str">
        <f>IF(C1985=TRUE,Comments!$B$23,"")</f>
        <v/>
      </c>
      <c r="I1985" s="1446" t="str">
        <f>IF(D1985=TRUE,Comments!$B$24,"")</f>
        <v/>
      </c>
      <c r="J1985" s="1446"/>
      <c r="K1985" s="1452"/>
      <c r="N1985" s="611" t="str">
        <f>"CPTE # "&amp;Page5_PARCS!E15&amp;"  "&amp;Page5_PARCS!C15&amp;" - CHIFFRE D'AFFAIRES RÉALISÉ - AAD"</f>
        <v>CPTE # 414K  BUICK / CADILLAC MOYEN VUS VE - CHIFFRE D'AFFAIRES RÉALISÉ - AAD</v>
      </c>
      <c r="O1985" s="611" t="str">
        <f t="shared" si="269"/>
        <v/>
      </c>
      <c r="P1985" s="611" t="str">
        <f t="shared" si="263"/>
        <v>Page5_PARCS!L</v>
      </c>
      <c r="Q1985" s="611">
        <f t="shared" si="264"/>
        <v>15</v>
      </c>
      <c r="R1985" s="1447">
        <f t="shared" ca="1" si="265"/>
        <v>0</v>
      </c>
      <c r="S1985" s="1447">
        <f t="shared" ca="1" si="266"/>
        <v>0</v>
      </c>
      <c r="V1985" s="2557" t="str">
        <f t="shared" ca="1" si="268"/>
        <v/>
      </c>
      <c r="W1985" s="611" t="str">
        <f t="shared" ca="1" si="267"/>
        <v>Page5_PARCS, Ligne 12 [Page5_PARCS!L15]  -</v>
      </c>
    </row>
    <row r="1986" spans="1:23">
      <c r="A1986" s="1443" t="str">
        <f>celladdr(Page5_PARCS!L16)</f>
        <v>Page5_PARCS!L16</v>
      </c>
      <c r="B1986" s="1456" t="s">
        <v>1086</v>
      </c>
      <c r="C1986" s="1451" t="b">
        <f>Page5_PARCS!$L$16&lt;0</f>
        <v>0</v>
      </c>
      <c r="D1986" s="1454" t="b">
        <f>OR(AND(Page5_PARCS!$L16&lt;&gt;0,Page5_PARCS!$M16=0),AND(Page5_PARCS!$M16&lt;&gt;0,Page5_PARCS!$L16=0))</f>
        <v>0</v>
      </c>
      <c r="E1986" s="1454"/>
      <c r="F1986" s="1454"/>
      <c r="G1986" s="1444" t="str">
        <f t="shared" ref="G1986:G2049" si="270">IF(H1986&amp;I1986&amp;J1986&amp;K1986&lt;&gt;"","No.de ref. du commentaire.: "&amp;W1986&amp;" "&amp;N1986&amp;" "&amp;H1986&amp;I1986&amp;IF(OR(C1986=TRUE,D1986=TRUE),"",J1986&amp;K1986&amp;V1986),"")</f>
        <v/>
      </c>
      <c r="H1986" s="1446" t="str">
        <f>IF(C1986=TRUE,Comments!$B$23,"")</f>
        <v/>
      </c>
      <c r="I1986" s="1446" t="str">
        <f>IF(D1986=TRUE,Comments!$B$24,"")</f>
        <v/>
      </c>
      <c r="J1986" s="1446"/>
      <c r="K1986" s="1452"/>
      <c r="N1986" s="611" t="str">
        <f>"CPTE # "&amp;Page5_PARCS!E16&amp;"  "&amp;Page5_PARCS!C16&amp;" - CHIFFRE D'AFFAIRES RÉALISÉ - AAD"</f>
        <v>CPTE # 415K  BUICK / CADILLAC MOYEN VUS MCI - CHIFFRE D'AFFAIRES RÉALISÉ - AAD</v>
      </c>
      <c r="O1986" s="611" t="str">
        <f t="shared" si="269"/>
        <v/>
      </c>
      <c r="P1986" s="611" t="str">
        <f t="shared" ref="P1986:P2049" si="271">LEFT(A1986,FIND("!",A1986)+1)</f>
        <v>Page5_PARCS!L</v>
      </c>
      <c r="Q1986" s="611">
        <f t="shared" ref="Q1986:Q2049" si="272">VALUE(RIGHT(A1986,LEN(A1986)-FIND("!",A1986)-1))</f>
        <v>16</v>
      </c>
      <c r="R1986" s="1447">
        <f t="shared" ref="R1986:R2049" ca="1" si="273">IF(E1986=TRUE,INDIRECT("Comments!$D$"&amp;T1986),0)</f>
        <v>0</v>
      </c>
      <c r="S1986" s="1447">
        <f t="shared" ref="S1986:S2049" ca="1" si="274">IF(F1986=TRUE,INDIRECT("Comments!$D$"&amp;U1986),0)</f>
        <v>0</v>
      </c>
      <c r="V1986" s="2557" t="str">
        <f t="shared" ca="1" si="268"/>
        <v/>
      </c>
      <c r="W1986" s="611" t="str">
        <f t="shared" ref="W1986:W2049" ca="1" si="275">LEFT(A1986,FIND("!",A1986,1)-1)&amp;", Ligne "&amp;INDIRECT(ADDRESS(ROW(INDIRECT(A1986)),IF(INDIRECT(ADDRESS(ROW(INDIRECT(A1986)),1,,,LEFT(A1986,FIND("!",A1986,1)-1)))="",2,1),,,LEFT(A1986,FIND("!",A1986,1)-1)))&amp;" ["&amp;A1986&amp;"] "&amp;" -"</f>
        <v>Page5_PARCS, Ligne 13 [Page5_PARCS!L16]  -</v>
      </c>
    </row>
    <row r="1987" spans="1:23">
      <c r="A1987" s="1443" t="str">
        <f>celladdr(Page5_PARCS!L17)</f>
        <v>Page5_PARCS!L17</v>
      </c>
      <c r="B1987" s="1456" t="s">
        <v>1086</v>
      </c>
      <c r="C1987" s="1451" t="b">
        <f>Page5_PARCS!$L$17&lt;0</f>
        <v>0</v>
      </c>
      <c r="D1987" s="1454" t="b">
        <f>OR(AND(Page5_PARCS!$L17&lt;&gt;0,Page5_PARCS!$M17=0),AND(Page5_PARCS!$M17&lt;&gt;0,Page5_PARCS!$L17=0))</f>
        <v>0</v>
      </c>
      <c r="E1987" s="1454"/>
      <c r="F1987" s="1454"/>
      <c r="G1987" s="1444" t="str">
        <f t="shared" si="270"/>
        <v/>
      </c>
      <c r="H1987" s="1446" t="str">
        <f>IF(C1987=TRUE,Comments!$B$23,"")</f>
        <v/>
      </c>
      <c r="I1987" s="1446" t="str">
        <f>IF(D1987=TRUE,Comments!$B$24,"")</f>
        <v/>
      </c>
      <c r="J1987" s="1446"/>
      <c r="K1987" s="1452"/>
      <c r="N1987" s="611" t="str">
        <f>"CPTE # "&amp;Page5_PARCS!E17&amp;"  "&amp;Page5_PARCS!C17&amp;" - CHIFFRE D'AFFAIRES RÉALISÉ - AAD"</f>
        <v>CPTE # 416K  BUICK / CADILLAC GRAND VUS VE - CHIFFRE D'AFFAIRES RÉALISÉ - AAD</v>
      </c>
      <c r="O1987" s="611" t="str">
        <f t="shared" si="269"/>
        <v/>
      </c>
      <c r="P1987" s="611" t="str">
        <f t="shared" si="271"/>
        <v>Page5_PARCS!L</v>
      </c>
      <c r="Q1987" s="611">
        <f t="shared" si="272"/>
        <v>17</v>
      </c>
      <c r="R1987" s="1447">
        <f t="shared" ca="1" si="273"/>
        <v>0</v>
      </c>
      <c r="S1987" s="1447">
        <f t="shared" ca="1" si="274"/>
        <v>0</v>
      </c>
      <c r="V1987" s="2557" t="str">
        <f t="shared" ca="1" si="268"/>
        <v/>
      </c>
      <c r="W1987" s="611" t="str">
        <f t="shared" ca="1" si="275"/>
        <v>Page5_PARCS, Ligne 14 [Page5_PARCS!L17]  -</v>
      </c>
    </row>
    <row r="1988" spans="1:23">
      <c r="A1988" s="1443" t="str">
        <f>celladdr(Page5_PARCS!L18)</f>
        <v>Page5_PARCS!L18</v>
      </c>
      <c r="B1988" s="1456" t="s">
        <v>1086</v>
      </c>
      <c r="C1988" s="1451" t="b">
        <f>Page5_PARCS!$L$18&lt;0</f>
        <v>0</v>
      </c>
      <c r="D1988" s="1454" t="b">
        <f>OR(AND(Page5_PARCS!$L18&lt;&gt;0,Page5_PARCS!$M18=0),AND(Page5_PARCS!$M18&lt;&gt;0,Page5_PARCS!$L18=0))</f>
        <v>0</v>
      </c>
      <c r="E1988" s="1454"/>
      <c r="F1988" s="1454"/>
      <c r="G1988" s="1444" t="str">
        <f t="shared" si="270"/>
        <v/>
      </c>
      <c r="H1988" s="1446" t="str">
        <f>IF(C1988=TRUE,Comments!$B$23,"")</f>
        <v/>
      </c>
      <c r="I1988" s="1446" t="str">
        <f>IF(D1988=TRUE,Comments!$B$24,"")</f>
        <v/>
      </c>
      <c r="J1988" s="1446"/>
      <c r="K1988" s="1452"/>
      <c r="N1988" s="611" t="str">
        <f>"CPTE # "&amp;Page5_PARCS!E18&amp;"  "&amp;Page5_PARCS!C18&amp;" - CHIFFRE D'AFFAIRES RÉALISÉ - AAD"</f>
        <v>CPTE # 417K  BUICK / CADILLAC GRAND VUS MCI - CHIFFRE D'AFFAIRES RÉALISÉ - AAD</v>
      </c>
      <c r="O1988" s="611" t="str">
        <f t="shared" si="269"/>
        <v/>
      </c>
      <c r="P1988" s="611" t="str">
        <f t="shared" si="271"/>
        <v>Page5_PARCS!L</v>
      </c>
      <c r="Q1988" s="611">
        <f t="shared" si="272"/>
        <v>18</v>
      </c>
      <c r="R1988" s="1447">
        <f t="shared" ca="1" si="273"/>
        <v>0</v>
      </c>
      <c r="S1988" s="1447">
        <f t="shared" ca="1" si="274"/>
        <v>0</v>
      </c>
      <c r="V1988" s="2557" t="str">
        <f t="shared" ca="1" si="268"/>
        <v/>
      </c>
      <c r="W1988" s="611" t="str">
        <f t="shared" ca="1" si="275"/>
        <v>Page5_PARCS, Ligne 15 [Page5_PARCS!L18]  -</v>
      </c>
    </row>
    <row r="1989" spans="1:23">
      <c r="A1989" s="1443" t="str">
        <f>celladdr(Page5_PARCS!L19)</f>
        <v>Page5_PARCS!L19</v>
      </c>
      <c r="B1989" s="1456" t="s">
        <v>1086</v>
      </c>
      <c r="C1989" s="1451" t="b">
        <f>Page5_PARCS!$L$19&lt;0</f>
        <v>0</v>
      </c>
      <c r="D1989" s="1454" t="b">
        <f>OR(AND(Page5_PARCS!$L19&lt;&gt;0,Page5_PARCS!$M19=0),AND(Page5_PARCS!$M19&lt;&gt;0,Page5_PARCS!$L19=0))</f>
        <v>0</v>
      </c>
      <c r="E1989" s="1454"/>
      <c r="F1989" s="1454"/>
      <c r="G1989" s="1444" t="str">
        <f t="shared" si="270"/>
        <v/>
      </c>
      <c r="H1989" s="1446" t="str">
        <f>IF(C1989=TRUE,Comments!$B$23,"")</f>
        <v/>
      </c>
      <c r="I1989" s="1446" t="str">
        <f>IF(D1989=TRUE,Comments!$B$24,"")</f>
        <v/>
      </c>
      <c r="J1989" s="1446"/>
      <c r="K1989" s="1452"/>
      <c r="N1989" s="611" t="str">
        <f>"CPTE # "&amp;Page5_PARCS!E19&amp;"  "&amp;Page5_PARCS!C19&amp;" - CHIFFRE D'AFFAIRES RÉALISÉ - AAD"</f>
        <v>CPTE # 418K  CHEVROLET / GMC PETIT VUS VE - CHIFFRE D'AFFAIRES RÉALISÉ - AAD</v>
      </c>
      <c r="O1989" s="611" t="str">
        <f t="shared" si="269"/>
        <v/>
      </c>
      <c r="P1989" s="611" t="str">
        <f t="shared" si="271"/>
        <v>Page5_PARCS!L</v>
      </c>
      <c r="Q1989" s="611">
        <f t="shared" si="272"/>
        <v>19</v>
      </c>
      <c r="R1989" s="1447">
        <f t="shared" ca="1" si="273"/>
        <v>0</v>
      </c>
      <c r="S1989" s="1447">
        <f t="shared" ca="1" si="274"/>
        <v>0</v>
      </c>
      <c r="V1989" s="2557" t="str">
        <f t="shared" ca="1" si="268"/>
        <v/>
      </c>
      <c r="W1989" s="611" t="str">
        <f t="shared" ca="1" si="275"/>
        <v>Page5_PARCS, Ligne 16 [Page5_PARCS!L19]  -</v>
      </c>
    </row>
    <row r="1990" spans="1:23">
      <c r="A1990" s="1443" t="str">
        <f>celladdr(Page5_PARCS!L20)</f>
        <v>Page5_PARCS!L20</v>
      </c>
      <c r="B1990" s="1456" t="s">
        <v>1086</v>
      </c>
      <c r="C1990" s="1451" t="b">
        <f>Page5_PARCS!$L$20&lt;0</f>
        <v>0</v>
      </c>
      <c r="D1990" s="1454" t="b">
        <f>OR(AND(Page5_PARCS!$L20&lt;&gt;0,Page5_PARCS!$M20=0),AND(Page5_PARCS!$M20&lt;&gt;0,Page5_PARCS!$L20=0))</f>
        <v>0</v>
      </c>
      <c r="E1990" s="1454"/>
      <c r="F1990" s="1454"/>
      <c r="G1990" s="1444" t="str">
        <f t="shared" si="270"/>
        <v/>
      </c>
      <c r="H1990" s="1446" t="str">
        <f>IF(C1990=TRUE,Comments!$B$23,"")</f>
        <v/>
      </c>
      <c r="I1990" s="1446" t="str">
        <f>IF(D1990=TRUE,Comments!$B$24,"")</f>
        <v/>
      </c>
      <c r="J1990" s="1446"/>
      <c r="K1990" s="1452"/>
      <c r="N1990" s="611" t="str">
        <f>"CPTE # "&amp;Page5_PARCS!E20&amp;"  "&amp;Page5_PARCS!C20&amp;" - CHIFFRE D'AFFAIRES RÉALISÉ - AAD"</f>
        <v>CPTE # 419K  CHEVROLET / GMC PETIT VUS MCI - CHIFFRE D'AFFAIRES RÉALISÉ - AAD</v>
      </c>
      <c r="O1990" s="611" t="str">
        <f t="shared" si="269"/>
        <v/>
      </c>
      <c r="P1990" s="611" t="str">
        <f t="shared" si="271"/>
        <v>Page5_PARCS!L</v>
      </c>
      <c r="Q1990" s="611">
        <f t="shared" si="272"/>
        <v>20</v>
      </c>
      <c r="R1990" s="1447">
        <f t="shared" ca="1" si="273"/>
        <v>0</v>
      </c>
      <c r="S1990" s="1447">
        <f t="shared" ca="1" si="274"/>
        <v>0</v>
      </c>
      <c r="V1990" s="2557" t="str">
        <f t="shared" ca="1" si="268"/>
        <v/>
      </c>
      <c r="W1990" s="611" t="str">
        <f t="shared" ca="1" si="275"/>
        <v>Page5_PARCS, Ligne 17 [Page5_PARCS!L20]  -</v>
      </c>
    </row>
    <row r="1991" spans="1:23">
      <c r="A1991" s="1443" t="str">
        <f>celladdr(Page5_PARCS!L21)</f>
        <v>Page5_PARCS!L21</v>
      </c>
      <c r="B1991" s="1456" t="s">
        <v>1086</v>
      </c>
      <c r="C1991" s="1451" t="b">
        <f>Page5_PARCS!$L$21&lt;0</f>
        <v>0</v>
      </c>
      <c r="D1991" s="1454" t="b">
        <f>OR(AND(Page5_PARCS!$L21&lt;&gt;0,Page5_PARCS!$M21=0),AND(Page5_PARCS!$M21&lt;&gt;0,Page5_PARCS!$L21=0))</f>
        <v>0</v>
      </c>
      <c r="E1991" s="1454"/>
      <c r="F1991" s="1454"/>
      <c r="G1991" s="1444" t="str">
        <f t="shared" si="270"/>
        <v/>
      </c>
      <c r="H1991" s="1446" t="str">
        <f>IF(C1991=TRUE,Comments!$B$23,"")</f>
        <v/>
      </c>
      <c r="I1991" s="1446" t="str">
        <f>IF(D1991=TRUE,Comments!$B$24,"")</f>
        <v/>
      </c>
      <c r="J1991" s="1446"/>
      <c r="K1991" s="1452"/>
      <c r="N1991" s="611" t="str">
        <f>"CPTE # "&amp;Page5_PARCS!E21&amp;"  "&amp;Page5_PARCS!C21&amp;" - CHIFFRE D'AFFAIRES RÉALISÉ - AAD"</f>
        <v>CPTE # 420K  CHEVROLET / GMC MOYEN VUS VE - CHIFFRE D'AFFAIRES RÉALISÉ - AAD</v>
      </c>
      <c r="O1991" s="611" t="str">
        <f t="shared" si="269"/>
        <v/>
      </c>
      <c r="P1991" s="611" t="str">
        <f t="shared" si="271"/>
        <v>Page5_PARCS!L</v>
      </c>
      <c r="Q1991" s="611">
        <f t="shared" si="272"/>
        <v>21</v>
      </c>
      <c r="R1991" s="1447">
        <f t="shared" ca="1" si="273"/>
        <v>0</v>
      </c>
      <c r="S1991" s="1447">
        <f t="shared" ca="1" si="274"/>
        <v>0</v>
      </c>
      <c r="V1991" s="2557" t="str">
        <f t="shared" ca="1" si="268"/>
        <v/>
      </c>
      <c r="W1991" s="611" t="str">
        <f t="shared" ca="1" si="275"/>
        <v>Page5_PARCS, Ligne 18 [Page5_PARCS!L21]  -</v>
      </c>
    </row>
    <row r="1992" spans="1:23">
      <c r="A1992" s="1443" t="str">
        <f>celladdr(Page5_PARCS!L22)</f>
        <v>Page5_PARCS!L22</v>
      </c>
      <c r="B1992" s="1456" t="s">
        <v>1086</v>
      </c>
      <c r="C1992" s="1451" t="b">
        <f>Page5_PARCS!$L$22&lt;0</f>
        <v>0</v>
      </c>
      <c r="D1992" s="1454" t="b">
        <f>OR(AND(Page5_PARCS!$L22&lt;&gt;0,Page5_PARCS!$M22=0),AND(Page5_PARCS!$M22&lt;&gt;0,Page5_PARCS!$L22=0))</f>
        <v>0</v>
      </c>
      <c r="E1992" s="1454"/>
      <c r="F1992" s="1454"/>
      <c r="G1992" s="1444" t="str">
        <f t="shared" si="270"/>
        <v/>
      </c>
      <c r="H1992" s="1446" t="str">
        <f>IF(C1992=TRUE,Comments!$B$23,"")</f>
        <v/>
      </c>
      <c r="I1992" s="1446" t="str">
        <f>IF(D1992=TRUE,Comments!$B$24,"")</f>
        <v/>
      </c>
      <c r="J1992" s="1446"/>
      <c r="K1992" s="1452"/>
      <c r="N1992" s="611" t="str">
        <f>"CPTE # "&amp;Page5_PARCS!E22&amp;"  "&amp;Page5_PARCS!C22&amp;" - CHIFFRE D'AFFAIRES RÉALISÉ - AAD"</f>
        <v>CPTE # 421K  CHEVROLET / GMC MOYEN VUS MCI - CHIFFRE D'AFFAIRES RÉALISÉ - AAD</v>
      </c>
      <c r="O1992" s="611" t="str">
        <f t="shared" si="269"/>
        <v/>
      </c>
      <c r="P1992" s="611" t="str">
        <f t="shared" si="271"/>
        <v>Page5_PARCS!L</v>
      </c>
      <c r="Q1992" s="611">
        <f t="shared" si="272"/>
        <v>22</v>
      </c>
      <c r="R1992" s="1447">
        <f t="shared" ca="1" si="273"/>
        <v>0</v>
      </c>
      <c r="S1992" s="1447">
        <f t="shared" ca="1" si="274"/>
        <v>0</v>
      </c>
      <c r="V1992" s="2557" t="str">
        <f t="shared" ca="1" si="268"/>
        <v/>
      </c>
      <c r="W1992" s="611" t="str">
        <f t="shared" ca="1" si="275"/>
        <v>Page5_PARCS, Ligne 19 [Page5_PARCS!L22]  -</v>
      </c>
    </row>
    <row r="1993" spans="1:23">
      <c r="A1993" s="1443" t="str">
        <f>celladdr(Page5_PARCS!L23)</f>
        <v>Page5_PARCS!L23</v>
      </c>
      <c r="B1993" s="1456" t="s">
        <v>1086</v>
      </c>
      <c r="C1993" s="1451" t="b">
        <f>Page5_PARCS!$L$23&lt;0</f>
        <v>0</v>
      </c>
      <c r="D1993" s="1454" t="b">
        <f>OR(AND(Page5_PARCS!$L23&lt;&gt;0,Page5_PARCS!$M23=0),AND(Page5_PARCS!$M23&lt;&gt;0,Page5_PARCS!$L23=0))</f>
        <v>0</v>
      </c>
      <c r="F1993" s="1454"/>
      <c r="G1993" s="1444" t="str">
        <f t="shared" si="270"/>
        <v/>
      </c>
      <c r="H1993" s="1446" t="str">
        <f>IF(C1993=TRUE,Comments!$B$38&amp;Page5_PARCS!$K$68-(Page5_PARCS!$K$25+Page5_PARCS!$K$48),"")</f>
        <v/>
      </c>
      <c r="I1993" s="1446" t="str">
        <f>IF(D1993=TRUE,Comments!$B$24,"")</f>
        <v/>
      </c>
      <c r="J1993" s="1452"/>
      <c r="K1993" s="1452"/>
      <c r="N1993" s="611" t="str">
        <f>"CPTE # "&amp;Page5_PARCS!E23&amp;"  "&amp;Page5_PARCS!C23&amp;" - CHIFFRE D'AFFAIRES RÉALISÉ - AAD"</f>
        <v>CPTE # 422K  CHEVROLET / GMC / HUMMER GRAND VUS VE - CHIFFRE D'AFFAIRES RÉALISÉ - AAD</v>
      </c>
      <c r="O1993" s="611" t="str">
        <f t="shared" si="269"/>
        <v/>
      </c>
      <c r="P1993" s="611" t="str">
        <f t="shared" si="271"/>
        <v>Page5_PARCS!L</v>
      </c>
      <c r="Q1993" s="611">
        <f t="shared" si="272"/>
        <v>23</v>
      </c>
      <c r="R1993" s="1447">
        <f t="shared" ca="1" si="273"/>
        <v>0</v>
      </c>
      <c r="S1993" s="1447">
        <f t="shared" ca="1" si="274"/>
        <v>0</v>
      </c>
      <c r="V1993" s="2557" t="str">
        <f t="shared" ca="1" si="268"/>
        <v/>
      </c>
      <c r="W1993" s="611" t="str">
        <f t="shared" ca="1" si="275"/>
        <v>Page5_PARCS, Ligne 20 [Page5_PARCS!L23]  -</v>
      </c>
    </row>
    <row r="1994" spans="1:23">
      <c r="A1994" s="1443" t="str">
        <f>celladdr(Page5_PARCS!L24)</f>
        <v>Page5_PARCS!L24</v>
      </c>
      <c r="B1994" s="1456" t="s">
        <v>1086</v>
      </c>
      <c r="C1994" s="1451" t="b">
        <f>Page5_PARCS!$L$24&lt;0</f>
        <v>0</v>
      </c>
      <c r="D1994" s="1454" t="b">
        <f>OR(AND(Page5_PARCS!$L24&lt;&gt;0,Page5_PARCS!$M24=0),AND(Page5_PARCS!$M24&lt;&gt;0,Page5_PARCS!$L24=0))</f>
        <v>0</v>
      </c>
      <c r="E1994" s="1454"/>
      <c r="F1994" s="1454"/>
      <c r="G1994" s="1444" t="str">
        <f t="shared" si="270"/>
        <v/>
      </c>
      <c r="H1994" s="1446" t="str">
        <f>IF(C1994=TRUE,Comments!$B$23,"")</f>
        <v/>
      </c>
      <c r="I1994" s="1446" t="str">
        <f>IF(D1994=TRUE,Comments!$B$24,"")</f>
        <v/>
      </c>
      <c r="J1994" s="1446"/>
      <c r="K1994" s="1452"/>
      <c r="N1994" s="611" t="str">
        <f>"CPTE # "&amp;Page5_PARCS!E24&amp;"  "&amp;Page5_PARCS!C24&amp;" - CHIFFRE D'AFFAIRES RÉALISÉ - AAD"</f>
        <v>CPTE # 423K  CHEVROLET / GMC GRAND VUS MCI - CHIFFRE D'AFFAIRES RÉALISÉ - AAD</v>
      </c>
      <c r="O1994" s="611" t="str">
        <f t="shared" si="269"/>
        <v/>
      </c>
      <c r="P1994" s="611" t="str">
        <f t="shared" si="271"/>
        <v>Page5_PARCS!L</v>
      </c>
      <c r="Q1994" s="611">
        <f t="shared" si="272"/>
        <v>24</v>
      </c>
      <c r="R1994" s="1447">
        <f t="shared" ca="1" si="273"/>
        <v>0</v>
      </c>
      <c r="S1994" s="1447">
        <f t="shared" ca="1" si="274"/>
        <v>0</v>
      </c>
      <c r="V1994" s="2557" t="str">
        <f t="shared" ca="1" si="268"/>
        <v/>
      </c>
      <c r="W1994" s="611" t="str">
        <f t="shared" ca="1" si="275"/>
        <v>Page5_PARCS, Ligne 21 [Page5_PARCS!L24]  -</v>
      </c>
    </row>
    <row r="1995" spans="1:23">
      <c r="A1995" s="1443" t="str">
        <f>celladdr(Page5_PARCS!L25)</f>
        <v>Page5_PARCS!L25</v>
      </c>
      <c r="B1995" s="1456" t="s">
        <v>1086</v>
      </c>
      <c r="C1995" s="1451" t="b">
        <f>Page5_PARCS!$L$25&lt;0</f>
        <v>0</v>
      </c>
      <c r="D1995" s="1454" t="b">
        <f>OR(AND(Page5_PARCS!$L25&lt;&gt;0,Page5_PARCS!$M25=0),AND(Page5_PARCS!$M25&lt;&gt;0,Page5_PARCS!$L25=0))</f>
        <v>0</v>
      </c>
      <c r="F1995" s="1454"/>
      <c r="G1995" s="1444" t="str">
        <f t="shared" si="270"/>
        <v/>
      </c>
      <c r="H1995" s="1446" t="str">
        <f>IF(C1995=TRUE,Comments!$B$38&amp;Page5_PARCS!$K$68-(Page5_PARCS!$K$25+Page5_PARCS!$K$48),"")</f>
        <v/>
      </c>
      <c r="I1995" s="1446" t="str">
        <f>IF(D1995=TRUE,Comments!$B$24,"")</f>
        <v/>
      </c>
      <c r="J1995" s="1452"/>
      <c r="K1995" s="1452"/>
      <c r="N1995" s="611" t="str">
        <f>"CPTE # "&amp;Page5_PARCS!E25&amp;"  "&amp;Page5_PARCS!C25&amp;" - CHIFFRE D'AFFAIRES RÉALISÉ - AAD"</f>
        <v>CPTE # 424K  SILVERADO/SIERRA POIDS LOURD MCI (2500/3500) - CHIFFRE D'AFFAIRES RÉALISÉ - AAD</v>
      </c>
      <c r="O1995" s="611" t="str">
        <f t="shared" si="269"/>
        <v/>
      </c>
      <c r="P1995" s="611" t="str">
        <f t="shared" si="271"/>
        <v>Page5_PARCS!L</v>
      </c>
      <c r="Q1995" s="611">
        <f t="shared" si="272"/>
        <v>25</v>
      </c>
      <c r="R1995" s="1447">
        <f t="shared" ca="1" si="273"/>
        <v>0</v>
      </c>
      <c r="S1995" s="1447">
        <f t="shared" ca="1" si="274"/>
        <v>0</v>
      </c>
      <c r="V1995" s="2557" t="str">
        <f t="shared" ca="1" si="268"/>
        <v/>
      </c>
      <c r="W1995" s="611" t="str">
        <f t="shared" ca="1" si="275"/>
        <v>Page5_PARCS, Ligne 22 [Page5_PARCS!L25]  -</v>
      </c>
    </row>
    <row r="1996" spans="1:23">
      <c r="A1996" s="1443" t="str">
        <f>celladdr(Page5_PARCS!L26)</f>
        <v>Page5_PARCS!L26</v>
      </c>
      <c r="B1996" s="1456" t="s">
        <v>1086</v>
      </c>
      <c r="C1996" s="1451" t="b">
        <f>Page5_PARCS!$L$26&lt;0</f>
        <v>0</v>
      </c>
      <c r="D1996" s="1454" t="b">
        <f>OR(AND(Page5_PARCS!$L26&lt;&gt;0,Page5_PARCS!$M26=0),AND(Page5_PARCS!$M26&lt;&gt;0,Page5_PARCS!$L26=0))</f>
        <v>0</v>
      </c>
      <c r="E1996" s="1454"/>
      <c r="F1996" s="1454"/>
      <c r="G1996" s="1444" t="str">
        <f t="shared" si="270"/>
        <v/>
      </c>
      <c r="H1996" s="1446" t="str">
        <f>IF(C1996=TRUE,Comments!$B$23,"")</f>
        <v/>
      </c>
      <c r="I1996" s="1446" t="str">
        <f>IF(D1996=TRUE,Comments!$B$24,"")</f>
        <v/>
      </c>
      <c r="J1996" s="1446"/>
      <c r="K1996" s="1452"/>
      <c r="N1996" s="611" t="str">
        <f>"CPTE # "&amp;Page5_PARCS!E26&amp;"  "&amp;Page5_PARCS!C26&amp;" - CHIFFRE D'AFFAIRES RÉALISÉ - AAD"</f>
        <v>CPTE # 425K  NE PAS UTILISER - CHIFFRE D'AFFAIRES RÉALISÉ - AAD</v>
      </c>
      <c r="O1996" s="611" t="str">
        <f t="shared" si="269"/>
        <v/>
      </c>
      <c r="P1996" s="611" t="str">
        <f t="shared" si="271"/>
        <v>Page5_PARCS!L</v>
      </c>
      <c r="Q1996" s="611">
        <f t="shared" si="272"/>
        <v>26</v>
      </c>
      <c r="R1996" s="1447">
        <f t="shared" ca="1" si="273"/>
        <v>0</v>
      </c>
      <c r="S1996" s="1447">
        <f t="shared" ca="1" si="274"/>
        <v>0</v>
      </c>
      <c r="V1996" s="2557" t="str">
        <f t="shared" ca="1" si="268"/>
        <v/>
      </c>
      <c r="W1996" s="611" t="str">
        <f t="shared" ca="1" si="275"/>
        <v>Page5_PARCS, Ligne 23 [Page5_PARCS!L26]  -</v>
      </c>
    </row>
    <row r="1997" spans="1:23">
      <c r="A1997" s="1443" t="str">
        <f>celladdr(Page5_PARCS!L27)</f>
        <v>Page5_PARCS!L27</v>
      </c>
      <c r="B1997" s="1456" t="s">
        <v>1086</v>
      </c>
      <c r="C1997" s="1451" t="b">
        <f>Page5_PARCS!$L$27&lt;0</f>
        <v>0</v>
      </c>
      <c r="D1997" s="1454" t="b">
        <f>OR(AND(Page5_PARCS!$L27&lt;&gt;0,Page5_PARCS!$M27=0),AND(Page5_PARCS!$M27&lt;&gt;0,Page5_PARCS!$L27=0))</f>
        <v>0</v>
      </c>
      <c r="E1997" s="1454"/>
      <c r="F1997" s="1454"/>
      <c r="G1997" s="1444" t="str">
        <f t="shared" si="270"/>
        <v/>
      </c>
      <c r="H1997" s="1446" t="str">
        <f>IF(C1997=TRUE,Comments!$B$23,"")</f>
        <v/>
      </c>
      <c r="I1997" s="1446" t="str">
        <f>IF(D1997=TRUE,Comments!$B$24,"")</f>
        <v/>
      </c>
      <c r="J1997" s="1446"/>
      <c r="K1997" s="1452"/>
      <c r="N1997" s="611" t="str">
        <f>"CPTE # "&amp;Page5_PARCS!E27&amp;"  "&amp;Page5_PARCS!C27&amp;" - CHIFFRE D'AFFAIRES RÉALISÉ - AAD"</f>
        <v>CPTE # 426K  SILVERADO/SIERRA POIDS LÉGER MCI (1500) - CHIFFRE D'AFFAIRES RÉALISÉ - AAD</v>
      </c>
      <c r="O1997" s="611" t="str">
        <f t="shared" si="269"/>
        <v/>
      </c>
      <c r="P1997" s="611" t="str">
        <f t="shared" si="271"/>
        <v>Page5_PARCS!L</v>
      </c>
      <c r="Q1997" s="611">
        <f t="shared" si="272"/>
        <v>27</v>
      </c>
      <c r="R1997" s="1447">
        <f t="shared" ca="1" si="273"/>
        <v>0</v>
      </c>
      <c r="S1997" s="1447">
        <f t="shared" ca="1" si="274"/>
        <v>0</v>
      </c>
      <c r="V1997" s="2557" t="str">
        <f t="shared" ca="1" si="268"/>
        <v/>
      </c>
      <c r="W1997" s="611" t="str">
        <f t="shared" ca="1" si="275"/>
        <v>Page5_PARCS, Ligne 24 [Page5_PARCS!L27]  -</v>
      </c>
    </row>
    <row r="1998" spans="1:23">
      <c r="A1998" s="1443" t="str">
        <f>celladdr(Page5_PARCS!L28)</f>
        <v>Page5_PARCS!L28</v>
      </c>
      <c r="B1998" s="1456" t="s">
        <v>1086</v>
      </c>
      <c r="C1998" s="1451" t="b">
        <f>Page5_PARCS!$L$28&lt;0</f>
        <v>0</v>
      </c>
      <c r="D1998" s="1454" t="b">
        <f>OR(AND(Page5_PARCS!$L28&lt;&gt;0,Page5_PARCS!$M28=0),AND(Page5_PARCS!$M28&lt;&gt;0,Page5_PARCS!$L28=0))</f>
        <v>0</v>
      </c>
      <c r="E1998" s="1454"/>
      <c r="F1998" s="1454"/>
      <c r="G1998" s="1444" t="str">
        <f t="shared" si="270"/>
        <v/>
      </c>
      <c r="H1998" s="1446" t="str">
        <f>IF(C1998=TRUE,Comments!$B$23,"")</f>
        <v/>
      </c>
      <c r="I1998" s="1446" t="str">
        <f>IF(D1998=TRUE,Comments!$B$24,"")</f>
        <v/>
      </c>
      <c r="J1998" s="1446"/>
      <c r="K1998" s="1452"/>
      <c r="N1998" s="611" t="str">
        <f>"CPTE # "&amp;Page5_PARCS!E28&amp;"  "&amp;Page5_PARCS!C28&amp;" - CHIFFRE D'AFFAIRES RÉALISÉ - AAD"</f>
        <v>CPTE # 427K  SILVERADO/SIERRA/HUMMER POIDS LOURD VE - CHIFFRE D'AFFAIRES RÉALISÉ - AAD</v>
      </c>
      <c r="O1998" s="611" t="str">
        <f t="shared" si="269"/>
        <v/>
      </c>
      <c r="P1998" s="611" t="str">
        <f t="shared" si="271"/>
        <v>Page5_PARCS!L</v>
      </c>
      <c r="Q1998" s="611">
        <f t="shared" si="272"/>
        <v>28</v>
      </c>
      <c r="R1998" s="1447">
        <f t="shared" ca="1" si="273"/>
        <v>0</v>
      </c>
      <c r="S1998" s="1447">
        <f t="shared" ca="1" si="274"/>
        <v>0</v>
      </c>
      <c r="V1998" s="2557" t="str">
        <f t="shared" ca="1" si="268"/>
        <v/>
      </c>
      <c r="W1998" s="611" t="str">
        <f t="shared" ca="1" si="275"/>
        <v>Page5_PARCS, Ligne 25 [Page5_PARCS!L28]  -</v>
      </c>
    </row>
    <row r="1999" spans="1:23">
      <c r="A1999" s="1443" t="str">
        <f>celladdr(Page5_PARCS!L29)</f>
        <v>Page5_PARCS!L29</v>
      </c>
      <c r="B1999" s="1456" t="s">
        <v>1086</v>
      </c>
      <c r="C1999" s="1451" t="b">
        <f>Page5_PARCS!$L$29&lt;0</f>
        <v>0</v>
      </c>
      <c r="D1999" s="1454" t="b">
        <f>OR(AND(Page5_PARCS!$L29&lt;&gt;0,Page5_PARCS!$M29=0),AND(Page5_PARCS!$M29&lt;&gt;0,Page5_PARCS!$L29=0))</f>
        <v>0</v>
      </c>
      <c r="E1999" s="1454"/>
      <c r="F1999" s="1454"/>
      <c r="G1999" s="1444" t="str">
        <f t="shared" si="270"/>
        <v/>
      </c>
      <c r="H1999" s="1446" t="str">
        <f>IF(C1999=TRUE,Comments!$B$23,"")</f>
        <v/>
      </c>
      <c r="I1999" s="1446" t="str">
        <f>IF(D1999=TRUE,Comments!$B$24,"")</f>
        <v/>
      </c>
      <c r="J1999" s="1446"/>
      <c r="K1999" s="1452"/>
      <c r="N1999" s="611" t="str">
        <f>"CPTE # "&amp;Page5_PARCS!E29&amp;"  "&amp;Page5_PARCS!C29&amp;" - CHIFFRE D'AFFAIRES RÉALISÉ - AAD"</f>
        <v>CPTE # 428K  COLORADO/CANYON MCI - CHIFFRE D'AFFAIRES RÉALISÉ - AAD</v>
      </c>
      <c r="O1999" s="611" t="str">
        <f t="shared" si="269"/>
        <v/>
      </c>
      <c r="P1999" s="611" t="str">
        <f t="shared" si="271"/>
        <v>Page5_PARCS!L</v>
      </c>
      <c r="Q1999" s="611">
        <f t="shared" si="272"/>
        <v>29</v>
      </c>
      <c r="R1999" s="1447">
        <f t="shared" ca="1" si="273"/>
        <v>0</v>
      </c>
      <c r="S1999" s="1447">
        <f t="shared" ca="1" si="274"/>
        <v>0</v>
      </c>
      <c r="V1999" s="2557" t="str">
        <f t="shared" ca="1" si="268"/>
        <v/>
      </c>
      <c r="W1999" s="611" t="str">
        <f t="shared" ca="1" si="275"/>
        <v>Page5_PARCS, Ligne 26 [Page5_PARCS!L29]  -</v>
      </c>
    </row>
    <row r="2000" spans="1:23">
      <c r="A2000" s="1443" t="str">
        <f>celladdr(Page5_PARCS!L30)</f>
        <v>Page5_PARCS!L30</v>
      </c>
      <c r="B2000" s="1456" t="s">
        <v>1086</v>
      </c>
      <c r="C2000" s="1451" t="b">
        <f>Page5_PARCS!$L$30&lt;0</f>
        <v>0</v>
      </c>
      <c r="D2000" s="1454" t="b">
        <f>OR(AND(Page5_PARCS!$L30&lt;&gt;0,Page5_PARCS!$M30=0),AND(Page5_PARCS!$M30&lt;&gt;0,Page5_PARCS!$L30=0))</f>
        <v>0</v>
      </c>
      <c r="E2000" s="1454"/>
      <c r="F2000" s="1454"/>
      <c r="G2000" s="1444" t="str">
        <f t="shared" si="270"/>
        <v/>
      </c>
      <c r="H2000" s="1446" t="str">
        <f>IF(C2000=TRUE,Comments!$B$23,"")</f>
        <v/>
      </c>
      <c r="I2000" s="1446" t="str">
        <f>IF(D2000=TRUE,Comments!$B$24,"")</f>
        <v/>
      </c>
      <c r="J2000" s="1446"/>
      <c r="K2000" s="1452"/>
      <c r="N2000" s="611" t="str">
        <f>"CPTE # "&amp;Page5_PARCS!E30&amp;"  "&amp;Page5_PARCS!C30&amp;" - CHIFFRE D'AFFAIRES RÉALISÉ - AAD"</f>
        <v>CPTE # 429K  NE PAS UTILISER - CHIFFRE D'AFFAIRES RÉALISÉ - AAD</v>
      </c>
      <c r="O2000" s="611" t="str">
        <f t="shared" si="269"/>
        <v/>
      </c>
      <c r="P2000" s="611" t="str">
        <f t="shared" si="271"/>
        <v>Page5_PARCS!L</v>
      </c>
      <c r="Q2000" s="611">
        <f t="shared" si="272"/>
        <v>30</v>
      </c>
      <c r="R2000" s="1447">
        <f t="shared" ca="1" si="273"/>
        <v>0</v>
      </c>
      <c r="S2000" s="1447">
        <f t="shared" ca="1" si="274"/>
        <v>0</v>
      </c>
      <c r="V2000" s="2557" t="str">
        <f t="shared" ca="1" si="268"/>
        <v/>
      </c>
      <c r="W2000" s="611" t="str">
        <f t="shared" ca="1" si="275"/>
        <v>Page5_PARCS, Ligne 27 [Page5_PARCS!L30]  -</v>
      </c>
    </row>
    <row r="2001" spans="1:23">
      <c r="A2001" s="1443" t="str">
        <f>celladdr(Page5_PARCS!L31)</f>
        <v>Page5_PARCS!L31</v>
      </c>
      <c r="B2001" s="1456" t="s">
        <v>1086</v>
      </c>
      <c r="C2001" s="1451" t="b">
        <f>Page5_PARCS!$L$31&lt;0</f>
        <v>0</v>
      </c>
      <c r="D2001" s="1454" t="b">
        <f>OR(AND(Page5_PARCS!$L31&lt;&gt;0,Page5_PARCS!$M31=0),AND(Page5_PARCS!$M31&lt;&gt;0,Page5_PARCS!$L31=0))</f>
        <v>0</v>
      </c>
      <c r="E2001" s="1454"/>
      <c r="F2001" s="1454"/>
      <c r="G2001" s="1444" t="str">
        <f t="shared" si="270"/>
        <v/>
      </c>
      <c r="H2001" s="1446" t="str">
        <f>IF(C2001=TRUE,Comments!$B$23,"")</f>
        <v/>
      </c>
      <c r="I2001" s="1446" t="str">
        <f>IF(D2001=TRUE,Comments!$B$24,"")</f>
        <v/>
      </c>
      <c r="J2001" s="1446"/>
      <c r="K2001" s="1452"/>
      <c r="N2001" s="611" t="str">
        <f>"CPTE # "&amp;Page5_PARCS!E31&amp;"  "&amp;Page5_PARCS!C31&amp;" - CHIFFRE D'AFFAIRES RÉALISÉ - AAD"</f>
        <v>CPTE # 430K  SILVERADO CHASSIS (4500+) - CHIFFRE D'AFFAIRES RÉALISÉ - AAD</v>
      </c>
      <c r="O2001" s="611" t="str">
        <f t="shared" si="269"/>
        <v/>
      </c>
      <c r="P2001" s="611" t="str">
        <f t="shared" si="271"/>
        <v>Page5_PARCS!L</v>
      </c>
      <c r="Q2001" s="611">
        <f t="shared" si="272"/>
        <v>31</v>
      </c>
      <c r="R2001" s="1447">
        <f t="shared" ca="1" si="273"/>
        <v>0</v>
      </c>
      <c r="S2001" s="1447">
        <f t="shared" ca="1" si="274"/>
        <v>0</v>
      </c>
      <c r="V2001" s="2557" t="str">
        <f t="shared" ca="1" si="268"/>
        <v/>
      </c>
      <c r="W2001" s="611" t="str">
        <f t="shared" ca="1" si="275"/>
        <v>Page5_PARCS, Ligne 28 [Page5_PARCS!L31]  -</v>
      </c>
    </row>
    <row r="2002" spans="1:23">
      <c r="A2002" s="1443" t="str">
        <f>celladdr(Page5_PARCS!L32)</f>
        <v>Page5_PARCS!L32</v>
      </c>
      <c r="B2002" s="1456" t="s">
        <v>1086</v>
      </c>
      <c r="C2002" s="1451" t="b">
        <f>Page5_PARCS!$L$32&lt;0</f>
        <v>0</v>
      </c>
      <c r="D2002" s="1454" t="b">
        <f>OR(AND(Page5_PARCS!$L32&lt;&gt;0,Page5_PARCS!$M32=0),AND(Page5_PARCS!$M32&lt;&gt;0,Page5_PARCS!$L32=0))</f>
        <v>0</v>
      </c>
      <c r="E2002" s="1454"/>
      <c r="F2002" s="1454"/>
      <c r="G2002" s="1444" t="str">
        <f t="shared" si="270"/>
        <v/>
      </c>
      <c r="H2002" s="1446" t="str">
        <f>IF(C2002=TRUE,Comments!$B$23,"")</f>
        <v/>
      </c>
      <c r="I2002" s="1446" t="str">
        <f>IF(D2002=TRUE,Comments!$B$24,"")</f>
        <v/>
      </c>
      <c r="J2002" s="1446"/>
      <c r="K2002" s="1452"/>
      <c r="N2002" s="611" t="str">
        <f>"CPTE # "&amp;Page5_PARCS!E32&amp;"  "&amp;Page5_PARCS!C32&amp;" - CHIFFRE D'AFFAIRES RÉALISÉ - AAD"</f>
        <v>CPTE # 431K  CHEVROLET/GMC LCF/CONV - CHIFFRE D'AFFAIRES RÉALISÉ - AAD</v>
      </c>
      <c r="O2002" s="611" t="str">
        <f t="shared" si="269"/>
        <v/>
      </c>
      <c r="P2002" s="611" t="str">
        <f t="shared" si="271"/>
        <v>Page5_PARCS!L</v>
      </c>
      <c r="Q2002" s="611">
        <f t="shared" si="272"/>
        <v>32</v>
      </c>
      <c r="R2002" s="1447">
        <f t="shared" ca="1" si="273"/>
        <v>0</v>
      </c>
      <c r="S2002" s="1447">
        <f t="shared" ca="1" si="274"/>
        <v>0</v>
      </c>
      <c r="V2002" s="2557" t="str">
        <f t="shared" ca="1" si="268"/>
        <v/>
      </c>
      <c r="W2002" s="611" t="str">
        <f t="shared" ca="1" si="275"/>
        <v>Page5_PARCS, Ligne 29 [Page5_PARCS!L32]  -</v>
      </c>
    </row>
    <row r="2003" spans="1:23">
      <c r="A2003" s="1443" t="str">
        <f>celladdr(Page5_PARCS!L33)</f>
        <v>Page5_PARCS!L33</v>
      </c>
      <c r="B2003" s="1456" t="s">
        <v>1086</v>
      </c>
      <c r="C2003" s="1451" t="b">
        <f>Page5_PARCS!$L$33&lt;0</f>
        <v>0</v>
      </c>
      <c r="D2003" s="1454" t="b">
        <f>OR(AND(Page5_PARCS!$L33&lt;&gt;0,Page5_PARCS!$M33=0),AND(Page5_PARCS!$M33&lt;&gt;0,Page5_PARCS!$L33=0))</f>
        <v>0</v>
      </c>
      <c r="E2003" s="1454"/>
      <c r="F2003" s="1454"/>
      <c r="G2003" s="1444" t="str">
        <f t="shared" si="270"/>
        <v/>
      </c>
      <c r="H2003" s="1446" t="str">
        <f>IF(C2003=TRUE,Comments!$B$23,"")</f>
        <v/>
      </c>
      <c r="I2003" s="1446" t="str">
        <f>IF(D2003=TRUE,Comments!$B$24,"")</f>
        <v/>
      </c>
      <c r="J2003" s="1446"/>
      <c r="K2003" s="1452"/>
      <c r="N2003" s="611" t="str">
        <f>"CPTE # "&amp;Page5_PARCS!E33&amp;"  "&amp;Page5_PARCS!C33&amp;" - CHIFFRE D'AFFAIRES RÉALISÉ - AAD"</f>
        <v>CPTE # 432K  EXPRESS/SAVANA MCI - CHIFFRE D'AFFAIRES RÉALISÉ - AAD</v>
      </c>
      <c r="O2003" s="611" t="str">
        <f t="shared" si="269"/>
        <v/>
      </c>
      <c r="P2003" s="611" t="str">
        <f t="shared" si="271"/>
        <v>Page5_PARCS!L</v>
      </c>
      <c r="Q2003" s="611">
        <f t="shared" si="272"/>
        <v>33</v>
      </c>
      <c r="R2003" s="1447">
        <f t="shared" ca="1" si="273"/>
        <v>0</v>
      </c>
      <c r="S2003" s="1447">
        <f t="shared" ca="1" si="274"/>
        <v>0</v>
      </c>
      <c r="V2003" s="2557" t="str">
        <f t="shared" ca="1" si="268"/>
        <v/>
      </c>
      <c r="W2003" s="611" t="str">
        <f t="shared" ca="1" si="275"/>
        <v>Page5_PARCS, Ligne 30 [Page5_PARCS!L33]  -</v>
      </c>
    </row>
    <row r="2004" spans="1:23">
      <c r="A2004" s="1443" t="str">
        <f>celladdr(Page5_PARCS!L34)</f>
        <v>Page5_PARCS!L34</v>
      </c>
      <c r="B2004" s="1456" t="s">
        <v>1086</v>
      </c>
      <c r="C2004" s="1451" t="b">
        <f>Page5_PARCS!$L$34&lt;0</f>
        <v>0</v>
      </c>
      <c r="D2004" s="1454" t="b">
        <f>OR(AND(Page5_PARCS!$L34&lt;&gt;0,Page5_PARCS!$M34=0),AND(Page5_PARCS!$M34&lt;&gt;0,Page5_PARCS!$L34=0))</f>
        <v>0</v>
      </c>
      <c r="E2004" s="1454"/>
      <c r="F2004" s="1454"/>
      <c r="G2004" s="1444" t="str">
        <f t="shared" si="270"/>
        <v/>
      </c>
      <c r="H2004" s="1446" t="str">
        <f>IF(C2004=TRUE,Comments!$B$23,"")</f>
        <v/>
      </c>
      <c r="I2004" s="1446" t="str">
        <f>IF(D2004=TRUE,Comments!$B$24,"")</f>
        <v/>
      </c>
      <c r="J2004" s="1446"/>
      <c r="K2004" s="1452"/>
      <c r="N2004" s="611" t="str">
        <f>"CPTE # "&amp;Page5_PARCS!E34&amp;"  "&amp;Page5_PARCS!C34&amp;" - CHIFFRE D'AFFAIRES RÉALISÉ - AAD"</f>
        <v>CPTE # 433K  NE PAS UTILISER - CHIFFRE D'AFFAIRES RÉALISÉ - AAD</v>
      </c>
      <c r="O2004" s="611" t="str">
        <f t="shared" si="269"/>
        <v/>
      </c>
      <c r="P2004" s="611" t="str">
        <f t="shared" si="271"/>
        <v>Page5_PARCS!L</v>
      </c>
      <c r="Q2004" s="611">
        <f t="shared" si="272"/>
        <v>34</v>
      </c>
      <c r="R2004" s="1447">
        <f t="shared" ca="1" si="273"/>
        <v>0</v>
      </c>
      <c r="S2004" s="1447">
        <f t="shared" ca="1" si="274"/>
        <v>0</v>
      </c>
      <c r="V2004" s="2557" t="str">
        <f t="shared" ca="1" si="268"/>
        <v/>
      </c>
      <c r="W2004" s="611" t="str">
        <f t="shared" ca="1" si="275"/>
        <v>Page5_PARCS, Ligne 31 [Page5_PARCS!L34]  -</v>
      </c>
    </row>
    <row r="2005" spans="1:23">
      <c r="A2005" s="1443" t="str">
        <f>celladdr(Page5_PARCS!L35)</f>
        <v>Page5_PARCS!L35</v>
      </c>
      <c r="B2005" s="1456" t="s">
        <v>1086</v>
      </c>
      <c r="C2005" s="1451" t="b">
        <f>Page5_PARCS!$L$35&lt;0</f>
        <v>0</v>
      </c>
      <c r="D2005" s="1454" t="b">
        <f>OR(AND(Page5_PARCS!$L35&lt;&gt;0,Page5_PARCS!$M35=0),AND(Page5_PARCS!$M35&lt;&gt;0,Page5_PARCS!$L35=0))</f>
        <v>0</v>
      </c>
      <c r="E2005" s="1454"/>
      <c r="F2005" s="1454"/>
      <c r="G2005" s="1444" t="str">
        <f t="shared" si="270"/>
        <v/>
      </c>
      <c r="H2005" s="1446" t="str">
        <f>IF(C2005=TRUE,Comments!$B$23,"")</f>
        <v/>
      </c>
      <c r="I2005" s="1446" t="str">
        <f>IF(D2005=TRUE,Comments!$B$24,"")</f>
        <v/>
      </c>
      <c r="J2005" s="1446"/>
      <c r="K2005" s="1452"/>
      <c r="N2005" s="611" t="str">
        <f>"CPTE # "&amp;Page5_PARCS!E35&amp;"  "&amp;Page5_PARCS!C35&amp;" - CHIFFRE D'AFFAIRES RÉALISÉ - AAD"</f>
        <v>CPTE # 434K  NE PAS UTILISER - CHIFFRE D'AFFAIRES RÉALISÉ - AAD</v>
      </c>
      <c r="O2005" s="611" t="str">
        <f t="shared" si="269"/>
        <v/>
      </c>
      <c r="P2005" s="611" t="str">
        <f t="shared" si="271"/>
        <v>Page5_PARCS!L</v>
      </c>
      <c r="Q2005" s="611">
        <f t="shared" si="272"/>
        <v>35</v>
      </c>
      <c r="R2005" s="1447">
        <f t="shared" ca="1" si="273"/>
        <v>0</v>
      </c>
      <c r="S2005" s="1447">
        <f t="shared" ca="1" si="274"/>
        <v>0</v>
      </c>
      <c r="V2005" s="2557" t="str">
        <f t="shared" ca="1" si="268"/>
        <v/>
      </c>
      <c r="W2005" s="611" t="str">
        <f t="shared" ca="1" si="275"/>
        <v>Page5_PARCS, Ligne 32 [Page5_PARCS!L35]  -</v>
      </c>
    </row>
    <row r="2006" spans="1:23">
      <c r="A2006" s="1443" t="str">
        <f>celladdr(Page5_PARCS!M4)</f>
        <v>Page5_PARCS!M4</v>
      </c>
      <c r="B2006" s="1456" t="s">
        <v>1086</v>
      </c>
      <c r="C2006" s="1451"/>
      <c r="D2006" s="1454" t="b">
        <f>OR(AND(Page5_PARCS!$L4&lt;&gt;0,Page5_PARCS!$M4=0),AND(Page5_PARCS!$M4&lt;&gt;0,Page5_PARCS!$L4=0))</f>
        <v>0</v>
      </c>
      <c r="E2006" s="1454" t="b">
        <f>IF(Page5_PARCS!$K4=0,FALSE,OR(Page5_PARCS!$M4/Page5_PARCS!$K4&lt;INDEX(Min_Table,M2006),Page5_PARCS!$M4/Page5_PARCS!$K4&gt;INDEX(Max_Table,M2006)))</f>
        <v>0</v>
      </c>
      <c r="F2006" s="1454"/>
      <c r="G2006" s="1444" t="str">
        <f t="shared" si="270"/>
        <v/>
      </c>
      <c r="I2006" s="1446" t="str">
        <f>IF(D2006=TRUE,Comments!$B$24,"")</f>
        <v/>
      </c>
      <c r="J2006" s="1446" t="str">
        <f>IF(E2006=TRUE,Comments!$B$22&amp;DOLLAR(INDEX(Min_Table,M2006),0)&amp;Comments!$B$18&amp;DOLLAR(INDEX(Max_Table,M2006),0)&amp;Comments!$B$19&amp;IFERROR(DOLLAR(Page5_PARCS!$M4/Page5_PARCS!$K4,0),0),"")</f>
        <v/>
      </c>
      <c r="K2006" s="1452"/>
      <c r="L2006" s="611">
        <f>ROW(OR_VEH!$A$673)</f>
        <v>673</v>
      </c>
      <c r="M2006" s="611">
        <f>ROW(OR_VEH!A502)</f>
        <v>502</v>
      </c>
      <c r="N2006" s="611" t="str">
        <f>"CPTE # "&amp;Page5_PARCS!E4&amp;"  "&amp;Page5_PARCS!C4&amp;" - COÛT DES VENTES - AAD"</f>
        <v>CPTE # 400K  CHEVROLET VOITURES MCI - COÛT DES VENTES - AAD</v>
      </c>
      <c r="O2006" s="611" t="str">
        <f t="shared" si="269"/>
        <v/>
      </c>
      <c r="P2006" s="611" t="str">
        <f t="shared" si="271"/>
        <v>Page5_PARCS!M</v>
      </c>
      <c r="Q2006" s="611">
        <f t="shared" si="272"/>
        <v>4</v>
      </c>
      <c r="R2006" s="1447">
        <f t="shared" ca="1" si="273"/>
        <v>0</v>
      </c>
      <c r="S2006" s="1447">
        <f t="shared" ca="1" si="274"/>
        <v>0</v>
      </c>
      <c r="T2006" s="611">
        <v>22</v>
      </c>
      <c r="V2006" s="2557" t="str">
        <f t="shared" ca="1" si="268"/>
        <v/>
      </c>
      <c r="W2006" s="611" t="str">
        <f t="shared" ca="1" si="275"/>
        <v>Page5_PARCS, Ligne 1 [Page5_PARCS!M4]  -</v>
      </c>
    </row>
    <row r="2007" spans="1:23">
      <c r="A2007" s="1443" t="str">
        <f>celladdr(Page5_PARCS!M5)</f>
        <v>Page5_PARCS!M5</v>
      </c>
      <c r="B2007" s="1456" t="s">
        <v>1086</v>
      </c>
      <c r="C2007" s="1451"/>
      <c r="D2007" s="1454" t="b">
        <f>OR(AND(Page5_PARCS!$L5&lt;&gt;0,Page5_PARCS!$M5=0),AND(Page5_PARCS!$M5&lt;&gt;0,Page5_PARCS!$L5=0))</f>
        <v>0</v>
      </c>
      <c r="E2007" s="1454" t="b">
        <f>IF(Page5_PARCS!$K5=0,FALSE,OR(Page5_PARCS!$M5/Page5_PARCS!$K5&lt;INDEX(Min_Table,M2007),Page5_PARCS!$M5/Page5_PARCS!$K5&gt;INDEX(Max_Table,M2007)))</f>
        <v>0</v>
      </c>
      <c r="F2007" s="1454"/>
      <c r="G2007" s="1444" t="str">
        <f t="shared" si="270"/>
        <v/>
      </c>
      <c r="I2007" s="1446" t="str">
        <f>IF(D2007=TRUE,Comments!$B$24,"")</f>
        <v/>
      </c>
      <c r="J2007" s="1446" t="str">
        <f>IF(E2007=TRUE,Comments!$B$22&amp;DOLLAR(INDEX(Min_Table,M2007),0)&amp;Comments!$B$18&amp;DOLLAR(INDEX(Max_Table,M2007),0)&amp;Comments!$B$19&amp;IFERROR(DOLLAR(Page5_PARCS!$M5/Page5_PARCS!$K5,0),0),"")</f>
        <v/>
      </c>
      <c r="K2007" s="1452"/>
      <c r="L2007" s="611">
        <f>ROW(OR_VEH!$A$673)</f>
        <v>673</v>
      </c>
      <c r="M2007" s="611">
        <f>ROW(OR_VEH!A503)</f>
        <v>503</v>
      </c>
      <c r="N2007" s="611" t="str">
        <f>"CPTE # "&amp;Page5_PARCS!E5&amp;"  "&amp;Page5_PARCS!C5&amp;" - COÛT DES VENTES - AAD"</f>
        <v>CPTE # 401K  CHEVROLET VOITURES VE - COÛT DES VENTES - AAD</v>
      </c>
      <c r="O2007" s="611" t="str">
        <f t="shared" si="269"/>
        <v/>
      </c>
      <c r="P2007" s="611" t="str">
        <f t="shared" si="271"/>
        <v>Page5_PARCS!M</v>
      </c>
      <c r="Q2007" s="611">
        <f t="shared" si="272"/>
        <v>5</v>
      </c>
      <c r="R2007" s="1447">
        <f t="shared" ca="1" si="273"/>
        <v>0</v>
      </c>
      <c r="S2007" s="1447">
        <f t="shared" ca="1" si="274"/>
        <v>0</v>
      </c>
      <c r="T2007" s="611">
        <v>22</v>
      </c>
      <c r="V2007" s="2557" t="str">
        <f t="shared" ca="1" si="268"/>
        <v/>
      </c>
      <c r="W2007" s="611" t="str">
        <f t="shared" ca="1" si="275"/>
        <v>Page5_PARCS, Ligne 2 [Page5_PARCS!M5]  -</v>
      </c>
    </row>
    <row r="2008" spans="1:23">
      <c r="A2008" s="1443" t="str">
        <f>celladdr(Page5_PARCS!M6)</f>
        <v>Page5_PARCS!M6</v>
      </c>
      <c r="B2008" s="1456" t="s">
        <v>1086</v>
      </c>
      <c r="C2008" s="1451"/>
      <c r="D2008" s="1454" t="b">
        <f>OR(AND(Page5_PARCS!$L6&lt;&gt;0,Page5_PARCS!$M6=0),AND(Page5_PARCS!$M6&lt;&gt;0,Page5_PARCS!$L6=0))</f>
        <v>0</v>
      </c>
      <c r="E2008" s="1454" t="b">
        <f>IF(Page5_PARCS!$K6=0,FALSE,OR(Page5_PARCS!$M6/Page5_PARCS!$K6&lt;INDEX(Min_Table,M2008),Page5_PARCS!$M6/Page5_PARCS!$K6&gt;INDEX(Max_Table,M2008)))</f>
        <v>0</v>
      </c>
      <c r="F2008" s="1454"/>
      <c r="G2008" s="1444" t="str">
        <f t="shared" si="270"/>
        <v/>
      </c>
      <c r="I2008" s="1446" t="str">
        <f>IF(D2008=TRUE,Comments!$B$24,"")</f>
        <v/>
      </c>
      <c r="J2008" s="1446" t="str">
        <f>IF(E2008=TRUE,Comments!$B$22&amp;DOLLAR(INDEX(Min_Table,M2008),0)&amp;Comments!$B$18&amp;DOLLAR(INDEX(Max_Table,M2008),0)&amp;Comments!$B$19&amp;IFERROR(DOLLAR(Page5_PARCS!$M6/Page5_PARCS!$K6,0),0),"")</f>
        <v/>
      </c>
      <c r="K2008" s="1452"/>
      <c r="L2008" s="611">
        <f>ROW(OR_VEH!$A$673)</f>
        <v>673</v>
      </c>
      <c r="M2008" s="611">
        <f>ROW(OR_VEH!A504)</f>
        <v>504</v>
      </c>
      <c r="N2008" s="611" t="str">
        <f>"CPTE # "&amp;Page5_PARCS!E6&amp;"  "&amp;Page5_PARCS!C6&amp;" - COÛT DES VENTES - AAD"</f>
        <v>CPTE # 402K  BUICK VOITURES MCI - COÛT DES VENTES - AAD</v>
      </c>
      <c r="O2008" s="611" t="str">
        <f t="shared" si="269"/>
        <v/>
      </c>
      <c r="P2008" s="611" t="str">
        <f t="shared" si="271"/>
        <v>Page5_PARCS!M</v>
      </c>
      <c r="Q2008" s="611">
        <f t="shared" si="272"/>
        <v>6</v>
      </c>
      <c r="R2008" s="1447">
        <f t="shared" ca="1" si="273"/>
        <v>0</v>
      </c>
      <c r="S2008" s="1447">
        <f t="shared" ca="1" si="274"/>
        <v>0</v>
      </c>
      <c r="T2008" s="611">
        <v>22</v>
      </c>
      <c r="V2008" s="2557" t="str">
        <f t="shared" ref="V2008:V2045" ca="1" si="276">IF(SUM(R2008+S2008)=0,"","
*** "&amp;TEXT(SUM(R2008+S2008),"0,0")&amp;" Points de précision seront déduits suite à cette(ces) erreur(s) !")</f>
        <v/>
      </c>
      <c r="W2008" s="611" t="str">
        <f t="shared" ca="1" si="275"/>
        <v>Page5_PARCS, Ligne 3 [Page5_PARCS!M6]  -</v>
      </c>
    </row>
    <row r="2009" spans="1:23">
      <c r="A2009" s="1443" t="str">
        <f>celladdr(Page5_PARCS!M7)</f>
        <v>Page5_PARCS!M7</v>
      </c>
      <c r="B2009" s="1456" t="s">
        <v>1086</v>
      </c>
      <c r="C2009" s="1451"/>
      <c r="D2009" s="1454" t="b">
        <f>OR(AND(Page5_PARCS!$L7&lt;&gt;0,Page5_PARCS!$M7=0),AND(Page5_PARCS!$M7&lt;&gt;0,Page5_PARCS!$L7=0))</f>
        <v>0</v>
      </c>
      <c r="E2009" s="1454" t="b">
        <f>IF(Page5_PARCS!$K7=0,FALSE,OR(Page5_PARCS!$M7/Page5_PARCS!$K7&lt;INDEX(Min_Table,M2009),Page5_PARCS!$M7/Page5_PARCS!$K7&gt;INDEX(Max_Table,M2009)))</f>
        <v>0</v>
      </c>
      <c r="F2009" s="1454"/>
      <c r="G2009" s="1444" t="str">
        <f t="shared" si="270"/>
        <v/>
      </c>
      <c r="I2009" s="1446" t="str">
        <f>IF(D2009=TRUE,Comments!$B$24,"")</f>
        <v/>
      </c>
      <c r="J2009" s="1446" t="str">
        <f>IF(E2009=TRUE,Comments!$B$22&amp;DOLLAR(INDEX(Min_Table,M2009),0)&amp;Comments!$B$18&amp;DOLLAR(INDEX(Max_Table,M2009),0)&amp;Comments!$B$19&amp;IFERROR(DOLLAR(Page5_PARCS!$M7/Page5_PARCS!$K7,0),0),"")</f>
        <v/>
      </c>
      <c r="K2009" s="1452"/>
      <c r="L2009" s="611">
        <f>ROW(OR_VEH!$A$673)</f>
        <v>673</v>
      </c>
      <c r="M2009" s="611">
        <f>ROW(OR_VEH!A505)</f>
        <v>505</v>
      </c>
      <c r="N2009" s="611" t="str">
        <f>"CPTE # "&amp;Page5_PARCS!E7&amp;"  "&amp;Page5_PARCS!C7&amp;" - COÛT DES VENTES - AAD"</f>
        <v>CPTE # 403K  BUICK VOITURES VE - COÛT DES VENTES - AAD</v>
      </c>
      <c r="O2009" s="611" t="str">
        <f t="shared" si="269"/>
        <v/>
      </c>
      <c r="P2009" s="611" t="str">
        <f t="shared" si="271"/>
        <v>Page5_PARCS!M</v>
      </c>
      <c r="Q2009" s="611">
        <f t="shared" si="272"/>
        <v>7</v>
      </c>
      <c r="R2009" s="1447">
        <f t="shared" ca="1" si="273"/>
        <v>0</v>
      </c>
      <c r="S2009" s="1447">
        <f t="shared" ca="1" si="274"/>
        <v>0</v>
      </c>
      <c r="T2009" s="611">
        <v>22</v>
      </c>
      <c r="V2009" s="2557" t="str">
        <f t="shared" ca="1" si="276"/>
        <v/>
      </c>
      <c r="W2009" s="611" t="str">
        <f t="shared" ca="1" si="275"/>
        <v>Page5_PARCS, Ligne 4 [Page5_PARCS!M7]  -</v>
      </c>
    </row>
    <row r="2010" spans="1:23">
      <c r="A2010" s="1443" t="str">
        <f>celladdr(Page5_PARCS!M8)</f>
        <v>Page5_PARCS!M8</v>
      </c>
      <c r="B2010" s="1456" t="s">
        <v>1086</v>
      </c>
      <c r="C2010" s="1451"/>
      <c r="D2010" s="1454" t="b">
        <f>OR(AND(Page5_PARCS!$L8&lt;&gt;0,Page5_PARCS!$M8=0),AND(Page5_PARCS!$M8&lt;&gt;0,Page5_PARCS!$L8=0))</f>
        <v>0</v>
      </c>
      <c r="E2010" s="1454" t="b">
        <f>IF(Page5_PARCS!$K8=0,FALSE,OR(Page5_PARCS!$M8/Page5_PARCS!$K8&lt;INDEX(Min_Table,M2010),Page5_PARCS!$M8/Page5_PARCS!$K8&gt;INDEX(Max_Table,M2010)))</f>
        <v>0</v>
      </c>
      <c r="F2010" s="1454"/>
      <c r="G2010" s="1444" t="str">
        <f t="shared" si="270"/>
        <v/>
      </c>
      <c r="I2010" s="1446" t="str">
        <f>IF(D2010=TRUE,Comments!$B$24,"")</f>
        <v/>
      </c>
      <c r="J2010" s="1446" t="str">
        <f>IF(E2010=TRUE,Comments!$B$22&amp;DOLLAR(INDEX(Min_Table,M2010),0)&amp;Comments!$B$18&amp;DOLLAR(INDEX(Max_Table,M2010),0)&amp;Comments!$B$19&amp;IFERROR(DOLLAR(Page5_PARCS!$M8/Page5_PARCS!$K8,0),0),"")</f>
        <v/>
      </c>
      <c r="K2010" s="1452"/>
      <c r="L2010" s="611">
        <f>ROW(OR_VEH!$A$673)</f>
        <v>673</v>
      </c>
      <c r="M2010" s="611">
        <f>ROW(OR_VEH!A506)</f>
        <v>506</v>
      </c>
      <c r="N2010" s="611" t="str">
        <f>"CPTE # "&amp;Page5_PARCS!E8&amp;"  "&amp;Page5_PARCS!C8&amp;" - COÛT DES VENTES - AAD"</f>
        <v>CPTE # 404K  CADILLAC VOITURES MCI - COÛT DES VENTES - AAD</v>
      </c>
      <c r="O2010" s="611" t="str">
        <f t="shared" si="269"/>
        <v/>
      </c>
      <c r="P2010" s="611" t="str">
        <f t="shared" si="271"/>
        <v>Page5_PARCS!M</v>
      </c>
      <c r="Q2010" s="611">
        <f t="shared" si="272"/>
        <v>8</v>
      </c>
      <c r="R2010" s="1447">
        <f t="shared" ca="1" si="273"/>
        <v>0</v>
      </c>
      <c r="S2010" s="1447">
        <f t="shared" ca="1" si="274"/>
        <v>0</v>
      </c>
      <c r="T2010" s="611">
        <v>22</v>
      </c>
      <c r="V2010" s="2557" t="str">
        <f t="shared" ca="1" si="276"/>
        <v/>
      </c>
      <c r="W2010" s="611" t="str">
        <f t="shared" ca="1" si="275"/>
        <v>Page5_PARCS, Ligne 5 [Page5_PARCS!M8]  -</v>
      </c>
    </row>
    <row r="2011" spans="1:23">
      <c r="A2011" s="1443" t="str">
        <f>celladdr(Page5_PARCS!M9)</f>
        <v>Page5_PARCS!M9</v>
      </c>
      <c r="B2011" s="1456" t="s">
        <v>1086</v>
      </c>
      <c r="C2011" s="1451"/>
      <c r="D2011" s="1454" t="b">
        <f>OR(AND(Page5_PARCS!$L9&lt;&gt;0,Page5_PARCS!$M9=0),AND(Page5_PARCS!$M9&lt;&gt;0,Page5_PARCS!$L9=0))</f>
        <v>0</v>
      </c>
      <c r="E2011" s="1454" t="b">
        <f>IF(Page5_PARCS!$K9=0,FALSE,OR(Page5_PARCS!$M9/Page5_PARCS!$K9&lt;INDEX(Min_Table,M2011),Page5_PARCS!$M9/Page5_PARCS!$K9&gt;INDEX(Max_Table,M2011)))</f>
        <v>0</v>
      </c>
      <c r="F2011" s="1454"/>
      <c r="G2011" s="1444" t="str">
        <f t="shared" si="270"/>
        <v/>
      </c>
      <c r="I2011" s="1446" t="str">
        <f>IF(D2011=TRUE,Comments!$B$24,"")</f>
        <v/>
      </c>
      <c r="J2011" s="1446" t="str">
        <f>IF(E2011=TRUE,Comments!$B$22&amp;DOLLAR(INDEX(Min_Table,M2011),0)&amp;Comments!$B$18&amp;DOLLAR(INDEX(Max_Table,M2011),0)&amp;Comments!$B$19&amp;IFERROR(DOLLAR(Page5_PARCS!$M9/Page5_PARCS!$K9,0),0),"")</f>
        <v/>
      </c>
      <c r="K2011" s="1452"/>
      <c r="L2011" s="611">
        <f>ROW(OR_VEH!$A$673)</f>
        <v>673</v>
      </c>
      <c r="M2011" s="611">
        <f>ROW(OR_VEH!A507)</f>
        <v>507</v>
      </c>
      <c r="N2011" s="611" t="str">
        <f>"CPTE # "&amp;Page5_PARCS!E9&amp;"  "&amp;Page5_PARCS!C9&amp;" - COÛT DES VENTES - AAD"</f>
        <v>CPTE # 405K  CADILLAC VOITURES VE - COÛT DES VENTES - AAD</v>
      </c>
      <c r="O2011" s="611" t="str">
        <f t="shared" si="269"/>
        <v/>
      </c>
      <c r="P2011" s="611" t="str">
        <f t="shared" si="271"/>
        <v>Page5_PARCS!M</v>
      </c>
      <c r="Q2011" s="611">
        <f t="shared" si="272"/>
        <v>9</v>
      </c>
      <c r="R2011" s="1447">
        <f t="shared" ca="1" si="273"/>
        <v>0</v>
      </c>
      <c r="S2011" s="1447">
        <f t="shared" ca="1" si="274"/>
        <v>0</v>
      </c>
      <c r="T2011" s="611">
        <v>22</v>
      </c>
      <c r="V2011" s="2557" t="str">
        <f t="shared" ca="1" si="276"/>
        <v/>
      </c>
      <c r="W2011" s="611" t="str">
        <f t="shared" ca="1" si="275"/>
        <v>Page5_PARCS, Ligne 6 [Page5_PARCS!M9]  -</v>
      </c>
    </row>
    <row r="2012" spans="1:23">
      <c r="A2012" s="1443" t="str">
        <f>celladdr(Page5_PARCS!M10)</f>
        <v>Page5_PARCS!M10</v>
      </c>
      <c r="B2012" s="1456" t="s">
        <v>1086</v>
      </c>
      <c r="C2012" s="1451"/>
      <c r="D2012" s="1454" t="b">
        <f>OR(AND(Page5_PARCS!$L10&lt;&gt;0,Page5_PARCS!$M10=0),AND(Page5_PARCS!$M10&lt;&gt;0,Page5_PARCS!$L10=0))</f>
        <v>0</v>
      </c>
      <c r="E2012" s="1454" t="b">
        <f>IF(Page5_PARCS!$K10=0,FALSE,OR(Page5_PARCS!$M10/Page5_PARCS!$K10&lt;INDEX(Min_Table,M2012),Page5_PARCS!$M10/Page5_PARCS!$K10&gt;INDEX(Max_Table,M2012)))</f>
        <v>0</v>
      </c>
      <c r="F2012" s="1454"/>
      <c r="G2012" s="1444" t="str">
        <f t="shared" si="270"/>
        <v/>
      </c>
      <c r="I2012" s="1446" t="str">
        <f>IF(D2012=TRUE,Comments!$B$24,"")</f>
        <v/>
      </c>
      <c r="J2012" s="1446" t="str">
        <f>IF(E2012=TRUE,Comments!$B$22&amp;DOLLAR(INDEX(Min_Table,M2012),0)&amp;Comments!$B$18&amp;DOLLAR(INDEX(Max_Table,M2012),0)&amp;Comments!$B$19&amp;IFERROR(DOLLAR(Page5_PARCS!$M10/Page5_PARCS!$K10,0),0),"")</f>
        <v/>
      </c>
      <c r="K2012" s="1452"/>
      <c r="L2012" s="611">
        <f>ROW(OR_VEH!$A$673)</f>
        <v>673</v>
      </c>
      <c r="M2012" s="611">
        <f>ROW(OR_VEH!A508)</f>
        <v>508</v>
      </c>
      <c r="N2012" s="611" t="str">
        <f>"CPTE # "&amp;Page5_PARCS!E10&amp;"  "&amp;Page5_PARCS!C10&amp;" - COÛT DES VENTES - AAD"</f>
        <v>CPTE # 406K  NE PAS UTILISER - COÛT DES VENTES - AAD</v>
      </c>
      <c r="O2012" s="611" t="str">
        <f t="shared" si="269"/>
        <v/>
      </c>
      <c r="P2012" s="611" t="str">
        <f t="shared" si="271"/>
        <v>Page5_PARCS!M</v>
      </c>
      <c r="Q2012" s="611">
        <f t="shared" si="272"/>
        <v>10</v>
      </c>
      <c r="R2012" s="1447">
        <f t="shared" ca="1" si="273"/>
        <v>0</v>
      </c>
      <c r="S2012" s="1447">
        <f t="shared" ca="1" si="274"/>
        <v>0</v>
      </c>
      <c r="T2012" s="611">
        <v>22</v>
      </c>
      <c r="V2012" s="2557" t="str">
        <f t="shared" ca="1" si="276"/>
        <v/>
      </c>
      <c r="W2012" s="611" t="str">
        <f t="shared" ca="1" si="275"/>
        <v>Page5_PARCS, Ligne 7 [Page5_PARCS!M10]  -</v>
      </c>
    </row>
    <row r="2013" spans="1:23">
      <c r="A2013" s="1443" t="str">
        <f>celladdr(Page5_PARCS!M11)</f>
        <v>Page5_PARCS!M11</v>
      </c>
      <c r="B2013" s="1456" t="s">
        <v>1086</v>
      </c>
      <c r="C2013" s="1451"/>
      <c r="D2013" s="1454" t="b">
        <f>OR(AND(Page5_PARCS!$L11&lt;&gt;0,Page5_PARCS!$M11=0),AND(Page5_PARCS!$M11&lt;&gt;0,Page5_PARCS!$L11=0))</f>
        <v>0</v>
      </c>
      <c r="E2013" s="1454" t="b">
        <f>IF(Page5_PARCS!$K11=0,FALSE,OR(Page5_PARCS!$M11/Page5_PARCS!$K11&lt;INDEX(Min_Table,M2013),Page5_PARCS!$M11/Page5_PARCS!$K11&gt;INDEX(Max_Table,M2013)))</f>
        <v>0</v>
      </c>
      <c r="F2013" s="1454"/>
      <c r="G2013" s="1444" t="str">
        <f t="shared" si="270"/>
        <v/>
      </c>
      <c r="I2013" s="1446" t="str">
        <f>IF(D2013=TRUE,Comments!$B$24,"")</f>
        <v/>
      </c>
      <c r="J2013" s="1446" t="str">
        <f>IF(E2013=TRUE,Comments!$B$22&amp;DOLLAR(INDEX(Min_Table,M2013),0)&amp;Comments!$B$18&amp;DOLLAR(INDEX(Max_Table,M2013),0)&amp;Comments!$B$19&amp;IFERROR(DOLLAR(Page5_PARCS!$M11/Page5_PARCS!$K11,0),0),"")</f>
        <v/>
      </c>
      <c r="K2013" s="1452"/>
      <c r="L2013" s="611">
        <f>ROW(OR_VEH!$A$673)</f>
        <v>673</v>
      </c>
      <c r="M2013" s="611">
        <f>ROW(OR_VEH!A509)</f>
        <v>509</v>
      </c>
      <c r="N2013" s="611" t="str">
        <f>"CPTE # "&amp;Page5_PARCS!E11&amp;"  "&amp;Page5_PARCS!C11&amp;" - COÛT DES VENTES - AAD"</f>
        <v>CPTE # 407K  NE PAS UTILISER - COÛT DES VENTES - AAD</v>
      </c>
      <c r="O2013" s="611" t="str">
        <f t="shared" si="269"/>
        <v/>
      </c>
      <c r="P2013" s="611" t="str">
        <f t="shared" si="271"/>
        <v>Page5_PARCS!M</v>
      </c>
      <c r="Q2013" s="611">
        <f t="shared" si="272"/>
        <v>11</v>
      </c>
      <c r="R2013" s="1447">
        <f t="shared" ca="1" si="273"/>
        <v>0</v>
      </c>
      <c r="S2013" s="1447">
        <f t="shared" ca="1" si="274"/>
        <v>0</v>
      </c>
      <c r="T2013" s="611">
        <v>22</v>
      </c>
      <c r="V2013" s="2557" t="str">
        <f t="shared" ca="1" si="276"/>
        <v/>
      </c>
      <c r="W2013" s="611" t="str">
        <f t="shared" ca="1" si="275"/>
        <v>Page5_PARCS, Ligne 8 [Page5_PARCS!M11]  -</v>
      </c>
    </row>
    <row r="2014" spans="1:23">
      <c r="A2014" s="1443" t="str">
        <f>celladdr(Page5_PARCS!M12)</f>
        <v>Page5_PARCS!M12</v>
      </c>
      <c r="B2014" s="2449" t="s">
        <v>1086</v>
      </c>
      <c r="C2014" s="1451"/>
      <c r="D2014" s="1454"/>
      <c r="E2014" s="1454"/>
      <c r="F2014" s="1454"/>
      <c r="G2014" s="1444" t="str">
        <f t="shared" si="270"/>
        <v/>
      </c>
      <c r="I2014" s="1446"/>
      <c r="J2014" s="1446"/>
      <c r="K2014" s="1452"/>
      <c r="N2014" s="611" t="str">
        <f>"CPTE # "&amp;Page5_PARCS!E12&amp;"  "&amp;Page5_PARCS!C12&amp;" - COÛT DES VENTES - AAD"</f>
        <v>CPTE #   TOTAL VOITURES DE PETITE ENTREPRISE - COÛT DES VENTES - AAD</v>
      </c>
      <c r="O2014" s="611" t="str">
        <f t="shared" si="269"/>
        <v/>
      </c>
      <c r="P2014" s="611" t="str">
        <f t="shared" si="271"/>
        <v>Page5_PARCS!M</v>
      </c>
      <c r="Q2014" s="611">
        <f t="shared" si="272"/>
        <v>12</v>
      </c>
      <c r="R2014" s="1447">
        <f t="shared" ca="1" si="273"/>
        <v>0</v>
      </c>
      <c r="S2014" s="1447">
        <f t="shared" ca="1" si="274"/>
        <v>0</v>
      </c>
      <c r="V2014" s="2557" t="str">
        <f t="shared" ca="1" si="276"/>
        <v/>
      </c>
      <c r="W2014" s="611" t="str">
        <f t="shared" ca="1" si="275"/>
        <v>Page5_PARCS, Ligne 9 [Page5_PARCS!M12]  -</v>
      </c>
    </row>
    <row r="2015" spans="1:23">
      <c r="A2015" s="1443" t="str">
        <f>celladdr(Page5_PARCS!M13)</f>
        <v>Page5_PARCS!M13</v>
      </c>
      <c r="B2015" s="1456" t="s">
        <v>1086</v>
      </c>
      <c r="C2015" s="1451"/>
      <c r="D2015" s="1454" t="b">
        <f>OR(AND(Page5_PARCS!$L13&lt;&gt;0,Page5_PARCS!$M13=0),AND(Page5_PARCS!$M13&lt;&gt;0,Page5_PARCS!$L13=0))</f>
        <v>0</v>
      </c>
      <c r="E2015" s="1454" t="b">
        <f>IF(Page5_PARCS!$K13=0,FALSE,OR(Page5_PARCS!$M13/Page5_PARCS!$K13&lt;INDEX(Min_Table,M2015),Page5_PARCS!$M13/Page5_PARCS!$K13&gt;INDEX(Max_Table,M2015)))</f>
        <v>0</v>
      </c>
      <c r="F2015" s="1454"/>
      <c r="G2015" s="1444" t="str">
        <f t="shared" si="270"/>
        <v/>
      </c>
      <c r="I2015" s="1446" t="str">
        <f>IF(D2015=TRUE,Comments!$B$24,"")</f>
        <v/>
      </c>
      <c r="J2015" s="1446" t="str">
        <f>IF(E2015=TRUE,Comments!$B$22&amp;DOLLAR(INDEX(Min_Table,M2015),0)&amp;Comments!$B$18&amp;DOLLAR(INDEX(Max_Table,M2015),0)&amp;Comments!$B$19&amp;IFERROR(DOLLAR(Page5_PARCS!$M13/Page5_PARCS!$K13,0),0),"")</f>
        <v/>
      </c>
      <c r="K2015" s="1452"/>
      <c r="L2015" s="611">
        <f>ROW(OR_VEH!$A$673)</f>
        <v>673</v>
      </c>
      <c r="M2015" s="611">
        <f>ROW(OR_VEH!A511)</f>
        <v>511</v>
      </c>
      <c r="N2015" s="611" t="str">
        <f>"CPTE # "&amp;Page5_PARCS!E13&amp;"  "&amp;Page5_PARCS!C13&amp;" - COÛT DES VENTES - AAD"</f>
        <v>CPTE # 412K  BUICK / CADILLAC PETIT VUS VE - COÛT DES VENTES - AAD</v>
      </c>
      <c r="O2015" s="611" t="str">
        <f t="shared" si="269"/>
        <v/>
      </c>
      <c r="P2015" s="611" t="str">
        <f t="shared" si="271"/>
        <v>Page5_PARCS!M</v>
      </c>
      <c r="Q2015" s="611">
        <f t="shared" si="272"/>
        <v>13</v>
      </c>
      <c r="R2015" s="1447">
        <f t="shared" ca="1" si="273"/>
        <v>0</v>
      </c>
      <c r="S2015" s="1447">
        <f t="shared" ca="1" si="274"/>
        <v>0</v>
      </c>
      <c r="T2015" s="611">
        <v>22</v>
      </c>
      <c r="V2015" s="2557" t="str">
        <f t="shared" ca="1" si="276"/>
        <v/>
      </c>
      <c r="W2015" s="611" t="str">
        <f t="shared" ca="1" si="275"/>
        <v>Page5_PARCS, Ligne 10 [Page5_PARCS!M13]  -</v>
      </c>
    </row>
    <row r="2016" spans="1:23">
      <c r="A2016" s="1443" t="str">
        <f>celladdr(Page5_PARCS!M14)</f>
        <v>Page5_PARCS!M14</v>
      </c>
      <c r="B2016" s="1456" t="s">
        <v>1086</v>
      </c>
      <c r="C2016" s="1451"/>
      <c r="D2016" s="1454" t="b">
        <f>OR(AND(Page5_PARCS!$L14&lt;&gt;0,Page5_PARCS!$M14=0),AND(Page5_PARCS!$M14&lt;&gt;0,Page5_PARCS!$L14=0))</f>
        <v>0</v>
      </c>
      <c r="E2016" s="1454" t="b">
        <f>IF(Page5_PARCS!$K14=0,FALSE,OR(Page5_PARCS!$M14/Page5_PARCS!$K14&lt;INDEX(Min_Table,M2016),Page5_PARCS!$M14/Page5_PARCS!$K14&gt;INDEX(Max_Table,M2016)))</f>
        <v>0</v>
      </c>
      <c r="F2016" s="1454"/>
      <c r="G2016" s="1444" t="str">
        <f t="shared" si="270"/>
        <v/>
      </c>
      <c r="I2016" s="1446" t="str">
        <f>IF(D2016=TRUE,Comments!$B$24,"")</f>
        <v/>
      </c>
      <c r="J2016" s="1446" t="str">
        <f>IF(E2016=TRUE,Comments!$B$22&amp;DOLLAR(INDEX(Min_Table,M2016),0)&amp;Comments!$B$18&amp;DOLLAR(INDEX(Max_Table,M2016),0)&amp;Comments!$B$19&amp;IFERROR(DOLLAR(Page5_PARCS!$M14/Page5_PARCS!$K14,0),0),"")</f>
        <v/>
      </c>
      <c r="K2016" s="1452"/>
      <c r="L2016" s="611">
        <f>ROW(OR_VEH!$A$673)</f>
        <v>673</v>
      </c>
      <c r="M2016" s="611">
        <f>ROW(OR_VEH!A512)</f>
        <v>512</v>
      </c>
      <c r="N2016" s="611" t="str">
        <f>"CPTE # "&amp;Page5_PARCS!E14&amp;"  "&amp;Page5_PARCS!C14&amp;" - COÛT DES VENTES - AAD"</f>
        <v>CPTE # 413K  BUICK / CADILLAC PETIT VUS MCI - COÛT DES VENTES - AAD</v>
      </c>
      <c r="O2016" s="611" t="str">
        <f t="shared" si="269"/>
        <v/>
      </c>
      <c r="P2016" s="611" t="str">
        <f t="shared" si="271"/>
        <v>Page5_PARCS!M</v>
      </c>
      <c r="Q2016" s="611">
        <f t="shared" si="272"/>
        <v>14</v>
      </c>
      <c r="R2016" s="1447">
        <f t="shared" ca="1" si="273"/>
        <v>0</v>
      </c>
      <c r="S2016" s="1447">
        <f t="shared" ca="1" si="274"/>
        <v>0</v>
      </c>
      <c r="T2016" s="611">
        <v>22</v>
      </c>
      <c r="V2016" s="2557" t="str">
        <f t="shared" ca="1" si="276"/>
        <v/>
      </c>
      <c r="W2016" s="611" t="str">
        <f t="shared" ca="1" si="275"/>
        <v>Page5_PARCS, Ligne 11 [Page5_PARCS!M14]  -</v>
      </c>
    </row>
    <row r="2017" spans="1:23">
      <c r="A2017" s="1443" t="str">
        <f>celladdr(Page5_PARCS!M15)</f>
        <v>Page5_PARCS!M15</v>
      </c>
      <c r="B2017" s="1456" t="s">
        <v>1086</v>
      </c>
      <c r="C2017" s="1451"/>
      <c r="D2017" s="1454" t="b">
        <f>OR(AND(Page5_PARCS!$L15&lt;&gt;0,Page5_PARCS!$M15=0),AND(Page5_PARCS!$M15&lt;&gt;0,Page5_PARCS!$L15=0))</f>
        <v>0</v>
      </c>
      <c r="E2017" s="1454" t="b">
        <f>IF(Page5_PARCS!$K15=0,FALSE,OR(Page5_PARCS!$M15/Page5_PARCS!$K15&lt;INDEX(Min_Table,M2017),Page5_PARCS!$M15/Page5_PARCS!$K15&gt;INDEX(Max_Table,M2017)))</f>
        <v>0</v>
      </c>
      <c r="F2017" s="1454"/>
      <c r="G2017" s="1444" t="str">
        <f t="shared" si="270"/>
        <v/>
      </c>
      <c r="I2017" s="1446" t="str">
        <f>IF(D2020=TRUE,Comments!$B$24,"")</f>
        <v/>
      </c>
      <c r="J2017" s="1446" t="str">
        <f>IF(E2017=TRUE,Comments!$B$22&amp;DOLLAR(INDEX(Min_Table,M2017),0)&amp;Comments!$B$18&amp;DOLLAR(INDEX(Max_Table,M2017),0)&amp;Comments!$B$19&amp;IFERROR(DOLLAR(Page5_PARCS!$M15/Page5_PARCS!$K15,0),0),"")</f>
        <v/>
      </c>
      <c r="K2017" s="1452"/>
      <c r="L2017" s="611">
        <f>ROW(OR_VEH!$A$673)</f>
        <v>673</v>
      </c>
      <c r="M2017" s="611">
        <f>ROW(OR_VEH!A513)</f>
        <v>513</v>
      </c>
      <c r="N2017" s="611" t="str">
        <f>"CPTE # "&amp;Page5_PARCS!E15&amp;"  "&amp;Page5_PARCS!C15&amp;" - COÛT DES VENTES - AAD"</f>
        <v>CPTE # 414K  BUICK / CADILLAC MOYEN VUS VE - COÛT DES VENTES - AAD</v>
      </c>
      <c r="O2017" s="611" t="str">
        <f t="shared" si="269"/>
        <v/>
      </c>
      <c r="P2017" s="611" t="str">
        <f t="shared" si="271"/>
        <v>Page5_PARCS!M</v>
      </c>
      <c r="Q2017" s="611">
        <f t="shared" si="272"/>
        <v>15</v>
      </c>
      <c r="R2017" s="1447">
        <f t="shared" ca="1" si="273"/>
        <v>0</v>
      </c>
      <c r="S2017" s="1447">
        <f t="shared" ca="1" si="274"/>
        <v>0</v>
      </c>
      <c r="T2017" s="611">
        <v>22</v>
      </c>
      <c r="V2017" s="2557" t="str">
        <f t="shared" ca="1" si="276"/>
        <v/>
      </c>
      <c r="W2017" s="611" t="str">
        <f t="shared" ca="1" si="275"/>
        <v>Page5_PARCS, Ligne 12 [Page5_PARCS!M15]  -</v>
      </c>
    </row>
    <row r="2018" spans="1:23">
      <c r="A2018" s="1443" t="str">
        <f>celladdr(Page5_PARCS!M16)</f>
        <v>Page5_PARCS!M16</v>
      </c>
      <c r="B2018" s="1456" t="s">
        <v>1086</v>
      </c>
      <c r="C2018" s="1451"/>
      <c r="D2018" s="1454" t="b">
        <f>OR(AND(Page5_PARCS!$L16&lt;&gt;0,Page5_PARCS!$M16=0),AND(Page5_PARCS!$M16&lt;&gt;0,Page5_PARCS!$L16=0))</f>
        <v>0</v>
      </c>
      <c r="E2018" s="1454" t="b">
        <f>IF(Page5_PARCS!$K16=0,FALSE,OR(Page5_PARCS!$M16/Page5_PARCS!$K16&lt;INDEX(Min_Table,M2018),Page5_PARCS!$M16/Page5_PARCS!$K16&gt;INDEX(Max_Table,M2018)))</f>
        <v>0</v>
      </c>
      <c r="F2018" s="1454"/>
      <c r="G2018" s="1444" t="str">
        <f t="shared" si="270"/>
        <v/>
      </c>
      <c r="I2018" s="1446" t="str">
        <f>IF(D2018=TRUE,Comments!$B$24,"")</f>
        <v/>
      </c>
      <c r="J2018" s="1446" t="str">
        <f>IF(E2018=TRUE,Comments!$B$22&amp;DOLLAR(INDEX(Min_Table,M2018),0)&amp;Comments!$B$18&amp;DOLLAR(INDEX(Max_Table,M2018),0)&amp;Comments!$B$19&amp;IFERROR(DOLLAR(Page5_PARCS!$M16/Page5_PARCS!$K16,0),0),"")</f>
        <v/>
      </c>
      <c r="K2018" s="1452"/>
      <c r="L2018" s="611">
        <f>ROW(OR_VEH!$A$673)</f>
        <v>673</v>
      </c>
      <c r="M2018" s="611">
        <f>ROW(OR_VEH!A514)</f>
        <v>514</v>
      </c>
      <c r="N2018" s="611" t="str">
        <f>"CPTE # "&amp;Page5_PARCS!E16&amp;"  "&amp;Page5_PARCS!C16&amp;" - COÛT DES VENTES - AAD"</f>
        <v>CPTE # 415K  BUICK / CADILLAC MOYEN VUS MCI - COÛT DES VENTES - AAD</v>
      </c>
      <c r="O2018" s="611" t="str">
        <f t="shared" si="269"/>
        <v/>
      </c>
      <c r="P2018" s="611" t="str">
        <f t="shared" si="271"/>
        <v>Page5_PARCS!M</v>
      </c>
      <c r="Q2018" s="611">
        <f t="shared" si="272"/>
        <v>16</v>
      </c>
      <c r="R2018" s="1447">
        <f t="shared" ca="1" si="273"/>
        <v>0</v>
      </c>
      <c r="S2018" s="1447">
        <f t="shared" ca="1" si="274"/>
        <v>0</v>
      </c>
      <c r="T2018" s="611">
        <v>22</v>
      </c>
      <c r="V2018" s="2557" t="str">
        <f t="shared" ca="1" si="276"/>
        <v/>
      </c>
      <c r="W2018" s="611" t="str">
        <f t="shared" ca="1" si="275"/>
        <v>Page5_PARCS, Ligne 13 [Page5_PARCS!M16]  -</v>
      </c>
    </row>
    <row r="2019" spans="1:23">
      <c r="A2019" s="1443" t="str">
        <f>celladdr(Page5_PARCS!M17)</f>
        <v>Page5_PARCS!M17</v>
      </c>
      <c r="B2019" s="1456" t="s">
        <v>1086</v>
      </c>
      <c r="C2019" s="1451"/>
      <c r="D2019" s="1454" t="b">
        <f>OR(AND(Page5_PARCS!$L17&lt;&gt;0,Page5_PARCS!$M17=0),AND(Page5_PARCS!$M17&lt;&gt;0,Page5_PARCS!$L17=0))</f>
        <v>0</v>
      </c>
      <c r="E2019" s="1454" t="b">
        <f>IF(Page5_PARCS!$K17=0,FALSE,OR(Page5_PARCS!$M17/Page5_PARCS!$K17&lt;INDEX(Min_Table,M2019),Page5_PARCS!$M17/Page5_PARCS!$K17&gt;INDEX(Max_Table,M2019)))</f>
        <v>0</v>
      </c>
      <c r="F2019" s="1454"/>
      <c r="G2019" s="1444" t="str">
        <f t="shared" si="270"/>
        <v/>
      </c>
      <c r="I2019" s="1446" t="str">
        <f>IF(D2019=TRUE,Comments!$B$24,"")</f>
        <v/>
      </c>
      <c r="J2019" s="1446" t="str">
        <f>IF(E2019=TRUE,Comments!$B$22&amp;DOLLAR(INDEX(Min_Table,M2019),0)&amp;Comments!$B$18&amp;DOLLAR(INDEX(Max_Table,M2019),0)&amp;Comments!$B$19&amp;IFERROR(DOLLAR(Page5_PARCS!$M17/Page5_PARCS!$K17,0),0),"")</f>
        <v/>
      </c>
      <c r="K2019" s="1452"/>
      <c r="L2019" s="611">
        <f>ROW(OR_VEH!$A$673)</f>
        <v>673</v>
      </c>
      <c r="M2019" s="611">
        <f>ROW(OR_VEH!A515)</f>
        <v>515</v>
      </c>
      <c r="N2019" s="611" t="str">
        <f>"CPTE # "&amp;Page5_PARCS!E17&amp;"  "&amp;Page5_PARCS!C17&amp;" - COÛT DES VENTES - AAD"</f>
        <v>CPTE # 416K  BUICK / CADILLAC GRAND VUS VE - COÛT DES VENTES - AAD</v>
      </c>
      <c r="O2019" s="611" t="str">
        <f t="shared" si="269"/>
        <v/>
      </c>
      <c r="P2019" s="611" t="str">
        <f t="shared" si="271"/>
        <v>Page5_PARCS!M</v>
      </c>
      <c r="Q2019" s="611">
        <f t="shared" si="272"/>
        <v>17</v>
      </c>
      <c r="R2019" s="1447">
        <f t="shared" ca="1" si="273"/>
        <v>0</v>
      </c>
      <c r="S2019" s="1447">
        <f t="shared" ca="1" si="274"/>
        <v>0</v>
      </c>
      <c r="T2019" s="611">
        <v>22</v>
      </c>
      <c r="V2019" s="2557" t="str">
        <f t="shared" ca="1" si="276"/>
        <v/>
      </c>
      <c r="W2019" s="611" t="str">
        <f t="shared" ca="1" si="275"/>
        <v>Page5_PARCS, Ligne 14 [Page5_PARCS!M17]  -</v>
      </c>
    </row>
    <row r="2020" spans="1:23">
      <c r="A2020" s="1443" t="str">
        <f>celladdr(Page5_PARCS!M18)</f>
        <v>Page5_PARCS!M18</v>
      </c>
      <c r="B2020" s="1456" t="s">
        <v>1086</v>
      </c>
      <c r="C2020" s="1451"/>
      <c r="D2020" s="1454" t="b">
        <f>OR(AND(Page5_PARCS!$L18&lt;&gt;0,Page5_PARCS!$M18=0),AND(Page5_PARCS!$M18&lt;&gt;0,Page5_PARCS!$L18=0))</f>
        <v>0</v>
      </c>
      <c r="E2020" s="1454" t="b">
        <f>IF(Page5_PARCS!$K18=0,FALSE,OR(Page5_PARCS!$M18/Page5_PARCS!$K18&lt;INDEX(Min_Table,M2020),Page5_PARCS!$M18/Page5_PARCS!$K18&gt;INDEX(Max_Table,M2020)))</f>
        <v>0</v>
      </c>
      <c r="F2020" s="1454"/>
      <c r="G2020" s="1444" t="str">
        <f t="shared" si="270"/>
        <v/>
      </c>
      <c r="I2020" s="1446" t="str">
        <f>IF(D2020=TRUE,Comments!$B$24,"")</f>
        <v/>
      </c>
      <c r="J2020" s="1446" t="str">
        <f>IF(E2020=TRUE,Comments!$B$22&amp;DOLLAR(INDEX(Min_Table,M2020),0)&amp;Comments!$B$18&amp;DOLLAR(INDEX(Max_Table,M2020),0)&amp;Comments!$B$19&amp;IFERROR(DOLLAR(Page5_PARCS!$M18/Page5_PARCS!$K18,0),0),"")</f>
        <v/>
      </c>
      <c r="K2020" s="1452"/>
      <c r="L2020" s="611">
        <f>ROW(OR_VEH!$A$673)</f>
        <v>673</v>
      </c>
      <c r="M2020" s="611">
        <f>ROW(OR_VEH!A516)</f>
        <v>516</v>
      </c>
      <c r="N2020" s="611" t="str">
        <f>"CPTE # "&amp;Page5_PARCS!E18&amp;"  "&amp;Page5_PARCS!C18&amp;" - COÛT DES VENTES - AAD"</f>
        <v>CPTE # 417K  BUICK / CADILLAC GRAND VUS MCI - COÛT DES VENTES - AAD</v>
      </c>
      <c r="O2020" s="611" t="str">
        <f t="shared" si="269"/>
        <v/>
      </c>
      <c r="P2020" s="611" t="str">
        <f t="shared" si="271"/>
        <v>Page5_PARCS!M</v>
      </c>
      <c r="Q2020" s="611">
        <f t="shared" si="272"/>
        <v>18</v>
      </c>
      <c r="R2020" s="1447">
        <f t="shared" ca="1" si="273"/>
        <v>0</v>
      </c>
      <c r="S2020" s="1447">
        <f t="shared" ca="1" si="274"/>
        <v>0</v>
      </c>
      <c r="T2020" s="611">
        <v>22</v>
      </c>
      <c r="V2020" s="2557" t="str">
        <f t="shared" ca="1" si="276"/>
        <v/>
      </c>
      <c r="W2020" s="611" t="str">
        <f t="shared" ca="1" si="275"/>
        <v>Page5_PARCS, Ligne 15 [Page5_PARCS!M18]  -</v>
      </c>
    </row>
    <row r="2021" spans="1:23">
      <c r="A2021" s="1443" t="str">
        <f>celladdr(Page5_PARCS!M19)</f>
        <v>Page5_PARCS!M19</v>
      </c>
      <c r="B2021" s="1456" t="s">
        <v>1086</v>
      </c>
      <c r="C2021" s="1451"/>
      <c r="D2021" s="1454" t="b">
        <f>OR(AND(Page5_PARCS!$L19&lt;&gt;0,Page5_PARCS!$M19=0),AND(Page5_PARCS!$M19&lt;&gt;0,Page5_PARCS!$L19=0))</f>
        <v>0</v>
      </c>
      <c r="E2021" s="1454" t="b">
        <f>IF(Page5_PARCS!$K19=0,FALSE,OR(Page5_PARCS!$M19/Page5_PARCS!$K19&lt;INDEX(Min_Table,M2021),Page5_PARCS!$M19/Page5_PARCS!$K19&gt;INDEX(Max_Table,M2021)))</f>
        <v>0</v>
      </c>
      <c r="F2021" s="1454"/>
      <c r="G2021" s="1444" t="str">
        <f t="shared" si="270"/>
        <v/>
      </c>
      <c r="I2021" s="1446" t="str">
        <f>IF(D2021=TRUE,Comments!$B$24,"")</f>
        <v/>
      </c>
      <c r="J2021" s="1446" t="str">
        <f>IF(E2021=TRUE,Comments!$B$22&amp;DOLLAR(INDEX(Min_Table,M2021),0)&amp;Comments!$B$18&amp;DOLLAR(INDEX(Max_Table,M2021),0)&amp;Comments!$B$19&amp;IFERROR(DOLLAR(Page5_PARCS!$M19/Page5_PARCS!$K19,0),0),"")</f>
        <v/>
      </c>
      <c r="K2021" s="1452"/>
      <c r="L2021" s="611">
        <f>ROW(OR_VEH!$A$673)</f>
        <v>673</v>
      </c>
      <c r="M2021" s="611">
        <f>ROW(OR_VEH!A517)</f>
        <v>517</v>
      </c>
      <c r="N2021" s="611" t="str">
        <f>"CPTE # "&amp;Page5_PARCS!E19&amp;"  "&amp;Page5_PARCS!C19&amp;" - COÛT DES VENTES - AAD"</f>
        <v>CPTE # 418K  CHEVROLET / GMC PETIT VUS VE - COÛT DES VENTES - AAD</v>
      </c>
      <c r="O2021" s="611" t="str">
        <f t="shared" si="269"/>
        <v/>
      </c>
      <c r="P2021" s="611" t="str">
        <f t="shared" si="271"/>
        <v>Page5_PARCS!M</v>
      </c>
      <c r="Q2021" s="611">
        <f t="shared" si="272"/>
        <v>19</v>
      </c>
      <c r="R2021" s="1447">
        <f t="shared" ca="1" si="273"/>
        <v>0</v>
      </c>
      <c r="S2021" s="1447">
        <f t="shared" ca="1" si="274"/>
        <v>0</v>
      </c>
      <c r="T2021" s="611">
        <v>22</v>
      </c>
      <c r="V2021" s="2557" t="str">
        <f t="shared" ca="1" si="276"/>
        <v/>
      </c>
      <c r="W2021" s="611" t="str">
        <f t="shared" ca="1" si="275"/>
        <v>Page5_PARCS, Ligne 16 [Page5_PARCS!M19]  -</v>
      </c>
    </row>
    <row r="2022" spans="1:23">
      <c r="A2022" s="1443" t="str">
        <f>celladdr(Page5_PARCS!M20)</f>
        <v>Page5_PARCS!M20</v>
      </c>
      <c r="B2022" s="1456" t="s">
        <v>1086</v>
      </c>
      <c r="C2022" s="1451"/>
      <c r="D2022" s="1454" t="b">
        <f>OR(AND(Page5_PARCS!$L20&lt;&gt;0,Page5_PARCS!$M20=0),AND(Page5_PARCS!$M20&lt;&gt;0,Page5_PARCS!$L20=0))</f>
        <v>0</v>
      </c>
      <c r="E2022" s="1454" t="b">
        <f>IF(Page5_PARCS!$K20=0,FALSE,OR(Page5_PARCS!$M20/Page5_PARCS!$K20&lt;INDEX(Min_Table,M2022),Page5_PARCS!$M20/Page5_PARCS!$K20&gt;INDEX(Max_Table,M2022)))</f>
        <v>0</v>
      </c>
      <c r="F2022" s="1454"/>
      <c r="G2022" s="1444" t="str">
        <f t="shared" si="270"/>
        <v/>
      </c>
      <c r="I2022" s="1446" t="str">
        <f>IF(D2022=TRUE,Comments!$B$24,"")</f>
        <v/>
      </c>
      <c r="J2022" s="1446" t="str">
        <f>IF(E2022=TRUE,Comments!$B$22&amp;DOLLAR(INDEX(Min_Table,M2022),0)&amp;Comments!$B$18&amp;DOLLAR(INDEX(Max_Table,M2022),0)&amp;Comments!$B$19&amp;IFERROR(DOLLAR(Page5_PARCS!$M20/Page5_PARCS!$K20,0),0),"")</f>
        <v/>
      </c>
      <c r="K2022" s="1452"/>
      <c r="L2022" s="611">
        <f>ROW(OR_VEH!$A$673)</f>
        <v>673</v>
      </c>
      <c r="M2022" s="611">
        <f>ROW(OR_VEH!A518)</f>
        <v>518</v>
      </c>
      <c r="N2022" s="611" t="str">
        <f>"CPTE # "&amp;Page5_PARCS!E20&amp;"  "&amp;Page5_PARCS!C20&amp;" - COÛT DES VENTES - AAD"</f>
        <v>CPTE # 419K  CHEVROLET / GMC PETIT VUS MCI - COÛT DES VENTES - AAD</v>
      </c>
      <c r="O2022" s="611" t="str">
        <f t="shared" si="269"/>
        <v/>
      </c>
      <c r="P2022" s="611" t="str">
        <f t="shared" si="271"/>
        <v>Page5_PARCS!M</v>
      </c>
      <c r="Q2022" s="611">
        <f t="shared" si="272"/>
        <v>20</v>
      </c>
      <c r="R2022" s="1447">
        <f t="shared" ca="1" si="273"/>
        <v>0</v>
      </c>
      <c r="S2022" s="1447">
        <f t="shared" ca="1" si="274"/>
        <v>0</v>
      </c>
      <c r="T2022" s="611">
        <v>22</v>
      </c>
      <c r="V2022" s="2557" t="str">
        <f t="shared" ca="1" si="276"/>
        <v/>
      </c>
      <c r="W2022" s="611" t="str">
        <f t="shared" ca="1" si="275"/>
        <v>Page5_PARCS, Ligne 17 [Page5_PARCS!M20]  -</v>
      </c>
    </row>
    <row r="2023" spans="1:23">
      <c r="A2023" s="1443" t="str">
        <f>celladdr(Page5_PARCS!M21)</f>
        <v>Page5_PARCS!M21</v>
      </c>
      <c r="B2023" s="1456" t="s">
        <v>1086</v>
      </c>
      <c r="C2023" s="1451"/>
      <c r="D2023" s="1454" t="b">
        <f>OR(AND(Page5_PARCS!$L21&lt;&gt;0,Page5_PARCS!$M21=0),AND(Page5_PARCS!$M21&lt;&gt;0,Page5_PARCS!$L21=0))</f>
        <v>0</v>
      </c>
      <c r="E2023" s="1454" t="b">
        <f>IF(Page5_PARCS!$K21=0,FALSE,OR(Page5_PARCS!$M21/Page5_PARCS!$K21&lt;INDEX(Min_Table,M2023),Page5_PARCS!$M21/Page5_PARCS!$K21&gt;INDEX(Max_Table,M2023)))</f>
        <v>0</v>
      </c>
      <c r="F2023" s="1454"/>
      <c r="G2023" s="1444" t="str">
        <f t="shared" si="270"/>
        <v/>
      </c>
      <c r="I2023" s="1446" t="str">
        <f>IF(D2023=TRUE,Comments!$B$24,"")</f>
        <v/>
      </c>
      <c r="J2023" s="1446" t="str">
        <f>IF(E2023=TRUE,Comments!$B$22&amp;DOLLAR(INDEX(Min_Table,M2023),0)&amp;Comments!$B$18&amp;DOLLAR(INDEX(Max_Table,M2023),0)&amp;Comments!$B$19&amp;IFERROR(DOLLAR(Page5_PARCS!$M21/Page5_PARCS!$K21,0),0),"")</f>
        <v/>
      </c>
      <c r="K2023" s="1452"/>
      <c r="L2023" s="611">
        <f>ROW(OR_VEH!$A$673)</f>
        <v>673</v>
      </c>
      <c r="M2023" s="611">
        <f>ROW(OR_VEH!A519)</f>
        <v>519</v>
      </c>
      <c r="N2023" s="611" t="str">
        <f>"CPTE # "&amp;Page5_PARCS!E21&amp;"  "&amp;Page5_PARCS!C21&amp;" - COÛT DES VENTES - AAD"</f>
        <v>CPTE # 420K  CHEVROLET / GMC MOYEN VUS VE - COÛT DES VENTES - AAD</v>
      </c>
      <c r="O2023" s="611" t="str">
        <f t="shared" si="269"/>
        <v/>
      </c>
      <c r="P2023" s="611" t="str">
        <f t="shared" si="271"/>
        <v>Page5_PARCS!M</v>
      </c>
      <c r="Q2023" s="611">
        <f t="shared" si="272"/>
        <v>21</v>
      </c>
      <c r="R2023" s="1447">
        <f t="shared" ca="1" si="273"/>
        <v>0</v>
      </c>
      <c r="S2023" s="1447">
        <f t="shared" ca="1" si="274"/>
        <v>0</v>
      </c>
      <c r="T2023" s="611">
        <v>22</v>
      </c>
      <c r="V2023" s="2557" t="str">
        <f t="shared" ca="1" si="276"/>
        <v/>
      </c>
      <c r="W2023" s="611" t="str">
        <f t="shared" ca="1" si="275"/>
        <v>Page5_PARCS, Ligne 18 [Page5_PARCS!M21]  -</v>
      </c>
    </row>
    <row r="2024" spans="1:23">
      <c r="A2024" s="1443" t="str">
        <f>celladdr(Page5_PARCS!M22)</f>
        <v>Page5_PARCS!M22</v>
      </c>
      <c r="B2024" s="1456" t="s">
        <v>1086</v>
      </c>
      <c r="C2024" s="1451"/>
      <c r="D2024" s="1454" t="b">
        <f>OR(AND(Page5_PARCS!$L22&lt;&gt;0,Page5_PARCS!$M22=0),AND(Page5_PARCS!$M22&lt;&gt;0,Page5_PARCS!$L22=0))</f>
        <v>0</v>
      </c>
      <c r="E2024" s="1454" t="b">
        <f>IF(Page5_PARCS!$K22=0,FALSE,OR(Page5_PARCS!$M22/Page5_PARCS!$K22&lt;INDEX(Min_Table,M2024),Page5_PARCS!$M22/Page5_PARCS!$K22&gt;INDEX(Max_Table,M2024)))</f>
        <v>0</v>
      </c>
      <c r="F2024" s="1454"/>
      <c r="G2024" s="1444" t="str">
        <f t="shared" si="270"/>
        <v/>
      </c>
      <c r="I2024" s="1446" t="str">
        <f>IF(D2024=TRUE,Comments!$B$24,"")</f>
        <v/>
      </c>
      <c r="J2024" s="1446" t="str">
        <f>IF(E2024=TRUE,Comments!$B$22&amp;DOLLAR(INDEX(Min_Table,M2024),0)&amp;Comments!$B$18&amp;DOLLAR(INDEX(Max_Table,M2024),0)&amp;Comments!$B$19&amp;IFERROR(DOLLAR(Page5_PARCS!$M22/Page5_PARCS!$K22,0),0),"")</f>
        <v/>
      </c>
      <c r="K2024" s="1452"/>
      <c r="L2024" s="611">
        <f>ROW(OR_VEH!$A$673)</f>
        <v>673</v>
      </c>
      <c r="M2024" s="611">
        <f>ROW(OR_VEH!A520)</f>
        <v>520</v>
      </c>
      <c r="N2024" s="611" t="str">
        <f>"CPTE # "&amp;Page5_PARCS!E22&amp;"  "&amp;Page5_PARCS!C22&amp;" - COÛT DES VENTES - AAD"</f>
        <v>CPTE # 421K  CHEVROLET / GMC MOYEN VUS MCI - COÛT DES VENTES - AAD</v>
      </c>
      <c r="O2024" s="611" t="str">
        <f t="shared" si="269"/>
        <v/>
      </c>
      <c r="P2024" s="611" t="str">
        <f t="shared" si="271"/>
        <v>Page5_PARCS!M</v>
      </c>
      <c r="Q2024" s="611">
        <f t="shared" si="272"/>
        <v>22</v>
      </c>
      <c r="R2024" s="1447">
        <f t="shared" ca="1" si="273"/>
        <v>0</v>
      </c>
      <c r="S2024" s="1447">
        <f t="shared" ca="1" si="274"/>
        <v>0</v>
      </c>
      <c r="T2024" s="611">
        <v>22</v>
      </c>
      <c r="V2024" s="2557" t="str">
        <f t="shared" ca="1" si="276"/>
        <v/>
      </c>
      <c r="W2024" s="611" t="str">
        <f t="shared" ca="1" si="275"/>
        <v>Page5_PARCS, Ligne 19 [Page5_PARCS!M22]  -</v>
      </c>
    </row>
    <row r="2025" spans="1:23">
      <c r="A2025" s="1443" t="str">
        <f>celladdr(Page5_PARCS!M23)</f>
        <v>Page5_PARCS!M23</v>
      </c>
      <c r="B2025" s="1456" t="s">
        <v>1086</v>
      </c>
      <c r="D2025" s="1454" t="b">
        <f>OR(AND(Page5_PARCS!$L23&lt;&gt;0,Page5_PARCS!$M23=0),AND(Page5_PARCS!$M23&lt;&gt;0,Page5_PARCS!$L23=0))</f>
        <v>0</v>
      </c>
      <c r="E2025" s="1454" t="b">
        <f>IF(Page5_PARCS!$K23=0,FALSE,OR(Page5_PARCS!$M23/Page5_PARCS!$K23&lt;INDEX(Min_Table,M2025),Page5_PARCS!$M23/Page5_PARCS!$K23&gt;INDEX(Max_Table,M2025)))</f>
        <v>0</v>
      </c>
      <c r="F2025" s="1454"/>
      <c r="G2025" s="1444" t="str">
        <f t="shared" si="270"/>
        <v/>
      </c>
      <c r="H2025" s="1446"/>
      <c r="I2025" s="1446" t="str">
        <f>IF(D2025=TRUE,Comments!$B$24,"")</f>
        <v/>
      </c>
      <c r="J2025" s="1446" t="str">
        <f>IF(E2025=TRUE,Comments!$B$22&amp;DOLLAR(INDEX(Min_Table,M2025),0)&amp;Comments!$B$18&amp;DOLLAR(INDEX(Max_Table,M2025),0)&amp;Comments!$B$19&amp;IFERROR(DOLLAR(Page5_PARCS!$M23/Page5_PARCS!$K23,0),0),"")</f>
        <v/>
      </c>
      <c r="K2025" s="1452"/>
      <c r="L2025" s="611">
        <f>ROW(OR_VEH!$A$673)</f>
        <v>673</v>
      </c>
      <c r="M2025" s="611">
        <f>ROW(OR_VEH!A521)</f>
        <v>521</v>
      </c>
      <c r="N2025" s="611" t="str">
        <f>"CPTE # "&amp;Page5_PARCS!E23&amp;"  "&amp;Page5_PARCS!C23&amp;" - COÛT DES VENTES - AAD"</f>
        <v>CPTE # 422K  CHEVROLET / GMC / HUMMER GRAND VUS VE - COÛT DES VENTES - AAD</v>
      </c>
      <c r="O2025" s="611" t="str">
        <f t="shared" si="269"/>
        <v/>
      </c>
      <c r="P2025" s="611" t="str">
        <f t="shared" si="271"/>
        <v>Page5_PARCS!M</v>
      </c>
      <c r="Q2025" s="611">
        <f t="shared" si="272"/>
        <v>23</v>
      </c>
      <c r="R2025" s="1447">
        <f t="shared" ca="1" si="273"/>
        <v>0</v>
      </c>
      <c r="S2025" s="1447">
        <f t="shared" ca="1" si="274"/>
        <v>0</v>
      </c>
      <c r="T2025" s="611">
        <v>22</v>
      </c>
      <c r="V2025" s="2557" t="str">
        <f t="shared" ca="1" si="276"/>
        <v/>
      </c>
      <c r="W2025" s="611" t="str">
        <f t="shared" ca="1" si="275"/>
        <v>Page5_PARCS, Ligne 20 [Page5_PARCS!M23]  -</v>
      </c>
    </row>
    <row r="2026" spans="1:23">
      <c r="A2026" s="1443" t="str">
        <f>celladdr(Page5_PARCS!M24)</f>
        <v>Page5_PARCS!M24</v>
      </c>
      <c r="B2026" s="1456" t="s">
        <v>1086</v>
      </c>
      <c r="C2026" s="1451"/>
      <c r="D2026" s="1454" t="b">
        <f>OR(AND(Page5_PARCS!$L24&lt;&gt;0,Page5_PARCS!$M24=0),AND(Page5_PARCS!$M24&lt;&gt;0,Page5_PARCS!$L24=0))</f>
        <v>0</v>
      </c>
      <c r="E2026" s="1454" t="b">
        <f>IF(Page5_PARCS!$K24=0,FALSE,OR(Page5_PARCS!$M24/Page5_PARCS!$K24&lt;INDEX(Min_Table,M2026),Page5_PARCS!$M24/Page5_PARCS!$K24&gt;INDEX(Max_Table,M2026)))</f>
        <v>0</v>
      </c>
      <c r="F2026" s="1454"/>
      <c r="G2026" s="1444" t="str">
        <f t="shared" si="270"/>
        <v/>
      </c>
      <c r="I2026" s="1446" t="str">
        <f>IF(D2026=TRUE,Comments!$B$24,"")</f>
        <v/>
      </c>
      <c r="J2026" s="1446" t="str">
        <f>IF(E2026=TRUE,Comments!$B$22&amp;DOLLAR(INDEX(Min_Table,M2026),0)&amp;Comments!$B$18&amp;DOLLAR(INDEX(Max_Table,M2026),0)&amp;Comments!$B$19&amp;IFERROR(DOLLAR(Page5_PARCS!$M24/Page5_PARCS!$K24,0),0),"")</f>
        <v/>
      </c>
      <c r="K2026" s="1452"/>
      <c r="L2026" s="611">
        <f>ROW(OR_VEH!$A$673)</f>
        <v>673</v>
      </c>
      <c r="M2026" s="611">
        <f>ROW(OR_VEH!A522)</f>
        <v>522</v>
      </c>
      <c r="N2026" s="611" t="str">
        <f>"CPTE # "&amp;Page5_PARCS!E24&amp;"  "&amp;Page5_PARCS!C24&amp;" - COÛT DES VENTES - AAD"</f>
        <v>CPTE # 423K  CHEVROLET / GMC GRAND VUS MCI - COÛT DES VENTES - AAD</v>
      </c>
      <c r="O2026" s="611" t="str">
        <f t="shared" si="269"/>
        <v/>
      </c>
      <c r="P2026" s="611" t="str">
        <f t="shared" si="271"/>
        <v>Page5_PARCS!M</v>
      </c>
      <c r="Q2026" s="611">
        <f t="shared" si="272"/>
        <v>24</v>
      </c>
      <c r="R2026" s="1447">
        <f t="shared" ca="1" si="273"/>
        <v>0</v>
      </c>
      <c r="S2026" s="1447">
        <f t="shared" ca="1" si="274"/>
        <v>0</v>
      </c>
      <c r="T2026" s="611">
        <v>22</v>
      </c>
      <c r="V2026" s="2557" t="str">
        <f t="shared" ca="1" si="276"/>
        <v/>
      </c>
      <c r="W2026" s="611" t="str">
        <f t="shared" ca="1" si="275"/>
        <v>Page5_PARCS, Ligne 21 [Page5_PARCS!M24]  -</v>
      </c>
    </row>
    <row r="2027" spans="1:23">
      <c r="A2027" s="1443" t="str">
        <f>celladdr(Page5_PARCS!M25)</f>
        <v>Page5_PARCS!M25</v>
      </c>
      <c r="B2027" s="1456" t="s">
        <v>1086</v>
      </c>
      <c r="D2027" s="1454" t="b">
        <f>OR(AND(Page5_PARCS!$L25&lt;&gt;0,Page5_PARCS!$M25=0),AND(Page5_PARCS!$M25&lt;&gt;0,Page5_PARCS!$L25=0))</f>
        <v>0</v>
      </c>
      <c r="E2027" s="1454" t="b">
        <f>IF(Page5_PARCS!$K25=0,FALSE,OR(Page5_PARCS!$M25/Page5_PARCS!$K25&lt;INDEX(Min_Table,M2027),Page5_PARCS!$M25/Page5_PARCS!$K25&gt;INDEX(Max_Table,M2027)))</f>
        <v>0</v>
      </c>
      <c r="F2027" s="1454"/>
      <c r="G2027" s="1444" t="str">
        <f t="shared" si="270"/>
        <v/>
      </c>
      <c r="H2027" s="1446"/>
      <c r="I2027" s="1446" t="str">
        <f>IF(D2027=TRUE,Comments!$B$24,"")</f>
        <v/>
      </c>
      <c r="J2027" s="1446" t="str">
        <f>IF(E2027=TRUE,Comments!$B$22&amp;DOLLAR(INDEX(Min_Table,M2027),0)&amp;Comments!$B$18&amp;DOLLAR(INDEX(Max_Table,M2027),0)&amp;Comments!$B$19&amp;IFERROR(DOLLAR(Page5_PARCS!$M25/Page5_PARCS!$K25,0),0),"")</f>
        <v/>
      </c>
      <c r="K2027" s="1452"/>
      <c r="L2027" s="611">
        <f>ROW(OR_VEH!$A$673)</f>
        <v>673</v>
      </c>
      <c r="M2027" s="611">
        <f>ROW(OR_VEH!A523)</f>
        <v>523</v>
      </c>
      <c r="N2027" s="611" t="str">
        <f>"CPTE # "&amp;Page5_PARCS!E25&amp;"  "&amp;Page5_PARCS!C25&amp;" - COÛT DES VENTES - AAD"</f>
        <v>CPTE # 424K  SILVERADO/SIERRA POIDS LOURD MCI (2500/3500) - COÛT DES VENTES - AAD</v>
      </c>
      <c r="O2027" s="611" t="str">
        <f t="shared" si="269"/>
        <v/>
      </c>
      <c r="P2027" s="611" t="str">
        <f t="shared" si="271"/>
        <v>Page5_PARCS!M</v>
      </c>
      <c r="Q2027" s="611">
        <f t="shared" si="272"/>
        <v>25</v>
      </c>
      <c r="R2027" s="1447">
        <f t="shared" ca="1" si="273"/>
        <v>0</v>
      </c>
      <c r="S2027" s="1447">
        <f t="shared" ca="1" si="274"/>
        <v>0</v>
      </c>
      <c r="T2027" s="611">
        <v>22</v>
      </c>
      <c r="V2027" s="2557" t="str">
        <f t="shared" ca="1" si="276"/>
        <v/>
      </c>
      <c r="W2027" s="611" t="str">
        <f t="shared" ca="1" si="275"/>
        <v>Page5_PARCS, Ligne 22 [Page5_PARCS!M25]  -</v>
      </c>
    </row>
    <row r="2028" spans="1:23">
      <c r="A2028" s="1443" t="str">
        <f>celladdr(Page5_PARCS!M26)</f>
        <v>Page5_PARCS!M26</v>
      </c>
      <c r="B2028" s="1456" t="s">
        <v>1086</v>
      </c>
      <c r="C2028" s="1451"/>
      <c r="D2028" s="1454" t="b">
        <f>OR(AND(Page5_PARCS!$L26&lt;&gt;0,Page5_PARCS!$M26=0),AND(Page5_PARCS!$M26&lt;&gt;0,Page5_PARCS!$L26=0))</f>
        <v>0</v>
      </c>
      <c r="E2028" s="1454" t="b">
        <f>IF(Page5_PARCS!$K26=0,FALSE,OR(Page5_PARCS!$M26/Page5_PARCS!$K26&lt;INDEX(Min_Table,M2028),Page5_PARCS!$M26/Page5_PARCS!$K26&gt;INDEX(Max_Table,M2028)))</f>
        <v>0</v>
      </c>
      <c r="F2028" s="1454"/>
      <c r="G2028" s="1444" t="str">
        <f t="shared" si="270"/>
        <v/>
      </c>
      <c r="I2028" s="1446" t="str">
        <f>IF(D2028=TRUE,Comments!$B$24,"")</f>
        <v/>
      </c>
      <c r="J2028" s="1446" t="str">
        <f>IF(E2028=TRUE,Comments!$B$22&amp;DOLLAR(INDEX(Min_Table,M2028),0)&amp;Comments!$B$18&amp;DOLLAR(INDEX(Max_Table,M2028),0)&amp;Comments!$B$19&amp;IFERROR(DOLLAR(Page5_PARCS!$M26/Page5_PARCS!$K26,0),0),"")</f>
        <v/>
      </c>
      <c r="K2028" s="1452"/>
      <c r="L2028" s="611">
        <f>ROW(OR_VEH!$A$673)</f>
        <v>673</v>
      </c>
      <c r="M2028" s="611">
        <f>ROW(OR_VEH!A524)</f>
        <v>524</v>
      </c>
      <c r="N2028" s="611" t="str">
        <f>"CPTE # "&amp;Page5_PARCS!E26&amp;"  "&amp;Page5_PARCS!C26&amp;" - COÛT DES VENTES - AAD"</f>
        <v>CPTE # 425K  NE PAS UTILISER - COÛT DES VENTES - AAD</v>
      </c>
      <c r="O2028" s="611" t="str">
        <f t="shared" si="269"/>
        <v/>
      </c>
      <c r="P2028" s="611" t="str">
        <f t="shared" si="271"/>
        <v>Page5_PARCS!M</v>
      </c>
      <c r="Q2028" s="611">
        <f t="shared" si="272"/>
        <v>26</v>
      </c>
      <c r="R2028" s="1447">
        <f t="shared" ca="1" si="273"/>
        <v>0</v>
      </c>
      <c r="S2028" s="1447">
        <f t="shared" ca="1" si="274"/>
        <v>0</v>
      </c>
      <c r="T2028" s="611">
        <v>22</v>
      </c>
      <c r="V2028" s="2557" t="str">
        <f t="shared" ca="1" si="276"/>
        <v/>
      </c>
      <c r="W2028" s="611" t="str">
        <f t="shared" ca="1" si="275"/>
        <v>Page5_PARCS, Ligne 23 [Page5_PARCS!M26]  -</v>
      </c>
    </row>
    <row r="2029" spans="1:23">
      <c r="A2029" s="1443" t="str">
        <f>celladdr(Page5_PARCS!M27)</f>
        <v>Page5_PARCS!M27</v>
      </c>
      <c r="B2029" s="1456" t="s">
        <v>1086</v>
      </c>
      <c r="C2029" s="1451"/>
      <c r="D2029" s="1454" t="b">
        <f>OR(AND(Page5_PARCS!$L27&lt;&gt;0,Page5_PARCS!$M27=0),AND(Page5_PARCS!$M27&lt;&gt;0,Page5_PARCS!$L27=0))</f>
        <v>0</v>
      </c>
      <c r="E2029" s="1454" t="b">
        <f>IF(Page5_PARCS!$K27=0,FALSE,OR(Page5_PARCS!$M27/Page5_PARCS!$K27&lt;INDEX(Min_Table,M2029),Page5_PARCS!$M27/Page5_PARCS!$K27&gt;INDEX(Max_Table,M2029)))</f>
        <v>0</v>
      </c>
      <c r="F2029" s="1454"/>
      <c r="G2029" s="1444" t="str">
        <f t="shared" si="270"/>
        <v/>
      </c>
      <c r="I2029" s="1446" t="str">
        <f>IF(D2029=TRUE,Comments!$B$24,"")</f>
        <v/>
      </c>
      <c r="J2029" s="1446" t="str">
        <f>IF(E2029=TRUE,Comments!$B$22&amp;DOLLAR(INDEX(Min_Table,M2029),0)&amp;Comments!$B$18&amp;DOLLAR(INDEX(Max_Table,M2029),0)&amp;Comments!$B$19&amp;IFERROR(DOLLAR(Page5_PARCS!$M27/Page5_PARCS!$K27,0),0),"")</f>
        <v/>
      </c>
      <c r="K2029" s="1452"/>
      <c r="L2029" s="611">
        <f>ROW(OR_VEH!$A$673)</f>
        <v>673</v>
      </c>
      <c r="M2029" s="611">
        <f>ROW(OR_VEH!A525)</f>
        <v>525</v>
      </c>
      <c r="N2029" s="611" t="str">
        <f>"CPTE # "&amp;Page5_PARCS!E27&amp;"  "&amp;Page5_PARCS!C27&amp;" - COÛT DES VENTES - AAD"</f>
        <v>CPTE # 426K  SILVERADO/SIERRA POIDS LÉGER MCI (1500) - COÛT DES VENTES - AAD</v>
      </c>
      <c r="O2029" s="611" t="str">
        <f t="shared" si="269"/>
        <v/>
      </c>
      <c r="P2029" s="611" t="str">
        <f t="shared" si="271"/>
        <v>Page5_PARCS!M</v>
      </c>
      <c r="Q2029" s="611">
        <f t="shared" si="272"/>
        <v>27</v>
      </c>
      <c r="R2029" s="1447">
        <f t="shared" ca="1" si="273"/>
        <v>0</v>
      </c>
      <c r="S2029" s="1447">
        <f t="shared" ca="1" si="274"/>
        <v>0</v>
      </c>
      <c r="T2029" s="611">
        <v>22</v>
      </c>
      <c r="V2029" s="2557" t="str">
        <f t="shared" ca="1" si="276"/>
        <v/>
      </c>
      <c r="W2029" s="611" t="str">
        <f t="shared" ca="1" si="275"/>
        <v>Page5_PARCS, Ligne 24 [Page5_PARCS!M27]  -</v>
      </c>
    </row>
    <row r="2030" spans="1:23">
      <c r="A2030" s="1443" t="str">
        <f>celladdr(Page5_PARCS!M28)</f>
        <v>Page5_PARCS!M28</v>
      </c>
      <c r="B2030" s="1456" t="s">
        <v>1086</v>
      </c>
      <c r="C2030" s="1451"/>
      <c r="D2030" s="1454" t="b">
        <f>OR(AND(Page5_PARCS!$L28&lt;&gt;0,Page5_PARCS!$M28=0),AND(Page5_PARCS!$M28&lt;&gt;0,Page5_PARCS!$L28=0))</f>
        <v>0</v>
      </c>
      <c r="E2030" s="1454" t="b">
        <f>IF(Page5_PARCS!$K28=0,FALSE,OR(Page5_PARCS!$M28/Page5_PARCS!$K28&lt;INDEX(Min_Table,M2030),Page5_PARCS!$M28/Page5_PARCS!$K28&gt;INDEX(Max_Table,M2030)))</f>
        <v>0</v>
      </c>
      <c r="F2030" s="1454"/>
      <c r="G2030" s="1444" t="str">
        <f t="shared" si="270"/>
        <v/>
      </c>
      <c r="I2030" s="1446" t="str">
        <f>IF(D2030=TRUE,Comments!$B$24,"")</f>
        <v/>
      </c>
      <c r="J2030" s="1446" t="str">
        <f>IF(E2030=TRUE,Comments!$B$22&amp;DOLLAR(INDEX(Min_Table,M2030),0)&amp;Comments!$B$18&amp;DOLLAR(INDEX(Max_Table,M2030),0)&amp;Comments!$B$19&amp;IFERROR(DOLLAR(Page5_PARCS!$M28/Page5_PARCS!$K28,0),0),"")</f>
        <v/>
      </c>
      <c r="K2030" s="1452"/>
      <c r="L2030" s="611">
        <f>ROW(OR_VEH!$A$673)</f>
        <v>673</v>
      </c>
      <c r="M2030" s="611">
        <f>ROW(OR_VEH!A526)</f>
        <v>526</v>
      </c>
      <c r="N2030" s="611" t="str">
        <f>"CPTE # "&amp;Page5_PARCS!E28&amp;"  "&amp;Page5_PARCS!C28&amp;" - COÛT DES VENTES - AAD"</f>
        <v>CPTE # 427K  SILVERADO/SIERRA/HUMMER POIDS LOURD VE - COÛT DES VENTES - AAD</v>
      </c>
      <c r="O2030" s="611" t="str">
        <f t="shared" si="269"/>
        <v/>
      </c>
      <c r="P2030" s="611" t="str">
        <f t="shared" si="271"/>
        <v>Page5_PARCS!M</v>
      </c>
      <c r="Q2030" s="611">
        <f t="shared" si="272"/>
        <v>28</v>
      </c>
      <c r="R2030" s="1447">
        <f t="shared" ca="1" si="273"/>
        <v>0</v>
      </c>
      <c r="S2030" s="1447">
        <f t="shared" ca="1" si="274"/>
        <v>0</v>
      </c>
      <c r="T2030" s="611">
        <v>22</v>
      </c>
      <c r="V2030" s="2557" t="str">
        <f t="shared" ca="1" si="276"/>
        <v/>
      </c>
      <c r="W2030" s="611" t="str">
        <f t="shared" ca="1" si="275"/>
        <v>Page5_PARCS, Ligne 25 [Page5_PARCS!M28]  -</v>
      </c>
    </row>
    <row r="2031" spans="1:23">
      <c r="A2031" s="1443" t="str">
        <f>celladdr(Page5_PARCS!M29)</f>
        <v>Page5_PARCS!M29</v>
      </c>
      <c r="B2031" s="1456" t="s">
        <v>1086</v>
      </c>
      <c r="C2031" s="1451"/>
      <c r="D2031" s="1454" t="b">
        <f>OR(AND(Page5_PARCS!$L29&lt;&gt;0,Page5_PARCS!$M29=0),AND(Page5_PARCS!$M29&lt;&gt;0,Page5_PARCS!$L29=0))</f>
        <v>0</v>
      </c>
      <c r="E2031" s="1454" t="b">
        <f>IF(Page5_PARCS!$K29=0,FALSE,OR(Page5_PARCS!$M29/Page5_PARCS!$K29&lt;INDEX(Min_Table,M2031),Page5_PARCS!$M29/Page5_PARCS!$K29&gt;INDEX(Max_Table,M2031)))</f>
        <v>0</v>
      </c>
      <c r="F2031" s="1454"/>
      <c r="G2031" s="1444" t="str">
        <f t="shared" si="270"/>
        <v/>
      </c>
      <c r="I2031" s="1446" t="str">
        <f>IF(D2031=TRUE,Comments!$B$24,"")</f>
        <v/>
      </c>
      <c r="J2031" s="1446" t="str">
        <f>IF(E2031=TRUE,Comments!$B$22&amp;DOLLAR(INDEX(Min_Table,M2031),0)&amp;Comments!$B$18&amp;DOLLAR(INDEX(Max_Table,M2031),0)&amp;Comments!$B$19&amp;IFERROR(DOLLAR(Page5_PARCS!$M29/Page5_PARCS!$K29,0),0),"")</f>
        <v/>
      </c>
      <c r="K2031" s="1452"/>
      <c r="L2031" s="611">
        <f>ROW(OR_VEH!$A$673)</f>
        <v>673</v>
      </c>
      <c r="M2031" s="611">
        <f>ROW(OR_VEH!A527)</f>
        <v>527</v>
      </c>
      <c r="N2031" s="611" t="str">
        <f>"CPTE # "&amp;Page5_PARCS!E29&amp;"  "&amp;Page5_PARCS!C29&amp;" - COÛT DES VENTES - AAD"</f>
        <v>CPTE # 428K  COLORADO/CANYON MCI - COÛT DES VENTES - AAD</v>
      </c>
      <c r="O2031" s="611" t="str">
        <f t="shared" si="269"/>
        <v/>
      </c>
      <c r="P2031" s="611" t="str">
        <f t="shared" si="271"/>
        <v>Page5_PARCS!M</v>
      </c>
      <c r="Q2031" s="611">
        <f t="shared" si="272"/>
        <v>29</v>
      </c>
      <c r="R2031" s="1447">
        <f t="shared" ca="1" si="273"/>
        <v>0</v>
      </c>
      <c r="S2031" s="1447">
        <f t="shared" ca="1" si="274"/>
        <v>0</v>
      </c>
      <c r="T2031" s="611">
        <v>22</v>
      </c>
      <c r="V2031" s="2557" t="str">
        <f t="shared" ca="1" si="276"/>
        <v/>
      </c>
      <c r="W2031" s="611" t="str">
        <f t="shared" ca="1" si="275"/>
        <v>Page5_PARCS, Ligne 26 [Page5_PARCS!M29]  -</v>
      </c>
    </row>
    <row r="2032" spans="1:23">
      <c r="A2032" s="1443" t="str">
        <f>celladdr(Page5_PARCS!M30)</f>
        <v>Page5_PARCS!M30</v>
      </c>
      <c r="B2032" s="1456" t="s">
        <v>1086</v>
      </c>
      <c r="C2032" s="1451"/>
      <c r="D2032" s="1454" t="b">
        <f>OR(AND(Page5_PARCS!$L30&lt;&gt;0,Page5_PARCS!$M30=0),AND(Page5_PARCS!$M30&lt;&gt;0,Page5_PARCS!$L30=0))</f>
        <v>0</v>
      </c>
      <c r="E2032" s="1454" t="b">
        <f>IF(Page5_PARCS!$K30=0,FALSE,OR(Page5_PARCS!$M30/Page5_PARCS!$K30&lt;INDEX(Min_Table,M2032),Page5_PARCS!$M30/Page5_PARCS!$K30&gt;INDEX(Max_Table,M2032)))</f>
        <v>0</v>
      </c>
      <c r="F2032" s="1454"/>
      <c r="G2032" s="1444" t="str">
        <f t="shared" si="270"/>
        <v/>
      </c>
      <c r="I2032" s="1446" t="str">
        <f>IF(D2032=TRUE,Comments!$B$24,"")</f>
        <v/>
      </c>
      <c r="J2032" s="1446" t="str">
        <f>IF(E2032=TRUE,Comments!$B$22&amp;DOLLAR(INDEX(Min_Table,M2032),0)&amp;Comments!$B$18&amp;DOLLAR(INDEX(Max_Table,M2032),0)&amp;Comments!$B$19&amp;IFERROR(DOLLAR(Page5_PARCS!$M30/Page5_PARCS!$K30,0),0),"")</f>
        <v/>
      </c>
      <c r="K2032" s="1452"/>
      <c r="L2032" s="611">
        <f>ROW(OR_VEH!$A$673)</f>
        <v>673</v>
      </c>
      <c r="M2032" s="611">
        <f>ROW(OR_VEH!A528)</f>
        <v>528</v>
      </c>
      <c r="N2032" s="611" t="str">
        <f>"CPTE # "&amp;Page5_PARCS!E30&amp;"  "&amp;Page5_PARCS!C30&amp;" - COÛT DES VENTES - AAD"</f>
        <v>CPTE # 429K  NE PAS UTILISER - COÛT DES VENTES - AAD</v>
      </c>
      <c r="O2032" s="611" t="str">
        <f t="shared" si="269"/>
        <v/>
      </c>
      <c r="P2032" s="611" t="str">
        <f t="shared" si="271"/>
        <v>Page5_PARCS!M</v>
      </c>
      <c r="Q2032" s="611">
        <f t="shared" si="272"/>
        <v>30</v>
      </c>
      <c r="R2032" s="1447">
        <f t="shared" ca="1" si="273"/>
        <v>0</v>
      </c>
      <c r="S2032" s="1447">
        <f t="shared" ca="1" si="274"/>
        <v>0</v>
      </c>
      <c r="T2032" s="611">
        <v>22</v>
      </c>
      <c r="V2032" s="2557" t="str">
        <f t="shared" ca="1" si="276"/>
        <v/>
      </c>
      <c r="W2032" s="611" t="str">
        <f t="shared" ca="1" si="275"/>
        <v>Page5_PARCS, Ligne 27 [Page5_PARCS!M30]  -</v>
      </c>
    </row>
    <row r="2033" spans="1:23">
      <c r="A2033" s="1443" t="str">
        <f>celladdr(Page5_PARCS!M31)</f>
        <v>Page5_PARCS!M31</v>
      </c>
      <c r="B2033" s="1456" t="s">
        <v>1086</v>
      </c>
      <c r="C2033" s="1451"/>
      <c r="D2033" s="1454" t="b">
        <f>OR(AND(Page5_PARCS!$L31&lt;&gt;0,Page5_PARCS!$M31=0),AND(Page5_PARCS!$M31&lt;&gt;0,Page5_PARCS!$L31=0))</f>
        <v>0</v>
      </c>
      <c r="E2033" s="1454" t="b">
        <f>IF(Page5_PARCS!$K31=0,FALSE,OR(Page5_PARCS!$M31/Page5_PARCS!$K31&lt;INDEX(Min_Table,M2033),Page5_PARCS!$M31/Page5_PARCS!$K31&gt;INDEX(Max_Table,M2033)))</f>
        <v>0</v>
      </c>
      <c r="F2033" s="1454"/>
      <c r="G2033" s="1444" t="str">
        <f t="shared" si="270"/>
        <v/>
      </c>
      <c r="I2033" s="1446" t="str">
        <f>IF(D2033=TRUE,Comments!$B$24,"")</f>
        <v/>
      </c>
      <c r="J2033" s="1446" t="str">
        <f>IF(E2033=TRUE,Comments!$B$22&amp;DOLLAR(INDEX(Min_Table,M2033),0)&amp;Comments!$B$18&amp;DOLLAR(INDEX(Max_Table,M2033),0)&amp;Comments!$B$19&amp;IFERROR(DOLLAR(Page5_PARCS!$M31/Page5_PARCS!$K31,0),0),"")</f>
        <v/>
      </c>
      <c r="K2033" s="1452"/>
      <c r="L2033" s="611">
        <f>ROW(OR_VEH!$A$673)</f>
        <v>673</v>
      </c>
      <c r="M2033" s="611">
        <f>ROW(OR_VEH!A529)</f>
        <v>529</v>
      </c>
      <c r="N2033" s="611" t="str">
        <f>"CPTE # "&amp;Page5_PARCS!E31&amp;"  "&amp;Page5_PARCS!C31&amp;" - COÛT DES VENTES - AAD"</f>
        <v>CPTE # 430K  SILVERADO CHASSIS (4500+) - COÛT DES VENTES - AAD</v>
      </c>
      <c r="O2033" s="611" t="str">
        <f t="shared" si="269"/>
        <v/>
      </c>
      <c r="P2033" s="611" t="str">
        <f t="shared" si="271"/>
        <v>Page5_PARCS!M</v>
      </c>
      <c r="Q2033" s="611">
        <f t="shared" si="272"/>
        <v>31</v>
      </c>
      <c r="R2033" s="1447">
        <f t="shared" ca="1" si="273"/>
        <v>0</v>
      </c>
      <c r="S2033" s="1447">
        <f t="shared" ca="1" si="274"/>
        <v>0</v>
      </c>
      <c r="T2033" s="611">
        <v>22</v>
      </c>
      <c r="V2033" s="2557" t="str">
        <f t="shared" ca="1" si="276"/>
        <v/>
      </c>
      <c r="W2033" s="611" t="str">
        <f t="shared" ca="1" si="275"/>
        <v>Page5_PARCS, Ligne 28 [Page5_PARCS!M31]  -</v>
      </c>
    </row>
    <row r="2034" spans="1:23">
      <c r="A2034" s="1443" t="str">
        <f>celladdr(Page5_PARCS!M32)</f>
        <v>Page5_PARCS!M32</v>
      </c>
      <c r="B2034" s="1456" t="s">
        <v>1086</v>
      </c>
      <c r="C2034" s="1451"/>
      <c r="D2034" s="1454" t="b">
        <f>OR(AND(Page5_PARCS!$L32&lt;&gt;0,Page5_PARCS!$M32=0),AND(Page5_PARCS!$M32&lt;&gt;0,Page5_PARCS!$L32=0))</f>
        <v>0</v>
      </c>
      <c r="E2034" s="1454" t="b">
        <f>IF(Page5_PARCS!$K32=0,FALSE,OR(Page5_PARCS!$M32/Page5_PARCS!$K32&lt;INDEX(Min_Table,M2034),Page5_PARCS!$M32/Page5_PARCS!$K32&gt;INDEX(Max_Table,M2034)))</f>
        <v>0</v>
      </c>
      <c r="F2034" s="1454"/>
      <c r="G2034" s="1444" t="str">
        <f t="shared" si="270"/>
        <v/>
      </c>
      <c r="I2034" s="1446" t="str">
        <f>IF(D2034=TRUE,Comments!$B$24,"")</f>
        <v/>
      </c>
      <c r="J2034" s="1446" t="str">
        <f>IF(E2034=TRUE,Comments!$B$22&amp;DOLLAR(INDEX(Min_Table,M2034),0)&amp;Comments!$B$18&amp;DOLLAR(INDEX(Max_Table,M2034),0)&amp;Comments!$B$19&amp;IFERROR(DOLLAR(Page5_PARCS!$M32/Page5_PARCS!$K32,0),0),"")</f>
        <v/>
      </c>
      <c r="K2034" s="1452"/>
      <c r="L2034" s="611">
        <f>ROW(OR_VEH!$A$673)</f>
        <v>673</v>
      </c>
      <c r="M2034" s="611">
        <f>ROW(OR_VEH!A530)</f>
        <v>530</v>
      </c>
      <c r="N2034" s="611" t="str">
        <f>"CPTE # "&amp;Page5_PARCS!E32&amp;"  "&amp;Page5_PARCS!C32&amp;" - COÛT DES VENTES - AAD"</f>
        <v>CPTE # 431K  CHEVROLET/GMC LCF/CONV - COÛT DES VENTES - AAD</v>
      </c>
      <c r="O2034" s="611" t="str">
        <f t="shared" si="269"/>
        <v/>
      </c>
      <c r="P2034" s="611" t="str">
        <f t="shared" si="271"/>
        <v>Page5_PARCS!M</v>
      </c>
      <c r="Q2034" s="611">
        <f t="shared" si="272"/>
        <v>32</v>
      </c>
      <c r="R2034" s="1447">
        <f t="shared" ca="1" si="273"/>
        <v>0</v>
      </c>
      <c r="S2034" s="1447">
        <f t="shared" ca="1" si="274"/>
        <v>0</v>
      </c>
      <c r="T2034" s="611">
        <v>22</v>
      </c>
      <c r="V2034" s="2557" t="str">
        <f t="shared" ca="1" si="276"/>
        <v/>
      </c>
      <c r="W2034" s="611" t="str">
        <f t="shared" ca="1" si="275"/>
        <v>Page5_PARCS, Ligne 29 [Page5_PARCS!M32]  -</v>
      </c>
    </row>
    <row r="2035" spans="1:23">
      <c r="A2035" s="1443" t="str">
        <f>celladdr(Page5_PARCS!M33)</f>
        <v>Page5_PARCS!M33</v>
      </c>
      <c r="B2035" s="1456" t="s">
        <v>1086</v>
      </c>
      <c r="C2035" s="1451"/>
      <c r="D2035" s="1454" t="b">
        <f>OR(AND(Page5_PARCS!$L33&lt;&gt;0,Page5_PARCS!$M33=0),AND(Page5_PARCS!$M33&lt;&gt;0,Page5_PARCS!$L33=0))</f>
        <v>0</v>
      </c>
      <c r="E2035" s="1454" t="b">
        <f>IF(Page5_PARCS!$K33=0,FALSE,OR(Page5_PARCS!$M33/Page5_PARCS!$K33&lt;INDEX(Min_Table,M2035),Page5_PARCS!$M33/Page5_PARCS!$K33&gt;INDEX(Max_Table,M2035)))</f>
        <v>0</v>
      </c>
      <c r="F2035" s="1454"/>
      <c r="G2035" s="1444" t="str">
        <f t="shared" si="270"/>
        <v/>
      </c>
      <c r="I2035" s="1446" t="str">
        <f>IF(D2035=TRUE,Comments!$B$24,"")</f>
        <v/>
      </c>
      <c r="J2035" s="1446" t="str">
        <f>IF(E2035=TRUE,Comments!$B$22&amp;DOLLAR(INDEX(Min_Table,M2035),0)&amp;Comments!$B$18&amp;DOLLAR(INDEX(Max_Table,M2035),0)&amp;Comments!$B$19&amp;IFERROR(DOLLAR(Page5_PARCS!$M33/Page5_PARCS!$K33,0),0),"")</f>
        <v/>
      </c>
      <c r="K2035" s="1452"/>
      <c r="L2035" s="611">
        <f>ROW(OR_VEH!$A$673)</f>
        <v>673</v>
      </c>
      <c r="M2035" s="611">
        <f>ROW(OR_VEH!A531)</f>
        <v>531</v>
      </c>
      <c r="N2035" s="611" t="str">
        <f>"CPTE # "&amp;Page5_PARCS!E33&amp;"  "&amp;Page5_PARCS!C33&amp;" - COÛT DES VENTES - AAD"</f>
        <v>CPTE # 432K  EXPRESS/SAVANA MCI - COÛT DES VENTES - AAD</v>
      </c>
      <c r="O2035" s="611" t="str">
        <f t="shared" si="269"/>
        <v/>
      </c>
      <c r="P2035" s="611" t="str">
        <f t="shared" si="271"/>
        <v>Page5_PARCS!M</v>
      </c>
      <c r="Q2035" s="611">
        <f t="shared" si="272"/>
        <v>33</v>
      </c>
      <c r="R2035" s="1447">
        <f t="shared" ca="1" si="273"/>
        <v>0</v>
      </c>
      <c r="S2035" s="1447">
        <f t="shared" ca="1" si="274"/>
        <v>0</v>
      </c>
      <c r="T2035" s="611">
        <v>22</v>
      </c>
      <c r="V2035" s="2557" t="str">
        <f t="shared" ca="1" si="276"/>
        <v/>
      </c>
      <c r="W2035" s="611" t="str">
        <f t="shared" ca="1" si="275"/>
        <v>Page5_PARCS, Ligne 30 [Page5_PARCS!M33]  -</v>
      </c>
    </row>
    <row r="2036" spans="1:23">
      <c r="A2036" s="1443" t="str">
        <f>celladdr(Page5_PARCS!M34)</f>
        <v>Page5_PARCS!M34</v>
      </c>
      <c r="B2036" s="1456" t="s">
        <v>1086</v>
      </c>
      <c r="C2036" s="1451"/>
      <c r="D2036" s="1454" t="b">
        <f>OR(AND(Page5_PARCS!$L34&lt;&gt;0,Page5_PARCS!$M34=0),AND(Page5_PARCS!$M34&lt;&gt;0,Page5_PARCS!$L34=0))</f>
        <v>0</v>
      </c>
      <c r="E2036" s="1454" t="b">
        <f>IF(Page5_PARCS!$K34=0,FALSE,OR(Page5_PARCS!$M34/Page5_PARCS!$K34&lt;INDEX(Min_Table,M2036),Page5_PARCS!$M34/Page5_PARCS!$K34&gt;INDEX(Max_Table,M2036)))</f>
        <v>0</v>
      </c>
      <c r="F2036" s="1454"/>
      <c r="G2036" s="1444" t="str">
        <f t="shared" si="270"/>
        <v/>
      </c>
      <c r="I2036" s="1446" t="str">
        <f>IF(D2036=TRUE,Comments!$B$24,"")</f>
        <v/>
      </c>
      <c r="J2036" s="1446" t="str">
        <f>IF(E2036=TRUE,Comments!$B$22&amp;DOLLAR(INDEX(Min_Table,M2036),0)&amp;Comments!$B$18&amp;DOLLAR(INDEX(Max_Table,M2036),0)&amp;Comments!$B$19&amp;IFERROR(DOLLAR(Page5_PARCS!$M34/Page5_PARCS!$K34,0),0),"")</f>
        <v/>
      </c>
      <c r="K2036" s="1452"/>
      <c r="L2036" s="611">
        <f>ROW(OR_VEH!$A$673)</f>
        <v>673</v>
      </c>
      <c r="M2036" s="611">
        <f>ROW(OR_VEH!A532)</f>
        <v>532</v>
      </c>
      <c r="N2036" s="611" t="str">
        <f>"CPTE # "&amp;Page5_PARCS!E34&amp;"  "&amp;Page5_PARCS!C34&amp;" - COÛT DES VENTES - AAD"</f>
        <v>CPTE # 433K  NE PAS UTILISER - COÛT DES VENTES - AAD</v>
      </c>
      <c r="O2036" s="611" t="str">
        <f t="shared" si="269"/>
        <v/>
      </c>
      <c r="P2036" s="611" t="str">
        <f t="shared" si="271"/>
        <v>Page5_PARCS!M</v>
      </c>
      <c r="Q2036" s="611">
        <f t="shared" si="272"/>
        <v>34</v>
      </c>
      <c r="R2036" s="1447">
        <f t="shared" ca="1" si="273"/>
        <v>0</v>
      </c>
      <c r="S2036" s="1447">
        <f t="shared" ca="1" si="274"/>
        <v>0</v>
      </c>
      <c r="T2036" s="611">
        <v>22</v>
      </c>
      <c r="V2036" s="2557" t="str">
        <f t="shared" ca="1" si="276"/>
        <v/>
      </c>
      <c r="W2036" s="611" t="str">
        <f t="shared" ca="1" si="275"/>
        <v>Page5_PARCS, Ligne 31 [Page5_PARCS!M34]  -</v>
      </c>
    </row>
    <row r="2037" spans="1:23">
      <c r="A2037" s="1443" t="str">
        <f>celladdr(Page5_PARCS!M35)</f>
        <v>Page5_PARCS!M35</v>
      </c>
      <c r="B2037" s="1456" t="s">
        <v>1086</v>
      </c>
      <c r="C2037" s="1451"/>
      <c r="D2037" s="1454" t="b">
        <f>OR(AND(Page5_PARCS!$L35&lt;&gt;0,Page5_PARCS!$M35=0),AND(Page5_PARCS!$M35&lt;&gt;0,Page5_PARCS!$L35=0))</f>
        <v>0</v>
      </c>
      <c r="E2037" s="1454" t="b">
        <f>IF(Page5_PARCS!$K35=0,FALSE,OR(Page5_PARCS!$M35/Page5_PARCS!$K35&lt;INDEX(Min_Table,M2037),Page5_PARCS!$M35/Page5_PARCS!$K35&gt;INDEX(Max_Table,M2037)))</f>
        <v>0</v>
      </c>
      <c r="F2037" s="1454"/>
      <c r="G2037" s="1444" t="str">
        <f t="shared" si="270"/>
        <v/>
      </c>
      <c r="I2037" s="1446" t="str">
        <f>IF(D2037=TRUE,Comments!$B$24,"")</f>
        <v/>
      </c>
      <c r="J2037" s="1446" t="str">
        <f>IF(E2037=TRUE,Comments!$B$22&amp;DOLLAR(INDEX(Min_Table,M2037),0)&amp;Comments!$B$18&amp;DOLLAR(INDEX(Max_Table,M2037),0)&amp;Comments!$B$19&amp;IFERROR(DOLLAR(Page5_PARCS!$M35/Page5_PARCS!$K35,0),0),"")</f>
        <v/>
      </c>
      <c r="K2037" s="1452"/>
      <c r="L2037" s="611">
        <f>ROW(OR_VEH!$A$673)</f>
        <v>673</v>
      </c>
      <c r="M2037" s="611">
        <f>ROW(OR_VEH!A533)</f>
        <v>533</v>
      </c>
      <c r="N2037" s="611" t="str">
        <f>"CPTE # "&amp;Page5_PARCS!E35&amp;"  "&amp;Page5_PARCS!C35&amp;" - COÛT DES VENTES - AAD"</f>
        <v>CPTE # 434K  NE PAS UTILISER - COÛT DES VENTES - AAD</v>
      </c>
      <c r="O2037" s="611" t="str">
        <f t="shared" si="269"/>
        <v/>
      </c>
      <c r="P2037" s="611" t="str">
        <f t="shared" si="271"/>
        <v>Page5_PARCS!M</v>
      </c>
      <c r="Q2037" s="611">
        <f t="shared" si="272"/>
        <v>35</v>
      </c>
      <c r="R2037" s="1447">
        <f t="shared" ca="1" si="273"/>
        <v>0</v>
      </c>
      <c r="S2037" s="1447">
        <f t="shared" ca="1" si="274"/>
        <v>0</v>
      </c>
      <c r="T2037" s="611">
        <v>22</v>
      </c>
      <c r="V2037" s="2557" t="str">
        <f t="shared" ca="1" si="276"/>
        <v/>
      </c>
      <c r="W2037" s="611" t="str">
        <f t="shared" ca="1" si="275"/>
        <v>Page5_PARCS, Ligne 32 [Page5_PARCS!M35]  -</v>
      </c>
    </row>
    <row r="2038" spans="1:23">
      <c r="A2038" s="1443" t="str">
        <f>celladdr(Page5_PARCS!N60)</f>
        <v>Page5_PARCS!N60</v>
      </c>
      <c r="B2038" s="1456" t="s">
        <v>1086</v>
      </c>
      <c r="C2038" s="1451"/>
      <c r="D2038" s="1454"/>
      <c r="E2038" s="1454"/>
      <c r="F2038" s="1454"/>
      <c r="G2038" s="1444" t="str">
        <f t="shared" si="270"/>
        <v/>
      </c>
      <c r="I2038" s="1446"/>
      <c r="J2038" s="1446"/>
      <c r="K2038" s="1452"/>
      <c r="N2038" s="611" t="s">
        <v>1548</v>
      </c>
      <c r="O2038" s="611" t="str">
        <f t="shared" si="269"/>
        <v/>
      </c>
      <c r="P2038" s="611" t="str">
        <f t="shared" si="271"/>
        <v>Page5_PARCS!N</v>
      </c>
      <c r="Q2038" s="611">
        <f t="shared" si="272"/>
        <v>60</v>
      </c>
      <c r="R2038" s="1447">
        <f t="shared" ca="1" si="273"/>
        <v>0</v>
      </c>
      <c r="S2038" s="1447">
        <f t="shared" ca="1" si="274"/>
        <v>0</v>
      </c>
      <c r="V2038" s="2557" t="str">
        <f t="shared" ca="1" si="276"/>
        <v/>
      </c>
      <c r="W2038" s="611" t="str">
        <f t="shared" ca="1" si="275"/>
        <v>Page5_PARCS, Ligne 57 [Page5_PARCS!N60]  -</v>
      </c>
    </row>
    <row r="2039" spans="1:23">
      <c r="A2039" s="1443" t="str">
        <f>celladdr(Page5_PARCS!N61)</f>
        <v>Page5_PARCS!N61</v>
      </c>
      <c r="B2039" s="1456" t="s">
        <v>1086</v>
      </c>
      <c r="C2039" s="1451"/>
      <c r="D2039" s="1454"/>
      <c r="E2039" s="1454"/>
      <c r="F2039" s="1454"/>
      <c r="G2039" s="1444" t="str">
        <f t="shared" si="270"/>
        <v/>
      </c>
      <c r="I2039" s="1446"/>
      <c r="J2039" s="1446"/>
      <c r="K2039" s="1452"/>
      <c r="N2039" s="611" t="s">
        <v>1549</v>
      </c>
      <c r="O2039" s="611" t="str">
        <f t="shared" si="269"/>
        <v/>
      </c>
      <c r="P2039" s="611" t="str">
        <f t="shared" si="271"/>
        <v>Page5_PARCS!N</v>
      </c>
      <c r="Q2039" s="611">
        <f t="shared" si="272"/>
        <v>61</v>
      </c>
      <c r="R2039" s="1447">
        <f t="shared" ca="1" si="273"/>
        <v>0</v>
      </c>
      <c r="S2039" s="1447">
        <f t="shared" ca="1" si="274"/>
        <v>0</v>
      </c>
      <c r="V2039" s="2557" t="str">
        <f t="shared" ca="1" si="276"/>
        <v/>
      </c>
      <c r="W2039" s="611" t="str">
        <f t="shared" ca="1" si="275"/>
        <v>Page5_PARCS, Ligne 58 [Page5_PARCS!N61]  -</v>
      </c>
    </row>
    <row r="2040" spans="1:23">
      <c r="A2040" s="1443" t="str">
        <f>celladdr(Page5_PARCS!N62)</f>
        <v>Page5_PARCS!N62</v>
      </c>
      <c r="B2040" s="1456" t="s">
        <v>1086</v>
      </c>
      <c r="C2040" s="1451"/>
      <c r="D2040" s="1454"/>
      <c r="E2040" s="1454"/>
      <c r="F2040" s="1454"/>
      <c r="G2040" s="1444" t="str">
        <f t="shared" si="270"/>
        <v/>
      </c>
      <c r="I2040" s="1446"/>
      <c r="J2040" s="1446"/>
      <c r="K2040" s="1452"/>
      <c r="N2040" s="611" t="s">
        <v>1550</v>
      </c>
      <c r="O2040" s="611" t="str">
        <f t="shared" si="269"/>
        <v/>
      </c>
      <c r="P2040" s="611" t="str">
        <f t="shared" si="271"/>
        <v>Page5_PARCS!N</v>
      </c>
      <c r="Q2040" s="611">
        <f t="shared" si="272"/>
        <v>62</v>
      </c>
      <c r="R2040" s="1447">
        <f t="shared" ca="1" si="273"/>
        <v>0</v>
      </c>
      <c r="S2040" s="1447">
        <f t="shared" ca="1" si="274"/>
        <v>0</v>
      </c>
      <c r="V2040" s="2557" t="str">
        <f t="shared" ca="1" si="276"/>
        <v/>
      </c>
      <c r="W2040" s="611" t="str">
        <f t="shared" ca="1" si="275"/>
        <v>Page5_PARCS, Ligne 59 [Page5_PARCS!N62]  -</v>
      </c>
    </row>
    <row r="2041" spans="1:23">
      <c r="A2041" s="1443" t="str">
        <f>celladdr(Page5_PARCS!N63)</f>
        <v>Page5_PARCS!N63</v>
      </c>
      <c r="B2041" s="1456" t="s">
        <v>1086</v>
      </c>
      <c r="C2041" s="1451"/>
      <c r="D2041" s="1454"/>
      <c r="E2041" s="1454"/>
      <c r="F2041" s="1454"/>
      <c r="G2041" s="1444" t="str">
        <f t="shared" si="270"/>
        <v/>
      </c>
      <c r="I2041" s="1446"/>
      <c r="J2041" s="1446"/>
      <c r="K2041" s="1452"/>
      <c r="N2041" s="611" t="s">
        <v>1551</v>
      </c>
      <c r="O2041" s="611" t="str">
        <f t="shared" si="269"/>
        <v/>
      </c>
      <c r="P2041" s="611" t="str">
        <f t="shared" si="271"/>
        <v>Page5_PARCS!N</v>
      </c>
      <c r="Q2041" s="611">
        <f t="shared" si="272"/>
        <v>63</v>
      </c>
      <c r="R2041" s="1447">
        <f t="shared" ca="1" si="273"/>
        <v>0</v>
      </c>
      <c r="S2041" s="1447">
        <f t="shared" ca="1" si="274"/>
        <v>0</v>
      </c>
      <c r="V2041" s="2557" t="str">
        <f t="shared" ca="1" si="276"/>
        <v/>
      </c>
      <c r="W2041" s="611" t="str">
        <f t="shared" ca="1" si="275"/>
        <v>Page5_PARCS, Ligne 60 [Page5_PARCS!N63]  -</v>
      </c>
    </row>
    <row r="2042" spans="1:23">
      <c r="A2042" s="1443" t="str">
        <f>celladdr(Page5_PARCS!N64)</f>
        <v>Page5_PARCS!N64</v>
      </c>
      <c r="B2042" s="1456" t="s">
        <v>1086</v>
      </c>
      <c r="C2042" s="1451"/>
      <c r="D2042" s="1454"/>
      <c r="E2042" s="1454"/>
      <c r="F2042" s="1454"/>
      <c r="G2042" s="1444" t="str">
        <f t="shared" si="270"/>
        <v/>
      </c>
      <c r="I2042" s="1446"/>
      <c r="J2042" s="1446"/>
      <c r="K2042" s="1452"/>
      <c r="N2042" s="611" t="s">
        <v>1552</v>
      </c>
      <c r="O2042" s="611" t="str">
        <f t="shared" si="269"/>
        <v/>
      </c>
      <c r="P2042" s="611" t="str">
        <f t="shared" si="271"/>
        <v>Page5_PARCS!N</v>
      </c>
      <c r="Q2042" s="611">
        <f t="shared" si="272"/>
        <v>64</v>
      </c>
      <c r="R2042" s="1447">
        <f t="shared" ca="1" si="273"/>
        <v>0</v>
      </c>
      <c r="S2042" s="1447">
        <f t="shared" ca="1" si="274"/>
        <v>0</v>
      </c>
      <c r="V2042" s="2557" t="str">
        <f t="shared" ca="1" si="276"/>
        <v/>
      </c>
      <c r="W2042" s="611" t="str">
        <f t="shared" ca="1" si="275"/>
        <v>Page5_PARCS, Ligne 61 [Page5_PARCS!N64]  -</v>
      </c>
    </row>
    <row r="2043" spans="1:23">
      <c r="A2043" s="1443" t="str">
        <f>celladdr(Page5_PARCS!N65)</f>
        <v>Page5_PARCS!N65</v>
      </c>
      <c r="B2043" s="1456" t="s">
        <v>1086</v>
      </c>
      <c r="C2043" s="1451"/>
      <c r="D2043" s="1454"/>
      <c r="E2043" s="1454"/>
      <c r="F2043" s="1454"/>
      <c r="G2043" s="1444" t="str">
        <f t="shared" si="270"/>
        <v/>
      </c>
      <c r="I2043" s="1446"/>
      <c r="J2043" s="1446"/>
      <c r="K2043" s="1452"/>
      <c r="N2043" s="611" t="s">
        <v>1553</v>
      </c>
      <c r="O2043" s="611" t="str">
        <f t="shared" si="269"/>
        <v/>
      </c>
      <c r="P2043" s="611" t="str">
        <f t="shared" si="271"/>
        <v>Page5_PARCS!N</v>
      </c>
      <c r="Q2043" s="611">
        <f t="shared" si="272"/>
        <v>65</v>
      </c>
      <c r="R2043" s="1447">
        <f t="shared" ca="1" si="273"/>
        <v>0</v>
      </c>
      <c r="S2043" s="1447">
        <f t="shared" ca="1" si="274"/>
        <v>0</v>
      </c>
      <c r="V2043" s="2557" t="str">
        <f t="shared" ca="1" si="276"/>
        <v/>
      </c>
      <c r="W2043" s="611" t="str">
        <f t="shared" ca="1" si="275"/>
        <v>Page5_PARCS, Ligne 62 [Page5_PARCS!N65]  -</v>
      </c>
    </row>
    <row r="2044" spans="1:23">
      <c r="A2044" s="1443" t="str">
        <f>celladdr(Page5_PARCS!N66)</f>
        <v>Page5_PARCS!N66</v>
      </c>
      <c r="B2044" s="1456" t="s">
        <v>1086</v>
      </c>
      <c r="C2044" s="1451"/>
      <c r="D2044" s="1454"/>
      <c r="E2044" s="1454"/>
      <c r="F2044" s="1454"/>
      <c r="G2044" s="1444" t="str">
        <f t="shared" si="270"/>
        <v/>
      </c>
      <c r="I2044" s="1446"/>
      <c r="J2044" s="1446"/>
      <c r="K2044" s="1452"/>
      <c r="N2044" s="611" t="s">
        <v>1554</v>
      </c>
      <c r="O2044" s="611" t="str">
        <f t="shared" si="269"/>
        <v/>
      </c>
      <c r="P2044" s="611" t="str">
        <f t="shared" si="271"/>
        <v>Page5_PARCS!N</v>
      </c>
      <c r="Q2044" s="611">
        <f t="shared" si="272"/>
        <v>66</v>
      </c>
      <c r="R2044" s="1447">
        <f t="shared" ca="1" si="273"/>
        <v>0</v>
      </c>
      <c r="S2044" s="1447">
        <f t="shared" ca="1" si="274"/>
        <v>0</v>
      </c>
      <c r="V2044" s="2557" t="str">
        <f t="shared" ca="1" si="276"/>
        <v/>
      </c>
      <c r="W2044" s="611" t="str">
        <f t="shared" ca="1" si="275"/>
        <v>Page5_PARCS, Ligne 63 [Page5_PARCS!N66]  -</v>
      </c>
    </row>
    <row r="2045" spans="1:23">
      <c r="A2045" s="1443" t="str">
        <f>celladdr(Page5_PARCS!N68)</f>
        <v>Page5_PARCS!N68</v>
      </c>
      <c r="B2045" s="1455" t="s">
        <v>1086</v>
      </c>
      <c r="C2045" s="1445" t="b">
        <f>Page5_PARCS!$N$68&lt;&gt;(Page5_PARCS!$N$57+Page5_PARCS!$N$58)-Page5_PARCS!$N$67</f>
        <v>0</v>
      </c>
      <c r="D2045" s="1454"/>
      <c r="F2045" s="1454"/>
      <c r="G2045" s="1444" t="str">
        <f t="shared" si="270"/>
        <v/>
      </c>
      <c r="H2045" s="1446" t="str">
        <f>IF(C2045=TRUE,Comments!$B$40&amp;DOLLAR(Page5_PARCS!$N$68-(Page5_PARCS!$N$57+Page5_PARCS!$N$58-Page5_PARCS!$N$67),0),"")</f>
        <v/>
      </c>
      <c r="I2045" s="1452"/>
      <c r="J2045" s="1452"/>
      <c r="K2045" s="1452"/>
      <c r="N2045" s="611" t="str">
        <f>Page5_PARCS!$B$1&amp;"TOTAL VÉHICULES NEUFS - PROFIT BRUT - AAD"</f>
        <v>TOTAL VÉHICULES NEUFS - PROFIT BRUT - AAD</v>
      </c>
      <c r="O2045" s="611" t="str">
        <f t="shared" si="269"/>
        <v/>
      </c>
      <c r="P2045" s="611" t="str">
        <f t="shared" si="271"/>
        <v>Page5_PARCS!N</v>
      </c>
      <c r="Q2045" s="611">
        <f t="shared" si="272"/>
        <v>68</v>
      </c>
      <c r="R2045" s="1447">
        <f t="shared" ca="1" si="273"/>
        <v>0</v>
      </c>
      <c r="S2045" s="1447">
        <f t="shared" ca="1" si="274"/>
        <v>0</v>
      </c>
      <c r="V2045" s="2557" t="str">
        <f t="shared" ca="1" si="276"/>
        <v/>
      </c>
      <c r="W2045" s="611" t="str">
        <f t="shared" ca="1" si="275"/>
        <v>Page5_PARCS, Ligne 65 [Page5_PARCS!N68]  -</v>
      </c>
    </row>
    <row r="2046" spans="1:23">
      <c r="A2046" s="1443" t="str">
        <f>celladdr(Page5_PARCS_GOUV!K4)</f>
        <v>Page5_PARCS_GOUV!K4</v>
      </c>
      <c r="B2046" s="1456" t="s">
        <v>1086</v>
      </c>
      <c r="C2046" s="1445" t="b">
        <f>Page5_PARCS_GOUV!$K4&lt;0</f>
        <v>0</v>
      </c>
      <c r="D2046" s="1454" t="b">
        <f>OR(AND(Page5_PARCS_GOUV!$K4&gt;0,Page5_PARCS_GOUV!$M4=0),AND(Page5_PARCS_GOUV!$M4&lt;&gt;0,Page5_PARCS_GOUV!$K4=0))</f>
        <v>0</v>
      </c>
      <c r="F2046" s="1454"/>
      <c r="G2046" s="1444" t="str">
        <f t="shared" si="270"/>
        <v/>
      </c>
      <c r="H2046" s="1446" t="str">
        <f>IF(C2046=TRUE,Comments!$B$26,"")</f>
        <v/>
      </c>
      <c r="I2046" s="1452" t="str">
        <f>IF(D2046=TRUE,Comments!$B$21,"")</f>
        <v/>
      </c>
      <c r="J2046" s="1452"/>
      <c r="K2046" s="1452"/>
      <c r="N2046" s="611" t="str">
        <f>"CPTE # "&amp;Page5_PARCS_GOUV!E4&amp;" "&amp;Page5_PARCS_GOUV!C4&amp;" - UNITÉS - AAD"</f>
        <v>CPTE # 400L CHEVROLET VOITURES MCI - UNITÉS - AAD</v>
      </c>
      <c r="O2046" s="611" t="str">
        <f t="shared" ref="O2046:O2109" si="277">IF(A2046=A2045,"TRUE","")</f>
        <v/>
      </c>
      <c r="P2046" s="611" t="str">
        <f t="shared" si="271"/>
        <v>Page5_PARCS_GOUV!K</v>
      </c>
      <c r="Q2046" s="611">
        <f t="shared" si="272"/>
        <v>4</v>
      </c>
      <c r="R2046" s="1447">
        <f t="shared" ca="1" si="273"/>
        <v>0</v>
      </c>
      <c r="S2046" s="1447">
        <f t="shared" ca="1" si="274"/>
        <v>0</v>
      </c>
      <c r="W2046" s="611" t="str">
        <f t="shared" ca="1" si="275"/>
        <v>Page5_PARCS_GOUV, Ligne 1 [Page5_PARCS_GOUV!K4]  -</v>
      </c>
    </row>
    <row r="2047" spans="1:23">
      <c r="A2047" s="1443" t="str">
        <f>celladdr(Page5_PARCS_GOUV!K5)</f>
        <v>Page5_PARCS_GOUV!K5</v>
      </c>
      <c r="B2047" s="1456" t="s">
        <v>1086</v>
      </c>
      <c r="C2047" s="1445" t="b">
        <f>Page5_PARCS_GOUV!$K5&lt;0</f>
        <v>0</v>
      </c>
      <c r="D2047" s="1454" t="b">
        <f>OR(AND(Page5_PARCS_GOUV!$K5&gt;0,Page5_PARCS_GOUV!$M5=0),AND(Page5_PARCS_GOUV!$M5&lt;&gt;0,Page5_PARCS_GOUV!$K5=0))</f>
        <v>0</v>
      </c>
      <c r="F2047" s="1454"/>
      <c r="G2047" s="1444" t="str">
        <f t="shared" si="270"/>
        <v/>
      </c>
      <c r="H2047" s="1446" t="str">
        <f>IF(C2047=TRUE,Comments!$B$26,"")</f>
        <v/>
      </c>
      <c r="I2047" s="1452" t="str">
        <f>IF(D2047=TRUE,Comments!$B$21,"")</f>
        <v/>
      </c>
      <c r="J2047" s="1452"/>
      <c r="K2047" s="1452"/>
      <c r="N2047" s="611" t="str">
        <f>"CPTE # "&amp;Page5_PARCS_GOUV!E5&amp;" "&amp;Page5_PARCS_GOUV!C5&amp;" - UNITÉS - AAD"</f>
        <v>CPTE # 401L CHEVROLET VOITURES VE - UNITÉS - AAD</v>
      </c>
      <c r="O2047" s="611" t="str">
        <f t="shared" si="277"/>
        <v/>
      </c>
      <c r="P2047" s="611" t="str">
        <f t="shared" si="271"/>
        <v>Page5_PARCS_GOUV!K</v>
      </c>
      <c r="Q2047" s="611">
        <f t="shared" si="272"/>
        <v>5</v>
      </c>
      <c r="R2047" s="1447">
        <f t="shared" ca="1" si="273"/>
        <v>0</v>
      </c>
      <c r="S2047" s="1447">
        <f t="shared" ca="1" si="274"/>
        <v>0</v>
      </c>
      <c r="W2047" s="611" t="str">
        <f t="shared" ca="1" si="275"/>
        <v>Page5_PARCS_GOUV, Ligne 2 [Page5_PARCS_GOUV!K5]  -</v>
      </c>
    </row>
    <row r="2048" spans="1:23">
      <c r="A2048" s="1443" t="str">
        <f>celladdr(Page5_PARCS_GOUV!K6)</f>
        <v>Page5_PARCS_GOUV!K6</v>
      </c>
      <c r="B2048" s="1456" t="s">
        <v>1086</v>
      </c>
      <c r="C2048" s="1445" t="b">
        <f>Page5_PARCS_GOUV!$K6&lt;0</f>
        <v>0</v>
      </c>
      <c r="D2048" s="1454" t="b">
        <f>OR(AND(Page5_PARCS_GOUV!$K6&gt;0,Page5_PARCS_GOUV!$M6=0),AND(Page5_PARCS_GOUV!$M6&lt;&gt;0,Page5_PARCS_GOUV!$K6=0))</f>
        <v>0</v>
      </c>
      <c r="F2048" s="1454"/>
      <c r="G2048" s="1444" t="str">
        <f t="shared" si="270"/>
        <v/>
      </c>
      <c r="H2048" s="1446" t="str">
        <f>IF(C2048=TRUE,Comments!$B$26,"")</f>
        <v/>
      </c>
      <c r="I2048" s="1452" t="str">
        <f>IF(D2048=TRUE,Comments!$B$21,"")</f>
        <v/>
      </c>
      <c r="J2048" s="1452"/>
      <c r="K2048" s="1452"/>
      <c r="N2048" s="611" t="str">
        <f>"CPTE # "&amp;Page5_PARCS_GOUV!E6&amp;" "&amp;Page5_PARCS_GOUV!C6&amp;" - UNITÉS - AAD"</f>
        <v>CPTE # 402L BUICK VOITURES MCI - UNITÉS - AAD</v>
      </c>
      <c r="O2048" s="611" t="str">
        <f t="shared" si="277"/>
        <v/>
      </c>
      <c r="P2048" s="611" t="str">
        <f t="shared" si="271"/>
        <v>Page5_PARCS_GOUV!K</v>
      </c>
      <c r="Q2048" s="611">
        <f t="shared" si="272"/>
        <v>6</v>
      </c>
      <c r="R2048" s="1447">
        <f t="shared" ca="1" si="273"/>
        <v>0</v>
      </c>
      <c r="S2048" s="1447">
        <f t="shared" ca="1" si="274"/>
        <v>0</v>
      </c>
      <c r="W2048" s="611" t="str">
        <f t="shared" ca="1" si="275"/>
        <v>Page5_PARCS_GOUV, Ligne 3 [Page5_PARCS_GOUV!K6]  -</v>
      </c>
    </row>
    <row r="2049" spans="1:23">
      <c r="A2049" s="1443" t="str">
        <f>celladdr(Page5_PARCS_GOUV!K7)</f>
        <v>Page5_PARCS_GOUV!K7</v>
      </c>
      <c r="B2049" s="1456" t="s">
        <v>1086</v>
      </c>
      <c r="C2049" s="1445" t="b">
        <f>Page5_PARCS_GOUV!$K7&lt;0</f>
        <v>0</v>
      </c>
      <c r="D2049" s="1454" t="b">
        <f>OR(AND(Page5_PARCS_GOUV!$K7&gt;0,Page5_PARCS_GOUV!$M7=0),AND(Page5_PARCS_GOUV!$M7&lt;&gt;0,Page5_PARCS_GOUV!$K7=0))</f>
        <v>0</v>
      </c>
      <c r="F2049" s="1454"/>
      <c r="G2049" s="1444" t="str">
        <f t="shared" si="270"/>
        <v/>
      </c>
      <c r="H2049" s="1446" t="str">
        <f>IF(C2049=TRUE,Comments!$B$26,"")</f>
        <v/>
      </c>
      <c r="I2049" s="1452" t="str">
        <f>IF(D2049=TRUE,Comments!$B$21,"")</f>
        <v/>
      </c>
      <c r="J2049" s="1452"/>
      <c r="K2049" s="1452"/>
      <c r="N2049" s="611" t="str">
        <f>"CPTE # "&amp;Page5_PARCS_GOUV!E7&amp;" "&amp;Page5_PARCS_GOUV!C7&amp;" - UNITÉS - AAD"</f>
        <v>CPTE # 403L BUICK VOITURES VE - UNITÉS - AAD</v>
      </c>
      <c r="O2049" s="611" t="str">
        <f t="shared" si="277"/>
        <v/>
      </c>
      <c r="P2049" s="611" t="str">
        <f t="shared" si="271"/>
        <v>Page5_PARCS_GOUV!K</v>
      </c>
      <c r="Q2049" s="611">
        <f t="shared" si="272"/>
        <v>7</v>
      </c>
      <c r="R2049" s="1447">
        <f t="shared" ca="1" si="273"/>
        <v>0</v>
      </c>
      <c r="S2049" s="1447">
        <f t="shared" ca="1" si="274"/>
        <v>0</v>
      </c>
      <c r="W2049" s="611" t="str">
        <f t="shared" ca="1" si="275"/>
        <v>Page5_PARCS_GOUV, Ligne 4 [Page5_PARCS_GOUV!K7]  -</v>
      </c>
    </row>
    <row r="2050" spans="1:23">
      <c r="A2050" s="1443" t="str">
        <f>celladdr(Page5_PARCS_GOUV!K8)</f>
        <v>Page5_PARCS_GOUV!K8</v>
      </c>
      <c r="B2050" s="1456" t="s">
        <v>1086</v>
      </c>
      <c r="C2050" s="1445" t="b">
        <f>Page5_PARCS_GOUV!$K8&lt;0</f>
        <v>0</v>
      </c>
      <c r="D2050" s="1454" t="b">
        <f>OR(AND(Page5_PARCS_GOUV!$K8&gt;0,Page5_PARCS_GOUV!$M8=0),AND(Page5_PARCS_GOUV!$M8&lt;&gt;0,Page5_PARCS_GOUV!$K8=0))</f>
        <v>0</v>
      </c>
      <c r="F2050" s="1454"/>
      <c r="G2050" s="1444" t="str">
        <f t="shared" ref="G2050:G2113" si="278">IF(H2050&amp;I2050&amp;J2050&amp;K2050&lt;&gt;"","No.de ref. du commentaire.: "&amp;W2050&amp;" "&amp;N2050&amp;" "&amp;H2050&amp;I2050&amp;IF(OR(C2050=TRUE,D2050=TRUE),"",J2050&amp;K2050&amp;V2050),"")</f>
        <v/>
      </c>
      <c r="H2050" s="1446" t="str">
        <f>IF(C2050=TRUE,Comments!$B$26,"")</f>
        <v/>
      </c>
      <c r="I2050" s="1452" t="str">
        <f>IF(D2050=TRUE,Comments!$B$21,"")</f>
        <v/>
      </c>
      <c r="J2050" s="1452"/>
      <c r="K2050" s="1452"/>
      <c r="N2050" s="611" t="str">
        <f>"CPTE # "&amp;Page5_PARCS_GOUV!E8&amp;" "&amp;Page5_PARCS_GOUV!C8&amp;" - UNITÉS - AAD"</f>
        <v>CPTE # 404L CADILLAC VOITURES MCI - UNITÉS - AAD</v>
      </c>
      <c r="O2050" s="611" t="str">
        <f t="shared" si="277"/>
        <v/>
      </c>
      <c r="P2050" s="611" t="str">
        <f t="shared" ref="P2050:P2113" si="279">LEFT(A2050,FIND("!",A2050)+1)</f>
        <v>Page5_PARCS_GOUV!K</v>
      </c>
      <c r="Q2050" s="611">
        <f t="shared" ref="Q2050:Q2113" si="280">VALUE(RIGHT(A2050,LEN(A2050)-FIND("!",A2050)-1))</f>
        <v>8</v>
      </c>
      <c r="R2050" s="1447">
        <f t="shared" ref="R2050:R2113" ca="1" si="281">IF(E2050=TRUE,INDIRECT("Comments!$D$"&amp;T2050),0)</f>
        <v>0</v>
      </c>
      <c r="S2050" s="1447">
        <f t="shared" ref="S2050:S2113" ca="1" si="282">IF(F2050=TRUE,INDIRECT("Comments!$D$"&amp;U2050),0)</f>
        <v>0</v>
      </c>
      <c r="W2050" s="611" t="str">
        <f t="shared" ref="W2050:W2113" ca="1" si="283">LEFT(A2050,FIND("!",A2050,1)-1)&amp;", Ligne "&amp;INDIRECT(ADDRESS(ROW(INDIRECT(A2050)),IF(INDIRECT(ADDRESS(ROW(INDIRECT(A2050)),1,,,LEFT(A2050,FIND("!",A2050,1)-1)))="",2,1),,,LEFT(A2050,FIND("!",A2050,1)-1)))&amp;" ["&amp;A2050&amp;"] "&amp;" -"</f>
        <v>Page5_PARCS_GOUV, Ligne 5 [Page5_PARCS_GOUV!K8]  -</v>
      </c>
    </row>
    <row r="2051" spans="1:23">
      <c r="A2051" s="1443" t="str">
        <f>celladdr(Page5_PARCS_GOUV!K9)</f>
        <v>Page5_PARCS_GOUV!K9</v>
      </c>
      <c r="B2051" s="1456" t="s">
        <v>1086</v>
      </c>
      <c r="C2051" s="1445" t="b">
        <f>Page5_PARCS_GOUV!$K9&lt;0</f>
        <v>0</v>
      </c>
      <c r="D2051" s="1454" t="b">
        <f>OR(AND(Page5_PARCS_GOUV!$K9&gt;0,Page5_PARCS_GOUV!$M9=0),AND(Page5_PARCS_GOUV!$M9&lt;&gt;0,Page5_PARCS_GOUV!$K9=0))</f>
        <v>0</v>
      </c>
      <c r="F2051" s="1454"/>
      <c r="G2051" s="1444" t="str">
        <f t="shared" si="278"/>
        <v/>
      </c>
      <c r="H2051" s="1446" t="str">
        <f>IF(C2051=TRUE,Comments!$B$26,"")</f>
        <v/>
      </c>
      <c r="I2051" s="1452" t="str">
        <f>IF(D2051=TRUE,Comments!$B$21,"")</f>
        <v/>
      </c>
      <c r="J2051" s="1452"/>
      <c r="K2051" s="1452"/>
      <c r="N2051" s="611" t="str">
        <f>"CPTE # "&amp;Page5_PARCS_GOUV!E9&amp;" "&amp;Page5_PARCS_GOUV!C9&amp;" - UNITÉS - AAD"</f>
        <v>CPTE # 405L CADILLAC VOITURES VE - UNITÉS - AAD</v>
      </c>
      <c r="O2051" s="611" t="str">
        <f t="shared" si="277"/>
        <v/>
      </c>
      <c r="P2051" s="611" t="str">
        <f t="shared" si="279"/>
        <v>Page5_PARCS_GOUV!K</v>
      </c>
      <c r="Q2051" s="611">
        <f t="shared" si="280"/>
        <v>9</v>
      </c>
      <c r="R2051" s="1447">
        <f t="shared" ca="1" si="281"/>
        <v>0</v>
      </c>
      <c r="S2051" s="1447">
        <f t="shared" ca="1" si="282"/>
        <v>0</v>
      </c>
      <c r="W2051" s="611" t="str">
        <f t="shared" ca="1" si="283"/>
        <v>Page5_PARCS_GOUV, Ligne 6 [Page5_PARCS_GOUV!K9]  -</v>
      </c>
    </row>
    <row r="2052" spans="1:23">
      <c r="A2052" s="1443" t="str">
        <f>celladdr(Page5_PARCS_GOUV!K10)</f>
        <v>Page5_PARCS_GOUV!K10</v>
      </c>
      <c r="B2052" s="1456" t="s">
        <v>1086</v>
      </c>
      <c r="C2052" s="1445" t="b">
        <f>Page5_PARCS_GOUV!$K10&lt;0</f>
        <v>0</v>
      </c>
      <c r="D2052" s="1454" t="b">
        <f>OR(AND(Page5_PARCS_GOUV!$K10&gt;0,Page5_PARCS_GOUV!$M10=0),AND(Page5_PARCS_GOUV!$M10&lt;&gt;0,Page5_PARCS_GOUV!$K10=0))</f>
        <v>0</v>
      </c>
      <c r="F2052" s="1454"/>
      <c r="G2052" s="1444" t="str">
        <f t="shared" si="278"/>
        <v/>
      </c>
      <c r="H2052" s="1446" t="str">
        <f>IF(C2052=TRUE,Comments!$B$26,"")</f>
        <v/>
      </c>
      <c r="I2052" s="1452" t="str">
        <f>IF(D2052=TRUE,Comments!$B$21,"")</f>
        <v/>
      </c>
      <c r="J2052" s="1452"/>
      <c r="K2052" s="1452"/>
      <c r="N2052" s="611" t="str">
        <f>"CPTE # "&amp;Page5_PARCS_GOUV!E10&amp;" "&amp;Page5_PARCS_GOUV!C10&amp;" - UNITÉS - AAD"</f>
        <v>CPTE # 406L NE PAS UTILISER - UNITÉS - AAD</v>
      </c>
      <c r="O2052" s="611" t="str">
        <f t="shared" si="277"/>
        <v/>
      </c>
      <c r="P2052" s="611" t="str">
        <f t="shared" si="279"/>
        <v>Page5_PARCS_GOUV!K</v>
      </c>
      <c r="Q2052" s="611">
        <f t="shared" si="280"/>
        <v>10</v>
      </c>
      <c r="R2052" s="1447">
        <f t="shared" ca="1" si="281"/>
        <v>0</v>
      </c>
      <c r="S2052" s="1447">
        <f t="shared" ca="1" si="282"/>
        <v>0</v>
      </c>
      <c r="W2052" s="611" t="str">
        <f t="shared" ca="1" si="283"/>
        <v>Page5_PARCS_GOUV, Ligne 7 [Page5_PARCS_GOUV!K10]  -</v>
      </c>
    </row>
    <row r="2053" spans="1:23">
      <c r="A2053" s="1443" t="str">
        <f>celladdr(Page5_PARCS_GOUV!K11)</f>
        <v>Page5_PARCS_GOUV!K11</v>
      </c>
      <c r="B2053" s="1456" t="s">
        <v>1086</v>
      </c>
      <c r="C2053" s="1445" t="b">
        <f>Page5_PARCS_GOUV!$K11&lt;0</f>
        <v>0</v>
      </c>
      <c r="D2053" s="1454" t="b">
        <f>OR(AND(Page5_PARCS_GOUV!$K11&gt;0,Page5_PARCS_GOUV!$M11=0),AND(Page5_PARCS_GOUV!$M11&lt;&gt;0,Page5_PARCS_GOUV!$K11=0))</f>
        <v>0</v>
      </c>
      <c r="F2053" s="1454"/>
      <c r="G2053" s="1444" t="str">
        <f t="shared" si="278"/>
        <v/>
      </c>
      <c r="H2053" s="1446" t="str">
        <f>IF(C2053=TRUE,Comments!$B$26,"")</f>
        <v/>
      </c>
      <c r="I2053" s="1452" t="str">
        <f>IF(D2053=TRUE,Comments!$B$21,"")</f>
        <v/>
      </c>
      <c r="J2053" s="1452"/>
      <c r="K2053" s="1452"/>
      <c r="N2053" s="611" t="str">
        <f>"CPTE # "&amp;Page5_PARCS_GOUV!E11&amp;" "&amp;Page5_PARCS_GOUV!C11&amp;" - UNITÉS - AAD"</f>
        <v>CPTE # 407L NE PAS UTILISER - UNITÉS - AAD</v>
      </c>
      <c r="O2053" s="611" t="str">
        <f t="shared" si="277"/>
        <v/>
      </c>
      <c r="P2053" s="611" t="str">
        <f t="shared" si="279"/>
        <v>Page5_PARCS_GOUV!K</v>
      </c>
      <c r="Q2053" s="611">
        <f t="shared" si="280"/>
        <v>11</v>
      </c>
      <c r="R2053" s="1447">
        <f t="shared" ca="1" si="281"/>
        <v>0</v>
      </c>
      <c r="S2053" s="1447">
        <f t="shared" ca="1" si="282"/>
        <v>0</v>
      </c>
      <c r="W2053" s="611" t="str">
        <f t="shared" ca="1" si="283"/>
        <v>Page5_PARCS_GOUV, Ligne 8 [Page5_PARCS_GOUV!K11]  -</v>
      </c>
    </row>
    <row r="2054" spans="1:23">
      <c r="A2054" s="1443" t="str">
        <f>celladdr(Page5_PARCS_GOUV!K12)</f>
        <v>Page5_PARCS_GOUV!K12</v>
      </c>
      <c r="B2054" s="2449" t="s">
        <v>1086</v>
      </c>
      <c r="D2054" s="1454"/>
      <c r="F2054" s="1454"/>
      <c r="G2054" s="1444" t="str">
        <f t="shared" si="278"/>
        <v/>
      </c>
      <c r="H2054" s="1446"/>
      <c r="I2054" s="1452"/>
      <c r="J2054" s="1452"/>
      <c r="K2054" s="1452"/>
      <c r="N2054" s="611" t="str">
        <f>"CPTE # "&amp;Page5_PARCS_GOUV!E12&amp;" "&amp;Page5_PARCS_GOUV!C12&amp;" - UNITÉS - AAD"</f>
        <v>CPTE #  TOTAL VOITURES DE PARCS - UNITÉS - AAD</v>
      </c>
      <c r="O2054" s="611" t="str">
        <f t="shared" si="277"/>
        <v/>
      </c>
      <c r="P2054" s="611" t="str">
        <f t="shared" si="279"/>
        <v>Page5_PARCS_GOUV!K</v>
      </c>
      <c r="Q2054" s="611">
        <f t="shared" si="280"/>
        <v>12</v>
      </c>
      <c r="R2054" s="1447">
        <f t="shared" ca="1" si="281"/>
        <v>0</v>
      </c>
      <c r="S2054" s="1447">
        <f t="shared" ca="1" si="282"/>
        <v>0</v>
      </c>
      <c r="W2054" s="611" t="str">
        <f t="shared" ca="1" si="283"/>
        <v>Page5_PARCS_GOUV, Ligne 9 [Page5_PARCS_GOUV!K12]  -</v>
      </c>
    </row>
    <row r="2055" spans="1:23">
      <c r="A2055" s="1443" t="str">
        <f>celladdr(Page5_PARCS_GOUV!K13)</f>
        <v>Page5_PARCS_GOUV!K13</v>
      </c>
      <c r="B2055" s="1456" t="s">
        <v>1086</v>
      </c>
      <c r="C2055" s="1445" t="b">
        <f>Page5_PARCS_GOUV!$K13&lt;0</f>
        <v>0</v>
      </c>
      <c r="D2055" s="1454" t="b">
        <f>OR(AND(Page5_PARCS_GOUV!$K13&gt;0,Page5_PARCS_GOUV!$M13=0),AND(Page5_PARCS_GOUV!$M13&lt;&gt;0,Page5_PARCS_GOUV!$K13=0))</f>
        <v>0</v>
      </c>
      <c r="F2055" s="1454"/>
      <c r="G2055" s="1444" t="str">
        <f t="shared" si="278"/>
        <v/>
      </c>
      <c r="H2055" s="1446" t="str">
        <f>IF(C2055=TRUE,Comments!$B$26,"")</f>
        <v/>
      </c>
      <c r="I2055" s="1452" t="str">
        <f>IF(D2055=TRUE,Comments!$B$21,"")</f>
        <v/>
      </c>
      <c r="J2055" s="1452"/>
      <c r="K2055" s="1452"/>
      <c r="N2055" s="611" t="str">
        <f>"CPTE # "&amp;Page5_PARCS_GOUV!E13&amp;" "&amp;Page5_PARCS_GOUV!C13&amp;" - UNITÉS - AAD"</f>
        <v>CPTE # 412L BUICK / CADILLAC PETIT VUS VE - UNITÉS - AAD</v>
      </c>
      <c r="O2055" s="611" t="str">
        <f t="shared" si="277"/>
        <v/>
      </c>
      <c r="P2055" s="611" t="str">
        <f t="shared" si="279"/>
        <v>Page5_PARCS_GOUV!K</v>
      </c>
      <c r="Q2055" s="611">
        <f t="shared" si="280"/>
        <v>13</v>
      </c>
      <c r="R2055" s="1447">
        <f t="shared" ca="1" si="281"/>
        <v>0</v>
      </c>
      <c r="S2055" s="1447">
        <f t="shared" ca="1" si="282"/>
        <v>0</v>
      </c>
      <c r="W2055" s="611" t="str">
        <f t="shared" ca="1" si="283"/>
        <v>Page5_PARCS_GOUV, Ligne 10 [Page5_PARCS_GOUV!K13]  -</v>
      </c>
    </row>
    <row r="2056" spans="1:23">
      <c r="A2056" s="1443" t="str">
        <f>celladdr(Page5_PARCS_GOUV!K14)</f>
        <v>Page5_PARCS_GOUV!K14</v>
      </c>
      <c r="B2056" s="1456" t="s">
        <v>1086</v>
      </c>
      <c r="C2056" s="1445" t="b">
        <f>Page5_PARCS_GOUV!$K14&lt;0</f>
        <v>0</v>
      </c>
      <c r="D2056" s="1454" t="b">
        <f>OR(AND(Page5_PARCS_GOUV!$K14&gt;0,Page5_PARCS_GOUV!$M14=0),AND(Page5_PARCS_GOUV!$M14&lt;&gt;0,Page5_PARCS_GOUV!$K14=0))</f>
        <v>0</v>
      </c>
      <c r="F2056" s="1454"/>
      <c r="G2056" s="1444" t="str">
        <f t="shared" si="278"/>
        <v/>
      </c>
      <c r="H2056" s="1446" t="str">
        <f>IF(C2056=TRUE,Comments!$B$26,"")</f>
        <v/>
      </c>
      <c r="I2056" s="1452" t="str">
        <f>IF(D2056=TRUE,Comments!$B$21,"")</f>
        <v/>
      </c>
      <c r="J2056" s="1452"/>
      <c r="K2056" s="1452"/>
      <c r="N2056" s="611" t="str">
        <f>"CPTE # "&amp;Page5_PARCS_GOUV!E14&amp;" "&amp;Page5_PARCS_GOUV!C14&amp;" - UNITÉS - AAD"</f>
        <v>CPTE # 413L BUICK / CADILLAC PETIT VUS MCI - UNITÉS - AAD</v>
      </c>
      <c r="O2056" s="611" t="str">
        <f t="shared" si="277"/>
        <v/>
      </c>
      <c r="P2056" s="611" t="str">
        <f t="shared" si="279"/>
        <v>Page5_PARCS_GOUV!K</v>
      </c>
      <c r="Q2056" s="611">
        <f t="shared" si="280"/>
        <v>14</v>
      </c>
      <c r="R2056" s="1447">
        <f t="shared" ca="1" si="281"/>
        <v>0</v>
      </c>
      <c r="S2056" s="1447">
        <f t="shared" ca="1" si="282"/>
        <v>0</v>
      </c>
      <c r="W2056" s="611" t="str">
        <f t="shared" ca="1" si="283"/>
        <v>Page5_PARCS_GOUV, Ligne 11 [Page5_PARCS_GOUV!K14]  -</v>
      </c>
    </row>
    <row r="2057" spans="1:23">
      <c r="A2057" s="1443" t="str">
        <f>celladdr(Page5_PARCS_GOUV!K15)</f>
        <v>Page5_PARCS_GOUV!K15</v>
      </c>
      <c r="B2057" s="1456" t="s">
        <v>1086</v>
      </c>
      <c r="C2057" s="1445" t="b">
        <f>Page5_PARCS_GOUV!$K15&lt;0</f>
        <v>0</v>
      </c>
      <c r="D2057" s="1454" t="b">
        <f>OR(AND(Page5_PARCS_GOUV!$K15&gt;0,Page5_PARCS_GOUV!$M15=0),AND(Page5_PARCS_GOUV!$M15&lt;&gt;0,Page5_PARCS_GOUV!$K15=0))</f>
        <v>0</v>
      </c>
      <c r="F2057" s="1454"/>
      <c r="G2057" s="1444" t="str">
        <f t="shared" si="278"/>
        <v/>
      </c>
      <c r="H2057" s="1446" t="str">
        <f>IF(C2057=TRUE,Comments!$B$26,"")</f>
        <v/>
      </c>
      <c r="I2057" s="1452" t="str">
        <f>IF(D2057=TRUE,Comments!$B$21,"")</f>
        <v/>
      </c>
      <c r="J2057" s="1452"/>
      <c r="K2057" s="1452"/>
      <c r="N2057" s="611" t="str">
        <f>"CPTE # "&amp;Page5_PARCS_GOUV!E15&amp;" "&amp;Page5_PARCS_GOUV!C15&amp;" - UNITÉS - AAD"</f>
        <v>CPTE # 414L BUICK / CADILLAC MOYEN VUS VE - UNITÉS - AAD</v>
      </c>
      <c r="O2057" s="611" t="str">
        <f t="shared" si="277"/>
        <v/>
      </c>
      <c r="P2057" s="611" t="str">
        <f t="shared" si="279"/>
        <v>Page5_PARCS_GOUV!K</v>
      </c>
      <c r="Q2057" s="611">
        <f t="shared" si="280"/>
        <v>15</v>
      </c>
      <c r="R2057" s="1447">
        <f t="shared" ca="1" si="281"/>
        <v>0</v>
      </c>
      <c r="S2057" s="1447">
        <f t="shared" ca="1" si="282"/>
        <v>0</v>
      </c>
      <c r="W2057" s="611" t="str">
        <f t="shared" ca="1" si="283"/>
        <v>Page5_PARCS_GOUV, Ligne 12 [Page5_PARCS_GOUV!K15]  -</v>
      </c>
    </row>
    <row r="2058" spans="1:23">
      <c r="A2058" s="1443" t="str">
        <f>celladdr(Page5_PARCS_GOUV!K16)</f>
        <v>Page5_PARCS_GOUV!K16</v>
      </c>
      <c r="B2058" s="1456" t="s">
        <v>1086</v>
      </c>
      <c r="C2058" s="1445" t="b">
        <f>Page5_PARCS_GOUV!$K16&lt;0</f>
        <v>0</v>
      </c>
      <c r="D2058" s="1454" t="b">
        <f>OR(AND(Page5_PARCS_GOUV!$K16&gt;0,Page5_PARCS_GOUV!$M16=0),AND(Page5_PARCS_GOUV!$M16&lt;&gt;0,Page5_PARCS_GOUV!$K16=0))</f>
        <v>0</v>
      </c>
      <c r="F2058" s="1454"/>
      <c r="G2058" s="1444" t="str">
        <f t="shared" si="278"/>
        <v/>
      </c>
      <c r="H2058" s="1446" t="str">
        <f>IF(C2058=TRUE,Comments!$B$26,"")</f>
        <v/>
      </c>
      <c r="I2058" s="1452" t="str">
        <f>IF(D2058=TRUE,Comments!$B$21,"")</f>
        <v/>
      </c>
      <c r="J2058" s="1452"/>
      <c r="K2058" s="1452"/>
      <c r="N2058" s="611" t="str">
        <f>"CPTE # "&amp;Page5_PARCS_GOUV!E16&amp;" "&amp;Page5_PARCS_GOUV!C16&amp;" - UNITÉS - AAD"</f>
        <v>CPTE # 415L BUICK / CADILLAC MOYEN VUS MCI - UNITÉS - AAD</v>
      </c>
      <c r="O2058" s="611" t="str">
        <f t="shared" si="277"/>
        <v/>
      </c>
      <c r="P2058" s="611" t="str">
        <f t="shared" si="279"/>
        <v>Page5_PARCS_GOUV!K</v>
      </c>
      <c r="Q2058" s="611">
        <f t="shared" si="280"/>
        <v>16</v>
      </c>
      <c r="R2058" s="1447">
        <f t="shared" ca="1" si="281"/>
        <v>0</v>
      </c>
      <c r="S2058" s="1447">
        <f t="shared" ca="1" si="282"/>
        <v>0</v>
      </c>
      <c r="W2058" s="611" t="str">
        <f t="shared" ca="1" si="283"/>
        <v>Page5_PARCS_GOUV, Ligne 13 [Page5_PARCS_GOUV!K16]  -</v>
      </c>
    </row>
    <row r="2059" spans="1:23">
      <c r="A2059" s="1443" t="str">
        <f>celladdr(Page5_PARCS_GOUV!K17)</f>
        <v>Page5_PARCS_GOUV!K17</v>
      </c>
      <c r="B2059" s="1456" t="s">
        <v>1086</v>
      </c>
      <c r="C2059" s="1445" t="b">
        <f>Page5_PARCS_GOUV!$K17&lt;0</f>
        <v>0</v>
      </c>
      <c r="D2059" s="1454" t="b">
        <f>OR(AND(Page5_PARCS_GOUV!$K17&gt;0,Page5_PARCS_GOUV!$M17=0),AND(Page5_PARCS_GOUV!$M17&lt;&gt;0,Page5_PARCS_GOUV!$K17=0))</f>
        <v>0</v>
      </c>
      <c r="F2059" s="1454"/>
      <c r="G2059" s="1444" t="str">
        <f t="shared" si="278"/>
        <v/>
      </c>
      <c r="H2059" s="1446" t="str">
        <f>IF(C2059=TRUE,Comments!$B$26,"")</f>
        <v/>
      </c>
      <c r="I2059" s="1452" t="str">
        <f>IF(D2059=TRUE,Comments!$B$21,"")</f>
        <v/>
      </c>
      <c r="J2059" s="1452"/>
      <c r="K2059" s="1452"/>
      <c r="N2059" s="611" t="str">
        <f>"CPTE # "&amp;Page5_PARCS_GOUV!E17&amp;" "&amp;Page5_PARCS_GOUV!C17&amp;" - UNITÉS - AAD"</f>
        <v>CPTE # 416L BUICK / CADILLAC GRAND VUS VE - UNITÉS - AAD</v>
      </c>
      <c r="O2059" s="611" t="str">
        <f t="shared" si="277"/>
        <v/>
      </c>
      <c r="P2059" s="611" t="str">
        <f t="shared" si="279"/>
        <v>Page5_PARCS_GOUV!K</v>
      </c>
      <c r="Q2059" s="611">
        <f t="shared" si="280"/>
        <v>17</v>
      </c>
      <c r="R2059" s="1447">
        <f t="shared" ca="1" si="281"/>
        <v>0</v>
      </c>
      <c r="S2059" s="1447">
        <f t="shared" ca="1" si="282"/>
        <v>0</v>
      </c>
      <c r="W2059" s="611" t="str">
        <f t="shared" ca="1" si="283"/>
        <v>Page5_PARCS_GOUV, Ligne 14 [Page5_PARCS_GOUV!K17]  -</v>
      </c>
    </row>
    <row r="2060" spans="1:23">
      <c r="A2060" s="1443" t="str">
        <f>celladdr(Page5_PARCS_GOUV!K18)</f>
        <v>Page5_PARCS_GOUV!K18</v>
      </c>
      <c r="B2060" s="1456" t="s">
        <v>1086</v>
      </c>
      <c r="C2060" s="1445" t="b">
        <f>Page5_PARCS_GOUV!$K18&lt;0</f>
        <v>0</v>
      </c>
      <c r="D2060" s="1454" t="b">
        <f>OR(AND(Page5_PARCS_GOUV!$K18&gt;0,Page5_PARCS_GOUV!$M18=0),AND(Page5_PARCS_GOUV!$M18&lt;&gt;0,Page5_PARCS_GOUV!$K18=0))</f>
        <v>0</v>
      </c>
      <c r="F2060" s="1454"/>
      <c r="G2060" s="1444" t="str">
        <f t="shared" si="278"/>
        <v/>
      </c>
      <c r="H2060" s="1446" t="str">
        <f>IF(C2060=TRUE,Comments!$B$26,"")</f>
        <v/>
      </c>
      <c r="I2060" s="1452" t="str">
        <f>IF(D2060=TRUE,Comments!$B$21,"")</f>
        <v/>
      </c>
      <c r="J2060" s="1452"/>
      <c r="K2060" s="1452"/>
      <c r="N2060" s="611" t="str">
        <f>"CPTE # "&amp;Page5_PARCS_GOUV!E18&amp;" "&amp;Page5_PARCS_GOUV!C18&amp;" - UNITÉS - AAD"</f>
        <v>CPTE # 417L BUICK / CADILLAC GRAND VUS MCI - UNITÉS - AAD</v>
      </c>
      <c r="O2060" s="611" t="str">
        <f t="shared" si="277"/>
        <v/>
      </c>
      <c r="P2060" s="611" t="str">
        <f t="shared" si="279"/>
        <v>Page5_PARCS_GOUV!K</v>
      </c>
      <c r="Q2060" s="611">
        <f t="shared" si="280"/>
        <v>18</v>
      </c>
      <c r="R2060" s="1447">
        <f t="shared" ca="1" si="281"/>
        <v>0</v>
      </c>
      <c r="S2060" s="1447">
        <f t="shared" ca="1" si="282"/>
        <v>0</v>
      </c>
      <c r="W2060" s="611" t="str">
        <f t="shared" ca="1" si="283"/>
        <v>Page5_PARCS_GOUV, Ligne 15 [Page5_PARCS_GOUV!K18]  -</v>
      </c>
    </row>
    <row r="2061" spans="1:23">
      <c r="A2061" s="1443" t="str">
        <f>celladdr(Page5_PARCS_GOUV!K19)</f>
        <v>Page5_PARCS_GOUV!K19</v>
      </c>
      <c r="B2061" s="1456" t="s">
        <v>1086</v>
      </c>
      <c r="C2061" s="1445" t="b">
        <f>Page5_PARCS_GOUV!$K19&lt;0</f>
        <v>0</v>
      </c>
      <c r="D2061" s="1454" t="b">
        <f>OR(AND(Page5_PARCS_GOUV!$K19&gt;0,Page5_PARCS_GOUV!$M19=0),AND(Page5_PARCS_GOUV!$M19&lt;&gt;0,Page5_PARCS_GOUV!$K19=0))</f>
        <v>0</v>
      </c>
      <c r="F2061" s="1454"/>
      <c r="G2061" s="1444" t="str">
        <f t="shared" si="278"/>
        <v/>
      </c>
      <c r="H2061" s="1446" t="str">
        <f>IF(C2061=TRUE,Comments!$B$26,"")</f>
        <v/>
      </c>
      <c r="I2061" s="1452" t="str">
        <f>IF(D2061=TRUE,Comments!$B$21,"")</f>
        <v/>
      </c>
      <c r="J2061" s="1452"/>
      <c r="K2061" s="1452"/>
      <c r="N2061" s="611" t="str">
        <f>"CPTE # "&amp;Page5_PARCS_GOUV!E19&amp;" "&amp;Page5_PARCS_GOUV!C19&amp;" - UNITÉS - AAD"</f>
        <v>CPTE # 418L CHEVROLET / GMC PETIT VUS VE - UNITÉS - AAD</v>
      </c>
      <c r="O2061" s="611" t="str">
        <f t="shared" si="277"/>
        <v/>
      </c>
      <c r="P2061" s="611" t="str">
        <f t="shared" si="279"/>
        <v>Page5_PARCS_GOUV!K</v>
      </c>
      <c r="Q2061" s="611">
        <f t="shared" si="280"/>
        <v>19</v>
      </c>
      <c r="R2061" s="1447">
        <f t="shared" ca="1" si="281"/>
        <v>0</v>
      </c>
      <c r="S2061" s="1447">
        <f t="shared" ca="1" si="282"/>
        <v>0</v>
      </c>
      <c r="W2061" s="611" t="str">
        <f t="shared" ca="1" si="283"/>
        <v>Page5_PARCS_GOUV, Ligne 16 [Page5_PARCS_GOUV!K19]  -</v>
      </c>
    </row>
    <row r="2062" spans="1:23">
      <c r="A2062" s="1443" t="str">
        <f>celladdr(Page5_PARCS_GOUV!K20)</f>
        <v>Page5_PARCS_GOUV!K20</v>
      </c>
      <c r="B2062" s="1456" t="s">
        <v>1086</v>
      </c>
      <c r="C2062" s="1445" t="b">
        <f>Page5_PARCS_GOUV!$K20&lt;0</f>
        <v>0</v>
      </c>
      <c r="D2062" s="1454" t="b">
        <f>OR(AND(Page5_PARCS_GOUV!$K20&gt;0,Page5_PARCS_GOUV!$M20=0),AND(Page5_PARCS_GOUV!$M20&lt;&gt;0,Page5_PARCS_GOUV!$K20=0))</f>
        <v>0</v>
      </c>
      <c r="F2062" s="1454"/>
      <c r="G2062" s="1444" t="str">
        <f t="shared" si="278"/>
        <v/>
      </c>
      <c r="H2062" s="1446" t="str">
        <f>IF(C2062=TRUE,Comments!$B$26,"")</f>
        <v/>
      </c>
      <c r="I2062" s="1452" t="str">
        <f>IF(D2062=TRUE,Comments!$B$21,"")</f>
        <v/>
      </c>
      <c r="J2062" s="1452"/>
      <c r="K2062" s="1452"/>
      <c r="N2062" s="611" t="str">
        <f>"CPTE # "&amp;Page5_PARCS_GOUV!E20&amp;" "&amp;Page5_PARCS_GOUV!C20&amp;" - UNITÉS - AAD"</f>
        <v>CPTE # 419L CHEVROLET / GMC PETIT VUS MCI - UNITÉS - AAD</v>
      </c>
      <c r="O2062" s="611" t="str">
        <f t="shared" si="277"/>
        <v/>
      </c>
      <c r="P2062" s="611" t="str">
        <f t="shared" si="279"/>
        <v>Page5_PARCS_GOUV!K</v>
      </c>
      <c r="Q2062" s="611">
        <f t="shared" si="280"/>
        <v>20</v>
      </c>
      <c r="R2062" s="1447">
        <f t="shared" ca="1" si="281"/>
        <v>0</v>
      </c>
      <c r="S2062" s="1447">
        <f t="shared" ca="1" si="282"/>
        <v>0</v>
      </c>
      <c r="W2062" s="611" t="str">
        <f t="shared" ca="1" si="283"/>
        <v>Page5_PARCS_GOUV, Ligne 17 [Page5_PARCS_GOUV!K20]  -</v>
      </c>
    </row>
    <row r="2063" spans="1:23">
      <c r="A2063" s="1443" t="str">
        <f>celladdr(Page5_PARCS_GOUV!K21)</f>
        <v>Page5_PARCS_GOUV!K21</v>
      </c>
      <c r="B2063" s="1456" t="s">
        <v>1086</v>
      </c>
      <c r="C2063" s="1445" t="b">
        <f>Page5_PARCS_GOUV!$K21&lt;0</f>
        <v>0</v>
      </c>
      <c r="D2063" s="1454" t="b">
        <f>OR(AND(Page5_PARCS_GOUV!$K21&gt;0,Page5_PARCS_GOUV!$M21=0),AND(Page5_PARCS_GOUV!$M21&lt;&gt;0,Page5_PARCS_GOUV!$K21=0))</f>
        <v>0</v>
      </c>
      <c r="F2063" s="1454"/>
      <c r="G2063" s="1444" t="str">
        <f t="shared" si="278"/>
        <v/>
      </c>
      <c r="H2063" s="1446" t="str">
        <f>IF(C2063=TRUE,Comments!$B$26,"")</f>
        <v/>
      </c>
      <c r="I2063" s="1452" t="str">
        <f>IF(D2063=TRUE,Comments!$B$21,"")</f>
        <v/>
      </c>
      <c r="J2063" s="1452"/>
      <c r="K2063" s="1452"/>
      <c r="N2063" s="611" t="str">
        <f>"CPTE # "&amp;Page5_PARCS_GOUV!E21&amp;" "&amp;Page5_PARCS_GOUV!C21&amp;" - UNITÉS - AAD"</f>
        <v>CPTE # 420L CHEVROLET / GMC MOYEN VUS VE - UNITÉS - AAD</v>
      </c>
      <c r="O2063" s="611" t="str">
        <f t="shared" si="277"/>
        <v/>
      </c>
      <c r="P2063" s="611" t="str">
        <f t="shared" si="279"/>
        <v>Page5_PARCS_GOUV!K</v>
      </c>
      <c r="Q2063" s="611">
        <f t="shared" si="280"/>
        <v>21</v>
      </c>
      <c r="R2063" s="1447">
        <f t="shared" ca="1" si="281"/>
        <v>0</v>
      </c>
      <c r="S2063" s="1447">
        <f t="shared" ca="1" si="282"/>
        <v>0</v>
      </c>
      <c r="W2063" s="611" t="str">
        <f t="shared" ca="1" si="283"/>
        <v>Page5_PARCS_GOUV, Ligne 18 [Page5_PARCS_GOUV!K21]  -</v>
      </c>
    </row>
    <row r="2064" spans="1:23">
      <c r="A2064" s="1443" t="str">
        <f>celladdr(Page5_PARCS_GOUV!K22)</f>
        <v>Page5_PARCS_GOUV!K22</v>
      </c>
      <c r="B2064" s="1456" t="s">
        <v>1086</v>
      </c>
      <c r="C2064" s="1445" t="b">
        <f>Page5_PARCS_GOUV!$K22&lt;0</f>
        <v>0</v>
      </c>
      <c r="D2064" s="1454" t="b">
        <f>OR(AND(Page5_PARCS_GOUV!$K22&gt;0,Page5_PARCS_GOUV!$M22=0),AND(Page5_PARCS_GOUV!$M22&lt;&gt;0,Page5_PARCS_GOUV!$K22=0))</f>
        <v>0</v>
      </c>
      <c r="F2064" s="1454"/>
      <c r="G2064" s="1444" t="str">
        <f t="shared" si="278"/>
        <v/>
      </c>
      <c r="H2064" s="1446" t="str">
        <f>IF(C2064=TRUE,Comments!$B$26,"")</f>
        <v/>
      </c>
      <c r="I2064" s="1452" t="str">
        <f>IF(D2064=TRUE,Comments!$B$21,"")</f>
        <v/>
      </c>
      <c r="J2064" s="1452"/>
      <c r="K2064" s="1452"/>
      <c r="N2064" s="611" t="str">
        <f>"CPTE # "&amp;Page5_PARCS_GOUV!E22&amp;" "&amp;Page5_PARCS_GOUV!C22&amp;" - UNITÉS - AAD"</f>
        <v>CPTE # 421L CHEVROLET / GMC MOYEN VUS MCI - UNITÉS - AAD</v>
      </c>
      <c r="O2064" s="611" t="str">
        <f t="shared" si="277"/>
        <v/>
      </c>
      <c r="P2064" s="611" t="str">
        <f t="shared" si="279"/>
        <v>Page5_PARCS_GOUV!K</v>
      </c>
      <c r="Q2064" s="611">
        <f t="shared" si="280"/>
        <v>22</v>
      </c>
      <c r="R2064" s="1447">
        <f t="shared" ca="1" si="281"/>
        <v>0</v>
      </c>
      <c r="S2064" s="1447">
        <f t="shared" ca="1" si="282"/>
        <v>0</v>
      </c>
      <c r="W2064" s="611" t="str">
        <f t="shared" ca="1" si="283"/>
        <v>Page5_PARCS_GOUV, Ligne 19 [Page5_PARCS_GOUV!K22]  -</v>
      </c>
    </row>
    <row r="2065" spans="1:23">
      <c r="A2065" s="1443" t="str">
        <f>celladdr(Page5_PARCS_GOUV!K23)</f>
        <v>Page5_PARCS_GOUV!K23</v>
      </c>
      <c r="B2065" s="1456" t="s">
        <v>1086</v>
      </c>
      <c r="C2065" s="1445" t="b">
        <f>Page5_PARCS_GOUV!$K23&lt;0</f>
        <v>0</v>
      </c>
      <c r="D2065" s="1454" t="b">
        <f>OR(AND(Page5_PARCS_GOUV!$K23&gt;0,Page5_PARCS_GOUV!$M23=0),AND(Page5_PARCS_GOUV!$M23&lt;&gt;0,Page5_PARCS_GOUV!$K23=0))</f>
        <v>0</v>
      </c>
      <c r="F2065" s="1454"/>
      <c r="G2065" s="1444" t="str">
        <f t="shared" si="278"/>
        <v/>
      </c>
      <c r="H2065" s="1446" t="str">
        <f>IF(C2065=TRUE,Comments!$B$26,"")</f>
        <v/>
      </c>
      <c r="I2065" s="1452" t="str">
        <f>IF(D2065=TRUE,Comments!$B$21,"")</f>
        <v/>
      </c>
      <c r="J2065" s="1452"/>
      <c r="K2065" s="1452"/>
      <c r="N2065" s="611" t="str">
        <f>"CPTE # "&amp;Page5_PARCS_GOUV!E23&amp;" "&amp;Page5_PARCS_GOUV!C23&amp;" - UNITÉS - AAD"</f>
        <v>CPTE # 422L CHEVROLET / GMC / HUMMER GRAND VUS VE - UNITÉS - AAD</v>
      </c>
      <c r="O2065" s="611" t="str">
        <f t="shared" si="277"/>
        <v/>
      </c>
      <c r="P2065" s="611" t="str">
        <f t="shared" si="279"/>
        <v>Page5_PARCS_GOUV!K</v>
      </c>
      <c r="Q2065" s="611">
        <f t="shared" si="280"/>
        <v>23</v>
      </c>
      <c r="R2065" s="1447">
        <f t="shared" ca="1" si="281"/>
        <v>0</v>
      </c>
      <c r="S2065" s="1447">
        <f t="shared" ca="1" si="282"/>
        <v>0</v>
      </c>
      <c r="W2065" s="611" t="str">
        <f t="shared" ca="1" si="283"/>
        <v>Page5_PARCS_GOUV, Ligne 20 [Page5_PARCS_GOUV!K23]  -</v>
      </c>
    </row>
    <row r="2066" spans="1:23">
      <c r="A2066" s="1443" t="str">
        <f>celladdr(Page5_PARCS_GOUV!K24)</f>
        <v>Page5_PARCS_GOUV!K24</v>
      </c>
      <c r="B2066" s="1456" t="s">
        <v>1086</v>
      </c>
      <c r="C2066" s="1445" t="b">
        <f>Page5_PARCS_GOUV!$K24&lt;0</f>
        <v>0</v>
      </c>
      <c r="D2066" s="1454" t="b">
        <f>OR(AND(Page5_PARCS_GOUV!$K24&gt;0,Page5_PARCS_GOUV!$M24=0),AND(Page5_PARCS_GOUV!$M24&lt;&gt;0,Page5_PARCS_GOUV!$K24=0))</f>
        <v>0</v>
      </c>
      <c r="F2066" s="1454"/>
      <c r="G2066" s="1444" t="str">
        <f t="shared" si="278"/>
        <v/>
      </c>
      <c r="H2066" s="1446" t="str">
        <f>IF(C2066=TRUE,Comments!$B$26,"")</f>
        <v/>
      </c>
      <c r="I2066" s="1452" t="str">
        <f>IF(D2066=TRUE,Comments!$B$21,"")</f>
        <v/>
      </c>
      <c r="J2066" s="1452"/>
      <c r="K2066" s="1452"/>
      <c r="N2066" s="611" t="str">
        <f>"CPTE # "&amp;Page5_PARCS_GOUV!E24&amp;" "&amp;Page5_PARCS_GOUV!C24&amp;" - UNITÉS - AAD"</f>
        <v>CPTE # 423L CHEVROLET / GMC GRAND VUS MCI - UNITÉS - AAD</v>
      </c>
      <c r="O2066" s="611" t="str">
        <f t="shared" si="277"/>
        <v/>
      </c>
      <c r="P2066" s="611" t="str">
        <f t="shared" si="279"/>
        <v>Page5_PARCS_GOUV!K</v>
      </c>
      <c r="Q2066" s="611">
        <f t="shared" si="280"/>
        <v>24</v>
      </c>
      <c r="R2066" s="1447">
        <f t="shared" ca="1" si="281"/>
        <v>0</v>
      </c>
      <c r="S2066" s="1447">
        <f t="shared" ca="1" si="282"/>
        <v>0</v>
      </c>
      <c r="W2066" s="611" t="str">
        <f t="shared" ca="1" si="283"/>
        <v>Page5_PARCS_GOUV, Ligne 21 [Page5_PARCS_GOUV!K24]  -</v>
      </c>
    </row>
    <row r="2067" spans="1:23">
      <c r="A2067" s="1443" t="str">
        <f>celladdr(Page5_PARCS_GOUV!K25)</f>
        <v>Page5_PARCS_GOUV!K25</v>
      </c>
      <c r="B2067" s="1456" t="s">
        <v>1086</v>
      </c>
      <c r="C2067" s="1445" t="b">
        <f>Page5_PARCS_GOUV!$K25&lt;0</f>
        <v>0</v>
      </c>
      <c r="D2067" s="1454" t="b">
        <f>OR(AND(Page5_PARCS_GOUV!$K25&gt;0,Page5_PARCS_GOUV!$M25=0),AND(Page5_PARCS_GOUV!$M25&lt;&gt;0,Page5_PARCS_GOUV!$K25=0))</f>
        <v>0</v>
      </c>
      <c r="F2067" s="1454"/>
      <c r="G2067" s="1444" t="str">
        <f t="shared" si="278"/>
        <v/>
      </c>
      <c r="H2067" s="1446" t="str">
        <f>IF(C2067=TRUE,Comments!$B$26,"")</f>
        <v/>
      </c>
      <c r="I2067" s="1452" t="str">
        <f>IF(D2067=TRUE,Comments!$B$21,"")</f>
        <v/>
      </c>
      <c r="J2067" s="1452"/>
      <c r="K2067" s="1452"/>
      <c r="N2067" s="611" t="str">
        <f>"CPTE # "&amp;Page5_PARCS_GOUV!E25&amp;" "&amp;Page5_PARCS_GOUV!C25&amp;" - UNITÉS - AAD"</f>
        <v>CPTE # 424L SILVERADO/SIERRA POIDS LOURD MCI (2500/3500) - UNITÉS - AAD</v>
      </c>
      <c r="O2067" s="611" t="str">
        <f t="shared" si="277"/>
        <v/>
      </c>
      <c r="P2067" s="611" t="str">
        <f t="shared" si="279"/>
        <v>Page5_PARCS_GOUV!K</v>
      </c>
      <c r="Q2067" s="611">
        <f t="shared" si="280"/>
        <v>25</v>
      </c>
      <c r="R2067" s="1447">
        <f t="shared" ca="1" si="281"/>
        <v>0</v>
      </c>
      <c r="S2067" s="1447">
        <f t="shared" ca="1" si="282"/>
        <v>0</v>
      </c>
      <c r="W2067" s="611" t="str">
        <f t="shared" ca="1" si="283"/>
        <v>Page5_PARCS_GOUV, Ligne 22 [Page5_PARCS_GOUV!K25]  -</v>
      </c>
    </row>
    <row r="2068" spans="1:23">
      <c r="A2068" s="1443" t="str">
        <f>celladdr(Page5_PARCS_GOUV!K26)</f>
        <v>Page5_PARCS_GOUV!K26</v>
      </c>
      <c r="B2068" s="1456" t="s">
        <v>1086</v>
      </c>
      <c r="C2068" s="1445" t="b">
        <f>Page5_PARCS_GOUV!$K26&lt;0</f>
        <v>0</v>
      </c>
      <c r="D2068" s="1454" t="b">
        <f>OR(AND(Page5_PARCS_GOUV!$K26&gt;0,Page5_PARCS_GOUV!$M26=0),AND(Page5_PARCS_GOUV!$M26&lt;&gt;0,Page5_PARCS_GOUV!$K26=0))</f>
        <v>0</v>
      </c>
      <c r="F2068" s="1454"/>
      <c r="G2068" s="1444" t="str">
        <f t="shared" si="278"/>
        <v/>
      </c>
      <c r="H2068" s="1446" t="str">
        <f>IF(C2068=TRUE,Comments!$B$26,"")</f>
        <v/>
      </c>
      <c r="I2068" s="1452" t="str">
        <f>IF(D2068=TRUE,Comments!$B$21,"")</f>
        <v/>
      </c>
      <c r="J2068" s="1452"/>
      <c r="K2068" s="1452"/>
      <c r="N2068" s="611" t="str">
        <f>"CPTE # "&amp;Page5_PARCS_GOUV!E26&amp;" "&amp;Page5_PARCS_GOUV!C26&amp;" - UNITÉS - AAD"</f>
        <v>CPTE # 425L NE PAS UTILISER - UNITÉS - AAD</v>
      </c>
      <c r="O2068" s="611" t="str">
        <f t="shared" si="277"/>
        <v/>
      </c>
      <c r="P2068" s="611" t="str">
        <f t="shared" si="279"/>
        <v>Page5_PARCS_GOUV!K</v>
      </c>
      <c r="Q2068" s="611">
        <f t="shared" si="280"/>
        <v>26</v>
      </c>
      <c r="R2068" s="1447">
        <f t="shared" ca="1" si="281"/>
        <v>0</v>
      </c>
      <c r="S2068" s="1447">
        <f t="shared" ca="1" si="282"/>
        <v>0</v>
      </c>
      <c r="W2068" s="611" t="str">
        <f t="shared" ca="1" si="283"/>
        <v>Page5_PARCS_GOUV, Ligne 23 [Page5_PARCS_GOUV!K26]  -</v>
      </c>
    </row>
    <row r="2069" spans="1:23">
      <c r="A2069" s="1443" t="str">
        <f>celladdr(Page5_PARCS_GOUV!K27)</f>
        <v>Page5_PARCS_GOUV!K27</v>
      </c>
      <c r="B2069" s="1456" t="s">
        <v>1086</v>
      </c>
      <c r="C2069" s="1445" t="b">
        <f>Page5_PARCS_GOUV!$K27&lt;0</f>
        <v>0</v>
      </c>
      <c r="D2069" s="1454" t="b">
        <f>OR(AND(Page5_PARCS_GOUV!$K27&gt;0,Page5_PARCS_GOUV!$M27=0),AND(Page5_PARCS_GOUV!$M27&lt;&gt;0,Page5_PARCS_GOUV!$K27=0))</f>
        <v>0</v>
      </c>
      <c r="F2069" s="1454"/>
      <c r="G2069" s="1444" t="str">
        <f t="shared" si="278"/>
        <v/>
      </c>
      <c r="H2069" s="1446" t="str">
        <f>IF(C2069=TRUE,Comments!$B$26,"")</f>
        <v/>
      </c>
      <c r="I2069" s="1452" t="str">
        <f>IF(D2069=TRUE,Comments!$B$21,"")</f>
        <v/>
      </c>
      <c r="J2069" s="1452"/>
      <c r="K2069" s="1452"/>
      <c r="N2069" s="611" t="str">
        <f>"CPTE # "&amp;Page5_PARCS_GOUV!E27&amp;" "&amp;Page5_PARCS_GOUV!C27&amp;" - UNITÉS - AAD"</f>
        <v>CPTE # 426L SILVERADO/SIERRA POIDS LÉGER MCI (1500) - UNITÉS - AAD</v>
      </c>
      <c r="O2069" s="611" t="str">
        <f t="shared" si="277"/>
        <v/>
      </c>
      <c r="P2069" s="611" t="str">
        <f t="shared" si="279"/>
        <v>Page5_PARCS_GOUV!K</v>
      </c>
      <c r="Q2069" s="611">
        <f t="shared" si="280"/>
        <v>27</v>
      </c>
      <c r="R2069" s="1447">
        <f t="shared" ca="1" si="281"/>
        <v>0</v>
      </c>
      <c r="S2069" s="1447">
        <f t="shared" ca="1" si="282"/>
        <v>0</v>
      </c>
      <c r="W2069" s="611" t="str">
        <f t="shared" ca="1" si="283"/>
        <v>Page5_PARCS_GOUV, Ligne 24 [Page5_PARCS_GOUV!K27]  -</v>
      </c>
    </row>
    <row r="2070" spans="1:23">
      <c r="A2070" s="1443" t="str">
        <f>celladdr(Page5_PARCS_GOUV!K28)</f>
        <v>Page5_PARCS_GOUV!K28</v>
      </c>
      <c r="B2070" s="1456" t="s">
        <v>1086</v>
      </c>
      <c r="C2070" s="1445" t="b">
        <f>Page5_PARCS_GOUV!$K28&lt;0</f>
        <v>0</v>
      </c>
      <c r="D2070" s="1454" t="b">
        <f>OR(AND(Page5_PARCS_GOUV!$K28&gt;0,Page5_PARCS_GOUV!$M28=0),AND(Page5_PARCS_GOUV!$M28&lt;&gt;0,Page5_PARCS_GOUV!$K28=0))</f>
        <v>0</v>
      </c>
      <c r="F2070" s="1454"/>
      <c r="G2070" s="1444" t="str">
        <f t="shared" si="278"/>
        <v/>
      </c>
      <c r="H2070" s="1446" t="str">
        <f>IF(C2070=TRUE,Comments!$B$26,"")</f>
        <v/>
      </c>
      <c r="I2070" s="1452" t="str">
        <f>IF(D2070=TRUE,Comments!$B$21,"")</f>
        <v/>
      </c>
      <c r="J2070" s="1452"/>
      <c r="K2070" s="1452"/>
      <c r="N2070" s="611" t="str">
        <f>"CPTE # "&amp;Page5_PARCS_GOUV!E28&amp;" "&amp;Page5_PARCS_GOUV!C28&amp;" - UNITÉS - AAD"</f>
        <v>CPTE # 427L SILVERADO/SIERRA/HUMMER POIDS LOURD VE - UNITÉS - AAD</v>
      </c>
      <c r="O2070" s="611" t="str">
        <f t="shared" si="277"/>
        <v/>
      </c>
      <c r="P2070" s="611" t="str">
        <f t="shared" si="279"/>
        <v>Page5_PARCS_GOUV!K</v>
      </c>
      <c r="Q2070" s="611">
        <f t="shared" si="280"/>
        <v>28</v>
      </c>
      <c r="R2070" s="1447">
        <f t="shared" ca="1" si="281"/>
        <v>0</v>
      </c>
      <c r="S2070" s="1447">
        <f t="shared" ca="1" si="282"/>
        <v>0</v>
      </c>
      <c r="W2070" s="611" t="str">
        <f t="shared" ca="1" si="283"/>
        <v>Page5_PARCS_GOUV, Ligne 25 [Page5_PARCS_GOUV!K28]  -</v>
      </c>
    </row>
    <row r="2071" spans="1:23">
      <c r="A2071" s="1443" t="str">
        <f>celladdr(Page5_PARCS_GOUV!K29)</f>
        <v>Page5_PARCS_GOUV!K29</v>
      </c>
      <c r="B2071" s="1456" t="s">
        <v>1086</v>
      </c>
      <c r="C2071" s="1445" t="b">
        <f>Page5_PARCS_GOUV!$K29&lt;0</f>
        <v>0</v>
      </c>
      <c r="D2071" s="1454" t="b">
        <f>OR(AND(Page5_PARCS_GOUV!$K29&gt;0,Page5_PARCS_GOUV!$M29=0),AND(Page5_PARCS_GOUV!$M29&lt;&gt;0,Page5_PARCS_GOUV!$K29=0))</f>
        <v>0</v>
      </c>
      <c r="F2071" s="1454"/>
      <c r="G2071" s="1444" t="str">
        <f t="shared" si="278"/>
        <v/>
      </c>
      <c r="H2071" s="1446" t="str">
        <f>IF(C2071=TRUE,Comments!$B$26,"")</f>
        <v/>
      </c>
      <c r="I2071" s="1452" t="str">
        <f>IF(D2071=TRUE,Comments!$B$21,"")</f>
        <v/>
      </c>
      <c r="J2071" s="1452"/>
      <c r="K2071" s="1452"/>
      <c r="N2071" s="611" t="str">
        <f>"CPTE # "&amp;Page5_PARCS_GOUV!E29&amp;" "&amp;Page5_PARCS_GOUV!C29&amp;" - UNITÉS - AAD"</f>
        <v>CPTE # 428L COLORADO/CANYON MCI - UNITÉS - AAD</v>
      </c>
      <c r="O2071" s="611" t="str">
        <f t="shared" si="277"/>
        <v/>
      </c>
      <c r="P2071" s="611" t="str">
        <f t="shared" si="279"/>
        <v>Page5_PARCS_GOUV!K</v>
      </c>
      <c r="Q2071" s="611">
        <f t="shared" si="280"/>
        <v>29</v>
      </c>
      <c r="R2071" s="1447">
        <f t="shared" ca="1" si="281"/>
        <v>0</v>
      </c>
      <c r="S2071" s="1447">
        <f t="shared" ca="1" si="282"/>
        <v>0</v>
      </c>
      <c r="W2071" s="611" t="str">
        <f t="shared" ca="1" si="283"/>
        <v>Page5_PARCS_GOUV, Ligne 26 [Page5_PARCS_GOUV!K29]  -</v>
      </c>
    </row>
    <row r="2072" spans="1:23">
      <c r="A2072" s="1443" t="str">
        <f>celladdr(Page5_PARCS_GOUV!K30)</f>
        <v>Page5_PARCS_GOUV!K30</v>
      </c>
      <c r="B2072" s="1456" t="s">
        <v>1086</v>
      </c>
      <c r="C2072" s="1445" t="b">
        <f>Page5_PARCS_GOUV!$K30&lt;0</f>
        <v>0</v>
      </c>
      <c r="D2072" s="1454" t="b">
        <f>OR(AND(Page5_PARCS_GOUV!$K30&gt;0,Page5_PARCS_GOUV!$M30=0),AND(Page5_PARCS_GOUV!$M30&lt;&gt;0,Page5_PARCS_GOUV!$K30=0))</f>
        <v>0</v>
      </c>
      <c r="F2072" s="1454"/>
      <c r="G2072" s="1444" t="str">
        <f t="shared" si="278"/>
        <v/>
      </c>
      <c r="H2072" s="1446" t="str">
        <f>IF(C2072=TRUE,Comments!$B$26,"")</f>
        <v/>
      </c>
      <c r="I2072" s="1452" t="str">
        <f>IF(D2072=TRUE,Comments!$B$21,"")</f>
        <v/>
      </c>
      <c r="J2072" s="1452"/>
      <c r="K2072" s="1452"/>
      <c r="N2072" s="611" t="str">
        <f>"CPTE # "&amp;Page5_PARCS_GOUV!E30&amp;" "&amp;Page5_PARCS_GOUV!C30&amp;" - UNITÉS - AAD"</f>
        <v>CPTE # 429L NE PAS UTILISER - UNITÉS - AAD</v>
      </c>
      <c r="O2072" s="611" t="str">
        <f t="shared" si="277"/>
        <v/>
      </c>
      <c r="P2072" s="611" t="str">
        <f t="shared" si="279"/>
        <v>Page5_PARCS_GOUV!K</v>
      </c>
      <c r="Q2072" s="611">
        <f t="shared" si="280"/>
        <v>30</v>
      </c>
      <c r="R2072" s="1447">
        <f t="shared" ca="1" si="281"/>
        <v>0</v>
      </c>
      <c r="S2072" s="1447">
        <f t="shared" ca="1" si="282"/>
        <v>0</v>
      </c>
      <c r="W2072" s="611" t="str">
        <f t="shared" ca="1" si="283"/>
        <v>Page5_PARCS_GOUV, Ligne 27 [Page5_PARCS_GOUV!K30]  -</v>
      </c>
    </row>
    <row r="2073" spans="1:23">
      <c r="A2073" s="1443" t="str">
        <f>celladdr(Page5_PARCS_GOUV!K31)</f>
        <v>Page5_PARCS_GOUV!K31</v>
      </c>
      <c r="B2073" s="1456" t="s">
        <v>1086</v>
      </c>
      <c r="C2073" s="1445" t="b">
        <f>Page5_PARCS_GOUV!$K31&lt;0</f>
        <v>0</v>
      </c>
      <c r="D2073" s="1454" t="b">
        <f>OR(AND(Page5_PARCS_GOUV!$K31&gt;0,Page5_PARCS_GOUV!$M31=0),AND(Page5_PARCS_GOUV!$M31&lt;&gt;0,Page5_PARCS_GOUV!$K31=0))</f>
        <v>0</v>
      </c>
      <c r="F2073" s="1454"/>
      <c r="G2073" s="1444" t="str">
        <f t="shared" si="278"/>
        <v/>
      </c>
      <c r="H2073" s="1446" t="str">
        <f>IF(C2073=TRUE,Comments!$B$26,"")</f>
        <v/>
      </c>
      <c r="I2073" s="1452" t="str">
        <f>IF(D2073=TRUE,Comments!$B$21,"")</f>
        <v/>
      </c>
      <c r="J2073" s="1452"/>
      <c r="K2073" s="1452"/>
      <c r="N2073" s="611" t="str">
        <f>"CPTE # "&amp;Page5_PARCS_GOUV!E31&amp;" "&amp;Page5_PARCS_GOUV!C31&amp;" - UNITÉS - AAD"</f>
        <v>CPTE # 430L SILVERADO CHASSIS (4500+) - UNITÉS - AAD</v>
      </c>
      <c r="O2073" s="611" t="str">
        <f t="shared" si="277"/>
        <v/>
      </c>
      <c r="P2073" s="611" t="str">
        <f t="shared" si="279"/>
        <v>Page5_PARCS_GOUV!K</v>
      </c>
      <c r="Q2073" s="611">
        <f t="shared" si="280"/>
        <v>31</v>
      </c>
      <c r="R2073" s="1447">
        <f t="shared" ca="1" si="281"/>
        <v>0</v>
      </c>
      <c r="S2073" s="1447">
        <f t="shared" ca="1" si="282"/>
        <v>0</v>
      </c>
      <c r="W2073" s="611" t="str">
        <f t="shared" ca="1" si="283"/>
        <v>Page5_PARCS_GOUV, Ligne 28 [Page5_PARCS_GOUV!K31]  -</v>
      </c>
    </row>
    <row r="2074" spans="1:23">
      <c r="A2074" s="1443" t="str">
        <f>celladdr(Page5_PARCS_GOUV!K32)</f>
        <v>Page5_PARCS_GOUV!K32</v>
      </c>
      <c r="B2074" s="1456" t="s">
        <v>1086</v>
      </c>
      <c r="C2074" s="1445" t="b">
        <f>Page5_PARCS_GOUV!$K32&lt;0</f>
        <v>0</v>
      </c>
      <c r="D2074" s="1454" t="b">
        <f>OR(AND(Page5_PARCS_GOUV!$K32&gt;0,Page5_PARCS_GOUV!$M32=0),AND(Page5_PARCS_GOUV!$M32&lt;&gt;0,Page5_PARCS_GOUV!$K32=0))</f>
        <v>0</v>
      </c>
      <c r="F2074" s="1454"/>
      <c r="G2074" s="1444" t="str">
        <f t="shared" si="278"/>
        <v/>
      </c>
      <c r="H2074" s="1446" t="str">
        <f>IF(C2074=TRUE,Comments!$B$26,"")</f>
        <v/>
      </c>
      <c r="I2074" s="1452" t="str">
        <f>IF(D2074=TRUE,Comments!$B$21,"")</f>
        <v/>
      </c>
      <c r="J2074" s="1452"/>
      <c r="K2074" s="1452"/>
      <c r="N2074" s="611" t="str">
        <f>"CPTE # "&amp;Page5_PARCS_GOUV!E32&amp;" "&amp;Page5_PARCS_GOUV!C32&amp;" - UNITÉS - AAD"</f>
        <v>CPTE # 431L CHEVROLET/GMC LCF/CONV - UNITÉS - AAD</v>
      </c>
      <c r="O2074" s="611" t="str">
        <f t="shared" si="277"/>
        <v/>
      </c>
      <c r="P2074" s="611" t="str">
        <f t="shared" si="279"/>
        <v>Page5_PARCS_GOUV!K</v>
      </c>
      <c r="Q2074" s="611">
        <f t="shared" si="280"/>
        <v>32</v>
      </c>
      <c r="R2074" s="1447">
        <f t="shared" ca="1" si="281"/>
        <v>0</v>
      </c>
      <c r="S2074" s="1447">
        <f t="shared" ca="1" si="282"/>
        <v>0</v>
      </c>
      <c r="W2074" s="611" t="str">
        <f t="shared" ca="1" si="283"/>
        <v>Page5_PARCS_GOUV, Ligne 29 [Page5_PARCS_GOUV!K32]  -</v>
      </c>
    </row>
    <row r="2075" spans="1:23">
      <c r="A2075" s="1443" t="str">
        <f>celladdr(Page5_PARCS_GOUV!K33)</f>
        <v>Page5_PARCS_GOUV!K33</v>
      </c>
      <c r="B2075" s="1456" t="s">
        <v>1086</v>
      </c>
      <c r="C2075" s="1445" t="b">
        <f>Page5_PARCS_GOUV!$K33&lt;0</f>
        <v>0</v>
      </c>
      <c r="D2075" s="1454" t="b">
        <f>OR(AND(Page5_PARCS_GOUV!$K33&gt;0,Page5_PARCS_GOUV!$M33=0),AND(Page5_PARCS_GOUV!$M33&lt;&gt;0,Page5_PARCS_GOUV!$K33=0))</f>
        <v>0</v>
      </c>
      <c r="F2075" s="1454"/>
      <c r="G2075" s="1444" t="str">
        <f t="shared" si="278"/>
        <v/>
      </c>
      <c r="H2075" s="1446" t="str">
        <f>IF(C2075=TRUE,Comments!$B$26,"")</f>
        <v/>
      </c>
      <c r="I2075" s="1452" t="str">
        <f>IF(D2075=TRUE,Comments!$B$21,"")</f>
        <v/>
      </c>
      <c r="J2075" s="1452"/>
      <c r="K2075" s="1452"/>
      <c r="N2075" s="611" t="str">
        <f>"CPTE # "&amp;Page5_PARCS_GOUV!E33&amp;" "&amp;Page5_PARCS_GOUV!C33&amp;" - UNITÉS - AAD"</f>
        <v>CPTE # 432L EXPRESS/SAVANA MCI - UNITÉS - AAD</v>
      </c>
      <c r="O2075" s="611" t="str">
        <f t="shared" si="277"/>
        <v/>
      </c>
      <c r="P2075" s="611" t="str">
        <f t="shared" si="279"/>
        <v>Page5_PARCS_GOUV!K</v>
      </c>
      <c r="Q2075" s="611">
        <f t="shared" si="280"/>
        <v>33</v>
      </c>
      <c r="R2075" s="1447">
        <f t="shared" ca="1" si="281"/>
        <v>0</v>
      </c>
      <c r="S2075" s="1447">
        <f t="shared" ca="1" si="282"/>
        <v>0</v>
      </c>
      <c r="W2075" s="611" t="str">
        <f t="shared" ca="1" si="283"/>
        <v>Page5_PARCS_GOUV, Ligne 30 [Page5_PARCS_GOUV!K33]  -</v>
      </c>
    </row>
    <row r="2076" spans="1:23">
      <c r="A2076" s="1443" t="str">
        <f>celladdr(Page5_PARCS_GOUV!K34)</f>
        <v>Page5_PARCS_GOUV!K34</v>
      </c>
      <c r="B2076" s="1456" t="s">
        <v>1086</v>
      </c>
      <c r="C2076" s="1445" t="b">
        <f>Page5_PARCS_GOUV!$K34&lt;0</f>
        <v>0</v>
      </c>
      <c r="D2076" s="1454" t="b">
        <f>OR(AND(Page5_PARCS_GOUV!$K34&gt;0,Page5_PARCS_GOUV!$M34=0),AND(Page5_PARCS_GOUV!$M34&lt;&gt;0,Page5_PARCS_GOUV!$K34=0))</f>
        <v>0</v>
      </c>
      <c r="F2076" s="1454"/>
      <c r="G2076" s="1444" t="str">
        <f t="shared" si="278"/>
        <v/>
      </c>
      <c r="H2076" s="1446" t="str">
        <f>IF(C2076=TRUE,Comments!$B$26,"")</f>
        <v/>
      </c>
      <c r="I2076" s="1452" t="str">
        <f>IF(D2076=TRUE,Comments!$B$21,"")</f>
        <v/>
      </c>
      <c r="J2076" s="1452"/>
      <c r="K2076" s="1452"/>
      <c r="N2076" s="611" t="str">
        <f>"CPTE # "&amp;Page5_PARCS_GOUV!E34&amp;" "&amp;Page5_PARCS_GOUV!C34&amp;" - UNITÉS - AAD"</f>
        <v>CPTE # 433L BRIGHTDROP - UNITÉS - AAD</v>
      </c>
      <c r="O2076" s="611" t="str">
        <f t="shared" si="277"/>
        <v/>
      </c>
      <c r="P2076" s="611" t="str">
        <f t="shared" si="279"/>
        <v>Page5_PARCS_GOUV!K</v>
      </c>
      <c r="Q2076" s="611">
        <f t="shared" si="280"/>
        <v>34</v>
      </c>
      <c r="R2076" s="1447">
        <f t="shared" ca="1" si="281"/>
        <v>0</v>
      </c>
      <c r="S2076" s="1447">
        <f t="shared" ca="1" si="282"/>
        <v>0</v>
      </c>
      <c r="W2076" s="611" t="str">
        <f t="shared" ca="1" si="283"/>
        <v>Page5_PARCS_GOUV, Ligne 31 [Page5_PARCS_GOUV!K34]  -</v>
      </c>
    </row>
    <row r="2077" spans="1:23">
      <c r="A2077" s="1443" t="str">
        <f>celladdr(Page5_PARCS_GOUV!K35)</f>
        <v>Page5_PARCS_GOUV!K35</v>
      </c>
      <c r="B2077" s="1456" t="s">
        <v>1086</v>
      </c>
      <c r="C2077" s="1445" t="b">
        <f>Page5_PARCS_GOUV!$K35&lt;0</f>
        <v>0</v>
      </c>
      <c r="D2077" s="1454" t="b">
        <f>OR(AND(Page5_PARCS_GOUV!$K35&gt;0,Page5_PARCS_GOUV!$M35=0),AND(Page5_PARCS_GOUV!$M35&lt;&gt;0,Page5_PARCS_GOUV!$K35=0))</f>
        <v>0</v>
      </c>
      <c r="F2077" s="1454"/>
      <c r="G2077" s="1444" t="str">
        <f t="shared" si="278"/>
        <v/>
      </c>
      <c r="H2077" s="1446" t="str">
        <f>IF(C2077=TRUE,Comments!$B$26,"")</f>
        <v/>
      </c>
      <c r="I2077" s="1452" t="str">
        <f>IF(D2077=TRUE,Comments!$B$21,"")</f>
        <v/>
      </c>
      <c r="J2077" s="1452"/>
      <c r="K2077" s="1452"/>
      <c r="N2077" s="611" t="str">
        <f>"CPTE # "&amp;Page5_PARCS_GOUV!E35&amp;" "&amp;Page5_PARCS_GOUV!C35&amp;" - UNITÉS - AAD"</f>
        <v>CPTE # 434L NE PAS UTILISER - UNITÉS - AAD</v>
      </c>
      <c r="O2077" s="611" t="str">
        <f t="shared" si="277"/>
        <v/>
      </c>
      <c r="P2077" s="611" t="str">
        <f t="shared" si="279"/>
        <v>Page5_PARCS_GOUV!K</v>
      </c>
      <c r="Q2077" s="611">
        <f t="shared" si="280"/>
        <v>35</v>
      </c>
      <c r="R2077" s="1447">
        <f t="shared" ca="1" si="281"/>
        <v>0</v>
      </c>
      <c r="S2077" s="1447">
        <f t="shared" ca="1" si="282"/>
        <v>0</v>
      </c>
      <c r="W2077" s="611" t="str">
        <f t="shared" ca="1" si="283"/>
        <v>Page5_PARCS_GOUV, Ligne 32 [Page5_PARCS_GOUV!K35]  -</v>
      </c>
    </row>
    <row r="2078" spans="1:23">
      <c r="A2078" s="1443" t="str">
        <f>celladdr(Page5_PARCS_GOUV!L4)</f>
        <v>Page5_PARCS_GOUV!L4</v>
      </c>
      <c r="B2078" s="1456" t="s">
        <v>1086</v>
      </c>
      <c r="C2078" s="1445" t="b">
        <f>Page5_PARCS_GOUV!$L4&lt;0</f>
        <v>0</v>
      </c>
      <c r="D2078" s="1454" t="b">
        <f>OR(AND(Page5_PARCS_GOUV!$L4&lt;&gt;0,Page5_PARCS_GOUV!$M4=0),AND(Page5_PARCS_GOUV!$M4&lt;&gt;0,Page5_PARCS_GOUV!$L4=0))</f>
        <v>0</v>
      </c>
      <c r="F2078" s="1454"/>
      <c r="G2078" s="1444" t="str">
        <f t="shared" si="278"/>
        <v/>
      </c>
      <c r="H2078" s="1446" t="str">
        <f>IF(C2078=TRUE,Comments!$B$23,"")</f>
        <v/>
      </c>
      <c r="I2078" s="1452" t="str">
        <f>IF(D2078=TRUE,Comments!$B$24,"")</f>
        <v/>
      </c>
      <c r="J2078" s="1452"/>
      <c r="K2078" s="1452"/>
      <c r="N2078" s="611" t="str">
        <f>"CPTE # "&amp;Page5_PARCS_GOUV!E4&amp;" "&amp;Page5_PARCS_GOUV!C4&amp;"  - CHIFFRE D'AFFAIRES RÉALISÉ - AAD"</f>
        <v>CPTE # 400L CHEVROLET VOITURES MCI  - CHIFFRE D'AFFAIRES RÉALISÉ - AAD</v>
      </c>
      <c r="O2078" s="611" t="str">
        <f t="shared" si="277"/>
        <v/>
      </c>
      <c r="P2078" s="611" t="str">
        <f t="shared" si="279"/>
        <v>Page5_PARCS_GOUV!L</v>
      </c>
      <c r="Q2078" s="611">
        <f t="shared" si="280"/>
        <v>4</v>
      </c>
      <c r="R2078" s="1447">
        <f t="shared" ca="1" si="281"/>
        <v>0</v>
      </c>
      <c r="S2078" s="1447">
        <f t="shared" ca="1" si="282"/>
        <v>0</v>
      </c>
      <c r="W2078" s="611" t="str">
        <f t="shared" ca="1" si="283"/>
        <v>Page5_PARCS_GOUV, Ligne 1 [Page5_PARCS_GOUV!L4]  -</v>
      </c>
    </row>
    <row r="2079" spans="1:23">
      <c r="A2079" s="1443" t="str">
        <f>celladdr(Page5_PARCS_GOUV!L5)</f>
        <v>Page5_PARCS_GOUV!L5</v>
      </c>
      <c r="B2079" s="1456" t="s">
        <v>1086</v>
      </c>
      <c r="C2079" s="1445" t="b">
        <f>Page5_PARCS_GOUV!$L5&lt;0</f>
        <v>0</v>
      </c>
      <c r="D2079" s="1454" t="b">
        <f>OR(AND(Page5_PARCS_GOUV!$L5&lt;&gt;0,Page5_PARCS_GOUV!$M5=0),AND(Page5_PARCS_GOUV!$M5&lt;&gt;0,Page5_PARCS_GOUV!$L5=0))</f>
        <v>0</v>
      </c>
      <c r="F2079" s="1454"/>
      <c r="G2079" s="1444" t="str">
        <f t="shared" si="278"/>
        <v/>
      </c>
      <c r="H2079" s="1446" t="str">
        <f>IF(C2079=TRUE,Comments!$B$23,"")</f>
        <v/>
      </c>
      <c r="I2079" s="1452" t="str">
        <f>IF(D2079=TRUE,Comments!$B$24,"")</f>
        <v/>
      </c>
      <c r="J2079" s="1452"/>
      <c r="K2079" s="1452"/>
      <c r="N2079" s="611" t="str">
        <f>"CPTE # "&amp;Page5_PARCS_GOUV!E5&amp;" "&amp;Page5_PARCS_GOUV!C5&amp;"  - CHIFFRE D'AFFAIRES RÉALISÉ - AAD"</f>
        <v>CPTE # 401L CHEVROLET VOITURES VE  - CHIFFRE D'AFFAIRES RÉALISÉ - AAD</v>
      </c>
      <c r="O2079" s="611" t="str">
        <f t="shared" si="277"/>
        <v/>
      </c>
      <c r="P2079" s="611" t="str">
        <f t="shared" si="279"/>
        <v>Page5_PARCS_GOUV!L</v>
      </c>
      <c r="Q2079" s="611">
        <f t="shared" si="280"/>
        <v>5</v>
      </c>
      <c r="R2079" s="1447">
        <f t="shared" ca="1" si="281"/>
        <v>0</v>
      </c>
      <c r="S2079" s="1447">
        <f t="shared" ca="1" si="282"/>
        <v>0</v>
      </c>
      <c r="W2079" s="611" t="str">
        <f t="shared" ca="1" si="283"/>
        <v>Page5_PARCS_GOUV, Ligne 2 [Page5_PARCS_GOUV!L5]  -</v>
      </c>
    </row>
    <row r="2080" spans="1:23">
      <c r="A2080" s="1443" t="str">
        <f>celladdr(Page5_PARCS_GOUV!L6)</f>
        <v>Page5_PARCS_GOUV!L6</v>
      </c>
      <c r="B2080" s="1456" t="s">
        <v>1086</v>
      </c>
      <c r="C2080" s="1445" t="b">
        <f>Page5_PARCS_GOUV!$L6&lt;0</f>
        <v>0</v>
      </c>
      <c r="D2080" s="1454" t="b">
        <f>OR(AND(Page5_PARCS_GOUV!$L6&lt;&gt;0,Page5_PARCS_GOUV!$M6=0),AND(Page5_PARCS_GOUV!$M6&lt;&gt;0,Page5_PARCS_GOUV!$L6=0))</f>
        <v>0</v>
      </c>
      <c r="F2080" s="1454"/>
      <c r="G2080" s="1444" t="str">
        <f t="shared" si="278"/>
        <v/>
      </c>
      <c r="H2080" s="1446" t="str">
        <f>IF(C2080=TRUE,Comments!$B$23,"")</f>
        <v/>
      </c>
      <c r="I2080" s="1452" t="str">
        <f>IF(D2080=TRUE,Comments!$B$24,"")</f>
        <v/>
      </c>
      <c r="J2080" s="1452"/>
      <c r="K2080" s="1452"/>
      <c r="N2080" s="611" t="str">
        <f>"CPTE # "&amp;Page5_PARCS_GOUV!E6&amp;" "&amp;Page5_PARCS_GOUV!C6&amp;"  - CHIFFRE D'AFFAIRES RÉALISÉ - AAD"</f>
        <v>CPTE # 402L BUICK VOITURES MCI  - CHIFFRE D'AFFAIRES RÉALISÉ - AAD</v>
      </c>
      <c r="O2080" s="611" t="str">
        <f t="shared" si="277"/>
        <v/>
      </c>
      <c r="P2080" s="611" t="str">
        <f t="shared" si="279"/>
        <v>Page5_PARCS_GOUV!L</v>
      </c>
      <c r="Q2080" s="611">
        <f t="shared" si="280"/>
        <v>6</v>
      </c>
      <c r="R2080" s="1447">
        <f t="shared" ca="1" si="281"/>
        <v>0</v>
      </c>
      <c r="S2080" s="1447">
        <f t="shared" ca="1" si="282"/>
        <v>0</v>
      </c>
      <c r="W2080" s="611" t="str">
        <f t="shared" ca="1" si="283"/>
        <v>Page5_PARCS_GOUV, Ligne 3 [Page5_PARCS_GOUV!L6]  -</v>
      </c>
    </row>
    <row r="2081" spans="1:23">
      <c r="A2081" s="1443" t="str">
        <f>celladdr(Page5_PARCS_GOUV!L7)</f>
        <v>Page5_PARCS_GOUV!L7</v>
      </c>
      <c r="B2081" s="1456" t="s">
        <v>1086</v>
      </c>
      <c r="C2081" s="1445" t="b">
        <f>Page5_PARCS_GOUV!$L7&lt;0</f>
        <v>0</v>
      </c>
      <c r="D2081" s="1454" t="b">
        <f>OR(AND(Page5_PARCS_GOUV!$L7&lt;&gt;0,Page5_PARCS_GOUV!$M7=0),AND(Page5_PARCS_GOUV!$M7&lt;&gt;0,Page5_PARCS_GOUV!$L7=0))</f>
        <v>0</v>
      </c>
      <c r="F2081" s="1454"/>
      <c r="G2081" s="1444" t="str">
        <f t="shared" si="278"/>
        <v/>
      </c>
      <c r="H2081" s="1446" t="str">
        <f>IF(C2081=TRUE,Comments!$B$23,"")</f>
        <v/>
      </c>
      <c r="I2081" s="1452" t="str">
        <f>IF(D2081=TRUE,Comments!$B$24,"")</f>
        <v/>
      </c>
      <c r="J2081" s="1452"/>
      <c r="K2081" s="1452"/>
      <c r="N2081" s="611" t="str">
        <f>"CPTE # "&amp;Page5_PARCS_GOUV!E7&amp;" "&amp;Page5_PARCS_GOUV!C7&amp;"  - CHIFFRE D'AFFAIRES RÉALISÉ - AAD"</f>
        <v>CPTE # 403L BUICK VOITURES VE  - CHIFFRE D'AFFAIRES RÉALISÉ - AAD</v>
      </c>
      <c r="O2081" s="611" t="str">
        <f t="shared" si="277"/>
        <v/>
      </c>
      <c r="P2081" s="611" t="str">
        <f t="shared" si="279"/>
        <v>Page5_PARCS_GOUV!L</v>
      </c>
      <c r="Q2081" s="611">
        <f t="shared" si="280"/>
        <v>7</v>
      </c>
      <c r="R2081" s="1447">
        <f t="shared" ca="1" si="281"/>
        <v>0</v>
      </c>
      <c r="S2081" s="1447">
        <f t="shared" ca="1" si="282"/>
        <v>0</v>
      </c>
      <c r="W2081" s="611" t="str">
        <f t="shared" ca="1" si="283"/>
        <v>Page5_PARCS_GOUV, Ligne 4 [Page5_PARCS_GOUV!L7]  -</v>
      </c>
    </row>
    <row r="2082" spans="1:23">
      <c r="A2082" s="1443" t="str">
        <f>celladdr(Page5_PARCS_GOUV!L8)</f>
        <v>Page5_PARCS_GOUV!L8</v>
      </c>
      <c r="B2082" s="1456" t="s">
        <v>1086</v>
      </c>
      <c r="C2082" s="1445" t="b">
        <f>Page5_PARCS_GOUV!$L8&lt;0</f>
        <v>0</v>
      </c>
      <c r="D2082" s="1454" t="b">
        <f>OR(AND(Page5_PARCS_GOUV!$L8&lt;&gt;0,Page5_PARCS_GOUV!$M8=0),AND(Page5_PARCS_GOUV!$M8&lt;&gt;0,Page5_PARCS_GOUV!$L8=0))</f>
        <v>0</v>
      </c>
      <c r="F2082" s="1454"/>
      <c r="G2082" s="1444" t="str">
        <f t="shared" si="278"/>
        <v/>
      </c>
      <c r="H2082" s="1446" t="str">
        <f>IF(C2082=TRUE,Comments!$B$23,"")</f>
        <v/>
      </c>
      <c r="I2082" s="1452" t="str">
        <f>IF(D2082=TRUE,Comments!$B$24,"")</f>
        <v/>
      </c>
      <c r="J2082" s="1452"/>
      <c r="K2082" s="1452"/>
      <c r="N2082" s="611" t="str">
        <f>"CPTE # "&amp;Page5_PARCS_GOUV!E8&amp;" "&amp;Page5_PARCS_GOUV!C8&amp;"  - CHIFFRE D'AFFAIRES RÉALISÉ - AAD"</f>
        <v>CPTE # 404L CADILLAC VOITURES MCI  - CHIFFRE D'AFFAIRES RÉALISÉ - AAD</v>
      </c>
      <c r="O2082" s="611" t="str">
        <f t="shared" si="277"/>
        <v/>
      </c>
      <c r="P2082" s="611" t="str">
        <f t="shared" si="279"/>
        <v>Page5_PARCS_GOUV!L</v>
      </c>
      <c r="Q2082" s="611">
        <f t="shared" si="280"/>
        <v>8</v>
      </c>
      <c r="R2082" s="1447">
        <f t="shared" ca="1" si="281"/>
        <v>0</v>
      </c>
      <c r="S2082" s="1447">
        <f t="shared" ca="1" si="282"/>
        <v>0</v>
      </c>
      <c r="W2082" s="611" t="str">
        <f t="shared" ca="1" si="283"/>
        <v>Page5_PARCS_GOUV, Ligne 5 [Page5_PARCS_GOUV!L8]  -</v>
      </c>
    </row>
    <row r="2083" spans="1:23">
      <c r="A2083" s="1443" t="str">
        <f>celladdr(Page5_PARCS_GOUV!L9)</f>
        <v>Page5_PARCS_GOUV!L9</v>
      </c>
      <c r="B2083" s="1456" t="s">
        <v>1086</v>
      </c>
      <c r="C2083" s="1445" t="b">
        <f>Page5_PARCS_GOUV!$L9&lt;0</f>
        <v>0</v>
      </c>
      <c r="D2083" s="1454" t="b">
        <f>OR(AND(Page5_PARCS_GOUV!$L9&lt;&gt;0,Page5_PARCS_GOUV!$M9=0),AND(Page5_PARCS_GOUV!$M9&lt;&gt;0,Page5_PARCS_GOUV!$L9=0))</f>
        <v>0</v>
      </c>
      <c r="F2083" s="1454"/>
      <c r="G2083" s="1444" t="str">
        <f t="shared" si="278"/>
        <v/>
      </c>
      <c r="H2083" s="1446" t="str">
        <f>IF(C2083=TRUE,Comments!$B$23,"")</f>
        <v/>
      </c>
      <c r="I2083" s="1452" t="str">
        <f>IF(D2083=TRUE,Comments!$B$24,"")</f>
        <v/>
      </c>
      <c r="J2083" s="1452"/>
      <c r="K2083" s="1452"/>
      <c r="N2083" s="611" t="str">
        <f>"CPTE # "&amp;Page5_PARCS_GOUV!E9&amp;" "&amp;Page5_PARCS_GOUV!C9&amp;"  - CHIFFRE D'AFFAIRES RÉALISÉ - AAD"</f>
        <v>CPTE # 405L CADILLAC VOITURES VE  - CHIFFRE D'AFFAIRES RÉALISÉ - AAD</v>
      </c>
      <c r="O2083" s="611" t="str">
        <f t="shared" si="277"/>
        <v/>
      </c>
      <c r="P2083" s="611" t="str">
        <f t="shared" si="279"/>
        <v>Page5_PARCS_GOUV!L</v>
      </c>
      <c r="Q2083" s="611">
        <f t="shared" si="280"/>
        <v>9</v>
      </c>
      <c r="R2083" s="1447">
        <f t="shared" ca="1" si="281"/>
        <v>0</v>
      </c>
      <c r="S2083" s="1447">
        <f t="shared" ca="1" si="282"/>
        <v>0</v>
      </c>
      <c r="W2083" s="611" t="str">
        <f t="shared" ca="1" si="283"/>
        <v>Page5_PARCS_GOUV, Ligne 6 [Page5_PARCS_GOUV!L9]  -</v>
      </c>
    </row>
    <row r="2084" spans="1:23">
      <c r="A2084" s="1443" t="str">
        <f>celladdr(Page5_PARCS_GOUV!L10)</f>
        <v>Page5_PARCS_GOUV!L10</v>
      </c>
      <c r="B2084" s="1456" t="s">
        <v>1086</v>
      </c>
      <c r="C2084" s="1445" t="b">
        <f>Page5_PARCS_GOUV!$L10&lt;0</f>
        <v>0</v>
      </c>
      <c r="D2084" s="1454" t="b">
        <f>OR(AND(Page5_PARCS_GOUV!$L10&lt;&gt;0,Page5_PARCS_GOUV!$M10=0),AND(Page5_PARCS_GOUV!$M10&lt;&gt;0,Page5_PARCS_GOUV!$L10=0))</f>
        <v>0</v>
      </c>
      <c r="F2084" s="1454"/>
      <c r="G2084" s="1444" t="str">
        <f t="shared" si="278"/>
        <v/>
      </c>
      <c r="H2084" s="1446" t="str">
        <f>IF(C2084=TRUE,Comments!$B$23,"")</f>
        <v/>
      </c>
      <c r="I2084" s="1452" t="str">
        <f>IF(D2084=TRUE,Comments!$B$24,"")</f>
        <v/>
      </c>
      <c r="J2084" s="1452"/>
      <c r="K2084" s="1452"/>
      <c r="N2084" s="611" t="str">
        <f>"CPTE # "&amp;Page5_PARCS_GOUV!E10&amp;" "&amp;Page5_PARCS_GOUV!C10&amp;"  - CHIFFRE D'AFFAIRES RÉALISÉ - AAD"</f>
        <v>CPTE # 406L NE PAS UTILISER  - CHIFFRE D'AFFAIRES RÉALISÉ - AAD</v>
      </c>
      <c r="O2084" s="611" t="str">
        <f t="shared" si="277"/>
        <v/>
      </c>
      <c r="P2084" s="611" t="str">
        <f t="shared" si="279"/>
        <v>Page5_PARCS_GOUV!L</v>
      </c>
      <c r="Q2084" s="611">
        <f t="shared" si="280"/>
        <v>10</v>
      </c>
      <c r="R2084" s="1447">
        <f t="shared" ca="1" si="281"/>
        <v>0</v>
      </c>
      <c r="S2084" s="1447">
        <f t="shared" ca="1" si="282"/>
        <v>0</v>
      </c>
      <c r="W2084" s="611" t="str">
        <f t="shared" ca="1" si="283"/>
        <v>Page5_PARCS_GOUV, Ligne 7 [Page5_PARCS_GOUV!L10]  -</v>
      </c>
    </row>
    <row r="2085" spans="1:23">
      <c r="A2085" s="1443" t="str">
        <f>celladdr(Page5_PARCS_GOUV!L11)</f>
        <v>Page5_PARCS_GOUV!L11</v>
      </c>
      <c r="B2085" s="1456" t="s">
        <v>1086</v>
      </c>
      <c r="C2085" s="1445" t="b">
        <f>Page5_PARCS_GOUV!$L11&lt;0</f>
        <v>0</v>
      </c>
      <c r="D2085" s="1454" t="b">
        <f>OR(AND(Page5_PARCS_GOUV!$L11&lt;&gt;0,Page5_PARCS_GOUV!$M11=0),AND(Page5_PARCS_GOUV!$M11&lt;&gt;0,Page5_PARCS_GOUV!$L11=0))</f>
        <v>0</v>
      </c>
      <c r="F2085" s="1454"/>
      <c r="G2085" s="1444" t="str">
        <f t="shared" si="278"/>
        <v/>
      </c>
      <c r="H2085" s="1446" t="str">
        <f>IF(C2085=TRUE,Comments!$B$23,"")</f>
        <v/>
      </c>
      <c r="I2085" s="1452" t="str">
        <f>IF(D2085=TRUE,Comments!$B$24,"")</f>
        <v/>
      </c>
      <c r="J2085" s="1452"/>
      <c r="K2085" s="1452"/>
      <c r="N2085" s="611" t="str">
        <f>"CPTE # "&amp;Page5_PARCS_GOUV!E11&amp;" "&amp;Page5_PARCS_GOUV!C11&amp;"  - CHIFFRE D'AFFAIRES RÉALISÉ - AAD"</f>
        <v>CPTE # 407L NE PAS UTILISER  - CHIFFRE D'AFFAIRES RÉALISÉ - AAD</v>
      </c>
      <c r="O2085" s="611" t="str">
        <f t="shared" si="277"/>
        <v/>
      </c>
      <c r="P2085" s="611" t="str">
        <f t="shared" si="279"/>
        <v>Page5_PARCS_GOUV!L</v>
      </c>
      <c r="Q2085" s="611">
        <f t="shared" si="280"/>
        <v>11</v>
      </c>
      <c r="R2085" s="1447">
        <f t="shared" ca="1" si="281"/>
        <v>0</v>
      </c>
      <c r="S2085" s="1447">
        <f t="shared" ca="1" si="282"/>
        <v>0</v>
      </c>
      <c r="W2085" s="611" t="str">
        <f t="shared" ca="1" si="283"/>
        <v>Page5_PARCS_GOUV, Ligne 8 [Page5_PARCS_GOUV!L11]  -</v>
      </c>
    </row>
    <row r="2086" spans="1:23">
      <c r="A2086" s="1443" t="str">
        <f>celladdr(Page5_PARCS_GOUV!L12)</f>
        <v>Page5_PARCS_GOUV!L12</v>
      </c>
      <c r="B2086" s="2449" t="s">
        <v>1086</v>
      </c>
      <c r="C2086" s="1445" t="b">
        <f>Page5_PARCS_GOUV!$L12&lt;0</f>
        <v>0</v>
      </c>
      <c r="D2086" s="1454" t="b">
        <f>OR(AND(Page5_PARCS_GOUV!$L12&lt;&gt;0,Page5_PARCS_GOUV!$M12=0),AND(Page5_PARCS_GOUV!$M12&lt;&gt;0,Page5_PARCS_GOUV!$L12=0))</f>
        <v>0</v>
      </c>
      <c r="F2086" s="1454"/>
      <c r="G2086" s="1444" t="str">
        <f t="shared" si="278"/>
        <v/>
      </c>
      <c r="H2086" s="1446" t="str">
        <f>IF(C2086=TRUE,Comments!$B$23,"")</f>
        <v/>
      </c>
      <c r="I2086" s="1452" t="str">
        <f>IF(D2086=TRUE,Comments!$B$24,"")</f>
        <v/>
      </c>
      <c r="J2086" s="1452"/>
      <c r="K2086" s="1452"/>
      <c r="N2086" s="611" t="str">
        <f>"CPTE # "&amp;Page5_PARCS_GOUV!E12&amp;" "&amp;Page5_PARCS_GOUV!C12&amp;"  - CHIFFRE D'AFFAIRES RÉALISÉ - AAD"</f>
        <v>CPTE #  TOTAL VOITURES DE PARCS  - CHIFFRE D'AFFAIRES RÉALISÉ - AAD</v>
      </c>
      <c r="O2086" s="611" t="str">
        <f t="shared" si="277"/>
        <v/>
      </c>
      <c r="P2086" s="611" t="str">
        <f t="shared" si="279"/>
        <v>Page5_PARCS_GOUV!L</v>
      </c>
      <c r="Q2086" s="611">
        <f t="shared" si="280"/>
        <v>12</v>
      </c>
      <c r="R2086" s="1447">
        <f t="shared" ca="1" si="281"/>
        <v>0</v>
      </c>
      <c r="S2086" s="1447">
        <f t="shared" ca="1" si="282"/>
        <v>0</v>
      </c>
      <c r="W2086" s="611" t="str">
        <f t="shared" ca="1" si="283"/>
        <v>Page5_PARCS_GOUV, Ligne 9 [Page5_PARCS_GOUV!L12]  -</v>
      </c>
    </row>
    <row r="2087" spans="1:23">
      <c r="A2087" s="1443" t="str">
        <f>celladdr(Page5_PARCS_GOUV!L13)</f>
        <v>Page5_PARCS_GOUV!L13</v>
      </c>
      <c r="B2087" s="1456" t="s">
        <v>1086</v>
      </c>
      <c r="C2087" s="1445" t="b">
        <f>Page5_PARCS_GOUV!$L13&lt;0</f>
        <v>0</v>
      </c>
      <c r="D2087" s="1454" t="b">
        <f>OR(AND(Page5_PARCS_GOUV!$L13&lt;&gt;0,Page5_PARCS_GOUV!$M13=0),AND(Page5_PARCS_GOUV!$M13&lt;&gt;0,Page5_PARCS_GOUV!$L13=0))</f>
        <v>0</v>
      </c>
      <c r="F2087" s="1454"/>
      <c r="G2087" s="1444" t="str">
        <f t="shared" si="278"/>
        <v/>
      </c>
      <c r="H2087" s="1446" t="str">
        <f>IF(C2087=TRUE,Comments!$B$23,"")</f>
        <v/>
      </c>
      <c r="I2087" s="1452" t="str">
        <f>IF(D2087=TRUE,Comments!$B$24,"")</f>
        <v/>
      </c>
      <c r="J2087" s="1452"/>
      <c r="K2087" s="1452"/>
      <c r="N2087" s="611" t="str">
        <f>"CPTE # "&amp;Page5_PARCS_GOUV!E13&amp;" "&amp;Page5_PARCS_GOUV!C13&amp;"  - CHIFFRE D'AFFAIRES RÉALISÉ - AAD"</f>
        <v>CPTE # 412L BUICK / CADILLAC PETIT VUS VE  - CHIFFRE D'AFFAIRES RÉALISÉ - AAD</v>
      </c>
      <c r="O2087" s="611" t="str">
        <f t="shared" si="277"/>
        <v/>
      </c>
      <c r="P2087" s="611" t="str">
        <f t="shared" si="279"/>
        <v>Page5_PARCS_GOUV!L</v>
      </c>
      <c r="Q2087" s="611">
        <f t="shared" si="280"/>
        <v>13</v>
      </c>
      <c r="R2087" s="1447">
        <f t="shared" ca="1" si="281"/>
        <v>0</v>
      </c>
      <c r="S2087" s="1447">
        <f t="shared" ca="1" si="282"/>
        <v>0</v>
      </c>
      <c r="W2087" s="611" t="str">
        <f t="shared" ca="1" si="283"/>
        <v>Page5_PARCS_GOUV, Ligne 10 [Page5_PARCS_GOUV!L13]  -</v>
      </c>
    </row>
    <row r="2088" spans="1:23">
      <c r="A2088" s="1443" t="str">
        <f>celladdr(Page5_PARCS_GOUV!L14)</f>
        <v>Page5_PARCS_GOUV!L14</v>
      </c>
      <c r="B2088" s="1456" t="s">
        <v>1086</v>
      </c>
      <c r="C2088" s="1445" t="b">
        <f>Page5_PARCS_GOUV!$L14&lt;0</f>
        <v>0</v>
      </c>
      <c r="D2088" s="1454" t="b">
        <f>OR(AND(Page5_PARCS_GOUV!$L14&lt;&gt;0,Page5_PARCS_GOUV!$M14=0),AND(Page5_PARCS_GOUV!$M14&lt;&gt;0,Page5_PARCS_GOUV!$L14=0))</f>
        <v>0</v>
      </c>
      <c r="F2088" s="1454"/>
      <c r="G2088" s="1444" t="str">
        <f t="shared" si="278"/>
        <v/>
      </c>
      <c r="H2088" s="1446" t="str">
        <f>IF(C2088=TRUE,Comments!$B$23,"")</f>
        <v/>
      </c>
      <c r="I2088" s="1452" t="str">
        <f>IF(D2088=TRUE,Comments!$B$24,"")</f>
        <v/>
      </c>
      <c r="J2088" s="1452"/>
      <c r="K2088" s="1452"/>
      <c r="N2088" s="611" t="str">
        <f>"CPTE # "&amp;Page5_PARCS_GOUV!E14&amp;" "&amp;Page5_PARCS_GOUV!C14&amp;"  - CHIFFRE D'AFFAIRES RÉALISÉ - AAD"</f>
        <v>CPTE # 413L BUICK / CADILLAC PETIT VUS MCI  - CHIFFRE D'AFFAIRES RÉALISÉ - AAD</v>
      </c>
      <c r="O2088" s="611" t="str">
        <f t="shared" si="277"/>
        <v/>
      </c>
      <c r="P2088" s="611" t="str">
        <f t="shared" si="279"/>
        <v>Page5_PARCS_GOUV!L</v>
      </c>
      <c r="Q2088" s="611">
        <f t="shared" si="280"/>
        <v>14</v>
      </c>
      <c r="R2088" s="1447">
        <f t="shared" ca="1" si="281"/>
        <v>0</v>
      </c>
      <c r="S2088" s="1447">
        <f t="shared" ca="1" si="282"/>
        <v>0</v>
      </c>
      <c r="W2088" s="611" t="str">
        <f t="shared" ca="1" si="283"/>
        <v>Page5_PARCS_GOUV, Ligne 11 [Page5_PARCS_GOUV!L14]  -</v>
      </c>
    </row>
    <row r="2089" spans="1:23">
      <c r="A2089" s="1443" t="str">
        <f>celladdr(Page5_PARCS_GOUV!L15)</f>
        <v>Page5_PARCS_GOUV!L15</v>
      </c>
      <c r="B2089" s="1456" t="s">
        <v>1086</v>
      </c>
      <c r="C2089" s="1445" t="b">
        <f>Page5_PARCS_GOUV!$L15&lt;0</f>
        <v>0</v>
      </c>
      <c r="D2089" s="1454" t="b">
        <f>OR(AND(Page5_PARCS_GOUV!$L15&lt;&gt;0,Page5_PARCS_GOUV!$M15=0),AND(Page5_PARCS_GOUV!$M15&lt;&gt;0,Page5_PARCS_GOUV!$L15=0))</f>
        <v>0</v>
      </c>
      <c r="F2089" s="1454"/>
      <c r="G2089" s="1444" t="str">
        <f t="shared" si="278"/>
        <v/>
      </c>
      <c r="H2089" s="1446" t="str">
        <f>IF(C2089=TRUE,Comments!$B$23,"")</f>
        <v/>
      </c>
      <c r="I2089" s="1452" t="str">
        <f>IF(D2089=TRUE,Comments!$B$24,"")</f>
        <v/>
      </c>
      <c r="J2089" s="1452"/>
      <c r="K2089" s="1452"/>
      <c r="N2089" s="611" t="str">
        <f>"CPTE # "&amp;Page5_PARCS_GOUV!E15&amp;" "&amp;Page5_PARCS_GOUV!C15&amp;"  - CHIFFRE D'AFFAIRES RÉALISÉ - AAD"</f>
        <v>CPTE # 414L BUICK / CADILLAC MOYEN VUS VE  - CHIFFRE D'AFFAIRES RÉALISÉ - AAD</v>
      </c>
      <c r="O2089" s="611" t="str">
        <f t="shared" si="277"/>
        <v/>
      </c>
      <c r="P2089" s="611" t="str">
        <f t="shared" si="279"/>
        <v>Page5_PARCS_GOUV!L</v>
      </c>
      <c r="Q2089" s="611">
        <f t="shared" si="280"/>
        <v>15</v>
      </c>
      <c r="R2089" s="1447">
        <f t="shared" ca="1" si="281"/>
        <v>0</v>
      </c>
      <c r="S2089" s="1447">
        <f t="shared" ca="1" si="282"/>
        <v>0</v>
      </c>
      <c r="W2089" s="611" t="str">
        <f t="shared" ca="1" si="283"/>
        <v>Page5_PARCS_GOUV, Ligne 12 [Page5_PARCS_GOUV!L15]  -</v>
      </c>
    </row>
    <row r="2090" spans="1:23">
      <c r="A2090" s="1443" t="str">
        <f>celladdr(Page5_PARCS_GOUV!L16)</f>
        <v>Page5_PARCS_GOUV!L16</v>
      </c>
      <c r="B2090" s="1456" t="s">
        <v>1086</v>
      </c>
      <c r="C2090" s="1445" t="b">
        <f>Page5_PARCS_GOUV!$L16&lt;0</f>
        <v>0</v>
      </c>
      <c r="D2090" s="1454" t="b">
        <f>OR(AND(Page5_PARCS_GOUV!$L16&lt;&gt;0,Page5_PARCS_GOUV!$M16=0),AND(Page5_PARCS_GOUV!$M16&lt;&gt;0,Page5_PARCS_GOUV!$L16=0))</f>
        <v>0</v>
      </c>
      <c r="F2090" s="1454"/>
      <c r="G2090" s="1444" t="str">
        <f t="shared" si="278"/>
        <v/>
      </c>
      <c r="H2090" s="1446" t="str">
        <f>IF(C2090=TRUE,Comments!$B$23,"")</f>
        <v/>
      </c>
      <c r="I2090" s="1452" t="str">
        <f>IF(D2090=TRUE,Comments!$B$24,"")</f>
        <v/>
      </c>
      <c r="J2090" s="1452"/>
      <c r="K2090" s="1452"/>
      <c r="N2090" s="611" t="str">
        <f>"CPTE # "&amp;Page5_PARCS_GOUV!E16&amp;" "&amp;Page5_PARCS_GOUV!C16&amp;"  - CHIFFRE D'AFFAIRES RÉALISÉ - AAD"</f>
        <v>CPTE # 415L BUICK / CADILLAC MOYEN VUS MCI  - CHIFFRE D'AFFAIRES RÉALISÉ - AAD</v>
      </c>
      <c r="O2090" s="611" t="str">
        <f t="shared" si="277"/>
        <v/>
      </c>
      <c r="P2090" s="611" t="str">
        <f t="shared" si="279"/>
        <v>Page5_PARCS_GOUV!L</v>
      </c>
      <c r="Q2090" s="611">
        <f t="shared" si="280"/>
        <v>16</v>
      </c>
      <c r="R2090" s="1447">
        <f t="shared" ca="1" si="281"/>
        <v>0</v>
      </c>
      <c r="S2090" s="1447">
        <f t="shared" ca="1" si="282"/>
        <v>0</v>
      </c>
      <c r="W2090" s="611" t="str">
        <f t="shared" ca="1" si="283"/>
        <v>Page5_PARCS_GOUV, Ligne 13 [Page5_PARCS_GOUV!L16]  -</v>
      </c>
    </row>
    <row r="2091" spans="1:23">
      <c r="A2091" s="1443" t="str">
        <f>celladdr(Page5_PARCS_GOUV!L17)</f>
        <v>Page5_PARCS_GOUV!L17</v>
      </c>
      <c r="B2091" s="1456" t="s">
        <v>1086</v>
      </c>
      <c r="C2091" s="1445" t="b">
        <f>Page5_PARCS_GOUV!$L17&lt;0</f>
        <v>0</v>
      </c>
      <c r="D2091" s="1454" t="b">
        <f>OR(AND(Page5_PARCS_GOUV!$L17&lt;&gt;0,Page5_PARCS_GOUV!$M17=0),AND(Page5_PARCS_GOUV!$M17&lt;&gt;0,Page5_PARCS_GOUV!$L17=0))</f>
        <v>0</v>
      </c>
      <c r="F2091" s="1454"/>
      <c r="G2091" s="1444" t="str">
        <f t="shared" si="278"/>
        <v/>
      </c>
      <c r="H2091" s="1446" t="str">
        <f>IF(C2091=TRUE,Comments!$B$23,"")</f>
        <v/>
      </c>
      <c r="I2091" s="1452" t="str">
        <f>IF(D2091=TRUE,Comments!$B$24,"")</f>
        <v/>
      </c>
      <c r="J2091" s="1452"/>
      <c r="K2091" s="1452"/>
      <c r="N2091" s="611" t="str">
        <f>"CPTE # "&amp;Page5_PARCS_GOUV!E17&amp;" "&amp;Page5_PARCS_GOUV!C17&amp;"  - CHIFFRE D'AFFAIRES RÉALISÉ - AAD"</f>
        <v>CPTE # 416L BUICK / CADILLAC GRAND VUS VE  - CHIFFRE D'AFFAIRES RÉALISÉ - AAD</v>
      </c>
      <c r="O2091" s="611" t="str">
        <f t="shared" si="277"/>
        <v/>
      </c>
      <c r="P2091" s="611" t="str">
        <f t="shared" si="279"/>
        <v>Page5_PARCS_GOUV!L</v>
      </c>
      <c r="Q2091" s="611">
        <f t="shared" si="280"/>
        <v>17</v>
      </c>
      <c r="R2091" s="1447">
        <f t="shared" ca="1" si="281"/>
        <v>0</v>
      </c>
      <c r="S2091" s="1447">
        <f t="shared" ca="1" si="282"/>
        <v>0</v>
      </c>
      <c r="W2091" s="611" t="str">
        <f t="shared" ca="1" si="283"/>
        <v>Page5_PARCS_GOUV, Ligne 14 [Page5_PARCS_GOUV!L17]  -</v>
      </c>
    </row>
    <row r="2092" spans="1:23">
      <c r="A2092" s="1443" t="str">
        <f>celladdr(Page5_PARCS_GOUV!L18)</f>
        <v>Page5_PARCS_GOUV!L18</v>
      </c>
      <c r="B2092" s="1456" t="s">
        <v>1086</v>
      </c>
      <c r="C2092" s="1445" t="b">
        <f>Page5_PARCS_GOUV!$L18&lt;0</f>
        <v>0</v>
      </c>
      <c r="D2092" s="1454" t="b">
        <f>OR(AND(Page5_PARCS_GOUV!$L18&lt;&gt;0,Page5_PARCS_GOUV!$M18=0),AND(Page5_PARCS_GOUV!$M18&lt;&gt;0,Page5_PARCS_GOUV!$L18=0))</f>
        <v>0</v>
      </c>
      <c r="F2092" s="1454"/>
      <c r="G2092" s="1444" t="str">
        <f t="shared" si="278"/>
        <v/>
      </c>
      <c r="H2092" s="1446" t="str">
        <f>IF(C2092=TRUE,Comments!$B$23,"")</f>
        <v/>
      </c>
      <c r="I2092" s="1452" t="str">
        <f>IF(D2092=TRUE,Comments!$B$24,"")</f>
        <v/>
      </c>
      <c r="J2092" s="1452"/>
      <c r="K2092" s="1452"/>
      <c r="N2092" s="611" t="str">
        <f>"CPTE # "&amp;Page5_PARCS_GOUV!E18&amp;" "&amp;Page5_PARCS_GOUV!C18&amp;"  - CHIFFRE D'AFFAIRES RÉALISÉ - AAD"</f>
        <v>CPTE # 417L BUICK / CADILLAC GRAND VUS MCI  - CHIFFRE D'AFFAIRES RÉALISÉ - AAD</v>
      </c>
      <c r="O2092" s="611" t="str">
        <f t="shared" si="277"/>
        <v/>
      </c>
      <c r="P2092" s="611" t="str">
        <f t="shared" si="279"/>
        <v>Page5_PARCS_GOUV!L</v>
      </c>
      <c r="Q2092" s="611">
        <f t="shared" si="280"/>
        <v>18</v>
      </c>
      <c r="R2092" s="1447">
        <f t="shared" ca="1" si="281"/>
        <v>0</v>
      </c>
      <c r="S2092" s="1447">
        <f t="shared" ca="1" si="282"/>
        <v>0</v>
      </c>
      <c r="W2092" s="611" t="str">
        <f t="shared" ca="1" si="283"/>
        <v>Page5_PARCS_GOUV, Ligne 15 [Page5_PARCS_GOUV!L18]  -</v>
      </c>
    </row>
    <row r="2093" spans="1:23">
      <c r="A2093" s="1443" t="str">
        <f>celladdr(Page5_PARCS_GOUV!L19)</f>
        <v>Page5_PARCS_GOUV!L19</v>
      </c>
      <c r="B2093" s="1456" t="s">
        <v>1086</v>
      </c>
      <c r="C2093" s="1445" t="b">
        <f>Page5_PARCS_GOUV!$L19&lt;0</f>
        <v>0</v>
      </c>
      <c r="D2093" s="1454" t="b">
        <f>OR(AND(Page5_PARCS_GOUV!$L19&lt;&gt;0,Page5_PARCS_GOUV!$M19=0),AND(Page5_PARCS_GOUV!$M19&lt;&gt;0,Page5_PARCS_GOUV!$L19=0))</f>
        <v>0</v>
      </c>
      <c r="F2093" s="1454"/>
      <c r="G2093" s="1444" t="str">
        <f t="shared" si="278"/>
        <v/>
      </c>
      <c r="H2093" s="1446" t="str">
        <f>IF(C2093=TRUE,Comments!$B$23,"")</f>
        <v/>
      </c>
      <c r="I2093" s="1452" t="str">
        <f>IF(D2093=TRUE,Comments!$B$24,"")</f>
        <v/>
      </c>
      <c r="J2093" s="1452"/>
      <c r="K2093" s="1452"/>
      <c r="N2093" s="611" t="str">
        <f>"CPTE # "&amp;Page5_PARCS_GOUV!E19&amp;" "&amp;Page5_PARCS_GOUV!C19&amp;"  - CHIFFRE D'AFFAIRES RÉALISÉ - AAD"</f>
        <v>CPTE # 418L CHEVROLET / GMC PETIT VUS VE  - CHIFFRE D'AFFAIRES RÉALISÉ - AAD</v>
      </c>
      <c r="O2093" s="611" t="str">
        <f t="shared" si="277"/>
        <v/>
      </c>
      <c r="P2093" s="611" t="str">
        <f t="shared" si="279"/>
        <v>Page5_PARCS_GOUV!L</v>
      </c>
      <c r="Q2093" s="611">
        <f t="shared" si="280"/>
        <v>19</v>
      </c>
      <c r="R2093" s="1447">
        <f t="shared" ca="1" si="281"/>
        <v>0</v>
      </c>
      <c r="S2093" s="1447">
        <f t="shared" ca="1" si="282"/>
        <v>0</v>
      </c>
      <c r="W2093" s="611" t="str">
        <f t="shared" ca="1" si="283"/>
        <v>Page5_PARCS_GOUV, Ligne 16 [Page5_PARCS_GOUV!L19]  -</v>
      </c>
    </row>
    <row r="2094" spans="1:23">
      <c r="A2094" s="1443" t="str">
        <f>celladdr(Page5_PARCS_GOUV!L20)</f>
        <v>Page5_PARCS_GOUV!L20</v>
      </c>
      <c r="B2094" s="1456" t="s">
        <v>1086</v>
      </c>
      <c r="C2094" s="1445" t="b">
        <f>Page5_PARCS_GOUV!$L20&lt;0</f>
        <v>0</v>
      </c>
      <c r="D2094" s="1454" t="b">
        <f>OR(AND(Page5_PARCS_GOUV!$L20&lt;&gt;0,Page5_PARCS_GOUV!$M20=0),AND(Page5_PARCS_GOUV!$M20&lt;&gt;0,Page5_PARCS_GOUV!$L20=0))</f>
        <v>0</v>
      </c>
      <c r="F2094" s="1454"/>
      <c r="G2094" s="1444" t="str">
        <f t="shared" si="278"/>
        <v/>
      </c>
      <c r="H2094" s="1446" t="str">
        <f>IF(C2094=TRUE,Comments!$B$23,"")</f>
        <v/>
      </c>
      <c r="I2094" s="1452" t="str">
        <f>IF(D2094=TRUE,Comments!$B$24,"")</f>
        <v/>
      </c>
      <c r="J2094" s="1452"/>
      <c r="K2094" s="1452"/>
      <c r="N2094" s="611" t="str">
        <f>"CPTE # "&amp;Page5_PARCS_GOUV!E20&amp;" "&amp;Page5_PARCS_GOUV!C20&amp;"  - CHIFFRE D'AFFAIRES RÉALISÉ - AAD"</f>
        <v>CPTE # 419L CHEVROLET / GMC PETIT VUS MCI  - CHIFFRE D'AFFAIRES RÉALISÉ - AAD</v>
      </c>
      <c r="O2094" s="611" t="str">
        <f t="shared" si="277"/>
        <v/>
      </c>
      <c r="P2094" s="611" t="str">
        <f t="shared" si="279"/>
        <v>Page5_PARCS_GOUV!L</v>
      </c>
      <c r="Q2094" s="611">
        <f t="shared" si="280"/>
        <v>20</v>
      </c>
      <c r="R2094" s="1447">
        <f t="shared" ca="1" si="281"/>
        <v>0</v>
      </c>
      <c r="S2094" s="1447">
        <f t="shared" ca="1" si="282"/>
        <v>0</v>
      </c>
      <c r="W2094" s="611" t="str">
        <f t="shared" ca="1" si="283"/>
        <v>Page5_PARCS_GOUV, Ligne 17 [Page5_PARCS_GOUV!L20]  -</v>
      </c>
    </row>
    <row r="2095" spans="1:23">
      <c r="A2095" s="1443" t="str">
        <f>celladdr(Page5_PARCS_GOUV!L21)</f>
        <v>Page5_PARCS_GOUV!L21</v>
      </c>
      <c r="B2095" s="1456" t="s">
        <v>1086</v>
      </c>
      <c r="C2095" s="1445" t="b">
        <f>Page5_PARCS_GOUV!$L21&lt;0</f>
        <v>0</v>
      </c>
      <c r="D2095" s="1454" t="b">
        <f>OR(AND(Page5_PARCS_GOUV!$L21&lt;&gt;0,Page5_PARCS_GOUV!$M21=0),AND(Page5_PARCS_GOUV!$M21&lt;&gt;0,Page5_PARCS_GOUV!$L21=0))</f>
        <v>0</v>
      </c>
      <c r="F2095" s="1454"/>
      <c r="G2095" s="1444" t="str">
        <f t="shared" si="278"/>
        <v/>
      </c>
      <c r="H2095" s="1446" t="str">
        <f>IF(C2095=TRUE,Comments!$B$23,"")</f>
        <v/>
      </c>
      <c r="I2095" s="1452" t="str">
        <f>IF(D2095=TRUE,Comments!$B$24,"")</f>
        <v/>
      </c>
      <c r="J2095" s="1452"/>
      <c r="K2095" s="1452"/>
      <c r="N2095" s="611" t="str">
        <f>"CPTE # "&amp;Page5_PARCS_GOUV!E21&amp;" "&amp;Page5_PARCS_GOUV!C21&amp;"  - CHIFFRE D'AFFAIRES RÉALISÉ - AAD"</f>
        <v>CPTE # 420L CHEVROLET / GMC MOYEN VUS VE  - CHIFFRE D'AFFAIRES RÉALISÉ - AAD</v>
      </c>
      <c r="O2095" s="611" t="str">
        <f t="shared" si="277"/>
        <v/>
      </c>
      <c r="P2095" s="611" t="str">
        <f t="shared" si="279"/>
        <v>Page5_PARCS_GOUV!L</v>
      </c>
      <c r="Q2095" s="611">
        <f t="shared" si="280"/>
        <v>21</v>
      </c>
      <c r="R2095" s="1447">
        <f t="shared" ca="1" si="281"/>
        <v>0</v>
      </c>
      <c r="S2095" s="1447">
        <f t="shared" ca="1" si="282"/>
        <v>0</v>
      </c>
      <c r="W2095" s="611" t="str">
        <f t="shared" ca="1" si="283"/>
        <v>Page5_PARCS_GOUV, Ligne 18 [Page5_PARCS_GOUV!L21]  -</v>
      </c>
    </row>
    <row r="2096" spans="1:23">
      <c r="A2096" s="1443" t="str">
        <f>celladdr(Page5_PARCS_GOUV!L22)</f>
        <v>Page5_PARCS_GOUV!L22</v>
      </c>
      <c r="B2096" s="1456" t="s">
        <v>1086</v>
      </c>
      <c r="C2096" s="1445" t="b">
        <f>Page5_PARCS_GOUV!$L22&lt;0</f>
        <v>0</v>
      </c>
      <c r="D2096" s="1454" t="b">
        <f>OR(AND(Page5_PARCS_GOUV!$L22&lt;&gt;0,Page5_PARCS_GOUV!$M22=0),AND(Page5_PARCS_GOUV!$M22&lt;&gt;0,Page5_PARCS_GOUV!$L22=0))</f>
        <v>0</v>
      </c>
      <c r="F2096" s="1454"/>
      <c r="G2096" s="1444" t="str">
        <f t="shared" si="278"/>
        <v/>
      </c>
      <c r="H2096" s="1446" t="str">
        <f>IF(C2096=TRUE,Comments!$B$23,"")</f>
        <v/>
      </c>
      <c r="I2096" s="1452" t="str">
        <f>IF(D2096=TRUE,Comments!$B$24,"")</f>
        <v/>
      </c>
      <c r="J2096" s="1452"/>
      <c r="K2096" s="1452"/>
      <c r="N2096" s="611" t="str">
        <f>"CPTE # "&amp;Page5_PARCS_GOUV!E22&amp;" "&amp;Page5_PARCS_GOUV!C22&amp;"  - CHIFFRE D'AFFAIRES RÉALISÉ - AAD"</f>
        <v>CPTE # 421L CHEVROLET / GMC MOYEN VUS MCI  - CHIFFRE D'AFFAIRES RÉALISÉ - AAD</v>
      </c>
      <c r="O2096" s="611" t="str">
        <f t="shared" si="277"/>
        <v/>
      </c>
      <c r="P2096" s="611" t="str">
        <f t="shared" si="279"/>
        <v>Page5_PARCS_GOUV!L</v>
      </c>
      <c r="Q2096" s="611">
        <f t="shared" si="280"/>
        <v>22</v>
      </c>
      <c r="R2096" s="1447">
        <f t="shared" ca="1" si="281"/>
        <v>0</v>
      </c>
      <c r="S2096" s="1447">
        <f t="shared" ca="1" si="282"/>
        <v>0</v>
      </c>
      <c r="W2096" s="611" t="str">
        <f t="shared" ca="1" si="283"/>
        <v>Page5_PARCS_GOUV, Ligne 19 [Page5_PARCS_GOUV!L22]  -</v>
      </c>
    </row>
    <row r="2097" spans="1:23">
      <c r="A2097" s="1443" t="str">
        <f>celladdr(Page5_PARCS_GOUV!L23)</f>
        <v>Page5_PARCS_GOUV!L23</v>
      </c>
      <c r="B2097" s="1456" t="s">
        <v>1086</v>
      </c>
      <c r="C2097" s="1445" t="b">
        <f>Page5_PARCS_GOUV!$L23&lt;0</f>
        <v>0</v>
      </c>
      <c r="D2097" s="1454" t="b">
        <f>OR(AND(Page5_PARCS_GOUV!$L23&lt;&gt;0,Page5_PARCS_GOUV!$M23=0),AND(Page5_PARCS_GOUV!$M23&lt;&gt;0,Page5_PARCS_GOUV!$L23=0))</f>
        <v>0</v>
      </c>
      <c r="F2097" s="1454"/>
      <c r="G2097" s="1444" t="str">
        <f t="shared" si="278"/>
        <v/>
      </c>
      <c r="H2097" s="1446" t="str">
        <f>IF(C2097=TRUE,Comments!$B$23,"")</f>
        <v/>
      </c>
      <c r="I2097" s="1452" t="str">
        <f>IF(D2097=TRUE,Comments!$B$24,"")</f>
        <v/>
      </c>
      <c r="J2097" s="1452"/>
      <c r="K2097" s="1452"/>
      <c r="N2097" s="611" t="str">
        <f>"CPTE # "&amp;Page5_PARCS_GOUV!E23&amp;" "&amp;Page5_PARCS_GOUV!C23&amp;"  - CHIFFRE D'AFFAIRES RÉALISÉ - AAD"</f>
        <v>CPTE # 422L CHEVROLET / GMC / HUMMER GRAND VUS VE  - CHIFFRE D'AFFAIRES RÉALISÉ - AAD</v>
      </c>
      <c r="O2097" s="611" t="str">
        <f t="shared" si="277"/>
        <v/>
      </c>
      <c r="P2097" s="611" t="str">
        <f t="shared" si="279"/>
        <v>Page5_PARCS_GOUV!L</v>
      </c>
      <c r="Q2097" s="611">
        <f t="shared" si="280"/>
        <v>23</v>
      </c>
      <c r="R2097" s="1447">
        <f t="shared" ca="1" si="281"/>
        <v>0</v>
      </c>
      <c r="S2097" s="1447">
        <f t="shared" ca="1" si="282"/>
        <v>0</v>
      </c>
      <c r="W2097" s="611" t="str">
        <f t="shared" ca="1" si="283"/>
        <v>Page5_PARCS_GOUV, Ligne 20 [Page5_PARCS_GOUV!L23]  -</v>
      </c>
    </row>
    <row r="2098" spans="1:23">
      <c r="A2098" s="1443" t="str">
        <f>celladdr(Page5_PARCS_GOUV!L24)</f>
        <v>Page5_PARCS_GOUV!L24</v>
      </c>
      <c r="B2098" s="1456" t="s">
        <v>1086</v>
      </c>
      <c r="C2098" s="1445" t="b">
        <f>Page5_PARCS_GOUV!$L24&lt;0</f>
        <v>0</v>
      </c>
      <c r="D2098" s="1454" t="b">
        <f>OR(AND(Page5_PARCS_GOUV!$L24&lt;&gt;0,Page5_PARCS_GOUV!$M24=0),AND(Page5_PARCS_GOUV!$M24&lt;&gt;0,Page5_PARCS_GOUV!$L24=0))</f>
        <v>0</v>
      </c>
      <c r="F2098" s="1454"/>
      <c r="G2098" s="1444" t="str">
        <f t="shared" si="278"/>
        <v/>
      </c>
      <c r="H2098" s="1446" t="str">
        <f>IF(C2098=TRUE,Comments!$B$23,"")</f>
        <v/>
      </c>
      <c r="I2098" s="1452" t="str">
        <f>IF(D2098=TRUE,Comments!$B$24,"")</f>
        <v/>
      </c>
      <c r="J2098" s="1452"/>
      <c r="K2098" s="1452"/>
      <c r="N2098" s="611" t="str">
        <f>"CPTE # "&amp;Page5_PARCS_GOUV!E24&amp;" "&amp;Page5_PARCS_GOUV!C24&amp;"  - CHIFFRE D'AFFAIRES RÉALISÉ - AAD"</f>
        <v>CPTE # 423L CHEVROLET / GMC GRAND VUS MCI  - CHIFFRE D'AFFAIRES RÉALISÉ - AAD</v>
      </c>
      <c r="O2098" s="611" t="str">
        <f t="shared" si="277"/>
        <v/>
      </c>
      <c r="P2098" s="611" t="str">
        <f t="shared" si="279"/>
        <v>Page5_PARCS_GOUV!L</v>
      </c>
      <c r="Q2098" s="611">
        <f t="shared" si="280"/>
        <v>24</v>
      </c>
      <c r="R2098" s="1447">
        <f t="shared" ca="1" si="281"/>
        <v>0</v>
      </c>
      <c r="S2098" s="1447">
        <f t="shared" ca="1" si="282"/>
        <v>0</v>
      </c>
      <c r="W2098" s="611" t="str">
        <f t="shared" ca="1" si="283"/>
        <v>Page5_PARCS_GOUV, Ligne 21 [Page5_PARCS_GOUV!L24]  -</v>
      </c>
    </row>
    <row r="2099" spans="1:23">
      <c r="A2099" s="1443" t="str">
        <f>celladdr(Page5_PARCS_GOUV!L25)</f>
        <v>Page5_PARCS_GOUV!L25</v>
      </c>
      <c r="B2099" s="1456" t="s">
        <v>1086</v>
      </c>
      <c r="C2099" s="1445" t="b">
        <f>Page5_PARCS_GOUV!$L25&lt;0</f>
        <v>0</v>
      </c>
      <c r="D2099" s="1454" t="b">
        <f>OR(AND(Page5_PARCS_GOUV!$L25&lt;&gt;0,Page5_PARCS_GOUV!$M25=0),AND(Page5_PARCS_GOUV!$M25&lt;&gt;0,Page5_PARCS_GOUV!$L25=0))</f>
        <v>0</v>
      </c>
      <c r="F2099" s="1454"/>
      <c r="G2099" s="1444" t="str">
        <f t="shared" si="278"/>
        <v/>
      </c>
      <c r="H2099" s="1446" t="str">
        <f>IF(C2099=TRUE,Comments!$B$23,"")</f>
        <v/>
      </c>
      <c r="I2099" s="1452" t="str">
        <f>IF(D2099=TRUE,Comments!$B$24,"")</f>
        <v/>
      </c>
      <c r="J2099" s="1452"/>
      <c r="K2099" s="1452"/>
      <c r="N2099" s="611" t="str">
        <f>"CPTE # "&amp;Page5_PARCS_GOUV!E25&amp;" "&amp;Page5_PARCS_GOUV!C25&amp;"  - CHIFFRE D'AFFAIRES RÉALISÉ - AAD"</f>
        <v>CPTE # 424L SILVERADO/SIERRA POIDS LOURD MCI (2500/3500)  - CHIFFRE D'AFFAIRES RÉALISÉ - AAD</v>
      </c>
      <c r="O2099" s="611" t="str">
        <f t="shared" si="277"/>
        <v/>
      </c>
      <c r="P2099" s="611" t="str">
        <f t="shared" si="279"/>
        <v>Page5_PARCS_GOUV!L</v>
      </c>
      <c r="Q2099" s="611">
        <f t="shared" si="280"/>
        <v>25</v>
      </c>
      <c r="R2099" s="1447">
        <f t="shared" ca="1" si="281"/>
        <v>0</v>
      </c>
      <c r="S2099" s="1447">
        <f t="shared" ca="1" si="282"/>
        <v>0</v>
      </c>
      <c r="W2099" s="611" t="str">
        <f t="shared" ca="1" si="283"/>
        <v>Page5_PARCS_GOUV, Ligne 22 [Page5_PARCS_GOUV!L25]  -</v>
      </c>
    </row>
    <row r="2100" spans="1:23">
      <c r="A2100" s="1443" t="str">
        <f>celladdr(Page5_PARCS_GOUV!L26)</f>
        <v>Page5_PARCS_GOUV!L26</v>
      </c>
      <c r="B2100" s="1456" t="s">
        <v>1086</v>
      </c>
      <c r="C2100" s="1445" t="b">
        <f>Page5_PARCS_GOUV!$L26&lt;0</f>
        <v>0</v>
      </c>
      <c r="D2100" s="1454" t="b">
        <f>OR(AND(Page5_PARCS_GOUV!$L26&lt;&gt;0,Page5_PARCS_GOUV!$M26=0),AND(Page5_PARCS_GOUV!$M26&lt;&gt;0,Page5_PARCS_GOUV!$L26=0))</f>
        <v>0</v>
      </c>
      <c r="F2100" s="1454"/>
      <c r="G2100" s="1444" t="str">
        <f t="shared" si="278"/>
        <v/>
      </c>
      <c r="H2100" s="1446" t="str">
        <f>IF(C2100=TRUE,Comments!$B$23,"")</f>
        <v/>
      </c>
      <c r="I2100" s="1452" t="str">
        <f>IF(D2100=TRUE,Comments!$B$24,"")</f>
        <v/>
      </c>
      <c r="J2100" s="1452"/>
      <c r="K2100" s="1452"/>
      <c r="N2100" s="611" t="str">
        <f>"CPTE # "&amp;Page5_PARCS_GOUV!E26&amp;" "&amp;Page5_PARCS_GOUV!C26&amp;"  - CHIFFRE D'AFFAIRES RÉALISÉ - AAD"</f>
        <v>CPTE # 425L NE PAS UTILISER  - CHIFFRE D'AFFAIRES RÉALISÉ - AAD</v>
      </c>
      <c r="O2100" s="611" t="str">
        <f t="shared" si="277"/>
        <v/>
      </c>
      <c r="P2100" s="611" t="str">
        <f t="shared" si="279"/>
        <v>Page5_PARCS_GOUV!L</v>
      </c>
      <c r="Q2100" s="611">
        <f t="shared" si="280"/>
        <v>26</v>
      </c>
      <c r="R2100" s="1447">
        <f t="shared" ca="1" si="281"/>
        <v>0</v>
      </c>
      <c r="S2100" s="1447">
        <f t="shared" ca="1" si="282"/>
        <v>0</v>
      </c>
      <c r="W2100" s="611" t="str">
        <f t="shared" ca="1" si="283"/>
        <v>Page5_PARCS_GOUV, Ligne 23 [Page5_PARCS_GOUV!L26]  -</v>
      </c>
    </row>
    <row r="2101" spans="1:23">
      <c r="A2101" s="1443" t="str">
        <f>celladdr(Page5_PARCS_GOUV!L27)</f>
        <v>Page5_PARCS_GOUV!L27</v>
      </c>
      <c r="B2101" s="1456" t="s">
        <v>1086</v>
      </c>
      <c r="C2101" s="1445" t="b">
        <f>Page5_PARCS_GOUV!$L27&lt;0</f>
        <v>0</v>
      </c>
      <c r="D2101" s="1454" t="b">
        <f>OR(AND(Page5_PARCS_GOUV!$L27&lt;&gt;0,Page5_PARCS_GOUV!$M27=0),AND(Page5_PARCS_GOUV!$M27&lt;&gt;0,Page5_PARCS_GOUV!$L27=0))</f>
        <v>0</v>
      </c>
      <c r="F2101" s="1454"/>
      <c r="G2101" s="1444" t="str">
        <f t="shared" si="278"/>
        <v/>
      </c>
      <c r="H2101" s="1446" t="str">
        <f>IF(C2101=TRUE,Comments!$B$23,"")</f>
        <v/>
      </c>
      <c r="I2101" s="1452" t="str">
        <f>IF(D2101=TRUE,Comments!$B$24,"")</f>
        <v/>
      </c>
      <c r="J2101" s="1452"/>
      <c r="K2101" s="1452"/>
      <c r="N2101" s="611" t="str">
        <f>"CPTE # "&amp;Page5_PARCS_GOUV!E27&amp;" "&amp;Page5_PARCS_GOUV!C27&amp;"  - CHIFFRE D'AFFAIRES RÉALISÉ - AAD"</f>
        <v>CPTE # 426L SILVERADO/SIERRA POIDS LÉGER MCI (1500)  - CHIFFRE D'AFFAIRES RÉALISÉ - AAD</v>
      </c>
      <c r="O2101" s="611" t="str">
        <f t="shared" si="277"/>
        <v/>
      </c>
      <c r="P2101" s="611" t="str">
        <f t="shared" si="279"/>
        <v>Page5_PARCS_GOUV!L</v>
      </c>
      <c r="Q2101" s="611">
        <f t="shared" si="280"/>
        <v>27</v>
      </c>
      <c r="R2101" s="1447">
        <f t="shared" ca="1" si="281"/>
        <v>0</v>
      </c>
      <c r="S2101" s="1447">
        <f t="shared" ca="1" si="282"/>
        <v>0</v>
      </c>
      <c r="W2101" s="611" t="str">
        <f t="shared" ca="1" si="283"/>
        <v>Page5_PARCS_GOUV, Ligne 24 [Page5_PARCS_GOUV!L27]  -</v>
      </c>
    </row>
    <row r="2102" spans="1:23">
      <c r="A2102" s="1443" t="str">
        <f>celladdr(Page5_PARCS_GOUV!L28)</f>
        <v>Page5_PARCS_GOUV!L28</v>
      </c>
      <c r="B2102" s="1456" t="s">
        <v>1086</v>
      </c>
      <c r="C2102" s="1445" t="b">
        <f>Page5_PARCS_GOUV!$L28&lt;0</f>
        <v>0</v>
      </c>
      <c r="D2102" s="1454" t="b">
        <f>OR(AND(Page5_PARCS_GOUV!$L28&lt;&gt;0,Page5_PARCS_GOUV!$M28=0),AND(Page5_PARCS_GOUV!$M28&lt;&gt;0,Page5_PARCS_GOUV!$L28=0))</f>
        <v>0</v>
      </c>
      <c r="F2102" s="1454"/>
      <c r="G2102" s="1444" t="str">
        <f t="shared" si="278"/>
        <v/>
      </c>
      <c r="H2102" s="1446" t="str">
        <f>IF(C2102=TRUE,Comments!$B$23,"")</f>
        <v/>
      </c>
      <c r="I2102" s="1452" t="str">
        <f>IF(D2102=TRUE,Comments!$B$24,"")</f>
        <v/>
      </c>
      <c r="J2102" s="1452"/>
      <c r="K2102" s="1452"/>
      <c r="N2102" s="611" t="str">
        <f>"CPTE # "&amp;Page5_PARCS_GOUV!E28&amp;" "&amp;Page5_PARCS_GOUV!C28&amp;"  - CHIFFRE D'AFFAIRES RÉALISÉ - AAD"</f>
        <v>CPTE # 427L SILVERADO/SIERRA/HUMMER POIDS LOURD VE  - CHIFFRE D'AFFAIRES RÉALISÉ - AAD</v>
      </c>
      <c r="O2102" s="611" t="str">
        <f t="shared" si="277"/>
        <v/>
      </c>
      <c r="P2102" s="611" t="str">
        <f t="shared" si="279"/>
        <v>Page5_PARCS_GOUV!L</v>
      </c>
      <c r="Q2102" s="611">
        <f t="shared" si="280"/>
        <v>28</v>
      </c>
      <c r="R2102" s="1447">
        <f t="shared" ca="1" si="281"/>
        <v>0</v>
      </c>
      <c r="S2102" s="1447">
        <f t="shared" ca="1" si="282"/>
        <v>0</v>
      </c>
      <c r="W2102" s="611" t="str">
        <f t="shared" ca="1" si="283"/>
        <v>Page5_PARCS_GOUV, Ligne 25 [Page5_PARCS_GOUV!L28]  -</v>
      </c>
    </row>
    <row r="2103" spans="1:23">
      <c r="A2103" s="1443" t="str">
        <f>celladdr(Page5_PARCS_GOUV!L29)</f>
        <v>Page5_PARCS_GOUV!L29</v>
      </c>
      <c r="B2103" s="1456" t="s">
        <v>1086</v>
      </c>
      <c r="C2103" s="1445" t="b">
        <f>Page5_PARCS_GOUV!$L29&lt;0</f>
        <v>0</v>
      </c>
      <c r="D2103" s="1454" t="b">
        <f>OR(AND(Page5_PARCS_GOUV!$L29&lt;&gt;0,Page5_PARCS_GOUV!$M29=0),AND(Page5_PARCS_GOUV!$M29&lt;&gt;0,Page5_PARCS_GOUV!$L29=0))</f>
        <v>0</v>
      </c>
      <c r="F2103" s="1454"/>
      <c r="G2103" s="1444" t="str">
        <f t="shared" si="278"/>
        <v/>
      </c>
      <c r="H2103" s="1446" t="str">
        <f>IF(C2103=TRUE,Comments!$B$23,"")</f>
        <v/>
      </c>
      <c r="I2103" s="1452" t="str">
        <f>IF(D2103=TRUE,Comments!$B$24,"")</f>
        <v/>
      </c>
      <c r="J2103" s="1452"/>
      <c r="K2103" s="1452"/>
      <c r="N2103" s="611" t="str">
        <f>"CPTE # "&amp;Page5_PARCS_GOUV!E29&amp;" "&amp;Page5_PARCS_GOUV!C29&amp;"  - CHIFFRE D'AFFAIRES RÉALISÉ - AAD"</f>
        <v>CPTE # 428L COLORADO/CANYON MCI  - CHIFFRE D'AFFAIRES RÉALISÉ - AAD</v>
      </c>
      <c r="O2103" s="611" t="str">
        <f t="shared" si="277"/>
        <v/>
      </c>
      <c r="P2103" s="611" t="str">
        <f t="shared" si="279"/>
        <v>Page5_PARCS_GOUV!L</v>
      </c>
      <c r="Q2103" s="611">
        <f t="shared" si="280"/>
        <v>29</v>
      </c>
      <c r="R2103" s="1447">
        <f t="shared" ca="1" si="281"/>
        <v>0</v>
      </c>
      <c r="S2103" s="1447">
        <f t="shared" ca="1" si="282"/>
        <v>0</v>
      </c>
      <c r="W2103" s="611" t="str">
        <f t="shared" ca="1" si="283"/>
        <v>Page5_PARCS_GOUV, Ligne 26 [Page5_PARCS_GOUV!L29]  -</v>
      </c>
    </row>
    <row r="2104" spans="1:23">
      <c r="A2104" s="1443" t="str">
        <f>celladdr(Page5_PARCS_GOUV!L30)</f>
        <v>Page5_PARCS_GOUV!L30</v>
      </c>
      <c r="B2104" s="1456" t="s">
        <v>1086</v>
      </c>
      <c r="C2104" s="1445" t="b">
        <f>Page5_PARCS_GOUV!$L30&lt;0</f>
        <v>0</v>
      </c>
      <c r="D2104" s="1454" t="b">
        <f>OR(AND(Page5_PARCS_GOUV!$L30&lt;&gt;0,Page5_PARCS_GOUV!$M30=0),AND(Page5_PARCS_GOUV!$M30&lt;&gt;0,Page5_PARCS_GOUV!$L30=0))</f>
        <v>0</v>
      </c>
      <c r="F2104" s="1454"/>
      <c r="G2104" s="1444" t="str">
        <f t="shared" si="278"/>
        <v/>
      </c>
      <c r="H2104" s="1446" t="str">
        <f>IF(C2104=TRUE,Comments!$B$23,"")</f>
        <v/>
      </c>
      <c r="I2104" s="1452" t="str">
        <f>IF(D2104=TRUE,Comments!$B$24,"")</f>
        <v/>
      </c>
      <c r="J2104" s="1452"/>
      <c r="K2104" s="1452"/>
      <c r="N2104" s="611" t="str">
        <f>"CPTE # "&amp;Page5_PARCS_GOUV!E30&amp;" "&amp;Page5_PARCS_GOUV!C30&amp;"  - CHIFFRE D'AFFAIRES RÉALISÉ - AAD"</f>
        <v>CPTE # 429L NE PAS UTILISER  - CHIFFRE D'AFFAIRES RÉALISÉ - AAD</v>
      </c>
      <c r="O2104" s="611" t="str">
        <f t="shared" si="277"/>
        <v/>
      </c>
      <c r="P2104" s="611" t="str">
        <f t="shared" si="279"/>
        <v>Page5_PARCS_GOUV!L</v>
      </c>
      <c r="Q2104" s="611">
        <f t="shared" si="280"/>
        <v>30</v>
      </c>
      <c r="R2104" s="1447">
        <f t="shared" ca="1" si="281"/>
        <v>0</v>
      </c>
      <c r="S2104" s="1447">
        <f t="shared" ca="1" si="282"/>
        <v>0</v>
      </c>
      <c r="W2104" s="611" t="str">
        <f t="shared" ca="1" si="283"/>
        <v>Page5_PARCS_GOUV, Ligne 27 [Page5_PARCS_GOUV!L30]  -</v>
      </c>
    </row>
    <row r="2105" spans="1:23">
      <c r="A2105" s="1443" t="str">
        <f>celladdr(Page5_PARCS_GOUV!L31)</f>
        <v>Page5_PARCS_GOUV!L31</v>
      </c>
      <c r="B2105" s="1456" t="s">
        <v>1086</v>
      </c>
      <c r="C2105" s="1445" t="b">
        <f>Page5_PARCS_GOUV!$L31&lt;0</f>
        <v>0</v>
      </c>
      <c r="D2105" s="1454" t="b">
        <f>OR(AND(Page5_PARCS_GOUV!$L31&lt;&gt;0,Page5_PARCS_GOUV!$M31=0),AND(Page5_PARCS_GOUV!$M31&lt;&gt;0,Page5_PARCS_GOUV!$L31=0))</f>
        <v>0</v>
      </c>
      <c r="F2105" s="1454"/>
      <c r="G2105" s="1444" t="str">
        <f t="shared" si="278"/>
        <v/>
      </c>
      <c r="H2105" s="1446" t="str">
        <f>IF(C2105=TRUE,Comments!$B$23,"")</f>
        <v/>
      </c>
      <c r="I2105" s="1452" t="str">
        <f>IF(D2105=TRUE,Comments!$B$24,"")</f>
        <v/>
      </c>
      <c r="J2105" s="1452"/>
      <c r="K2105" s="1452"/>
      <c r="N2105" s="611" t="str">
        <f>"CPTE # "&amp;Page5_PARCS_GOUV!E31&amp;" "&amp;Page5_PARCS_GOUV!C31&amp;"  - CHIFFRE D'AFFAIRES RÉALISÉ - AAD"</f>
        <v>CPTE # 430L SILVERADO CHASSIS (4500+)  - CHIFFRE D'AFFAIRES RÉALISÉ - AAD</v>
      </c>
      <c r="O2105" s="611" t="str">
        <f t="shared" si="277"/>
        <v/>
      </c>
      <c r="P2105" s="611" t="str">
        <f t="shared" si="279"/>
        <v>Page5_PARCS_GOUV!L</v>
      </c>
      <c r="Q2105" s="611">
        <f t="shared" si="280"/>
        <v>31</v>
      </c>
      <c r="R2105" s="1447">
        <f t="shared" ca="1" si="281"/>
        <v>0</v>
      </c>
      <c r="S2105" s="1447">
        <f t="shared" ca="1" si="282"/>
        <v>0</v>
      </c>
      <c r="W2105" s="611" t="str">
        <f t="shared" ca="1" si="283"/>
        <v>Page5_PARCS_GOUV, Ligne 28 [Page5_PARCS_GOUV!L31]  -</v>
      </c>
    </row>
    <row r="2106" spans="1:23">
      <c r="A2106" s="1443" t="str">
        <f>celladdr(Page5_PARCS_GOUV!L32)</f>
        <v>Page5_PARCS_GOUV!L32</v>
      </c>
      <c r="B2106" s="1456" t="s">
        <v>1086</v>
      </c>
      <c r="C2106" s="1445" t="b">
        <f>Page5_PARCS_GOUV!$L32&lt;0</f>
        <v>0</v>
      </c>
      <c r="D2106" s="1454" t="b">
        <f>OR(AND(Page5_PARCS_GOUV!$L32&lt;&gt;0,Page5_PARCS_GOUV!$M32=0),AND(Page5_PARCS_GOUV!$M32&lt;&gt;0,Page5_PARCS_GOUV!$L32=0))</f>
        <v>0</v>
      </c>
      <c r="F2106" s="1454"/>
      <c r="G2106" s="1444" t="str">
        <f t="shared" si="278"/>
        <v/>
      </c>
      <c r="H2106" s="1446" t="str">
        <f>IF(C2106=TRUE,Comments!$B$23,"")</f>
        <v/>
      </c>
      <c r="I2106" s="1452" t="str">
        <f>IF(D2106=TRUE,Comments!$B$24,"")</f>
        <v/>
      </c>
      <c r="J2106" s="1452"/>
      <c r="K2106" s="1452"/>
      <c r="N2106" s="611" t="str">
        <f>"CPTE # "&amp;Page5_PARCS_GOUV!E32&amp;" "&amp;Page5_PARCS_GOUV!C32&amp;"  - CHIFFRE D'AFFAIRES RÉALISÉ - AAD"</f>
        <v>CPTE # 431L CHEVROLET/GMC LCF/CONV  - CHIFFRE D'AFFAIRES RÉALISÉ - AAD</v>
      </c>
      <c r="O2106" s="611" t="str">
        <f t="shared" si="277"/>
        <v/>
      </c>
      <c r="P2106" s="611" t="str">
        <f t="shared" si="279"/>
        <v>Page5_PARCS_GOUV!L</v>
      </c>
      <c r="Q2106" s="611">
        <f t="shared" si="280"/>
        <v>32</v>
      </c>
      <c r="R2106" s="1447">
        <f t="shared" ca="1" si="281"/>
        <v>0</v>
      </c>
      <c r="S2106" s="1447">
        <f t="shared" ca="1" si="282"/>
        <v>0</v>
      </c>
      <c r="W2106" s="611" t="str">
        <f t="shared" ca="1" si="283"/>
        <v>Page5_PARCS_GOUV, Ligne 29 [Page5_PARCS_GOUV!L32]  -</v>
      </c>
    </row>
    <row r="2107" spans="1:23">
      <c r="A2107" s="1443" t="str">
        <f>celladdr(Page5_PARCS_GOUV!L33)</f>
        <v>Page5_PARCS_GOUV!L33</v>
      </c>
      <c r="B2107" s="1456" t="s">
        <v>1086</v>
      </c>
      <c r="C2107" s="1445" t="b">
        <f>Page5_PARCS_GOUV!$L33&lt;0</f>
        <v>0</v>
      </c>
      <c r="D2107" s="1454" t="b">
        <f>OR(AND(Page5_PARCS_GOUV!$L33&lt;&gt;0,Page5_PARCS_GOUV!$M33=0),AND(Page5_PARCS_GOUV!$M33&lt;&gt;0,Page5_PARCS_GOUV!$L33=0))</f>
        <v>0</v>
      </c>
      <c r="F2107" s="1454"/>
      <c r="G2107" s="1444" t="str">
        <f t="shared" si="278"/>
        <v/>
      </c>
      <c r="H2107" s="1446" t="str">
        <f>IF(C2107=TRUE,Comments!$B$23,"")</f>
        <v/>
      </c>
      <c r="I2107" s="1452" t="str">
        <f>IF(D2107=TRUE,Comments!$B$24,"")</f>
        <v/>
      </c>
      <c r="J2107" s="1452"/>
      <c r="K2107" s="1452"/>
      <c r="N2107" s="611" t="str">
        <f>"CPTE # "&amp;Page5_PARCS_GOUV!E33&amp;" "&amp;Page5_PARCS_GOUV!C33&amp;"  - CHIFFRE D'AFFAIRES RÉALISÉ - AAD"</f>
        <v>CPTE # 432L EXPRESS/SAVANA MCI  - CHIFFRE D'AFFAIRES RÉALISÉ - AAD</v>
      </c>
      <c r="O2107" s="611" t="str">
        <f t="shared" si="277"/>
        <v/>
      </c>
      <c r="P2107" s="611" t="str">
        <f t="shared" si="279"/>
        <v>Page5_PARCS_GOUV!L</v>
      </c>
      <c r="Q2107" s="611">
        <f t="shared" si="280"/>
        <v>33</v>
      </c>
      <c r="R2107" s="1447">
        <f t="shared" ca="1" si="281"/>
        <v>0</v>
      </c>
      <c r="S2107" s="1447">
        <f t="shared" ca="1" si="282"/>
        <v>0</v>
      </c>
      <c r="W2107" s="611" t="str">
        <f t="shared" ca="1" si="283"/>
        <v>Page5_PARCS_GOUV, Ligne 30 [Page5_PARCS_GOUV!L33]  -</v>
      </c>
    </row>
    <row r="2108" spans="1:23">
      <c r="A2108" s="1443" t="str">
        <f>celladdr(Page5_PARCS_GOUV!L34)</f>
        <v>Page5_PARCS_GOUV!L34</v>
      </c>
      <c r="B2108" s="1456" t="s">
        <v>1086</v>
      </c>
      <c r="C2108" s="1445" t="b">
        <f>Page5_PARCS_GOUV!$L34&lt;0</f>
        <v>0</v>
      </c>
      <c r="D2108" s="1454" t="b">
        <f>OR(AND(Page5_PARCS_GOUV!$L34&lt;&gt;0,Page5_PARCS_GOUV!$M34=0),AND(Page5_PARCS_GOUV!$M34&lt;&gt;0,Page5_PARCS_GOUV!$L34=0))</f>
        <v>0</v>
      </c>
      <c r="F2108" s="1454"/>
      <c r="G2108" s="1444" t="str">
        <f t="shared" si="278"/>
        <v/>
      </c>
      <c r="H2108" s="1446" t="str">
        <f>IF(C2108=TRUE,Comments!$B$23,"")</f>
        <v/>
      </c>
      <c r="I2108" s="1452" t="str">
        <f>IF(D2108=TRUE,Comments!$B$24,"")</f>
        <v/>
      </c>
      <c r="J2108" s="1452"/>
      <c r="K2108" s="1452"/>
      <c r="N2108" s="611" t="str">
        <f>"CPTE # "&amp;Page5_PARCS_GOUV!E34&amp;" "&amp;Page5_PARCS_GOUV!C34&amp;"  - CHIFFRE D'AFFAIRES RÉALISÉ - AAD"</f>
        <v>CPTE # 433L BRIGHTDROP  - CHIFFRE D'AFFAIRES RÉALISÉ - AAD</v>
      </c>
      <c r="O2108" s="611" t="str">
        <f t="shared" si="277"/>
        <v/>
      </c>
      <c r="P2108" s="611" t="str">
        <f t="shared" si="279"/>
        <v>Page5_PARCS_GOUV!L</v>
      </c>
      <c r="Q2108" s="611">
        <f t="shared" si="280"/>
        <v>34</v>
      </c>
      <c r="R2108" s="1447">
        <f t="shared" ca="1" si="281"/>
        <v>0</v>
      </c>
      <c r="S2108" s="1447">
        <f t="shared" ca="1" si="282"/>
        <v>0</v>
      </c>
      <c r="W2108" s="611" t="str">
        <f t="shared" ca="1" si="283"/>
        <v>Page5_PARCS_GOUV, Ligne 31 [Page5_PARCS_GOUV!L34]  -</v>
      </c>
    </row>
    <row r="2109" spans="1:23">
      <c r="A2109" s="1443" t="str">
        <f>celladdr(Page5_PARCS_GOUV!L35)</f>
        <v>Page5_PARCS_GOUV!L35</v>
      </c>
      <c r="B2109" s="1456" t="s">
        <v>1086</v>
      </c>
      <c r="C2109" s="1445" t="b">
        <f>Page5_PARCS_GOUV!$L35&lt;0</f>
        <v>0</v>
      </c>
      <c r="D2109" s="1454" t="b">
        <f>OR(AND(Page5_PARCS_GOUV!$L35&lt;&gt;0,Page5_PARCS_GOUV!$M35=0),AND(Page5_PARCS_GOUV!$M35&lt;&gt;0,Page5_PARCS_GOUV!$L35=0))</f>
        <v>0</v>
      </c>
      <c r="F2109" s="1454"/>
      <c r="G2109" s="1444" t="str">
        <f t="shared" si="278"/>
        <v/>
      </c>
      <c r="H2109" s="1446" t="str">
        <f>IF(C2109=TRUE,Comments!$B$23,"")</f>
        <v/>
      </c>
      <c r="I2109" s="1452" t="str">
        <f>IF(D2109=TRUE,Comments!$B$24,"")</f>
        <v/>
      </c>
      <c r="J2109" s="1452"/>
      <c r="K2109" s="1452"/>
      <c r="N2109" s="611" t="str">
        <f>"CPTE # "&amp;Page5_PARCS_GOUV!E35&amp;" "&amp;Page5_PARCS_GOUV!C35&amp;"  - CHIFFRE D'AFFAIRES RÉALISÉ - AAD"</f>
        <v>CPTE # 434L NE PAS UTILISER  - CHIFFRE D'AFFAIRES RÉALISÉ - AAD</v>
      </c>
      <c r="O2109" s="611" t="str">
        <f t="shared" si="277"/>
        <v/>
      </c>
      <c r="P2109" s="611" t="str">
        <f t="shared" si="279"/>
        <v>Page5_PARCS_GOUV!L</v>
      </c>
      <c r="Q2109" s="611">
        <f t="shared" si="280"/>
        <v>35</v>
      </c>
      <c r="R2109" s="1447">
        <f t="shared" ca="1" si="281"/>
        <v>0</v>
      </c>
      <c r="S2109" s="1447">
        <f t="shared" ca="1" si="282"/>
        <v>0</v>
      </c>
      <c r="W2109" s="611" t="str">
        <f t="shared" ca="1" si="283"/>
        <v>Page5_PARCS_GOUV, Ligne 32 [Page5_PARCS_GOUV!L35]  -</v>
      </c>
    </row>
    <row r="2110" spans="1:23">
      <c r="A2110" s="1443" t="str">
        <f>celladdr(Page5_PARCS_GOUV!M4)</f>
        <v>Page5_PARCS_GOUV!M4</v>
      </c>
      <c r="B2110" s="1456" t="s">
        <v>1086</v>
      </c>
      <c r="D2110" s="1454" t="b">
        <f>OR(AND(Page5_PARCS_GOUV!$L4&lt;&gt;0,Page5_PARCS_GOUV!$M4=0),AND(Page5_PARCS_GOUV!$M4&lt;&gt;0,Page5_PARCS_GOUV!$L4=0))</f>
        <v>0</v>
      </c>
      <c r="E2110" s="1445" t="b">
        <f>IF(Page5_PARCS_GOUV!$K4=0,FALSE,OR(Page5_PARCS_GOUV!$M4/Page5_PARCS_GOUV!$K4&lt;INDEX(Min_Table,M2006),Page5_PARCS_GOUV!$M4/Page5_PARCS_GOUV!$K4&gt;INDEX(Max_Table,M2006)))</f>
        <v>0</v>
      </c>
      <c r="F2110" s="1454"/>
      <c r="G2110" s="1444" t="str">
        <f t="shared" si="278"/>
        <v/>
      </c>
      <c r="H2110" s="1446"/>
      <c r="I2110" s="1452" t="str">
        <f>IF(D2110=TRUE,Comments!$B$24,"")</f>
        <v/>
      </c>
      <c r="J2110" s="1446" t="str">
        <f>IF(E2110=TRUE,Comments!$B$22&amp;DOLLAR(INDEX(Min_Table,M2110),0)&amp;Comments!$B$18&amp;DOLLAR(INDEX(Max_Table,M2110),0)&amp;Comments!$B$19&amp;IFERROR(DOLLAR(Page5_PARCS_GOUV!$M4/Page5_PARCS_GOUV!$K4,0),0),"")</f>
        <v/>
      </c>
      <c r="K2110" s="1452"/>
      <c r="L2110" s="611">
        <f>ROW(OR_VEH!$A$673)</f>
        <v>673</v>
      </c>
      <c r="M2110" s="611">
        <f>ROW(OR_VEH!A536)</f>
        <v>536</v>
      </c>
      <c r="N2110" s="611" t="str">
        <f>"CPTE # "&amp;Page5_PARCS_GOUV!E4&amp;" "&amp;Page5_PARCS_GOUV!C4&amp;" - COÛT DES VENTES - AAD"</f>
        <v>CPTE # 400L CHEVROLET VOITURES MCI - COÛT DES VENTES - AAD</v>
      </c>
      <c r="O2110" s="611" t="str">
        <f t="shared" ref="O2110:O2173" si="284">IF(A2110=A2109,"TRUE","")</f>
        <v/>
      </c>
      <c r="P2110" s="611" t="str">
        <f t="shared" si="279"/>
        <v>Page5_PARCS_GOUV!M</v>
      </c>
      <c r="Q2110" s="611">
        <f t="shared" si="280"/>
        <v>4</v>
      </c>
      <c r="R2110" s="1447">
        <f t="shared" ca="1" si="281"/>
        <v>0</v>
      </c>
      <c r="S2110" s="1447">
        <f t="shared" ca="1" si="282"/>
        <v>0</v>
      </c>
      <c r="T2110" s="611">
        <v>22</v>
      </c>
      <c r="W2110" s="611" t="str">
        <f t="shared" ca="1" si="283"/>
        <v>Page5_PARCS_GOUV, Ligne 1 [Page5_PARCS_GOUV!M4]  -</v>
      </c>
    </row>
    <row r="2111" spans="1:23">
      <c r="A2111" s="1443" t="str">
        <f>celladdr(Page5_PARCS_GOUV!M5)</f>
        <v>Page5_PARCS_GOUV!M5</v>
      </c>
      <c r="B2111" s="1456" t="s">
        <v>1086</v>
      </c>
      <c r="D2111" s="1454" t="b">
        <f>OR(AND(Page5_PARCS_GOUV!$L5&lt;&gt;0,Page5_PARCS_GOUV!$M5=0),AND(Page5_PARCS_GOUV!$M5&lt;&gt;0,Page5_PARCS_GOUV!$L5=0))</f>
        <v>0</v>
      </c>
      <c r="E2111" s="1445" t="b">
        <f>IF(Page5_PARCS_GOUV!$K5=0,FALSE,OR(Page5_PARCS_GOUV!$M5/Page5_PARCS_GOUV!$K5&lt;INDEX(Min_Table,M2007),Page5_PARCS_GOUV!$M5/Page5_PARCS_GOUV!$K5&gt;INDEX(Max_Table,M2007)))</f>
        <v>0</v>
      </c>
      <c r="F2111" s="1454"/>
      <c r="G2111" s="1444" t="str">
        <f t="shared" si="278"/>
        <v/>
      </c>
      <c r="H2111" s="1446"/>
      <c r="I2111" s="1452" t="str">
        <f>IF(D2111=TRUE,Comments!$B$24,"")</f>
        <v/>
      </c>
      <c r="J2111" s="1446" t="str">
        <f>IF(E2111=TRUE,Comments!$B$22&amp;DOLLAR(INDEX(Min_Table,M2111),0)&amp;Comments!$B$18&amp;DOLLAR(INDEX(Max_Table,M2111),0)&amp;Comments!$B$19&amp;IFERROR(DOLLAR(Page5_PARCS_GOUV!$M5/Page5_PARCS_GOUV!$K5,0),0),"")</f>
        <v/>
      </c>
      <c r="K2111" s="1452"/>
      <c r="L2111" s="611">
        <f>ROW(OR_VEH!$A$673)</f>
        <v>673</v>
      </c>
      <c r="M2111" s="611">
        <f>ROW(OR_VEH!A537)</f>
        <v>537</v>
      </c>
      <c r="N2111" s="611" t="str">
        <f>"CPTE # "&amp;Page5_PARCS_GOUV!E5&amp;" "&amp;Page5_PARCS_GOUV!C5&amp;" - COÛT DES VENTES - AAD"</f>
        <v>CPTE # 401L CHEVROLET VOITURES VE - COÛT DES VENTES - AAD</v>
      </c>
      <c r="O2111" s="611" t="str">
        <f t="shared" si="284"/>
        <v/>
      </c>
      <c r="P2111" s="611" t="str">
        <f t="shared" si="279"/>
        <v>Page5_PARCS_GOUV!M</v>
      </c>
      <c r="Q2111" s="611">
        <f t="shared" si="280"/>
        <v>5</v>
      </c>
      <c r="R2111" s="1447">
        <f t="shared" ca="1" si="281"/>
        <v>0</v>
      </c>
      <c r="S2111" s="1447">
        <f t="shared" ca="1" si="282"/>
        <v>0</v>
      </c>
      <c r="T2111" s="611">
        <v>22</v>
      </c>
      <c r="W2111" s="611" t="str">
        <f t="shared" ca="1" si="283"/>
        <v>Page5_PARCS_GOUV, Ligne 2 [Page5_PARCS_GOUV!M5]  -</v>
      </c>
    </row>
    <row r="2112" spans="1:23">
      <c r="A2112" s="1443" t="str">
        <f>celladdr(Page5_PARCS_GOUV!M6)</f>
        <v>Page5_PARCS_GOUV!M6</v>
      </c>
      <c r="B2112" s="1456" t="s">
        <v>1086</v>
      </c>
      <c r="D2112" s="1454" t="b">
        <f>OR(AND(Page5_PARCS_GOUV!$L6&lt;&gt;0,Page5_PARCS_GOUV!$M6=0),AND(Page5_PARCS_GOUV!$M6&lt;&gt;0,Page5_PARCS_GOUV!$L6=0))</f>
        <v>0</v>
      </c>
      <c r="E2112" s="1445" t="b">
        <f>IF(Page5_PARCS_GOUV!$K6=0,FALSE,OR(Page5_PARCS_GOUV!$M6/Page5_PARCS_GOUV!$K6&lt;INDEX(Min_Table,M2008),Page5_PARCS_GOUV!$M6/Page5_PARCS_GOUV!$K6&gt;INDEX(Max_Table,M2008)))</f>
        <v>0</v>
      </c>
      <c r="F2112" s="1454"/>
      <c r="G2112" s="1444" t="str">
        <f t="shared" si="278"/>
        <v/>
      </c>
      <c r="H2112" s="1446"/>
      <c r="I2112" s="1452" t="str">
        <f>IF(D2112=TRUE,Comments!$B$24,"")</f>
        <v/>
      </c>
      <c r="J2112" s="1446" t="str">
        <f>IF(E2112=TRUE,Comments!$B$22&amp;DOLLAR(INDEX(Min_Table,M2112),0)&amp;Comments!$B$18&amp;DOLLAR(INDEX(Max_Table,M2112),0)&amp;Comments!$B$19&amp;IFERROR(DOLLAR(Page5_PARCS_GOUV!$M6/Page5_PARCS_GOUV!$K6,0),0),"")</f>
        <v/>
      </c>
      <c r="K2112" s="1452"/>
      <c r="L2112" s="611">
        <f>ROW(OR_VEH!$A$673)</f>
        <v>673</v>
      </c>
      <c r="M2112" s="611">
        <f>ROW(OR_VEH!A538)</f>
        <v>538</v>
      </c>
      <c r="N2112" s="611" t="str">
        <f>"CPTE # "&amp;Page5_PARCS_GOUV!E6&amp;" "&amp;Page5_PARCS_GOUV!C6&amp;" - COÛT DES VENTES - AAD"</f>
        <v>CPTE # 402L BUICK VOITURES MCI - COÛT DES VENTES - AAD</v>
      </c>
      <c r="O2112" s="611" t="str">
        <f t="shared" si="284"/>
        <v/>
      </c>
      <c r="P2112" s="611" t="str">
        <f t="shared" si="279"/>
        <v>Page5_PARCS_GOUV!M</v>
      </c>
      <c r="Q2112" s="611">
        <f t="shared" si="280"/>
        <v>6</v>
      </c>
      <c r="R2112" s="1447">
        <f t="shared" ca="1" si="281"/>
        <v>0</v>
      </c>
      <c r="S2112" s="1447">
        <f t="shared" ca="1" si="282"/>
        <v>0</v>
      </c>
      <c r="T2112" s="611">
        <v>22</v>
      </c>
      <c r="W2112" s="611" t="str">
        <f t="shared" ca="1" si="283"/>
        <v>Page5_PARCS_GOUV, Ligne 3 [Page5_PARCS_GOUV!M6]  -</v>
      </c>
    </row>
    <row r="2113" spans="1:23">
      <c r="A2113" s="1443" t="str">
        <f>celladdr(Page5_PARCS_GOUV!M7)</f>
        <v>Page5_PARCS_GOUV!M7</v>
      </c>
      <c r="B2113" s="1456" t="s">
        <v>1086</v>
      </c>
      <c r="D2113" s="1454" t="b">
        <f>OR(AND(Page5_PARCS_GOUV!$L7&lt;&gt;0,Page5_PARCS_GOUV!$M7=0),AND(Page5_PARCS_GOUV!$M7&lt;&gt;0,Page5_PARCS_GOUV!$L7=0))</f>
        <v>0</v>
      </c>
      <c r="E2113" s="1445" t="b">
        <f>IF(Page5_PARCS_GOUV!$K7=0,FALSE,OR(Page5_PARCS_GOUV!$M7/Page5_PARCS_GOUV!$K7&lt;INDEX(Min_Table,M2009),Page5_PARCS_GOUV!$M7/Page5_PARCS_GOUV!$K7&gt;INDEX(Max_Table,M2009)))</f>
        <v>0</v>
      </c>
      <c r="F2113" s="1454"/>
      <c r="G2113" s="1444" t="str">
        <f t="shared" si="278"/>
        <v/>
      </c>
      <c r="H2113" s="1446"/>
      <c r="I2113" s="1452" t="str">
        <f>IF(D2113=TRUE,Comments!$B$24,"")</f>
        <v/>
      </c>
      <c r="J2113" s="1446" t="str">
        <f>IF(E2113=TRUE,Comments!$B$22&amp;DOLLAR(INDEX(Min_Table,M2113),0)&amp;Comments!$B$18&amp;DOLLAR(INDEX(Max_Table,M2113),0)&amp;Comments!$B$19&amp;IFERROR(DOLLAR(Page5_PARCS_GOUV!$M7/Page5_PARCS_GOUV!$K7,0),0),"")</f>
        <v/>
      </c>
      <c r="K2113" s="1452"/>
      <c r="L2113" s="611">
        <f>ROW(OR_VEH!$A$673)</f>
        <v>673</v>
      </c>
      <c r="M2113" s="611">
        <f>ROW(OR_VEH!A539)</f>
        <v>539</v>
      </c>
      <c r="N2113" s="611" t="str">
        <f>"CPTE # "&amp;Page5_PARCS_GOUV!E7&amp;" "&amp;Page5_PARCS_GOUV!C7&amp;" - COÛT DES VENTES - AAD"</f>
        <v>CPTE # 403L BUICK VOITURES VE - COÛT DES VENTES - AAD</v>
      </c>
      <c r="O2113" s="611" t="str">
        <f t="shared" si="284"/>
        <v/>
      </c>
      <c r="P2113" s="611" t="str">
        <f t="shared" si="279"/>
        <v>Page5_PARCS_GOUV!M</v>
      </c>
      <c r="Q2113" s="611">
        <f t="shared" si="280"/>
        <v>7</v>
      </c>
      <c r="R2113" s="1447">
        <f t="shared" ca="1" si="281"/>
        <v>0</v>
      </c>
      <c r="S2113" s="1447">
        <f t="shared" ca="1" si="282"/>
        <v>0</v>
      </c>
      <c r="T2113" s="611">
        <v>22</v>
      </c>
      <c r="W2113" s="611" t="str">
        <f t="shared" ca="1" si="283"/>
        <v>Page5_PARCS_GOUV, Ligne 4 [Page5_PARCS_GOUV!M7]  -</v>
      </c>
    </row>
    <row r="2114" spans="1:23">
      <c r="A2114" s="1443" t="str">
        <f>celladdr(Page5_PARCS_GOUV!M8)</f>
        <v>Page5_PARCS_GOUV!M8</v>
      </c>
      <c r="B2114" s="1456" t="s">
        <v>1086</v>
      </c>
      <c r="D2114" s="1454" t="b">
        <f>OR(AND(Page5_PARCS_GOUV!$L8&lt;&gt;0,Page5_PARCS_GOUV!$M8=0),AND(Page5_PARCS_GOUV!$M8&lt;&gt;0,Page5_PARCS_GOUV!$L8=0))</f>
        <v>0</v>
      </c>
      <c r="E2114" s="1445" t="b">
        <f>IF(Page5_PARCS_GOUV!$K8=0,FALSE,OR(Page5_PARCS_GOUV!$M8/Page5_PARCS_GOUV!$K8&lt;INDEX(Min_Table,M2010),Page5_PARCS_GOUV!$M8/Page5_PARCS_GOUV!$K8&gt;INDEX(Max_Table,M2010)))</f>
        <v>0</v>
      </c>
      <c r="F2114" s="1454"/>
      <c r="G2114" s="1444" t="str">
        <f t="shared" ref="G2114:G2177" si="285">IF(H2114&amp;I2114&amp;J2114&amp;K2114&lt;&gt;"","No.de ref. du commentaire.: "&amp;W2114&amp;" "&amp;N2114&amp;" "&amp;H2114&amp;I2114&amp;IF(OR(C2114=TRUE,D2114=TRUE),"",J2114&amp;K2114&amp;V2114),"")</f>
        <v/>
      </c>
      <c r="H2114" s="1446"/>
      <c r="I2114" s="1452" t="str">
        <f>IF(D2114=TRUE,Comments!$B$24,"")</f>
        <v/>
      </c>
      <c r="J2114" s="1446" t="str">
        <f>IF(E2114=TRUE,Comments!$B$22&amp;DOLLAR(INDEX(Min_Table,M2114),0)&amp;Comments!$B$18&amp;DOLLAR(INDEX(Max_Table,M2114),0)&amp;Comments!$B$19&amp;IFERROR(DOLLAR(Page5_PARCS_GOUV!$M8/Page5_PARCS_GOUV!$K8,0),0),"")</f>
        <v/>
      </c>
      <c r="K2114" s="1452"/>
      <c r="L2114" s="611">
        <f>ROW(OR_VEH!$A$673)</f>
        <v>673</v>
      </c>
      <c r="M2114" s="611">
        <f>ROW(OR_VEH!A540)</f>
        <v>540</v>
      </c>
      <c r="N2114" s="611" t="str">
        <f>"CPTE # "&amp;Page5_PARCS_GOUV!E8&amp;" "&amp;Page5_PARCS_GOUV!C8&amp;" - COÛT DES VENTES - AAD"</f>
        <v>CPTE # 404L CADILLAC VOITURES MCI - COÛT DES VENTES - AAD</v>
      </c>
      <c r="O2114" s="611" t="str">
        <f t="shared" si="284"/>
        <v/>
      </c>
      <c r="P2114" s="611" t="str">
        <f t="shared" ref="P2114:P2177" si="286">LEFT(A2114,FIND("!",A2114)+1)</f>
        <v>Page5_PARCS_GOUV!M</v>
      </c>
      <c r="Q2114" s="611">
        <f t="shared" ref="Q2114:Q2177" si="287">VALUE(RIGHT(A2114,LEN(A2114)-FIND("!",A2114)-1))</f>
        <v>8</v>
      </c>
      <c r="R2114" s="1447">
        <f t="shared" ref="R2114:R2177" ca="1" si="288">IF(E2114=TRUE,INDIRECT("Comments!$D$"&amp;T2114),0)</f>
        <v>0</v>
      </c>
      <c r="S2114" s="1447">
        <f t="shared" ref="S2114:S2177" ca="1" si="289">IF(F2114=TRUE,INDIRECT("Comments!$D$"&amp;U2114),0)</f>
        <v>0</v>
      </c>
      <c r="T2114" s="611">
        <v>22</v>
      </c>
      <c r="W2114" s="611" t="str">
        <f t="shared" ref="W2114:W2177" ca="1" si="290">LEFT(A2114,FIND("!",A2114,1)-1)&amp;", Ligne "&amp;INDIRECT(ADDRESS(ROW(INDIRECT(A2114)),IF(INDIRECT(ADDRESS(ROW(INDIRECT(A2114)),1,,,LEFT(A2114,FIND("!",A2114,1)-1)))="",2,1),,,LEFT(A2114,FIND("!",A2114,1)-1)))&amp;" ["&amp;A2114&amp;"] "&amp;" -"</f>
        <v>Page5_PARCS_GOUV, Ligne 5 [Page5_PARCS_GOUV!M8]  -</v>
      </c>
    </row>
    <row r="2115" spans="1:23">
      <c r="A2115" s="1443" t="str">
        <f>celladdr(Page5_PARCS_GOUV!M9)</f>
        <v>Page5_PARCS_GOUV!M9</v>
      </c>
      <c r="B2115" s="1456" t="s">
        <v>1086</v>
      </c>
      <c r="D2115" s="1454" t="b">
        <f>OR(AND(Page5_PARCS_GOUV!$L9&lt;&gt;0,Page5_PARCS_GOUV!$M9=0),AND(Page5_PARCS_GOUV!$M9&lt;&gt;0,Page5_PARCS_GOUV!$L9=0))</f>
        <v>0</v>
      </c>
      <c r="E2115" s="1445" t="b">
        <f>IF(Page5_PARCS_GOUV!$K9=0,FALSE,OR(Page5_PARCS_GOUV!$M9/Page5_PARCS_GOUV!$K9&lt;INDEX(Min_Table,M2011),Page5_PARCS_GOUV!$M9/Page5_PARCS_GOUV!$K9&gt;INDEX(Max_Table,M2011)))</f>
        <v>0</v>
      </c>
      <c r="F2115" s="1454"/>
      <c r="G2115" s="1444" t="str">
        <f t="shared" si="285"/>
        <v/>
      </c>
      <c r="H2115" s="1446"/>
      <c r="I2115" s="1452" t="str">
        <f>IF(D2115=TRUE,Comments!$B$24,"")</f>
        <v/>
      </c>
      <c r="J2115" s="1446" t="str">
        <f>IF(E2115=TRUE,Comments!$B$22&amp;DOLLAR(INDEX(Min_Table,M2115),0)&amp;Comments!$B$18&amp;DOLLAR(INDEX(Max_Table,M2115),0)&amp;Comments!$B$19&amp;IFERROR(DOLLAR(Page5_PARCS_GOUV!$M9/Page5_PARCS_GOUV!$K9,0),0),"")</f>
        <v/>
      </c>
      <c r="K2115" s="1452"/>
      <c r="L2115" s="611">
        <f>ROW(OR_VEH!$A$673)</f>
        <v>673</v>
      </c>
      <c r="M2115" s="611">
        <f>ROW(OR_VEH!A541)</f>
        <v>541</v>
      </c>
      <c r="N2115" s="611" t="str">
        <f>"CPTE # "&amp;Page5_PARCS_GOUV!E9&amp;" "&amp;Page5_PARCS_GOUV!C9&amp;" - COÛT DES VENTES - AAD"</f>
        <v>CPTE # 405L CADILLAC VOITURES VE - COÛT DES VENTES - AAD</v>
      </c>
      <c r="O2115" s="611" t="str">
        <f t="shared" si="284"/>
        <v/>
      </c>
      <c r="P2115" s="611" t="str">
        <f t="shared" si="286"/>
        <v>Page5_PARCS_GOUV!M</v>
      </c>
      <c r="Q2115" s="611">
        <f t="shared" si="287"/>
        <v>9</v>
      </c>
      <c r="R2115" s="1447">
        <f t="shared" ca="1" si="288"/>
        <v>0</v>
      </c>
      <c r="S2115" s="1447">
        <f t="shared" ca="1" si="289"/>
        <v>0</v>
      </c>
      <c r="T2115" s="611">
        <v>22</v>
      </c>
      <c r="W2115" s="611" t="str">
        <f t="shared" ca="1" si="290"/>
        <v>Page5_PARCS_GOUV, Ligne 6 [Page5_PARCS_GOUV!M9]  -</v>
      </c>
    </row>
    <row r="2116" spans="1:23">
      <c r="A2116" s="1443" t="str">
        <f>celladdr(Page5_PARCS_GOUV!M10)</f>
        <v>Page5_PARCS_GOUV!M10</v>
      </c>
      <c r="B2116" s="1456" t="s">
        <v>1086</v>
      </c>
      <c r="D2116" s="1454" t="b">
        <f>OR(AND(Page5_PARCS_GOUV!$L10&lt;&gt;0,Page5_PARCS_GOUV!$M10=0),AND(Page5_PARCS_GOUV!$M10&lt;&gt;0,Page5_PARCS_GOUV!$L10=0))</f>
        <v>0</v>
      </c>
      <c r="E2116" s="1445" t="b">
        <f>IF(Page5_PARCS_GOUV!$K10=0,FALSE,OR(Page5_PARCS_GOUV!$M10/Page5_PARCS_GOUV!$K10&lt;INDEX(Min_Table,M2012),Page5_PARCS_GOUV!$M10/Page5_PARCS_GOUV!$K10&gt;INDEX(Max_Table,M2012)))</f>
        <v>0</v>
      </c>
      <c r="F2116" s="1454"/>
      <c r="G2116" s="1444" t="str">
        <f t="shared" si="285"/>
        <v/>
      </c>
      <c r="H2116" s="1446"/>
      <c r="I2116" s="1452" t="str">
        <f>IF(D2116=TRUE,Comments!$B$24,"")</f>
        <v/>
      </c>
      <c r="J2116" s="1446" t="str">
        <f>IF(E2116=TRUE,Comments!$B$22&amp;DOLLAR(INDEX(Min_Table,M2116),0)&amp;Comments!$B$18&amp;DOLLAR(INDEX(Max_Table,M2116),0)&amp;Comments!$B$19&amp;IFERROR(DOLLAR(Page5_PARCS_GOUV!$M10/Page5_PARCS_GOUV!$K10,0),0),"")</f>
        <v/>
      </c>
      <c r="K2116" s="1452"/>
      <c r="L2116" s="611">
        <f>ROW(OR_VEH!$A$673)</f>
        <v>673</v>
      </c>
      <c r="M2116" s="611">
        <f>ROW(OR_VEH!A542)</f>
        <v>542</v>
      </c>
      <c r="N2116" s="611" t="str">
        <f>"CPTE # "&amp;Page5_PARCS_GOUV!E10&amp;" "&amp;Page5_PARCS_GOUV!C10&amp;" - COÛT DES VENTES - AAD"</f>
        <v>CPTE # 406L NE PAS UTILISER - COÛT DES VENTES - AAD</v>
      </c>
      <c r="O2116" s="611" t="str">
        <f t="shared" si="284"/>
        <v/>
      </c>
      <c r="P2116" s="611" t="str">
        <f t="shared" si="286"/>
        <v>Page5_PARCS_GOUV!M</v>
      </c>
      <c r="Q2116" s="611">
        <f t="shared" si="287"/>
        <v>10</v>
      </c>
      <c r="R2116" s="1447">
        <f t="shared" ca="1" si="288"/>
        <v>0</v>
      </c>
      <c r="S2116" s="1447">
        <f t="shared" ca="1" si="289"/>
        <v>0</v>
      </c>
      <c r="T2116" s="611">
        <v>22</v>
      </c>
      <c r="W2116" s="611" t="str">
        <f t="shared" ca="1" si="290"/>
        <v>Page5_PARCS_GOUV, Ligne 7 [Page5_PARCS_GOUV!M10]  -</v>
      </c>
    </row>
    <row r="2117" spans="1:23">
      <c r="A2117" s="1443" t="str">
        <f>celladdr(Page5_PARCS_GOUV!M11)</f>
        <v>Page5_PARCS_GOUV!M11</v>
      </c>
      <c r="B2117" s="1456" t="s">
        <v>1086</v>
      </c>
      <c r="D2117" s="1454" t="b">
        <f>OR(AND(Page5_PARCS_GOUV!$L11&lt;&gt;0,Page5_PARCS_GOUV!$M11=0),AND(Page5_PARCS_GOUV!$M11&lt;&gt;0,Page5_PARCS_GOUV!$L11=0))</f>
        <v>0</v>
      </c>
      <c r="E2117" s="1445" t="b">
        <f>IF(Page5_PARCS_GOUV!$K11=0,FALSE,OR(Page5_PARCS_GOUV!$M11/Page5_PARCS_GOUV!$K11&lt;INDEX(Min_Table,M2013),Page5_PARCS_GOUV!$M11/Page5_PARCS_GOUV!$K11&gt;INDEX(Max_Table,M2013)))</f>
        <v>0</v>
      </c>
      <c r="F2117" s="1454"/>
      <c r="G2117" s="1444" t="str">
        <f t="shared" si="285"/>
        <v/>
      </c>
      <c r="H2117" s="1446"/>
      <c r="I2117" s="1452" t="str">
        <f>IF(D2117=TRUE,Comments!$B$24,"")</f>
        <v/>
      </c>
      <c r="J2117" s="1446" t="str">
        <f>IF(E2117=TRUE,Comments!$B$22&amp;DOLLAR(INDEX(Min_Table,M2117),0)&amp;Comments!$B$18&amp;DOLLAR(INDEX(Max_Table,M2117),0)&amp;Comments!$B$19&amp;IFERROR(DOLLAR(Page5_PARCS_GOUV!$M11/Page5_PARCS_GOUV!$K11,0),0),"")</f>
        <v/>
      </c>
      <c r="K2117" s="1452"/>
      <c r="L2117" s="611">
        <f>ROW(OR_VEH!$A$673)</f>
        <v>673</v>
      </c>
      <c r="M2117" s="611">
        <f>ROW(OR_VEH!A543)</f>
        <v>543</v>
      </c>
      <c r="N2117" s="611" t="str">
        <f>"CPTE # "&amp;Page5_PARCS_GOUV!E11&amp;" "&amp;Page5_PARCS_GOUV!C11&amp;" - COÛT DES VENTES - AAD"</f>
        <v>CPTE # 407L NE PAS UTILISER - COÛT DES VENTES - AAD</v>
      </c>
      <c r="O2117" s="611" t="str">
        <f t="shared" si="284"/>
        <v/>
      </c>
      <c r="P2117" s="611" t="str">
        <f t="shared" si="286"/>
        <v>Page5_PARCS_GOUV!M</v>
      </c>
      <c r="Q2117" s="611">
        <f t="shared" si="287"/>
        <v>11</v>
      </c>
      <c r="R2117" s="1447">
        <f t="shared" ca="1" si="288"/>
        <v>0</v>
      </c>
      <c r="S2117" s="1447">
        <f t="shared" ca="1" si="289"/>
        <v>0</v>
      </c>
      <c r="T2117" s="611">
        <v>22</v>
      </c>
      <c r="W2117" s="611" t="str">
        <f t="shared" ca="1" si="290"/>
        <v>Page5_PARCS_GOUV, Ligne 8 [Page5_PARCS_GOUV!M11]  -</v>
      </c>
    </row>
    <row r="2118" spans="1:23">
      <c r="A2118" s="1443" t="str">
        <f>celladdr(Page5_PARCS_GOUV!M12)</f>
        <v>Page5_PARCS_GOUV!M12</v>
      </c>
      <c r="B2118" s="2449" t="s">
        <v>1086</v>
      </c>
      <c r="D2118" s="1454"/>
      <c r="F2118" s="1454"/>
      <c r="G2118" s="1444" t="str">
        <f t="shared" si="285"/>
        <v/>
      </c>
      <c r="H2118" s="1446"/>
      <c r="I2118" s="1452"/>
      <c r="J2118" s="1446"/>
      <c r="K2118" s="1452"/>
      <c r="N2118" s="611" t="str">
        <f>"CPTE # "&amp;Page5_PARCS_GOUV!E12&amp;" "&amp;Page5_PARCS_GOUV!C12&amp;" - COÛT DES VENTES - AAD"</f>
        <v>CPTE #  TOTAL VOITURES DE PARCS - COÛT DES VENTES - AAD</v>
      </c>
      <c r="O2118" s="611" t="str">
        <f t="shared" si="284"/>
        <v/>
      </c>
      <c r="P2118" s="611" t="str">
        <f t="shared" si="286"/>
        <v>Page5_PARCS_GOUV!M</v>
      </c>
      <c r="Q2118" s="611">
        <f t="shared" si="287"/>
        <v>12</v>
      </c>
      <c r="R2118" s="1447">
        <f t="shared" ca="1" si="288"/>
        <v>0</v>
      </c>
      <c r="S2118" s="1447">
        <f t="shared" ca="1" si="289"/>
        <v>0</v>
      </c>
      <c r="W2118" s="611" t="str">
        <f t="shared" ca="1" si="290"/>
        <v>Page5_PARCS_GOUV, Ligne 9 [Page5_PARCS_GOUV!M12]  -</v>
      </c>
    </row>
    <row r="2119" spans="1:23">
      <c r="A2119" s="1443" t="str">
        <f>celladdr(Page5_PARCS_GOUV!M13)</f>
        <v>Page5_PARCS_GOUV!M13</v>
      </c>
      <c r="B2119" s="1456" t="s">
        <v>1086</v>
      </c>
      <c r="D2119" s="1454" t="b">
        <f>OR(AND(Page5_PARCS_GOUV!$L13&lt;&gt;0,Page5_PARCS_GOUV!$M13=0),AND(Page5_PARCS_GOUV!$M13&lt;&gt;0,Page5_PARCS_GOUV!$L13=0))</f>
        <v>0</v>
      </c>
      <c r="E2119" s="1445" t="b">
        <f>IF(Page5_PARCS_GOUV!$K13=0,FALSE,OR(Page5_PARCS_GOUV!$M13/Page5_PARCS_GOUV!$K13&lt;INDEX(Min_Table,M2015),Page5_PARCS_GOUV!$M13/Page5_PARCS_GOUV!$K13&gt;INDEX(Max_Table,M2015)))</f>
        <v>0</v>
      </c>
      <c r="F2119" s="1454"/>
      <c r="G2119" s="1444" t="str">
        <f t="shared" si="285"/>
        <v/>
      </c>
      <c r="H2119" s="1446"/>
      <c r="I2119" s="1452" t="str">
        <f>IF(D2119=TRUE,Comments!$B$24,"")</f>
        <v/>
      </c>
      <c r="J2119" s="1446" t="str">
        <f>IF(E2119=TRUE,Comments!$B$22&amp;DOLLAR(INDEX(Min_Table,M2119),0)&amp;Comments!$B$18&amp;DOLLAR(INDEX(Max_Table,M2119),0)&amp;Comments!$B$19&amp;IFERROR(DOLLAR(Page5_PARCS_GOUV!$M13/Page5_PARCS_GOUV!$K13,0),0),"")</f>
        <v/>
      </c>
      <c r="K2119" s="1452"/>
      <c r="L2119" s="611">
        <f>ROW(OR_VEH!$A$673)</f>
        <v>673</v>
      </c>
      <c r="M2119" s="611">
        <f>ROW(OR_VEH!A545)</f>
        <v>545</v>
      </c>
      <c r="N2119" s="611" t="str">
        <f>"CPTE # "&amp;Page5_PARCS_GOUV!E13&amp;" "&amp;Page5_PARCS_GOUV!C13&amp;" - COÛT DES VENTES - AAD"</f>
        <v>CPTE # 412L BUICK / CADILLAC PETIT VUS VE - COÛT DES VENTES - AAD</v>
      </c>
      <c r="O2119" s="611" t="str">
        <f t="shared" si="284"/>
        <v/>
      </c>
      <c r="P2119" s="611" t="str">
        <f t="shared" si="286"/>
        <v>Page5_PARCS_GOUV!M</v>
      </c>
      <c r="Q2119" s="611">
        <f t="shared" si="287"/>
        <v>13</v>
      </c>
      <c r="R2119" s="1447">
        <f t="shared" ca="1" si="288"/>
        <v>0</v>
      </c>
      <c r="S2119" s="1447">
        <f t="shared" ca="1" si="289"/>
        <v>0</v>
      </c>
      <c r="T2119" s="611">
        <v>22</v>
      </c>
      <c r="W2119" s="611" t="str">
        <f t="shared" ca="1" si="290"/>
        <v>Page5_PARCS_GOUV, Ligne 10 [Page5_PARCS_GOUV!M13]  -</v>
      </c>
    </row>
    <row r="2120" spans="1:23">
      <c r="A2120" s="1443" t="str">
        <f>celladdr(Page5_PARCS_GOUV!M14)</f>
        <v>Page5_PARCS_GOUV!M14</v>
      </c>
      <c r="B2120" s="1456" t="s">
        <v>1086</v>
      </c>
      <c r="D2120" s="1454" t="b">
        <f>OR(AND(Page5_PARCS_GOUV!$L14&lt;&gt;0,Page5_PARCS_GOUV!$M14=0),AND(Page5_PARCS_GOUV!$M14&lt;&gt;0,Page5_PARCS_GOUV!$L14=0))</f>
        <v>0</v>
      </c>
      <c r="E2120" s="1445" t="b">
        <f>IF(Page5_PARCS_GOUV!$K14=0,FALSE,OR(Page5_PARCS_GOUV!$M14/Page5_PARCS_GOUV!$K14&lt;INDEX(Min_Table,M2016),Page5_PARCS_GOUV!$M14/Page5_PARCS_GOUV!$K14&gt;INDEX(Max_Table,M2016)))</f>
        <v>0</v>
      </c>
      <c r="F2120" s="1454"/>
      <c r="G2120" s="1444" t="str">
        <f t="shared" si="285"/>
        <v/>
      </c>
      <c r="H2120" s="1446"/>
      <c r="I2120" s="1452" t="str">
        <f>IF(D2120=TRUE,Comments!$B$24,"")</f>
        <v/>
      </c>
      <c r="J2120" s="1446" t="str">
        <f>IF(E2120=TRUE,Comments!$B$22&amp;DOLLAR(INDEX(Min_Table,M2120),0)&amp;Comments!$B$18&amp;DOLLAR(INDEX(Max_Table,M2120),0)&amp;Comments!$B$19&amp;IFERROR(DOLLAR(Page5_PARCS_GOUV!$M14/Page5_PARCS_GOUV!$K14,0),0),"")</f>
        <v/>
      </c>
      <c r="K2120" s="1452"/>
      <c r="L2120" s="611">
        <f>ROW(OR_VEH!$A$673)</f>
        <v>673</v>
      </c>
      <c r="M2120" s="611">
        <f>ROW(OR_VEH!A546)</f>
        <v>546</v>
      </c>
      <c r="N2120" s="611" t="str">
        <f>"CPTE # "&amp;Page5_PARCS_GOUV!E14&amp;" "&amp;Page5_PARCS_GOUV!C14&amp;" - COÛT DES VENTES - AAD"</f>
        <v>CPTE # 413L BUICK / CADILLAC PETIT VUS MCI - COÛT DES VENTES - AAD</v>
      </c>
      <c r="O2120" s="611" t="str">
        <f t="shared" si="284"/>
        <v/>
      </c>
      <c r="P2120" s="611" t="str">
        <f t="shared" si="286"/>
        <v>Page5_PARCS_GOUV!M</v>
      </c>
      <c r="Q2120" s="611">
        <f t="shared" si="287"/>
        <v>14</v>
      </c>
      <c r="R2120" s="1447">
        <f t="shared" ca="1" si="288"/>
        <v>0</v>
      </c>
      <c r="S2120" s="1447">
        <f t="shared" ca="1" si="289"/>
        <v>0</v>
      </c>
      <c r="T2120" s="611">
        <v>22</v>
      </c>
      <c r="W2120" s="611" t="str">
        <f t="shared" ca="1" si="290"/>
        <v>Page5_PARCS_GOUV, Ligne 11 [Page5_PARCS_GOUV!M14]  -</v>
      </c>
    </row>
    <row r="2121" spans="1:23">
      <c r="A2121" s="1443" t="str">
        <f>celladdr(Page5_PARCS_GOUV!M15)</f>
        <v>Page5_PARCS_GOUV!M15</v>
      </c>
      <c r="B2121" s="1456" t="s">
        <v>1086</v>
      </c>
      <c r="D2121" s="1454" t="b">
        <f>OR(AND(Page5_PARCS_GOUV!$L15&lt;&gt;0,Page5_PARCS_GOUV!$M15=0),AND(Page5_PARCS_GOUV!$M15&lt;&gt;0,Page5_PARCS_GOUV!$L15=0))</f>
        <v>0</v>
      </c>
      <c r="E2121" s="1445" t="b">
        <f>IF(Page5_PARCS_GOUV!$K15=0,FALSE,OR(Page5_PARCS_GOUV!$M15/Page5_PARCS_GOUV!$K15&lt;INDEX(Min_Table,M2017),Page5_PARCS_GOUV!$M15/Page5_PARCS_GOUV!$K15&gt;INDEX(Max_Table,M2017)))</f>
        <v>0</v>
      </c>
      <c r="F2121" s="1454"/>
      <c r="G2121" s="1444" t="str">
        <f t="shared" si="285"/>
        <v/>
      </c>
      <c r="H2121" s="1446"/>
      <c r="I2121" s="1452" t="str">
        <f>IF(D2121=TRUE,Comments!$B$24,"")</f>
        <v/>
      </c>
      <c r="J2121" s="1446" t="str">
        <f>IF(E2121=TRUE,Comments!$B$22&amp;DOLLAR(INDEX(Min_Table,M2121),0)&amp;Comments!$B$18&amp;DOLLAR(INDEX(Max_Table,M2121),0)&amp;Comments!$B$19&amp;IFERROR(DOLLAR(Page5_PARCS_GOUV!$M15/Page5_PARCS_GOUV!$K15,0),0),"")</f>
        <v/>
      </c>
      <c r="K2121" s="1452"/>
      <c r="L2121" s="611">
        <f>ROW(OR_VEH!$A$673)</f>
        <v>673</v>
      </c>
      <c r="M2121" s="611">
        <f>ROW(OR_VEH!A547)</f>
        <v>547</v>
      </c>
      <c r="N2121" s="611" t="str">
        <f>"CPTE # "&amp;Page5_PARCS_GOUV!E15&amp;" "&amp;Page5_PARCS_GOUV!C15&amp;" - COÛT DES VENTES - AAD"</f>
        <v>CPTE # 414L BUICK / CADILLAC MOYEN VUS VE - COÛT DES VENTES - AAD</v>
      </c>
      <c r="O2121" s="611" t="str">
        <f t="shared" si="284"/>
        <v/>
      </c>
      <c r="P2121" s="611" t="str">
        <f t="shared" si="286"/>
        <v>Page5_PARCS_GOUV!M</v>
      </c>
      <c r="Q2121" s="611">
        <f t="shared" si="287"/>
        <v>15</v>
      </c>
      <c r="R2121" s="1447">
        <f t="shared" ca="1" si="288"/>
        <v>0</v>
      </c>
      <c r="S2121" s="1447">
        <f t="shared" ca="1" si="289"/>
        <v>0</v>
      </c>
      <c r="T2121" s="611">
        <v>22</v>
      </c>
      <c r="W2121" s="611" t="str">
        <f t="shared" ca="1" si="290"/>
        <v>Page5_PARCS_GOUV, Ligne 12 [Page5_PARCS_GOUV!M15]  -</v>
      </c>
    </row>
    <row r="2122" spans="1:23">
      <c r="A2122" s="1443" t="str">
        <f>celladdr(Page5_PARCS_GOUV!M16)</f>
        <v>Page5_PARCS_GOUV!M16</v>
      </c>
      <c r="B2122" s="1456" t="s">
        <v>1086</v>
      </c>
      <c r="D2122" s="1454" t="b">
        <f>OR(AND(Page5_PARCS_GOUV!$L16&lt;&gt;0,Page5_PARCS_GOUV!$M16=0),AND(Page5_PARCS_GOUV!$M16&lt;&gt;0,Page5_PARCS_GOUV!$L16=0))</f>
        <v>0</v>
      </c>
      <c r="E2122" s="1445" t="b">
        <f>IF(Page5_PARCS_GOUV!$K16=0,FALSE,OR(Page5_PARCS_GOUV!$M16/Page5_PARCS_GOUV!$K16&lt;INDEX(Min_Table,M2018),Page5_PARCS_GOUV!$M16/Page5_PARCS_GOUV!$K16&gt;INDEX(Max_Table,M2018)))</f>
        <v>0</v>
      </c>
      <c r="F2122" s="1454"/>
      <c r="G2122" s="1444" t="str">
        <f t="shared" si="285"/>
        <v/>
      </c>
      <c r="H2122" s="1446"/>
      <c r="I2122" s="1452" t="str">
        <f>IF(D2122=TRUE,Comments!$B$24,"")</f>
        <v/>
      </c>
      <c r="J2122" s="1446" t="str">
        <f>IF(E2122=TRUE,Comments!$B$22&amp;DOLLAR(INDEX(Min_Table,M2122),0)&amp;Comments!$B$18&amp;DOLLAR(INDEX(Max_Table,M2122),0)&amp;Comments!$B$19&amp;IFERROR(DOLLAR(Page5_PARCS_GOUV!$M16/Page5_PARCS_GOUV!$K16,0),0),"")</f>
        <v/>
      </c>
      <c r="K2122" s="1452"/>
      <c r="L2122" s="611">
        <f>ROW(OR_VEH!$A$673)</f>
        <v>673</v>
      </c>
      <c r="M2122" s="611">
        <f>ROW(OR_VEH!A548)</f>
        <v>548</v>
      </c>
      <c r="N2122" s="611" t="str">
        <f>"CPTE # "&amp;Page5_PARCS_GOUV!E16&amp;" "&amp;Page5_PARCS_GOUV!C16&amp;" - COÛT DES VENTES - AAD"</f>
        <v>CPTE # 415L BUICK / CADILLAC MOYEN VUS MCI - COÛT DES VENTES - AAD</v>
      </c>
      <c r="O2122" s="611" t="str">
        <f t="shared" si="284"/>
        <v/>
      </c>
      <c r="P2122" s="611" t="str">
        <f t="shared" si="286"/>
        <v>Page5_PARCS_GOUV!M</v>
      </c>
      <c r="Q2122" s="611">
        <f t="shared" si="287"/>
        <v>16</v>
      </c>
      <c r="R2122" s="1447">
        <f t="shared" ca="1" si="288"/>
        <v>0</v>
      </c>
      <c r="S2122" s="1447">
        <f t="shared" ca="1" si="289"/>
        <v>0</v>
      </c>
      <c r="T2122" s="611">
        <v>22</v>
      </c>
      <c r="W2122" s="611" t="str">
        <f t="shared" ca="1" si="290"/>
        <v>Page5_PARCS_GOUV, Ligne 13 [Page5_PARCS_GOUV!M16]  -</v>
      </c>
    </row>
    <row r="2123" spans="1:23">
      <c r="A2123" s="1443" t="str">
        <f>celladdr(Page5_PARCS_GOUV!M17)</f>
        <v>Page5_PARCS_GOUV!M17</v>
      </c>
      <c r="B2123" s="1456" t="s">
        <v>1086</v>
      </c>
      <c r="D2123" s="1454" t="b">
        <f>OR(AND(Page5_PARCS_GOUV!$L17&lt;&gt;0,Page5_PARCS_GOUV!$M17=0),AND(Page5_PARCS_GOUV!$M17&lt;&gt;0,Page5_PARCS_GOUV!$L17=0))</f>
        <v>0</v>
      </c>
      <c r="E2123" s="1445" t="b">
        <f>IF(Page5_PARCS_GOUV!$K17=0,FALSE,OR(Page5_PARCS_GOUV!$M17/Page5_PARCS_GOUV!$K17&lt;INDEX(Min_Table,M2019),Page5_PARCS_GOUV!$M17/Page5_PARCS_GOUV!$K17&gt;INDEX(Max_Table,M2019)))</f>
        <v>0</v>
      </c>
      <c r="F2123" s="1454"/>
      <c r="G2123" s="1444" t="str">
        <f t="shared" si="285"/>
        <v/>
      </c>
      <c r="H2123" s="1446"/>
      <c r="I2123" s="1452" t="str">
        <f>IF(D2123=TRUE,Comments!$B$24,"")</f>
        <v/>
      </c>
      <c r="J2123" s="1446" t="str">
        <f>IF(E2123=TRUE,Comments!$B$22&amp;DOLLAR(INDEX(Min_Table,M2123),0)&amp;Comments!$B$18&amp;DOLLAR(INDEX(Max_Table,M2123),0)&amp;Comments!$B$19&amp;IFERROR(DOLLAR(Page5_PARCS_GOUV!$M17/Page5_PARCS_GOUV!$K17,0),0),"")</f>
        <v/>
      </c>
      <c r="K2123" s="1452"/>
      <c r="L2123" s="611">
        <f>ROW(OR_VEH!$A$673)</f>
        <v>673</v>
      </c>
      <c r="M2123" s="611">
        <f>ROW(OR_VEH!A549)</f>
        <v>549</v>
      </c>
      <c r="N2123" s="611" t="str">
        <f>"CPTE # "&amp;Page5_PARCS_GOUV!E17&amp;" "&amp;Page5_PARCS_GOUV!C17&amp;" - COÛT DES VENTES - AAD"</f>
        <v>CPTE # 416L BUICK / CADILLAC GRAND VUS VE - COÛT DES VENTES - AAD</v>
      </c>
      <c r="O2123" s="611" t="str">
        <f t="shared" si="284"/>
        <v/>
      </c>
      <c r="P2123" s="611" t="str">
        <f t="shared" si="286"/>
        <v>Page5_PARCS_GOUV!M</v>
      </c>
      <c r="Q2123" s="611">
        <f t="shared" si="287"/>
        <v>17</v>
      </c>
      <c r="R2123" s="1447">
        <f t="shared" ca="1" si="288"/>
        <v>0</v>
      </c>
      <c r="S2123" s="1447">
        <f t="shared" ca="1" si="289"/>
        <v>0</v>
      </c>
      <c r="T2123" s="611">
        <v>22</v>
      </c>
      <c r="W2123" s="611" t="str">
        <f t="shared" ca="1" si="290"/>
        <v>Page5_PARCS_GOUV, Ligne 14 [Page5_PARCS_GOUV!M17]  -</v>
      </c>
    </row>
    <row r="2124" spans="1:23">
      <c r="A2124" s="1443" t="str">
        <f>celladdr(Page5_PARCS_GOUV!M18)</f>
        <v>Page5_PARCS_GOUV!M18</v>
      </c>
      <c r="B2124" s="1456" t="s">
        <v>1086</v>
      </c>
      <c r="D2124" s="1454" t="b">
        <f>OR(AND(Page5_PARCS_GOUV!$L18&lt;&gt;0,Page5_PARCS_GOUV!$M18=0),AND(Page5_PARCS_GOUV!$M18&lt;&gt;0,Page5_PARCS_GOUV!$L18=0))</f>
        <v>0</v>
      </c>
      <c r="E2124" s="1445" t="b">
        <f>IF(Page5_PARCS_GOUV!$K18=0,FALSE,OR(Page5_PARCS_GOUV!$M18/Page5_PARCS_GOUV!$K18&lt;INDEX(Min_Table,M2020),Page5_PARCS_GOUV!$M18/Page5_PARCS_GOUV!$K18&gt;INDEX(Max_Table,M2020)))</f>
        <v>0</v>
      </c>
      <c r="F2124" s="1454"/>
      <c r="G2124" s="1444" t="str">
        <f t="shared" si="285"/>
        <v/>
      </c>
      <c r="H2124" s="1446"/>
      <c r="I2124" s="1452" t="str">
        <f>IF(D2124=TRUE,Comments!$B$24,"")</f>
        <v/>
      </c>
      <c r="J2124" s="1446" t="str">
        <f>IF(E2124=TRUE,Comments!$B$22&amp;DOLLAR(INDEX(Min_Table,M2124),0)&amp;Comments!$B$18&amp;DOLLAR(INDEX(Max_Table,M2124),0)&amp;Comments!$B$19&amp;IFERROR(DOLLAR(Page5_PARCS_GOUV!$M18/Page5_PARCS_GOUV!$K18,0),0),"")</f>
        <v/>
      </c>
      <c r="K2124" s="1452"/>
      <c r="L2124" s="611">
        <f>ROW(OR_VEH!$A$673)</f>
        <v>673</v>
      </c>
      <c r="M2124" s="611">
        <f>ROW(OR_VEH!A550)</f>
        <v>550</v>
      </c>
      <c r="N2124" s="611" t="str">
        <f>"CPTE # "&amp;Page5_PARCS_GOUV!E18&amp;" "&amp;Page5_PARCS_GOUV!C18&amp;" - COÛT DES VENTES - AAD"</f>
        <v>CPTE # 417L BUICK / CADILLAC GRAND VUS MCI - COÛT DES VENTES - AAD</v>
      </c>
      <c r="O2124" s="611" t="str">
        <f t="shared" si="284"/>
        <v/>
      </c>
      <c r="P2124" s="611" t="str">
        <f t="shared" si="286"/>
        <v>Page5_PARCS_GOUV!M</v>
      </c>
      <c r="Q2124" s="611">
        <f t="shared" si="287"/>
        <v>18</v>
      </c>
      <c r="R2124" s="1447">
        <f t="shared" ca="1" si="288"/>
        <v>0</v>
      </c>
      <c r="S2124" s="1447">
        <f t="shared" ca="1" si="289"/>
        <v>0</v>
      </c>
      <c r="T2124" s="611">
        <v>22</v>
      </c>
      <c r="W2124" s="611" t="str">
        <f t="shared" ca="1" si="290"/>
        <v>Page5_PARCS_GOUV, Ligne 15 [Page5_PARCS_GOUV!M18]  -</v>
      </c>
    </row>
    <row r="2125" spans="1:23">
      <c r="A2125" s="1443" t="str">
        <f>celladdr(Page5_PARCS_GOUV!M19)</f>
        <v>Page5_PARCS_GOUV!M19</v>
      </c>
      <c r="B2125" s="1456" t="s">
        <v>1086</v>
      </c>
      <c r="D2125" s="1454" t="b">
        <f>OR(AND(Page5_PARCS_GOUV!$L19&lt;&gt;0,Page5_PARCS_GOUV!$M19=0),AND(Page5_PARCS_GOUV!$M19&lt;&gt;0,Page5_PARCS_GOUV!$L19=0))</f>
        <v>0</v>
      </c>
      <c r="E2125" s="1445" t="b">
        <f>IF(Page5_PARCS_GOUV!$K19=0,FALSE,OR(Page5_PARCS_GOUV!$M19/Page5_PARCS_GOUV!$K19&lt;INDEX(Min_Table,M2021),Page5_PARCS_GOUV!$M19/Page5_PARCS_GOUV!$K19&gt;INDEX(Max_Table,M2021)))</f>
        <v>0</v>
      </c>
      <c r="F2125" s="1454"/>
      <c r="G2125" s="1444" t="str">
        <f t="shared" si="285"/>
        <v/>
      </c>
      <c r="H2125" s="1446"/>
      <c r="I2125" s="1452" t="str">
        <f>IF(D2125=TRUE,Comments!$B$24,"")</f>
        <v/>
      </c>
      <c r="J2125" s="1446" t="str">
        <f>IF(E2125=TRUE,Comments!$B$22&amp;DOLLAR(INDEX(Min_Table,M2125),0)&amp;Comments!$B$18&amp;DOLLAR(INDEX(Max_Table,M2125),0)&amp;Comments!$B$19&amp;IFERROR(DOLLAR(Page5_PARCS_GOUV!$M19/Page5_PARCS_GOUV!$K19,0),0),"")</f>
        <v/>
      </c>
      <c r="K2125" s="1452"/>
      <c r="L2125" s="611">
        <f>ROW(OR_VEH!$A$673)</f>
        <v>673</v>
      </c>
      <c r="M2125" s="611">
        <f>ROW(OR_VEH!A551)</f>
        <v>551</v>
      </c>
      <c r="N2125" s="611" t="str">
        <f>"CPTE # "&amp;Page5_PARCS_GOUV!E19&amp;" "&amp;Page5_PARCS_GOUV!C19&amp;" - COÛT DES VENTES - AAD"</f>
        <v>CPTE # 418L CHEVROLET / GMC PETIT VUS VE - COÛT DES VENTES - AAD</v>
      </c>
      <c r="O2125" s="611" t="str">
        <f t="shared" si="284"/>
        <v/>
      </c>
      <c r="P2125" s="611" t="str">
        <f t="shared" si="286"/>
        <v>Page5_PARCS_GOUV!M</v>
      </c>
      <c r="Q2125" s="611">
        <f t="shared" si="287"/>
        <v>19</v>
      </c>
      <c r="R2125" s="1447">
        <f t="shared" ca="1" si="288"/>
        <v>0</v>
      </c>
      <c r="S2125" s="1447">
        <f t="shared" ca="1" si="289"/>
        <v>0</v>
      </c>
      <c r="T2125" s="611">
        <v>22</v>
      </c>
      <c r="W2125" s="611" t="str">
        <f t="shared" ca="1" si="290"/>
        <v>Page5_PARCS_GOUV, Ligne 16 [Page5_PARCS_GOUV!M19]  -</v>
      </c>
    </row>
    <row r="2126" spans="1:23">
      <c r="A2126" s="1443" t="str">
        <f>celladdr(Page5_PARCS_GOUV!M20)</f>
        <v>Page5_PARCS_GOUV!M20</v>
      </c>
      <c r="B2126" s="1456" t="s">
        <v>1086</v>
      </c>
      <c r="D2126" s="1454" t="b">
        <f>OR(AND(Page5_PARCS_GOUV!$L20&lt;&gt;0,Page5_PARCS_GOUV!$M20=0),AND(Page5_PARCS_GOUV!$M20&lt;&gt;0,Page5_PARCS_GOUV!$L20=0))</f>
        <v>0</v>
      </c>
      <c r="E2126" s="1445" t="b">
        <f>IF(Page5_PARCS_GOUV!$K20=0,FALSE,OR(Page5_PARCS_GOUV!$M20/Page5_PARCS_GOUV!$K20&lt;INDEX(Min_Table,M2022),Page5_PARCS_GOUV!$M20/Page5_PARCS_GOUV!$K20&gt;INDEX(Max_Table,M2022)))</f>
        <v>0</v>
      </c>
      <c r="F2126" s="1454"/>
      <c r="G2126" s="1444" t="str">
        <f t="shared" si="285"/>
        <v/>
      </c>
      <c r="H2126" s="1446"/>
      <c r="I2126" s="1452" t="str">
        <f>IF(D2126=TRUE,Comments!$B$24,"")</f>
        <v/>
      </c>
      <c r="J2126" s="1446" t="str">
        <f>IF(E2126=TRUE,Comments!$B$22&amp;DOLLAR(INDEX(Min_Table,M2126),0)&amp;Comments!$B$18&amp;DOLLAR(INDEX(Max_Table,M2126),0)&amp;Comments!$B$19&amp;IFERROR(DOLLAR(Page5_PARCS_GOUV!$M20/Page5_PARCS_GOUV!$K20,0),0),"")</f>
        <v/>
      </c>
      <c r="K2126" s="1452"/>
      <c r="L2126" s="611">
        <f>ROW(OR_VEH!$A$673)</f>
        <v>673</v>
      </c>
      <c r="M2126" s="611">
        <f>ROW(OR_VEH!A552)</f>
        <v>552</v>
      </c>
      <c r="N2126" s="611" t="str">
        <f>"CPTE # "&amp;Page5_PARCS_GOUV!E20&amp;" "&amp;Page5_PARCS_GOUV!C20&amp;" - COÛT DES VENTES - AAD"</f>
        <v>CPTE # 419L CHEVROLET / GMC PETIT VUS MCI - COÛT DES VENTES - AAD</v>
      </c>
      <c r="O2126" s="611" t="str">
        <f t="shared" si="284"/>
        <v/>
      </c>
      <c r="P2126" s="611" t="str">
        <f t="shared" si="286"/>
        <v>Page5_PARCS_GOUV!M</v>
      </c>
      <c r="Q2126" s="611">
        <f t="shared" si="287"/>
        <v>20</v>
      </c>
      <c r="R2126" s="1447">
        <f t="shared" ca="1" si="288"/>
        <v>0</v>
      </c>
      <c r="S2126" s="1447">
        <f t="shared" ca="1" si="289"/>
        <v>0</v>
      </c>
      <c r="T2126" s="611">
        <v>22</v>
      </c>
      <c r="W2126" s="611" t="str">
        <f t="shared" ca="1" si="290"/>
        <v>Page5_PARCS_GOUV, Ligne 17 [Page5_PARCS_GOUV!M20]  -</v>
      </c>
    </row>
    <row r="2127" spans="1:23">
      <c r="A2127" s="1443" t="str">
        <f>celladdr(Page5_PARCS_GOUV!M21)</f>
        <v>Page5_PARCS_GOUV!M21</v>
      </c>
      <c r="B2127" s="1456" t="s">
        <v>1086</v>
      </c>
      <c r="D2127" s="1454" t="b">
        <f>OR(AND(Page5_PARCS_GOUV!$L21&lt;&gt;0,Page5_PARCS_GOUV!$M21=0),AND(Page5_PARCS_GOUV!$M21&lt;&gt;0,Page5_PARCS_GOUV!$L21=0))</f>
        <v>0</v>
      </c>
      <c r="E2127" s="1445" t="b">
        <f>IF(Page5_PARCS_GOUV!$K21=0,FALSE,OR(Page5_PARCS_GOUV!$M21/Page5_PARCS_GOUV!$K21&lt;INDEX(Min_Table,M2023),Page5_PARCS_GOUV!$M21/Page5_PARCS_GOUV!$K21&gt;INDEX(Max_Table,M2023)))</f>
        <v>0</v>
      </c>
      <c r="F2127" s="1454"/>
      <c r="G2127" s="1444" t="str">
        <f t="shared" si="285"/>
        <v/>
      </c>
      <c r="H2127" s="1446"/>
      <c r="I2127" s="1452" t="str">
        <f>IF(D2127=TRUE,Comments!$B$24,"")</f>
        <v/>
      </c>
      <c r="J2127" s="1446" t="str">
        <f>IF(E2127=TRUE,Comments!$B$22&amp;DOLLAR(INDEX(Min_Table,M2127),0)&amp;Comments!$B$18&amp;DOLLAR(INDEX(Max_Table,M2127),0)&amp;Comments!$B$19&amp;IFERROR(DOLLAR(Page5_PARCS_GOUV!$M21/Page5_PARCS_GOUV!$K21,0),0),"")</f>
        <v/>
      </c>
      <c r="K2127" s="1452"/>
      <c r="L2127" s="611">
        <f>ROW(OR_VEH!$A$673)</f>
        <v>673</v>
      </c>
      <c r="M2127" s="611">
        <f>ROW(OR_VEH!A553)</f>
        <v>553</v>
      </c>
      <c r="N2127" s="611" t="str">
        <f>"CPTE # "&amp;Page5_PARCS_GOUV!E21&amp;" "&amp;Page5_PARCS_GOUV!C21&amp;" - COÛT DES VENTES - AAD"</f>
        <v>CPTE # 420L CHEVROLET / GMC MOYEN VUS VE - COÛT DES VENTES - AAD</v>
      </c>
      <c r="O2127" s="611" t="str">
        <f t="shared" si="284"/>
        <v/>
      </c>
      <c r="P2127" s="611" t="str">
        <f t="shared" si="286"/>
        <v>Page5_PARCS_GOUV!M</v>
      </c>
      <c r="Q2127" s="611">
        <f t="shared" si="287"/>
        <v>21</v>
      </c>
      <c r="R2127" s="1447">
        <f t="shared" ca="1" si="288"/>
        <v>0</v>
      </c>
      <c r="S2127" s="1447">
        <f t="shared" ca="1" si="289"/>
        <v>0</v>
      </c>
      <c r="T2127" s="611">
        <v>22</v>
      </c>
      <c r="W2127" s="611" t="str">
        <f t="shared" ca="1" si="290"/>
        <v>Page5_PARCS_GOUV, Ligne 18 [Page5_PARCS_GOUV!M21]  -</v>
      </c>
    </row>
    <row r="2128" spans="1:23">
      <c r="A2128" s="1443" t="str">
        <f>celladdr(Page5_PARCS_GOUV!M22)</f>
        <v>Page5_PARCS_GOUV!M22</v>
      </c>
      <c r="B2128" s="1456" t="s">
        <v>1086</v>
      </c>
      <c r="D2128" s="1454" t="b">
        <f>OR(AND(Page5_PARCS_GOUV!$L22&lt;&gt;0,Page5_PARCS_GOUV!$M22=0),AND(Page5_PARCS_GOUV!$M22&lt;&gt;0,Page5_PARCS_GOUV!$L22=0))</f>
        <v>0</v>
      </c>
      <c r="E2128" s="1445" t="b">
        <f>IF(Page5_PARCS_GOUV!$K22=0,FALSE,OR(Page5_PARCS_GOUV!$M22/Page5_PARCS_GOUV!$K22&lt;INDEX(Min_Table,M2024),Page5_PARCS_GOUV!$M22/Page5_PARCS_GOUV!$K22&gt;INDEX(Max_Table,M2024)))</f>
        <v>0</v>
      </c>
      <c r="F2128" s="1454"/>
      <c r="G2128" s="1444" t="str">
        <f t="shared" si="285"/>
        <v/>
      </c>
      <c r="H2128" s="1446"/>
      <c r="I2128" s="1452" t="str">
        <f>IF(D2128=TRUE,Comments!$B$24,"")</f>
        <v/>
      </c>
      <c r="J2128" s="1446" t="str">
        <f>IF(E2128=TRUE,Comments!$B$22&amp;DOLLAR(INDEX(Min_Table,M2128),0)&amp;Comments!$B$18&amp;DOLLAR(INDEX(Max_Table,M2128),0)&amp;Comments!$B$19&amp;IFERROR(DOLLAR(Page5_PARCS_GOUV!$M22/Page5_PARCS_GOUV!$K22,0),0),"")</f>
        <v/>
      </c>
      <c r="K2128" s="1452"/>
      <c r="L2128" s="611">
        <f>ROW(OR_VEH!$A$673)</f>
        <v>673</v>
      </c>
      <c r="M2128" s="611">
        <f>ROW(OR_VEH!A554)</f>
        <v>554</v>
      </c>
      <c r="N2128" s="611" t="str">
        <f>"CPTE # "&amp;Page5_PARCS_GOUV!E22&amp;" "&amp;Page5_PARCS_GOUV!C22&amp;" - COÛT DES VENTES - AAD"</f>
        <v>CPTE # 421L CHEVROLET / GMC MOYEN VUS MCI - COÛT DES VENTES - AAD</v>
      </c>
      <c r="O2128" s="611" t="str">
        <f t="shared" si="284"/>
        <v/>
      </c>
      <c r="P2128" s="611" t="str">
        <f t="shared" si="286"/>
        <v>Page5_PARCS_GOUV!M</v>
      </c>
      <c r="Q2128" s="611">
        <f t="shared" si="287"/>
        <v>22</v>
      </c>
      <c r="R2128" s="1447">
        <f t="shared" ca="1" si="288"/>
        <v>0</v>
      </c>
      <c r="S2128" s="1447">
        <f t="shared" ca="1" si="289"/>
        <v>0</v>
      </c>
      <c r="T2128" s="611">
        <v>22</v>
      </c>
      <c r="W2128" s="611" t="str">
        <f t="shared" ca="1" si="290"/>
        <v>Page5_PARCS_GOUV, Ligne 19 [Page5_PARCS_GOUV!M22]  -</v>
      </c>
    </row>
    <row r="2129" spans="1:23">
      <c r="A2129" s="1443" t="str">
        <f>celladdr(Page5_PARCS_GOUV!M23)</f>
        <v>Page5_PARCS_GOUV!M23</v>
      </c>
      <c r="B2129" s="1456" t="s">
        <v>1086</v>
      </c>
      <c r="D2129" s="1454" t="b">
        <f>OR(AND(Page5_PARCS_GOUV!$L23&lt;&gt;0,Page5_PARCS_GOUV!$M23=0),AND(Page5_PARCS_GOUV!$M23&lt;&gt;0,Page5_PARCS_GOUV!$L23=0))</f>
        <v>0</v>
      </c>
      <c r="E2129" s="1445" t="b">
        <f>IF(Page5_PARCS_GOUV!$K23=0,FALSE,OR(Page5_PARCS_GOUV!$M23/Page5_PARCS_GOUV!$K23&lt;INDEX(Min_Table,M2025),Page5_PARCS_GOUV!$M23/Page5_PARCS_GOUV!$K23&gt;INDEX(Max_Table,M2025)))</f>
        <v>0</v>
      </c>
      <c r="F2129" s="1454"/>
      <c r="G2129" s="1444" t="str">
        <f t="shared" si="285"/>
        <v/>
      </c>
      <c r="H2129" s="1446"/>
      <c r="I2129" s="1452" t="str">
        <f>IF(D2129=TRUE,Comments!$B$24,"")</f>
        <v/>
      </c>
      <c r="J2129" s="1446" t="str">
        <f>IF(E2129=TRUE,Comments!$B$22&amp;DOLLAR(INDEX(Min_Table,M2129),0)&amp;Comments!$B$18&amp;DOLLAR(INDEX(Max_Table,M2129),0)&amp;Comments!$B$19&amp;IFERROR(DOLLAR(Page5_PARCS_GOUV!$M23/Page5_PARCS_GOUV!$K23,0),0),"")</f>
        <v/>
      </c>
      <c r="K2129" s="1452"/>
      <c r="L2129" s="611">
        <f>ROW(OR_VEH!$A$673)</f>
        <v>673</v>
      </c>
      <c r="M2129" s="611">
        <f>ROW(OR_VEH!A555)</f>
        <v>555</v>
      </c>
      <c r="N2129" s="611" t="str">
        <f>"CPTE # "&amp;Page5_PARCS_GOUV!E23&amp;" "&amp;Page5_PARCS_GOUV!C23&amp;" - COÛT DES VENTES - AAD"</f>
        <v>CPTE # 422L CHEVROLET / GMC / HUMMER GRAND VUS VE - COÛT DES VENTES - AAD</v>
      </c>
      <c r="O2129" s="611" t="str">
        <f t="shared" si="284"/>
        <v/>
      </c>
      <c r="P2129" s="611" t="str">
        <f t="shared" si="286"/>
        <v>Page5_PARCS_GOUV!M</v>
      </c>
      <c r="Q2129" s="611">
        <f t="shared" si="287"/>
        <v>23</v>
      </c>
      <c r="R2129" s="1447">
        <f t="shared" ca="1" si="288"/>
        <v>0</v>
      </c>
      <c r="S2129" s="1447">
        <f t="shared" ca="1" si="289"/>
        <v>0</v>
      </c>
      <c r="T2129" s="611">
        <v>22</v>
      </c>
      <c r="W2129" s="611" t="str">
        <f t="shared" ca="1" si="290"/>
        <v>Page5_PARCS_GOUV, Ligne 20 [Page5_PARCS_GOUV!M23]  -</v>
      </c>
    </row>
    <row r="2130" spans="1:23">
      <c r="A2130" s="1443" t="str">
        <f>celladdr(Page5_PARCS_GOUV!M24)</f>
        <v>Page5_PARCS_GOUV!M24</v>
      </c>
      <c r="B2130" s="1456" t="s">
        <v>1086</v>
      </c>
      <c r="D2130" s="1454" t="b">
        <f>OR(AND(Page5_PARCS_GOUV!$L24&lt;&gt;0,Page5_PARCS_GOUV!$M24=0),AND(Page5_PARCS_GOUV!$M24&lt;&gt;0,Page5_PARCS_GOUV!$L24=0))</f>
        <v>0</v>
      </c>
      <c r="E2130" s="1445" t="b">
        <f>IF(Page5_PARCS_GOUV!$K24=0,FALSE,OR(Page5_PARCS_GOUV!$M24/Page5_PARCS_GOUV!$K24&lt;INDEX(Min_Table,M2026),Page5_PARCS_GOUV!$M24/Page5_PARCS_GOUV!$K24&gt;INDEX(Max_Table,M2026)))</f>
        <v>0</v>
      </c>
      <c r="F2130" s="1454"/>
      <c r="G2130" s="1444" t="str">
        <f t="shared" si="285"/>
        <v/>
      </c>
      <c r="H2130" s="1446"/>
      <c r="I2130" s="1452" t="str">
        <f>IF(D2130=TRUE,Comments!$B$24,"")</f>
        <v/>
      </c>
      <c r="J2130" s="1446" t="str">
        <f>IF(E2130=TRUE,Comments!$B$22&amp;DOLLAR(INDEX(Min_Table,M2130),0)&amp;Comments!$B$18&amp;DOLLAR(INDEX(Max_Table,M2130),0)&amp;Comments!$B$19&amp;IFERROR(DOLLAR(Page5_PARCS_GOUV!$M24/Page5_PARCS_GOUV!$K24,0),0),"")</f>
        <v/>
      </c>
      <c r="K2130" s="1452"/>
      <c r="L2130" s="611">
        <f>ROW(OR_VEH!$A$673)</f>
        <v>673</v>
      </c>
      <c r="M2130" s="611">
        <f>ROW(OR_VEH!A556)</f>
        <v>556</v>
      </c>
      <c r="N2130" s="611" t="str">
        <f>"CPTE # "&amp;Page5_PARCS_GOUV!E24&amp;" "&amp;Page5_PARCS_GOUV!C24&amp;" - COÛT DES VENTES - AAD"</f>
        <v>CPTE # 423L CHEVROLET / GMC GRAND VUS MCI - COÛT DES VENTES - AAD</v>
      </c>
      <c r="O2130" s="611" t="str">
        <f t="shared" si="284"/>
        <v/>
      </c>
      <c r="P2130" s="611" t="str">
        <f t="shared" si="286"/>
        <v>Page5_PARCS_GOUV!M</v>
      </c>
      <c r="Q2130" s="611">
        <f t="shared" si="287"/>
        <v>24</v>
      </c>
      <c r="R2130" s="1447">
        <f t="shared" ca="1" si="288"/>
        <v>0</v>
      </c>
      <c r="S2130" s="1447">
        <f t="shared" ca="1" si="289"/>
        <v>0</v>
      </c>
      <c r="T2130" s="611">
        <v>22</v>
      </c>
      <c r="W2130" s="611" t="str">
        <f t="shared" ca="1" si="290"/>
        <v>Page5_PARCS_GOUV, Ligne 21 [Page5_PARCS_GOUV!M24]  -</v>
      </c>
    </row>
    <row r="2131" spans="1:23">
      <c r="A2131" s="1443" t="str">
        <f>celladdr(Page5_PARCS_GOUV!M25)</f>
        <v>Page5_PARCS_GOUV!M25</v>
      </c>
      <c r="B2131" s="1456" t="s">
        <v>1086</v>
      </c>
      <c r="D2131" s="1454" t="b">
        <f>OR(AND(Page5_PARCS_GOUV!$L25&lt;&gt;0,Page5_PARCS_GOUV!$M25=0),AND(Page5_PARCS_GOUV!$M25&lt;&gt;0,Page5_PARCS_GOUV!$L25=0))</f>
        <v>0</v>
      </c>
      <c r="E2131" s="1445" t="b">
        <f>IF(Page5_PARCS_GOUV!$K25=0,FALSE,OR(Page5_PARCS_GOUV!$M25/Page5_PARCS_GOUV!$K25&lt;INDEX(Min_Table,M2027),Page5_PARCS_GOUV!$M25/Page5_PARCS_GOUV!$K25&gt;INDEX(Max_Table,M2027)))</f>
        <v>0</v>
      </c>
      <c r="F2131" s="1454"/>
      <c r="G2131" s="1444" t="str">
        <f t="shared" si="285"/>
        <v/>
      </c>
      <c r="H2131" s="1446"/>
      <c r="I2131" s="1452" t="str">
        <f>IF(D2131=TRUE,Comments!$B$24,"")</f>
        <v/>
      </c>
      <c r="J2131" s="1446" t="str">
        <f>IF(E2131=TRUE,Comments!$B$22&amp;DOLLAR(INDEX(Min_Table,M2131),0)&amp;Comments!$B$18&amp;DOLLAR(INDEX(Max_Table,M2131),0)&amp;Comments!$B$19&amp;IFERROR(DOLLAR(Page5_PARCS_GOUV!$M25/Page5_PARCS_GOUV!$K25,0),0),"")</f>
        <v/>
      </c>
      <c r="K2131" s="1452"/>
      <c r="L2131" s="611">
        <f>ROW(OR_VEH!$A$673)</f>
        <v>673</v>
      </c>
      <c r="M2131" s="611">
        <f>ROW(OR_VEH!A557)</f>
        <v>557</v>
      </c>
      <c r="N2131" s="611" t="str">
        <f>"CPTE # "&amp;Page5_PARCS_GOUV!E25&amp;" "&amp;Page5_PARCS_GOUV!C25&amp;" - COÛT DES VENTES - AAD"</f>
        <v>CPTE # 424L SILVERADO/SIERRA POIDS LOURD MCI (2500/3500) - COÛT DES VENTES - AAD</v>
      </c>
      <c r="O2131" s="611" t="str">
        <f t="shared" si="284"/>
        <v/>
      </c>
      <c r="P2131" s="611" t="str">
        <f t="shared" si="286"/>
        <v>Page5_PARCS_GOUV!M</v>
      </c>
      <c r="Q2131" s="611">
        <f t="shared" si="287"/>
        <v>25</v>
      </c>
      <c r="R2131" s="1447">
        <f t="shared" ca="1" si="288"/>
        <v>0</v>
      </c>
      <c r="S2131" s="1447">
        <f t="shared" ca="1" si="289"/>
        <v>0</v>
      </c>
      <c r="T2131" s="611">
        <v>22</v>
      </c>
      <c r="W2131" s="611" t="str">
        <f t="shared" ca="1" si="290"/>
        <v>Page5_PARCS_GOUV, Ligne 22 [Page5_PARCS_GOUV!M25]  -</v>
      </c>
    </row>
    <row r="2132" spans="1:23">
      <c r="A2132" s="1443" t="str">
        <f>celladdr(Page5_PARCS_GOUV!M26)</f>
        <v>Page5_PARCS_GOUV!M26</v>
      </c>
      <c r="B2132" s="1456" t="s">
        <v>1086</v>
      </c>
      <c r="D2132" s="1454" t="b">
        <f>OR(AND(Page5_PARCS_GOUV!$L26&lt;&gt;0,Page5_PARCS_GOUV!$M26=0),AND(Page5_PARCS_GOUV!$M26&lt;&gt;0,Page5_PARCS_GOUV!$L26=0))</f>
        <v>0</v>
      </c>
      <c r="E2132" s="1445" t="b">
        <f>IF(Page5_PARCS_GOUV!$K26=0,FALSE,OR(Page5_PARCS_GOUV!$M26/Page5_PARCS_GOUV!$K26&lt;INDEX(Min_Table,M2028),Page5_PARCS_GOUV!$M26/Page5_PARCS_GOUV!$K26&gt;INDEX(Max_Table,M2028)))</f>
        <v>0</v>
      </c>
      <c r="F2132" s="1454"/>
      <c r="G2132" s="1444" t="str">
        <f t="shared" si="285"/>
        <v/>
      </c>
      <c r="H2132" s="1446"/>
      <c r="I2132" s="1452" t="str">
        <f>IF(D2132=TRUE,Comments!$B$24,"")</f>
        <v/>
      </c>
      <c r="J2132" s="1446" t="str">
        <f>IF(E2132=TRUE,Comments!$B$22&amp;DOLLAR(INDEX(Min_Table,M2132),0)&amp;Comments!$B$18&amp;DOLLAR(INDEX(Max_Table,M2132),0)&amp;Comments!$B$19&amp;IFERROR(DOLLAR(Page5_PARCS_GOUV!$M26/Page5_PARCS_GOUV!$K26,0),0),"")</f>
        <v/>
      </c>
      <c r="K2132" s="1452"/>
      <c r="L2132" s="611">
        <f>ROW(OR_VEH!$A$673)</f>
        <v>673</v>
      </c>
      <c r="M2132" s="611">
        <f>ROW(OR_VEH!A558)</f>
        <v>558</v>
      </c>
      <c r="N2132" s="611" t="str">
        <f>"CPTE # "&amp;Page5_PARCS_GOUV!E26&amp;" "&amp;Page5_PARCS_GOUV!C26&amp;" - COÛT DES VENTES - AAD"</f>
        <v>CPTE # 425L NE PAS UTILISER - COÛT DES VENTES - AAD</v>
      </c>
      <c r="O2132" s="611" t="str">
        <f t="shared" si="284"/>
        <v/>
      </c>
      <c r="P2132" s="611" t="str">
        <f t="shared" si="286"/>
        <v>Page5_PARCS_GOUV!M</v>
      </c>
      <c r="Q2132" s="611">
        <f t="shared" si="287"/>
        <v>26</v>
      </c>
      <c r="R2132" s="1447">
        <f t="shared" ca="1" si="288"/>
        <v>0</v>
      </c>
      <c r="S2132" s="1447">
        <f t="shared" ca="1" si="289"/>
        <v>0</v>
      </c>
      <c r="T2132" s="611">
        <v>22</v>
      </c>
      <c r="W2132" s="611" t="str">
        <f t="shared" ca="1" si="290"/>
        <v>Page5_PARCS_GOUV, Ligne 23 [Page5_PARCS_GOUV!M26]  -</v>
      </c>
    </row>
    <row r="2133" spans="1:23">
      <c r="A2133" s="1443" t="str">
        <f>celladdr(Page5_PARCS_GOUV!M27)</f>
        <v>Page5_PARCS_GOUV!M27</v>
      </c>
      <c r="B2133" s="1456" t="s">
        <v>1086</v>
      </c>
      <c r="D2133" s="1454" t="b">
        <f>OR(AND(Page5_PARCS_GOUV!$L27&lt;&gt;0,Page5_PARCS_GOUV!$M27=0),AND(Page5_PARCS_GOUV!$M27&lt;&gt;0,Page5_PARCS_GOUV!$L27=0))</f>
        <v>0</v>
      </c>
      <c r="E2133" s="1445" t="b">
        <f>IF(Page5_PARCS_GOUV!$K27=0,FALSE,OR(Page5_PARCS_GOUV!$M27/Page5_PARCS_GOUV!$K27&lt;INDEX(Min_Table,M2029),Page5_PARCS_GOUV!$M27/Page5_PARCS_GOUV!$K27&gt;INDEX(Max_Table,M2029)))</f>
        <v>0</v>
      </c>
      <c r="F2133" s="1454"/>
      <c r="G2133" s="1444" t="str">
        <f t="shared" si="285"/>
        <v/>
      </c>
      <c r="H2133" s="1446"/>
      <c r="I2133" s="1452" t="str">
        <f>IF(D2133=TRUE,Comments!$B$24,"")</f>
        <v/>
      </c>
      <c r="J2133" s="1446" t="str">
        <f>IF(E2133=TRUE,Comments!$B$22&amp;DOLLAR(INDEX(Min_Table,M2133),0)&amp;Comments!$B$18&amp;DOLLAR(INDEX(Max_Table,M2133),0)&amp;Comments!$B$19&amp;IFERROR(DOLLAR(Page5_PARCS_GOUV!$M27/Page5_PARCS_GOUV!$K27,0),0),"")</f>
        <v/>
      </c>
      <c r="K2133" s="1452"/>
      <c r="L2133" s="611">
        <f>ROW(OR_VEH!$A$673)</f>
        <v>673</v>
      </c>
      <c r="M2133" s="611">
        <f>ROW(OR_VEH!A559)</f>
        <v>559</v>
      </c>
      <c r="N2133" s="611" t="str">
        <f>"CPTE # "&amp;Page5_PARCS_GOUV!E27&amp;" "&amp;Page5_PARCS_GOUV!C27&amp;" - COÛT DES VENTES - AAD"</f>
        <v>CPTE # 426L SILVERADO/SIERRA POIDS LÉGER MCI (1500) - COÛT DES VENTES - AAD</v>
      </c>
      <c r="O2133" s="611" t="str">
        <f t="shared" si="284"/>
        <v/>
      </c>
      <c r="P2133" s="611" t="str">
        <f t="shared" si="286"/>
        <v>Page5_PARCS_GOUV!M</v>
      </c>
      <c r="Q2133" s="611">
        <f t="shared" si="287"/>
        <v>27</v>
      </c>
      <c r="R2133" s="1447">
        <f t="shared" ca="1" si="288"/>
        <v>0</v>
      </c>
      <c r="S2133" s="1447">
        <f t="shared" ca="1" si="289"/>
        <v>0</v>
      </c>
      <c r="T2133" s="611">
        <v>22</v>
      </c>
      <c r="W2133" s="611" t="str">
        <f t="shared" ca="1" si="290"/>
        <v>Page5_PARCS_GOUV, Ligne 24 [Page5_PARCS_GOUV!M27]  -</v>
      </c>
    </row>
    <row r="2134" spans="1:23">
      <c r="A2134" s="1443" t="str">
        <f>celladdr(Page5_PARCS_GOUV!M28)</f>
        <v>Page5_PARCS_GOUV!M28</v>
      </c>
      <c r="B2134" s="1456" t="s">
        <v>1086</v>
      </c>
      <c r="D2134" s="1454" t="b">
        <f>OR(AND(Page5_PARCS_GOUV!$L28&lt;&gt;0,Page5_PARCS_GOUV!$M28=0),AND(Page5_PARCS_GOUV!$M28&lt;&gt;0,Page5_PARCS_GOUV!$L28=0))</f>
        <v>0</v>
      </c>
      <c r="E2134" s="1445" t="b">
        <f>IF(Page5_PARCS_GOUV!$K28=0,FALSE,OR(Page5_PARCS_GOUV!$M28/Page5_PARCS_GOUV!$K28&lt;INDEX(Min_Table,M2030),Page5_PARCS_GOUV!$M28/Page5_PARCS_GOUV!$K28&gt;INDEX(Max_Table,M2030)))</f>
        <v>0</v>
      </c>
      <c r="F2134" s="1454"/>
      <c r="G2134" s="1444" t="str">
        <f t="shared" si="285"/>
        <v/>
      </c>
      <c r="H2134" s="1446"/>
      <c r="I2134" s="1452" t="str">
        <f>IF(D2134=TRUE,Comments!$B$24,"")</f>
        <v/>
      </c>
      <c r="J2134" s="1446" t="str">
        <f>IF(E2134=TRUE,Comments!$B$22&amp;DOLLAR(INDEX(Min_Table,M2134),0)&amp;Comments!$B$18&amp;DOLLAR(INDEX(Max_Table,M2134),0)&amp;Comments!$B$19&amp;IFERROR(DOLLAR(Page5_PARCS_GOUV!$M28/Page5_PARCS_GOUV!$K28,0),0),"")</f>
        <v/>
      </c>
      <c r="K2134" s="1452"/>
      <c r="L2134" s="611">
        <f>ROW(OR_VEH!$A$673)</f>
        <v>673</v>
      </c>
      <c r="M2134" s="611">
        <f>ROW(OR_VEH!A560)</f>
        <v>560</v>
      </c>
      <c r="N2134" s="611" t="str">
        <f>"CPTE # "&amp;Page5_PARCS_GOUV!E28&amp;" "&amp;Page5_PARCS_GOUV!C28&amp;" - COÛT DES VENTES - AAD"</f>
        <v>CPTE # 427L SILVERADO/SIERRA/HUMMER POIDS LOURD VE - COÛT DES VENTES - AAD</v>
      </c>
      <c r="O2134" s="611" t="str">
        <f t="shared" si="284"/>
        <v/>
      </c>
      <c r="P2134" s="611" t="str">
        <f t="shared" si="286"/>
        <v>Page5_PARCS_GOUV!M</v>
      </c>
      <c r="Q2134" s="611">
        <f t="shared" si="287"/>
        <v>28</v>
      </c>
      <c r="R2134" s="1447">
        <f t="shared" ca="1" si="288"/>
        <v>0</v>
      </c>
      <c r="S2134" s="1447">
        <f t="shared" ca="1" si="289"/>
        <v>0</v>
      </c>
      <c r="T2134" s="611">
        <v>22</v>
      </c>
      <c r="W2134" s="611" t="str">
        <f t="shared" ca="1" si="290"/>
        <v>Page5_PARCS_GOUV, Ligne 25 [Page5_PARCS_GOUV!M28]  -</v>
      </c>
    </row>
    <row r="2135" spans="1:23">
      <c r="A2135" s="1443" t="str">
        <f>celladdr(Page5_PARCS_GOUV!M29)</f>
        <v>Page5_PARCS_GOUV!M29</v>
      </c>
      <c r="B2135" s="1456" t="s">
        <v>1086</v>
      </c>
      <c r="D2135" s="1454" t="b">
        <f>OR(AND(Page5_PARCS_GOUV!$L29&lt;&gt;0,Page5_PARCS_GOUV!$M29=0),AND(Page5_PARCS_GOUV!$M29&lt;&gt;0,Page5_PARCS_GOUV!$L29=0))</f>
        <v>0</v>
      </c>
      <c r="E2135" s="1445" t="b">
        <f>IF(Page5_PARCS_GOUV!$K29=0,FALSE,OR(Page5_PARCS_GOUV!$M29/Page5_PARCS_GOUV!$K29&lt;INDEX(Min_Table,M2031),Page5_PARCS_GOUV!$M29/Page5_PARCS_GOUV!$K29&gt;INDEX(Max_Table,M2031)))</f>
        <v>0</v>
      </c>
      <c r="F2135" s="1454"/>
      <c r="G2135" s="1444" t="str">
        <f t="shared" si="285"/>
        <v/>
      </c>
      <c r="H2135" s="1446"/>
      <c r="I2135" s="1452" t="str">
        <f>IF(D2135=TRUE,Comments!$B$24,"")</f>
        <v/>
      </c>
      <c r="J2135" s="1446" t="str">
        <f>IF(E2135=TRUE,Comments!$B$22&amp;DOLLAR(INDEX(Min_Table,M2135),0)&amp;Comments!$B$18&amp;DOLLAR(INDEX(Max_Table,M2135),0)&amp;Comments!$B$19&amp;IFERROR(DOLLAR(Page5_PARCS_GOUV!$M29/Page5_PARCS_GOUV!$K29,0),0),"")</f>
        <v/>
      </c>
      <c r="K2135" s="1452"/>
      <c r="L2135" s="611">
        <f>ROW(OR_VEH!$A$673)</f>
        <v>673</v>
      </c>
      <c r="M2135" s="611">
        <f>ROW(OR_VEH!A561)</f>
        <v>561</v>
      </c>
      <c r="N2135" s="611" t="str">
        <f>"CPTE # "&amp;Page5_PARCS_GOUV!E29&amp;" "&amp;Page5_PARCS_GOUV!C29&amp;" - COÛT DES VENTES - AAD"</f>
        <v>CPTE # 428L COLORADO/CANYON MCI - COÛT DES VENTES - AAD</v>
      </c>
      <c r="O2135" s="611" t="str">
        <f t="shared" si="284"/>
        <v/>
      </c>
      <c r="P2135" s="611" t="str">
        <f t="shared" si="286"/>
        <v>Page5_PARCS_GOUV!M</v>
      </c>
      <c r="Q2135" s="611">
        <f t="shared" si="287"/>
        <v>29</v>
      </c>
      <c r="R2135" s="1447">
        <f t="shared" ca="1" si="288"/>
        <v>0</v>
      </c>
      <c r="S2135" s="1447">
        <f t="shared" ca="1" si="289"/>
        <v>0</v>
      </c>
      <c r="T2135" s="611">
        <v>22</v>
      </c>
      <c r="W2135" s="611" t="str">
        <f t="shared" ca="1" si="290"/>
        <v>Page5_PARCS_GOUV, Ligne 26 [Page5_PARCS_GOUV!M29]  -</v>
      </c>
    </row>
    <row r="2136" spans="1:23">
      <c r="A2136" s="1443" t="str">
        <f>celladdr(Page5_PARCS_GOUV!M30)</f>
        <v>Page5_PARCS_GOUV!M30</v>
      </c>
      <c r="B2136" s="1456" t="s">
        <v>1086</v>
      </c>
      <c r="D2136" s="1454" t="b">
        <f>OR(AND(Page5_PARCS_GOUV!$L30&lt;&gt;0,Page5_PARCS_GOUV!$M30=0),AND(Page5_PARCS_GOUV!$M30&lt;&gt;0,Page5_PARCS_GOUV!$L30=0))</f>
        <v>0</v>
      </c>
      <c r="E2136" s="1445" t="b">
        <f>IF(Page5_PARCS_GOUV!$K30=0,FALSE,OR(Page5_PARCS_GOUV!$M30/Page5_PARCS_GOUV!$K30&lt;INDEX(Min_Table,M2032),Page5_PARCS_GOUV!$M30/Page5_PARCS_GOUV!$K30&gt;INDEX(Max_Table,M2032)))</f>
        <v>0</v>
      </c>
      <c r="F2136" s="1454"/>
      <c r="G2136" s="1444" t="str">
        <f t="shared" si="285"/>
        <v/>
      </c>
      <c r="H2136" s="1446"/>
      <c r="I2136" s="1452" t="str">
        <f>IF(D2136=TRUE,Comments!$B$24,"")</f>
        <v/>
      </c>
      <c r="J2136" s="1446" t="str">
        <f>IF(E2136=TRUE,Comments!$B$22&amp;DOLLAR(INDEX(Min_Table,M2136),0)&amp;Comments!$B$18&amp;DOLLAR(INDEX(Max_Table,M2136),0)&amp;Comments!$B$19&amp;IFERROR(DOLLAR(Page5_PARCS_GOUV!$M30/Page5_PARCS_GOUV!$K30,0),0),"")</f>
        <v/>
      </c>
      <c r="K2136" s="1452"/>
      <c r="L2136" s="611">
        <f>ROW(OR_VEH!$A$673)</f>
        <v>673</v>
      </c>
      <c r="M2136" s="611">
        <f>ROW(OR_VEH!A562)</f>
        <v>562</v>
      </c>
      <c r="N2136" s="611" t="str">
        <f>"CPTE # "&amp;Page5_PARCS_GOUV!E30&amp;" "&amp;Page5_PARCS_GOUV!C30&amp;" - COÛT DES VENTES - AAD"</f>
        <v>CPTE # 429L NE PAS UTILISER - COÛT DES VENTES - AAD</v>
      </c>
      <c r="O2136" s="611" t="str">
        <f t="shared" si="284"/>
        <v/>
      </c>
      <c r="P2136" s="611" t="str">
        <f t="shared" si="286"/>
        <v>Page5_PARCS_GOUV!M</v>
      </c>
      <c r="Q2136" s="611">
        <f t="shared" si="287"/>
        <v>30</v>
      </c>
      <c r="R2136" s="1447">
        <f t="shared" ca="1" si="288"/>
        <v>0</v>
      </c>
      <c r="S2136" s="1447">
        <f t="shared" ca="1" si="289"/>
        <v>0</v>
      </c>
      <c r="T2136" s="611">
        <v>22</v>
      </c>
      <c r="W2136" s="611" t="str">
        <f t="shared" ca="1" si="290"/>
        <v>Page5_PARCS_GOUV, Ligne 27 [Page5_PARCS_GOUV!M30]  -</v>
      </c>
    </row>
    <row r="2137" spans="1:23">
      <c r="A2137" s="1443" t="str">
        <f>celladdr(Page5_PARCS_GOUV!M31)</f>
        <v>Page5_PARCS_GOUV!M31</v>
      </c>
      <c r="B2137" s="1456" t="s">
        <v>1086</v>
      </c>
      <c r="D2137" s="1454" t="b">
        <f>OR(AND(Page5_PARCS_GOUV!$L31&lt;&gt;0,Page5_PARCS_GOUV!$M31=0),AND(Page5_PARCS_GOUV!$M31&lt;&gt;0,Page5_PARCS_GOUV!$L31=0))</f>
        <v>0</v>
      </c>
      <c r="E2137" s="1445" t="b">
        <f>IF(Page5_PARCS_GOUV!$K31=0,FALSE,OR(Page5_PARCS_GOUV!$M31/Page5_PARCS_GOUV!$K31&lt;INDEX(Min_Table,M2033),Page5_PARCS_GOUV!$M31/Page5_PARCS_GOUV!$K31&gt;INDEX(Max_Table,M2033)))</f>
        <v>0</v>
      </c>
      <c r="F2137" s="1454"/>
      <c r="G2137" s="1444" t="str">
        <f t="shared" si="285"/>
        <v/>
      </c>
      <c r="H2137" s="1446"/>
      <c r="I2137" s="1452" t="str">
        <f>IF(D2137=TRUE,Comments!$B$24,"")</f>
        <v/>
      </c>
      <c r="J2137" s="1446" t="str">
        <f>IF(E2137=TRUE,Comments!$B$22&amp;DOLLAR(INDEX(Min_Table,M2137),0)&amp;Comments!$B$18&amp;DOLLAR(INDEX(Max_Table,M2137),0)&amp;Comments!$B$19&amp;IFERROR(DOLLAR(Page5_PARCS_GOUV!$M31/Page5_PARCS_GOUV!$K31,0),0),"")</f>
        <v/>
      </c>
      <c r="K2137" s="1452"/>
      <c r="L2137" s="611">
        <f>ROW(OR_VEH!$A$673)</f>
        <v>673</v>
      </c>
      <c r="M2137" s="611">
        <f>ROW(OR_VEH!A563)</f>
        <v>563</v>
      </c>
      <c r="N2137" s="611" t="str">
        <f>"CPTE # "&amp;Page5_PARCS_GOUV!E31&amp;" "&amp;Page5_PARCS_GOUV!C31&amp;" - COÛT DES VENTES - AAD"</f>
        <v>CPTE # 430L SILVERADO CHASSIS (4500+) - COÛT DES VENTES - AAD</v>
      </c>
      <c r="O2137" s="611" t="str">
        <f t="shared" si="284"/>
        <v/>
      </c>
      <c r="P2137" s="611" t="str">
        <f t="shared" si="286"/>
        <v>Page5_PARCS_GOUV!M</v>
      </c>
      <c r="Q2137" s="611">
        <f t="shared" si="287"/>
        <v>31</v>
      </c>
      <c r="R2137" s="1447">
        <f t="shared" ca="1" si="288"/>
        <v>0</v>
      </c>
      <c r="S2137" s="1447">
        <f t="shared" ca="1" si="289"/>
        <v>0</v>
      </c>
      <c r="T2137" s="611">
        <v>22</v>
      </c>
      <c r="W2137" s="611" t="str">
        <f t="shared" ca="1" si="290"/>
        <v>Page5_PARCS_GOUV, Ligne 28 [Page5_PARCS_GOUV!M31]  -</v>
      </c>
    </row>
    <row r="2138" spans="1:23">
      <c r="A2138" s="1443" t="str">
        <f>celladdr(Page5_PARCS_GOUV!M32)</f>
        <v>Page5_PARCS_GOUV!M32</v>
      </c>
      <c r="B2138" s="1456" t="s">
        <v>1086</v>
      </c>
      <c r="D2138" s="1454" t="b">
        <f>OR(AND(Page5_PARCS_GOUV!$L32&lt;&gt;0,Page5_PARCS_GOUV!$M32=0),AND(Page5_PARCS_GOUV!$M32&lt;&gt;0,Page5_PARCS_GOUV!$L32=0))</f>
        <v>0</v>
      </c>
      <c r="E2138" s="1445" t="b">
        <f>IF(Page5_PARCS_GOUV!$K32=0,FALSE,OR(Page5_PARCS_GOUV!$M32/Page5_PARCS_GOUV!$K32&lt;INDEX(Min_Table,M2034),Page5_PARCS_GOUV!$M32/Page5_PARCS_GOUV!$K32&gt;INDEX(Max_Table,M2034)))</f>
        <v>0</v>
      </c>
      <c r="F2138" s="1454"/>
      <c r="G2138" s="1444" t="str">
        <f t="shared" si="285"/>
        <v/>
      </c>
      <c r="H2138" s="1446"/>
      <c r="I2138" s="1452" t="str">
        <f>IF(D2138=TRUE,Comments!$B$24,"")</f>
        <v/>
      </c>
      <c r="J2138" s="1446" t="str">
        <f>IF(E2138=TRUE,Comments!$B$22&amp;DOLLAR(INDEX(Min_Table,M2138),0)&amp;Comments!$B$18&amp;DOLLAR(INDEX(Max_Table,M2138),0)&amp;Comments!$B$19&amp;IFERROR(DOLLAR(Page5_PARCS_GOUV!$M32/Page5_PARCS_GOUV!$K32,0),0),"")</f>
        <v/>
      </c>
      <c r="K2138" s="1452"/>
      <c r="L2138" s="611">
        <f>ROW(OR_VEH!$A$673)</f>
        <v>673</v>
      </c>
      <c r="M2138" s="611">
        <f>ROW(OR_VEH!A564)</f>
        <v>564</v>
      </c>
      <c r="N2138" s="611" t="str">
        <f>"CPTE # "&amp;Page5_PARCS_GOUV!E32&amp;" "&amp;Page5_PARCS_GOUV!C32&amp;" - COÛT DES VENTES - AAD"</f>
        <v>CPTE # 431L CHEVROLET/GMC LCF/CONV - COÛT DES VENTES - AAD</v>
      </c>
      <c r="O2138" s="611" t="str">
        <f t="shared" si="284"/>
        <v/>
      </c>
      <c r="P2138" s="611" t="str">
        <f t="shared" si="286"/>
        <v>Page5_PARCS_GOUV!M</v>
      </c>
      <c r="Q2138" s="611">
        <f t="shared" si="287"/>
        <v>32</v>
      </c>
      <c r="R2138" s="1447">
        <f t="shared" ca="1" si="288"/>
        <v>0</v>
      </c>
      <c r="S2138" s="1447">
        <f t="shared" ca="1" si="289"/>
        <v>0</v>
      </c>
      <c r="T2138" s="611">
        <v>22</v>
      </c>
      <c r="W2138" s="611" t="str">
        <f t="shared" ca="1" si="290"/>
        <v>Page5_PARCS_GOUV, Ligne 29 [Page5_PARCS_GOUV!M32]  -</v>
      </c>
    </row>
    <row r="2139" spans="1:23">
      <c r="A2139" s="1443" t="str">
        <f>celladdr(Page5_PARCS_GOUV!M33)</f>
        <v>Page5_PARCS_GOUV!M33</v>
      </c>
      <c r="B2139" s="1456" t="s">
        <v>1086</v>
      </c>
      <c r="D2139" s="1454" t="b">
        <f>OR(AND(Page5_PARCS_GOUV!$L33&lt;&gt;0,Page5_PARCS_GOUV!$M33=0),AND(Page5_PARCS_GOUV!$M33&lt;&gt;0,Page5_PARCS_GOUV!$L33=0))</f>
        <v>0</v>
      </c>
      <c r="E2139" s="1445" t="b">
        <f>IF(Page5_PARCS_GOUV!$K33=0,FALSE,OR(Page5_PARCS_GOUV!$M33/Page5_PARCS_GOUV!$K33&lt;INDEX(Min_Table,M2035),Page5_PARCS_GOUV!$M33/Page5_PARCS_GOUV!$K33&gt;INDEX(Max_Table,M2035)))</f>
        <v>0</v>
      </c>
      <c r="F2139" s="1454"/>
      <c r="G2139" s="1444" t="str">
        <f t="shared" si="285"/>
        <v/>
      </c>
      <c r="H2139" s="1446"/>
      <c r="I2139" s="1452" t="str">
        <f>IF(D2139=TRUE,Comments!$B$24,"")</f>
        <v/>
      </c>
      <c r="J2139" s="1446" t="str">
        <f>IF(E2139=TRUE,Comments!$B$22&amp;DOLLAR(INDEX(Min_Table,M2139),0)&amp;Comments!$B$18&amp;DOLLAR(INDEX(Max_Table,M2139),0)&amp;Comments!$B$19&amp;IFERROR(DOLLAR(Page5_PARCS_GOUV!$M33/Page5_PARCS_GOUV!$K33,0),0),"")</f>
        <v/>
      </c>
      <c r="K2139" s="1452"/>
      <c r="L2139" s="611">
        <f>ROW(OR_VEH!$A$673)</f>
        <v>673</v>
      </c>
      <c r="M2139" s="611">
        <f>ROW(OR_VEH!A565)</f>
        <v>565</v>
      </c>
      <c r="N2139" s="611" t="str">
        <f>"CPTE # "&amp;Page5_PARCS_GOUV!E33&amp;" "&amp;Page5_PARCS_GOUV!C33&amp;" - COÛT DES VENTES - AAD"</f>
        <v>CPTE # 432L EXPRESS/SAVANA MCI - COÛT DES VENTES - AAD</v>
      </c>
      <c r="O2139" s="611" t="str">
        <f t="shared" si="284"/>
        <v/>
      </c>
      <c r="P2139" s="611" t="str">
        <f t="shared" si="286"/>
        <v>Page5_PARCS_GOUV!M</v>
      </c>
      <c r="Q2139" s="611">
        <f t="shared" si="287"/>
        <v>33</v>
      </c>
      <c r="R2139" s="1447">
        <f t="shared" ca="1" si="288"/>
        <v>0</v>
      </c>
      <c r="S2139" s="1447">
        <f t="shared" ca="1" si="289"/>
        <v>0</v>
      </c>
      <c r="T2139" s="611">
        <v>22</v>
      </c>
      <c r="W2139" s="611" t="str">
        <f t="shared" ca="1" si="290"/>
        <v>Page5_PARCS_GOUV, Ligne 30 [Page5_PARCS_GOUV!M33]  -</v>
      </c>
    </row>
    <row r="2140" spans="1:23">
      <c r="A2140" s="1443" t="str">
        <f>celladdr(Page5_PARCS_GOUV!M34)</f>
        <v>Page5_PARCS_GOUV!M34</v>
      </c>
      <c r="B2140" s="1456" t="s">
        <v>1086</v>
      </c>
      <c r="D2140" s="1454" t="b">
        <f>OR(AND(Page5_PARCS_GOUV!$L34&lt;&gt;0,Page5_PARCS_GOUV!$M34=0),AND(Page5_PARCS_GOUV!$M34&lt;&gt;0,Page5_PARCS_GOUV!$L34=0))</f>
        <v>0</v>
      </c>
      <c r="E2140" s="1445" t="b">
        <f>IF(Page5_PARCS_GOUV!$K34=0,FALSE,OR(Page5_PARCS_GOUV!$M34/Page5_PARCS_GOUV!$K34&lt;INDEX(Min_Table,M2036),Page5_PARCS_GOUV!$M34/Page5_PARCS_GOUV!$K34&gt;INDEX(Max_Table,M2036)))</f>
        <v>0</v>
      </c>
      <c r="F2140" s="1454"/>
      <c r="G2140" s="1444" t="str">
        <f t="shared" si="285"/>
        <v/>
      </c>
      <c r="H2140" s="1446"/>
      <c r="I2140" s="1452" t="str">
        <f>IF(D2140=TRUE,Comments!$B$24,"")</f>
        <v/>
      </c>
      <c r="J2140" s="1446" t="str">
        <f>IF(E2140=TRUE,Comments!$B$22&amp;DOLLAR(INDEX(Min_Table,M2140),0)&amp;Comments!$B$18&amp;DOLLAR(INDEX(Max_Table,M2140),0)&amp;Comments!$B$19&amp;IFERROR(DOLLAR(Page5_PARCS_GOUV!$M34/Page5_PARCS_GOUV!$K34,0),0),"")</f>
        <v/>
      </c>
      <c r="K2140" s="1452"/>
      <c r="L2140" s="611">
        <f>ROW(OR_VEH!$A$673)</f>
        <v>673</v>
      </c>
      <c r="M2140" s="611">
        <f>ROW(OR_VEH!A566)</f>
        <v>566</v>
      </c>
      <c r="N2140" s="611" t="str">
        <f>"CPTE # "&amp;Page5_PARCS_GOUV!E34&amp;" "&amp;Page5_PARCS_GOUV!C34&amp;" - COÛT DES VENTES - AAD"</f>
        <v>CPTE # 433L BRIGHTDROP - COÛT DES VENTES - AAD</v>
      </c>
      <c r="O2140" s="611" t="str">
        <f t="shared" si="284"/>
        <v/>
      </c>
      <c r="P2140" s="611" t="str">
        <f t="shared" si="286"/>
        <v>Page5_PARCS_GOUV!M</v>
      </c>
      <c r="Q2140" s="611">
        <f t="shared" si="287"/>
        <v>34</v>
      </c>
      <c r="R2140" s="1447">
        <f t="shared" ca="1" si="288"/>
        <v>0</v>
      </c>
      <c r="S2140" s="1447">
        <f t="shared" ca="1" si="289"/>
        <v>0</v>
      </c>
      <c r="T2140" s="611">
        <v>22</v>
      </c>
      <c r="W2140" s="611" t="str">
        <f t="shared" ca="1" si="290"/>
        <v>Page5_PARCS_GOUV, Ligne 31 [Page5_PARCS_GOUV!M34]  -</v>
      </c>
    </row>
    <row r="2141" spans="1:23">
      <c r="A2141" s="1443" t="str">
        <f>celladdr(Page5_PARCS_GOUV!M35)</f>
        <v>Page5_PARCS_GOUV!M35</v>
      </c>
      <c r="B2141" s="1456" t="s">
        <v>1086</v>
      </c>
      <c r="D2141" s="1454" t="b">
        <f>OR(AND(Page5_PARCS_GOUV!$L35&lt;&gt;0,Page5_PARCS_GOUV!$M35=0),AND(Page5_PARCS_GOUV!$M35&lt;&gt;0,Page5_PARCS_GOUV!$L35=0))</f>
        <v>0</v>
      </c>
      <c r="E2141" s="1445" t="b">
        <f>IF(Page5_PARCS_GOUV!$K35=0,FALSE,OR(Page5_PARCS_GOUV!$M35/Page5_PARCS_GOUV!$K35&lt;INDEX(Min_Table,M2037),Page5_PARCS_GOUV!$M35/Page5_PARCS_GOUV!$K35&gt;INDEX(Max_Table,M2037)))</f>
        <v>0</v>
      </c>
      <c r="F2141" s="1454"/>
      <c r="G2141" s="1444" t="str">
        <f t="shared" si="285"/>
        <v/>
      </c>
      <c r="H2141" s="1446"/>
      <c r="I2141" s="1452" t="str">
        <f>IF(D2141=TRUE,Comments!$B$24,"")</f>
        <v/>
      </c>
      <c r="J2141" s="1446" t="str">
        <f>IF(E2141=TRUE,Comments!$B$22&amp;DOLLAR(INDEX(Min_Table,M2141),0)&amp;Comments!$B$18&amp;DOLLAR(INDEX(Max_Table,M2141),0)&amp;Comments!$B$19&amp;IFERROR(DOLLAR(Page5_PARCS_GOUV!$M35/Page5_PARCS_GOUV!$K35,0),0),"")</f>
        <v/>
      </c>
      <c r="K2141" s="1452"/>
      <c r="L2141" s="611">
        <f>ROW(OR_VEH!$A$673)</f>
        <v>673</v>
      </c>
      <c r="M2141" s="611">
        <f>ROW(OR_VEH!A567)</f>
        <v>567</v>
      </c>
      <c r="N2141" s="611" t="str">
        <f>"CPTE # "&amp;Page5_PARCS_GOUV!E35&amp;" "&amp;Page5_PARCS_GOUV!C35&amp;" - COÛT DES VENTES - AAD"</f>
        <v>CPTE # 434L NE PAS UTILISER - COÛT DES VENTES - AAD</v>
      </c>
      <c r="O2141" s="611" t="str">
        <f t="shared" si="284"/>
        <v/>
      </c>
      <c r="P2141" s="611" t="str">
        <f t="shared" si="286"/>
        <v>Page5_PARCS_GOUV!M</v>
      </c>
      <c r="Q2141" s="611">
        <f t="shared" si="287"/>
        <v>35</v>
      </c>
      <c r="R2141" s="1447">
        <f t="shared" ca="1" si="288"/>
        <v>0</v>
      </c>
      <c r="S2141" s="1447">
        <f t="shared" ca="1" si="289"/>
        <v>0</v>
      </c>
      <c r="T2141" s="611">
        <v>22</v>
      </c>
      <c r="W2141" s="611" t="str">
        <f t="shared" ca="1" si="290"/>
        <v>Page5_PARCS_GOUV, Ligne 32 [Page5_PARCS_GOUV!M35]  -</v>
      </c>
    </row>
    <row r="2142" spans="1:23">
      <c r="A2142" s="1443" t="str">
        <f>celladdr(Page5_PARCS_GOUV!K40)</f>
        <v>Page5_PARCS_GOUV!K40</v>
      </c>
      <c r="B2142" s="1456" t="s">
        <v>1086</v>
      </c>
      <c r="C2142" s="1445" t="b">
        <f>Page5_PARCS_GOUV!$K40&lt;0</f>
        <v>0</v>
      </c>
      <c r="D2142" s="1454" t="b">
        <f>OR(AND(Page5_PARCS_GOUV!$K40&gt;0,Page5_PARCS_GOUV!$M40=0),AND(Page5_PARCS_GOUV!$M40&lt;&gt;0,Page5_PARCS_GOUV!$K40=0))</f>
        <v>0</v>
      </c>
      <c r="F2142" s="1454"/>
      <c r="G2142" s="1444" t="str">
        <f t="shared" si="285"/>
        <v/>
      </c>
      <c r="H2142" s="1446" t="str">
        <f>IF(C2142=TRUE,Comments!$B$26,"")</f>
        <v/>
      </c>
      <c r="I2142" s="1446" t="str">
        <f>IF(D2142=TRUE,Comments!$B$21,"")</f>
        <v/>
      </c>
      <c r="J2142" s="1452"/>
      <c r="K2142" s="1452"/>
      <c r="N2142" s="611" t="str">
        <f>"CPTE # "&amp;Page5_PARCS_GOUV!E40&amp;" "&amp;Page5_PARCS_GOUV!C40&amp;" - UNITÉS - AAD"</f>
        <v>CPTE # 400M CHEVROLET VOITURES MCI - UNITÉS - AAD</v>
      </c>
      <c r="O2142" s="611" t="str">
        <f t="shared" si="284"/>
        <v/>
      </c>
      <c r="P2142" s="611" t="str">
        <f t="shared" si="286"/>
        <v>Page5_PARCS_GOUV!K</v>
      </c>
      <c r="Q2142" s="611">
        <f t="shared" si="287"/>
        <v>40</v>
      </c>
      <c r="R2142" s="1447">
        <f t="shared" ca="1" si="288"/>
        <v>0</v>
      </c>
      <c r="S2142" s="1447">
        <f t="shared" ca="1" si="289"/>
        <v>0</v>
      </c>
      <c r="W2142" s="611" t="str">
        <f t="shared" ca="1" si="290"/>
        <v>Page5_PARCS_GOUV, Ligne 37 [Page5_PARCS_GOUV!K40]  -</v>
      </c>
    </row>
    <row r="2143" spans="1:23">
      <c r="A2143" s="1443" t="str">
        <f>celladdr(Page5_PARCS_GOUV!K41)</f>
        <v>Page5_PARCS_GOUV!K41</v>
      </c>
      <c r="B2143" s="1456" t="s">
        <v>1086</v>
      </c>
      <c r="C2143" s="1445" t="b">
        <f>Page5_PARCS_GOUV!$K41&lt;0</f>
        <v>0</v>
      </c>
      <c r="D2143" s="1454" t="b">
        <f>OR(AND(Page5_PARCS_GOUV!$K41&gt;0,Page5_PARCS_GOUV!$M41=0),AND(Page5_PARCS_GOUV!$M41&lt;&gt;0,Page5_PARCS_GOUV!$K41=0))</f>
        <v>0</v>
      </c>
      <c r="F2143" s="1454"/>
      <c r="G2143" s="1444" t="str">
        <f t="shared" si="285"/>
        <v/>
      </c>
      <c r="H2143" s="1446" t="str">
        <f>IF(C2143=TRUE,Comments!$B$26,"")</f>
        <v/>
      </c>
      <c r="I2143" s="1446" t="str">
        <f>IF(D2143=TRUE,Comments!$B$21,"")</f>
        <v/>
      </c>
      <c r="J2143" s="1452"/>
      <c r="K2143" s="1452"/>
      <c r="N2143" s="611" t="str">
        <f>"CPTE # "&amp;Page5_PARCS_GOUV!E41&amp;" "&amp;Page5_PARCS_GOUV!C41&amp;" - UNITÉS - AAD"</f>
        <v>CPTE # 401M CHEVROLET VOITURES VE - UNITÉS - AAD</v>
      </c>
      <c r="O2143" s="611" t="str">
        <f t="shared" si="284"/>
        <v/>
      </c>
      <c r="P2143" s="611" t="str">
        <f t="shared" si="286"/>
        <v>Page5_PARCS_GOUV!K</v>
      </c>
      <c r="Q2143" s="611">
        <f t="shared" si="287"/>
        <v>41</v>
      </c>
      <c r="R2143" s="1447">
        <f t="shared" ca="1" si="288"/>
        <v>0</v>
      </c>
      <c r="S2143" s="1447">
        <f t="shared" ca="1" si="289"/>
        <v>0</v>
      </c>
      <c r="W2143" s="611" t="str">
        <f t="shared" ca="1" si="290"/>
        <v>Page5_PARCS_GOUV, Ligne 38 [Page5_PARCS_GOUV!K41]  -</v>
      </c>
    </row>
    <row r="2144" spans="1:23">
      <c r="A2144" s="1443" t="str">
        <f>celladdr(Page5_PARCS_GOUV!K42)</f>
        <v>Page5_PARCS_GOUV!K42</v>
      </c>
      <c r="B2144" s="1456" t="s">
        <v>1086</v>
      </c>
      <c r="C2144" s="1445" t="b">
        <f>Page5_PARCS_GOUV!$K42&lt;0</f>
        <v>0</v>
      </c>
      <c r="D2144" s="1454" t="b">
        <f>OR(AND(Page5_PARCS_GOUV!$K42&gt;0,Page5_PARCS_GOUV!$M42=0),AND(Page5_PARCS_GOUV!$M42&lt;&gt;0,Page5_PARCS_GOUV!$K42=0))</f>
        <v>0</v>
      </c>
      <c r="F2144" s="1454"/>
      <c r="G2144" s="1444" t="str">
        <f t="shared" si="285"/>
        <v/>
      </c>
      <c r="H2144" s="1446" t="str">
        <f>IF(C2144=TRUE,Comments!$B$26,"")</f>
        <v/>
      </c>
      <c r="I2144" s="1446" t="str">
        <f>IF(D2144=TRUE,Comments!$B$21,"")</f>
        <v/>
      </c>
      <c r="J2144" s="1452"/>
      <c r="K2144" s="1452"/>
      <c r="N2144" s="611" t="str">
        <f>"CPTE # "&amp;Page5_PARCS_GOUV!E42&amp;" "&amp;Page5_PARCS_GOUV!C42&amp;" - UNITÉS - AAD"</f>
        <v>CPTE # 402M BUICK VOITURES MCI - UNITÉS - AAD</v>
      </c>
      <c r="O2144" s="611" t="str">
        <f t="shared" si="284"/>
        <v/>
      </c>
      <c r="P2144" s="611" t="str">
        <f t="shared" si="286"/>
        <v>Page5_PARCS_GOUV!K</v>
      </c>
      <c r="Q2144" s="611">
        <f t="shared" si="287"/>
        <v>42</v>
      </c>
      <c r="R2144" s="1447">
        <f t="shared" ca="1" si="288"/>
        <v>0</v>
      </c>
      <c r="S2144" s="1447">
        <f t="shared" ca="1" si="289"/>
        <v>0</v>
      </c>
      <c r="W2144" s="611" t="str">
        <f t="shared" ca="1" si="290"/>
        <v>Page5_PARCS_GOUV, Ligne 39 [Page5_PARCS_GOUV!K42]  -</v>
      </c>
    </row>
    <row r="2145" spans="1:23">
      <c r="A2145" s="1443" t="str">
        <f>celladdr(Page5_PARCS_GOUV!K43)</f>
        <v>Page5_PARCS_GOUV!K43</v>
      </c>
      <c r="B2145" s="1456" t="s">
        <v>1086</v>
      </c>
      <c r="C2145" s="1445" t="b">
        <f>Page5_PARCS_GOUV!$K43&lt;0</f>
        <v>0</v>
      </c>
      <c r="D2145" s="1454" t="b">
        <f>OR(AND(Page5_PARCS_GOUV!$K43&gt;0,Page5_PARCS_GOUV!$M43=0),AND(Page5_PARCS_GOUV!$M43&lt;&gt;0,Page5_PARCS_GOUV!$K43=0))</f>
        <v>0</v>
      </c>
      <c r="F2145" s="1454"/>
      <c r="G2145" s="1444" t="str">
        <f t="shared" si="285"/>
        <v/>
      </c>
      <c r="H2145" s="1446" t="str">
        <f>IF(C2145=TRUE,Comments!$B$26,"")</f>
        <v/>
      </c>
      <c r="I2145" s="1446" t="str">
        <f>IF(D2145=TRUE,Comments!$B$21,"")</f>
        <v/>
      </c>
      <c r="J2145" s="1452"/>
      <c r="K2145" s="1452"/>
      <c r="N2145" s="611" t="str">
        <f>"CPTE # "&amp;Page5_PARCS_GOUV!E43&amp;" "&amp;Page5_PARCS_GOUV!C43&amp;" - UNITÉS - AAD"</f>
        <v>CPTE # 403M BUICK VOITURES VE - UNITÉS - AAD</v>
      </c>
      <c r="O2145" s="611" t="str">
        <f t="shared" si="284"/>
        <v/>
      </c>
      <c r="P2145" s="611" t="str">
        <f t="shared" si="286"/>
        <v>Page5_PARCS_GOUV!K</v>
      </c>
      <c r="Q2145" s="611">
        <f t="shared" si="287"/>
        <v>43</v>
      </c>
      <c r="R2145" s="1447">
        <f t="shared" ca="1" si="288"/>
        <v>0</v>
      </c>
      <c r="S2145" s="1447">
        <f t="shared" ca="1" si="289"/>
        <v>0</v>
      </c>
      <c r="W2145" s="611" t="str">
        <f t="shared" ca="1" si="290"/>
        <v>Page5_PARCS_GOUV, Ligne 40 [Page5_PARCS_GOUV!K43]  -</v>
      </c>
    </row>
    <row r="2146" spans="1:23">
      <c r="A2146" s="1443" t="str">
        <f>celladdr(Page5_PARCS_GOUV!K44)</f>
        <v>Page5_PARCS_GOUV!K44</v>
      </c>
      <c r="B2146" s="1456" t="s">
        <v>1086</v>
      </c>
      <c r="C2146" s="1445" t="b">
        <f>Page5_PARCS_GOUV!$K44&lt;0</f>
        <v>0</v>
      </c>
      <c r="D2146" s="1454" t="b">
        <f>OR(AND(Page5_PARCS_GOUV!$K44&gt;0,Page5_PARCS_GOUV!$M44=0),AND(Page5_PARCS_GOUV!$M44&lt;&gt;0,Page5_PARCS_GOUV!$K44=0))</f>
        <v>0</v>
      </c>
      <c r="F2146" s="1454"/>
      <c r="G2146" s="1444" t="str">
        <f t="shared" si="285"/>
        <v/>
      </c>
      <c r="H2146" s="1446" t="str">
        <f>IF(C2146=TRUE,Comments!$B$26,"")</f>
        <v/>
      </c>
      <c r="I2146" s="1446" t="str">
        <f>IF(D2146=TRUE,Comments!$B$21,"")</f>
        <v/>
      </c>
      <c r="J2146" s="1452"/>
      <c r="K2146" s="1452"/>
      <c r="N2146" s="611" t="str">
        <f>"CPTE # "&amp;Page5_PARCS_GOUV!E44&amp;" "&amp;Page5_PARCS_GOUV!C44&amp;" - UNITÉS - AAD"</f>
        <v>CPTE # 404M CADILLAC VOITURES MCI - UNITÉS - AAD</v>
      </c>
      <c r="O2146" s="611" t="str">
        <f t="shared" si="284"/>
        <v/>
      </c>
      <c r="P2146" s="611" t="str">
        <f t="shared" si="286"/>
        <v>Page5_PARCS_GOUV!K</v>
      </c>
      <c r="Q2146" s="611">
        <f t="shared" si="287"/>
        <v>44</v>
      </c>
      <c r="R2146" s="1447">
        <f t="shared" ca="1" si="288"/>
        <v>0</v>
      </c>
      <c r="S2146" s="1447">
        <f t="shared" ca="1" si="289"/>
        <v>0</v>
      </c>
      <c r="W2146" s="611" t="str">
        <f t="shared" ca="1" si="290"/>
        <v>Page5_PARCS_GOUV, Ligne 41 [Page5_PARCS_GOUV!K44]  -</v>
      </c>
    </row>
    <row r="2147" spans="1:23">
      <c r="A2147" s="1443" t="str">
        <f>celladdr(Page5_PARCS_GOUV!K45)</f>
        <v>Page5_PARCS_GOUV!K45</v>
      </c>
      <c r="B2147" s="1456" t="s">
        <v>1086</v>
      </c>
      <c r="C2147" s="1445" t="b">
        <f>Page5_PARCS_GOUV!$K45&lt;0</f>
        <v>0</v>
      </c>
      <c r="D2147" s="1454" t="b">
        <f>OR(AND(Page5_PARCS_GOUV!$K45&gt;0,Page5_PARCS_GOUV!$M45=0),AND(Page5_PARCS_GOUV!$M45&lt;&gt;0,Page5_PARCS_GOUV!$K45=0))</f>
        <v>0</v>
      </c>
      <c r="F2147" s="1454"/>
      <c r="G2147" s="1444" t="str">
        <f t="shared" si="285"/>
        <v/>
      </c>
      <c r="H2147" s="1446" t="str">
        <f>IF(C2147=TRUE,Comments!$B$26,"")</f>
        <v/>
      </c>
      <c r="I2147" s="1446" t="str">
        <f>IF(D2147=TRUE,Comments!$B$21,"")</f>
        <v/>
      </c>
      <c r="J2147" s="1452"/>
      <c r="K2147" s="1452"/>
      <c r="N2147" s="611" t="str">
        <f>"CPTE # "&amp;Page5_PARCS_GOUV!E45&amp;" "&amp;Page5_PARCS_GOUV!C45&amp;" - UNITÉS - AAD"</f>
        <v>CPTE # 405M CADILLAC VOITURES VE - UNITÉS - AAD</v>
      </c>
      <c r="O2147" s="611" t="str">
        <f t="shared" si="284"/>
        <v/>
      </c>
      <c r="P2147" s="611" t="str">
        <f t="shared" si="286"/>
        <v>Page5_PARCS_GOUV!K</v>
      </c>
      <c r="Q2147" s="611">
        <f t="shared" si="287"/>
        <v>45</v>
      </c>
      <c r="R2147" s="1447">
        <f t="shared" ca="1" si="288"/>
        <v>0</v>
      </c>
      <c r="S2147" s="1447">
        <f t="shared" ca="1" si="289"/>
        <v>0</v>
      </c>
      <c r="W2147" s="611" t="str">
        <f t="shared" ca="1" si="290"/>
        <v>Page5_PARCS_GOUV, Ligne 42 [Page5_PARCS_GOUV!K45]  -</v>
      </c>
    </row>
    <row r="2148" spans="1:23">
      <c r="A2148" s="1443" t="str">
        <f>celladdr(Page5_PARCS_GOUV!K46)</f>
        <v>Page5_PARCS_GOUV!K46</v>
      </c>
      <c r="B2148" s="1456" t="s">
        <v>1086</v>
      </c>
      <c r="C2148" s="1445" t="b">
        <f>Page5_PARCS_GOUV!$K46&lt;0</f>
        <v>0</v>
      </c>
      <c r="D2148" s="1454" t="b">
        <f>OR(AND(Page5_PARCS_GOUV!$K46&gt;0,Page5_PARCS_GOUV!$M46=0),AND(Page5_PARCS_GOUV!$M46&lt;&gt;0,Page5_PARCS_GOUV!$K46=0))</f>
        <v>0</v>
      </c>
      <c r="F2148" s="1454"/>
      <c r="G2148" s="1444" t="str">
        <f t="shared" si="285"/>
        <v/>
      </c>
      <c r="H2148" s="1446" t="str">
        <f>IF(C2148=TRUE,Comments!$B$26,"")</f>
        <v/>
      </c>
      <c r="I2148" s="1446" t="str">
        <f>IF(D2148=TRUE,Comments!$B$21,"")</f>
        <v/>
      </c>
      <c r="J2148" s="1452"/>
      <c r="K2148" s="1452"/>
      <c r="N2148" s="611" t="str">
        <f>"CPTE # "&amp;Page5_PARCS_GOUV!E46&amp;" "&amp;Page5_PARCS_GOUV!C46&amp;" - UNITÉS - AAD"</f>
        <v>CPTE # 406M NE PAS UTILISER - UNITÉS - AAD</v>
      </c>
      <c r="O2148" s="611" t="str">
        <f t="shared" si="284"/>
        <v/>
      </c>
      <c r="P2148" s="611" t="str">
        <f t="shared" si="286"/>
        <v>Page5_PARCS_GOUV!K</v>
      </c>
      <c r="Q2148" s="611">
        <f t="shared" si="287"/>
        <v>46</v>
      </c>
      <c r="R2148" s="1447">
        <f t="shared" ca="1" si="288"/>
        <v>0</v>
      </c>
      <c r="S2148" s="1447">
        <f t="shared" ca="1" si="289"/>
        <v>0</v>
      </c>
      <c r="W2148" s="611" t="str">
        <f t="shared" ca="1" si="290"/>
        <v>Page5_PARCS_GOUV, Ligne 43 [Page5_PARCS_GOUV!K46]  -</v>
      </c>
    </row>
    <row r="2149" spans="1:23">
      <c r="A2149" s="1443" t="str">
        <f>celladdr(Page5_PARCS_GOUV!K47)</f>
        <v>Page5_PARCS_GOUV!K47</v>
      </c>
      <c r="B2149" s="1456" t="s">
        <v>1086</v>
      </c>
      <c r="C2149" s="1445" t="b">
        <f>Page5_PARCS_GOUV!$K47&lt;0</f>
        <v>0</v>
      </c>
      <c r="D2149" s="1454" t="b">
        <f>OR(AND(Page5_PARCS_GOUV!$K47&gt;0,Page5_PARCS_GOUV!$M47=0),AND(Page5_PARCS_GOUV!$M47&lt;&gt;0,Page5_PARCS_GOUV!$K47=0))</f>
        <v>0</v>
      </c>
      <c r="F2149" s="1454"/>
      <c r="G2149" s="1444" t="str">
        <f t="shared" si="285"/>
        <v/>
      </c>
      <c r="H2149" s="1446" t="str">
        <f>IF(C2149=TRUE,Comments!$B$26,"")</f>
        <v/>
      </c>
      <c r="I2149" s="1446" t="str">
        <f>IF(D2149=TRUE,Comments!$B$21,"")</f>
        <v/>
      </c>
      <c r="J2149" s="1452"/>
      <c r="K2149" s="1452"/>
      <c r="N2149" s="611" t="str">
        <f>"CPTE # "&amp;Page5_PARCS_GOUV!E47&amp;" "&amp;Page5_PARCS_GOUV!C47&amp;" - UNITÉS - AAD"</f>
        <v>CPTE # 407M NE PAS UTILISER - UNITÉS - AAD</v>
      </c>
      <c r="O2149" s="611" t="str">
        <f t="shared" si="284"/>
        <v/>
      </c>
      <c r="P2149" s="611" t="str">
        <f t="shared" si="286"/>
        <v>Page5_PARCS_GOUV!K</v>
      </c>
      <c r="Q2149" s="611">
        <f t="shared" si="287"/>
        <v>47</v>
      </c>
      <c r="R2149" s="1447">
        <f t="shared" ca="1" si="288"/>
        <v>0</v>
      </c>
      <c r="S2149" s="1447">
        <f t="shared" ca="1" si="289"/>
        <v>0</v>
      </c>
      <c r="W2149" s="611" t="str">
        <f t="shared" ca="1" si="290"/>
        <v>Page5_PARCS_GOUV, Ligne 44 [Page5_PARCS_GOUV!K47]  -</v>
      </c>
    </row>
    <row r="2150" spans="1:23">
      <c r="A2150" s="1443" t="str">
        <f>celladdr(Page5_PARCS_GOUV!K48)</f>
        <v>Page5_PARCS_GOUV!K48</v>
      </c>
      <c r="B2150" s="2449" t="s">
        <v>1086</v>
      </c>
      <c r="D2150" s="1454"/>
      <c r="F2150" s="1454"/>
      <c r="G2150" s="1444" t="str">
        <f t="shared" si="285"/>
        <v/>
      </c>
      <c r="H2150" s="1446"/>
      <c r="I2150" s="1446"/>
      <c r="J2150" s="1452"/>
      <c r="K2150" s="1452"/>
      <c r="N2150" s="611" t="str">
        <f>"CPTE # "&amp;Page5_PARCS_GOUV!E48&amp;" "&amp;Page5_PARCS_GOUV!C48&amp;" - UNITÉS - AAD"</f>
        <v>CPTE #  TOTAL VOITURES DE GOUV - UNITÉS - AAD</v>
      </c>
      <c r="O2150" s="611" t="str">
        <f t="shared" si="284"/>
        <v/>
      </c>
      <c r="P2150" s="611" t="str">
        <f t="shared" si="286"/>
        <v>Page5_PARCS_GOUV!K</v>
      </c>
      <c r="Q2150" s="611">
        <f t="shared" si="287"/>
        <v>48</v>
      </c>
      <c r="R2150" s="1447">
        <f t="shared" ca="1" si="288"/>
        <v>0</v>
      </c>
      <c r="S2150" s="1447">
        <f t="shared" ca="1" si="289"/>
        <v>0</v>
      </c>
      <c r="W2150" s="611" t="str">
        <f t="shared" ca="1" si="290"/>
        <v>Page5_PARCS_GOUV, Ligne 45 [Page5_PARCS_GOUV!K48]  -</v>
      </c>
    </row>
    <row r="2151" spans="1:23">
      <c r="A2151" s="1443" t="str">
        <f>celladdr(Page5_PARCS_GOUV!K49)</f>
        <v>Page5_PARCS_GOUV!K49</v>
      </c>
      <c r="B2151" s="1456" t="s">
        <v>1086</v>
      </c>
      <c r="C2151" s="1445" t="b">
        <f>Page5_PARCS_GOUV!$K49&lt;0</f>
        <v>0</v>
      </c>
      <c r="D2151" s="1454" t="b">
        <f>OR(AND(Page5_PARCS_GOUV!$K49&gt;0,Page5_PARCS_GOUV!$M49=0),AND(Page5_PARCS_GOUV!$M49&lt;&gt;0,Page5_PARCS_GOUV!$K49=0))</f>
        <v>0</v>
      </c>
      <c r="F2151" s="1454"/>
      <c r="G2151" s="1444" t="str">
        <f t="shared" si="285"/>
        <v/>
      </c>
      <c r="H2151" s="1446" t="str">
        <f>IF(C2151=TRUE,Comments!$B$26,"")</f>
        <v/>
      </c>
      <c r="I2151" s="1446" t="str">
        <f>IF(D2151=TRUE,Comments!$B$21,"")</f>
        <v/>
      </c>
      <c r="J2151" s="1452"/>
      <c r="K2151" s="1452"/>
      <c r="N2151" s="611" t="str">
        <f>"CPTE # "&amp;Page5_PARCS_GOUV!E49&amp;" "&amp;Page5_PARCS_GOUV!C49&amp;" - UNITÉS - AAD"</f>
        <v>CPTE # 412M BUICK / CADILLAC PETIT VUS VE - UNITÉS - AAD</v>
      </c>
      <c r="O2151" s="611" t="str">
        <f t="shared" si="284"/>
        <v/>
      </c>
      <c r="P2151" s="611" t="str">
        <f t="shared" si="286"/>
        <v>Page5_PARCS_GOUV!K</v>
      </c>
      <c r="Q2151" s="611">
        <f t="shared" si="287"/>
        <v>49</v>
      </c>
      <c r="R2151" s="1447">
        <f t="shared" ca="1" si="288"/>
        <v>0</v>
      </c>
      <c r="S2151" s="1447">
        <f t="shared" ca="1" si="289"/>
        <v>0</v>
      </c>
      <c r="W2151" s="611" t="str">
        <f t="shared" ca="1" si="290"/>
        <v>Page5_PARCS_GOUV, Ligne 46 [Page5_PARCS_GOUV!K49]  -</v>
      </c>
    </row>
    <row r="2152" spans="1:23">
      <c r="A2152" s="1443" t="str">
        <f>celladdr(Page5_PARCS_GOUV!K50)</f>
        <v>Page5_PARCS_GOUV!K50</v>
      </c>
      <c r="B2152" s="1456" t="s">
        <v>1086</v>
      </c>
      <c r="C2152" s="1445" t="b">
        <f>Page5_PARCS_GOUV!$K50&lt;0</f>
        <v>0</v>
      </c>
      <c r="D2152" s="1454" t="b">
        <f>OR(AND(Page5_PARCS_GOUV!$K50&gt;0,Page5_PARCS_GOUV!$M50=0),AND(Page5_PARCS_GOUV!$M50&lt;&gt;0,Page5_PARCS_GOUV!$K50=0))</f>
        <v>0</v>
      </c>
      <c r="F2152" s="1454"/>
      <c r="G2152" s="1444" t="str">
        <f t="shared" si="285"/>
        <v/>
      </c>
      <c r="H2152" s="1446" t="str">
        <f>IF(C2152=TRUE,Comments!$B$26,"")</f>
        <v/>
      </c>
      <c r="I2152" s="1446" t="str">
        <f>IF(D2152=TRUE,Comments!$B$21,"")</f>
        <v/>
      </c>
      <c r="J2152" s="1452"/>
      <c r="K2152" s="1452"/>
      <c r="N2152" s="611" t="str">
        <f>"CPTE # "&amp;Page5_PARCS_GOUV!E50&amp;" "&amp;Page5_PARCS_GOUV!C50&amp;" - UNITÉS - AAD"</f>
        <v>CPTE # 413M BUICK / CADILLAC PETIT VUS MCI - UNITÉS - AAD</v>
      </c>
      <c r="O2152" s="611" t="str">
        <f t="shared" si="284"/>
        <v/>
      </c>
      <c r="P2152" s="611" t="str">
        <f t="shared" si="286"/>
        <v>Page5_PARCS_GOUV!K</v>
      </c>
      <c r="Q2152" s="611">
        <f t="shared" si="287"/>
        <v>50</v>
      </c>
      <c r="R2152" s="1447">
        <f t="shared" ca="1" si="288"/>
        <v>0</v>
      </c>
      <c r="S2152" s="1447">
        <f t="shared" ca="1" si="289"/>
        <v>0</v>
      </c>
      <c r="W2152" s="611" t="str">
        <f t="shared" ca="1" si="290"/>
        <v>Page5_PARCS_GOUV, Ligne 47 [Page5_PARCS_GOUV!K50]  -</v>
      </c>
    </row>
    <row r="2153" spans="1:23">
      <c r="A2153" s="1443" t="str">
        <f>celladdr(Page5_PARCS_GOUV!K51)</f>
        <v>Page5_PARCS_GOUV!K51</v>
      </c>
      <c r="B2153" s="1456" t="s">
        <v>1086</v>
      </c>
      <c r="C2153" s="1445" t="b">
        <f>Page5_PARCS_GOUV!$K51&lt;0</f>
        <v>0</v>
      </c>
      <c r="D2153" s="1454" t="b">
        <f>OR(AND(Page5_PARCS_GOUV!$K51&gt;0,Page5_PARCS_GOUV!$M51=0),AND(Page5_PARCS_GOUV!$M51&lt;&gt;0,Page5_PARCS_GOUV!$K51=0))</f>
        <v>0</v>
      </c>
      <c r="F2153" s="1454"/>
      <c r="G2153" s="1444" t="str">
        <f t="shared" si="285"/>
        <v/>
      </c>
      <c r="H2153" s="1446" t="str">
        <f>IF(C2153=TRUE,Comments!$B$26,"")</f>
        <v/>
      </c>
      <c r="I2153" s="1446" t="str">
        <f>IF(D2153=TRUE,Comments!$B$21,"")</f>
        <v/>
      </c>
      <c r="J2153" s="1452"/>
      <c r="K2153" s="1452"/>
      <c r="N2153" s="611" t="str">
        <f>"CPTE # "&amp;Page5_PARCS_GOUV!E51&amp;" "&amp;Page5_PARCS_GOUV!C51&amp;" - UNITÉS - AAD"</f>
        <v>CPTE # 414M BUICK / CADILLAC MOYEN VUS VE - UNITÉS - AAD</v>
      </c>
      <c r="O2153" s="611" t="str">
        <f t="shared" si="284"/>
        <v/>
      </c>
      <c r="P2153" s="611" t="str">
        <f t="shared" si="286"/>
        <v>Page5_PARCS_GOUV!K</v>
      </c>
      <c r="Q2153" s="611">
        <f t="shared" si="287"/>
        <v>51</v>
      </c>
      <c r="R2153" s="1447">
        <f t="shared" ca="1" si="288"/>
        <v>0</v>
      </c>
      <c r="S2153" s="1447">
        <f t="shared" ca="1" si="289"/>
        <v>0</v>
      </c>
      <c r="W2153" s="611" t="str">
        <f t="shared" ca="1" si="290"/>
        <v>Page5_PARCS_GOUV, Ligne 48 [Page5_PARCS_GOUV!K51]  -</v>
      </c>
    </row>
    <row r="2154" spans="1:23">
      <c r="A2154" s="1443" t="str">
        <f>celladdr(Page5_PARCS_GOUV!K52)</f>
        <v>Page5_PARCS_GOUV!K52</v>
      </c>
      <c r="B2154" s="1456" t="s">
        <v>1086</v>
      </c>
      <c r="C2154" s="1445" t="b">
        <f>Page5_PARCS_GOUV!$K52&lt;0</f>
        <v>0</v>
      </c>
      <c r="D2154" s="1454" t="b">
        <f>OR(AND(Page5_PARCS_GOUV!$K52&gt;0,Page5_PARCS_GOUV!$M52=0),AND(Page5_PARCS_GOUV!$M52&lt;&gt;0,Page5_PARCS_GOUV!$K52=0))</f>
        <v>0</v>
      </c>
      <c r="F2154" s="1454"/>
      <c r="G2154" s="1444" t="str">
        <f t="shared" si="285"/>
        <v/>
      </c>
      <c r="H2154" s="1446" t="str">
        <f>IF(C2154=TRUE,Comments!$B$26,"")</f>
        <v/>
      </c>
      <c r="I2154" s="1446" t="str">
        <f>IF(D2154=TRUE,Comments!$B$21,"")</f>
        <v/>
      </c>
      <c r="J2154" s="1452"/>
      <c r="K2154" s="1452"/>
      <c r="N2154" s="611" t="str">
        <f>"CPTE # "&amp;Page5_PARCS_GOUV!E52&amp;" "&amp;Page5_PARCS_GOUV!C52&amp;" - UNITÉS - AAD"</f>
        <v>CPTE # 415M BUICK / CADILLAC MOYEN VUS MCI - UNITÉS - AAD</v>
      </c>
      <c r="O2154" s="611" t="str">
        <f t="shared" si="284"/>
        <v/>
      </c>
      <c r="P2154" s="611" t="str">
        <f t="shared" si="286"/>
        <v>Page5_PARCS_GOUV!K</v>
      </c>
      <c r="Q2154" s="611">
        <f t="shared" si="287"/>
        <v>52</v>
      </c>
      <c r="R2154" s="1447">
        <f t="shared" ca="1" si="288"/>
        <v>0</v>
      </c>
      <c r="S2154" s="1447">
        <f t="shared" ca="1" si="289"/>
        <v>0</v>
      </c>
      <c r="W2154" s="611" t="str">
        <f t="shared" ca="1" si="290"/>
        <v>Page5_PARCS_GOUV, Ligne 49 [Page5_PARCS_GOUV!K52]  -</v>
      </c>
    </row>
    <row r="2155" spans="1:23">
      <c r="A2155" s="1443" t="str">
        <f>celladdr(Page5_PARCS_GOUV!K53)</f>
        <v>Page5_PARCS_GOUV!K53</v>
      </c>
      <c r="B2155" s="1456" t="s">
        <v>1086</v>
      </c>
      <c r="C2155" s="1445" t="b">
        <f>Page5_PARCS_GOUV!$K53&lt;0</f>
        <v>0</v>
      </c>
      <c r="D2155" s="1454" t="b">
        <f>OR(AND(Page5_PARCS_GOUV!$K53&gt;0,Page5_PARCS_GOUV!$M53=0),AND(Page5_PARCS_GOUV!$M53&lt;&gt;0,Page5_PARCS_GOUV!$K53=0))</f>
        <v>0</v>
      </c>
      <c r="F2155" s="1454"/>
      <c r="G2155" s="1444" t="str">
        <f t="shared" si="285"/>
        <v/>
      </c>
      <c r="H2155" s="1446" t="str">
        <f>IF(C2155=TRUE,Comments!$B$26,"")</f>
        <v/>
      </c>
      <c r="I2155" s="1446" t="str">
        <f>IF(D2155=TRUE,Comments!$B$21,"")</f>
        <v/>
      </c>
      <c r="J2155" s="1452"/>
      <c r="K2155" s="1452"/>
      <c r="N2155" s="611" t="str">
        <f>"CPTE # "&amp;Page5_PARCS_GOUV!E53&amp;" "&amp;Page5_PARCS_GOUV!C53&amp;" - UNITÉS - AAD"</f>
        <v>CPTE # 416M BUICK / CADILLAC GRAND VUS VE - UNITÉS - AAD</v>
      </c>
      <c r="O2155" s="611" t="str">
        <f t="shared" si="284"/>
        <v/>
      </c>
      <c r="P2155" s="611" t="str">
        <f t="shared" si="286"/>
        <v>Page5_PARCS_GOUV!K</v>
      </c>
      <c r="Q2155" s="611">
        <f t="shared" si="287"/>
        <v>53</v>
      </c>
      <c r="R2155" s="1447">
        <f t="shared" ca="1" si="288"/>
        <v>0</v>
      </c>
      <c r="S2155" s="1447">
        <f t="shared" ca="1" si="289"/>
        <v>0</v>
      </c>
      <c r="W2155" s="611" t="str">
        <f t="shared" ca="1" si="290"/>
        <v>Page5_PARCS_GOUV, Ligne 50 [Page5_PARCS_GOUV!K53]  -</v>
      </c>
    </row>
    <row r="2156" spans="1:23">
      <c r="A2156" s="1443" t="str">
        <f>celladdr(Page5_PARCS_GOUV!K54)</f>
        <v>Page5_PARCS_GOUV!K54</v>
      </c>
      <c r="B2156" s="1456" t="s">
        <v>1086</v>
      </c>
      <c r="C2156" s="1445" t="b">
        <f>Page5_PARCS_GOUV!$K54&lt;0</f>
        <v>0</v>
      </c>
      <c r="D2156" s="1454" t="b">
        <f>OR(AND(Page5_PARCS_GOUV!$K54&gt;0,Page5_PARCS_GOUV!$M54=0),AND(Page5_PARCS_GOUV!$M54&lt;&gt;0,Page5_PARCS_GOUV!$K54=0))</f>
        <v>0</v>
      </c>
      <c r="F2156" s="1454"/>
      <c r="G2156" s="1444" t="str">
        <f t="shared" si="285"/>
        <v/>
      </c>
      <c r="H2156" s="1446" t="str">
        <f>IF(C2156=TRUE,Comments!$B$26,"")</f>
        <v/>
      </c>
      <c r="I2156" s="1446" t="str">
        <f>IF(D2156=TRUE,Comments!$B$21,"")</f>
        <v/>
      </c>
      <c r="J2156" s="1452"/>
      <c r="K2156" s="1452"/>
      <c r="N2156" s="611" t="str">
        <f>"CPTE # "&amp;Page5_PARCS_GOUV!E54&amp;" "&amp;Page5_PARCS_GOUV!C54&amp;" - UNITÉS - AAD"</f>
        <v>CPTE # 417M BUICK / CADILLAC GRAND VUS MCI - UNITÉS - AAD</v>
      </c>
      <c r="O2156" s="611" t="str">
        <f t="shared" si="284"/>
        <v/>
      </c>
      <c r="P2156" s="611" t="str">
        <f t="shared" si="286"/>
        <v>Page5_PARCS_GOUV!K</v>
      </c>
      <c r="Q2156" s="611">
        <f t="shared" si="287"/>
        <v>54</v>
      </c>
      <c r="R2156" s="1447">
        <f t="shared" ca="1" si="288"/>
        <v>0</v>
      </c>
      <c r="S2156" s="1447">
        <f t="shared" ca="1" si="289"/>
        <v>0</v>
      </c>
      <c r="W2156" s="611" t="str">
        <f t="shared" ca="1" si="290"/>
        <v>Page5_PARCS_GOUV, Ligne 51 [Page5_PARCS_GOUV!K54]  -</v>
      </c>
    </row>
    <row r="2157" spans="1:23">
      <c r="A2157" s="1443" t="str">
        <f>celladdr(Page5_PARCS_GOUV!K55)</f>
        <v>Page5_PARCS_GOUV!K55</v>
      </c>
      <c r="B2157" s="1456" t="s">
        <v>1086</v>
      </c>
      <c r="C2157" s="1445" t="b">
        <f>Page5_PARCS_GOUV!$K55&lt;0</f>
        <v>0</v>
      </c>
      <c r="D2157" s="1454" t="b">
        <f>OR(AND(Page5_PARCS_GOUV!$K55&gt;0,Page5_PARCS_GOUV!$M55=0),AND(Page5_PARCS_GOUV!$M55&lt;&gt;0,Page5_PARCS_GOUV!$K55=0))</f>
        <v>0</v>
      </c>
      <c r="F2157" s="1454"/>
      <c r="G2157" s="1444" t="str">
        <f t="shared" si="285"/>
        <v/>
      </c>
      <c r="H2157" s="1446" t="str">
        <f>IF(C2157=TRUE,Comments!$B$26,"")</f>
        <v/>
      </c>
      <c r="I2157" s="1446" t="str">
        <f>IF(D2157=TRUE,Comments!$B$21,"")</f>
        <v/>
      </c>
      <c r="J2157" s="1452"/>
      <c r="K2157" s="1452"/>
      <c r="N2157" s="611" t="str">
        <f>"CPTE # "&amp;Page5_PARCS_GOUV!E55&amp;" "&amp;Page5_PARCS_GOUV!C55&amp;" - UNITÉS - AAD"</f>
        <v>CPTE # 418M CHEVROLET / GMC PETIT VUS VE - UNITÉS - AAD</v>
      </c>
      <c r="O2157" s="611" t="str">
        <f t="shared" si="284"/>
        <v/>
      </c>
      <c r="P2157" s="611" t="str">
        <f t="shared" si="286"/>
        <v>Page5_PARCS_GOUV!K</v>
      </c>
      <c r="Q2157" s="611">
        <f t="shared" si="287"/>
        <v>55</v>
      </c>
      <c r="R2157" s="1447">
        <f t="shared" ca="1" si="288"/>
        <v>0</v>
      </c>
      <c r="S2157" s="1447">
        <f t="shared" ca="1" si="289"/>
        <v>0</v>
      </c>
      <c r="W2157" s="611" t="str">
        <f t="shared" ca="1" si="290"/>
        <v>Page5_PARCS_GOUV, Ligne 52 [Page5_PARCS_GOUV!K55]  -</v>
      </c>
    </row>
    <row r="2158" spans="1:23">
      <c r="A2158" s="1443" t="str">
        <f>celladdr(Page5_PARCS_GOUV!K56)</f>
        <v>Page5_PARCS_GOUV!K56</v>
      </c>
      <c r="B2158" s="1456" t="s">
        <v>1086</v>
      </c>
      <c r="C2158" s="1445" t="b">
        <f>Page5_PARCS_GOUV!$K56&lt;0</f>
        <v>0</v>
      </c>
      <c r="D2158" s="1454" t="b">
        <f>OR(AND(Page5_PARCS_GOUV!$K56&gt;0,Page5_PARCS_GOUV!$M56=0),AND(Page5_PARCS_GOUV!$M56&lt;&gt;0,Page5_PARCS_GOUV!$K56=0))</f>
        <v>0</v>
      </c>
      <c r="F2158" s="1454"/>
      <c r="G2158" s="1444" t="str">
        <f t="shared" si="285"/>
        <v/>
      </c>
      <c r="H2158" s="1446" t="str">
        <f>IF(C2158=TRUE,Comments!$B$26,"")</f>
        <v/>
      </c>
      <c r="I2158" s="1446" t="str">
        <f>IF(D2158=TRUE,Comments!$B$21,"")</f>
        <v/>
      </c>
      <c r="J2158" s="1452"/>
      <c r="K2158" s="1452"/>
      <c r="N2158" s="611" t="str">
        <f>"CPTE # "&amp;Page5_PARCS_GOUV!E56&amp;" "&amp;Page5_PARCS_GOUV!C56&amp;" - UNITÉS - AAD"</f>
        <v>CPTE # 419M CHEVROLET / GMC PETIT VUS MCI - UNITÉS - AAD</v>
      </c>
      <c r="O2158" s="611" t="str">
        <f t="shared" si="284"/>
        <v/>
      </c>
      <c r="P2158" s="611" t="str">
        <f t="shared" si="286"/>
        <v>Page5_PARCS_GOUV!K</v>
      </c>
      <c r="Q2158" s="611">
        <f t="shared" si="287"/>
        <v>56</v>
      </c>
      <c r="R2158" s="1447">
        <f t="shared" ca="1" si="288"/>
        <v>0</v>
      </c>
      <c r="S2158" s="1447">
        <f t="shared" ca="1" si="289"/>
        <v>0</v>
      </c>
      <c r="W2158" s="611" t="str">
        <f t="shared" ca="1" si="290"/>
        <v>Page5_PARCS_GOUV, Ligne 53 [Page5_PARCS_GOUV!K56]  -</v>
      </c>
    </row>
    <row r="2159" spans="1:23">
      <c r="A2159" s="1443" t="str">
        <f>celladdr(Page5_PARCS_GOUV!K57)</f>
        <v>Page5_PARCS_GOUV!K57</v>
      </c>
      <c r="B2159" s="1456" t="s">
        <v>1086</v>
      </c>
      <c r="C2159" s="1445" t="b">
        <f>Page5_PARCS_GOUV!$K57&lt;0</f>
        <v>0</v>
      </c>
      <c r="D2159" s="1454" t="b">
        <f>OR(AND(Page5_PARCS_GOUV!$K57&gt;0,Page5_PARCS_GOUV!$M57=0),AND(Page5_PARCS_GOUV!$M57&lt;&gt;0,Page5_PARCS_GOUV!$K57=0))</f>
        <v>0</v>
      </c>
      <c r="F2159" s="1454"/>
      <c r="G2159" s="1444" t="str">
        <f t="shared" si="285"/>
        <v/>
      </c>
      <c r="H2159" s="1446" t="str">
        <f>IF(C2159=TRUE,Comments!$B$26,"")</f>
        <v/>
      </c>
      <c r="I2159" s="1446" t="str">
        <f>IF(D2159=TRUE,Comments!$B$21,"")</f>
        <v/>
      </c>
      <c r="J2159" s="1452"/>
      <c r="K2159" s="1452"/>
      <c r="N2159" s="611" t="str">
        <f>"CPTE # "&amp;Page5_PARCS_GOUV!E57&amp;" "&amp;Page5_PARCS_GOUV!C57&amp;" - UNITÉS - AAD"</f>
        <v>CPTE # 420M CHEVROLET / GMC MOYEN VUS VE - UNITÉS - AAD</v>
      </c>
      <c r="O2159" s="611" t="str">
        <f t="shared" si="284"/>
        <v/>
      </c>
      <c r="P2159" s="611" t="str">
        <f t="shared" si="286"/>
        <v>Page5_PARCS_GOUV!K</v>
      </c>
      <c r="Q2159" s="611">
        <f t="shared" si="287"/>
        <v>57</v>
      </c>
      <c r="R2159" s="1447">
        <f t="shared" ca="1" si="288"/>
        <v>0</v>
      </c>
      <c r="S2159" s="1447">
        <f t="shared" ca="1" si="289"/>
        <v>0</v>
      </c>
      <c r="W2159" s="611" t="str">
        <f t="shared" ca="1" si="290"/>
        <v>Page5_PARCS_GOUV, Ligne 54 [Page5_PARCS_GOUV!K57]  -</v>
      </c>
    </row>
    <row r="2160" spans="1:23">
      <c r="A2160" s="1443" t="str">
        <f>celladdr(Page5_PARCS_GOUV!K58)</f>
        <v>Page5_PARCS_GOUV!K58</v>
      </c>
      <c r="B2160" s="1456" t="s">
        <v>1086</v>
      </c>
      <c r="C2160" s="1445" t="b">
        <f>Page5_PARCS_GOUV!$K58&lt;0</f>
        <v>0</v>
      </c>
      <c r="D2160" s="1454" t="b">
        <f>OR(AND(Page5_PARCS_GOUV!$K58&gt;0,Page5_PARCS_GOUV!$M58=0),AND(Page5_PARCS_GOUV!$M58&lt;&gt;0,Page5_PARCS_GOUV!$K58=0))</f>
        <v>0</v>
      </c>
      <c r="F2160" s="1454"/>
      <c r="G2160" s="1444" t="str">
        <f t="shared" si="285"/>
        <v/>
      </c>
      <c r="H2160" s="1446" t="str">
        <f>IF(C2160=TRUE,Comments!$B$26,"")</f>
        <v/>
      </c>
      <c r="I2160" s="1446" t="str">
        <f>IF(D2160=TRUE,Comments!$B$21,"")</f>
        <v/>
      </c>
      <c r="J2160" s="1452"/>
      <c r="K2160" s="1452"/>
      <c r="N2160" s="611" t="str">
        <f>"CPTE # "&amp;Page5_PARCS_GOUV!E58&amp;" "&amp;Page5_PARCS_GOUV!C58&amp;" - UNITÉS - AAD"</f>
        <v>CPTE # 421M CHEVROLET / GMC MOYEN VUS MCI - UNITÉS - AAD</v>
      </c>
      <c r="O2160" s="611" t="str">
        <f t="shared" si="284"/>
        <v/>
      </c>
      <c r="P2160" s="611" t="str">
        <f t="shared" si="286"/>
        <v>Page5_PARCS_GOUV!K</v>
      </c>
      <c r="Q2160" s="611">
        <f t="shared" si="287"/>
        <v>58</v>
      </c>
      <c r="R2160" s="1447">
        <f t="shared" ca="1" si="288"/>
        <v>0</v>
      </c>
      <c r="S2160" s="1447">
        <f t="shared" ca="1" si="289"/>
        <v>0</v>
      </c>
      <c r="W2160" s="611" t="str">
        <f t="shared" ca="1" si="290"/>
        <v>Page5_PARCS_GOUV, Ligne 55 [Page5_PARCS_GOUV!K58]  -</v>
      </c>
    </row>
    <row r="2161" spans="1:23">
      <c r="A2161" s="1443" t="str">
        <f>celladdr(Page5_PARCS_GOUV!K59)</f>
        <v>Page5_PARCS_GOUV!K59</v>
      </c>
      <c r="B2161" s="1456" t="s">
        <v>1086</v>
      </c>
      <c r="C2161" s="1445" t="b">
        <f>Page5_PARCS_GOUV!$K59&lt;0</f>
        <v>0</v>
      </c>
      <c r="D2161" s="1454" t="b">
        <f>OR(AND(Page5_PARCS_GOUV!$K59&gt;0,Page5_PARCS_GOUV!$M59=0),AND(Page5_PARCS_GOUV!$M59&lt;&gt;0,Page5_PARCS_GOUV!$K59=0))</f>
        <v>0</v>
      </c>
      <c r="F2161" s="1454"/>
      <c r="G2161" s="1444" t="str">
        <f t="shared" si="285"/>
        <v/>
      </c>
      <c r="H2161" s="1446" t="str">
        <f>IF(C2161=TRUE,Comments!$B$26,"")</f>
        <v/>
      </c>
      <c r="I2161" s="1446" t="str">
        <f>IF(D2161=TRUE,Comments!$B$21,"")</f>
        <v/>
      </c>
      <c r="J2161" s="1452"/>
      <c r="K2161" s="1452"/>
      <c r="N2161" s="611" t="str">
        <f>"CPTE # "&amp;Page5_PARCS_GOUV!E59&amp;" "&amp;Page5_PARCS_GOUV!C59&amp;" - UNITÉS - AAD"</f>
        <v>CPTE # 422M CHEVROLET / GMC / HUMMER GRAND VUS VE - UNITÉS - AAD</v>
      </c>
      <c r="O2161" s="611" t="str">
        <f t="shared" si="284"/>
        <v/>
      </c>
      <c r="P2161" s="611" t="str">
        <f t="shared" si="286"/>
        <v>Page5_PARCS_GOUV!K</v>
      </c>
      <c r="Q2161" s="611">
        <f t="shared" si="287"/>
        <v>59</v>
      </c>
      <c r="R2161" s="1447">
        <f t="shared" ca="1" si="288"/>
        <v>0</v>
      </c>
      <c r="S2161" s="1447">
        <f t="shared" ca="1" si="289"/>
        <v>0</v>
      </c>
      <c r="W2161" s="611" t="str">
        <f t="shared" ca="1" si="290"/>
        <v>Page5_PARCS_GOUV, Ligne 56 [Page5_PARCS_GOUV!K59]  -</v>
      </c>
    </row>
    <row r="2162" spans="1:23">
      <c r="A2162" s="1443" t="str">
        <f>celladdr(Page5_PARCS_GOUV!K60)</f>
        <v>Page5_PARCS_GOUV!K60</v>
      </c>
      <c r="B2162" s="1456" t="s">
        <v>1086</v>
      </c>
      <c r="C2162" s="1445" t="b">
        <f>Page5_PARCS_GOUV!$K60&lt;0</f>
        <v>0</v>
      </c>
      <c r="D2162" s="1454" t="b">
        <f>OR(AND(Page5_PARCS_GOUV!$K60&gt;0,Page5_PARCS_GOUV!$M60=0),AND(Page5_PARCS_GOUV!$M60&lt;&gt;0,Page5_PARCS_GOUV!$K60=0))</f>
        <v>0</v>
      </c>
      <c r="F2162" s="1454"/>
      <c r="G2162" s="1444" t="str">
        <f t="shared" si="285"/>
        <v/>
      </c>
      <c r="H2162" s="1446" t="str">
        <f>IF(C2162=TRUE,Comments!$B$26,"")</f>
        <v/>
      </c>
      <c r="I2162" s="1446" t="str">
        <f>IF(D2162=TRUE,Comments!$B$21,"")</f>
        <v/>
      </c>
      <c r="J2162" s="1452"/>
      <c r="K2162" s="1452"/>
      <c r="N2162" s="611" t="str">
        <f>"CPTE # "&amp;Page5_PARCS_GOUV!E60&amp;" "&amp;Page5_PARCS_GOUV!C60&amp;" - UNITÉS - AAD"</f>
        <v>CPTE # 423M CHEVROLET / GMC GRAND VUS MCI - UNITÉS - AAD</v>
      </c>
      <c r="O2162" s="611" t="str">
        <f t="shared" si="284"/>
        <v/>
      </c>
      <c r="P2162" s="611" t="str">
        <f t="shared" si="286"/>
        <v>Page5_PARCS_GOUV!K</v>
      </c>
      <c r="Q2162" s="611">
        <f t="shared" si="287"/>
        <v>60</v>
      </c>
      <c r="R2162" s="1447">
        <f t="shared" ca="1" si="288"/>
        <v>0</v>
      </c>
      <c r="S2162" s="1447">
        <f t="shared" ca="1" si="289"/>
        <v>0</v>
      </c>
      <c r="W2162" s="611" t="str">
        <f t="shared" ca="1" si="290"/>
        <v>Page5_PARCS_GOUV, Ligne 57 [Page5_PARCS_GOUV!K60]  -</v>
      </c>
    </row>
    <row r="2163" spans="1:23">
      <c r="A2163" s="1443" t="str">
        <f>celladdr(Page5_PARCS_GOUV!K61)</f>
        <v>Page5_PARCS_GOUV!K61</v>
      </c>
      <c r="B2163" s="1456" t="s">
        <v>1086</v>
      </c>
      <c r="C2163" s="1445" t="b">
        <f>Page5_PARCS_GOUV!$K61&lt;0</f>
        <v>0</v>
      </c>
      <c r="D2163" s="1454" t="b">
        <f>OR(AND(Page5_PARCS_GOUV!$K61&gt;0,Page5_PARCS_GOUV!$M61=0),AND(Page5_PARCS_GOUV!$M61&lt;&gt;0,Page5_PARCS_GOUV!$K61=0))</f>
        <v>0</v>
      </c>
      <c r="F2163" s="1454"/>
      <c r="G2163" s="1444" t="str">
        <f t="shared" si="285"/>
        <v/>
      </c>
      <c r="H2163" s="1446" t="str">
        <f>IF(C2163=TRUE,Comments!$B$26,"")</f>
        <v/>
      </c>
      <c r="I2163" s="1446" t="str">
        <f>IF(D2163=TRUE,Comments!$B$21,"")</f>
        <v/>
      </c>
      <c r="J2163" s="1452"/>
      <c r="K2163" s="1452"/>
      <c r="N2163" s="611" t="str">
        <f>"CPTE # "&amp;Page5_PARCS_GOUV!E61&amp;" "&amp;Page5_PARCS_GOUV!C61&amp;" - UNITÉS - AAD"</f>
        <v>CPTE # 424M SILVERADO/SIERRA POIDS LOURD MCI (2500/3500) - UNITÉS - AAD</v>
      </c>
      <c r="O2163" s="611" t="str">
        <f t="shared" si="284"/>
        <v/>
      </c>
      <c r="P2163" s="611" t="str">
        <f t="shared" si="286"/>
        <v>Page5_PARCS_GOUV!K</v>
      </c>
      <c r="Q2163" s="611">
        <f t="shared" si="287"/>
        <v>61</v>
      </c>
      <c r="R2163" s="1447">
        <f t="shared" ca="1" si="288"/>
        <v>0</v>
      </c>
      <c r="S2163" s="1447">
        <f t="shared" ca="1" si="289"/>
        <v>0</v>
      </c>
      <c r="W2163" s="611" t="str">
        <f t="shared" ca="1" si="290"/>
        <v>Page5_PARCS_GOUV, Ligne 58 [Page5_PARCS_GOUV!K61]  -</v>
      </c>
    </row>
    <row r="2164" spans="1:23">
      <c r="A2164" s="1443" t="str">
        <f>celladdr(Page5_PARCS_GOUV!K62)</f>
        <v>Page5_PARCS_GOUV!K62</v>
      </c>
      <c r="B2164" s="1456" t="s">
        <v>1086</v>
      </c>
      <c r="C2164" s="1445" t="b">
        <f>Page5_PARCS_GOUV!$K62&lt;0</f>
        <v>0</v>
      </c>
      <c r="D2164" s="1454" t="b">
        <f>OR(AND(Page5_PARCS_GOUV!$K62&gt;0,Page5_PARCS_GOUV!$M62=0),AND(Page5_PARCS_GOUV!$M62&lt;&gt;0,Page5_PARCS_GOUV!$K62=0))</f>
        <v>0</v>
      </c>
      <c r="F2164" s="1454"/>
      <c r="G2164" s="1444" t="str">
        <f t="shared" si="285"/>
        <v/>
      </c>
      <c r="H2164" s="1446" t="str">
        <f>IF(C2164=TRUE,Comments!$B$26,"")</f>
        <v/>
      </c>
      <c r="I2164" s="1446" t="str">
        <f>IF(D2164=TRUE,Comments!$B$21,"")</f>
        <v/>
      </c>
      <c r="J2164" s="1452"/>
      <c r="K2164" s="1452"/>
      <c r="N2164" s="611" t="str">
        <f>"CPTE # "&amp;Page5_PARCS_GOUV!E62&amp;" "&amp;Page5_PARCS_GOUV!C62&amp;" - UNITÉS - AAD"</f>
        <v>CPTE # 425M NE PAS UTILISER - UNITÉS - AAD</v>
      </c>
      <c r="O2164" s="611" t="str">
        <f t="shared" si="284"/>
        <v/>
      </c>
      <c r="P2164" s="611" t="str">
        <f t="shared" si="286"/>
        <v>Page5_PARCS_GOUV!K</v>
      </c>
      <c r="Q2164" s="611">
        <f t="shared" si="287"/>
        <v>62</v>
      </c>
      <c r="R2164" s="1447">
        <f t="shared" ca="1" si="288"/>
        <v>0</v>
      </c>
      <c r="S2164" s="1447">
        <f t="shared" ca="1" si="289"/>
        <v>0</v>
      </c>
      <c r="W2164" s="611" t="str">
        <f t="shared" ca="1" si="290"/>
        <v>Page5_PARCS_GOUV, Ligne 59 [Page5_PARCS_GOUV!K62]  -</v>
      </c>
    </row>
    <row r="2165" spans="1:23">
      <c r="A2165" s="1443" t="str">
        <f>celladdr(Page5_PARCS_GOUV!K63)</f>
        <v>Page5_PARCS_GOUV!K63</v>
      </c>
      <c r="B2165" s="1456" t="s">
        <v>1086</v>
      </c>
      <c r="C2165" s="1445" t="b">
        <f>Page5_PARCS_GOUV!$K63&lt;0</f>
        <v>0</v>
      </c>
      <c r="D2165" s="1454" t="b">
        <f>OR(AND(Page5_PARCS_GOUV!$K63&gt;0,Page5_PARCS_GOUV!$M63=0),AND(Page5_PARCS_GOUV!$M63&lt;&gt;0,Page5_PARCS_GOUV!$K63=0))</f>
        <v>0</v>
      </c>
      <c r="F2165" s="1454"/>
      <c r="G2165" s="1444" t="str">
        <f t="shared" si="285"/>
        <v/>
      </c>
      <c r="H2165" s="1446" t="str">
        <f>IF(C2165=TRUE,Comments!$B$26,"")</f>
        <v/>
      </c>
      <c r="I2165" s="1446" t="str">
        <f>IF(D2165=TRUE,Comments!$B$21,"")</f>
        <v/>
      </c>
      <c r="J2165" s="1452"/>
      <c r="K2165" s="1452"/>
      <c r="N2165" s="611" t="str">
        <f>"CPTE # "&amp;Page5_PARCS_GOUV!E63&amp;" "&amp;Page5_PARCS_GOUV!C63&amp;" - UNITÉS - AAD"</f>
        <v>CPTE # 426M SILVERADO/SIERRA POIDS LÉGER MCI (1500) - UNITÉS - AAD</v>
      </c>
      <c r="O2165" s="611" t="str">
        <f t="shared" si="284"/>
        <v/>
      </c>
      <c r="P2165" s="611" t="str">
        <f t="shared" si="286"/>
        <v>Page5_PARCS_GOUV!K</v>
      </c>
      <c r="Q2165" s="611">
        <f t="shared" si="287"/>
        <v>63</v>
      </c>
      <c r="R2165" s="1447">
        <f t="shared" ca="1" si="288"/>
        <v>0</v>
      </c>
      <c r="S2165" s="1447">
        <f t="shared" ca="1" si="289"/>
        <v>0</v>
      </c>
      <c r="W2165" s="611" t="str">
        <f t="shared" ca="1" si="290"/>
        <v>Page5_PARCS_GOUV, Ligne 60 [Page5_PARCS_GOUV!K63]  -</v>
      </c>
    </row>
    <row r="2166" spans="1:23">
      <c r="A2166" s="1443" t="str">
        <f>celladdr(Page5_PARCS_GOUV!K64)</f>
        <v>Page5_PARCS_GOUV!K64</v>
      </c>
      <c r="B2166" s="1456" t="s">
        <v>1086</v>
      </c>
      <c r="C2166" s="1445" t="b">
        <f>Page5_PARCS_GOUV!$K64&lt;0</f>
        <v>0</v>
      </c>
      <c r="D2166" s="1454" t="b">
        <f>OR(AND(Page5_PARCS_GOUV!$K64&gt;0,Page5_PARCS_GOUV!$M64=0),AND(Page5_PARCS_GOUV!$M64&lt;&gt;0,Page5_PARCS_GOUV!$K64=0))</f>
        <v>0</v>
      </c>
      <c r="F2166" s="1454"/>
      <c r="G2166" s="1444" t="str">
        <f t="shared" si="285"/>
        <v/>
      </c>
      <c r="H2166" s="1446" t="str">
        <f>IF(C2166=TRUE,Comments!$B$26,"")</f>
        <v/>
      </c>
      <c r="I2166" s="1446" t="str">
        <f>IF(D2166=TRUE,Comments!$B$21,"")</f>
        <v/>
      </c>
      <c r="J2166" s="1452"/>
      <c r="K2166" s="1452"/>
      <c r="N2166" s="611" t="str">
        <f>"CPTE # "&amp;Page5_PARCS_GOUV!E64&amp;" "&amp;Page5_PARCS_GOUV!C64&amp;" - UNITÉS - AAD"</f>
        <v>CPTE # 427M SILVERADO/SIERRA/HUMMER POIDS LOURD VE - UNITÉS - AAD</v>
      </c>
      <c r="O2166" s="611" t="str">
        <f t="shared" si="284"/>
        <v/>
      </c>
      <c r="P2166" s="611" t="str">
        <f t="shared" si="286"/>
        <v>Page5_PARCS_GOUV!K</v>
      </c>
      <c r="Q2166" s="611">
        <f t="shared" si="287"/>
        <v>64</v>
      </c>
      <c r="R2166" s="1447">
        <f t="shared" ca="1" si="288"/>
        <v>0</v>
      </c>
      <c r="S2166" s="1447">
        <f t="shared" ca="1" si="289"/>
        <v>0</v>
      </c>
      <c r="W2166" s="611" t="str">
        <f t="shared" ca="1" si="290"/>
        <v>Page5_PARCS_GOUV, Ligne 61 [Page5_PARCS_GOUV!K64]  -</v>
      </c>
    </row>
    <row r="2167" spans="1:23">
      <c r="A2167" s="1443" t="str">
        <f>celladdr(Page5_PARCS_GOUV!K65)</f>
        <v>Page5_PARCS_GOUV!K65</v>
      </c>
      <c r="B2167" s="1456" t="s">
        <v>1086</v>
      </c>
      <c r="C2167" s="1445" t="b">
        <f>Page5_PARCS_GOUV!$K65&lt;0</f>
        <v>0</v>
      </c>
      <c r="D2167" s="1454" t="b">
        <f>OR(AND(Page5_PARCS_GOUV!$K65&gt;0,Page5_PARCS_GOUV!$M65=0),AND(Page5_PARCS_GOUV!$M65&lt;&gt;0,Page5_PARCS_GOUV!$K65=0))</f>
        <v>0</v>
      </c>
      <c r="F2167" s="1454"/>
      <c r="G2167" s="1444" t="str">
        <f t="shared" si="285"/>
        <v/>
      </c>
      <c r="H2167" s="1446" t="str">
        <f>IF(C2167=TRUE,Comments!$B$26,"")</f>
        <v/>
      </c>
      <c r="I2167" s="1446" t="str">
        <f>IF(D2167=TRUE,Comments!$B$21,"")</f>
        <v/>
      </c>
      <c r="J2167" s="1452"/>
      <c r="K2167" s="1452"/>
      <c r="N2167" s="611" t="str">
        <f>"CPTE # "&amp;Page5_PARCS_GOUV!E65&amp;" "&amp;Page5_PARCS_GOUV!C65&amp;" - UNITÉS - AAD"</f>
        <v>CPTE # 428M COLORADO/CANYON MCI - UNITÉS - AAD</v>
      </c>
      <c r="O2167" s="611" t="str">
        <f t="shared" si="284"/>
        <v/>
      </c>
      <c r="P2167" s="611" t="str">
        <f t="shared" si="286"/>
        <v>Page5_PARCS_GOUV!K</v>
      </c>
      <c r="Q2167" s="611">
        <f t="shared" si="287"/>
        <v>65</v>
      </c>
      <c r="R2167" s="1447">
        <f t="shared" ca="1" si="288"/>
        <v>0</v>
      </c>
      <c r="S2167" s="1447">
        <f t="shared" ca="1" si="289"/>
        <v>0</v>
      </c>
      <c r="W2167" s="611" t="str">
        <f t="shared" ca="1" si="290"/>
        <v>Page5_PARCS_GOUV, Ligne 62 [Page5_PARCS_GOUV!K65]  -</v>
      </c>
    </row>
    <row r="2168" spans="1:23">
      <c r="A2168" s="1443" t="str">
        <f>celladdr(Page5_PARCS_GOUV!K66)</f>
        <v>Page5_PARCS_GOUV!K66</v>
      </c>
      <c r="B2168" s="1456" t="s">
        <v>1086</v>
      </c>
      <c r="C2168" s="1445" t="b">
        <f>Page5_PARCS_GOUV!$K66&lt;0</f>
        <v>0</v>
      </c>
      <c r="D2168" s="1454" t="b">
        <f>OR(AND(Page5_PARCS_GOUV!$K66&gt;0,Page5_PARCS_GOUV!$M66=0),AND(Page5_PARCS_GOUV!$M66&lt;&gt;0,Page5_PARCS_GOUV!$K66=0))</f>
        <v>0</v>
      </c>
      <c r="F2168" s="1454"/>
      <c r="G2168" s="1444" t="str">
        <f t="shared" si="285"/>
        <v/>
      </c>
      <c r="H2168" s="1446" t="str">
        <f>IF(C2168=TRUE,Comments!$B$26,"")</f>
        <v/>
      </c>
      <c r="I2168" s="1446" t="str">
        <f>IF(D2168=TRUE,Comments!$B$21,"")</f>
        <v/>
      </c>
      <c r="J2168" s="1452"/>
      <c r="K2168" s="1452"/>
      <c r="N2168" s="611" t="str">
        <f>"CPTE # "&amp;Page5_PARCS_GOUV!E66&amp;" "&amp;Page5_PARCS_GOUV!C66&amp;" - UNITÉS - AAD"</f>
        <v>CPTE # 429M NE PAS UTILISER - UNITÉS - AAD</v>
      </c>
      <c r="O2168" s="611" t="str">
        <f t="shared" si="284"/>
        <v/>
      </c>
      <c r="P2168" s="611" t="str">
        <f t="shared" si="286"/>
        <v>Page5_PARCS_GOUV!K</v>
      </c>
      <c r="Q2168" s="611">
        <f t="shared" si="287"/>
        <v>66</v>
      </c>
      <c r="R2168" s="1447">
        <f t="shared" ca="1" si="288"/>
        <v>0</v>
      </c>
      <c r="S2168" s="1447">
        <f t="shared" ca="1" si="289"/>
        <v>0</v>
      </c>
      <c r="W2168" s="611" t="str">
        <f t="shared" ca="1" si="290"/>
        <v>Page5_PARCS_GOUV, Ligne 63 [Page5_PARCS_GOUV!K66]  -</v>
      </c>
    </row>
    <row r="2169" spans="1:23">
      <c r="A2169" s="1443" t="str">
        <f>celladdr(Page5_PARCS_GOUV!K67)</f>
        <v>Page5_PARCS_GOUV!K67</v>
      </c>
      <c r="B2169" s="1456" t="s">
        <v>1086</v>
      </c>
      <c r="C2169" s="1445" t="b">
        <f>Page5_PARCS_GOUV!$K67&lt;0</f>
        <v>0</v>
      </c>
      <c r="D2169" s="1454" t="b">
        <f>OR(AND(Page5_PARCS_GOUV!$K67&gt;0,Page5_PARCS_GOUV!$M67=0),AND(Page5_PARCS_GOUV!$M67&lt;&gt;0,Page5_PARCS_GOUV!$K67=0))</f>
        <v>0</v>
      </c>
      <c r="F2169" s="1454"/>
      <c r="G2169" s="1444" t="str">
        <f t="shared" si="285"/>
        <v/>
      </c>
      <c r="H2169" s="1446" t="str">
        <f>IF(C2169=TRUE,Comments!$B$26,"")</f>
        <v/>
      </c>
      <c r="I2169" s="1446" t="str">
        <f>IF(D2169=TRUE,Comments!$B$21,"")</f>
        <v/>
      </c>
      <c r="J2169" s="1452"/>
      <c r="K2169" s="1452"/>
      <c r="N2169" s="611" t="str">
        <f>"CPTE # "&amp;Page5_PARCS_GOUV!E67&amp;" "&amp;Page5_PARCS_GOUV!C67&amp;" - UNITÉS - AAD"</f>
        <v>CPTE # 430M SILVERADO CHASSIS (4500+) - UNITÉS - AAD</v>
      </c>
      <c r="O2169" s="611" t="str">
        <f t="shared" si="284"/>
        <v/>
      </c>
      <c r="P2169" s="611" t="str">
        <f t="shared" si="286"/>
        <v>Page5_PARCS_GOUV!K</v>
      </c>
      <c r="Q2169" s="611">
        <f t="shared" si="287"/>
        <v>67</v>
      </c>
      <c r="R2169" s="1447">
        <f t="shared" ca="1" si="288"/>
        <v>0</v>
      </c>
      <c r="S2169" s="1447">
        <f t="shared" ca="1" si="289"/>
        <v>0</v>
      </c>
      <c r="W2169" s="611" t="str">
        <f t="shared" ca="1" si="290"/>
        <v>Page5_PARCS_GOUV, Ligne 64 [Page5_PARCS_GOUV!K67]  -</v>
      </c>
    </row>
    <row r="2170" spans="1:23">
      <c r="A2170" s="1443" t="str">
        <f>celladdr(Page5_PARCS_GOUV!K68)</f>
        <v>Page5_PARCS_GOUV!K68</v>
      </c>
      <c r="B2170" s="1456" t="s">
        <v>1086</v>
      </c>
      <c r="C2170" s="1445" t="b">
        <f>Page5_PARCS_GOUV!$K68&lt;0</f>
        <v>0</v>
      </c>
      <c r="D2170" s="1454" t="b">
        <f>OR(AND(Page5_PARCS_GOUV!$K68&gt;0,Page5_PARCS_GOUV!$M68=0),AND(Page5_PARCS_GOUV!$M68&lt;&gt;0,Page5_PARCS_GOUV!$K68=0))</f>
        <v>0</v>
      </c>
      <c r="F2170" s="1454"/>
      <c r="G2170" s="1444" t="str">
        <f t="shared" si="285"/>
        <v/>
      </c>
      <c r="H2170" s="1446" t="str">
        <f>IF(C2170=TRUE,Comments!$B$26,"")</f>
        <v/>
      </c>
      <c r="I2170" s="1446" t="str">
        <f>IF(D2170=TRUE,Comments!$B$21,"")</f>
        <v/>
      </c>
      <c r="J2170" s="1452"/>
      <c r="K2170" s="1452"/>
      <c r="N2170" s="611" t="str">
        <f>"CPTE # "&amp;Page5_PARCS_GOUV!E68&amp;" "&amp;Page5_PARCS_GOUV!C68&amp;" - UNITÉS - AAD"</f>
        <v>CPTE # 431M CHEVROLET/GMC LCF/CONV - UNITÉS - AAD</v>
      </c>
      <c r="O2170" s="611" t="str">
        <f t="shared" si="284"/>
        <v/>
      </c>
      <c r="P2170" s="611" t="str">
        <f t="shared" si="286"/>
        <v>Page5_PARCS_GOUV!K</v>
      </c>
      <c r="Q2170" s="611">
        <f t="shared" si="287"/>
        <v>68</v>
      </c>
      <c r="R2170" s="1447">
        <f t="shared" ca="1" si="288"/>
        <v>0</v>
      </c>
      <c r="S2170" s="1447">
        <f t="shared" ca="1" si="289"/>
        <v>0</v>
      </c>
      <c r="W2170" s="611" t="str">
        <f t="shared" ca="1" si="290"/>
        <v>Page5_PARCS_GOUV, Ligne 65 [Page5_PARCS_GOUV!K68]  -</v>
      </c>
    </row>
    <row r="2171" spans="1:23">
      <c r="A2171" s="1443" t="str">
        <f>celladdr(Page5_PARCS_GOUV!K69)</f>
        <v>Page5_PARCS_GOUV!K69</v>
      </c>
      <c r="B2171" s="1456" t="s">
        <v>1086</v>
      </c>
      <c r="C2171" s="1445" t="b">
        <f>Page5_PARCS_GOUV!$K69&lt;0</f>
        <v>0</v>
      </c>
      <c r="D2171" s="1454" t="b">
        <f>OR(AND(Page5_PARCS_GOUV!$K69&gt;0,Page5_PARCS_GOUV!$M69=0),AND(Page5_PARCS_GOUV!$M69&lt;&gt;0,Page5_PARCS_GOUV!$K69=0))</f>
        <v>0</v>
      </c>
      <c r="F2171" s="1454"/>
      <c r="G2171" s="1444" t="str">
        <f t="shared" si="285"/>
        <v/>
      </c>
      <c r="H2171" s="1446" t="str">
        <f>IF(C2171=TRUE,Comments!$B$26,"")</f>
        <v/>
      </c>
      <c r="I2171" s="1446" t="str">
        <f>IF(D2171=TRUE,Comments!$B$21,"")</f>
        <v/>
      </c>
      <c r="J2171" s="1452"/>
      <c r="K2171" s="1452"/>
      <c r="N2171" s="611" t="str">
        <f>"CPTE # "&amp;Page5_PARCS_GOUV!E69&amp;" "&amp;Page5_PARCS_GOUV!C69&amp;" - UNITÉS - AAD"</f>
        <v>CPTE # 432M EXPRESS/SAVANA MCI - UNITÉS - AAD</v>
      </c>
      <c r="O2171" s="611" t="str">
        <f t="shared" si="284"/>
        <v/>
      </c>
      <c r="P2171" s="611" t="str">
        <f t="shared" si="286"/>
        <v>Page5_PARCS_GOUV!K</v>
      </c>
      <c r="Q2171" s="611">
        <f t="shared" si="287"/>
        <v>69</v>
      </c>
      <c r="R2171" s="1447">
        <f t="shared" ca="1" si="288"/>
        <v>0</v>
      </c>
      <c r="S2171" s="1447">
        <f t="shared" ca="1" si="289"/>
        <v>0</v>
      </c>
      <c r="W2171" s="611" t="str">
        <f t="shared" ca="1" si="290"/>
        <v>Page5_PARCS_GOUV, Ligne 66 [Page5_PARCS_GOUV!K69]  -</v>
      </c>
    </row>
    <row r="2172" spans="1:23">
      <c r="A2172" s="1443" t="str">
        <f>celladdr(Page5_PARCS_GOUV!K70)</f>
        <v>Page5_PARCS_GOUV!K70</v>
      </c>
      <c r="B2172" s="1456" t="s">
        <v>1086</v>
      </c>
      <c r="C2172" s="1445" t="b">
        <f>Page5_PARCS_GOUV!$K70&lt;0</f>
        <v>0</v>
      </c>
      <c r="D2172" s="1454" t="b">
        <f>OR(AND(Page5_PARCS_GOUV!$K70&gt;0,Page5_PARCS_GOUV!$M70=0),AND(Page5_PARCS_GOUV!$M70&lt;&gt;0,Page5_PARCS_GOUV!$K70=0))</f>
        <v>0</v>
      </c>
      <c r="F2172" s="1454"/>
      <c r="G2172" s="1444" t="str">
        <f t="shared" si="285"/>
        <v/>
      </c>
      <c r="H2172" s="1446" t="str">
        <f>IF(C2172=TRUE,Comments!$B$26,"")</f>
        <v/>
      </c>
      <c r="I2172" s="1446" t="str">
        <f>IF(D2172=TRUE,Comments!$B$21,"")</f>
        <v/>
      </c>
      <c r="J2172" s="1452"/>
      <c r="K2172" s="1452"/>
      <c r="N2172" s="611" t="str">
        <f>"CPTE # "&amp;Page5_PARCS_GOUV!E70&amp;" "&amp;Page5_PARCS_GOUV!C70&amp;" - UNITÉS - AAD"</f>
        <v>CPTE # 433M NE PAS UTILISER - UNITÉS - AAD</v>
      </c>
      <c r="O2172" s="611" t="str">
        <f t="shared" si="284"/>
        <v/>
      </c>
      <c r="P2172" s="611" t="str">
        <f t="shared" si="286"/>
        <v>Page5_PARCS_GOUV!K</v>
      </c>
      <c r="Q2172" s="611">
        <f t="shared" si="287"/>
        <v>70</v>
      </c>
      <c r="R2172" s="1447">
        <f t="shared" ca="1" si="288"/>
        <v>0</v>
      </c>
      <c r="S2172" s="1447">
        <f t="shared" ca="1" si="289"/>
        <v>0</v>
      </c>
      <c r="W2172" s="611" t="str">
        <f t="shared" ca="1" si="290"/>
        <v>Page5_PARCS_GOUV, Ligne 67 [Page5_PARCS_GOUV!K70]  -</v>
      </c>
    </row>
    <row r="2173" spans="1:23">
      <c r="A2173" s="1443" t="str">
        <f>celladdr(Page5_PARCS_GOUV!K71)</f>
        <v>Page5_PARCS_GOUV!K71</v>
      </c>
      <c r="B2173" s="1456" t="s">
        <v>1086</v>
      </c>
      <c r="C2173" s="1445" t="b">
        <f>Page5_PARCS_GOUV!$K71&lt;0</f>
        <v>0</v>
      </c>
      <c r="D2173" s="1454" t="b">
        <f>OR(AND(Page5_PARCS_GOUV!$K71&gt;0,Page5_PARCS_GOUV!$M71=0),AND(Page5_PARCS_GOUV!$M71&lt;&gt;0,Page5_PARCS_GOUV!$K71=0))</f>
        <v>0</v>
      </c>
      <c r="F2173" s="1454"/>
      <c r="G2173" s="1444" t="str">
        <f t="shared" si="285"/>
        <v/>
      </c>
      <c r="H2173" s="1446" t="str">
        <f>IF(C2173=TRUE,Comments!$B$26,"")</f>
        <v/>
      </c>
      <c r="I2173" s="1446" t="str">
        <f>IF(D2173=TRUE,Comments!$B$21,"")</f>
        <v/>
      </c>
      <c r="J2173" s="1452"/>
      <c r="K2173" s="1452"/>
      <c r="N2173" s="611" t="str">
        <f>"CPTE # "&amp;Page5_PARCS_GOUV!E71&amp;" "&amp;Page5_PARCS_GOUV!C71&amp;" - UNITÉS - AAD"</f>
        <v>CPTE # 434M NE PAS UTILISER - UNITÉS - AAD</v>
      </c>
      <c r="O2173" s="611" t="str">
        <f t="shared" si="284"/>
        <v/>
      </c>
      <c r="P2173" s="611" t="str">
        <f t="shared" si="286"/>
        <v>Page5_PARCS_GOUV!K</v>
      </c>
      <c r="Q2173" s="611">
        <f t="shared" si="287"/>
        <v>71</v>
      </c>
      <c r="R2173" s="1447">
        <f t="shared" ca="1" si="288"/>
        <v>0</v>
      </c>
      <c r="S2173" s="1447">
        <f t="shared" ca="1" si="289"/>
        <v>0</v>
      </c>
      <c r="W2173" s="611" t="str">
        <f t="shared" ca="1" si="290"/>
        <v>Page5_PARCS_GOUV, Ligne 68 [Page5_PARCS_GOUV!K71]  -</v>
      </c>
    </row>
    <row r="2174" spans="1:23">
      <c r="A2174" s="1443" t="str">
        <f>celladdr(Page5_PARCS_GOUV!L40)</f>
        <v>Page5_PARCS_GOUV!L40</v>
      </c>
      <c r="B2174" s="1456" t="s">
        <v>1086</v>
      </c>
      <c r="C2174" s="1445" t="b">
        <f>Page5_PARCS_GOUV!$L40&lt;0</f>
        <v>0</v>
      </c>
      <c r="D2174" s="1454" t="b">
        <f>OR(AND(Page5_PARCS_GOUV!$L40&lt;&gt;0,Page5_PARCS_GOUV!$M40=0),AND(Page5_PARCS_GOUV!$M40&lt;&gt;0,Page5_PARCS_GOUV!$L40=0))</f>
        <v>0</v>
      </c>
      <c r="F2174" s="1454"/>
      <c r="G2174" s="1444" t="str">
        <f t="shared" si="285"/>
        <v/>
      </c>
      <c r="H2174" s="1446" t="str">
        <f>IF(C2174=TRUE,Comments!$B$23,"")</f>
        <v/>
      </c>
      <c r="I2174" s="1446" t="str">
        <f>IF(D2174=TRUE,Comments!$B$24,"")</f>
        <v/>
      </c>
      <c r="J2174" s="1452"/>
      <c r="K2174" s="1452"/>
      <c r="N2174" s="611" t="str">
        <f>"CPTE # "&amp;Page5_PARCS_GOUV!E40&amp;" "&amp;Page5_PARCS_GOUV!C40&amp;" - CHIFFRE D'AFFAIRES RÉALISÉ - AAD"</f>
        <v>CPTE # 400M CHEVROLET VOITURES MCI - CHIFFRE D'AFFAIRES RÉALISÉ - AAD</v>
      </c>
      <c r="O2174" s="611" t="str">
        <f t="shared" ref="O2174:O2237" si="291">IF(A2174=A2173,"TRUE","")</f>
        <v/>
      </c>
      <c r="P2174" s="611" t="str">
        <f t="shared" si="286"/>
        <v>Page5_PARCS_GOUV!L</v>
      </c>
      <c r="Q2174" s="611">
        <f t="shared" si="287"/>
        <v>40</v>
      </c>
      <c r="R2174" s="1447">
        <f t="shared" ca="1" si="288"/>
        <v>0</v>
      </c>
      <c r="S2174" s="1447">
        <f t="shared" ca="1" si="289"/>
        <v>0</v>
      </c>
      <c r="W2174" s="611" t="str">
        <f t="shared" ca="1" si="290"/>
        <v>Page5_PARCS_GOUV, Ligne 37 [Page5_PARCS_GOUV!L40]  -</v>
      </c>
    </row>
    <row r="2175" spans="1:23">
      <c r="A2175" s="1443" t="str">
        <f>celladdr(Page5_PARCS_GOUV!L41)</f>
        <v>Page5_PARCS_GOUV!L41</v>
      </c>
      <c r="B2175" s="1456" t="s">
        <v>1086</v>
      </c>
      <c r="C2175" s="1445" t="b">
        <f>Page5_PARCS_GOUV!$L41&lt;0</f>
        <v>0</v>
      </c>
      <c r="D2175" s="1454" t="b">
        <f>OR(AND(Page5_PARCS_GOUV!$L41&lt;&gt;0,Page5_PARCS_GOUV!$M41=0),AND(Page5_PARCS_GOUV!$M41&lt;&gt;0,Page5_PARCS_GOUV!$L41=0))</f>
        <v>0</v>
      </c>
      <c r="F2175" s="1454"/>
      <c r="G2175" s="1444" t="str">
        <f t="shared" si="285"/>
        <v/>
      </c>
      <c r="H2175" s="1446" t="str">
        <f>IF(C2175=TRUE,Comments!$B$23,"")</f>
        <v/>
      </c>
      <c r="I2175" s="1446" t="str">
        <f>IF(D2175=TRUE,Comments!$B$24,"")</f>
        <v/>
      </c>
      <c r="J2175" s="1452"/>
      <c r="K2175" s="1452"/>
      <c r="N2175" s="611" t="str">
        <f>"CPTE # "&amp;Page5_PARCS_GOUV!E41&amp;" "&amp;Page5_PARCS_GOUV!C41&amp;" - CHIFFRE D'AFFAIRES RÉALISÉ - AAD"</f>
        <v>CPTE # 401M CHEVROLET VOITURES VE - CHIFFRE D'AFFAIRES RÉALISÉ - AAD</v>
      </c>
      <c r="O2175" s="611" t="str">
        <f t="shared" si="291"/>
        <v/>
      </c>
      <c r="P2175" s="611" t="str">
        <f t="shared" si="286"/>
        <v>Page5_PARCS_GOUV!L</v>
      </c>
      <c r="Q2175" s="611">
        <f t="shared" si="287"/>
        <v>41</v>
      </c>
      <c r="R2175" s="1447">
        <f t="shared" ca="1" si="288"/>
        <v>0</v>
      </c>
      <c r="S2175" s="1447">
        <f t="shared" ca="1" si="289"/>
        <v>0</v>
      </c>
      <c r="W2175" s="611" t="str">
        <f t="shared" ca="1" si="290"/>
        <v>Page5_PARCS_GOUV, Ligne 38 [Page5_PARCS_GOUV!L41]  -</v>
      </c>
    </row>
    <row r="2176" spans="1:23">
      <c r="A2176" s="1443" t="str">
        <f>celladdr(Page5_PARCS_GOUV!L42)</f>
        <v>Page5_PARCS_GOUV!L42</v>
      </c>
      <c r="B2176" s="1456" t="s">
        <v>1086</v>
      </c>
      <c r="C2176" s="1445" t="b">
        <f>Page5_PARCS_GOUV!$L42&lt;0</f>
        <v>0</v>
      </c>
      <c r="D2176" s="1454" t="b">
        <f>OR(AND(Page5_PARCS_GOUV!$L42&lt;&gt;0,Page5_PARCS_GOUV!$M42=0),AND(Page5_PARCS_GOUV!$M42&lt;&gt;0,Page5_PARCS_GOUV!$L42=0))</f>
        <v>0</v>
      </c>
      <c r="F2176" s="1454"/>
      <c r="G2176" s="1444" t="str">
        <f t="shared" si="285"/>
        <v/>
      </c>
      <c r="H2176" s="1446" t="str">
        <f>IF(C2176=TRUE,Comments!$B$23,"")</f>
        <v/>
      </c>
      <c r="I2176" s="1446" t="str">
        <f>IF(D2176=TRUE,Comments!$B$24,"")</f>
        <v/>
      </c>
      <c r="J2176" s="1452"/>
      <c r="K2176" s="1452"/>
      <c r="N2176" s="611" t="str">
        <f>"CPTE # "&amp;Page5_PARCS_GOUV!E42&amp;" "&amp;Page5_PARCS_GOUV!C42&amp;" - CHIFFRE D'AFFAIRES RÉALISÉ - AAD"</f>
        <v>CPTE # 402M BUICK VOITURES MCI - CHIFFRE D'AFFAIRES RÉALISÉ - AAD</v>
      </c>
      <c r="O2176" s="611" t="str">
        <f t="shared" si="291"/>
        <v/>
      </c>
      <c r="P2176" s="611" t="str">
        <f t="shared" si="286"/>
        <v>Page5_PARCS_GOUV!L</v>
      </c>
      <c r="Q2176" s="611">
        <f t="shared" si="287"/>
        <v>42</v>
      </c>
      <c r="R2176" s="1447">
        <f t="shared" ca="1" si="288"/>
        <v>0</v>
      </c>
      <c r="S2176" s="1447">
        <f t="shared" ca="1" si="289"/>
        <v>0</v>
      </c>
      <c r="W2176" s="611" t="str">
        <f t="shared" ca="1" si="290"/>
        <v>Page5_PARCS_GOUV, Ligne 39 [Page5_PARCS_GOUV!L42]  -</v>
      </c>
    </row>
    <row r="2177" spans="1:23">
      <c r="A2177" s="1443" t="str">
        <f>celladdr(Page5_PARCS_GOUV!L43)</f>
        <v>Page5_PARCS_GOUV!L43</v>
      </c>
      <c r="B2177" s="1456" t="s">
        <v>1086</v>
      </c>
      <c r="C2177" s="1445" t="b">
        <f>Page5_PARCS_GOUV!$L43&lt;0</f>
        <v>0</v>
      </c>
      <c r="D2177" s="1454" t="b">
        <f>OR(AND(Page5_PARCS_GOUV!$L43&lt;&gt;0,Page5_PARCS_GOUV!$M43=0),AND(Page5_PARCS_GOUV!$M43&lt;&gt;0,Page5_PARCS_GOUV!$L43=0))</f>
        <v>0</v>
      </c>
      <c r="F2177" s="1454"/>
      <c r="G2177" s="1444" t="str">
        <f t="shared" si="285"/>
        <v/>
      </c>
      <c r="H2177" s="1446" t="str">
        <f>IF(C2177=TRUE,Comments!$B$23,"")</f>
        <v/>
      </c>
      <c r="I2177" s="1446" t="str">
        <f>IF(D2177=TRUE,Comments!$B$24,"")</f>
        <v/>
      </c>
      <c r="J2177" s="1452"/>
      <c r="K2177" s="1452"/>
      <c r="N2177" s="611" t="str">
        <f>"CPTE # "&amp;Page5_PARCS_GOUV!E43&amp;" "&amp;Page5_PARCS_GOUV!C43&amp;" - CHIFFRE D'AFFAIRES RÉALISÉ - AAD"</f>
        <v>CPTE # 403M BUICK VOITURES VE - CHIFFRE D'AFFAIRES RÉALISÉ - AAD</v>
      </c>
      <c r="O2177" s="611" t="str">
        <f t="shared" si="291"/>
        <v/>
      </c>
      <c r="P2177" s="611" t="str">
        <f t="shared" si="286"/>
        <v>Page5_PARCS_GOUV!L</v>
      </c>
      <c r="Q2177" s="611">
        <f t="shared" si="287"/>
        <v>43</v>
      </c>
      <c r="R2177" s="1447">
        <f t="shared" ca="1" si="288"/>
        <v>0</v>
      </c>
      <c r="S2177" s="1447">
        <f t="shared" ca="1" si="289"/>
        <v>0</v>
      </c>
      <c r="W2177" s="611" t="str">
        <f t="shared" ca="1" si="290"/>
        <v>Page5_PARCS_GOUV, Ligne 40 [Page5_PARCS_GOUV!L43]  -</v>
      </c>
    </row>
    <row r="2178" spans="1:23">
      <c r="A2178" s="1443" t="str">
        <f>celladdr(Page5_PARCS_GOUV!L44)</f>
        <v>Page5_PARCS_GOUV!L44</v>
      </c>
      <c r="B2178" s="1456" t="s">
        <v>1086</v>
      </c>
      <c r="C2178" s="1445" t="b">
        <f>Page5_PARCS_GOUV!$L44&lt;0</f>
        <v>0</v>
      </c>
      <c r="D2178" s="1454" t="b">
        <f>OR(AND(Page5_PARCS_GOUV!$L44&lt;&gt;0,Page5_PARCS_GOUV!$M44=0),AND(Page5_PARCS_GOUV!$M44&lt;&gt;0,Page5_PARCS_GOUV!$L44=0))</f>
        <v>0</v>
      </c>
      <c r="F2178" s="1454"/>
      <c r="G2178" s="1444" t="str">
        <f t="shared" ref="G2178:G2241" si="292">IF(H2178&amp;I2178&amp;J2178&amp;K2178&lt;&gt;"","No.de ref. du commentaire.: "&amp;W2178&amp;" "&amp;N2178&amp;" "&amp;H2178&amp;I2178&amp;IF(OR(C2178=TRUE,D2178=TRUE),"",J2178&amp;K2178&amp;V2178),"")</f>
        <v/>
      </c>
      <c r="H2178" s="1446" t="str">
        <f>IF(C2178=TRUE,Comments!$B$23,"")</f>
        <v/>
      </c>
      <c r="I2178" s="1446" t="str">
        <f>IF(D2178=TRUE,Comments!$B$24,"")</f>
        <v/>
      </c>
      <c r="J2178" s="1452"/>
      <c r="K2178" s="1452"/>
      <c r="N2178" s="611" t="str">
        <f>"CPTE # "&amp;Page5_PARCS_GOUV!E44&amp;" "&amp;Page5_PARCS_GOUV!C44&amp;" - CHIFFRE D'AFFAIRES RÉALISÉ - AAD"</f>
        <v>CPTE # 404M CADILLAC VOITURES MCI - CHIFFRE D'AFFAIRES RÉALISÉ - AAD</v>
      </c>
      <c r="O2178" s="611" t="str">
        <f t="shared" si="291"/>
        <v/>
      </c>
      <c r="P2178" s="611" t="str">
        <f t="shared" ref="P2178:P2241" si="293">LEFT(A2178,FIND("!",A2178)+1)</f>
        <v>Page5_PARCS_GOUV!L</v>
      </c>
      <c r="Q2178" s="611">
        <f t="shared" ref="Q2178:Q2241" si="294">VALUE(RIGHT(A2178,LEN(A2178)-FIND("!",A2178)-1))</f>
        <v>44</v>
      </c>
      <c r="R2178" s="1447">
        <f t="shared" ref="R2178:R2241" ca="1" si="295">IF(E2178=TRUE,INDIRECT("Comments!$D$"&amp;T2178),0)</f>
        <v>0</v>
      </c>
      <c r="S2178" s="1447">
        <f t="shared" ref="S2178:S2241" ca="1" si="296">IF(F2178=TRUE,INDIRECT("Comments!$D$"&amp;U2178),0)</f>
        <v>0</v>
      </c>
      <c r="W2178" s="611" t="str">
        <f t="shared" ref="W2178:W2241" ca="1" si="297">LEFT(A2178,FIND("!",A2178,1)-1)&amp;", Ligne "&amp;INDIRECT(ADDRESS(ROW(INDIRECT(A2178)),IF(INDIRECT(ADDRESS(ROW(INDIRECT(A2178)),1,,,LEFT(A2178,FIND("!",A2178,1)-1)))="",2,1),,,LEFT(A2178,FIND("!",A2178,1)-1)))&amp;" ["&amp;A2178&amp;"] "&amp;" -"</f>
        <v>Page5_PARCS_GOUV, Ligne 41 [Page5_PARCS_GOUV!L44]  -</v>
      </c>
    </row>
    <row r="2179" spans="1:23">
      <c r="A2179" s="1443" t="str">
        <f>celladdr(Page5_PARCS_GOUV!L45)</f>
        <v>Page5_PARCS_GOUV!L45</v>
      </c>
      <c r="B2179" s="1456" t="s">
        <v>1086</v>
      </c>
      <c r="C2179" s="1445" t="b">
        <f>Page5_PARCS_GOUV!$L45&lt;0</f>
        <v>0</v>
      </c>
      <c r="D2179" s="1454" t="b">
        <f>OR(AND(Page5_PARCS_GOUV!$L45&lt;&gt;0,Page5_PARCS_GOUV!$M45=0),AND(Page5_PARCS_GOUV!$M45&lt;&gt;0,Page5_PARCS_GOUV!$L45=0))</f>
        <v>0</v>
      </c>
      <c r="F2179" s="1454"/>
      <c r="G2179" s="1444" t="str">
        <f t="shared" si="292"/>
        <v/>
      </c>
      <c r="H2179" s="1446" t="str">
        <f>IF(C2179=TRUE,Comments!$B$23,"")</f>
        <v/>
      </c>
      <c r="I2179" s="1446" t="str">
        <f>IF(D2179=TRUE,Comments!$B$24,"")</f>
        <v/>
      </c>
      <c r="J2179" s="1452"/>
      <c r="K2179" s="1452"/>
      <c r="N2179" s="611" t="str">
        <f>"CPTE # "&amp;Page5_PARCS_GOUV!E45&amp;" "&amp;Page5_PARCS_GOUV!C45&amp;" - CHIFFRE D'AFFAIRES RÉALISÉ - AAD"</f>
        <v>CPTE # 405M CADILLAC VOITURES VE - CHIFFRE D'AFFAIRES RÉALISÉ - AAD</v>
      </c>
      <c r="O2179" s="611" t="str">
        <f t="shared" si="291"/>
        <v/>
      </c>
      <c r="P2179" s="611" t="str">
        <f t="shared" si="293"/>
        <v>Page5_PARCS_GOUV!L</v>
      </c>
      <c r="Q2179" s="611">
        <f t="shared" si="294"/>
        <v>45</v>
      </c>
      <c r="R2179" s="1447">
        <f t="shared" ca="1" si="295"/>
        <v>0</v>
      </c>
      <c r="S2179" s="1447">
        <f t="shared" ca="1" si="296"/>
        <v>0</v>
      </c>
      <c r="W2179" s="611" t="str">
        <f t="shared" ca="1" si="297"/>
        <v>Page5_PARCS_GOUV, Ligne 42 [Page5_PARCS_GOUV!L45]  -</v>
      </c>
    </row>
    <row r="2180" spans="1:23">
      <c r="A2180" s="1443" t="str">
        <f>celladdr(Page5_PARCS_GOUV!L46)</f>
        <v>Page5_PARCS_GOUV!L46</v>
      </c>
      <c r="B2180" s="1456" t="s">
        <v>1086</v>
      </c>
      <c r="C2180" s="1445" t="b">
        <f>Page5_PARCS_GOUV!$L46&lt;0</f>
        <v>0</v>
      </c>
      <c r="D2180" s="1454" t="b">
        <f>OR(AND(Page5_PARCS_GOUV!$L46&lt;&gt;0,Page5_PARCS_GOUV!$M46=0),AND(Page5_PARCS_GOUV!$M46&lt;&gt;0,Page5_PARCS_GOUV!$L46=0))</f>
        <v>0</v>
      </c>
      <c r="F2180" s="1454"/>
      <c r="G2180" s="1444" t="str">
        <f t="shared" si="292"/>
        <v/>
      </c>
      <c r="H2180" s="1446" t="str">
        <f>IF(C2180=TRUE,Comments!$B$23,"")</f>
        <v/>
      </c>
      <c r="I2180" s="1446" t="str">
        <f>IF(D2180=TRUE,Comments!$B$24,"")</f>
        <v/>
      </c>
      <c r="J2180" s="1452"/>
      <c r="K2180" s="1452"/>
      <c r="N2180" s="611" t="str">
        <f>"CPTE # "&amp;Page5_PARCS_GOUV!E46&amp;" "&amp;Page5_PARCS_GOUV!C46&amp;" - CHIFFRE D'AFFAIRES RÉALISÉ - AAD"</f>
        <v>CPTE # 406M NE PAS UTILISER - CHIFFRE D'AFFAIRES RÉALISÉ - AAD</v>
      </c>
      <c r="O2180" s="611" t="str">
        <f t="shared" si="291"/>
        <v/>
      </c>
      <c r="P2180" s="611" t="str">
        <f t="shared" si="293"/>
        <v>Page5_PARCS_GOUV!L</v>
      </c>
      <c r="Q2180" s="611">
        <f t="shared" si="294"/>
        <v>46</v>
      </c>
      <c r="R2180" s="1447">
        <f t="shared" ca="1" si="295"/>
        <v>0</v>
      </c>
      <c r="S2180" s="1447">
        <f t="shared" ca="1" si="296"/>
        <v>0</v>
      </c>
      <c r="W2180" s="611" t="str">
        <f t="shared" ca="1" si="297"/>
        <v>Page5_PARCS_GOUV, Ligne 43 [Page5_PARCS_GOUV!L46]  -</v>
      </c>
    </row>
    <row r="2181" spans="1:23">
      <c r="A2181" s="1443" t="str">
        <f>celladdr(Page5_PARCS_GOUV!L47)</f>
        <v>Page5_PARCS_GOUV!L47</v>
      </c>
      <c r="B2181" s="1456" t="s">
        <v>1086</v>
      </c>
      <c r="C2181" s="1445" t="b">
        <f>Page5_PARCS_GOUV!$L47&lt;0</f>
        <v>0</v>
      </c>
      <c r="D2181" s="1454" t="b">
        <f>OR(AND(Page5_PARCS_GOUV!$L47&lt;&gt;0,Page5_PARCS_GOUV!$M47=0),AND(Page5_PARCS_GOUV!$M47&lt;&gt;0,Page5_PARCS_GOUV!$L47=0))</f>
        <v>0</v>
      </c>
      <c r="F2181" s="1454"/>
      <c r="G2181" s="1444" t="str">
        <f t="shared" si="292"/>
        <v/>
      </c>
      <c r="H2181" s="1446" t="str">
        <f>IF(C2181=TRUE,Comments!$B$23,"")</f>
        <v/>
      </c>
      <c r="I2181" s="1446" t="str">
        <f>IF(D2181=TRUE,Comments!$B$24,"")</f>
        <v/>
      </c>
      <c r="J2181" s="1452"/>
      <c r="K2181" s="1452"/>
      <c r="N2181" s="611" t="str">
        <f>"CPTE # "&amp;Page5_PARCS_GOUV!E47&amp;" "&amp;Page5_PARCS_GOUV!C47&amp;" - CHIFFRE D'AFFAIRES RÉALISÉ - AAD"</f>
        <v>CPTE # 407M NE PAS UTILISER - CHIFFRE D'AFFAIRES RÉALISÉ - AAD</v>
      </c>
      <c r="O2181" s="611" t="str">
        <f t="shared" si="291"/>
        <v/>
      </c>
      <c r="P2181" s="611" t="str">
        <f t="shared" si="293"/>
        <v>Page5_PARCS_GOUV!L</v>
      </c>
      <c r="Q2181" s="611">
        <f t="shared" si="294"/>
        <v>47</v>
      </c>
      <c r="R2181" s="1447">
        <f t="shared" ca="1" si="295"/>
        <v>0</v>
      </c>
      <c r="S2181" s="1447">
        <f t="shared" ca="1" si="296"/>
        <v>0</v>
      </c>
      <c r="W2181" s="611" t="str">
        <f t="shared" ca="1" si="297"/>
        <v>Page5_PARCS_GOUV, Ligne 44 [Page5_PARCS_GOUV!L47]  -</v>
      </c>
    </row>
    <row r="2182" spans="1:23">
      <c r="A2182" s="1443" t="str">
        <f>celladdr(Page5_PARCS_GOUV!L48)</f>
        <v>Page5_PARCS_GOUV!L48</v>
      </c>
      <c r="B2182" s="2449" t="s">
        <v>1086</v>
      </c>
      <c r="D2182" s="1454"/>
      <c r="F2182" s="1454"/>
      <c r="G2182" s="1444" t="str">
        <f t="shared" si="292"/>
        <v/>
      </c>
      <c r="H2182" s="1446"/>
      <c r="I2182" s="1446"/>
      <c r="J2182" s="1452"/>
      <c r="K2182" s="1452"/>
      <c r="N2182" s="611" t="str">
        <f>"CPTE # "&amp;Page5_PARCS_GOUV!E48&amp;" "&amp;Page5_PARCS_GOUV!C48&amp;" - CHIFFRE D'AFFAIRES RÉALISÉ - AAD"</f>
        <v>CPTE #  TOTAL VOITURES DE GOUV - CHIFFRE D'AFFAIRES RÉALISÉ - AAD</v>
      </c>
      <c r="O2182" s="611" t="str">
        <f t="shared" si="291"/>
        <v/>
      </c>
      <c r="P2182" s="611" t="str">
        <f t="shared" si="293"/>
        <v>Page5_PARCS_GOUV!L</v>
      </c>
      <c r="Q2182" s="611">
        <f t="shared" si="294"/>
        <v>48</v>
      </c>
      <c r="R2182" s="1447">
        <f t="shared" ca="1" si="295"/>
        <v>0</v>
      </c>
      <c r="S2182" s="1447">
        <f t="shared" ca="1" si="296"/>
        <v>0</v>
      </c>
      <c r="W2182" s="611" t="str">
        <f t="shared" ca="1" si="297"/>
        <v>Page5_PARCS_GOUV, Ligne 45 [Page5_PARCS_GOUV!L48]  -</v>
      </c>
    </row>
    <row r="2183" spans="1:23">
      <c r="A2183" s="1443" t="str">
        <f>celladdr(Page5_PARCS_GOUV!L49)</f>
        <v>Page5_PARCS_GOUV!L49</v>
      </c>
      <c r="B2183" s="1456" t="s">
        <v>1086</v>
      </c>
      <c r="C2183" s="1445" t="b">
        <f>Page5_PARCS_GOUV!$L49&lt;0</f>
        <v>0</v>
      </c>
      <c r="D2183" s="1454" t="b">
        <f>OR(AND(Page5_PARCS_GOUV!$L49&lt;&gt;0,Page5_PARCS_GOUV!$M49=0),AND(Page5_PARCS_GOUV!$M49&lt;&gt;0,Page5_PARCS_GOUV!$L49=0))</f>
        <v>0</v>
      </c>
      <c r="F2183" s="1454"/>
      <c r="G2183" s="1444" t="str">
        <f t="shared" si="292"/>
        <v/>
      </c>
      <c r="H2183" s="1446" t="str">
        <f>IF(C2183=TRUE,Comments!$B$23,"")</f>
        <v/>
      </c>
      <c r="I2183" s="1446" t="str">
        <f>IF(D2183=TRUE,Comments!$B$24,"")</f>
        <v/>
      </c>
      <c r="J2183" s="1452"/>
      <c r="K2183" s="1452"/>
      <c r="N2183" s="611" t="str">
        <f>"CPTE # "&amp;Page5_PARCS_GOUV!E49&amp;" "&amp;Page5_PARCS_GOUV!C49&amp;" - CHIFFRE D'AFFAIRES RÉALISÉ - AAD"</f>
        <v>CPTE # 412M BUICK / CADILLAC PETIT VUS VE - CHIFFRE D'AFFAIRES RÉALISÉ - AAD</v>
      </c>
      <c r="O2183" s="611" t="str">
        <f t="shared" si="291"/>
        <v/>
      </c>
      <c r="P2183" s="611" t="str">
        <f t="shared" si="293"/>
        <v>Page5_PARCS_GOUV!L</v>
      </c>
      <c r="Q2183" s="611">
        <f t="shared" si="294"/>
        <v>49</v>
      </c>
      <c r="R2183" s="1447">
        <f t="shared" ca="1" si="295"/>
        <v>0</v>
      </c>
      <c r="S2183" s="1447">
        <f t="shared" ca="1" si="296"/>
        <v>0</v>
      </c>
      <c r="W2183" s="611" t="str">
        <f t="shared" ca="1" si="297"/>
        <v>Page5_PARCS_GOUV, Ligne 46 [Page5_PARCS_GOUV!L49]  -</v>
      </c>
    </row>
    <row r="2184" spans="1:23">
      <c r="A2184" s="1443" t="str">
        <f>celladdr(Page5_PARCS_GOUV!L50)</f>
        <v>Page5_PARCS_GOUV!L50</v>
      </c>
      <c r="B2184" s="1456" t="s">
        <v>1086</v>
      </c>
      <c r="C2184" s="1445" t="b">
        <f>Page5_PARCS_GOUV!$L50&lt;0</f>
        <v>0</v>
      </c>
      <c r="D2184" s="1454" t="b">
        <f>OR(AND(Page5_PARCS_GOUV!$L50&lt;&gt;0,Page5_PARCS_GOUV!$M50=0),AND(Page5_PARCS_GOUV!$M50&lt;&gt;0,Page5_PARCS_GOUV!$L50=0))</f>
        <v>0</v>
      </c>
      <c r="F2184" s="1454"/>
      <c r="G2184" s="1444" t="str">
        <f t="shared" si="292"/>
        <v/>
      </c>
      <c r="H2184" s="1446" t="str">
        <f>IF(C2184=TRUE,Comments!$B$23,"")</f>
        <v/>
      </c>
      <c r="I2184" s="1446" t="str">
        <f>IF(D2184=TRUE,Comments!$B$24,"")</f>
        <v/>
      </c>
      <c r="J2184" s="1452"/>
      <c r="K2184" s="1452"/>
      <c r="N2184" s="611" t="str">
        <f>"CPTE # "&amp;Page5_PARCS_GOUV!E50&amp;" "&amp;Page5_PARCS_GOUV!C50&amp;" - CHIFFRE D'AFFAIRES RÉALISÉ - AAD"</f>
        <v>CPTE # 413M BUICK / CADILLAC PETIT VUS MCI - CHIFFRE D'AFFAIRES RÉALISÉ - AAD</v>
      </c>
      <c r="O2184" s="611" t="str">
        <f t="shared" si="291"/>
        <v/>
      </c>
      <c r="P2184" s="611" t="str">
        <f t="shared" si="293"/>
        <v>Page5_PARCS_GOUV!L</v>
      </c>
      <c r="Q2184" s="611">
        <f t="shared" si="294"/>
        <v>50</v>
      </c>
      <c r="R2184" s="1447">
        <f t="shared" ca="1" si="295"/>
        <v>0</v>
      </c>
      <c r="S2184" s="1447">
        <f t="shared" ca="1" si="296"/>
        <v>0</v>
      </c>
      <c r="W2184" s="611" t="str">
        <f t="shared" ca="1" si="297"/>
        <v>Page5_PARCS_GOUV, Ligne 47 [Page5_PARCS_GOUV!L50]  -</v>
      </c>
    </row>
    <row r="2185" spans="1:23">
      <c r="A2185" s="1443" t="str">
        <f>celladdr(Page5_PARCS_GOUV!L51)</f>
        <v>Page5_PARCS_GOUV!L51</v>
      </c>
      <c r="B2185" s="1456" t="s">
        <v>1086</v>
      </c>
      <c r="C2185" s="1445" t="b">
        <f>Page5_PARCS_GOUV!$L51&lt;0</f>
        <v>0</v>
      </c>
      <c r="D2185" s="1454" t="b">
        <f>OR(AND(Page5_PARCS_GOUV!$L51&lt;&gt;0,Page5_PARCS_GOUV!$M51=0),AND(Page5_PARCS_GOUV!$M51&lt;&gt;0,Page5_PARCS_GOUV!$L51=0))</f>
        <v>0</v>
      </c>
      <c r="F2185" s="1454"/>
      <c r="G2185" s="1444" t="str">
        <f t="shared" si="292"/>
        <v/>
      </c>
      <c r="H2185" s="1446" t="str">
        <f>IF(C2185=TRUE,Comments!$B$23,"")</f>
        <v/>
      </c>
      <c r="I2185" s="1446" t="str">
        <f>IF(D2185=TRUE,Comments!$B$24,"")</f>
        <v/>
      </c>
      <c r="J2185" s="1452"/>
      <c r="K2185" s="1452"/>
      <c r="N2185" s="611" t="str">
        <f>"CPTE # "&amp;Page5_PARCS_GOUV!E51&amp;" "&amp;Page5_PARCS_GOUV!C51&amp;" - CHIFFRE D'AFFAIRES RÉALISÉ - AAD"</f>
        <v>CPTE # 414M BUICK / CADILLAC MOYEN VUS VE - CHIFFRE D'AFFAIRES RÉALISÉ - AAD</v>
      </c>
      <c r="O2185" s="611" t="str">
        <f t="shared" si="291"/>
        <v/>
      </c>
      <c r="P2185" s="611" t="str">
        <f t="shared" si="293"/>
        <v>Page5_PARCS_GOUV!L</v>
      </c>
      <c r="Q2185" s="611">
        <f t="shared" si="294"/>
        <v>51</v>
      </c>
      <c r="R2185" s="1447">
        <f t="shared" ca="1" si="295"/>
        <v>0</v>
      </c>
      <c r="S2185" s="1447">
        <f t="shared" ca="1" si="296"/>
        <v>0</v>
      </c>
      <c r="W2185" s="611" t="str">
        <f t="shared" ca="1" si="297"/>
        <v>Page5_PARCS_GOUV, Ligne 48 [Page5_PARCS_GOUV!L51]  -</v>
      </c>
    </row>
    <row r="2186" spans="1:23">
      <c r="A2186" s="1443" t="str">
        <f>celladdr(Page5_PARCS_GOUV!L52)</f>
        <v>Page5_PARCS_GOUV!L52</v>
      </c>
      <c r="B2186" s="1456" t="s">
        <v>1086</v>
      </c>
      <c r="C2186" s="1445" t="b">
        <f>Page5_PARCS_GOUV!$L52&lt;0</f>
        <v>0</v>
      </c>
      <c r="D2186" s="1454" t="b">
        <f>OR(AND(Page5_PARCS_GOUV!$L52&lt;&gt;0,Page5_PARCS_GOUV!$M52=0),AND(Page5_PARCS_GOUV!$M52&lt;&gt;0,Page5_PARCS_GOUV!$L52=0))</f>
        <v>0</v>
      </c>
      <c r="F2186" s="1454"/>
      <c r="G2186" s="1444" t="str">
        <f t="shared" si="292"/>
        <v/>
      </c>
      <c r="H2186" s="1446" t="str">
        <f>IF(C2186=TRUE,Comments!$B$23,"")</f>
        <v/>
      </c>
      <c r="I2186" s="1446" t="str">
        <f>IF(D2186=TRUE,Comments!$B$24,"")</f>
        <v/>
      </c>
      <c r="J2186" s="1452"/>
      <c r="K2186" s="1452"/>
      <c r="N2186" s="611" t="str">
        <f>"CPTE # "&amp;Page5_PARCS_GOUV!E52&amp;" "&amp;Page5_PARCS_GOUV!C52&amp;" - CHIFFRE D'AFFAIRES RÉALISÉ - AAD"</f>
        <v>CPTE # 415M BUICK / CADILLAC MOYEN VUS MCI - CHIFFRE D'AFFAIRES RÉALISÉ - AAD</v>
      </c>
      <c r="O2186" s="611" t="str">
        <f t="shared" si="291"/>
        <v/>
      </c>
      <c r="P2186" s="611" t="str">
        <f t="shared" si="293"/>
        <v>Page5_PARCS_GOUV!L</v>
      </c>
      <c r="Q2186" s="611">
        <f t="shared" si="294"/>
        <v>52</v>
      </c>
      <c r="R2186" s="1447">
        <f t="shared" ca="1" si="295"/>
        <v>0</v>
      </c>
      <c r="S2186" s="1447">
        <f t="shared" ca="1" si="296"/>
        <v>0</v>
      </c>
      <c r="W2186" s="611" t="str">
        <f t="shared" ca="1" si="297"/>
        <v>Page5_PARCS_GOUV, Ligne 49 [Page5_PARCS_GOUV!L52]  -</v>
      </c>
    </row>
    <row r="2187" spans="1:23">
      <c r="A2187" s="1443" t="str">
        <f>celladdr(Page5_PARCS_GOUV!L53)</f>
        <v>Page5_PARCS_GOUV!L53</v>
      </c>
      <c r="B2187" s="1456" t="s">
        <v>1086</v>
      </c>
      <c r="C2187" s="1445" t="b">
        <f>Page5_PARCS_GOUV!$L53&lt;0</f>
        <v>0</v>
      </c>
      <c r="D2187" s="1454" t="b">
        <f>OR(AND(Page5_PARCS_GOUV!$L53&lt;&gt;0,Page5_PARCS_GOUV!$M53=0),AND(Page5_PARCS_GOUV!$M53&lt;&gt;0,Page5_PARCS_GOUV!$L53=0))</f>
        <v>0</v>
      </c>
      <c r="F2187" s="1454"/>
      <c r="G2187" s="1444" t="str">
        <f t="shared" si="292"/>
        <v/>
      </c>
      <c r="H2187" s="1446" t="str">
        <f>IF(C2187=TRUE,Comments!$B$23,"")</f>
        <v/>
      </c>
      <c r="I2187" s="1446" t="str">
        <f>IF(D2187=TRUE,Comments!$B$24,"")</f>
        <v/>
      </c>
      <c r="J2187" s="1452"/>
      <c r="K2187" s="1452"/>
      <c r="N2187" s="611" t="str">
        <f>"CPTE # "&amp;Page5_PARCS_GOUV!E53&amp;" "&amp;Page5_PARCS_GOUV!C53&amp;" - CHIFFRE D'AFFAIRES RÉALISÉ - AAD"</f>
        <v>CPTE # 416M BUICK / CADILLAC GRAND VUS VE - CHIFFRE D'AFFAIRES RÉALISÉ - AAD</v>
      </c>
      <c r="O2187" s="611" t="str">
        <f t="shared" si="291"/>
        <v/>
      </c>
      <c r="P2187" s="611" t="str">
        <f t="shared" si="293"/>
        <v>Page5_PARCS_GOUV!L</v>
      </c>
      <c r="Q2187" s="611">
        <f t="shared" si="294"/>
        <v>53</v>
      </c>
      <c r="R2187" s="1447">
        <f t="shared" ca="1" si="295"/>
        <v>0</v>
      </c>
      <c r="S2187" s="1447">
        <f t="shared" ca="1" si="296"/>
        <v>0</v>
      </c>
      <c r="W2187" s="611" t="str">
        <f t="shared" ca="1" si="297"/>
        <v>Page5_PARCS_GOUV, Ligne 50 [Page5_PARCS_GOUV!L53]  -</v>
      </c>
    </row>
    <row r="2188" spans="1:23">
      <c r="A2188" s="1443" t="str">
        <f>celladdr(Page5_PARCS_GOUV!L54)</f>
        <v>Page5_PARCS_GOUV!L54</v>
      </c>
      <c r="B2188" s="1456" t="s">
        <v>1086</v>
      </c>
      <c r="C2188" s="1445" t="b">
        <f>Page5_PARCS_GOUV!$L54&lt;0</f>
        <v>0</v>
      </c>
      <c r="D2188" s="1454" t="b">
        <f>OR(AND(Page5_PARCS_GOUV!$L54&lt;&gt;0,Page5_PARCS_GOUV!$M54=0),AND(Page5_PARCS_GOUV!$M54&lt;&gt;0,Page5_PARCS_GOUV!$L54=0))</f>
        <v>0</v>
      </c>
      <c r="F2188" s="1454"/>
      <c r="G2188" s="1444" t="str">
        <f t="shared" si="292"/>
        <v/>
      </c>
      <c r="H2188" s="1446" t="str">
        <f>IF(C2188=TRUE,Comments!$B$23,"")</f>
        <v/>
      </c>
      <c r="I2188" s="1446" t="str">
        <f>IF(D2188=TRUE,Comments!$B$24,"")</f>
        <v/>
      </c>
      <c r="J2188" s="1452"/>
      <c r="K2188" s="1452"/>
      <c r="N2188" s="611" t="str">
        <f>"CPTE # "&amp;Page5_PARCS_GOUV!E54&amp;" "&amp;Page5_PARCS_GOUV!C54&amp;" - CHIFFRE D'AFFAIRES RÉALISÉ - AAD"</f>
        <v>CPTE # 417M BUICK / CADILLAC GRAND VUS MCI - CHIFFRE D'AFFAIRES RÉALISÉ - AAD</v>
      </c>
      <c r="O2188" s="611" t="str">
        <f t="shared" si="291"/>
        <v/>
      </c>
      <c r="P2188" s="611" t="str">
        <f t="shared" si="293"/>
        <v>Page5_PARCS_GOUV!L</v>
      </c>
      <c r="Q2188" s="611">
        <f t="shared" si="294"/>
        <v>54</v>
      </c>
      <c r="R2188" s="1447">
        <f t="shared" ca="1" si="295"/>
        <v>0</v>
      </c>
      <c r="S2188" s="1447">
        <f t="shared" ca="1" si="296"/>
        <v>0</v>
      </c>
      <c r="W2188" s="611" t="str">
        <f t="shared" ca="1" si="297"/>
        <v>Page5_PARCS_GOUV, Ligne 51 [Page5_PARCS_GOUV!L54]  -</v>
      </c>
    </row>
    <row r="2189" spans="1:23">
      <c r="A2189" s="1443" t="str">
        <f>celladdr(Page5_PARCS_GOUV!L55)</f>
        <v>Page5_PARCS_GOUV!L55</v>
      </c>
      <c r="B2189" s="1456" t="s">
        <v>1086</v>
      </c>
      <c r="C2189" s="1445" t="b">
        <f>Page5_PARCS_GOUV!$L55&lt;0</f>
        <v>0</v>
      </c>
      <c r="D2189" s="1454" t="b">
        <f>OR(AND(Page5_PARCS_GOUV!$L55&lt;&gt;0,Page5_PARCS_GOUV!$M55=0),AND(Page5_PARCS_GOUV!$M55&lt;&gt;0,Page5_PARCS_GOUV!$L55=0))</f>
        <v>0</v>
      </c>
      <c r="F2189" s="1454"/>
      <c r="G2189" s="1444" t="str">
        <f t="shared" si="292"/>
        <v/>
      </c>
      <c r="H2189" s="1446" t="str">
        <f>IF(C2189=TRUE,Comments!$B$23,"")</f>
        <v/>
      </c>
      <c r="I2189" s="1446" t="str">
        <f>IF(D2189=TRUE,Comments!$B$24,"")</f>
        <v/>
      </c>
      <c r="J2189" s="1452"/>
      <c r="K2189" s="1452"/>
      <c r="N2189" s="611" t="str">
        <f>"CPTE # "&amp;Page5_PARCS_GOUV!E55&amp;" "&amp;Page5_PARCS_GOUV!C55&amp;" - CHIFFRE D'AFFAIRES RÉALISÉ - AAD"</f>
        <v>CPTE # 418M CHEVROLET / GMC PETIT VUS VE - CHIFFRE D'AFFAIRES RÉALISÉ - AAD</v>
      </c>
      <c r="O2189" s="611" t="str">
        <f t="shared" si="291"/>
        <v/>
      </c>
      <c r="P2189" s="611" t="str">
        <f t="shared" si="293"/>
        <v>Page5_PARCS_GOUV!L</v>
      </c>
      <c r="Q2189" s="611">
        <f t="shared" si="294"/>
        <v>55</v>
      </c>
      <c r="R2189" s="1447">
        <f t="shared" ca="1" si="295"/>
        <v>0</v>
      </c>
      <c r="S2189" s="1447">
        <f t="shared" ca="1" si="296"/>
        <v>0</v>
      </c>
      <c r="W2189" s="611" t="str">
        <f t="shared" ca="1" si="297"/>
        <v>Page5_PARCS_GOUV, Ligne 52 [Page5_PARCS_GOUV!L55]  -</v>
      </c>
    </row>
    <row r="2190" spans="1:23">
      <c r="A2190" s="1443" t="str">
        <f>celladdr(Page5_PARCS_GOUV!L56)</f>
        <v>Page5_PARCS_GOUV!L56</v>
      </c>
      <c r="B2190" s="1456" t="s">
        <v>1086</v>
      </c>
      <c r="C2190" s="1445" t="b">
        <f>Page5_PARCS_GOUV!$L56&lt;0</f>
        <v>0</v>
      </c>
      <c r="D2190" s="1454" t="b">
        <f>OR(AND(Page5_PARCS_GOUV!$L56&lt;&gt;0,Page5_PARCS_GOUV!$M56=0),AND(Page5_PARCS_GOUV!$M56&lt;&gt;0,Page5_PARCS_GOUV!$L56=0))</f>
        <v>0</v>
      </c>
      <c r="F2190" s="1454"/>
      <c r="G2190" s="1444" t="str">
        <f t="shared" si="292"/>
        <v/>
      </c>
      <c r="H2190" s="1446" t="str">
        <f>IF(C2190=TRUE,Comments!$B$23,"")</f>
        <v/>
      </c>
      <c r="I2190" s="1446" t="str">
        <f>IF(D2190=TRUE,Comments!$B$24,"")</f>
        <v/>
      </c>
      <c r="J2190" s="1452"/>
      <c r="K2190" s="1452"/>
      <c r="N2190" s="611" t="str">
        <f>"CPTE # "&amp;Page5_PARCS_GOUV!E56&amp;" "&amp;Page5_PARCS_GOUV!C56&amp;" - CHIFFRE D'AFFAIRES RÉALISÉ - AAD"</f>
        <v>CPTE # 419M CHEVROLET / GMC PETIT VUS MCI - CHIFFRE D'AFFAIRES RÉALISÉ - AAD</v>
      </c>
      <c r="O2190" s="611" t="str">
        <f t="shared" si="291"/>
        <v/>
      </c>
      <c r="P2190" s="611" t="str">
        <f t="shared" si="293"/>
        <v>Page5_PARCS_GOUV!L</v>
      </c>
      <c r="Q2190" s="611">
        <f t="shared" si="294"/>
        <v>56</v>
      </c>
      <c r="R2190" s="1447">
        <f t="shared" ca="1" si="295"/>
        <v>0</v>
      </c>
      <c r="S2190" s="1447">
        <f t="shared" ca="1" si="296"/>
        <v>0</v>
      </c>
      <c r="W2190" s="611" t="str">
        <f t="shared" ca="1" si="297"/>
        <v>Page5_PARCS_GOUV, Ligne 53 [Page5_PARCS_GOUV!L56]  -</v>
      </c>
    </row>
    <row r="2191" spans="1:23">
      <c r="A2191" s="1443" t="str">
        <f>celladdr(Page5_PARCS_GOUV!L57)</f>
        <v>Page5_PARCS_GOUV!L57</v>
      </c>
      <c r="B2191" s="1456" t="s">
        <v>1086</v>
      </c>
      <c r="C2191" s="1445" t="b">
        <f>Page5_PARCS_GOUV!$L57&lt;0</f>
        <v>0</v>
      </c>
      <c r="D2191" s="1454" t="b">
        <f>OR(AND(Page5_PARCS_GOUV!$L57&lt;&gt;0,Page5_PARCS_GOUV!$M57=0),AND(Page5_PARCS_GOUV!$M57&lt;&gt;0,Page5_PARCS_GOUV!$L57=0))</f>
        <v>0</v>
      </c>
      <c r="F2191" s="1454"/>
      <c r="G2191" s="1444" t="str">
        <f t="shared" si="292"/>
        <v/>
      </c>
      <c r="H2191" s="1446" t="str">
        <f>IF(C2191=TRUE,Comments!$B$23,"")</f>
        <v/>
      </c>
      <c r="I2191" s="1446" t="str">
        <f>IF(D2191=TRUE,Comments!$B$24,"")</f>
        <v/>
      </c>
      <c r="J2191" s="1452"/>
      <c r="K2191" s="1452"/>
      <c r="N2191" s="611" t="str">
        <f>"CPTE # "&amp;Page5_PARCS_GOUV!E57&amp;" "&amp;Page5_PARCS_GOUV!C57&amp;" - CHIFFRE D'AFFAIRES RÉALISÉ - AAD"</f>
        <v>CPTE # 420M CHEVROLET / GMC MOYEN VUS VE - CHIFFRE D'AFFAIRES RÉALISÉ - AAD</v>
      </c>
      <c r="O2191" s="611" t="str">
        <f t="shared" si="291"/>
        <v/>
      </c>
      <c r="P2191" s="611" t="str">
        <f t="shared" si="293"/>
        <v>Page5_PARCS_GOUV!L</v>
      </c>
      <c r="Q2191" s="611">
        <f t="shared" si="294"/>
        <v>57</v>
      </c>
      <c r="R2191" s="1447">
        <f t="shared" ca="1" si="295"/>
        <v>0</v>
      </c>
      <c r="S2191" s="1447">
        <f t="shared" ca="1" si="296"/>
        <v>0</v>
      </c>
      <c r="W2191" s="611" t="str">
        <f t="shared" ca="1" si="297"/>
        <v>Page5_PARCS_GOUV, Ligne 54 [Page5_PARCS_GOUV!L57]  -</v>
      </c>
    </row>
    <row r="2192" spans="1:23">
      <c r="A2192" s="1443" t="str">
        <f>celladdr(Page5_PARCS_GOUV!L58)</f>
        <v>Page5_PARCS_GOUV!L58</v>
      </c>
      <c r="B2192" s="1456" t="s">
        <v>1086</v>
      </c>
      <c r="C2192" s="1445" t="b">
        <f>Page5_PARCS_GOUV!$L58&lt;0</f>
        <v>0</v>
      </c>
      <c r="D2192" s="1454" t="b">
        <f>OR(AND(Page5_PARCS_GOUV!$L58&lt;&gt;0,Page5_PARCS_GOUV!$M58=0),AND(Page5_PARCS_GOUV!$M58&lt;&gt;0,Page5_PARCS_GOUV!$L58=0))</f>
        <v>0</v>
      </c>
      <c r="F2192" s="1454"/>
      <c r="G2192" s="1444" t="str">
        <f t="shared" si="292"/>
        <v/>
      </c>
      <c r="H2192" s="1446" t="str">
        <f>IF(C2192=TRUE,Comments!$B$23,"")</f>
        <v/>
      </c>
      <c r="I2192" s="1446" t="str">
        <f>IF(D2192=TRUE,Comments!$B$24,"")</f>
        <v/>
      </c>
      <c r="J2192" s="1452"/>
      <c r="K2192" s="1452"/>
      <c r="N2192" s="611" t="str">
        <f>"CPTE # "&amp;Page5_PARCS_GOUV!E58&amp;" "&amp;Page5_PARCS_GOUV!C58&amp;" - CHIFFRE D'AFFAIRES RÉALISÉ - AAD"</f>
        <v>CPTE # 421M CHEVROLET / GMC MOYEN VUS MCI - CHIFFRE D'AFFAIRES RÉALISÉ - AAD</v>
      </c>
      <c r="O2192" s="611" t="str">
        <f t="shared" si="291"/>
        <v/>
      </c>
      <c r="P2192" s="611" t="str">
        <f t="shared" si="293"/>
        <v>Page5_PARCS_GOUV!L</v>
      </c>
      <c r="Q2192" s="611">
        <f t="shared" si="294"/>
        <v>58</v>
      </c>
      <c r="R2192" s="1447">
        <f t="shared" ca="1" si="295"/>
        <v>0</v>
      </c>
      <c r="S2192" s="1447">
        <f t="shared" ca="1" si="296"/>
        <v>0</v>
      </c>
      <c r="W2192" s="611" t="str">
        <f t="shared" ca="1" si="297"/>
        <v>Page5_PARCS_GOUV, Ligne 55 [Page5_PARCS_GOUV!L58]  -</v>
      </c>
    </row>
    <row r="2193" spans="1:23">
      <c r="A2193" s="1443" t="str">
        <f>celladdr(Page5_PARCS_GOUV!L59)</f>
        <v>Page5_PARCS_GOUV!L59</v>
      </c>
      <c r="B2193" s="1456" t="s">
        <v>1086</v>
      </c>
      <c r="C2193" s="1445" t="b">
        <f>Page5_PARCS_GOUV!$L59&lt;0</f>
        <v>0</v>
      </c>
      <c r="D2193" s="1454" t="b">
        <f>OR(AND(Page5_PARCS_GOUV!$L59&lt;&gt;0,Page5_PARCS_GOUV!$M59=0),AND(Page5_PARCS_GOUV!$M59&lt;&gt;0,Page5_PARCS_GOUV!$L59=0))</f>
        <v>0</v>
      </c>
      <c r="F2193" s="1454"/>
      <c r="G2193" s="1444" t="str">
        <f t="shared" si="292"/>
        <v/>
      </c>
      <c r="H2193" s="1446" t="str">
        <f>IF(C2193=TRUE,Comments!$B$23,"")</f>
        <v/>
      </c>
      <c r="I2193" s="1446" t="str">
        <f>IF(D2193=TRUE,Comments!$B$24,"")</f>
        <v/>
      </c>
      <c r="J2193" s="1452"/>
      <c r="K2193" s="1452"/>
      <c r="N2193" s="611" t="str">
        <f>"CPTE # "&amp;Page5_PARCS_GOUV!E59&amp;" "&amp;Page5_PARCS_GOUV!C59&amp;" - CHIFFRE D'AFFAIRES RÉALISÉ - AAD"</f>
        <v>CPTE # 422M CHEVROLET / GMC / HUMMER GRAND VUS VE - CHIFFRE D'AFFAIRES RÉALISÉ - AAD</v>
      </c>
      <c r="O2193" s="611" t="str">
        <f t="shared" si="291"/>
        <v/>
      </c>
      <c r="P2193" s="611" t="str">
        <f t="shared" si="293"/>
        <v>Page5_PARCS_GOUV!L</v>
      </c>
      <c r="Q2193" s="611">
        <f t="shared" si="294"/>
        <v>59</v>
      </c>
      <c r="R2193" s="1447">
        <f t="shared" ca="1" si="295"/>
        <v>0</v>
      </c>
      <c r="S2193" s="1447">
        <f t="shared" ca="1" si="296"/>
        <v>0</v>
      </c>
      <c r="W2193" s="611" t="str">
        <f t="shared" ca="1" si="297"/>
        <v>Page5_PARCS_GOUV, Ligne 56 [Page5_PARCS_GOUV!L59]  -</v>
      </c>
    </row>
    <row r="2194" spans="1:23">
      <c r="A2194" s="1443" t="str">
        <f>celladdr(Page5_PARCS_GOUV!L60)</f>
        <v>Page5_PARCS_GOUV!L60</v>
      </c>
      <c r="B2194" s="1456" t="s">
        <v>1086</v>
      </c>
      <c r="C2194" s="1445" t="b">
        <f>Page5_PARCS_GOUV!$L60&lt;0</f>
        <v>0</v>
      </c>
      <c r="D2194" s="1454" t="b">
        <f>OR(AND(Page5_PARCS_GOUV!$L60&lt;&gt;0,Page5_PARCS_GOUV!$M60=0),AND(Page5_PARCS_GOUV!$M60&lt;&gt;0,Page5_PARCS_GOUV!$L60=0))</f>
        <v>0</v>
      </c>
      <c r="F2194" s="1454"/>
      <c r="G2194" s="1444" t="str">
        <f t="shared" si="292"/>
        <v/>
      </c>
      <c r="H2194" s="1446" t="str">
        <f>IF(C2194=TRUE,Comments!$B$23,"")</f>
        <v/>
      </c>
      <c r="I2194" s="1446" t="str">
        <f>IF(D2194=TRUE,Comments!$B$24,"")</f>
        <v/>
      </c>
      <c r="J2194" s="1452"/>
      <c r="K2194" s="1452"/>
      <c r="N2194" s="611" t="str">
        <f>"CPTE # "&amp;Page5_PARCS_GOUV!E60&amp;" "&amp;Page5_PARCS_GOUV!C60&amp;" - CHIFFRE D'AFFAIRES RÉALISÉ - AAD"</f>
        <v>CPTE # 423M CHEVROLET / GMC GRAND VUS MCI - CHIFFRE D'AFFAIRES RÉALISÉ - AAD</v>
      </c>
      <c r="O2194" s="611" t="str">
        <f t="shared" si="291"/>
        <v/>
      </c>
      <c r="P2194" s="611" t="str">
        <f t="shared" si="293"/>
        <v>Page5_PARCS_GOUV!L</v>
      </c>
      <c r="Q2194" s="611">
        <f t="shared" si="294"/>
        <v>60</v>
      </c>
      <c r="R2194" s="1447">
        <f t="shared" ca="1" si="295"/>
        <v>0</v>
      </c>
      <c r="S2194" s="1447">
        <f t="shared" ca="1" si="296"/>
        <v>0</v>
      </c>
      <c r="W2194" s="611" t="str">
        <f t="shared" ca="1" si="297"/>
        <v>Page5_PARCS_GOUV, Ligne 57 [Page5_PARCS_GOUV!L60]  -</v>
      </c>
    </row>
    <row r="2195" spans="1:23">
      <c r="A2195" s="1443" t="str">
        <f>celladdr(Page5_PARCS_GOUV!L61)</f>
        <v>Page5_PARCS_GOUV!L61</v>
      </c>
      <c r="B2195" s="1456" t="s">
        <v>1086</v>
      </c>
      <c r="C2195" s="1445" t="b">
        <f>Page5_PARCS_GOUV!$L61&lt;0</f>
        <v>0</v>
      </c>
      <c r="D2195" s="1454" t="b">
        <f>OR(AND(Page5_PARCS_GOUV!$L61&lt;&gt;0,Page5_PARCS_GOUV!$M61=0),AND(Page5_PARCS_GOUV!$M61&lt;&gt;0,Page5_PARCS_GOUV!$L61=0))</f>
        <v>0</v>
      </c>
      <c r="F2195" s="1454"/>
      <c r="G2195" s="1444" t="str">
        <f t="shared" si="292"/>
        <v/>
      </c>
      <c r="H2195" s="1446" t="str">
        <f>IF(C2195=TRUE,Comments!$B$23,"")</f>
        <v/>
      </c>
      <c r="I2195" s="1446" t="str">
        <f>IF(D2195=TRUE,Comments!$B$24,"")</f>
        <v/>
      </c>
      <c r="J2195" s="1452"/>
      <c r="K2195" s="1452"/>
      <c r="N2195" s="611" t="str">
        <f>"CPTE # "&amp;Page5_PARCS_GOUV!E61&amp;" "&amp;Page5_PARCS_GOUV!C61&amp;" - CHIFFRE D'AFFAIRES RÉALISÉ - AAD"</f>
        <v>CPTE # 424M SILVERADO/SIERRA POIDS LOURD MCI (2500/3500) - CHIFFRE D'AFFAIRES RÉALISÉ - AAD</v>
      </c>
      <c r="O2195" s="611" t="str">
        <f t="shared" si="291"/>
        <v/>
      </c>
      <c r="P2195" s="611" t="str">
        <f t="shared" si="293"/>
        <v>Page5_PARCS_GOUV!L</v>
      </c>
      <c r="Q2195" s="611">
        <f t="shared" si="294"/>
        <v>61</v>
      </c>
      <c r="R2195" s="1447">
        <f t="shared" ca="1" si="295"/>
        <v>0</v>
      </c>
      <c r="S2195" s="1447">
        <f t="shared" ca="1" si="296"/>
        <v>0</v>
      </c>
      <c r="W2195" s="611" t="str">
        <f t="shared" ca="1" si="297"/>
        <v>Page5_PARCS_GOUV, Ligne 58 [Page5_PARCS_GOUV!L61]  -</v>
      </c>
    </row>
    <row r="2196" spans="1:23">
      <c r="A2196" s="1443" t="str">
        <f>celladdr(Page5_PARCS_GOUV!L62)</f>
        <v>Page5_PARCS_GOUV!L62</v>
      </c>
      <c r="B2196" s="1456" t="s">
        <v>1086</v>
      </c>
      <c r="C2196" s="1445" t="b">
        <f>Page5_PARCS_GOUV!$L62&lt;0</f>
        <v>0</v>
      </c>
      <c r="D2196" s="1454" t="b">
        <f>OR(AND(Page5_PARCS_GOUV!$L62&lt;&gt;0,Page5_PARCS_GOUV!$M62=0),AND(Page5_PARCS_GOUV!$M62&lt;&gt;0,Page5_PARCS_GOUV!$L62=0))</f>
        <v>0</v>
      </c>
      <c r="F2196" s="1454"/>
      <c r="G2196" s="1444" t="str">
        <f t="shared" si="292"/>
        <v/>
      </c>
      <c r="H2196" s="1446" t="str">
        <f>IF(C2196=TRUE,Comments!$B$23,"")</f>
        <v/>
      </c>
      <c r="I2196" s="1446" t="str">
        <f>IF(D2196=TRUE,Comments!$B$24,"")</f>
        <v/>
      </c>
      <c r="J2196" s="1452"/>
      <c r="K2196" s="1452"/>
      <c r="N2196" s="611" t="str">
        <f>"CPTE # "&amp;Page5_PARCS_GOUV!E62&amp;" "&amp;Page5_PARCS_GOUV!C62&amp;" - CHIFFRE D'AFFAIRES RÉALISÉ - AAD"</f>
        <v>CPTE # 425M NE PAS UTILISER - CHIFFRE D'AFFAIRES RÉALISÉ - AAD</v>
      </c>
      <c r="O2196" s="611" t="str">
        <f t="shared" si="291"/>
        <v/>
      </c>
      <c r="P2196" s="611" t="str">
        <f t="shared" si="293"/>
        <v>Page5_PARCS_GOUV!L</v>
      </c>
      <c r="Q2196" s="611">
        <f t="shared" si="294"/>
        <v>62</v>
      </c>
      <c r="R2196" s="1447">
        <f t="shared" ca="1" si="295"/>
        <v>0</v>
      </c>
      <c r="S2196" s="1447">
        <f t="shared" ca="1" si="296"/>
        <v>0</v>
      </c>
      <c r="W2196" s="611" t="str">
        <f t="shared" ca="1" si="297"/>
        <v>Page5_PARCS_GOUV, Ligne 59 [Page5_PARCS_GOUV!L62]  -</v>
      </c>
    </row>
    <row r="2197" spans="1:23">
      <c r="A2197" s="1443" t="str">
        <f>celladdr(Page5_PARCS_GOUV!L63)</f>
        <v>Page5_PARCS_GOUV!L63</v>
      </c>
      <c r="B2197" s="1456" t="s">
        <v>1086</v>
      </c>
      <c r="C2197" s="1445" t="b">
        <f>Page5_PARCS_GOUV!$L63&lt;0</f>
        <v>0</v>
      </c>
      <c r="D2197" s="1454" t="b">
        <f>OR(AND(Page5_PARCS_GOUV!$L63&lt;&gt;0,Page5_PARCS_GOUV!$M63=0),AND(Page5_PARCS_GOUV!$M63&lt;&gt;0,Page5_PARCS_GOUV!$L63=0))</f>
        <v>0</v>
      </c>
      <c r="F2197" s="1454"/>
      <c r="G2197" s="1444" t="str">
        <f t="shared" si="292"/>
        <v/>
      </c>
      <c r="H2197" s="1446" t="str">
        <f>IF(C2197=TRUE,Comments!$B$23,"")</f>
        <v/>
      </c>
      <c r="I2197" s="1446" t="str">
        <f>IF(D2197=TRUE,Comments!$B$24,"")</f>
        <v/>
      </c>
      <c r="J2197" s="1452"/>
      <c r="K2197" s="1452"/>
      <c r="N2197" s="611" t="str">
        <f>"CPTE # "&amp;Page5_PARCS_GOUV!E63&amp;" "&amp;Page5_PARCS_GOUV!C63&amp;" - CHIFFRE D'AFFAIRES RÉALISÉ - AAD"</f>
        <v>CPTE # 426M SILVERADO/SIERRA POIDS LÉGER MCI (1500) - CHIFFRE D'AFFAIRES RÉALISÉ - AAD</v>
      </c>
      <c r="O2197" s="611" t="str">
        <f t="shared" si="291"/>
        <v/>
      </c>
      <c r="P2197" s="611" t="str">
        <f t="shared" si="293"/>
        <v>Page5_PARCS_GOUV!L</v>
      </c>
      <c r="Q2197" s="611">
        <f t="shared" si="294"/>
        <v>63</v>
      </c>
      <c r="R2197" s="1447">
        <f t="shared" ca="1" si="295"/>
        <v>0</v>
      </c>
      <c r="S2197" s="1447">
        <f t="shared" ca="1" si="296"/>
        <v>0</v>
      </c>
      <c r="W2197" s="611" t="str">
        <f t="shared" ca="1" si="297"/>
        <v>Page5_PARCS_GOUV, Ligne 60 [Page5_PARCS_GOUV!L63]  -</v>
      </c>
    </row>
    <row r="2198" spans="1:23">
      <c r="A2198" s="1443" t="str">
        <f>celladdr(Page5_PARCS_GOUV!L64)</f>
        <v>Page5_PARCS_GOUV!L64</v>
      </c>
      <c r="B2198" s="1456" t="s">
        <v>1086</v>
      </c>
      <c r="C2198" s="1445" t="b">
        <f>Page5_PARCS_GOUV!$L64&lt;0</f>
        <v>0</v>
      </c>
      <c r="D2198" s="1454" t="b">
        <f>OR(AND(Page5_PARCS_GOUV!$L64&lt;&gt;0,Page5_PARCS_GOUV!$M64=0),AND(Page5_PARCS_GOUV!$M64&lt;&gt;0,Page5_PARCS_GOUV!$L64=0))</f>
        <v>0</v>
      </c>
      <c r="F2198" s="1454"/>
      <c r="G2198" s="1444" t="str">
        <f t="shared" si="292"/>
        <v/>
      </c>
      <c r="H2198" s="1446" t="str">
        <f>IF(C2198=TRUE,Comments!$B$23,"")</f>
        <v/>
      </c>
      <c r="I2198" s="1446" t="str">
        <f>IF(D2198=TRUE,Comments!$B$24,"")</f>
        <v/>
      </c>
      <c r="J2198" s="1452"/>
      <c r="K2198" s="1452"/>
      <c r="N2198" s="611" t="str">
        <f>"CPTE # "&amp;Page5_PARCS_GOUV!E64&amp;" "&amp;Page5_PARCS_GOUV!C64&amp;" - CHIFFRE D'AFFAIRES RÉALISÉ - AAD"</f>
        <v>CPTE # 427M SILVERADO/SIERRA/HUMMER POIDS LOURD VE - CHIFFRE D'AFFAIRES RÉALISÉ - AAD</v>
      </c>
      <c r="O2198" s="611" t="str">
        <f t="shared" si="291"/>
        <v/>
      </c>
      <c r="P2198" s="611" t="str">
        <f t="shared" si="293"/>
        <v>Page5_PARCS_GOUV!L</v>
      </c>
      <c r="Q2198" s="611">
        <f t="shared" si="294"/>
        <v>64</v>
      </c>
      <c r="R2198" s="1447">
        <f t="shared" ca="1" si="295"/>
        <v>0</v>
      </c>
      <c r="S2198" s="1447">
        <f t="shared" ca="1" si="296"/>
        <v>0</v>
      </c>
      <c r="W2198" s="611" t="str">
        <f t="shared" ca="1" si="297"/>
        <v>Page5_PARCS_GOUV, Ligne 61 [Page5_PARCS_GOUV!L64]  -</v>
      </c>
    </row>
    <row r="2199" spans="1:23">
      <c r="A2199" s="1443" t="str">
        <f>celladdr(Page5_PARCS_GOUV!L65)</f>
        <v>Page5_PARCS_GOUV!L65</v>
      </c>
      <c r="B2199" s="1456" t="s">
        <v>1086</v>
      </c>
      <c r="C2199" s="1445" t="b">
        <f>Page5_PARCS_GOUV!$L65&lt;0</f>
        <v>0</v>
      </c>
      <c r="D2199" s="1454" t="b">
        <f>OR(AND(Page5_PARCS_GOUV!$L65&lt;&gt;0,Page5_PARCS_GOUV!$M65=0),AND(Page5_PARCS_GOUV!$M65&lt;&gt;0,Page5_PARCS_GOUV!$L65=0))</f>
        <v>0</v>
      </c>
      <c r="F2199" s="1454"/>
      <c r="G2199" s="1444" t="str">
        <f t="shared" si="292"/>
        <v/>
      </c>
      <c r="H2199" s="1446" t="str">
        <f>IF(C2199=TRUE,Comments!$B$23,"")</f>
        <v/>
      </c>
      <c r="I2199" s="1446" t="str">
        <f>IF(D2199=TRUE,Comments!$B$24,"")</f>
        <v/>
      </c>
      <c r="J2199" s="1452"/>
      <c r="K2199" s="1452"/>
      <c r="N2199" s="611" t="str">
        <f>"CPTE # "&amp;Page5_PARCS_GOUV!E65&amp;" "&amp;Page5_PARCS_GOUV!C65&amp;" - CHIFFRE D'AFFAIRES RÉALISÉ - AAD"</f>
        <v>CPTE # 428M COLORADO/CANYON MCI - CHIFFRE D'AFFAIRES RÉALISÉ - AAD</v>
      </c>
      <c r="O2199" s="611" t="str">
        <f t="shared" si="291"/>
        <v/>
      </c>
      <c r="P2199" s="611" t="str">
        <f t="shared" si="293"/>
        <v>Page5_PARCS_GOUV!L</v>
      </c>
      <c r="Q2199" s="611">
        <f t="shared" si="294"/>
        <v>65</v>
      </c>
      <c r="R2199" s="1447">
        <f t="shared" ca="1" si="295"/>
        <v>0</v>
      </c>
      <c r="S2199" s="1447">
        <f t="shared" ca="1" si="296"/>
        <v>0</v>
      </c>
      <c r="W2199" s="611" t="str">
        <f t="shared" ca="1" si="297"/>
        <v>Page5_PARCS_GOUV, Ligne 62 [Page5_PARCS_GOUV!L65]  -</v>
      </c>
    </row>
    <row r="2200" spans="1:23">
      <c r="A2200" s="1443" t="str">
        <f>celladdr(Page5_PARCS_GOUV!L66)</f>
        <v>Page5_PARCS_GOUV!L66</v>
      </c>
      <c r="B2200" s="1456" t="s">
        <v>1086</v>
      </c>
      <c r="C2200" s="1445" t="b">
        <f>Page5_PARCS_GOUV!$L66&lt;0</f>
        <v>0</v>
      </c>
      <c r="D2200" s="1454" t="b">
        <f>OR(AND(Page5_PARCS_GOUV!$L66&lt;&gt;0,Page5_PARCS_GOUV!$M66=0),AND(Page5_PARCS_GOUV!$M66&lt;&gt;0,Page5_PARCS_GOUV!$L66=0))</f>
        <v>0</v>
      </c>
      <c r="F2200" s="1454"/>
      <c r="G2200" s="1444" t="str">
        <f t="shared" si="292"/>
        <v/>
      </c>
      <c r="H2200" s="1446" t="str">
        <f>IF(C2200=TRUE,Comments!$B$23,"")</f>
        <v/>
      </c>
      <c r="I2200" s="1446" t="str">
        <f>IF(D2200=TRUE,Comments!$B$24,"")</f>
        <v/>
      </c>
      <c r="J2200" s="1452"/>
      <c r="K2200" s="1452"/>
      <c r="N2200" s="611" t="str">
        <f>"CPTE # "&amp;Page5_PARCS_GOUV!E66&amp;" "&amp;Page5_PARCS_GOUV!C66&amp;" - CHIFFRE D'AFFAIRES RÉALISÉ - AAD"</f>
        <v>CPTE # 429M NE PAS UTILISER - CHIFFRE D'AFFAIRES RÉALISÉ - AAD</v>
      </c>
      <c r="O2200" s="611" t="str">
        <f t="shared" si="291"/>
        <v/>
      </c>
      <c r="P2200" s="611" t="str">
        <f t="shared" si="293"/>
        <v>Page5_PARCS_GOUV!L</v>
      </c>
      <c r="Q2200" s="611">
        <f t="shared" si="294"/>
        <v>66</v>
      </c>
      <c r="R2200" s="1447">
        <f t="shared" ca="1" si="295"/>
        <v>0</v>
      </c>
      <c r="S2200" s="1447">
        <f t="shared" ca="1" si="296"/>
        <v>0</v>
      </c>
      <c r="W2200" s="611" t="str">
        <f t="shared" ca="1" si="297"/>
        <v>Page5_PARCS_GOUV, Ligne 63 [Page5_PARCS_GOUV!L66]  -</v>
      </c>
    </row>
    <row r="2201" spans="1:23">
      <c r="A2201" s="1443" t="str">
        <f>celladdr(Page5_PARCS_GOUV!L67)</f>
        <v>Page5_PARCS_GOUV!L67</v>
      </c>
      <c r="B2201" s="1456" t="s">
        <v>1086</v>
      </c>
      <c r="C2201" s="1445" t="b">
        <f>Page5_PARCS_GOUV!$L67&lt;0</f>
        <v>0</v>
      </c>
      <c r="D2201" s="1454" t="b">
        <f>OR(AND(Page5_PARCS_GOUV!$L67&lt;&gt;0,Page5_PARCS_GOUV!$M67=0),AND(Page5_PARCS_GOUV!$M67&lt;&gt;0,Page5_PARCS_GOUV!$L67=0))</f>
        <v>0</v>
      </c>
      <c r="F2201" s="1454"/>
      <c r="G2201" s="1444" t="str">
        <f t="shared" si="292"/>
        <v/>
      </c>
      <c r="H2201" s="1446" t="str">
        <f>IF(C2201=TRUE,Comments!$B$23,"")</f>
        <v/>
      </c>
      <c r="I2201" s="1446" t="str">
        <f>IF(D2201=TRUE,Comments!$B$24,"")</f>
        <v/>
      </c>
      <c r="J2201" s="1452"/>
      <c r="K2201" s="1452"/>
      <c r="N2201" s="611" t="str">
        <f>"CPTE # "&amp;Page5_PARCS_GOUV!E67&amp;" "&amp;Page5_PARCS_GOUV!C67&amp;" - CHIFFRE D'AFFAIRES RÉALISÉ - AAD"</f>
        <v>CPTE # 430M SILVERADO CHASSIS (4500+) - CHIFFRE D'AFFAIRES RÉALISÉ - AAD</v>
      </c>
      <c r="O2201" s="611" t="str">
        <f t="shared" si="291"/>
        <v/>
      </c>
      <c r="P2201" s="611" t="str">
        <f t="shared" si="293"/>
        <v>Page5_PARCS_GOUV!L</v>
      </c>
      <c r="Q2201" s="611">
        <f t="shared" si="294"/>
        <v>67</v>
      </c>
      <c r="R2201" s="1447">
        <f t="shared" ca="1" si="295"/>
        <v>0</v>
      </c>
      <c r="S2201" s="1447">
        <f t="shared" ca="1" si="296"/>
        <v>0</v>
      </c>
      <c r="W2201" s="611" t="str">
        <f t="shared" ca="1" si="297"/>
        <v>Page5_PARCS_GOUV, Ligne 64 [Page5_PARCS_GOUV!L67]  -</v>
      </c>
    </row>
    <row r="2202" spans="1:23">
      <c r="A2202" s="1443" t="str">
        <f>celladdr(Page5_PARCS_GOUV!L68)</f>
        <v>Page5_PARCS_GOUV!L68</v>
      </c>
      <c r="B2202" s="1456" t="s">
        <v>1086</v>
      </c>
      <c r="C2202" s="1445" t="b">
        <f>Page5_PARCS_GOUV!$L68&lt;0</f>
        <v>0</v>
      </c>
      <c r="D2202" s="1454" t="b">
        <f>OR(AND(Page5_PARCS_GOUV!$L68&lt;&gt;0,Page5_PARCS_GOUV!$M68=0),AND(Page5_PARCS_GOUV!$M68&lt;&gt;0,Page5_PARCS_GOUV!$L68=0))</f>
        <v>0</v>
      </c>
      <c r="F2202" s="1454"/>
      <c r="G2202" s="1444" t="str">
        <f t="shared" si="292"/>
        <v/>
      </c>
      <c r="H2202" s="1446" t="str">
        <f>IF(C2202=TRUE,Comments!$B$23,"")</f>
        <v/>
      </c>
      <c r="I2202" s="1446" t="str">
        <f>IF(D2202=TRUE,Comments!$B$24,"")</f>
        <v/>
      </c>
      <c r="J2202" s="1452"/>
      <c r="K2202" s="1452"/>
      <c r="N2202" s="611" t="str">
        <f>"CPTE # "&amp;Page5_PARCS_GOUV!E68&amp;" "&amp;Page5_PARCS_GOUV!C68&amp;" - CHIFFRE D'AFFAIRES RÉALISÉ - AAD"</f>
        <v>CPTE # 431M CHEVROLET/GMC LCF/CONV - CHIFFRE D'AFFAIRES RÉALISÉ - AAD</v>
      </c>
      <c r="O2202" s="611" t="str">
        <f t="shared" si="291"/>
        <v/>
      </c>
      <c r="P2202" s="611" t="str">
        <f t="shared" si="293"/>
        <v>Page5_PARCS_GOUV!L</v>
      </c>
      <c r="Q2202" s="611">
        <f t="shared" si="294"/>
        <v>68</v>
      </c>
      <c r="R2202" s="1447">
        <f t="shared" ca="1" si="295"/>
        <v>0</v>
      </c>
      <c r="S2202" s="1447">
        <f t="shared" ca="1" si="296"/>
        <v>0</v>
      </c>
      <c r="W2202" s="611" t="str">
        <f t="shared" ca="1" si="297"/>
        <v>Page5_PARCS_GOUV, Ligne 65 [Page5_PARCS_GOUV!L68]  -</v>
      </c>
    </row>
    <row r="2203" spans="1:23">
      <c r="A2203" s="1443" t="str">
        <f>celladdr(Page5_PARCS_GOUV!L69)</f>
        <v>Page5_PARCS_GOUV!L69</v>
      </c>
      <c r="B2203" s="1456" t="s">
        <v>1086</v>
      </c>
      <c r="C2203" s="1445" t="b">
        <f>Page5_PARCS_GOUV!$L69&lt;0</f>
        <v>0</v>
      </c>
      <c r="D2203" s="1454" t="b">
        <f>OR(AND(Page5_PARCS_GOUV!$L69&lt;&gt;0,Page5_PARCS_GOUV!$M69=0),AND(Page5_PARCS_GOUV!$M69&lt;&gt;0,Page5_PARCS_GOUV!$L69=0))</f>
        <v>0</v>
      </c>
      <c r="F2203" s="1454"/>
      <c r="G2203" s="1444" t="str">
        <f t="shared" si="292"/>
        <v/>
      </c>
      <c r="H2203" s="1446" t="str">
        <f>IF(C2203=TRUE,Comments!$B$23,"")</f>
        <v/>
      </c>
      <c r="I2203" s="1446" t="str">
        <f>IF(D2203=TRUE,Comments!$B$24,"")</f>
        <v/>
      </c>
      <c r="J2203" s="1452"/>
      <c r="K2203" s="1452"/>
      <c r="N2203" s="611" t="str">
        <f>"CPTE # "&amp;Page5_PARCS_GOUV!E69&amp;" "&amp;Page5_PARCS_GOUV!C69&amp;" - CHIFFRE D'AFFAIRES RÉALISÉ - AAD"</f>
        <v>CPTE # 432M EXPRESS/SAVANA MCI - CHIFFRE D'AFFAIRES RÉALISÉ - AAD</v>
      </c>
      <c r="O2203" s="611" t="str">
        <f t="shared" si="291"/>
        <v/>
      </c>
      <c r="P2203" s="611" t="str">
        <f t="shared" si="293"/>
        <v>Page5_PARCS_GOUV!L</v>
      </c>
      <c r="Q2203" s="611">
        <f t="shared" si="294"/>
        <v>69</v>
      </c>
      <c r="R2203" s="1447">
        <f t="shared" ca="1" si="295"/>
        <v>0</v>
      </c>
      <c r="S2203" s="1447">
        <f t="shared" ca="1" si="296"/>
        <v>0</v>
      </c>
      <c r="W2203" s="611" t="str">
        <f t="shared" ca="1" si="297"/>
        <v>Page5_PARCS_GOUV, Ligne 66 [Page5_PARCS_GOUV!L69]  -</v>
      </c>
    </row>
    <row r="2204" spans="1:23">
      <c r="A2204" s="1443" t="str">
        <f>celladdr(Page5_PARCS_GOUV!L70)</f>
        <v>Page5_PARCS_GOUV!L70</v>
      </c>
      <c r="B2204" s="1456" t="s">
        <v>1086</v>
      </c>
      <c r="C2204" s="1445" t="b">
        <f>Page5_PARCS_GOUV!$L70&lt;0</f>
        <v>0</v>
      </c>
      <c r="D2204" s="1454" t="b">
        <f>OR(AND(Page5_PARCS_GOUV!$L70&lt;&gt;0,Page5_PARCS_GOUV!$M70=0),AND(Page5_PARCS_GOUV!$M70&lt;&gt;0,Page5_PARCS_GOUV!$L70=0))</f>
        <v>0</v>
      </c>
      <c r="F2204" s="1454"/>
      <c r="G2204" s="1444" t="str">
        <f t="shared" si="292"/>
        <v/>
      </c>
      <c r="H2204" s="1446" t="str">
        <f>IF(C2204=TRUE,Comments!$B$23,"")</f>
        <v/>
      </c>
      <c r="I2204" s="1446" t="str">
        <f>IF(D2204=TRUE,Comments!$B$24,"")</f>
        <v/>
      </c>
      <c r="J2204" s="1452"/>
      <c r="K2204" s="1452"/>
      <c r="N2204" s="611" t="str">
        <f>"CPTE # "&amp;Page5_PARCS_GOUV!E70&amp;" "&amp;Page5_PARCS_GOUV!C70&amp;" - CHIFFRE D'AFFAIRES RÉALISÉ - AAD"</f>
        <v>CPTE # 433M NE PAS UTILISER - CHIFFRE D'AFFAIRES RÉALISÉ - AAD</v>
      </c>
      <c r="O2204" s="611" t="str">
        <f t="shared" si="291"/>
        <v/>
      </c>
      <c r="P2204" s="611" t="str">
        <f t="shared" si="293"/>
        <v>Page5_PARCS_GOUV!L</v>
      </c>
      <c r="Q2204" s="611">
        <f t="shared" si="294"/>
        <v>70</v>
      </c>
      <c r="R2204" s="1447">
        <f t="shared" ca="1" si="295"/>
        <v>0</v>
      </c>
      <c r="S2204" s="1447">
        <f t="shared" ca="1" si="296"/>
        <v>0</v>
      </c>
      <c r="W2204" s="611" t="str">
        <f t="shared" ca="1" si="297"/>
        <v>Page5_PARCS_GOUV, Ligne 67 [Page5_PARCS_GOUV!L70]  -</v>
      </c>
    </row>
    <row r="2205" spans="1:23">
      <c r="A2205" s="1443" t="str">
        <f>celladdr(Page5_PARCS_GOUV!L71)</f>
        <v>Page5_PARCS_GOUV!L71</v>
      </c>
      <c r="B2205" s="1456" t="s">
        <v>1086</v>
      </c>
      <c r="C2205" s="1445" t="b">
        <f>Page5_PARCS_GOUV!$L71&lt;0</f>
        <v>0</v>
      </c>
      <c r="D2205" s="1454" t="b">
        <f>OR(AND(Page5_PARCS_GOUV!$L71&lt;&gt;0,Page5_PARCS_GOUV!$M71=0),AND(Page5_PARCS_GOUV!$M71&lt;&gt;0,Page5_PARCS_GOUV!$L71=0))</f>
        <v>0</v>
      </c>
      <c r="F2205" s="1454"/>
      <c r="G2205" s="1444" t="str">
        <f t="shared" si="292"/>
        <v/>
      </c>
      <c r="H2205" s="1446" t="str">
        <f>IF(C2205=TRUE,Comments!$B$23,"")</f>
        <v/>
      </c>
      <c r="I2205" s="1446" t="str">
        <f>IF(D2205=TRUE,Comments!$B$24,"")</f>
        <v/>
      </c>
      <c r="J2205" s="1452"/>
      <c r="K2205" s="1452"/>
      <c r="N2205" s="611" t="str">
        <f>"CPTE # "&amp;Page5_PARCS_GOUV!E71&amp;" "&amp;Page5_PARCS_GOUV!C71&amp;" - CHIFFRE D'AFFAIRES RÉALISÉ - AAD"</f>
        <v>CPTE # 434M NE PAS UTILISER - CHIFFRE D'AFFAIRES RÉALISÉ - AAD</v>
      </c>
      <c r="O2205" s="611" t="str">
        <f t="shared" si="291"/>
        <v/>
      </c>
      <c r="P2205" s="611" t="str">
        <f t="shared" si="293"/>
        <v>Page5_PARCS_GOUV!L</v>
      </c>
      <c r="Q2205" s="611">
        <f t="shared" si="294"/>
        <v>71</v>
      </c>
      <c r="R2205" s="1447">
        <f t="shared" ca="1" si="295"/>
        <v>0</v>
      </c>
      <c r="S2205" s="1447">
        <f t="shared" ca="1" si="296"/>
        <v>0</v>
      </c>
      <c r="W2205" s="611" t="str">
        <f t="shared" ca="1" si="297"/>
        <v>Page5_PARCS_GOUV, Ligne 68 [Page5_PARCS_GOUV!L71]  -</v>
      </c>
    </row>
    <row r="2206" spans="1:23">
      <c r="A2206" s="1443" t="str">
        <f>celladdr(Page5_PARCS_GOUV!M40)</f>
        <v>Page5_PARCS_GOUV!M40</v>
      </c>
      <c r="B2206" s="1456" t="s">
        <v>1086</v>
      </c>
      <c r="D2206" s="1454" t="b">
        <f>OR(AND(Page5_PARCS_GOUV!$L40&lt;&gt;0,Page5_PARCS_GOUV!$M40=0),AND(Page5_PARCS_GOUV!$M40&lt;&gt;0,Page5_PARCS_GOUV!$L40=0))</f>
        <v>0</v>
      </c>
      <c r="E2206" s="1445" t="b">
        <f>IF(Page5_PARCS_GOUV!$K40=0,FALSE,OR(Page5_PARCS_GOUV!$M40/Page5_PARCS_GOUV!$K40&lt;INDEX(Min_Table,M2206),Page5_PARCS_GOUV!$M40/Page5_PARCS_GOUV!$K40&gt;INDEX(Max_Table,M2206)))</f>
        <v>0</v>
      </c>
      <c r="F2206" s="1454"/>
      <c r="G2206" s="1444" t="str">
        <f t="shared" si="292"/>
        <v/>
      </c>
      <c r="H2206" s="1446"/>
      <c r="I2206" s="1452" t="str">
        <f>IF(D2206=TRUE,Comments!$B$24,"")</f>
        <v/>
      </c>
      <c r="J2206" s="1446" t="str">
        <f>IF(E2206=TRUE,Comments!$B$22&amp;DOLLAR(INDEX(Min_Table,M2206),0)&amp;Comments!$B$18&amp;DOLLAR(INDEX(Max_Table,M2206),0)&amp;Comments!$B$19&amp;IFERROR(DOLLAR(Page5_PARCS_GOUV!$M40/Page5_PARCS_GOUV!$K40,0),0),"")</f>
        <v/>
      </c>
      <c r="K2206" s="1452"/>
      <c r="L2206" s="611">
        <f>ROW(OR_VEH!$A$673)</f>
        <v>673</v>
      </c>
      <c r="M2206" s="611">
        <f>ROW(OR_VEH!A570)</f>
        <v>570</v>
      </c>
      <c r="N2206" s="611" t="str">
        <f>"ACC # "&amp;Page5_PARCS_GOUV!E40&amp;" "&amp;Page5_PARCS_GOUV!C40&amp;" C.O.S.-YTD"</f>
        <v>ACC # 400M CHEVROLET VOITURES MCI C.O.S.-YTD</v>
      </c>
      <c r="O2206" s="611" t="str">
        <f t="shared" si="291"/>
        <v/>
      </c>
      <c r="P2206" s="611" t="str">
        <f t="shared" si="293"/>
        <v>Page5_PARCS_GOUV!M</v>
      </c>
      <c r="Q2206" s="611">
        <f t="shared" si="294"/>
        <v>40</v>
      </c>
      <c r="R2206" s="1447">
        <f t="shared" ca="1" si="295"/>
        <v>0</v>
      </c>
      <c r="S2206" s="1447">
        <f t="shared" ca="1" si="296"/>
        <v>0</v>
      </c>
      <c r="T2206" s="611">
        <v>22</v>
      </c>
      <c r="W2206" s="611" t="str">
        <f t="shared" ca="1" si="297"/>
        <v>Page5_PARCS_GOUV, Ligne 37 [Page5_PARCS_GOUV!M40]  -</v>
      </c>
    </row>
    <row r="2207" spans="1:23">
      <c r="A2207" s="1443" t="str">
        <f>celladdr(Page5_PARCS_GOUV!M41)</f>
        <v>Page5_PARCS_GOUV!M41</v>
      </c>
      <c r="B2207" s="1456" t="s">
        <v>1086</v>
      </c>
      <c r="D2207" s="1454" t="b">
        <f>OR(AND(Page5_PARCS_GOUV!$L41&lt;&gt;0,Page5_PARCS_GOUV!$M41=0),AND(Page5_PARCS_GOUV!$M41&lt;&gt;0,Page5_PARCS_GOUV!$L41=0))</f>
        <v>0</v>
      </c>
      <c r="E2207" s="1445" t="b">
        <f>IF(Page5_PARCS_GOUV!$K41=0,FALSE,OR(Page5_PARCS_GOUV!$M41/Page5_PARCS_GOUV!$K41&lt;INDEX(Min_Table,M2207),Page5_PARCS_GOUV!$M41/Page5_PARCS_GOUV!$K41&gt;INDEX(Max_Table,M2207)))</f>
        <v>0</v>
      </c>
      <c r="F2207" s="1454"/>
      <c r="G2207" s="1444" t="str">
        <f t="shared" si="292"/>
        <v/>
      </c>
      <c r="H2207" s="1446"/>
      <c r="I2207" s="1452" t="str">
        <f>IF(D2207=TRUE,Comments!$B$24,"")</f>
        <v/>
      </c>
      <c r="J2207" s="1446" t="str">
        <f>IF(E2207=TRUE,Comments!$B$22&amp;DOLLAR(INDEX(Min_Table,M2207),0)&amp;Comments!$B$18&amp;DOLLAR(INDEX(Max_Table,M2207),0)&amp;Comments!$B$19&amp;IFERROR(DOLLAR(Page5_PARCS_GOUV!$M41/Page5_PARCS_GOUV!$K41,0),0),"")</f>
        <v/>
      </c>
      <c r="K2207" s="1452"/>
      <c r="L2207" s="611">
        <f>ROW(OR_VEH!$A$673)</f>
        <v>673</v>
      </c>
      <c r="M2207" s="611">
        <f>ROW(OR_VEH!A571)</f>
        <v>571</v>
      </c>
      <c r="N2207" s="611" t="str">
        <f>"ACC # "&amp;Page5_PARCS_GOUV!E41&amp;" "&amp;Page5_PARCS_GOUV!C41&amp;" C.O.S.-YTD"</f>
        <v>ACC # 401M CHEVROLET VOITURES VE C.O.S.-YTD</v>
      </c>
      <c r="O2207" s="611" t="str">
        <f t="shared" si="291"/>
        <v/>
      </c>
      <c r="P2207" s="611" t="str">
        <f t="shared" si="293"/>
        <v>Page5_PARCS_GOUV!M</v>
      </c>
      <c r="Q2207" s="611">
        <f t="shared" si="294"/>
        <v>41</v>
      </c>
      <c r="R2207" s="1447">
        <f t="shared" ca="1" si="295"/>
        <v>0</v>
      </c>
      <c r="S2207" s="1447">
        <f t="shared" ca="1" si="296"/>
        <v>0</v>
      </c>
      <c r="T2207" s="611">
        <v>22</v>
      </c>
      <c r="W2207" s="611" t="str">
        <f t="shared" ca="1" si="297"/>
        <v>Page5_PARCS_GOUV, Ligne 38 [Page5_PARCS_GOUV!M41]  -</v>
      </c>
    </row>
    <row r="2208" spans="1:23">
      <c r="A2208" s="1443" t="str">
        <f>celladdr(Page5_PARCS_GOUV!M42)</f>
        <v>Page5_PARCS_GOUV!M42</v>
      </c>
      <c r="B2208" s="1456" t="s">
        <v>1086</v>
      </c>
      <c r="D2208" s="1454" t="b">
        <f>OR(AND(Page5_PARCS_GOUV!$L42&lt;&gt;0,Page5_PARCS_GOUV!$M42=0),AND(Page5_PARCS_GOUV!$M42&lt;&gt;0,Page5_PARCS_GOUV!$L42=0))</f>
        <v>0</v>
      </c>
      <c r="E2208" s="1445" t="b">
        <f>IF(Page5_PARCS_GOUV!$K42=0,FALSE,OR(Page5_PARCS_GOUV!$M42/Page5_PARCS_GOUV!$K42&lt;INDEX(Min_Table,M2208),Page5_PARCS_GOUV!$M42/Page5_PARCS_GOUV!$K42&gt;INDEX(Max_Table,M2208)))</f>
        <v>0</v>
      </c>
      <c r="F2208" s="1454"/>
      <c r="G2208" s="1444" t="str">
        <f t="shared" si="292"/>
        <v/>
      </c>
      <c r="H2208" s="1446"/>
      <c r="I2208" s="1452" t="str">
        <f>IF(D2208=TRUE,Comments!$B$24,"")</f>
        <v/>
      </c>
      <c r="J2208" s="1446" t="str">
        <f>IF(E2208=TRUE,Comments!$B$22&amp;DOLLAR(INDEX(Min_Table,M2208),0)&amp;Comments!$B$18&amp;DOLLAR(INDEX(Max_Table,M2208),0)&amp;Comments!$B$19&amp;IFERROR(DOLLAR(Page5_PARCS_GOUV!$M42/Page5_PARCS_GOUV!$K42,0),0),"")</f>
        <v/>
      </c>
      <c r="K2208" s="1452"/>
      <c r="L2208" s="611">
        <f>ROW(OR_VEH!$A$673)</f>
        <v>673</v>
      </c>
      <c r="M2208" s="611">
        <f>ROW(OR_VEH!A572)</f>
        <v>572</v>
      </c>
      <c r="N2208" s="611" t="str">
        <f>"ACC # "&amp;Page5_PARCS_GOUV!E42&amp;" "&amp;Page5_PARCS_GOUV!C42&amp;" C.O.S.-YTD"</f>
        <v>ACC # 402M BUICK VOITURES MCI C.O.S.-YTD</v>
      </c>
      <c r="O2208" s="611" t="str">
        <f t="shared" si="291"/>
        <v/>
      </c>
      <c r="P2208" s="611" t="str">
        <f t="shared" si="293"/>
        <v>Page5_PARCS_GOUV!M</v>
      </c>
      <c r="Q2208" s="611">
        <f t="shared" si="294"/>
        <v>42</v>
      </c>
      <c r="R2208" s="1447">
        <f t="shared" ca="1" si="295"/>
        <v>0</v>
      </c>
      <c r="S2208" s="1447">
        <f t="shared" ca="1" si="296"/>
        <v>0</v>
      </c>
      <c r="T2208" s="611">
        <v>22</v>
      </c>
      <c r="W2208" s="611" t="str">
        <f t="shared" ca="1" si="297"/>
        <v>Page5_PARCS_GOUV, Ligne 39 [Page5_PARCS_GOUV!M42]  -</v>
      </c>
    </row>
    <row r="2209" spans="1:23">
      <c r="A2209" s="1443" t="str">
        <f>celladdr(Page5_PARCS_GOUV!M43)</f>
        <v>Page5_PARCS_GOUV!M43</v>
      </c>
      <c r="B2209" s="1456" t="s">
        <v>1086</v>
      </c>
      <c r="D2209" s="1454" t="b">
        <f>OR(AND(Page5_PARCS_GOUV!$L43&lt;&gt;0,Page5_PARCS_GOUV!$M43=0),AND(Page5_PARCS_GOUV!$M43&lt;&gt;0,Page5_PARCS_GOUV!$L43=0))</f>
        <v>0</v>
      </c>
      <c r="E2209" s="1445" t="b">
        <f>IF(Page5_PARCS_GOUV!$K43=0,FALSE,OR(Page5_PARCS_GOUV!$M43/Page5_PARCS_GOUV!$K43&lt;INDEX(Min_Table,M2209),Page5_PARCS_GOUV!$M43/Page5_PARCS_GOUV!$K43&gt;INDEX(Max_Table,M2209)))</f>
        <v>0</v>
      </c>
      <c r="F2209" s="1454"/>
      <c r="G2209" s="1444" t="str">
        <f t="shared" si="292"/>
        <v/>
      </c>
      <c r="H2209" s="1446"/>
      <c r="I2209" s="1452" t="str">
        <f>IF(D2209=TRUE,Comments!$B$24,"")</f>
        <v/>
      </c>
      <c r="J2209" s="1446" t="str">
        <f>IF(E2209=TRUE,Comments!$B$22&amp;DOLLAR(INDEX(Min_Table,M2209),0)&amp;Comments!$B$18&amp;DOLLAR(INDEX(Max_Table,M2209),0)&amp;Comments!$B$19&amp;IFERROR(DOLLAR(Page5_PARCS_GOUV!$M43/Page5_PARCS_GOUV!$K43,0),0),"")</f>
        <v/>
      </c>
      <c r="K2209" s="1452"/>
      <c r="L2209" s="611">
        <f>ROW(OR_VEH!$A$673)</f>
        <v>673</v>
      </c>
      <c r="M2209" s="611">
        <f>ROW(OR_VEH!A573)</f>
        <v>573</v>
      </c>
      <c r="N2209" s="611" t="str">
        <f>"ACC # "&amp;Page5_PARCS_GOUV!E43&amp;" "&amp;Page5_PARCS_GOUV!C43&amp;" C.O.S.-YTD"</f>
        <v>ACC # 403M BUICK VOITURES VE C.O.S.-YTD</v>
      </c>
      <c r="O2209" s="611" t="str">
        <f t="shared" si="291"/>
        <v/>
      </c>
      <c r="P2209" s="611" t="str">
        <f t="shared" si="293"/>
        <v>Page5_PARCS_GOUV!M</v>
      </c>
      <c r="Q2209" s="611">
        <f t="shared" si="294"/>
        <v>43</v>
      </c>
      <c r="R2209" s="1447">
        <f t="shared" ca="1" si="295"/>
        <v>0</v>
      </c>
      <c r="S2209" s="1447">
        <f t="shared" ca="1" si="296"/>
        <v>0</v>
      </c>
      <c r="T2209" s="611">
        <v>22</v>
      </c>
      <c r="W2209" s="611" t="str">
        <f t="shared" ca="1" si="297"/>
        <v>Page5_PARCS_GOUV, Ligne 40 [Page5_PARCS_GOUV!M43]  -</v>
      </c>
    </row>
    <row r="2210" spans="1:23">
      <c r="A2210" s="1443" t="str">
        <f>celladdr(Page5_PARCS_GOUV!M44)</f>
        <v>Page5_PARCS_GOUV!M44</v>
      </c>
      <c r="B2210" s="1456" t="s">
        <v>1086</v>
      </c>
      <c r="D2210" s="1454" t="b">
        <f>OR(AND(Page5_PARCS_GOUV!$L44&lt;&gt;0,Page5_PARCS_GOUV!$M44=0),AND(Page5_PARCS_GOUV!$M44&lt;&gt;0,Page5_PARCS_GOUV!$L44=0))</f>
        <v>0</v>
      </c>
      <c r="E2210" s="1445" t="b">
        <f>IF(Page5_PARCS_GOUV!$K44=0,FALSE,OR(Page5_PARCS_GOUV!$M44/Page5_PARCS_GOUV!$K44&lt;INDEX(Min_Table,M2210),Page5_PARCS_GOUV!$M44/Page5_PARCS_GOUV!$K44&gt;INDEX(Max_Table,M2210)))</f>
        <v>0</v>
      </c>
      <c r="F2210" s="1454"/>
      <c r="G2210" s="1444" t="str">
        <f t="shared" si="292"/>
        <v/>
      </c>
      <c r="H2210" s="1446"/>
      <c r="I2210" s="1452" t="str">
        <f>IF(D2210=TRUE,Comments!$B$24,"")</f>
        <v/>
      </c>
      <c r="J2210" s="1446" t="str">
        <f>IF(E2210=TRUE,Comments!$B$22&amp;DOLLAR(INDEX(Min_Table,M2210),0)&amp;Comments!$B$18&amp;DOLLAR(INDEX(Max_Table,M2210),0)&amp;Comments!$B$19&amp;IFERROR(DOLLAR(Page5_PARCS_GOUV!$M44/Page5_PARCS_GOUV!$K44,0),0),"")</f>
        <v/>
      </c>
      <c r="K2210" s="1452"/>
      <c r="L2210" s="611">
        <f>ROW(OR_VEH!$A$673)</f>
        <v>673</v>
      </c>
      <c r="M2210" s="611">
        <f>ROW(OR_VEH!A574)</f>
        <v>574</v>
      </c>
      <c r="N2210" s="611" t="str">
        <f>"ACC # "&amp;Page5_PARCS_GOUV!E44&amp;" "&amp;Page5_PARCS_GOUV!C44&amp;" C.O.S.-YTD"</f>
        <v>ACC # 404M CADILLAC VOITURES MCI C.O.S.-YTD</v>
      </c>
      <c r="O2210" s="611" t="str">
        <f t="shared" si="291"/>
        <v/>
      </c>
      <c r="P2210" s="611" t="str">
        <f t="shared" si="293"/>
        <v>Page5_PARCS_GOUV!M</v>
      </c>
      <c r="Q2210" s="611">
        <f t="shared" si="294"/>
        <v>44</v>
      </c>
      <c r="R2210" s="1447">
        <f t="shared" ca="1" si="295"/>
        <v>0</v>
      </c>
      <c r="S2210" s="1447">
        <f t="shared" ca="1" si="296"/>
        <v>0</v>
      </c>
      <c r="T2210" s="611">
        <v>22</v>
      </c>
      <c r="W2210" s="611" t="str">
        <f t="shared" ca="1" si="297"/>
        <v>Page5_PARCS_GOUV, Ligne 41 [Page5_PARCS_GOUV!M44]  -</v>
      </c>
    </row>
    <row r="2211" spans="1:23">
      <c r="A2211" s="1443" t="str">
        <f>celladdr(Page5_PARCS_GOUV!M45)</f>
        <v>Page5_PARCS_GOUV!M45</v>
      </c>
      <c r="B2211" s="1456" t="s">
        <v>1086</v>
      </c>
      <c r="D2211" s="1454" t="b">
        <f>OR(AND(Page5_PARCS_GOUV!$L45&lt;&gt;0,Page5_PARCS_GOUV!$M45=0),AND(Page5_PARCS_GOUV!$M45&lt;&gt;0,Page5_PARCS_GOUV!$L45=0))</f>
        <v>0</v>
      </c>
      <c r="E2211" s="1445" t="b">
        <f>IF(Page5_PARCS_GOUV!$K45=0,FALSE,OR(Page5_PARCS_GOUV!$M45/Page5_PARCS_GOUV!$K45&lt;INDEX(Min_Table,M2211),Page5_PARCS_GOUV!$M45/Page5_PARCS_GOUV!$K45&gt;INDEX(Max_Table,M2211)))</f>
        <v>0</v>
      </c>
      <c r="F2211" s="1454"/>
      <c r="G2211" s="1444" t="str">
        <f t="shared" si="292"/>
        <v/>
      </c>
      <c r="H2211" s="1446"/>
      <c r="I2211" s="1452" t="str">
        <f>IF(D2211=TRUE,Comments!$B$24,"")</f>
        <v/>
      </c>
      <c r="J2211" s="1446" t="str">
        <f>IF(E2211=TRUE,Comments!$B$22&amp;DOLLAR(INDEX(Min_Table,M2211),0)&amp;Comments!$B$18&amp;DOLLAR(INDEX(Max_Table,M2211),0)&amp;Comments!$B$19&amp;IFERROR(DOLLAR(Page5_PARCS_GOUV!$M45/Page5_PARCS_GOUV!$K45,0),0),"")</f>
        <v/>
      </c>
      <c r="K2211" s="1452"/>
      <c r="L2211" s="611">
        <f>ROW(OR_VEH!$A$673)</f>
        <v>673</v>
      </c>
      <c r="M2211" s="611">
        <f>ROW(OR_VEH!A575)</f>
        <v>575</v>
      </c>
      <c r="N2211" s="611" t="str">
        <f>"ACC # "&amp;Page5_PARCS_GOUV!E45&amp;" "&amp;Page5_PARCS_GOUV!C45&amp;" C.O.S.-YTD"</f>
        <v>ACC # 405M CADILLAC VOITURES VE C.O.S.-YTD</v>
      </c>
      <c r="O2211" s="611" t="str">
        <f t="shared" si="291"/>
        <v/>
      </c>
      <c r="P2211" s="611" t="str">
        <f t="shared" si="293"/>
        <v>Page5_PARCS_GOUV!M</v>
      </c>
      <c r="Q2211" s="611">
        <f t="shared" si="294"/>
        <v>45</v>
      </c>
      <c r="R2211" s="1447">
        <f t="shared" ca="1" si="295"/>
        <v>0</v>
      </c>
      <c r="S2211" s="1447">
        <f t="shared" ca="1" si="296"/>
        <v>0</v>
      </c>
      <c r="T2211" s="611">
        <v>22</v>
      </c>
      <c r="W2211" s="611" t="str">
        <f t="shared" ca="1" si="297"/>
        <v>Page5_PARCS_GOUV, Ligne 42 [Page5_PARCS_GOUV!M45]  -</v>
      </c>
    </row>
    <row r="2212" spans="1:23">
      <c r="A2212" s="1443" t="str">
        <f>celladdr(Page5_PARCS_GOUV!M46)</f>
        <v>Page5_PARCS_GOUV!M46</v>
      </c>
      <c r="B2212" s="1456" t="s">
        <v>1086</v>
      </c>
      <c r="D2212" s="1454" t="b">
        <f>OR(AND(Page5_PARCS_GOUV!$L46&lt;&gt;0,Page5_PARCS_GOUV!$M46=0),AND(Page5_PARCS_GOUV!$M46&lt;&gt;0,Page5_PARCS_GOUV!$L46=0))</f>
        <v>0</v>
      </c>
      <c r="E2212" s="1445" t="b">
        <f>IF(Page5_PARCS_GOUV!$K46=0,FALSE,OR(Page5_PARCS_GOUV!$M46/Page5_PARCS_GOUV!$K46&lt;INDEX(Min_Table,M2212),Page5_PARCS_GOUV!$M46/Page5_PARCS_GOUV!$K46&gt;INDEX(Max_Table,M2212)))</f>
        <v>0</v>
      </c>
      <c r="F2212" s="1454"/>
      <c r="G2212" s="1444" t="str">
        <f t="shared" si="292"/>
        <v/>
      </c>
      <c r="H2212" s="1446"/>
      <c r="I2212" s="1452" t="str">
        <f>IF(D2212=TRUE,Comments!$B$24,"")</f>
        <v/>
      </c>
      <c r="J2212" s="1446" t="str">
        <f>IF(E2212=TRUE,Comments!$B$22&amp;DOLLAR(INDEX(Min_Table,M2212),0)&amp;Comments!$B$18&amp;DOLLAR(INDEX(Max_Table,M2212),0)&amp;Comments!$B$19&amp;IFERROR(DOLLAR(Page5_PARCS_GOUV!$M46/Page5_PARCS_GOUV!$K46,0),0),"")</f>
        <v/>
      </c>
      <c r="K2212" s="1452"/>
      <c r="L2212" s="611">
        <f>ROW(OR_VEH!$A$673)</f>
        <v>673</v>
      </c>
      <c r="M2212" s="611">
        <f>ROW(OR_VEH!A576)</f>
        <v>576</v>
      </c>
      <c r="N2212" s="611" t="str">
        <f>"ACC # "&amp;Page5_PARCS_GOUV!E46&amp;" "&amp;Page5_PARCS_GOUV!C46&amp;" C.O.S.-YTD"</f>
        <v>ACC # 406M NE PAS UTILISER C.O.S.-YTD</v>
      </c>
      <c r="O2212" s="611" t="str">
        <f t="shared" si="291"/>
        <v/>
      </c>
      <c r="P2212" s="611" t="str">
        <f t="shared" si="293"/>
        <v>Page5_PARCS_GOUV!M</v>
      </c>
      <c r="Q2212" s="611">
        <f t="shared" si="294"/>
        <v>46</v>
      </c>
      <c r="R2212" s="1447">
        <f t="shared" ca="1" si="295"/>
        <v>0</v>
      </c>
      <c r="S2212" s="1447">
        <f t="shared" ca="1" si="296"/>
        <v>0</v>
      </c>
      <c r="T2212" s="611">
        <v>22</v>
      </c>
      <c r="W2212" s="611" t="str">
        <f t="shared" ca="1" si="297"/>
        <v>Page5_PARCS_GOUV, Ligne 43 [Page5_PARCS_GOUV!M46]  -</v>
      </c>
    </row>
    <row r="2213" spans="1:23">
      <c r="A2213" s="1443" t="str">
        <f>celladdr(Page5_PARCS_GOUV!M47)</f>
        <v>Page5_PARCS_GOUV!M47</v>
      </c>
      <c r="B2213" s="1456" t="s">
        <v>1086</v>
      </c>
      <c r="D2213" s="1454" t="b">
        <f>OR(AND(Page5_PARCS_GOUV!$L47&lt;&gt;0,Page5_PARCS_GOUV!$M47=0),AND(Page5_PARCS_GOUV!$M47&lt;&gt;0,Page5_PARCS_GOUV!$L47=0))</f>
        <v>0</v>
      </c>
      <c r="E2213" s="1445" t="b">
        <f>IF(Page5_PARCS_GOUV!$K47=0,FALSE,OR(Page5_PARCS_GOUV!$M47/Page5_PARCS_GOUV!$K47&lt;INDEX(Min_Table,M2213),Page5_PARCS_GOUV!$M47/Page5_PARCS_GOUV!$K47&gt;INDEX(Max_Table,M2213)))</f>
        <v>0</v>
      </c>
      <c r="F2213" s="1454"/>
      <c r="G2213" s="1444" t="str">
        <f t="shared" si="292"/>
        <v/>
      </c>
      <c r="H2213" s="1446"/>
      <c r="I2213" s="1452" t="str">
        <f>IF(D2213=TRUE,Comments!$B$24,"")</f>
        <v/>
      </c>
      <c r="J2213" s="1446" t="str">
        <f>IF(E2213=TRUE,Comments!$B$22&amp;DOLLAR(INDEX(Min_Table,M2213),0)&amp;Comments!$B$18&amp;DOLLAR(INDEX(Max_Table,M2213),0)&amp;Comments!$B$19&amp;IFERROR(DOLLAR(Page5_PARCS_GOUV!$M47/Page5_PARCS_GOUV!$K47,0),0),"")</f>
        <v/>
      </c>
      <c r="K2213" s="1452"/>
      <c r="L2213" s="611">
        <f>ROW(OR_VEH!$A$673)</f>
        <v>673</v>
      </c>
      <c r="M2213" s="611">
        <f>ROW(OR_VEH!A577)</f>
        <v>577</v>
      </c>
      <c r="N2213" s="611" t="str">
        <f>"ACC # "&amp;Page5_PARCS_GOUV!E47&amp;" "&amp;Page5_PARCS_GOUV!C47&amp;" C.O.S.-YTD"</f>
        <v>ACC # 407M NE PAS UTILISER C.O.S.-YTD</v>
      </c>
      <c r="O2213" s="611" t="str">
        <f t="shared" si="291"/>
        <v/>
      </c>
      <c r="P2213" s="611" t="str">
        <f t="shared" si="293"/>
        <v>Page5_PARCS_GOUV!M</v>
      </c>
      <c r="Q2213" s="611">
        <f t="shared" si="294"/>
        <v>47</v>
      </c>
      <c r="R2213" s="1447">
        <f t="shared" ca="1" si="295"/>
        <v>0</v>
      </c>
      <c r="S2213" s="1447">
        <f t="shared" ca="1" si="296"/>
        <v>0</v>
      </c>
      <c r="T2213" s="611">
        <v>22</v>
      </c>
      <c r="W2213" s="611" t="str">
        <f t="shared" ca="1" si="297"/>
        <v>Page5_PARCS_GOUV, Ligne 44 [Page5_PARCS_GOUV!M47]  -</v>
      </c>
    </row>
    <row r="2214" spans="1:23">
      <c r="A2214" s="1443" t="str">
        <f>celladdr(Page5_PARCS_GOUV!M48)</f>
        <v>Page5_PARCS_GOUV!M48</v>
      </c>
      <c r="B2214" s="2449" t="s">
        <v>1086</v>
      </c>
      <c r="D2214" s="1454"/>
      <c r="F2214" s="1454"/>
      <c r="G2214" s="1444" t="str">
        <f t="shared" si="292"/>
        <v/>
      </c>
      <c r="H2214" s="1446"/>
      <c r="I2214" s="1452"/>
      <c r="J2214" s="1446"/>
      <c r="K2214" s="1452"/>
      <c r="N2214" s="611" t="str">
        <f>"ACC # "&amp;Page5_PARCS_GOUV!E48&amp;" "&amp;Page5_PARCS_GOUV!C48&amp;" C.O.S.-YTD"</f>
        <v>ACC #  TOTAL VOITURES DE GOUV C.O.S.-YTD</v>
      </c>
      <c r="O2214" s="611" t="str">
        <f t="shared" si="291"/>
        <v/>
      </c>
      <c r="P2214" s="611" t="str">
        <f t="shared" si="293"/>
        <v>Page5_PARCS_GOUV!M</v>
      </c>
      <c r="Q2214" s="611">
        <f t="shared" si="294"/>
        <v>48</v>
      </c>
      <c r="R2214" s="1447">
        <f t="shared" ca="1" si="295"/>
        <v>0</v>
      </c>
      <c r="S2214" s="1447">
        <f t="shared" ca="1" si="296"/>
        <v>0</v>
      </c>
      <c r="W2214" s="611" t="str">
        <f t="shared" ca="1" si="297"/>
        <v>Page5_PARCS_GOUV, Ligne 45 [Page5_PARCS_GOUV!M48]  -</v>
      </c>
    </row>
    <row r="2215" spans="1:23">
      <c r="A2215" s="1443" t="str">
        <f>celladdr(Page5_PARCS_GOUV!M49)</f>
        <v>Page5_PARCS_GOUV!M49</v>
      </c>
      <c r="B2215" s="1456" t="s">
        <v>1086</v>
      </c>
      <c r="D2215" s="1454" t="b">
        <f>OR(AND(Page5_PARCS_GOUV!$L49&lt;&gt;0,Page5_PARCS_GOUV!$M49=0),AND(Page5_PARCS_GOUV!$M49&lt;&gt;0,Page5_PARCS_GOUV!$L49=0))</f>
        <v>0</v>
      </c>
      <c r="E2215" s="1445" t="b">
        <f>IF(Page5_PARCS_GOUV!$K49=0,FALSE,OR(Page5_PARCS_GOUV!$M49/Page5_PARCS_GOUV!$K49&lt;INDEX(Min_Table,M2215),Page5_PARCS_GOUV!$M49/Page5_PARCS_GOUV!$K49&gt;INDEX(Max_Table,M2215)))</f>
        <v>0</v>
      </c>
      <c r="F2215" s="1454"/>
      <c r="G2215" s="1444" t="str">
        <f t="shared" si="292"/>
        <v/>
      </c>
      <c r="H2215" s="1446"/>
      <c r="I2215" s="1452" t="str">
        <f>IF(D2215=TRUE,Comments!$B$24,"")</f>
        <v/>
      </c>
      <c r="J2215" s="1446" t="str">
        <f>IF(E2215=TRUE,Comments!$B$22&amp;DOLLAR(INDEX(Min_Table,M2215),0)&amp;Comments!$B$18&amp;DOLLAR(INDEX(Max_Table,M2215),0)&amp;Comments!$B$19&amp;IFERROR(DOLLAR(Page5_PARCS_GOUV!$M49/Page5_PARCS_GOUV!$K49,0),0),"")</f>
        <v/>
      </c>
      <c r="K2215" s="1452"/>
      <c r="L2215" s="611">
        <f>ROW(OR_VEH!$A$673)</f>
        <v>673</v>
      </c>
      <c r="M2215" s="611">
        <f>ROW(OR_VEH!A579)</f>
        <v>579</v>
      </c>
      <c r="N2215" s="611" t="str">
        <f>"ACC # "&amp;Page5_PARCS_GOUV!E49&amp;" "&amp;Page5_PARCS_GOUV!C49&amp;" C.O.S.-YTD"</f>
        <v>ACC # 412M BUICK / CADILLAC PETIT VUS VE C.O.S.-YTD</v>
      </c>
      <c r="O2215" s="611" t="str">
        <f t="shared" si="291"/>
        <v/>
      </c>
      <c r="P2215" s="611" t="str">
        <f t="shared" si="293"/>
        <v>Page5_PARCS_GOUV!M</v>
      </c>
      <c r="Q2215" s="611">
        <f t="shared" si="294"/>
        <v>49</v>
      </c>
      <c r="R2215" s="1447">
        <f t="shared" ca="1" si="295"/>
        <v>0</v>
      </c>
      <c r="S2215" s="1447">
        <f t="shared" ca="1" si="296"/>
        <v>0</v>
      </c>
      <c r="T2215" s="611">
        <v>22</v>
      </c>
      <c r="W2215" s="611" t="str">
        <f t="shared" ca="1" si="297"/>
        <v>Page5_PARCS_GOUV, Ligne 46 [Page5_PARCS_GOUV!M49]  -</v>
      </c>
    </row>
    <row r="2216" spans="1:23">
      <c r="A2216" s="1443" t="str">
        <f>celladdr(Page5_PARCS_GOUV!M50)</f>
        <v>Page5_PARCS_GOUV!M50</v>
      </c>
      <c r="B2216" s="1456" t="s">
        <v>1086</v>
      </c>
      <c r="D2216" s="1454" t="b">
        <f>OR(AND(Page5_PARCS_GOUV!$L50&lt;&gt;0,Page5_PARCS_GOUV!$M50=0),AND(Page5_PARCS_GOUV!$M50&lt;&gt;0,Page5_PARCS_GOUV!$L50=0))</f>
        <v>0</v>
      </c>
      <c r="E2216" s="1445" t="b">
        <f>IF(Page5_PARCS_GOUV!$K50=0,FALSE,OR(Page5_PARCS_GOUV!$M50/Page5_PARCS_GOUV!$K50&lt;INDEX(Min_Table,M2216),Page5_PARCS_GOUV!$M50/Page5_PARCS_GOUV!$K50&gt;INDEX(Max_Table,M2216)))</f>
        <v>0</v>
      </c>
      <c r="F2216" s="1454"/>
      <c r="G2216" s="1444" t="str">
        <f t="shared" si="292"/>
        <v/>
      </c>
      <c r="H2216" s="1446"/>
      <c r="I2216" s="1452" t="str">
        <f>IF(D2216=TRUE,Comments!$B$24,"")</f>
        <v/>
      </c>
      <c r="J2216" s="1446" t="str">
        <f>IF(E2216=TRUE,Comments!$B$22&amp;DOLLAR(INDEX(Min_Table,M2216),0)&amp;Comments!$B$18&amp;DOLLAR(INDEX(Max_Table,M2216),0)&amp;Comments!$B$19&amp;IFERROR(DOLLAR(Page5_PARCS_GOUV!$M50/Page5_PARCS_GOUV!$K50,0),0),"")</f>
        <v/>
      </c>
      <c r="K2216" s="1452"/>
      <c r="L2216" s="611">
        <f>ROW(OR_VEH!$A$673)</f>
        <v>673</v>
      </c>
      <c r="M2216" s="611">
        <f>ROW(OR_VEH!A580)</f>
        <v>580</v>
      </c>
      <c r="N2216" s="611" t="str">
        <f>"ACC # "&amp;Page5_PARCS_GOUV!E50&amp;" "&amp;Page5_PARCS_GOUV!C50&amp;" C.O.S.-YTD"</f>
        <v>ACC # 413M BUICK / CADILLAC PETIT VUS MCI C.O.S.-YTD</v>
      </c>
      <c r="O2216" s="611" t="str">
        <f t="shared" si="291"/>
        <v/>
      </c>
      <c r="P2216" s="611" t="str">
        <f t="shared" si="293"/>
        <v>Page5_PARCS_GOUV!M</v>
      </c>
      <c r="Q2216" s="611">
        <f t="shared" si="294"/>
        <v>50</v>
      </c>
      <c r="R2216" s="1447">
        <f t="shared" ca="1" si="295"/>
        <v>0</v>
      </c>
      <c r="S2216" s="1447">
        <f t="shared" ca="1" si="296"/>
        <v>0</v>
      </c>
      <c r="T2216" s="611">
        <v>22</v>
      </c>
      <c r="W2216" s="611" t="str">
        <f t="shared" ca="1" si="297"/>
        <v>Page5_PARCS_GOUV, Ligne 47 [Page5_PARCS_GOUV!M50]  -</v>
      </c>
    </row>
    <row r="2217" spans="1:23">
      <c r="A2217" s="1443" t="str">
        <f>celladdr(Page5_PARCS_GOUV!M51)</f>
        <v>Page5_PARCS_GOUV!M51</v>
      </c>
      <c r="B2217" s="1456" t="s">
        <v>1086</v>
      </c>
      <c r="D2217" s="1454" t="b">
        <f>OR(AND(Page5_PARCS_GOUV!$L51&lt;&gt;0,Page5_PARCS_GOUV!$M51=0),AND(Page5_PARCS_GOUV!$M51&lt;&gt;0,Page5_PARCS_GOUV!$L51=0))</f>
        <v>0</v>
      </c>
      <c r="E2217" s="1445" t="b">
        <f>IF(Page5_PARCS_GOUV!$K51=0,FALSE,OR(Page5_PARCS_GOUV!$M51/Page5_PARCS_GOUV!$K51&lt;INDEX(Min_Table,M2217),Page5_PARCS_GOUV!$M51/Page5_PARCS_GOUV!$K51&gt;INDEX(Max_Table,M2217)))</f>
        <v>0</v>
      </c>
      <c r="F2217" s="1454"/>
      <c r="G2217" s="1444" t="str">
        <f t="shared" si="292"/>
        <v/>
      </c>
      <c r="H2217" s="1446"/>
      <c r="I2217" s="1452" t="str">
        <f>IF(D2217=TRUE,Comments!$B$24,"")</f>
        <v/>
      </c>
      <c r="J2217" s="1446" t="str">
        <f>IF(E2217=TRUE,Comments!$B$22&amp;DOLLAR(INDEX(Min_Table,M2217),0)&amp;Comments!$B$18&amp;DOLLAR(INDEX(Max_Table,M2217),0)&amp;Comments!$B$19&amp;IFERROR(DOLLAR(Page5_PARCS_GOUV!$M51/Page5_PARCS_GOUV!$K51,0),0),"")</f>
        <v/>
      </c>
      <c r="K2217" s="1452"/>
      <c r="L2217" s="611">
        <f>ROW(OR_VEH!$A$673)</f>
        <v>673</v>
      </c>
      <c r="M2217" s="611">
        <f>ROW(OR_VEH!A581)</f>
        <v>581</v>
      </c>
      <c r="N2217" s="611" t="str">
        <f>"ACC # "&amp;Page5_PARCS_GOUV!E51&amp;" "&amp;Page5_PARCS_GOUV!C51&amp;" C.O.S.-YTD"</f>
        <v>ACC # 414M BUICK / CADILLAC MOYEN VUS VE C.O.S.-YTD</v>
      </c>
      <c r="O2217" s="611" t="str">
        <f t="shared" si="291"/>
        <v/>
      </c>
      <c r="P2217" s="611" t="str">
        <f t="shared" si="293"/>
        <v>Page5_PARCS_GOUV!M</v>
      </c>
      <c r="Q2217" s="611">
        <f t="shared" si="294"/>
        <v>51</v>
      </c>
      <c r="R2217" s="1447">
        <f t="shared" ca="1" si="295"/>
        <v>0</v>
      </c>
      <c r="S2217" s="1447">
        <f t="shared" ca="1" si="296"/>
        <v>0</v>
      </c>
      <c r="T2217" s="611">
        <v>22</v>
      </c>
      <c r="W2217" s="611" t="str">
        <f t="shared" ca="1" si="297"/>
        <v>Page5_PARCS_GOUV, Ligne 48 [Page5_PARCS_GOUV!M51]  -</v>
      </c>
    </row>
    <row r="2218" spans="1:23">
      <c r="A2218" s="1443" t="str">
        <f>celladdr(Page5_PARCS_GOUV!M52)</f>
        <v>Page5_PARCS_GOUV!M52</v>
      </c>
      <c r="B2218" s="1456" t="s">
        <v>1086</v>
      </c>
      <c r="D2218" s="1454" t="b">
        <f>OR(AND(Page5_PARCS_GOUV!$L52&lt;&gt;0,Page5_PARCS_GOUV!$M52=0),AND(Page5_PARCS_GOUV!$M52&lt;&gt;0,Page5_PARCS_GOUV!$L52=0))</f>
        <v>0</v>
      </c>
      <c r="E2218" s="1445" t="b">
        <f>IF(Page5_PARCS_GOUV!$K52=0,FALSE,OR(Page5_PARCS_GOUV!$M52/Page5_PARCS_GOUV!$K52&lt;INDEX(Min_Table,M2218),Page5_PARCS_GOUV!$M52/Page5_PARCS_GOUV!$K52&gt;INDEX(Max_Table,M2218)))</f>
        <v>0</v>
      </c>
      <c r="F2218" s="1454"/>
      <c r="G2218" s="1444" t="str">
        <f t="shared" si="292"/>
        <v/>
      </c>
      <c r="H2218" s="1446"/>
      <c r="I2218" s="1452" t="str">
        <f>IF(D2218=TRUE,Comments!$B$24,"")</f>
        <v/>
      </c>
      <c r="J2218" s="1446" t="str">
        <f>IF(E2218=TRUE,Comments!$B$22&amp;DOLLAR(INDEX(Min_Table,M2218),0)&amp;Comments!$B$18&amp;DOLLAR(INDEX(Max_Table,M2218),0)&amp;Comments!$B$19&amp;IFERROR(DOLLAR(Page5_PARCS_GOUV!$M52/Page5_PARCS_GOUV!$K52,0),0),"")</f>
        <v/>
      </c>
      <c r="K2218" s="1452"/>
      <c r="L2218" s="611">
        <f>ROW(OR_VEH!$A$673)</f>
        <v>673</v>
      </c>
      <c r="M2218" s="611">
        <f>ROW(OR_VEH!A582)</f>
        <v>582</v>
      </c>
      <c r="N2218" s="611" t="str">
        <f>"ACC # "&amp;Page5_PARCS_GOUV!E52&amp;" "&amp;Page5_PARCS_GOUV!C52&amp;" C.O.S.-YTD"</f>
        <v>ACC # 415M BUICK / CADILLAC MOYEN VUS MCI C.O.S.-YTD</v>
      </c>
      <c r="O2218" s="611" t="str">
        <f t="shared" si="291"/>
        <v/>
      </c>
      <c r="P2218" s="611" t="str">
        <f t="shared" si="293"/>
        <v>Page5_PARCS_GOUV!M</v>
      </c>
      <c r="Q2218" s="611">
        <f t="shared" si="294"/>
        <v>52</v>
      </c>
      <c r="R2218" s="1447">
        <f t="shared" ca="1" si="295"/>
        <v>0</v>
      </c>
      <c r="S2218" s="1447">
        <f t="shared" ca="1" si="296"/>
        <v>0</v>
      </c>
      <c r="T2218" s="611">
        <v>22</v>
      </c>
      <c r="W2218" s="611" t="str">
        <f t="shared" ca="1" si="297"/>
        <v>Page5_PARCS_GOUV, Ligne 49 [Page5_PARCS_GOUV!M52]  -</v>
      </c>
    </row>
    <row r="2219" spans="1:23">
      <c r="A2219" s="1443" t="str">
        <f>celladdr(Page5_PARCS_GOUV!M53)</f>
        <v>Page5_PARCS_GOUV!M53</v>
      </c>
      <c r="B2219" s="1456" t="s">
        <v>1086</v>
      </c>
      <c r="D2219" s="1454" t="b">
        <f>OR(AND(Page5_PARCS_GOUV!$L53&lt;&gt;0,Page5_PARCS_GOUV!$M53=0),AND(Page5_PARCS_GOUV!$M53&lt;&gt;0,Page5_PARCS_GOUV!$L53=0))</f>
        <v>0</v>
      </c>
      <c r="E2219" s="1445" t="b">
        <f>IF(Page5_PARCS_GOUV!$K53=0,FALSE,OR(Page5_PARCS_GOUV!$M53/Page5_PARCS_GOUV!$K53&lt;INDEX(Min_Table,M2219),Page5_PARCS_GOUV!$M53/Page5_PARCS_GOUV!$K53&gt;INDEX(Max_Table,M2219)))</f>
        <v>0</v>
      </c>
      <c r="F2219" s="1454"/>
      <c r="G2219" s="1444" t="str">
        <f t="shared" si="292"/>
        <v/>
      </c>
      <c r="H2219" s="1446"/>
      <c r="I2219" s="1452" t="str">
        <f>IF(D2219=TRUE,Comments!$B$24,"")</f>
        <v/>
      </c>
      <c r="J2219" s="1446" t="str">
        <f>IF(E2219=TRUE,Comments!$B$22&amp;DOLLAR(INDEX(Min_Table,M2219),0)&amp;Comments!$B$18&amp;DOLLAR(INDEX(Max_Table,M2219),0)&amp;Comments!$B$19&amp;IFERROR(DOLLAR(Page5_PARCS_GOUV!$M53/Page5_PARCS_GOUV!$K53,0),0),"")</f>
        <v/>
      </c>
      <c r="K2219" s="1452"/>
      <c r="L2219" s="611">
        <f>ROW(OR_VEH!$A$673)</f>
        <v>673</v>
      </c>
      <c r="M2219" s="611">
        <f>ROW(OR_VEH!A583)</f>
        <v>583</v>
      </c>
      <c r="N2219" s="611" t="str">
        <f>"ACC # "&amp;Page5_PARCS_GOUV!E53&amp;" "&amp;Page5_PARCS_GOUV!C53&amp;" C.O.S.-YTD"</f>
        <v>ACC # 416M BUICK / CADILLAC GRAND VUS VE C.O.S.-YTD</v>
      </c>
      <c r="O2219" s="611" t="str">
        <f t="shared" si="291"/>
        <v/>
      </c>
      <c r="P2219" s="611" t="str">
        <f t="shared" si="293"/>
        <v>Page5_PARCS_GOUV!M</v>
      </c>
      <c r="Q2219" s="611">
        <f t="shared" si="294"/>
        <v>53</v>
      </c>
      <c r="R2219" s="1447">
        <f t="shared" ca="1" si="295"/>
        <v>0</v>
      </c>
      <c r="S2219" s="1447">
        <f t="shared" ca="1" si="296"/>
        <v>0</v>
      </c>
      <c r="T2219" s="611">
        <v>22</v>
      </c>
      <c r="W2219" s="611" t="str">
        <f t="shared" ca="1" si="297"/>
        <v>Page5_PARCS_GOUV, Ligne 50 [Page5_PARCS_GOUV!M53]  -</v>
      </c>
    </row>
    <row r="2220" spans="1:23">
      <c r="A2220" s="1443" t="str">
        <f>celladdr(Page5_PARCS_GOUV!M54)</f>
        <v>Page5_PARCS_GOUV!M54</v>
      </c>
      <c r="B2220" s="1456" t="s">
        <v>1086</v>
      </c>
      <c r="D2220" s="1454" t="b">
        <f>OR(AND(Page5_PARCS_GOUV!$L54&lt;&gt;0,Page5_PARCS_GOUV!$M54=0),AND(Page5_PARCS_GOUV!$M54&lt;&gt;0,Page5_PARCS_GOUV!$L54=0))</f>
        <v>0</v>
      </c>
      <c r="E2220" s="1445" t="b">
        <f>IF(Page5_PARCS_GOUV!$K54=0,FALSE,OR(Page5_PARCS_GOUV!$M54/Page5_PARCS_GOUV!$K54&lt;INDEX(Min_Table,M2220),Page5_PARCS_GOUV!$M54/Page5_PARCS_GOUV!$K54&gt;INDEX(Max_Table,M2220)))</f>
        <v>0</v>
      </c>
      <c r="F2220" s="1454"/>
      <c r="G2220" s="1444" t="str">
        <f t="shared" si="292"/>
        <v/>
      </c>
      <c r="H2220" s="1446"/>
      <c r="I2220" s="1452" t="str">
        <f>IF(D2220=TRUE,Comments!$B$24,"")</f>
        <v/>
      </c>
      <c r="J2220" s="1446" t="str">
        <f>IF(E2220=TRUE,Comments!$B$22&amp;DOLLAR(INDEX(Min_Table,M2220),0)&amp;Comments!$B$18&amp;DOLLAR(INDEX(Max_Table,M2220),0)&amp;Comments!$B$19&amp;IFERROR(DOLLAR(Page5_PARCS_GOUV!$M54/Page5_PARCS_GOUV!$K54,0),0),"")</f>
        <v/>
      </c>
      <c r="K2220" s="1452"/>
      <c r="L2220" s="611">
        <f>ROW(OR_VEH!$A$673)</f>
        <v>673</v>
      </c>
      <c r="M2220" s="611">
        <f>ROW(OR_VEH!A584)</f>
        <v>584</v>
      </c>
      <c r="N2220" s="611" t="str">
        <f>"ACC # "&amp;Page5_PARCS_GOUV!E54&amp;" "&amp;Page5_PARCS_GOUV!C54&amp;" C.O.S.-YTD"</f>
        <v>ACC # 417M BUICK / CADILLAC GRAND VUS MCI C.O.S.-YTD</v>
      </c>
      <c r="O2220" s="611" t="str">
        <f t="shared" si="291"/>
        <v/>
      </c>
      <c r="P2220" s="611" t="str">
        <f t="shared" si="293"/>
        <v>Page5_PARCS_GOUV!M</v>
      </c>
      <c r="Q2220" s="611">
        <f t="shared" si="294"/>
        <v>54</v>
      </c>
      <c r="R2220" s="1447">
        <f t="shared" ca="1" si="295"/>
        <v>0</v>
      </c>
      <c r="S2220" s="1447">
        <f t="shared" ca="1" si="296"/>
        <v>0</v>
      </c>
      <c r="T2220" s="611">
        <v>22</v>
      </c>
      <c r="W2220" s="611" t="str">
        <f t="shared" ca="1" si="297"/>
        <v>Page5_PARCS_GOUV, Ligne 51 [Page5_PARCS_GOUV!M54]  -</v>
      </c>
    </row>
    <row r="2221" spans="1:23">
      <c r="A2221" s="1443" t="str">
        <f>celladdr(Page5_PARCS_GOUV!M55)</f>
        <v>Page5_PARCS_GOUV!M55</v>
      </c>
      <c r="B2221" s="1456" t="s">
        <v>1086</v>
      </c>
      <c r="D2221" s="1454" t="b">
        <f>OR(AND(Page5_PARCS_GOUV!$L55&lt;&gt;0,Page5_PARCS_GOUV!$M55=0),AND(Page5_PARCS_GOUV!$M55&lt;&gt;0,Page5_PARCS_GOUV!$L55=0))</f>
        <v>0</v>
      </c>
      <c r="E2221" s="1445" t="b">
        <f>IF(Page5_PARCS_GOUV!$K55=0,FALSE,OR(Page5_PARCS_GOUV!$M55/Page5_PARCS_GOUV!$K55&lt;INDEX(Min_Table,M2221),Page5_PARCS_GOUV!$M55/Page5_PARCS_GOUV!$K55&gt;INDEX(Max_Table,M2221)))</f>
        <v>0</v>
      </c>
      <c r="F2221" s="1454"/>
      <c r="G2221" s="1444" t="str">
        <f t="shared" si="292"/>
        <v/>
      </c>
      <c r="H2221" s="1446"/>
      <c r="I2221" s="1452" t="str">
        <f>IF(D2221=TRUE,Comments!$B$24,"")</f>
        <v/>
      </c>
      <c r="J2221" s="1446" t="str">
        <f>IF(E2221=TRUE,Comments!$B$22&amp;DOLLAR(INDEX(Min_Table,M2221),0)&amp;Comments!$B$18&amp;DOLLAR(INDEX(Max_Table,M2221),0)&amp;Comments!$B$19&amp;IFERROR(DOLLAR(Page5_PARCS_GOUV!$M55/Page5_PARCS_GOUV!$K55,0),0),"")</f>
        <v/>
      </c>
      <c r="K2221" s="1452"/>
      <c r="L2221" s="611">
        <f>ROW(OR_VEH!$A$673)</f>
        <v>673</v>
      </c>
      <c r="M2221" s="611">
        <f>ROW(OR_VEH!A585)</f>
        <v>585</v>
      </c>
      <c r="N2221" s="611" t="str">
        <f>"ACC # "&amp;Page5_PARCS_GOUV!E55&amp;" "&amp;Page5_PARCS_GOUV!C55&amp;" C.O.S.-YTD"</f>
        <v>ACC # 418M CHEVROLET / GMC PETIT VUS VE C.O.S.-YTD</v>
      </c>
      <c r="O2221" s="611" t="str">
        <f t="shared" si="291"/>
        <v/>
      </c>
      <c r="P2221" s="611" t="str">
        <f t="shared" si="293"/>
        <v>Page5_PARCS_GOUV!M</v>
      </c>
      <c r="Q2221" s="611">
        <f t="shared" si="294"/>
        <v>55</v>
      </c>
      <c r="R2221" s="1447">
        <f t="shared" ca="1" si="295"/>
        <v>0</v>
      </c>
      <c r="S2221" s="1447">
        <f t="shared" ca="1" si="296"/>
        <v>0</v>
      </c>
      <c r="T2221" s="611">
        <v>22</v>
      </c>
      <c r="W2221" s="611" t="str">
        <f t="shared" ca="1" si="297"/>
        <v>Page5_PARCS_GOUV, Ligne 52 [Page5_PARCS_GOUV!M55]  -</v>
      </c>
    </row>
    <row r="2222" spans="1:23">
      <c r="A2222" s="1443" t="str">
        <f>celladdr(Page5_PARCS_GOUV!M56)</f>
        <v>Page5_PARCS_GOUV!M56</v>
      </c>
      <c r="B2222" s="1456" t="s">
        <v>1086</v>
      </c>
      <c r="D2222" s="1454" t="b">
        <f>OR(AND(Page5_PARCS_GOUV!$L56&lt;&gt;0,Page5_PARCS_GOUV!$M56=0),AND(Page5_PARCS_GOUV!$M56&lt;&gt;0,Page5_PARCS_GOUV!$L56=0))</f>
        <v>0</v>
      </c>
      <c r="E2222" s="1445" t="b">
        <f>IF(Page5_PARCS_GOUV!$K56=0,FALSE,OR(Page5_PARCS_GOUV!$M56/Page5_PARCS_GOUV!$K56&lt;INDEX(Min_Table,M2222),Page5_PARCS_GOUV!$M56/Page5_PARCS_GOUV!$K56&gt;INDEX(Max_Table,M2222)))</f>
        <v>0</v>
      </c>
      <c r="F2222" s="1454"/>
      <c r="G2222" s="1444" t="str">
        <f t="shared" si="292"/>
        <v/>
      </c>
      <c r="H2222" s="1446"/>
      <c r="I2222" s="1452" t="str">
        <f>IF(D2222=TRUE,Comments!$B$24,"")</f>
        <v/>
      </c>
      <c r="J2222" s="1446" t="str">
        <f>IF(E2222=TRUE,Comments!$B$22&amp;DOLLAR(INDEX(Min_Table,M2222),0)&amp;Comments!$B$18&amp;DOLLAR(INDEX(Max_Table,M2222),0)&amp;Comments!$B$19&amp;IFERROR(DOLLAR(Page5_PARCS_GOUV!$M56/Page5_PARCS_GOUV!$K56,0),0),"")</f>
        <v/>
      </c>
      <c r="K2222" s="1452"/>
      <c r="L2222" s="611">
        <f>ROW(OR_VEH!$A$673)</f>
        <v>673</v>
      </c>
      <c r="M2222" s="611">
        <f>ROW(OR_VEH!A586)</f>
        <v>586</v>
      </c>
      <c r="N2222" s="611" t="str">
        <f>"ACC # "&amp;Page5_PARCS_GOUV!E56&amp;" "&amp;Page5_PARCS_GOUV!C56&amp;" C.O.S.-YTD"</f>
        <v>ACC # 419M CHEVROLET / GMC PETIT VUS MCI C.O.S.-YTD</v>
      </c>
      <c r="O2222" s="611" t="str">
        <f t="shared" si="291"/>
        <v/>
      </c>
      <c r="P2222" s="611" t="str">
        <f t="shared" si="293"/>
        <v>Page5_PARCS_GOUV!M</v>
      </c>
      <c r="Q2222" s="611">
        <f t="shared" si="294"/>
        <v>56</v>
      </c>
      <c r="R2222" s="1447">
        <f t="shared" ca="1" si="295"/>
        <v>0</v>
      </c>
      <c r="S2222" s="1447">
        <f t="shared" ca="1" si="296"/>
        <v>0</v>
      </c>
      <c r="T2222" s="611">
        <v>22</v>
      </c>
      <c r="W2222" s="611" t="str">
        <f t="shared" ca="1" si="297"/>
        <v>Page5_PARCS_GOUV, Ligne 53 [Page5_PARCS_GOUV!M56]  -</v>
      </c>
    </row>
    <row r="2223" spans="1:23">
      <c r="A2223" s="1443" t="str">
        <f>celladdr(Page5_PARCS_GOUV!M57)</f>
        <v>Page5_PARCS_GOUV!M57</v>
      </c>
      <c r="B2223" s="1456" t="s">
        <v>1086</v>
      </c>
      <c r="D2223" s="1454" t="b">
        <f>OR(AND(Page5_PARCS_GOUV!$L57&lt;&gt;0,Page5_PARCS_GOUV!$M57=0),AND(Page5_PARCS_GOUV!$M57&lt;&gt;0,Page5_PARCS_GOUV!$L57=0))</f>
        <v>0</v>
      </c>
      <c r="E2223" s="1445" t="b">
        <f>IF(Page5_PARCS_GOUV!$K57=0,FALSE,OR(Page5_PARCS_GOUV!$M57/Page5_PARCS_GOUV!$K57&lt;INDEX(Min_Table,M2223),Page5_PARCS_GOUV!$M57/Page5_PARCS_GOUV!$K57&gt;INDEX(Max_Table,M2223)))</f>
        <v>0</v>
      </c>
      <c r="F2223" s="1454"/>
      <c r="G2223" s="1444" t="str">
        <f t="shared" si="292"/>
        <v/>
      </c>
      <c r="H2223" s="1446"/>
      <c r="I2223" s="1452" t="str">
        <f>IF(D2223=TRUE,Comments!$B$24,"")</f>
        <v/>
      </c>
      <c r="J2223" s="1446" t="str">
        <f>IF(E2223=TRUE,Comments!$B$22&amp;DOLLAR(INDEX(Min_Table,M2223),0)&amp;Comments!$B$18&amp;DOLLAR(INDEX(Max_Table,M2223),0)&amp;Comments!$B$19&amp;IFERROR(DOLLAR(Page5_PARCS_GOUV!$M57/Page5_PARCS_GOUV!$K57,0),0),"")</f>
        <v/>
      </c>
      <c r="K2223" s="1452"/>
      <c r="L2223" s="611">
        <f>ROW(OR_VEH!$A$673)</f>
        <v>673</v>
      </c>
      <c r="M2223" s="611">
        <f>ROW(OR_VEH!A587)</f>
        <v>587</v>
      </c>
      <c r="N2223" s="611" t="str">
        <f>"ACC # "&amp;Page5_PARCS_GOUV!E57&amp;" "&amp;Page5_PARCS_GOUV!C57&amp;" C.O.S.-YTD"</f>
        <v>ACC # 420M CHEVROLET / GMC MOYEN VUS VE C.O.S.-YTD</v>
      </c>
      <c r="O2223" s="611" t="str">
        <f t="shared" si="291"/>
        <v/>
      </c>
      <c r="P2223" s="611" t="str">
        <f t="shared" si="293"/>
        <v>Page5_PARCS_GOUV!M</v>
      </c>
      <c r="Q2223" s="611">
        <f t="shared" si="294"/>
        <v>57</v>
      </c>
      <c r="R2223" s="1447">
        <f t="shared" ca="1" si="295"/>
        <v>0</v>
      </c>
      <c r="S2223" s="1447">
        <f t="shared" ca="1" si="296"/>
        <v>0</v>
      </c>
      <c r="T2223" s="611">
        <v>22</v>
      </c>
      <c r="W2223" s="611" t="str">
        <f t="shared" ca="1" si="297"/>
        <v>Page5_PARCS_GOUV, Ligne 54 [Page5_PARCS_GOUV!M57]  -</v>
      </c>
    </row>
    <row r="2224" spans="1:23">
      <c r="A2224" s="1443" t="str">
        <f>celladdr(Page5_PARCS_GOUV!M58)</f>
        <v>Page5_PARCS_GOUV!M58</v>
      </c>
      <c r="B2224" s="1456" t="s">
        <v>1086</v>
      </c>
      <c r="D2224" s="1454" t="b">
        <f>OR(AND(Page5_PARCS_GOUV!$L58&lt;&gt;0,Page5_PARCS_GOUV!$M58=0),AND(Page5_PARCS_GOUV!$M58&lt;&gt;0,Page5_PARCS_GOUV!$L58=0))</f>
        <v>0</v>
      </c>
      <c r="E2224" s="1445" t="b">
        <f>IF(Page5_PARCS_GOUV!$K58=0,FALSE,OR(Page5_PARCS_GOUV!$M58/Page5_PARCS_GOUV!$K58&lt;INDEX(Min_Table,M2224),Page5_PARCS_GOUV!$M58/Page5_PARCS_GOUV!$K58&gt;INDEX(Max_Table,M2224)))</f>
        <v>0</v>
      </c>
      <c r="F2224" s="1454"/>
      <c r="G2224" s="1444" t="str">
        <f t="shared" si="292"/>
        <v/>
      </c>
      <c r="H2224" s="1446"/>
      <c r="I2224" s="1452" t="str">
        <f>IF(D2224=TRUE,Comments!$B$24,"")</f>
        <v/>
      </c>
      <c r="J2224" s="1446" t="str">
        <f>IF(E2224=TRUE,Comments!$B$22&amp;DOLLAR(INDEX(Min_Table,M2224),0)&amp;Comments!$B$18&amp;DOLLAR(INDEX(Max_Table,M2224),0)&amp;Comments!$B$19&amp;IFERROR(DOLLAR(Page5_PARCS_GOUV!$M58/Page5_PARCS_GOUV!$K58,0),0),"")</f>
        <v/>
      </c>
      <c r="K2224" s="1452"/>
      <c r="L2224" s="611">
        <f>ROW(OR_VEH!$A$673)</f>
        <v>673</v>
      </c>
      <c r="M2224" s="611">
        <f>ROW(OR_VEH!A588)</f>
        <v>588</v>
      </c>
      <c r="N2224" s="611" t="str">
        <f>"ACC # "&amp;Page5_PARCS_GOUV!E58&amp;" "&amp;Page5_PARCS_GOUV!C58&amp;" C.O.S.-YTD"</f>
        <v>ACC # 421M CHEVROLET / GMC MOYEN VUS MCI C.O.S.-YTD</v>
      </c>
      <c r="O2224" s="611" t="str">
        <f t="shared" si="291"/>
        <v/>
      </c>
      <c r="P2224" s="611" t="str">
        <f t="shared" si="293"/>
        <v>Page5_PARCS_GOUV!M</v>
      </c>
      <c r="Q2224" s="611">
        <f t="shared" si="294"/>
        <v>58</v>
      </c>
      <c r="R2224" s="1447">
        <f t="shared" ca="1" si="295"/>
        <v>0</v>
      </c>
      <c r="S2224" s="1447">
        <f t="shared" ca="1" si="296"/>
        <v>0</v>
      </c>
      <c r="T2224" s="611">
        <v>22</v>
      </c>
      <c r="W2224" s="611" t="str">
        <f t="shared" ca="1" si="297"/>
        <v>Page5_PARCS_GOUV, Ligne 55 [Page5_PARCS_GOUV!M58]  -</v>
      </c>
    </row>
    <row r="2225" spans="1:23">
      <c r="A2225" s="1443" t="str">
        <f>celladdr(Page5_PARCS_GOUV!M59)</f>
        <v>Page5_PARCS_GOUV!M59</v>
      </c>
      <c r="B2225" s="1456" t="s">
        <v>1086</v>
      </c>
      <c r="D2225" s="1454" t="b">
        <f>OR(AND(Page5_PARCS_GOUV!$L59&lt;&gt;0,Page5_PARCS_GOUV!$M59=0),AND(Page5_PARCS_GOUV!$M59&lt;&gt;0,Page5_PARCS_GOUV!$L59=0))</f>
        <v>0</v>
      </c>
      <c r="E2225" s="1445" t="b">
        <f>IF(Page5_PARCS_GOUV!$K59=0,FALSE,OR(Page5_PARCS_GOUV!$M59/Page5_PARCS_GOUV!$K59&lt;INDEX(Min_Table,M2225),Page5_PARCS_GOUV!$M59/Page5_PARCS_GOUV!$K59&gt;INDEX(Max_Table,M2225)))</f>
        <v>0</v>
      </c>
      <c r="F2225" s="1454"/>
      <c r="G2225" s="1444" t="str">
        <f t="shared" si="292"/>
        <v/>
      </c>
      <c r="H2225" s="1446"/>
      <c r="I2225" s="1452" t="str">
        <f>IF(D2225=TRUE,Comments!$B$24,"")</f>
        <v/>
      </c>
      <c r="J2225" s="1446" t="str">
        <f>IF(E2225=TRUE,Comments!$B$22&amp;DOLLAR(INDEX(Min_Table,M2225),0)&amp;Comments!$B$18&amp;DOLLAR(INDEX(Max_Table,M2225),0)&amp;Comments!$B$19&amp;IFERROR(DOLLAR(Page5_PARCS_GOUV!$M59/Page5_PARCS_GOUV!$K59,0),0),"")</f>
        <v/>
      </c>
      <c r="K2225" s="1452"/>
      <c r="L2225" s="611">
        <f>ROW(OR_VEH!$A$673)</f>
        <v>673</v>
      </c>
      <c r="M2225" s="611">
        <f>ROW(OR_VEH!A589)</f>
        <v>589</v>
      </c>
      <c r="N2225" s="611" t="str">
        <f>"ACC # "&amp;Page5_PARCS_GOUV!E59&amp;" "&amp;Page5_PARCS_GOUV!C59&amp;" C.O.S.-YTD"</f>
        <v>ACC # 422M CHEVROLET / GMC / HUMMER GRAND VUS VE C.O.S.-YTD</v>
      </c>
      <c r="O2225" s="611" t="str">
        <f t="shared" si="291"/>
        <v/>
      </c>
      <c r="P2225" s="611" t="str">
        <f t="shared" si="293"/>
        <v>Page5_PARCS_GOUV!M</v>
      </c>
      <c r="Q2225" s="611">
        <f t="shared" si="294"/>
        <v>59</v>
      </c>
      <c r="R2225" s="1447">
        <f t="shared" ca="1" si="295"/>
        <v>0</v>
      </c>
      <c r="S2225" s="1447">
        <f t="shared" ca="1" si="296"/>
        <v>0</v>
      </c>
      <c r="T2225" s="611">
        <v>22</v>
      </c>
      <c r="W2225" s="611" t="str">
        <f t="shared" ca="1" si="297"/>
        <v>Page5_PARCS_GOUV, Ligne 56 [Page5_PARCS_GOUV!M59]  -</v>
      </c>
    </row>
    <row r="2226" spans="1:23">
      <c r="A2226" s="1443" t="str">
        <f>celladdr(Page5_PARCS_GOUV!M60)</f>
        <v>Page5_PARCS_GOUV!M60</v>
      </c>
      <c r="B2226" s="1456" t="s">
        <v>1086</v>
      </c>
      <c r="D2226" s="1454" t="b">
        <f>OR(AND(Page5_PARCS_GOUV!$L60&lt;&gt;0,Page5_PARCS_GOUV!$M60=0),AND(Page5_PARCS_GOUV!$M60&lt;&gt;0,Page5_PARCS_GOUV!$L60=0))</f>
        <v>0</v>
      </c>
      <c r="E2226" s="1445" t="b">
        <f>IF(Page5_PARCS_GOUV!$K60=0,FALSE,OR(Page5_PARCS_GOUV!$M60/Page5_PARCS_GOUV!$K60&lt;INDEX(Min_Table,M2226),Page5_PARCS_GOUV!$M60/Page5_PARCS_GOUV!$K60&gt;INDEX(Max_Table,M2226)))</f>
        <v>0</v>
      </c>
      <c r="F2226" s="1454"/>
      <c r="G2226" s="1444" t="str">
        <f t="shared" si="292"/>
        <v/>
      </c>
      <c r="H2226" s="1446"/>
      <c r="I2226" s="1452" t="str">
        <f>IF(D2226=TRUE,Comments!$B$24,"")</f>
        <v/>
      </c>
      <c r="J2226" s="1446" t="str">
        <f>IF(E2226=TRUE,Comments!$B$22&amp;DOLLAR(INDEX(Min_Table,M2226),0)&amp;Comments!$B$18&amp;DOLLAR(INDEX(Max_Table,M2226),0)&amp;Comments!$B$19&amp;IFERROR(DOLLAR(Page5_PARCS_GOUV!$M60/Page5_PARCS_GOUV!$K60,0),0),"")</f>
        <v/>
      </c>
      <c r="K2226" s="1452"/>
      <c r="L2226" s="611">
        <f>ROW(OR_VEH!$A$673)</f>
        <v>673</v>
      </c>
      <c r="M2226" s="611">
        <f>ROW(OR_VEH!A590)</f>
        <v>590</v>
      </c>
      <c r="N2226" s="611" t="str">
        <f>"ACC # "&amp;Page5_PARCS_GOUV!E60&amp;" "&amp;Page5_PARCS_GOUV!C60&amp;" C.O.S.-YTD"</f>
        <v>ACC # 423M CHEVROLET / GMC GRAND VUS MCI C.O.S.-YTD</v>
      </c>
      <c r="O2226" s="611" t="str">
        <f t="shared" si="291"/>
        <v/>
      </c>
      <c r="P2226" s="611" t="str">
        <f t="shared" si="293"/>
        <v>Page5_PARCS_GOUV!M</v>
      </c>
      <c r="Q2226" s="611">
        <f t="shared" si="294"/>
        <v>60</v>
      </c>
      <c r="R2226" s="1447">
        <f t="shared" ca="1" si="295"/>
        <v>0</v>
      </c>
      <c r="S2226" s="1447">
        <f t="shared" ca="1" si="296"/>
        <v>0</v>
      </c>
      <c r="T2226" s="611">
        <v>22</v>
      </c>
      <c r="W2226" s="611" t="str">
        <f t="shared" ca="1" si="297"/>
        <v>Page5_PARCS_GOUV, Ligne 57 [Page5_PARCS_GOUV!M60]  -</v>
      </c>
    </row>
    <row r="2227" spans="1:23">
      <c r="A2227" s="1443" t="str">
        <f>celladdr(Page5_PARCS_GOUV!M61)</f>
        <v>Page5_PARCS_GOUV!M61</v>
      </c>
      <c r="B2227" s="1456" t="s">
        <v>1086</v>
      </c>
      <c r="D2227" s="1454" t="b">
        <f>OR(AND(Page5_PARCS_GOUV!$L61&lt;&gt;0,Page5_PARCS_GOUV!$M61=0),AND(Page5_PARCS_GOUV!$M61&lt;&gt;0,Page5_PARCS_GOUV!$L61=0))</f>
        <v>0</v>
      </c>
      <c r="E2227" s="1445" t="b">
        <f>IF(Page5_PARCS_GOUV!$K61=0,FALSE,OR(Page5_PARCS_GOUV!$M61/Page5_PARCS_GOUV!$K61&lt;INDEX(Min_Table,M2227),Page5_PARCS_GOUV!$M61/Page5_PARCS_GOUV!$K61&gt;INDEX(Max_Table,M2227)))</f>
        <v>0</v>
      </c>
      <c r="F2227" s="1454"/>
      <c r="G2227" s="1444" t="str">
        <f t="shared" si="292"/>
        <v/>
      </c>
      <c r="H2227" s="1446"/>
      <c r="I2227" s="1452" t="str">
        <f>IF(D2227=TRUE,Comments!$B$24,"")</f>
        <v/>
      </c>
      <c r="J2227" s="1446" t="str">
        <f>IF(E2227=TRUE,Comments!$B$22&amp;DOLLAR(INDEX(Min_Table,M2227),0)&amp;Comments!$B$18&amp;DOLLAR(INDEX(Max_Table,M2227),0)&amp;Comments!$B$19&amp;IFERROR(DOLLAR(Page5_PARCS_GOUV!$M61/Page5_PARCS_GOUV!$K61,0),0),"")</f>
        <v/>
      </c>
      <c r="K2227" s="1452"/>
      <c r="L2227" s="611">
        <f>ROW(OR_VEH!$A$673)</f>
        <v>673</v>
      </c>
      <c r="M2227" s="611">
        <f>ROW(OR_VEH!A591)</f>
        <v>591</v>
      </c>
      <c r="N2227" s="611" t="str">
        <f>"ACC # "&amp;Page5_PARCS_GOUV!E61&amp;" "&amp;Page5_PARCS_GOUV!C61&amp;" C.O.S.-YTD"</f>
        <v>ACC # 424M SILVERADO/SIERRA POIDS LOURD MCI (2500/3500) C.O.S.-YTD</v>
      </c>
      <c r="O2227" s="611" t="str">
        <f t="shared" si="291"/>
        <v/>
      </c>
      <c r="P2227" s="611" t="str">
        <f t="shared" si="293"/>
        <v>Page5_PARCS_GOUV!M</v>
      </c>
      <c r="Q2227" s="611">
        <f t="shared" si="294"/>
        <v>61</v>
      </c>
      <c r="R2227" s="1447">
        <f t="shared" ca="1" si="295"/>
        <v>0</v>
      </c>
      <c r="S2227" s="1447">
        <f t="shared" ca="1" si="296"/>
        <v>0</v>
      </c>
      <c r="T2227" s="611">
        <v>22</v>
      </c>
      <c r="W2227" s="611" t="str">
        <f t="shared" ca="1" si="297"/>
        <v>Page5_PARCS_GOUV, Ligne 58 [Page5_PARCS_GOUV!M61]  -</v>
      </c>
    </row>
    <row r="2228" spans="1:23">
      <c r="A2228" s="1443" t="str">
        <f>celladdr(Page5_PARCS_GOUV!M62)</f>
        <v>Page5_PARCS_GOUV!M62</v>
      </c>
      <c r="B2228" s="1456" t="s">
        <v>1086</v>
      </c>
      <c r="D2228" s="1454" t="b">
        <f>OR(AND(Page5_PARCS_GOUV!$L62&lt;&gt;0,Page5_PARCS_GOUV!$M62=0),AND(Page5_PARCS_GOUV!$M62&lt;&gt;0,Page5_PARCS_GOUV!$L62=0))</f>
        <v>0</v>
      </c>
      <c r="E2228" s="1445" t="b">
        <f>IF(Page5_PARCS_GOUV!$K62=0,FALSE,OR(Page5_PARCS_GOUV!$M62/Page5_PARCS_GOUV!$K62&lt;INDEX(Min_Table,M2228),Page5_PARCS_GOUV!$M62/Page5_PARCS_GOUV!$K62&gt;INDEX(Max_Table,M2228)))</f>
        <v>0</v>
      </c>
      <c r="F2228" s="1454"/>
      <c r="G2228" s="1444" t="str">
        <f t="shared" si="292"/>
        <v/>
      </c>
      <c r="H2228" s="1446"/>
      <c r="I2228" s="1452" t="str">
        <f>IF(D2228=TRUE,Comments!$B$24,"")</f>
        <v/>
      </c>
      <c r="J2228" s="1446" t="str">
        <f>IF(E2228=TRUE,Comments!$B$22&amp;DOLLAR(INDEX(Min_Table,M2228),0)&amp;Comments!$B$18&amp;DOLLAR(INDEX(Max_Table,M2228),0)&amp;Comments!$B$19&amp;IFERROR(DOLLAR(Page5_PARCS_GOUV!$M62/Page5_PARCS_GOUV!$K62,0),0),"")</f>
        <v/>
      </c>
      <c r="K2228" s="1452"/>
      <c r="L2228" s="611">
        <f>ROW(OR_VEH!$A$673)</f>
        <v>673</v>
      </c>
      <c r="M2228" s="611">
        <f>ROW(OR_VEH!A592)</f>
        <v>592</v>
      </c>
      <c r="N2228" s="611" t="str">
        <f>"ACC # "&amp;Page5_PARCS_GOUV!E62&amp;" "&amp;Page5_PARCS_GOUV!C62&amp;" C.O.S.-YTD"</f>
        <v>ACC # 425M NE PAS UTILISER C.O.S.-YTD</v>
      </c>
      <c r="O2228" s="611" t="str">
        <f t="shared" si="291"/>
        <v/>
      </c>
      <c r="P2228" s="611" t="str">
        <f t="shared" si="293"/>
        <v>Page5_PARCS_GOUV!M</v>
      </c>
      <c r="Q2228" s="611">
        <f t="shared" si="294"/>
        <v>62</v>
      </c>
      <c r="R2228" s="1447">
        <f t="shared" ca="1" si="295"/>
        <v>0</v>
      </c>
      <c r="S2228" s="1447">
        <f t="shared" ca="1" si="296"/>
        <v>0</v>
      </c>
      <c r="T2228" s="611">
        <v>22</v>
      </c>
      <c r="W2228" s="611" t="str">
        <f t="shared" ca="1" si="297"/>
        <v>Page5_PARCS_GOUV, Ligne 59 [Page5_PARCS_GOUV!M62]  -</v>
      </c>
    </row>
    <row r="2229" spans="1:23">
      <c r="A2229" s="1443" t="str">
        <f>celladdr(Page5_PARCS_GOUV!M63)</f>
        <v>Page5_PARCS_GOUV!M63</v>
      </c>
      <c r="B2229" s="1456" t="s">
        <v>1086</v>
      </c>
      <c r="D2229" s="1454" t="b">
        <f>OR(AND(Page5_PARCS_GOUV!$L63&lt;&gt;0,Page5_PARCS_GOUV!$M63=0),AND(Page5_PARCS_GOUV!$M63&lt;&gt;0,Page5_PARCS_GOUV!$L63=0))</f>
        <v>0</v>
      </c>
      <c r="E2229" s="1445" t="b">
        <f>IF(Page5_PARCS_GOUV!$K63=0,FALSE,OR(Page5_PARCS_GOUV!$M63/Page5_PARCS_GOUV!$K63&lt;INDEX(Min_Table,M2229),Page5_PARCS_GOUV!$M63/Page5_PARCS_GOUV!$K63&gt;INDEX(Max_Table,M2229)))</f>
        <v>0</v>
      </c>
      <c r="F2229" s="1454"/>
      <c r="G2229" s="1444" t="str">
        <f t="shared" si="292"/>
        <v/>
      </c>
      <c r="H2229" s="1446"/>
      <c r="I2229" s="1452" t="str">
        <f>IF(D2229=TRUE,Comments!$B$24,"")</f>
        <v/>
      </c>
      <c r="J2229" s="1446" t="str">
        <f>IF(E2229=TRUE,Comments!$B$22&amp;DOLLAR(INDEX(Min_Table,M2229),0)&amp;Comments!$B$18&amp;DOLLAR(INDEX(Max_Table,M2229),0)&amp;Comments!$B$19&amp;IFERROR(DOLLAR(Page5_PARCS_GOUV!$M63/Page5_PARCS_GOUV!$K63,0),0),"")</f>
        <v/>
      </c>
      <c r="K2229" s="1452"/>
      <c r="L2229" s="611">
        <f>ROW(OR_VEH!$A$673)</f>
        <v>673</v>
      </c>
      <c r="M2229" s="611">
        <f>ROW(OR_VEH!A593)</f>
        <v>593</v>
      </c>
      <c r="N2229" s="611" t="str">
        <f>"ACC # "&amp;Page5_PARCS_GOUV!E63&amp;" "&amp;Page5_PARCS_GOUV!C63&amp;" C.O.S.-YTD"</f>
        <v>ACC # 426M SILVERADO/SIERRA POIDS LÉGER MCI (1500) C.O.S.-YTD</v>
      </c>
      <c r="O2229" s="611" t="str">
        <f t="shared" si="291"/>
        <v/>
      </c>
      <c r="P2229" s="611" t="str">
        <f t="shared" si="293"/>
        <v>Page5_PARCS_GOUV!M</v>
      </c>
      <c r="Q2229" s="611">
        <f t="shared" si="294"/>
        <v>63</v>
      </c>
      <c r="R2229" s="1447">
        <f t="shared" ca="1" si="295"/>
        <v>0</v>
      </c>
      <c r="S2229" s="1447">
        <f t="shared" ca="1" si="296"/>
        <v>0</v>
      </c>
      <c r="T2229" s="611">
        <v>22</v>
      </c>
      <c r="W2229" s="611" t="str">
        <f t="shared" ca="1" si="297"/>
        <v>Page5_PARCS_GOUV, Ligne 60 [Page5_PARCS_GOUV!M63]  -</v>
      </c>
    </row>
    <row r="2230" spans="1:23">
      <c r="A2230" s="1443" t="str">
        <f>celladdr(Page5_PARCS_GOUV!M64)</f>
        <v>Page5_PARCS_GOUV!M64</v>
      </c>
      <c r="B2230" s="1456" t="s">
        <v>1086</v>
      </c>
      <c r="D2230" s="1454" t="b">
        <f>OR(AND(Page5_PARCS_GOUV!$L64&lt;&gt;0,Page5_PARCS_GOUV!$M64=0),AND(Page5_PARCS_GOUV!$M64&lt;&gt;0,Page5_PARCS_GOUV!$L64=0))</f>
        <v>0</v>
      </c>
      <c r="E2230" s="1445" t="b">
        <f>IF(Page5_PARCS_GOUV!$K64=0,FALSE,OR(Page5_PARCS_GOUV!$M64/Page5_PARCS_GOUV!$K64&lt;INDEX(Min_Table,M2230),Page5_PARCS_GOUV!$M64/Page5_PARCS_GOUV!$K64&gt;INDEX(Max_Table,M2230)))</f>
        <v>0</v>
      </c>
      <c r="F2230" s="1454"/>
      <c r="G2230" s="1444" t="str">
        <f t="shared" si="292"/>
        <v/>
      </c>
      <c r="H2230" s="1446"/>
      <c r="I2230" s="1452" t="str">
        <f>IF(D2230=TRUE,Comments!$B$24,"")</f>
        <v/>
      </c>
      <c r="J2230" s="1446" t="str">
        <f>IF(E2230=TRUE,Comments!$B$22&amp;DOLLAR(INDEX(Min_Table,M2230),0)&amp;Comments!$B$18&amp;DOLLAR(INDEX(Max_Table,M2230),0)&amp;Comments!$B$19&amp;IFERROR(DOLLAR(Page5_PARCS_GOUV!$M64/Page5_PARCS_GOUV!$K64,0),0),"")</f>
        <v/>
      </c>
      <c r="K2230" s="1452"/>
      <c r="L2230" s="611">
        <f>ROW(OR_VEH!$A$673)</f>
        <v>673</v>
      </c>
      <c r="M2230" s="611">
        <f>ROW(OR_VEH!A594)</f>
        <v>594</v>
      </c>
      <c r="N2230" s="611" t="str">
        <f>"ACC # "&amp;Page5_PARCS_GOUV!E64&amp;" "&amp;Page5_PARCS_GOUV!C64&amp;" C.O.S.-YTD"</f>
        <v>ACC # 427M SILVERADO/SIERRA/HUMMER POIDS LOURD VE C.O.S.-YTD</v>
      </c>
      <c r="O2230" s="611" t="str">
        <f t="shared" si="291"/>
        <v/>
      </c>
      <c r="P2230" s="611" t="str">
        <f t="shared" si="293"/>
        <v>Page5_PARCS_GOUV!M</v>
      </c>
      <c r="Q2230" s="611">
        <f t="shared" si="294"/>
        <v>64</v>
      </c>
      <c r="R2230" s="1447">
        <f t="shared" ca="1" si="295"/>
        <v>0</v>
      </c>
      <c r="S2230" s="1447">
        <f t="shared" ca="1" si="296"/>
        <v>0</v>
      </c>
      <c r="T2230" s="611">
        <v>22</v>
      </c>
      <c r="W2230" s="611" t="str">
        <f t="shared" ca="1" si="297"/>
        <v>Page5_PARCS_GOUV, Ligne 61 [Page5_PARCS_GOUV!M64]  -</v>
      </c>
    </row>
    <row r="2231" spans="1:23">
      <c r="A2231" s="1443" t="str">
        <f>celladdr(Page5_PARCS_GOUV!M65)</f>
        <v>Page5_PARCS_GOUV!M65</v>
      </c>
      <c r="B2231" s="1456" t="s">
        <v>1086</v>
      </c>
      <c r="D2231" s="1454" t="b">
        <f>OR(AND(Page5_PARCS_GOUV!$L65&lt;&gt;0,Page5_PARCS_GOUV!$M65=0),AND(Page5_PARCS_GOUV!$M65&lt;&gt;0,Page5_PARCS_GOUV!$L65=0))</f>
        <v>0</v>
      </c>
      <c r="E2231" s="1445" t="b">
        <f>IF(Page5_PARCS_GOUV!$K65=0,FALSE,OR(Page5_PARCS_GOUV!$M65/Page5_PARCS_GOUV!$K65&lt;INDEX(Min_Table,M2231),Page5_PARCS_GOUV!$M65/Page5_PARCS_GOUV!$K65&gt;INDEX(Max_Table,M2231)))</f>
        <v>0</v>
      </c>
      <c r="F2231" s="1454"/>
      <c r="G2231" s="1444" t="str">
        <f t="shared" si="292"/>
        <v/>
      </c>
      <c r="H2231" s="1446"/>
      <c r="I2231" s="1452" t="str">
        <f>IF(D2231=TRUE,Comments!$B$24,"")</f>
        <v/>
      </c>
      <c r="J2231" s="1446" t="str">
        <f>IF(E2231=TRUE,Comments!$B$22&amp;DOLLAR(INDEX(Min_Table,M2231),0)&amp;Comments!$B$18&amp;DOLLAR(INDEX(Max_Table,M2231),0)&amp;Comments!$B$19&amp;IFERROR(DOLLAR(Page5_PARCS_GOUV!$M65/Page5_PARCS_GOUV!$K65,0),0),"")</f>
        <v/>
      </c>
      <c r="K2231" s="1452"/>
      <c r="L2231" s="611">
        <f>ROW(OR_VEH!$A$673)</f>
        <v>673</v>
      </c>
      <c r="M2231" s="611">
        <f>ROW(OR_VEH!A595)</f>
        <v>595</v>
      </c>
      <c r="N2231" s="611" t="str">
        <f>"ACC # "&amp;Page5_PARCS_GOUV!E65&amp;" "&amp;Page5_PARCS_GOUV!C65&amp;" C.O.S.-YTD"</f>
        <v>ACC # 428M COLORADO/CANYON MCI C.O.S.-YTD</v>
      </c>
      <c r="O2231" s="611" t="str">
        <f t="shared" si="291"/>
        <v/>
      </c>
      <c r="P2231" s="611" t="str">
        <f t="shared" si="293"/>
        <v>Page5_PARCS_GOUV!M</v>
      </c>
      <c r="Q2231" s="611">
        <f t="shared" si="294"/>
        <v>65</v>
      </c>
      <c r="R2231" s="1447">
        <f t="shared" ca="1" si="295"/>
        <v>0</v>
      </c>
      <c r="S2231" s="1447">
        <f t="shared" ca="1" si="296"/>
        <v>0</v>
      </c>
      <c r="T2231" s="611">
        <v>22</v>
      </c>
      <c r="W2231" s="611" t="str">
        <f t="shared" ca="1" si="297"/>
        <v>Page5_PARCS_GOUV, Ligne 62 [Page5_PARCS_GOUV!M65]  -</v>
      </c>
    </row>
    <row r="2232" spans="1:23">
      <c r="A2232" s="1443" t="str">
        <f>celladdr(Page5_PARCS_GOUV!M66)</f>
        <v>Page5_PARCS_GOUV!M66</v>
      </c>
      <c r="B2232" s="1456" t="s">
        <v>1086</v>
      </c>
      <c r="D2232" s="1454" t="b">
        <f>OR(AND(Page5_PARCS_GOUV!$L66&lt;&gt;0,Page5_PARCS_GOUV!$M66=0),AND(Page5_PARCS_GOUV!$M66&lt;&gt;0,Page5_PARCS_GOUV!$L66=0))</f>
        <v>0</v>
      </c>
      <c r="E2232" s="1445" t="b">
        <f>IF(Page5_PARCS_GOUV!$K66=0,FALSE,OR(Page5_PARCS_GOUV!$M66/Page5_PARCS_GOUV!$K66&lt;INDEX(Min_Table,M2232),Page5_PARCS_GOUV!$M66/Page5_PARCS_GOUV!$K66&gt;INDEX(Max_Table,M2232)))</f>
        <v>0</v>
      </c>
      <c r="F2232" s="1454"/>
      <c r="G2232" s="1444" t="str">
        <f t="shared" si="292"/>
        <v/>
      </c>
      <c r="H2232" s="1446"/>
      <c r="I2232" s="1452" t="str">
        <f>IF(D2232=TRUE,Comments!$B$24,"")</f>
        <v/>
      </c>
      <c r="J2232" s="1446" t="str">
        <f>IF(E2232=TRUE,Comments!$B$22&amp;DOLLAR(INDEX(Min_Table,M2232),0)&amp;Comments!$B$18&amp;DOLLAR(INDEX(Max_Table,M2232),0)&amp;Comments!$B$19&amp;IFERROR(DOLLAR(Page5_PARCS_GOUV!$M66/Page5_PARCS_GOUV!$K66,0),0),"")</f>
        <v/>
      </c>
      <c r="K2232" s="1452"/>
      <c r="L2232" s="611">
        <f>ROW(OR_VEH!$A$673)</f>
        <v>673</v>
      </c>
      <c r="M2232" s="611">
        <f>ROW(OR_VEH!A596)</f>
        <v>596</v>
      </c>
      <c r="N2232" s="611" t="str">
        <f>"ACC # "&amp;Page5_PARCS_GOUV!E66&amp;" "&amp;Page5_PARCS_GOUV!C66&amp;" C.O.S.-YTD"</f>
        <v>ACC # 429M NE PAS UTILISER C.O.S.-YTD</v>
      </c>
      <c r="O2232" s="611" t="str">
        <f t="shared" si="291"/>
        <v/>
      </c>
      <c r="P2232" s="611" t="str">
        <f t="shared" si="293"/>
        <v>Page5_PARCS_GOUV!M</v>
      </c>
      <c r="Q2232" s="611">
        <f t="shared" si="294"/>
        <v>66</v>
      </c>
      <c r="R2232" s="1447">
        <f t="shared" ca="1" si="295"/>
        <v>0</v>
      </c>
      <c r="S2232" s="1447">
        <f t="shared" ca="1" si="296"/>
        <v>0</v>
      </c>
      <c r="T2232" s="611">
        <v>22</v>
      </c>
      <c r="W2232" s="611" t="str">
        <f t="shared" ca="1" si="297"/>
        <v>Page5_PARCS_GOUV, Ligne 63 [Page5_PARCS_GOUV!M66]  -</v>
      </c>
    </row>
    <row r="2233" spans="1:23">
      <c r="A2233" s="1443" t="str">
        <f>celladdr(Page5_PARCS_GOUV!M67)</f>
        <v>Page5_PARCS_GOUV!M67</v>
      </c>
      <c r="B2233" s="1456" t="s">
        <v>1086</v>
      </c>
      <c r="D2233" s="1454" t="b">
        <f>OR(AND(Page5_PARCS_GOUV!$L67&lt;&gt;0,Page5_PARCS_GOUV!$M67=0),AND(Page5_PARCS_GOUV!$M67&lt;&gt;0,Page5_PARCS_GOUV!$L67=0))</f>
        <v>0</v>
      </c>
      <c r="E2233" s="1445" t="b">
        <f>IF(Page5_PARCS_GOUV!$K67=0,FALSE,OR(Page5_PARCS_GOUV!$M67/Page5_PARCS_GOUV!$K67&lt;INDEX(Min_Table,M2233),Page5_PARCS_GOUV!$M67/Page5_PARCS_GOUV!$K67&gt;INDEX(Max_Table,M2233)))</f>
        <v>0</v>
      </c>
      <c r="F2233" s="1454"/>
      <c r="G2233" s="1444" t="str">
        <f t="shared" si="292"/>
        <v/>
      </c>
      <c r="H2233" s="1446"/>
      <c r="I2233" s="1452" t="str">
        <f>IF(D2233=TRUE,Comments!$B$24,"")</f>
        <v/>
      </c>
      <c r="J2233" s="1446" t="str">
        <f>IF(E2233=TRUE,Comments!$B$22&amp;DOLLAR(INDEX(Min_Table,M2233),0)&amp;Comments!$B$18&amp;DOLLAR(INDEX(Max_Table,M2233),0)&amp;Comments!$B$19&amp;IFERROR(DOLLAR(Page5_PARCS_GOUV!$M67/Page5_PARCS_GOUV!$K67,0),0),"")</f>
        <v/>
      </c>
      <c r="K2233" s="1452"/>
      <c r="L2233" s="611">
        <f>ROW(OR_VEH!$A$673)</f>
        <v>673</v>
      </c>
      <c r="M2233" s="611">
        <f>ROW(OR_VEH!A597)</f>
        <v>597</v>
      </c>
      <c r="N2233" s="611" t="str">
        <f>"ACC # "&amp;Page5_PARCS_GOUV!E67&amp;" "&amp;Page5_PARCS_GOUV!C67&amp;" C.O.S.-YTD"</f>
        <v>ACC # 430M SILVERADO CHASSIS (4500+) C.O.S.-YTD</v>
      </c>
      <c r="O2233" s="611" t="str">
        <f t="shared" si="291"/>
        <v/>
      </c>
      <c r="P2233" s="611" t="str">
        <f t="shared" si="293"/>
        <v>Page5_PARCS_GOUV!M</v>
      </c>
      <c r="Q2233" s="611">
        <f t="shared" si="294"/>
        <v>67</v>
      </c>
      <c r="R2233" s="1447">
        <f t="shared" ca="1" si="295"/>
        <v>0</v>
      </c>
      <c r="S2233" s="1447">
        <f t="shared" ca="1" si="296"/>
        <v>0</v>
      </c>
      <c r="T2233" s="611">
        <v>22</v>
      </c>
      <c r="W2233" s="611" t="str">
        <f t="shared" ca="1" si="297"/>
        <v>Page5_PARCS_GOUV, Ligne 64 [Page5_PARCS_GOUV!M67]  -</v>
      </c>
    </row>
    <row r="2234" spans="1:23">
      <c r="A2234" s="1443" t="str">
        <f>celladdr(Page5_PARCS_GOUV!M68)</f>
        <v>Page5_PARCS_GOUV!M68</v>
      </c>
      <c r="B2234" s="1456" t="s">
        <v>1086</v>
      </c>
      <c r="D2234" s="1454" t="b">
        <f>OR(AND(Page5_PARCS_GOUV!$L68&lt;&gt;0,Page5_PARCS_GOUV!$M68=0),AND(Page5_PARCS_GOUV!$M68&lt;&gt;0,Page5_PARCS_GOUV!$L68=0))</f>
        <v>0</v>
      </c>
      <c r="E2234" s="1445" t="b">
        <f>IF(Page5_PARCS_GOUV!$K68=0,FALSE,OR(Page5_PARCS_GOUV!$M68/Page5_PARCS_GOUV!$K68&lt;INDEX(Min_Table,M2234),Page5_PARCS_GOUV!$M68/Page5_PARCS_GOUV!$K68&gt;INDEX(Max_Table,M2234)))</f>
        <v>0</v>
      </c>
      <c r="F2234" s="1454"/>
      <c r="G2234" s="1444" t="str">
        <f t="shared" si="292"/>
        <v/>
      </c>
      <c r="H2234" s="1446"/>
      <c r="I2234" s="1452" t="str">
        <f>IF(D2234=TRUE,Comments!$B$24,"")</f>
        <v/>
      </c>
      <c r="J2234" s="1446" t="str">
        <f>IF(E2234=TRUE,Comments!$B$22&amp;DOLLAR(INDEX(Min_Table,M2234),0)&amp;Comments!$B$18&amp;DOLLAR(INDEX(Max_Table,M2234),0)&amp;Comments!$B$19&amp;IFERROR(DOLLAR(Page5_PARCS_GOUV!$M68/Page5_PARCS_GOUV!$K68,0),0),"")</f>
        <v/>
      </c>
      <c r="K2234" s="1452"/>
      <c r="L2234" s="611">
        <f>ROW(OR_VEH!$A$673)</f>
        <v>673</v>
      </c>
      <c r="M2234" s="611">
        <f>ROW(OR_VEH!A598)</f>
        <v>598</v>
      </c>
      <c r="N2234" s="611" t="str">
        <f>"ACC # "&amp;Page5_PARCS_GOUV!E68&amp;" "&amp;Page5_PARCS_GOUV!C68&amp;" C.O.S.-YTD"</f>
        <v>ACC # 431M CHEVROLET/GMC LCF/CONV C.O.S.-YTD</v>
      </c>
      <c r="O2234" s="611" t="str">
        <f t="shared" si="291"/>
        <v/>
      </c>
      <c r="P2234" s="611" t="str">
        <f t="shared" si="293"/>
        <v>Page5_PARCS_GOUV!M</v>
      </c>
      <c r="Q2234" s="611">
        <f t="shared" si="294"/>
        <v>68</v>
      </c>
      <c r="R2234" s="1447">
        <f t="shared" ca="1" si="295"/>
        <v>0</v>
      </c>
      <c r="S2234" s="1447">
        <f t="shared" ca="1" si="296"/>
        <v>0</v>
      </c>
      <c r="T2234" s="611">
        <v>22</v>
      </c>
      <c r="W2234" s="611" t="str">
        <f t="shared" ca="1" si="297"/>
        <v>Page5_PARCS_GOUV, Ligne 65 [Page5_PARCS_GOUV!M68]  -</v>
      </c>
    </row>
    <row r="2235" spans="1:23">
      <c r="A2235" s="1443" t="str">
        <f>celladdr(Page5_PARCS_GOUV!M69)</f>
        <v>Page5_PARCS_GOUV!M69</v>
      </c>
      <c r="B2235" s="1456" t="s">
        <v>1086</v>
      </c>
      <c r="D2235" s="1454" t="b">
        <f>OR(AND(Page5_PARCS_GOUV!$L69&lt;&gt;0,Page5_PARCS_GOUV!$M69=0),AND(Page5_PARCS_GOUV!$M69&lt;&gt;0,Page5_PARCS_GOUV!$L69=0))</f>
        <v>0</v>
      </c>
      <c r="E2235" s="1445" t="b">
        <f>IF(Page5_PARCS_GOUV!$K69=0,FALSE,OR(Page5_PARCS_GOUV!$M69/Page5_PARCS_GOUV!$K69&lt;INDEX(Min_Table,M2235),Page5_PARCS_GOUV!$M69/Page5_PARCS_GOUV!$K69&gt;INDEX(Max_Table,M2235)))</f>
        <v>0</v>
      </c>
      <c r="F2235" s="1454"/>
      <c r="G2235" s="1444" t="str">
        <f t="shared" si="292"/>
        <v/>
      </c>
      <c r="H2235" s="1446"/>
      <c r="I2235" s="1452" t="str">
        <f>IF(D2235=TRUE,Comments!$B$24,"")</f>
        <v/>
      </c>
      <c r="J2235" s="1446" t="str">
        <f>IF(E2235=TRUE,Comments!$B$22&amp;DOLLAR(INDEX(Min_Table,M2235),0)&amp;Comments!$B$18&amp;DOLLAR(INDEX(Max_Table,M2235),0)&amp;Comments!$B$19&amp;IFERROR(DOLLAR(Page5_PARCS_GOUV!$M69/Page5_PARCS_GOUV!$K69,0),0),"")</f>
        <v/>
      </c>
      <c r="K2235" s="1452"/>
      <c r="L2235" s="611">
        <f>ROW(OR_VEH!$A$673)</f>
        <v>673</v>
      </c>
      <c r="M2235" s="611">
        <f>ROW(OR_VEH!A599)</f>
        <v>599</v>
      </c>
      <c r="N2235" s="611" t="str">
        <f>"ACC # "&amp;Page5_PARCS_GOUV!E69&amp;" "&amp;Page5_PARCS_GOUV!C69&amp;" C.O.S.-YTD"</f>
        <v>ACC # 432M EXPRESS/SAVANA MCI C.O.S.-YTD</v>
      </c>
      <c r="O2235" s="611" t="str">
        <f t="shared" si="291"/>
        <v/>
      </c>
      <c r="P2235" s="611" t="str">
        <f t="shared" si="293"/>
        <v>Page5_PARCS_GOUV!M</v>
      </c>
      <c r="Q2235" s="611">
        <f t="shared" si="294"/>
        <v>69</v>
      </c>
      <c r="R2235" s="1447">
        <f t="shared" ca="1" si="295"/>
        <v>0</v>
      </c>
      <c r="S2235" s="1447">
        <f t="shared" ca="1" si="296"/>
        <v>0</v>
      </c>
      <c r="T2235" s="611">
        <v>22</v>
      </c>
      <c r="W2235" s="611" t="str">
        <f t="shared" ca="1" si="297"/>
        <v>Page5_PARCS_GOUV, Ligne 66 [Page5_PARCS_GOUV!M69]  -</v>
      </c>
    </row>
    <row r="2236" spans="1:23">
      <c r="A2236" s="1443" t="str">
        <f>celladdr(Page5_PARCS_GOUV!M70)</f>
        <v>Page5_PARCS_GOUV!M70</v>
      </c>
      <c r="B2236" s="1456" t="s">
        <v>1086</v>
      </c>
      <c r="D2236" s="1454" t="b">
        <f>OR(AND(Page5_PARCS_GOUV!$L70&lt;&gt;0,Page5_PARCS_GOUV!$M70=0),AND(Page5_PARCS_GOUV!$M70&lt;&gt;0,Page5_PARCS_GOUV!$L70=0))</f>
        <v>0</v>
      </c>
      <c r="E2236" s="1445" t="b">
        <f>IF(Page5_PARCS_GOUV!$K70=0,FALSE,OR(Page5_PARCS_GOUV!$M70/Page5_PARCS_GOUV!$K70&lt;INDEX(Min_Table,M2236),Page5_PARCS_GOUV!$M70/Page5_PARCS_GOUV!$K70&gt;INDEX(Max_Table,M2236)))</f>
        <v>0</v>
      </c>
      <c r="F2236" s="1454"/>
      <c r="G2236" s="1444" t="str">
        <f t="shared" si="292"/>
        <v/>
      </c>
      <c r="H2236" s="1446"/>
      <c r="I2236" s="1452" t="str">
        <f>IF(D2236=TRUE,Comments!$B$24,"")</f>
        <v/>
      </c>
      <c r="J2236" s="1446" t="str">
        <f>IF(E2236=TRUE,Comments!$B$22&amp;DOLLAR(INDEX(Min_Table,M2236),0)&amp;Comments!$B$18&amp;DOLLAR(INDEX(Max_Table,M2236),0)&amp;Comments!$B$19&amp;IFERROR(DOLLAR(Page5_PARCS_GOUV!$M70/Page5_PARCS_GOUV!$K70,0),0),"")</f>
        <v/>
      </c>
      <c r="K2236" s="1452"/>
      <c r="L2236" s="611">
        <f>ROW(OR_VEH!$A$673)</f>
        <v>673</v>
      </c>
      <c r="M2236" s="611">
        <f>ROW(OR_VEH!A600)</f>
        <v>600</v>
      </c>
      <c r="N2236" s="611" t="str">
        <f>"ACC # "&amp;Page5_PARCS_GOUV!E70&amp;" "&amp;Page5_PARCS_GOUV!C70&amp;" C.O.S.-YTD"</f>
        <v>ACC # 433M NE PAS UTILISER C.O.S.-YTD</v>
      </c>
      <c r="O2236" s="611" t="str">
        <f t="shared" si="291"/>
        <v/>
      </c>
      <c r="P2236" s="611" t="str">
        <f t="shared" si="293"/>
        <v>Page5_PARCS_GOUV!M</v>
      </c>
      <c r="Q2236" s="611">
        <f t="shared" si="294"/>
        <v>70</v>
      </c>
      <c r="R2236" s="1447">
        <f t="shared" ca="1" si="295"/>
        <v>0</v>
      </c>
      <c r="S2236" s="1447">
        <f t="shared" ca="1" si="296"/>
        <v>0</v>
      </c>
      <c r="T2236" s="611">
        <v>22</v>
      </c>
      <c r="W2236" s="611" t="str">
        <f t="shared" ca="1" si="297"/>
        <v>Page5_PARCS_GOUV, Ligne 67 [Page5_PARCS_GOUV!M70]  -</v>
      </c>
    </row>
    <row r="2237" spans="1:23">
      <c r="A2237" s="1443" t="str">
        <f>celladdr(Page5_PARCS_GOUV!M71)</f>
        <v>Page5_PARCS_GOUV!M71</v>
      </c>
      <c r="B2237" s="1456" t="s">
        <v>1086</v>
      </c>
      <c r="D2237" s="1454" t="b">
        <f>OR(AND(Page5_PARCS_GOUV!$L71&lt;&gt;0,Page5_PARCS_GOUV!$M71=0),AND(Page5_PARCS_GOUV!$M71&lt;&gt;0,Page5_PARCS_GOUV!$L71=0))</f>
        <v>0</v>
      </c>
      <c r="E2237" s="1445" t="b">
        <f>IF(Page5_PARCS_GOUV!$K71=0,FALSE,OR(Page5_PARCS_GOUV!$M71/Page5_PARCS_GOUV!$K71&lt;INDEX(Min_Table,M2237),Page5_PARCS_GOUV!$M71/Page5_PARCS_GOUV!$K71&gt;INDEX(Max_Table,M2237)))</f>
        <v>0</v>
      </c>
      <c r="F2237" s="1454"/>
      <c r="G2237" s="1444" t="str">
        <f t="shared" si="292"/>
        <v/>
      </c>
      <c r="H2237" s="1446"/>
      <c r="I2237" s="1452" t="str">
        <f>IF(D2237=TRUE,Comments!$B$24,"")</f>
        <v/>
      </c>
      <c r="J2237" s="1446" t="str">
        <f>IF(E2237=TRUE,Comments!$B$22&amp;DOLLAR(INDEX(Min_Table,M2237),0)&amp;Comments!$B$18&amp;DOLLAR(INDEX(Max_Table,M2237),0)&amp;Comments!$B$19&amp;IFERROR(DOLLAR(Page5_PARCS_GOUV!$M71/Page5_PARCS_GOUV!$K71,0),0),"")</f>
        <v/>
      </c>
      <c r="K2237" s="1452"/>
      <c r="L2237" s="611">
        <f>ROW(OR_VEH!$A$673)</f>
        <v>673</v>
      </c>
      <c r="M2237" s="611">
        <f>ROW(OR_VEH!A601)</f>
        <v>601</v>
      </c>
      <c r="N2237" s="611" t="str">
        <f>"ACC # "&amp;Page5_PARCS_GOUV!E71&amp;" "&amp;Page5_PARCS_GOUV!C71&amp;" C.O.S.-YTD"</f>
        <v>ACC # 434M NE PAS UTILISER C.O.S.-YTD</v>
      </c>
      <c r="O2237" s="611" t="str">
        <f t="shared" si="291"/>
        <v/>
      </c>
      <c r="P2237" s="611" t="str">
        <f t="shared" si="293"/>
        <v>Page5_PARCS_GOUV!M</v>
      </c>
      <c r="Q2237" s="611">
        <f t="shared" si="294"/>
        <v>71</v>
      </c>
      <c r="R2237" s="1447">
        <f t="shared" ca="1" si="295"/>
        <v>0</v>
      </c>
      <c r="S2237" s="1447">
        <f t="shared" ca="1" si="296"/>
        <v>0</v>
      </c>
      <c r="T2237" s="611">
        <v>22</v>
      </c>
      <c r="W2237" s="611" t="str">
        <f t="shared" ca="1" si="297"/>
        <v>Page5_PARCS_GOUV, Ligne 68 [Page5_PARCS_GOUV!M71]  -</v>
      </c>
    </row>
    <row r="2238" spans="1:23">
      <c r="A2238" s="1443" t="str">
        <f>celladdr(Page6!F17)</f>
        <v>Page6!F17</v>
      </c>
      <c r="B2238" s="1453" t="s">
        <v>1086</v>
      </c>
      <c r="C2238" s="1445" t="b">
        <f>Page6!$F$17&lt;&gt;Page6!$F$10+Page6!$F$15</f>
        <v>0</v>
      </c>
      <c r="D2238" s="1454" t="b">
        <f>Page6!F17&gt;Page6!K17</f>
        <v>0</v>
      </c>
      <c r="F2238" s="1454"/>
      <c r="G2238" s="1444" t="str">
        <f t="shared" si="292"/>
        <v/>
      </c>
      <c r="H2238" s="1446" t="str">
        <f>IF(C2238=TRUE,Comments!$B$42&amp;Page6!$F$17-(Page6!$F$10+Page6!$F$15),"")</f>
        <v/>
      </c>
      <c r="I2238" s="1452" t="str">
        <f>IF(D2238=TRUE,Comments!$B$72,"")</f>
        <v/>
      </c>
      <c r="J2238" s="1452"/>
      <c r="K2238" s="1452"/>
      <c r="N2238" s="611" t="s">
        <v>1555</v>
      </c>
      <c r="O2238" s="611" t="str">
        <f t="shared" ref="O2238:O2301" si="298">IF(A2238=A2237,"TRUE","")</f>
        <v/>
      </c>
      <c r="P2238" s="611" t="str">
        <f t="shared" si="293"/>
        <v>Page6!F</v>
      </c>
      <c r="Q2238" s="611">
        <f t="shared" si="294"/>
        <v>17</v>
      </c>
      <c r="R2238" s="1447">
        <f t="shared" ca="1" si="295"/>
        <v>0</v>
      </c>
      <c r="S2238" s="1447">
        <f t="shared" ca="1" si="296"/>
        <v>0</v>
      </c>
      <c r="V2238" s="2557" t="str">
        <f t="shared" ref="V2238:V2253" ca="1" si="299">IF(SUM(R2238+S2238)=0,"","
*** "&amp;TEXT(SUM(R2238+S2238),"0,0")&amp;" Points de précision seront déduits suite à cette(ces) erreur(s) !")</f>
        <v/>
      </c>
      <c r="W2238" s="611" t="str">
        <f t="shared" ca="1" si="297"/>
        <v>Page6, Ligne 14 [Page6!F17]  -</v>
      </c>
    </row>
    <row r="2239" spans="1:23">
      <c r="A2239" s="1443" t="str">
        <f>celladdr(Page6!F43)</f>
        <v>Page6!F43</v>
      </c>
      <c r="B2239" s="1453" t="s">
        <v>1086</v>
      </c>
      <c r="C2239" s="1445" t="b">
        <f>Page6!$F$43&lt;&gt;SUM(Page6!$F$24:$F$38)</f>
        <v>0</v>
      </c>
      <c r="D2239" s="1454"/>
      <c r="F2239" s="1454"/>
      <c r="G2239" s="1444" t="str">
        <f t="shared" si="292"/>
        <v/>
      </c>
      <c r="H2239" s="1446" t="str">
        <f>IF(C2239=TRUE,Comments!$B$44&amp;Page6!$F$43-SUM(Page6!$F$24:$F$38),"")</f>
        <v/>
      </c>
      <c r="I2239" s="1452"/>
      <c r="J2239" s="1452"/>
      <c r="K2239" s="1452"/>
      <c r="N2239" s="611" t="s">
        <v>1556</v>
      </c>
      <c r="O2239" s="611" t="str">
        <f t="shared" si="298"/>
        <v/>
      </c>
      <c r="P2239" s="611" t="str">
        <f t="shared" si="293"/>
        <v>Page6!F</v>
      </c>
      <c r="Q2239" s="611">
        <f t="shared" si="294"/>
        <v>43</v>
      </c>
      <c r="R2239" s="1447">
        <f t="shared" ca="1" si="295"/>
        <v>0</v>
      </c>
      <c r="S2239" s="1447">
        <f t="shared" ca="1" si="296"/>
        <v>0</v>
      </c>
      <c r="V2239" s="2557" t="str">
        <f t="shared" ca="1" si="299"/>
        <v/>
      </c>
      <c r="W2239" s="611" t="str">
        <f t="shared" ca="1" si="297"/>
        <v>Page6, Ligne 40 [Page6!F43]  -</v>
      </c>
    </row>
    <row r="2240" spans="1:23">
      <c r="A2240" s="1443" t="str">
        <f>celladdr(Page6!F52)</f>
        <v>Page6!F52</v>
      </c>
      <c r="B2240" s="1453" t="s">
        <v>1086</v>
      </c>
      <c r="C2240" s="1445" t="b">
        <f>Page6!$F$52&lt;&gt;SUM(Page6!$F$44:$F$47)</f>
        <v>0</v>
      </c>
      <c r="D2240" s="1454"/>
      <c r="F2240" s="1454"/>
      <c r="G2240" s="1444" t="str">
        <f t="shared" si="292"/>
        <v/>
      </c>
      <c r="H2240" s="1446" t="str">
        <f>IF(C2240=TRUE,Comments!$B$44&amp;Page6!$F$52-SUM(Page6!$F$44:$F$47),"")</f>
        <v/>
      </c>
      <c r="I2240" s="1452"/>
      <c r="J2240" s="1452"/>
      <c r="K2240" s="1452"/>
      <c r="N2240" s="611" t="s">
        <v>1557</v>
      </c>
      <c r="O2240" s="611" t="str">
        <f t="shared" si="298"/>
        <v/>
      </c>
      <c r="P2240" s="611" t="str">
        <f t="shared" si="293"/>
        <v>Page6!F</v>
      </c>
      <c r="Q2240" s="611">
        <f t="shared" si="294"/>
        <v>52</v>
      </c>
      <c r="R2240" s="1447">
        <f t="shared" ca="1" si="295"/>
        <v>0</v>
      </c>
      <c r="S2240" s="1447">
        <f t="shared" ca="1" si="296"/>
        <v>0</v>
      </c>
      <c r="V2240" s="2557" t="str">
        <f t="shared" ca="1" si="299"/>
        <v/>
      </c>
      <c r="W2240" s="611" t="str">
        <f t="shared" ca="1" si="297"/>
        <v>Page6, Ligne 49 [Page6!F52]  -</v>
      </c>
    </row>
    <row r="2241" spans="1:23">
      <c r="A2241" s="1443" t="str">
        <f>celladdr(Page6!G43)</f>
        <v>Page6!G43</v>
      </c>
      <c r="B2241" s="1444" t="s">
        <v>1086</v>
      </c>
      <c r="C2241" s="1445" t="b">
        <f>Page6!$I$43&lt;&gt;Page6!$I$40+Page6!$I$41+Page6!$I$42</f>
        <v>0</v>
      </c>
      <c r="D2241" s="1454"/>
      <c r="F2241" s="1454"/>
      <c r="G2241" s="1444" t="str">
        <f t="shared" si="292"/>
        <v/>
      </c>
      <c r="H2241" s="1446" t="str">
        <f>IF(C2241=TRUE,Comments!$B$43&amp;DOLLAR(Page6!$I$43-(Page6!$I$40+Page6!$I$41+Page6!$I$42),0),"")</f>
        <v/>
      </c>
      <c r="I2241" s="1452"/>
      <c r="J2241" s="1452"/>
      <c r="K2241" s="1452"/>
      <c r="N2241" s="611" t="s">
        <v>1558</v>
      </c>
      <c r="O2241" s="611" t="str">
        <f t="shared" si="298"/>
        <v/>
      </c>
      <c r="P2241" s="611" t="str">
        <f t="shared" si="293"/>
        <v>Page6!G</v>
      </c>
      <c r="Q2241" s="611">
        <f t="shared" si="294"/>
        <v>43</v>
      </c>
      <c r="R2241" s="1447">
        <f t="shared" ca="1" si="295"/>
        <v>0</v>
      </c>
      <c r="S2241" s="1447">
        <f t="shared" ca="1" si="296"/>
        <v>0</v>
      </c>
      <c r="V2241" s="2557" t="str">
        <f t="shared" ca="1" si="299"/>
        <v/>
      </c>
      <c r="W2241" s="611" t="str">
        <f t="shared" ca="1" si="297"/>
        <v>Page6, Ligne 40 [Page6!G43]  -</v>
      </c>
    </row>
    <row r="2242" spans="1:23">
      <c r="A2242" s="1443" t="str">
        <f>celladdr(Page6!G52)</f>
        <v>Page6!G52</v>
      </c>
      <c r="B2242" s="1444" t="s">
        <v>1086</v>
      </c>
      <c r="C2242" s="1445" t="b">
        <f>Page6!$I$52&lt;&gt;Page6!$I$49+Page6!$I$50+Page6!$I$51</f>
        <v>0</v>
      </c>
      <c r="D2242" s="1454"/>
      <c r="F2242" s="1454"/>
      <c r="G2242" s="1444" t="str">
        <f t="shared" ref="G2242:G2305" si="300">IF(H2242&amp;I2242&amp;J2242&amp;K2242&lt;&gt;"","No.de ref. du commentaire.: "&amp;W2242&amp;" "&amp;N2242&amp;" "&amp;H2242&amp;I2242&amp;IF(OR(C2242=TRUE,D2242=TRUE),"",J2242&amp;K2242&amp;V2242),"")</f>
        <v/>
      </c>
      <c r="H2242" s="1446" t="str">
        <f>IF(C2242=TRUE,Comments!$B$45&amp;DOLLAR(Page6!$I$52-(Page6!$I$49+Page6!$I$50+Page6!$I$51),0),"")</f>
        <v/>
      </c>
      <c r="I2242" s="1452"/>
      <c r="J2242" s="1452"/>
      <c r="K2242" s="1452"/>
      <c r="N2242" s="611" t="s">
        <v>1559</v>
      </c>
      <c r="O2242" s="611" t="str">
        <f t="shared" si="298"/>
        <v/>
      </c>
      <c r="P2242" s="611" t="str">
        <f t="shared" ref="P2242:P2305" si="301">LEFT(A2242,FIND("!",A2242)+1)</f>
        <v>Page6!G</v>
      </c>
      <c r="Q2242" s="611">
        <f t="shared" ref="Q2242:Q2305" si="302">VALUE(RIGHT(A2242,LEN(A2242)-FIND("!",A2242)-1))</f>
        <v>52</v>
      </c>
      <c r="R2242" s="1447">
        <f t="shared" ref="R2242:R2305" ca="1" si="303">IF(E2242=TRUE,INDIRECT("Comments!$D$"&amp;T2242),0)</f>
        <v>0</v>
      </c>
      <c r="S2242" s="1447">
        <f t="shared" ref="S2242:S2305" ca="1" si="304">IF(F2242=TRUE,INDIRECT("Comments!$D$"&amp;U2242),0)</f>
        <v>0</v>
      </c>
      <c r="V2242" s="2557" t="str">
        <f t="shared" ca="1" si="299"/>
        <v/>
      </c>
      <c r="W2242" s="611" t="str">
        <f t="shared" ref="W2242:W2305" ca="1" si="305">LEFT(A2242,FIND("!",A2242,1)-1)&amp;", Ligne "&amp;INDIRECT(ADDRESS(ROW(INDIRECT(A2242)),IF(INDIRECT(ADDRESS(ROW(INDIRECT(A2242)),1,,,LEFT(A2242,FIND("!",A2242,1)-1)))="",2,1),,,LEFT(A2242,FIND("!",A2242,1)-1)))&amp;" ["&amp;A2242&amp;"] "&amp;" -"</f>
        <v>Page6, Ligne 49 [Page6!G52]  -</v>
      </c>
    </row>
    <row r="2243" spans="1:23">
      <c r="A2243" s="1443" t="str">
        <f>celladdr(Page6!G77)</f>
        <v>Page6!G77</v>
      </c>
      <c r="B2243" s="1444" t="s">
        <v>1086</v>
      </c>
      <c r="C2243" s="1445" t="b">
        <f>Page6!$I$77&lt;&gt;Page6!$I$72+Page6!$I$76</f>
        <v>0</v>
      </c>
      <c r="D2243" s="1454"/>
      <c r="F2243" s="1454"/>
      <c r="G2243" s="1444" t="str">
        <f t="shared" si="300"/>
        <v/>
      </c>
      <c r="H2243" s="1446" t="str">
        <f>IF(C2243=TRUE,Comments!$B$46&amp;DOLLAR(Page6!$I$77-(Page6!$I$72+Page6!$I$76),0),"")</f>
        <v/>
      </c>
      <c r="I2243" s="1452"/>
      <c r="J2243" s="1452"/>
      <c r="K2243" s="1452"/>
      <c r="N2243" s="611" t="s">
        <v>1560</v>
      </c>
      <c r="O2243" s="611" t="str">
        <f t="shared" si="298"/>
        <v/>
      </c>
      <c r="P2243" s="611" t="str">
        <f t="shared" si="301"/>
        <v>Page6!G</v>
      </c>
      <c r="Q2243" s="611">
        <f t="shared" si="302"/>
        <v>77</v>
      </c>
      <c r="R2243" s="1447">
        <f t="shared" ca="1" si="303"/>
        <v>0</v>
      </c>
      <c r="S2243" s="1447">
        <f t="shared" ca="1" si="304"/>
        <v>0</v>
      </c>
      <c r="V2243" s="2557" t="str">
        <f t="shared" ca="1" si="299"/>
        <v/>
      </c>
      <c r="W2243" s="611" t="str">
        <f t="shared" ca="1" si="305"/>
        <v>Page6, Ligne 74 [Page6!G77]  -</v>
      </c>
    </row>
    <row r="2244" spans="1:23">
      <c r="A2244" s="1443" t="str">
        <f>celladdr(Page6!I17)</f>
        <v>Page6!I17</v>
      </c>
      <c r="B2244" s="1455" t="s">
        <v>1086</v>
      </c>
      <c r="C2244" s="1445" t="b">
        <f>Page6!$I$17&lt;&gt;Page6!$I$10+Page6!$I$15+Page6!$I$16</f>
        <v>0</v>
      </c>
      <c r="D2244" s="1454"/>
      <c r="F2244" s="1454"/>
      <c r="G2244" s="1444" t="str">
        <f t="shared" si="300"/>
        <v/>
      </c>
      <c r="H2244" s="1446" t="str">
        <f>IF(C2244=TRUE,Comments!$B$41&amp;DOLLAR(Page6!$I$17-(Page6!$I$10+Page6!$I$15+Page6!$I$16),0),"")</f>
        <v/>
      </c>
      <c r="I2244" s="1452"/>
      <c r="J2244" s="1452"/>
      <c r="K2244" s="1452"/>
      <c r="N2244" s="611" t="s">
        <v>1561</v>
      </c>
      <c r="O2244" s="611" t="str">
        <f t="shared" si="298"/>
        <v/>
      </c>
      <c r="P2244" s="611" t="str">
        <f t="shared" si="301"/>
        <v>Page6!I</v>
      </c>
      <c r="Q2244" s="611">
        <f t="shared" si="302"/>
        <v>17</v>
      </c>
      <c r="R2244" s="1447">
        <f t="shared" ca="1" si="303"/>
        <v>0</v>
      </c>
      <c r="S2244" s="1447">
        <f t="shared" ca="1" si="304"/>
        <v>0</v>
      </c>
      <c r="V2244" s="2557" t="str">
        <f t="shared" ca="1" si="299"/>
        <v/>
      </c>
      <c r="W2244" s="611" t="str">
        <f t="shared" ca="1" si="305"/>
        <v>Page6, Ligne 14 [Page6!I17]  -</v>
      </c>
    </row>
    <row r="2245" spans="1:23">
      <c r="A2245" s="1443" t="str">
        <f>celladdr(Page6!K4)</f>
        <v>Page6!K4</v>
      </c>
      <c r="B2245" s="1464" t="s">
        <v>1086</v>
      </c>
      <c r="C2245" s="1451" t="b">
        <f>Page6!$K$4&lt;0</f>
        <v>0</v>
      </c>
      <c r="D2245" s="1454" t="b">
        <f>OR(AND(Page6!$K$4&gt;0,Page6!$M$4=0),AND(Page6!$M$4&lt;&gt;0,Page6!$K$4=0))</f>
        <v>0</v>
      </c>
      <c r="E2245" s="1454"/>
      <c r="F2245" s="1454"/>
      <c r="G2245" s="1444" t="str">
        <f t="shared" si="300"/>
        <v/>
      </c>
      <c r="H2245" s="1447" t="str">
        <f>IF(C2245=TRUE,Comments!$B$26,"")</f>
        <v/>
      </c>
      <c r="I2245" s="1446" t="str">
        <f>IF(D2245=TRUE,Comments!$B$21,"")</f>
        <v/>
      </c>
      <c r="J2245" s="1446"/>
      <c r="K2245" s="1452"/>
      <c r="N2245" s="611" t="s">
        <v>1562</v>
      </c>
      <c r="O2245" s="611" t="str">
        <f t="shared" si="298"/>
        <v/>
      </c>
      <c r="P2245" s="611" t="str">
        <f t="shared" si="301"/>
        <v>Page6!K</v>
      </c>
      <c r="Q2245" s="611">
        <f t="shared" si="302"/>
        <v>4</v>
      </c>
      <c r="R2245" s="1447">
        <f t="shared" ca="1" si="303"/>
        <v>0</v>
      </c>
      <c r="S2245" s="1447">
        <f t="shared" ca="1" si="304"/>
        <v>0</v>
      </c>
      <c r="V2245" s="2557" t="str">
        <f t="shared" ca="1" si="299"/>
        <v/>
      </c>
      <c r="W2245" s="611" t="str">
        <f t="shared" ca="1" si="305"/>
        <v>Page6, Ligne 1 [Page6!K4]  -</v>
      </c>
    </row>
    <row r="2246" spans="1:23">
      <c r="A2246" s="1443" t="str">
        <f>celladdr(Page6!K5)</f>
        <v>Page6!K5</v>
      </c>
      <c r="B2246" s="1464" t="s">
        <v>1086</v>
      </c>
      <c r="C2246" s="1451" t="b">
        <f>Page6!$K$5&lt;0</f>
        <v>0</v>
      </c>
      <c r="D2246" s="1454" t="b">
        <f>OR(AND(Page6!$K$5&gt;0,Page6!$M$5=0),AND(Page6!$M$5&lt;&gt;0,Page6!$K$5=0))</f>
        <v>0</v>
      </c>
      <c r="E2246" s="1454"/>
      <c r="F2246" s="1454"/>
      <c r="G2246" s="1444" t="str">
        <f t="shared" si="300"/>
        <v/>
      </c>
      <c r="H2246" s="1447" t="str">
        <f>IF(C2246=TRUE,Comments!$B$26,"")</f>
        <v/>
      </c>
      <c r="I2246" s="1446" t="str">
        <f>IF(D2246=TRUE,Comments!$B$21,"")</f>
        <v/>
      </c>
      <c r="J2246" s="1446"/>
      <c r="K2246" s="1452"/>
      <c r="N2246" s="611" t="s">
        <v>1563</v>
      </c>
      <c r="O2246" s="611" t="str">
        <f t="shared" si="298"/>
        <v/>
      </c>
      <c r="P2246" s="611" t="str">
        <f t="shared" si="301"/>
        <v>Page6!K</v>
      </c>
      <c r="Q2246" s="611">
        <f t="shared" si="302"/>
        <v>5</v>
      </c>
      <c r="R2246" s="1447">
        <f t="shared" ca="1" si="303"/>
        <v>0</v>
      </c>
      <c r="S2246" s="1447">
        <f t="shared" ca="1" si="304"/>
        <v>0</v>
      </c>
      <c r="V2246" s="2557" t="str">
        <f t="shared" ca="1" si="299"/>
        <v/>
      </c>
      <c r="W2246" s="611" t="str">
        <f t="shared" ca="1" si="305"/>
        <v>Page6, Ligne 2 [Page6!K5]  -</v>
      </c>
    </row>
    <row r="2247" spans="1:23">
      <c r="A2247" s="1443" t="str">
        <f>celladdr(Page6!K7)</f>
        <v>Page6!K7</v>
      </c>
      <c r="B2247" s="1464" t="s">
        <v>1086</v>
      </c>
      <c r="C2247" s="1451" t="b">
        <f>Page6!$K$7&lt;0</f>
        <v>0</v>
      </c>
      <c r="D2247" s="1454" t="b">
        <f>OR(AND(Page6!$K$7&gt;0,Page6!$M$7=0),AND(Page6!$M$7&lt;&gt;0,Page6!$K$7=0))</f>
        <v>0</v>
      </c>
      <c r="E2247" s="1454"/>
      <c r="F2247" s="1454"/>
      <c r="G2247" s="1444" t="str">
        <f t="shared" si="300"/>
        <v/>
      </c>
      <c r="H2247" s="1447" t="str">
        <f>IF(C2247=TRUE,Comments!$B$26,"")</f>
        <v/>
      </c>
      <c r="I2247" s="1446" t="str">
        <f>IF(D2247=TRUE,Comments!$B$21,"")</f>
        <v/>
      </c>
      <c r="J2247" s="1446"/>
      <c r="K2247" s="1452"/>
      <c r="N2247" s="611" t="s">
        <v>1564</v>
      </c>
      <c r="O2247" s="611" t="str">
        <f t="shared" si="298"/>
        <v/>
      </c>
      <c r="P2247" s="611" t="str">
        <f t="shared" si="301"/>
        <v>Page6!K</v>
      </c>
      <c r="Q2247" s="611">
        <f t="shared" si="302"/>
        <v>7</v>
      </c>
      <c r="R2247" s="1447">
        <f t="shared" ca="1" si="303"/>
        <v>0</v>
      </c>
      <c r="S2247" s="1447">
        <f t="shared" ca="1" si="304"/>
        <v>0</v>
      </c>
      <c r="V2247" s="2557" t="str">
        <f t="shared" ca="1" si="299"/>
        <v/>
      </c>
      <c r="W2247" s="611" t="str">
        <f t="shared" ca="1" si="305"/>
        <v>Page6, Ligne 4 [Page6!K7]  -</v>
      </c>
    </row>
    <row r="2248" spans="1:23">
      <c r="A2248" s="1443" t="str">
        <f>celladdr(Page6!K8)</f>
        <v>Page6!K8</v>
      </c>
      <c r="B2248" s="1464" t="s">
        <v>1086</v>
      </c>
      <c r="C2248" s="1451" t="b">
        <f>Page6!$K$8&lt;0</f>
        <v>0</v>
      </c>
      <c r="D2248" s="1454" t="b">
        <f>OR(AND(Page6!$K$8&gt;0,Page6!$M$8=0),AND(Page6!$M$8&lt;&gt;0,Page6!$K$8=0))</f>
        <v>0</v>
      </c>
      <c r="E2248" s="1454"/>
      <c r="F2248" s="1454"/>
      <c r="G2248" s="1444" t="str">
        <f t="shared" si="300"/>
        <v/>
      </c>
      <c r="H2248" s="1447" t="str">
        <f>IF(C2248=TRUE,Comments!$B$26,"")</f>
        <v/>
      </c>
      <c r="I2248" s="1446" t="str">
        <f>IF(D2248=TRUE,Comments!$B$21,"")</f>
        <v/>
      </c>
      <c r="J2248" s="1446"/>
      <c r="K2248" s="1452"/>
      <c r="N2248" s="611" t="s">
        <v>1565</v>
      </c>
      <c r="O2248" s="611" t="str">
        <f t="shared" si="298"/>
        <v/>
      </c>
      <c r="P2248" s="611" t="str">
        <f t="shared" si="301"/>
        <v>Page6!K</v>
      </c>
      <c r="Q2248" s="611">
        <f t="shared" si="302"/>
        <v>8</v>
      </c>
      <c r="R2248" s="1447">
        <f t="shared" ca="1" si="303"/>
        <v>0</v>
      </c>
      <c r="S2248" s="1447">
        <f t="shared" ca="1" si="304"/>
        <v>0</v>
      </c>
      <c r="V2248" s="2557" t="str">
        <f t="shared" ca="1" si="299"/>
        <v/>
      </c>
      <c r="W2248" s="611" t="str">
        <f t="shared" ca="1" si="305"/>
        <v>Page6, Ligne 5 [Page6!K8]  -</v>
      </c>
    </row>
    <row r="2249" spans="1:23">
      <c r="A2249" s="1443" t="str">
        <f>celladdr(Page6!K11)</f>
        <v>Page6!K11</v>
      </c>
      <c r="B2249" s="1464" t="s">
        <v>1086</v>
      </c>
      <c r="C2249" s="1451" t="b">
        <f>Page6!$K$11&lt;0</f>
        <v>0</v>
      </c>
      <c r="D2249" s="1454" t="b">
        <f>OR(AND(Page6!$K$11&gt;0,Page6!$M$11=0),AND(Page6!$M$11&lt;&gt;0,Page6!$K$11=0))</f>
        <v>0</v>
      </c>
      <c r="E2249" s="1454"/>
      <c r="F2249" s="1454"/>
      <c r="G2249" s="1444" t="str">
        <f t="shared" si="300"/>
        <v/>
      </c>
      <c r="H2249" s="1447" t="str">
        <f>IF(C2249=TRUE,Comments!$B$26,"")</f>
        <v/>
      </c>
      <c r="I2249" s="1446" t="str">
        <f>IF(D2249=TRUE,Comments!$B$21,"")</f>
        <v/>
      </c>
      <c r="J2249" s="1446"/>
      <c r="K2249" s="1452"/>
      <c r="N2249" s="611" t="s">
        <v>1566</v>
      </c>
      <c r="O2249" s="611" t="str">
        <f t="shared" si="298"/>
        <v/>
      </c>
      <c r="P2249" s="611" t="str">
        <f t="shared" si="301"/>
        <v>Page6!K</v>
      </c>
      <c r="Q2249" s="611">
        <f t="shared" si="302"/>
        <v>11</v>
      </c>
      <c r="R2249" s="1447">
        <f t="shared" ca="1" si="303"/>
        <v>0</v>
      </c>
      <c r="S2249" s="1447">
        <f t="shared" ca="1" si="304"/>
        <v>0</v>
      </c>
      <c r="V2249" s="2557" t="str">
        <f t="shared" ca="1" si="299"/>
        <v/>
      </c>
      <c r="W2249" s="611" t="str">
        <f t="shared" ca="1" si="305"/>
        <v>Page6, Ligne 8 [Page6!K11]  -</v>
      </c>
    </row>
    <row r="2250" spans="1:23">
      <c r="A2250" s="1443" t="str">
        <f>celladdr(Page6!K13)</f>
        <v>Page6!K13</v>
      </c>
      <c r="B2250" s="1464" t="s">
        <v>1086</v>
      </c>
      <c r="C2250" s="1451" t="b">
        <f>Page6!$K$13&lt;0</f>
        <v>0</v>
      </c>
      <c r="D2250" s="1454" t="b">
        <f>OR(AND(Page6!$K$13&gt;0,Page6!$M$13=0),AND(Page6!$M$13&lt;&gt;0,Page6!$K$13=0))</f>
        <v>0</v>
      </c>
      <c r="E2250" s="1454"/>
      <c r="F2250" s="1454"/>
      <c r="G2250" s="1444" t="str">
        <f t="shared" si="300"/>
        <v/>
      </c>
      <c r="H2250" s="1447" t="str">
        <f>IF(C2250=TRUE,Comments!$B$26,"")</f>
        <v/>
      </c>
      <c r="I2250" s="1446" t="str">
        <f>IF(D2250=TRUE,Comments!$B$21,"")</f>
        <v/>
      </c>
      <c r="J2250" s="1446"/>
      <c r="K2250" s="1452"/>
      <c r="N2250" s="611" t="s">
        <v>1567</v>
      </c>
      <c r="O2250" s="611" t="str">
        <f t="shared" si="298"/>
        <v/>
      </c>
      <c r="P2250" s="611" t="str">
        <f t="shared" si="301"/>
        <v>Page6!K</v>
      </c>
      <c r="Q2250" s="611">
        <f t="shared" si="302"/>
        <v>13</v>
      </c>
      <c r="R2250" s="1447">
        <f t="shared" ca="1" si="303"/>
        <v>0</v>
      </c>
      <c r="S2250" s="1447">
        <f t="shared" ca="1" si="304"/>
        <v>0</v>
      </c>
      <c r="V2250" s="2557" t="str">
        <f t="shared" ca="1" si="299"/>
        <v/>
      </c>
      <c r="W2250" s="611" t="str">
        <f t="shared" ca="1" si="305"/>
        <v>Page6, Ligne 10 [Page6!K13]  -</v>
      </c>
    </row>
    <row r="2251" spans="1:23">
      <c r="A2251" s="1443" t="str">
        <f>celladdr(Page6!K16)</f>
        <v>Page6!K16</v>
      </c>
      <c r="B2251" s="1453" t="s">
        <v>1086</v>
      </c>
      <c r="C2251" s="1451"/>
      <c r="D2251" s="1454"/>
      <c r="E2251" s="1454"/>
      <c r="F2251" s="1454"/>
      <c r="G2251" s="1444" t="str">
        <f t="shared" si="300"/>
        <v/>
      </c>
      <c r="I2251" s="1446"/>
      <c r="J2251" s="1446"/>
      <c r="K2251" s="1452"/>
      <c r="N2251" s="611" t="s">
        <v>1568</v>
      </c>
      <c r="O2251" s="611" t="str">
        <f t="shared" si="298"/>
        <v/>
      </c>
      <c r="P2251" s="611" t="str">
        <f t="shared" si="301"/>
        <v>Page6!K</v>
      </c>
      <c r="Q2251" s="611">
        <f t="shared" si="302"/>
        <v>16</v>
      </c>
      <c r="R2251" s="1447">
        <f t="shared" ca="1" si="303"/>
        <v>0</v>
      </c>
      <c r="S2251" s="1447">
        <f t="shared" ca="1" si="304"/>
        <v>0</v>
      </c>
      <c r="V2251" s="2557" t="str">
        <f t="shared" ca="1" si="299"/>
        <v/>
      </c>
      <c r="W2251" s="611" t="str">
        <f t="shared" ca="1" si="305"/>
        <v>Page6, Ligne 13 [Page6!K16]  -</v>
      </c>
    </row>
    <row r="2252" spans="1:23">
      <c r="A2252" s="1443" t="str">
        <f>celladdr(Page6!K17)</f>
        <v>Page6!K17</v>
      </c>
      <c r="B2252" s="1453" t="s">
        <v>1086</v>
      </c>
      <c r="C2252" s="1445" t="b">
        <f>Page6!$K$17&lt;&gt;Page6!$K$10+Page6!$K$15</f>
        <v>0</v>
      </c>
      <c r="D2252" s="1454"/>
      <c r="F2252" s="1454"/>
      <c r="G2252" s="1444" t="str">
        <f t="shared" si="300"/>
        <v/>
      </c>
      <c r="H2252" s="1446" t="str">
        <f>IF(C2252=TRUE,Comments!$B$42&amp;Page6!$K$17-(Page6!$K$10+Page6!$K$15),"")</f>
        <v/>
      </c>
      <c r="I2252" s="1452"/>
      <c r="J2252" s="1452"/>
      <c r="K2252" s="1452"/>
      <c r="N2252" s="611" t="s">
        <v>1569</v>
      </c>
      <c r="O2252" s="611" t="str">
        <f t="shared" si="298"/>
        <v/>
      </c>
      <c r="P2252" s="611" t="str">
        <f t="shared" si="301"/>
        <v>Page6!K</v>
      </c>
      <c r="Q2252" s="611">
        <f t="shared" si="302"/>
        <v>17</v>
      </c>
      <c r="R2252" s="1447">
        <f t="shared" ca="1" si="303"/>
        <v>0</v>
      </c>
      <c r="S2252" s="1447">
        <f t="shared" ca="1" si="304"/>
        <v>0</v>
      </c>
      <c r="V2252" s="2557" t="str">
        <f t="shared" ca="1" si="299"/>
        <v/>
      </c>
      <c r="W2252" s="611" t="str">
        <f t="shared" ca="1" si="305"/>
        <v>Page6, Ligne 14 [Page6!K17]  -</v>
      </c>
    </row>
    <row r="2253" spans="1:23">
      <c r="A2253" s="1443" t="str">
        <f>celladdr(Page6!K24)</f>
        <v>Page6!K24</v>
      </c>
      <c r="B2253" s="1464" t="s">
        <v>1086</v>
      </c>
      <c r="C2253" s="1451" t="b">
        <f>Page6!$K$24&lt;0</f>
        <v>0</v>
      </c>
      <c r="D2253" s="1454" t="b">
        <f>OR(AND(Page6!$K24&gt;0,Page6!$M24=0),AND(Page6!$M24&lt;&gt;0,Page6!$K24=0))</f>
        <v>0</v>
      </c>
      <c r="E2253" s="1454"/>
      <c r="G2253" s="1444" t="str">
        <f t="shared" si="300"/>
        <v/>
      </c>
      <c r="H2253" s="1447" t="str">
        <f>IF(C2253=TRUE,Comments!$B$20&amp;DOLLAR(INDEX(Min_Table,L2253),0)&amp;Comments!$B$18&amp;DOLLAR(INDEX(Max_Table,L2253),0)&amp;Comments!$B$19&amp;DOLLAR(Page6!$M$24/Page6!$K$24,0),"")</f>
        <v/>
      </c>
      <c r="I2253" s="1446" t="str">
        <f>IF(D2253=TRUE,Comments!$B$21,"")</f>
        <v/>
      </c>
      <c r="J2253" s="1446"/>
      <c r="L2253" s="611">
        <f>ROW(OR_VEH!$A$614)</f>
        <v>614</v>
      </c>
      <c r="N2253" s="611" t="str">
        <f>_xlfn.CONCAT("MÉCA - ",Page6!D24," - B.R. - AAD")</f>
        <v>MÉCA - M-D'O CLIENT VOIT &amp; CAM LÉGERS - B.R. - AAD</v>
      </c>
      <c r="O2253" s="611" t="str">
        <f t="shared" si="298"/>
        <v/>
      </c>
      <c r="P2253" s="611" t="str">
        <f t="shared" si="301"/>
        <v>Page6!K</v>
      </c>
      <c r="Q2253" s="611">
        <f t="shared" si="302"/>
        <v>24</v>
      </c>
      <c r="R2253" s="1447">
        <f t="shared" ca="1" si="303"/>
        <v>0</v>
      </c>
      <c r="S2253" s="1447">
        <f t="shared" ca="1" si="304"/>
        <v>0</v>
      </c>
      <c r="V2253" s="2557" t="str">
        <f t="shared" ca="1" si="299"/>
        <v/>
      </c>
      <c r="W2253" s="611" t="str">
        <f t="shared" ca="1" si="305"/>
        <v>Page6, Ligne 21 [Page6!K24]  -</v>
      </c>
    </row>
    <row r="2254" spans="1:23">
      <c r="A2254" s="1443" t="str">
        <f>celladdr(Page6!K25)</f>
        <v>Page6!K25</v>
      </c>
      <c r="B2254" s="1464" t="s">
        <v>1086</v>
      </c>
      <c r="C2254" s="1451" t="b">
        <f>Page6!$K$25&lt;0</f>
        <v>0</v>
      </c>
      <c r="D2254" s="1454" t="b">
        <f>OR(AND(Page6!$K25&gt;0,Page6!$M25=0),AND(Page6!$M25&lt;&gt;0,Page6!$K25=0))</f>
        <v>0</v>
      </c>
      <c r="E2254" s="1454"/>
      <c r="G2254" s="1444" t="str">
        <f t="shared" si="300"/>
        <v/>
      </c>
      <c r="I2254" s="1446" t="str">
        <f>IF(D2254=TRUE,Comments!$B$21,"")</f>
        <v/>
      </c>
      <c r="J2254" s="1446"/>
      <c r="L2254" s="611">
        <f>ROW(OR_VEH!$A$615)</f>
        <v>615</v>
      </c>
      <c r="N2254" s="611" t="str">
        <f>_xlfn.CONCAT("MÉCA - ",Page6!D25," - B.R. - AAD")</f>
        <v>MÉCA - M-D’O CLIENT - VOIT, CAM LÉGER VE - B.R. - AAD</v>
      </c>
      <c r="O2254" s="611" t="str">
        <f t="shared" si="298"/>
        <v/>
      </c>
      <c r="P2254" s="611" t="str">
        <f t="shared" si="301"/>
        <v>Page6!K</v>
      </c>
      <c r="Q2254" s="611">
        <f t="shared" si="302"/>
        <v>25</v>
      </c>
      <c r="R2254" s="1447">
        <f t="shared" ca="1" si="303"/>
        <v>0</v>
      </c>
      <c r="S2254" s="1447">
        <f t="shared" ca="1" si="304"/>
        <v>0</v>
      </c>
      <c r="W2254" s="611" t="str">
        <f t="shared" ca="1" si="305"/>
        <v>Page6, Ligne 22 [Page6!K25]  -</v>
      </c>
    </row>
    <row r="2255" spans="1:23">
      <c r="A2255" s="1443" t="str">
        <f>celladdr(Page6!K26)</f>
        <v>Page6!K26</v>
      </c>
      <c r="B2255" s="1464" t="s">
        <v>1086</v>
      </c>
      <c r="C2255" s="1451" t="b">
        <f>Page6!$K$26&lt;0</f>
        <v>0</v>
      </c>
      <c r="D2255" s="1454" t="b">
        <f>OR(AND(Page6!$K26&gt;0,Page6!$M26=0),AND(Page6!$M26&lt;&gt;0,Page6!$K26=0))</f>
        <v>0</v>
      </c>
      <c r="E2255" s="1454"/>
      <c r="G2255" s="1444" t="str">
        <f t="shared" si="300"/>
        <v/>
      </c>
      <c r="H2255" s="1447" t="str">
        <f>IF(C2255=TRUE,Comments!$B$20&amp;DOLLAR(INDEX(Min_Table,L2255),0)&amp;Comments!$B$18&amp;DOLLAR(INDEX(Max_Table,L2255),0)&amp;Comments!$B$19&amp;DOLLAR(Page6!$M$26/Page6!$K$26,0),"")</f>
        <v/>
      </c>
      <c r="I2255" s="1446" t="str">
        <f>IF(D2255=TRUE,Comments!$B$21,"")</f>
        <v/>
      </c>
      <c r="J2255" s="1446"/>
      <c r="L2255" s="611">
        <f>ROW(OR_VEH!$A$616)</f>
        <v>616</v>
      </c>
      <c r="N2255" s="611" t="str">
        <f>_xlfn.CONCAT("MÉCA - ",Page6!D26," - B.R. - AAD")</f>
        <v>MÉCA - M-D'O CONT. SERV.-VOIT &amp; CAM LÉGERS - B.R. - AAD</v>
      </c>
      <c r="O2255" s="611" t="str">
        <f t="shared" si="298"/>
        <v/>
      </c>
      <c r="P2255" s="611" t="str">
        <f t="shared" si="301"/>
        <v>Page6!K</v>
      </c>
      <c r="Q2255" s="611">
        <f t="shared" si="302"/>
        <v>26</v>
      </c>
      <c r="R2255" s="1447">
        <f t="shared" ca="1" si="303"/>
        <v>0</v>
      </c>
      <c r="S2255" s="1447">
        <f t="shared" ca="1" si="304"/>
        <v>0</v>
      </c>
      <c r="V2255" s="2557" t="str">
        <f ca="1">IF(SUM(R2255+S2255)=0,"","
*** "&amp;TEXT(SUM(R2255+S2255),"0,0")&amp;" Points de précision seront déduits suite à cette(ces) erreur(s) !")</f>
        <v/>
      </c>
      <c r="W2255" s="611" t="str">
        <f t="shared" ca="1" si="305"/>
        <v>Page6, Ligne 23 [Page6!K26]  -</v>
      </c>
    </row>
    <row r="2256" spans="1:23">
      <c r="A2256" s="1443" t="str">
        <f>celladdr(Page6!K27)</f>
        <v>Page6!K27</v>
      </c>
      <c r="B2256" s="1464" t="s">
        <v>1086</v>
      </c>
      <c r="C2256" s="1451" t="b">
        <f>Page6!$K$27&lt;0</f>
        <v>0</v>
      </c>
      <c r="D2256" s="1454" t="b">
        <f>OR(AND(Page6!$K27&gt;0,Page6!$M27=0),AND(Page6!$M27&lt;&gt;0,Page6!$K27=0))</f>
        <v>0</v>
      </c>
      <c r="E2256" s="1454"/>
      <c r="G2256" s="1444" t="str">
        <f t="shared" si="300"/>
        <v/>
      </c>
      <c r="I2256" s="1446" t="str">
        <f>IF(D2256=TRUE,Comments!$B$21,"")</f>
        <v/>
      </c>
      <c r="J2256" s="1446"/>
      <c r="L2256" s="611">
        <f>ROW(OR_VEH!$A$617)</f>
        <v>617</v>
      </c>
      <c r="N2256" s="611" t="str">
        <f>_xlfn.CONCAT("MÉCA - ",Page6!D27," - B.R. - AAD")</f>
        <v>MÉCA - M-D’O CONT SERV - VOIT, CAM LÉGER VE - B.R. - AAD</v>
      </c>
      <c r="O2256" s="611" t="str">
        <f t="shared" si="298"/>
        <v/>
      </c>
      <c r="P2256" s="611" t="str">
        <f t="shared" si="301"/>
        <v>Page6!K</v>
      </c>
      <c r="Q2256" s="611">
        <f t="shared" si="302"/>
        <v>27</v>
      </c>
      <c r="R2256" s="1447">
        <f t="shared" ca="1" si="303"/>
        <v>0</v>
      </c>
      <c r="S2256" s="1447">
        <f t="shared" ca="1" si="304"/>
        <v>0</v>
      </c>
      <c r="W2256" s="611" t="str">
        <f t="shared" ca="1" si="305"/>
        <v>Page6, Ligne 24 [Page6!K27]  -</v>
      </c>
    </row>
    <row r="2257" spans="1:23">
      <c r="A2257" s="1443" t="str">
        <f>celladdr(Page6!K28)</f>
        <v>Page6!K28</v>
      </c>
      <c r="B2257" s="1464" t="s">
        <v>1086</v>
      </c>
      <c r="C2257" s="1451" t="b">
        <f>Page6!$K$28&lt;0</f>
        <v>0</v>
      </c>
      <c r="D2257" s="1454" t="b">
        <f>OR(AND(Page6!$K28&gt;0,Page6!$M28=0),AND(Page6!$M28&lt;&gt;0,Page6!$K28=0))</f>
        <v>0</v>
      </c>
      <c r="E2257" s="1454"/>
      <c r="G2257" s="1444" t="str">
        <f t="shared" si="300"/>
        <v/>
      </c>
      <c r="H2257" s="1447" t="str">
        <f>IF(C2257=TRUE,Comments!$B$20&amp;DOLLAR(INDEX(Min_Table,L2257),0)&amp;Comments!$B$18&amp;DOLLAR(INDEX(Max_Table,L2257),0)&amp;Comments!$B$19&amp;DOLLAR(Page6!$M$28/Page6!$K$28,0),"")</f>
        <v/>
      </c>
      <c r="I2257" s="1446" t="str">
        <f>IF(D2257=TRUE,Comments!$B$21,"")</f>
        <v/>
      </c>
      <c r="J2257" s="1446"/>
      <c r="L2257" s="611">
        <f>ROW(OR_VEH!$A$618)</f>
        <v>618</v>
      </c>
      <c r="N2257" s="611" t="str">
        <f>_xlfn.CONCAT("MÉCA - ",Page6!D28," - B.R. - AAD")</f>
        <v>MÉCA - M-D'O SERV RAPIDE VOIT &amp; CAM LÉG. - B.R. - AAD</v>
      </c>
      <c r="O2257" s="611" t="str">
        <f t="shared" si="298"/>
        <v/>
      </c>
      <c r="P2257" s="611" t="str">
        <f t="shared" si="301"/>
        <v>Page6!K</v>
      </c>
      <c r="Q2257" s="611">
        <f t="shared" si="302"/>
        <v>28</v>
      </c>
      <c r="R2257" s="1447">
        <f t="shared" ca="1" si="303"/>
        <v>0</v>
      </c>
      <c r="S2257" s="1447">
        <f t="shared" ca="1" si="304"/>
        <v>0</v>
      </c>
      <c r="V2257" s="2557" t="str">
        <f ca="1">IF(SUM(R2257+S2257)=0,"","
*** "&amp;TEXT(SUM(R2257+S2257),"0,0")&amp;" Points de précision seront déduits suite à cette(ces) erreur(s) !")</f>
        <v/>
      </c>
      <c r="W2257" s="611" t="str">
        <f t="shared" ca="1" si="305"/>
        <v>Page6, Ligne 25 [Page6!K28]  -</v>
      </c>
    </row>
    <row r="2258" spans="1:23">
      <c r="A2258" s="1443" t="str">
        <f>celladdr(Page6!K29)</f>
        <v>Page6!K29</v>
      </c>
      <c r="B2258" s="1464" t="s">
        <v>1086</v>
      </c>
      <c r="C2258" s="1451" t="b">
        <f>Page6!$K$29&lt;0</f>
        <v>0</v>
      </c>
      <c r="D2258" s="1454" t="b">
        <f>OR(AND(Page6!$K29&gt;0,Page6!$M29=0),AND(Page6!$M29&lt;&gt;0,Page6!$K29=0))</f>
        <v>0</v>
      </c>
      <c r="E2258" s="1454"/>
      <c r="G2258" s="1444" t="str">
        <f t="shared" si="300"/>
        <v/>
      </c>
      <c r="I2258" s="1446" t="str">
        <f>IF(D2258=TRUE,Comments!$B$21,"")</f>
        <v/>
      </c>
      <c r="J2258" s="1446"/>
      <c r="L2258" s="611">
        <f>ROW(OR_VEH!$A$619)</f>
        <v>619</v>
      </c>
      <c r="N2258" s="611" t="str">
        <f>_xlfn.CONCAT("MÉCA - ",Page6!D29," - B.R. - AAD")</f>
        <v>MÉCA - M-D’O SERV MOBILE - VOIT, CAM LÉGER - B.R. - AAD</v>
      </c>
      <c r="O2258" s="611" t="str">
        <f t="shared" si="298"/>
        <v/>
      </c>
      <c r="P2258" s="611" t="str">
        <f t="shared" si="301"/>
        <v>Page6!K</v>
      </c>
      <c r="Q2258" s="611">
        <f t="shared" si="302"/>
        <v>29</v>
      </c>
      <c r="R2258" s="1447">
        <f t="shared" ca="1" si="303"/>
        <v>0</v>
      </c>
      <c r="S2258" s="1447">
        <f t="shared" ca="1" si="304"/>
        <v>0</v>
      </c>
      <c r="W2258" s="611" t="str">
        <f t="shared" ca="1" si="305"/>
        <v>Page6, Ligne 26 [Page6!K29]  -</v>
      </c>
    </row>
    <row r="2259" spans="1:23">
      <c r="A2259" s="1443" t="str">
        <f>celladdr(Page6!K30)</f>
        <v>Page6!K30</v>
      </c>
      <c r="B2259" s="1464" t="s">
        <v>1086</v>
      </c>
      <c r="C2259" s="1451" t="b">
        <f>Page6!$K$30&lt;0</f>
        <v>0</v>
      </c>
      <c r="D2259" s="1454" t="b">
        <f>OR(AND(Page6!$K30&gt;0,Page6!$M30=0),AND(Page6!$M30&lt;&gt;0,Page6!$K30=0))</f>
        <v>0</v>
      </c>
      <c r="E2259" s="1454"/>
      <c r="G2259" s="1444" t="str">
        <f t="shared" si="300"/>
        <v/>
      </c>
      <c r="I2259" s="1446" t="str">
        <f>IF(D2259=TRUE,Comments!$B$21,"")</f>
        <v/>
      </c>
      <c r="J2259" s="1446"/>
      <c r="L2259" s="611">
        <f>ROW(OR_VEH!$A$620)</f>
        <v>620</v>
      </c>
      <c r="N2259" s="611" t="str">
        <f>_xlfn.CONCAT("MÉCA - ",Page6!D30," - B.R. - AAD")</f>
        <v>MÉCA - M-D’O CLIENT - NON-GM VE - B.R. - AAD</v>
      </c>
      <c r="O2259" s="611" t="str">
        <f t="shared" si="298"/>
        <v/>
      </c>
      <c r="P2259" s="611" t="str">
        <f t="shared" si="301"/>
        <v>Page6!K</v>
      </c>
      <c r="Q2259" s="611">
        <f t="shared" si="302"/>
        <v>30</v>
      </c>
      <c r="R2259" s="1447">
        <f t="shared" ca="1" si="303"/>
        <v>0</v>
      </c>
      <c r="S2259" s="1447">
        <f t="shared" ca="1" si="304"/>
        <v>0</v>
      </c>
      <c r="W2259" s="611" t="str">
        <f t="shared" ca="1" si="305"/>
        <v>Page6, Ligne 27 [Page6!K30]  -</v>
      </c>
    </row>
    <row r="2260" spans="1:23">
      <c r="A2260" s="1443" t="str">
        <f>celladdr(Page6!K31)</f>
        <v>Page6!K31</v>
      </c>
      <c r="B2260" s="1464" t="s">
        <v>1086</v>
      </c>
      <c r="C2260" s="1451" t="b">
        <f>Page6!$K$32&lt;0</f>
        <v>0</v>
      </c>
      <c r="D2260" s="1454" t="b">
        <f>OR(AND(Page6!$K31&gt;0,Page6!$M31=0),AND(Page6!$M31&lt;&gt;0,Page6!$K31=0))</f>
        <v>0</v>
      </c>
      <c r="E2260" s="1454"/>
      <c r="G2260" s="1444" t="str">
        <f t="shared" si="300"/>
        <v/>
      </c>
      <c r="H2260" s="1447" t="str">
        <f>IF(C2260=TRUE,Comments!$B$20&amp;DOLLAR(INDEX(Min_Table,L2260),0)&amp;Comments!$B$18&amp;DOLLAR(INDEX(Max_Table,L2260),0)&amp;Comments!$B$19&amp;DOLLAR(Page6!$M$31/Page6!$K$31,0),"")</f>
        <v/>
      </c>
      <c r="I2260" s="1446" t="str">
        <f>IF(D2260=TRUE,Comments!$B$21,"")</f>
        <v/>
      </c>
      <c r="J2260" s="1446"/>
      <c r="L2260" s="611">
        <f>ROW(OR_VEH!$A$621)</f>
        <v>621</v>
      </c>
      <c r="N2260" s="611" t="str">
        <f>_xlfn.CONCAT("MÉCA - ",Page6!D31," - B.R. - AAD")</f>
        <v>MÉCA - M-D'O CLIENT CAM. COM,PARCS,MOY - B.R. - AAD</v>
      </c>
      <c r="O2260" s="611" t="str">
        <f t="shared" si="298"/>
        <v/>
      </c>
      <c r="P2260" s="611" t="str">
        <f t="shared" si="301"/>
        <v>Page6!K</v>
      </c>
      <c r="Q2260" s="611">
        <f t="shared" si="302"/>
        <v>31</v>
      </c>
      <c r="R2260" s="1447">
        <f t="shared" ca="1" si="303"/>
        <v>0</v>
      </c>
      <c r="S2260" s="1447">
        <f t="shared" ca="1" si="304"/>
        <v>0</v>
      </c>
      <c r="V2260" s="2557" t="str">
        <f ca="1">IF(SUM(R2260+S2260)=0,"","
*** "&amp;TEXT(SUM(R2260+S2260),"0,0")&amp;" Points de précision seront déduits suite à cette(ces) erreur(s) !")</f>
        <v/>
      </c>
      <c r="W2260" s="611" t="str">
        <f t="shared" ca="1" si="305"/>
        <v>Page6, Ligne 28 [Page6!K31]  -</v>
      </c>
    </row>
    <row r="2261" spans="1:23">
      <c r="A2261" s="1443" t="str">
        <f>celladdr(Page6!K32)</f>
        <v>Page6!K32</v>
      </c>
      <c r="B2261" s="1464" t="s">
        <v>1086</v>
      </c>
      <c r="C2261" s="1451" t="b">
        <f>Page6!$K$31&lt;0</f>
        <v>0</v>
      </c>
      <c r="D2261" s="1454" t="b">
        <f>OR(AND(Page6!$K32&gt;0,Page6!$M32=0),AND(Page6!$M32&lt;&gt;0,Page6!$K32=0))</f>
        <v>0</v>
      </c>
      <c r="E2261" s="1454"/>
      <c r="G2261" s="1444" t="str">
        <f t="shared" si="300"/>
        <v/>
      </c>
      <c r="I2261" s="1446" t="str">
        <f>IF(D2261=TRUE,Comments!$B$21,"")</f>
        <v/>
      </c>
      <c r="J2261" s="1446"/>
      <c r="L2261" s="611">
        <f>ROW(OR_VEH!$A$622)</f>
        <v>622</v>
      </c>
      <c r="N2261" s="611" t="str">
        <f>_xlfn.CONCAT("MÉCA - ",Page6!D32," - B.R. - AAD")</f>
        <v>MÉCA - M-D’O CLIENT - CAM COM,PARCS,MOY VE - B.R. - AAD</v>
      </c>
      <c r="O2261" s="611" t="str">
        <f t="shared" si="298"/>
        <v/>
      </c>
      <c r="P2261" s="611" t="str">
        <f t="shared" si="301"/>
        <v>Page6!K</v>
      </c>
      <c r="Q2261" s="611">
        <f t="shared" si="302"/>
        <v>32</v>
      </c>
      <c r="R2261" s="1447">
        <f t="shared" ca="1" si="303"/>
        <v>0</v>
      </c>
      <c r="S2261" s="1447">
        <f t="shared" ca="1" si="304"/>
        <v>0</v>
      </c>
      <c r="W2261" s="611" t="str">
        <f t="shared" ca="1" si="305"/>
        <v>Page6, Ligne 29 [Page6!K32]  -</v>
      </c>
    </row>
    <row r="2262" spans="1:23">
      <c r="A2262" s="1443" t="str">
        <f>celladdr(Page6!K33)</f>
        <v>Page6!K33</v>
      </c>
      <c r="B2262" s="1464" t="s">
        <v>1086</v>
      </c>
      <c r="C2262" s="1451" t="b">
        <f>Page6!$K$33&lt;0</f>
        <v>0</v>
      </c>
      <c r="D2262" s="1454" t="b">
        <f>OR(AND(Page6!$K33&gt;0,Page6!$M33=0),AND(Page6!$M33&lt;&gt;0,Page6!$K33=0))</f>
        <v>0</v>
      </c>
      <c r="E2262" s="1454"/>
      <c r="G2262" s="1444" t="str">
        <f t="shared" si="300"/>
        <v/>
      </c>
      <c r="H2262" s="1447" t="str">
        <f>IF(C2262=TRUE,Comments!$B$20&amp;DOLLAR(INDEX(Min_Table,L2262),0)&amp;Comments!$B$18&amp;DOLLAR(INDEX(Max_Table,L2262),0)&amp;Comments!$B$19&amp;DOLLAR(Page6!$M$33/Page6!$K$33,0),"")</f>
        <v/>
      </c>
      <c r="I2262" s="1446" t="str">
        <f>IF(D2262=TRUE,Comments!$B$21,"")</f>
        <v/>
      </c>
      <c r="J2262" s="1446"/>
      <c r="L2262" s="611">
        <f>ROW(OR_VEH!$A$623)</f>
        <v>623</v>
      </c>
      <c r="N2262" s="611" t="str">
        <f>_xlfn.CONCAT("MÉCA - ",Page6!D33," - B.R. - AAD")</f>
        <v>MÉCA - M-D'O CONT. SERV.  CAM COM,PARCS,MOY - B.R. - AAD</v>
      </c>
      <c r="O2262" s="611" t="str">
        <f t="shared" si="298"/>
        <v/>
      </c>
      <c r="P2262" s="611" t="str">
        <f t="shared" si="301"/>
        <v>Page6!K</v>
      </c>
      <c r="Q2262" s="611">
        <f t="shared" si="302"/>
        <v>33</v>
      </c>
      <c r="R2262" s="1447">
        <f t="shared" ca="1" si="303"/>
        <v>0</v>
      </c>
      <c r="S2262" s="1447">
        <f t="shared" ca="1" si="304"/>
        <v>0</v>
      </c>
      <c r="V2262" s="2557" t="str">
        <f ca="1">IF(SUM(R2262+S2262)=0,"","
*** "&amp;TEXT(SUM(R2262+S2262),"0,0")&amp;" Points de précision seront déduits suite à cette(ces) erreur(s) !")</f>
        <v/>
      </c>
      <c r="W2262" s="611" t="str">
        <f t="shared" ca="1" si="305"/>
        <v>Page6, Ligne 30 [Page6!K33]  -</v>
      </c>
    </row>
    <row r="2263" spans="1:23">
      <c r="A2263" s="1443" t="str">
        <f>celladdr(Page6!K34)</f>
        <v>Page6!K34</v>
      </c>
      <c r="B2263" s="1464" t="s">
        <v>1086</v>
      </c>
      <c r="C2263" s="1451" t="b">
        <f>Page6!$K$34&lt;0</f>
        <v>0</v>
      </c>
      <c r="D2263" s="1454" t="b">
        <f>OR(AND(Page6!$K34&gt;0,Page6!$M34=0),AND(Page6!$M34&lt;&gt;0,Page6!$K34=0))</f>
        <v>0</v>
      </c>
      <c r="E2263" s="1454"/>
      <c r="G2263" s="1444" t="str">
        <f t="shared" si="300"/>
        <v/>
      </c>
      <c r="I2263" s="1446" t="str">
        <f>IF(D2263=TRUE,Comments!$B$21,"")</f>
        <v/>
      </c>
      <c r="J2263" s="1446"/>
      <c r="L2263" s="611">
        <f>ROW(OR_VEH!$A$624)</f>
        <v>624</v>
      </c>
      <c r="N2263" s="611" t="str">
        <f>_xlfn.CONCAT("MÉCA - ",Page6!D34," - B.R. - AAD")</f>
        <v>MÉCA - M-D’O CONT SERV - CAM COM,PARCS,MOY VE - B.R. - AAD</v>
      </c>
      <c r="O2263" s="611" t="str">
        <f t="shared" si="298"/>
        <v/>
      </c>
      <c r="P2263" s="611" t="str">
        <f t="shared" si="301"/>
        <v>Page6!K</v>
      </c>
      <c r="Q2263" s="611">
        <f t="shared" si="302"/>
        <v>34</v>
      </c>
      <c r="R2263" s="1447">
        <f t="shared" ca="1" si="303"/>
        <v>0</v>
      </c>
      <c r="S2263" s="1447">
        <f t="shared" ca="1" si="304"/>
        <v>0</v>
      </c>
      <c r="W2263" s="611" t="str">
        <f t="shared" ca="1" si="305"/>
        <v>Page6, Ligne 31 [Page6!K34]  -</v>
      </c>
    </row>
    <row r="2264" spans="1:23">
      <c r="A2264" s="1443" t="str">
        <f>celladdr(Page6!K35)</f>
        <v>Page6!K35</v>
      </c>
      <c r="B2264" s="1464" t="s">
        <v>1086</v>
      </c>
      <c r="C2264" s="1451" t="b">
        <f>Page6!$K$35&lt;0</f>
        <v>0</v>
      </c>
      <c r="D2264" s="1454" t="b">
        <f>OR(AND(Page6!$K$35&gt;0,Page6!$M$35=0),AND(Page6!$M$35&lt;&gt;0,Page6!$K$35=0))</f>
        <v>0</v>
      </c>
      <c r="E2264" s="1454"/>
      <c r="G2264" s="1444" t="str">
        <f t="shared" si="300"/>
        <v/>
      </c>
      <c r="H2264" s="1447" t="str">
        <f>IF(C2264=TRUE,Comments!$B$20&amp;DOLLAR(INDEX(Min_Table,L2264),0)&amp;Comments!$B$18&amp;DOLLAR(INDEX(Max_Table,L2264),0)&amp;Comments!$B$19&amp;DOLLAR(Page6!$M$35/Page6!$K$35,0),"")</f>
        <v/>
      </c>
      <c r="I2264" s="1446" t="str">
        <f>IF(D2264=TRUE,Comments!$B$21,"")</f>
        <v/>
      </c>
      <c r="J2264" s="1446"/>
      <c r="L2264" s="611">
        <f>ROW(OR_VEH!$A$625)</f>
        <v>625</v>
      </c>
      <c r="N2264" s="611" t="str">
        <f>_xlfn.CONCAT("MÉCA - ",Page6!D35," - B.R. - AAD")</f>
        <v>MÉCA - M-D'O SERV RAPIDE CAM,PARCS,MOY VE - B.R. - AAD</v>
      </c>
      <c r="O2264" s="611" t="str">
        <f t="shared" si="298"/>
        <v/>
      </c>
      <c r="P2264" s="611" t="str">
        <f t="shared" si="301"/>
        <v>Page6!K</v>
      </c>
      <c r="Q2264" s="611">
        <f t="shared" si="302"/>
        <v>35</v>
      </c>
      <c r="R2264" s="1447">
        <f t="shared" ca="1" si="303"/>
        <v>0</v>
      </c>
      <c r="S2264" s="1447">
        <f t="shared" ca="1" si="304"/>
        <v>0</v>
      </c>
      <c r="V2264" s="2557" t="str">
        <f t="shared" ref="V2264:V2282" ca="1" si="306">IF(SUM(R2264+S2264)=0,"","
*** "&amp;TEXT(SUM(R2264+S2264),"0,0")&amp;" Points de précision seront déduits suite à cette(ces) erreur(s) !")</f>
        <v/>
      </c>
      <c r="W2264" s="611" t="str">
        <f t="shared" ca="1" si="305"/>
        <v>Page6, Ligne 32 [Page6!K35]  -</v>
      </c>
    </row>
    <row r="2265" spans="1:23">
      <c r="A2265" s="1443" t="str">
        <f>celladdr(Page6!K36)</f>
        <v>Page6!K36</v>
      </c>
      <c r="B2265" s="1464" t="s">
        <v>1086</v>
      </c>
      <c r="C2265" s="1451" t="b">
        <f>Page6!$K$36&lt;0</f>
        <v>0</v>
      </c>
      <c r="D2265" s="1454" t="b">
        <f>OR(AND(Page6!$K$36&gt;0,Page6!$M$36=0),AND(Page6!$M$36&lt;&gt;0,Page6!$K$36=0))</f>
        <v>0</v>
      </c>
      <c r="E2265" s="1454"/>
      <c r="G2265" s="1444" t="str">
        <f t="shared" si="300"/>
        <v/>
      </c>
      <c r="H2265" s="1447" t="str">
        <f>IF(C2265=TRUE,Comments!$B$20&amp;DOLLAR(INDEX(Min_Table,L2265),0)&amp;Comments!$B$18&amp;DOLLAR(INDEX(Max_Table,L2265),0)&amp;Comments!$B$19&amp;DOLLAR(Page6!$M$36/Page6!$K$36,0),"")</f>
        <v/>
      </c>
      <c r="I2265" s="1446" t="str">
        <f>IF(D2265=TRUE,Comments!$B$21,"")</f>
        <v/>
      </c>
      <c r="J2265" s="1446"/>
      <c r="L2265" s="611">
        <f>ROW(OR_VEH!$A$626)</f>
        <v>626</v>
      </c>
      <c r="N2265" s="611" t="str">
        <f>_xlfn.CONCAT("MÉCA - ",Page6!D36," - B.R. - AAD")</f>
        <v>MÉCA - M-D'O RÉCLAMATION GARANTIE - B.R. - AAD</v>
      </c>
      <c r="O2265" s="611" t="str">
        <f t="shared" si="298"/>
        <v/>
      </c>
      <c r="P2265" s="611" t="str">
        <f t="shared" si="301"/>
        <v>Page6!K</v>
      </c>
      <c r="Q2265" s="611">
        <f t="shared" si="302"/>
        <v>36</v>
      </c>
      <c r="R2265" s="1447">
        <f t="shared" ca="1" si="303"/>
        <v>0</v>
      </c>
      <c r="S2265" s="1447">
        <f t="shared" ca="1" si="304"/>
        <v>0</v>
      </c>
      <c r="V2265" s="2557" t="str">
        <f t="shared" ca="1" si="306"/>
        <v/>
      </c>
      <c r="W2265" s="611" t="str">
        <f t="shared" ca="1" si="305"/>
        <v>Page6, Ligne 33 [Page6!K36]  -</v>
      </c>
    </row>
    <row r="2266" spans="1:23">
      <c r="A2266" s="1443" t="str">
        <f>celladdr(Page6!K37)</f>
        <v>Page6!K37</v>
      </c>
      <c r="B2266" s="1464" t="s">
        <v>1086</v>
      </c>
      <c r="C2266" s="1451" t="b">
        <f>Page6!$K$37&lt;0</f>
        <v>0</v>
      </c>
      <c r="D2266" s="1454" t="b">
        <f>OR(AND(Page6!$K$37&gt;0,Page6!$M$37=0),AND(Page6!$M$37&lt;&gt;0,Page6!$K$37=0))</f>
        <v>0</v>
      </c>
      <c r="E2266" s="1454"/>
      <c r="G2266" s="1444" t="str">
        <f t="shared" si="300"/>
        <v/>
      </c>
      <c r="H2266" s="1447" t="str">
        <f>IF(C2266=TRUE,Comments!$B$20&amp;DOLLAR(INDEX(Min_Table,L2266),0)&amp;Comments!$B$18&amp;DOLLAR(INDEX(Max_Table,L2266),0)&amp;Comments!$B$19&amp;DOLLAR(Page6!$M$37/Page6!$K$37,0),"")</f>
        <v/>
      </c>
      <c r="I2266" s="1446" t="str">
        <f>IF(D2266=TRUE,Comments!$B$21,"")</f>
        <v/>
      </c>
      <c r="J2266" s="1446"/>
      <c r="L2266" s="611">
        <f>ROW(OR_VEH!$A$627)</f>
        <v>627</v>
      </c>
      <c r="N2266" s="611" t="str">
        <f>_xlfn.CONCAT("MÉCA - ",Page6!D37," - B.R. - AAD")</f>
        <v>MÉCA - MAIN-D'ŒUVRE INTERNE - B.R. - AAD</v>
      </c>
      <c r="O2266" s="611" t="str">
        <f t="shared" si="298"/>
        <v/>
      </c>
      <c r="P2266" s="611" t="str">
        <f t="shared" si="301"/>
        <v>Page6!K</v>
      </c>
      <c r="Q2266" s="611">
        <f t="shared" si="302"/>
        <v>37</v>
      </c>
      <c r="R2266" s="1447">
        <f t="shared" ca="1" si="303"/>
        <v>0</v>
      </c>
      <c r="S2266" s="1447">
        <f t="shared" ca="1" si="304"/>
        <v>0</v>
      </c>
      <c r="V2266" s="2557" t="str">
        <f t="shared" ca="1" si="306"/>
        <v/>
      </c>
      <c r="W2266" s="611" t="str">
        <f t="shared" ca="1" si="305"/>
        <v>Page6, Ligne 34 [Page6!K37]  -</v>
      </c>
    </row>
    <row r="2267" spans="1:23">
      <c r="A2267" s="1443" t="str">
        <f>celladdr(Page6!K38)</f>
        <v>Page6!K38</v>
      </c>
      <c r="B2267" s="1464" t="s">
        <v>1086</v>
      </c>
      <c r="C2267" s="1451" t="b">
        <f>Page6!$K$38&lt;0</f>
        <v>0</v>
      </c>
      <c r="D2267" s="1454" t="b">
        <f>OR(AND(Page6!$K$38&gt;0,Page6!$M$38=0),AND(Page6!$M$38&lt;&gt;0,Page6!$K$38=0))</f>
        <v>0</v>
      </c>
      <c r="E2267" s="1454"/>
      <c r="G2267" s="1444" t="str">
        <f t="shared" si="300"/>
        <v/>
      </c>
      <c r="H2267" s="1447" t="str">
        <f>IF(C2267=TRUE,Comments!$B$20&amp;DOLLAR(INDEX(Min_Table,L2267),0)&amp;Comments!$B$18&amp;DOLLAR(INDEX(Max_Table,L2267),0)&amp;Comments!$B$19&amp;DOLLAR(Page6!$M$38/Page6!$K$38,0),"")</f>
        <v/>
      </c>
      <c r="I2267" s="1446" t="str">
        <f>IF(D2267=TRUE,Comments!$B$21,"")</f>
        <v/>
      </c>
      <c r="J2267" s="1446"/>
      <c r="L2267" s="611">
        <f>ROW(OR_VEH!$A$628)</f>
        <v>628</v>
      </c>
      <c r="N2267" s="611" t="str">
        <f>_xlfn.CONCAT("MÉCA - ",Page6!D38," - B.R. - AAD")</f>
        <v>MÉCA - M-D'O INSPECTION VÉHICULES NEUFS - B.R. - AAD</v>
      </c>
      <c r="O2267" s="611" t="str">
        <f t="shared" si="298"/>
        <v/>
      </c>
      <c r="P2267" s="611" t="str">
        <f t="shared" si="301"/>
        <v>Page6!K</v>
      </c>
      <c r="Q2267" s="611">
        <f t="shared" si="302"/>
        <v>38</v>
      </c>
      <c r="R2267" s="1447">
        <f t="shared" ca="1" si="303"/>
        <v>0</v>
      </c>
      <c r="S2267" s="1447">
        <f t="shared" ca="1" si="304"/>
        <v>0</v>
      </c>
      <c r="V2267" s="2557" t="str">
        <f t="shared" ca="1" si="306"/>
        <v/>
      </c>
      <c r="W2267" s="611" t="str">
        <f t="shared" ca="1" si="305"/>
        <v>Page6, Ligne 35 [Page6!K38]  -</v>
      </c>
    </row>
    <row r="2268" spans="1:23">
      <c r="A2268" s="1443" t="str">
        <f>celladdr(Page6!K43)</f>
        <v>Page6!K43</v>
      </c>
      <c r="B2268" s="1453" t="s">
        <v>1086</v>
      </c>
      <c r="C2268" s="1445" t="b">
        <f>Page6!$K$43&lt;&gt;SUM(Page6!$K$24:$K$38)</f>
        <v>0</v>
      </c>
      <c r="D2268" s="1454"/>
      <c r="F2268" s="1454"/>
      <c r="G2268" s="1444" t="str">
        <f t="shared" si="300"/>
        <v/>
      </c>
      <c r="H2268" s="1446" t="str">
        <f>IF(C2268=TRUE,Comments!$B$44&amp;Page6!$K$43-SUM(Page6!$K$24:$K$38),"")</f>
        <v/>
      </c>
      <c r="I2268" s="1452"/>
      <c r="J2268" s="1452"/>
      <c r="K2268" s="1452"/>
      <c r="N2268" s="611" t="s">
        <v>1570</v>
      </c>
      <c r="O2268" s="611" t="str">
        <f t="shared" si="298"/>
        <v/>
      </c>
      <c r="P2268" s="611" t="str">
        <f t="shared" si="301"/>
        <v>Page6!K</v>
      </c>
      <c r="Q2268" s="611">
        <f t="shared" si="302"/>
        <v>43</v>
      </c>
      <c r="R2268" s="1447">
        <f t="shared" ca="1" si="303"/>
        <v>0</v>
      </c>
      <c r="S2268" s="1447">
        <f t="shared" ca="1" si="304"/>
        <v>0</v>
      </c>
      <c r="V2268" s="2557" t="str">
        <f t="shared" ca="1" si="306"/>
        <v/>
      </c>
      <c r="W2268" s="611" t="str">
        <f t="shared" ca="1" si="305"/>
        <v>Page6, Ligne 40 [Page6!K43]  -</v>
      </c>
    </row>
    <row r="2269" spans="1:23">
      <c r="A2269" s="1443" t="str">
        <f>celladdr(Page6!K44)</f>
        <v>Page6!K44</v>
      </c>
      <c r="B2269" s="1464" t="s">
        <v>1086</v>
      </c>
      <c r="C2269" s="1451" t="b">
        <f>Page6!$K$44&lt;0</f>
        <v>0</v>
      </c>
      <c r="D2269" s="1454" t="b">
        <f>OR(AND(Page6!$K$44&gt;0,Page6!$M$44+Page6!$M$45=0),AND(Page6!$M$44+Page6!$M$45&lt;&gt;0,Page6!$K$44=0))</f>
        <v>0</v>
      </c>
      <c r="E2269" s="1454"/>
      <c r="G2269" s="1444" t="str">
        <f t="shared" si="300"/>
        <v/>
      </c>
      <c r="H2269" s="1447" t="str">
        <f>IF(C2269=TRUE,Comments!$B$26,"")</f>
        <v/>
      </c>
      <c r="I2269" s="1446" t="str">
        <f>IF(D2269=TRUE,Comments!$B$21,"")</f>
        <v/>
      </c>
      <c r="J2269" s="1446"/>
      <c r="N2269" s="611" t="s">
        <v>1571</v>
      </c>
      <c r="O2269" s="611" t="str">
        <f t="shared" si="298"/>
        <v/>
      </c>
      <c r="P2269" s="611" t="str">
        <f t="shared" si="301"/>
        <v>Page6!K</v>
      </c>
      <c r="Q2269" s="611">
        <f t="shared" si="302"/>
        <v>44</v>
      </c>
      <c r="R2269" s="1447">
        <f t="shared" ca="1" si="303"/>
        <v>0</v>
      </c>
      <c r="S2269" s="1447">
        <f t="shared" ca="1" si="304"/>
        <v>0</v>
      </c>
      <c r="V2269" s="2557" t="str">
        <f t="shared" ca="1" si="306"/>
        <v/>
      </c>
      <c r="W2269" s="611" t="str">
        <f t="shared" ca="1" si="305"/>
        <v>Page6, Ligne 41 [Page6!K44]  -</v>
      </c>
    </row>
    <row r="2270" spans="1:23">
      <c r="A2270" s="1443" t="str">
        <f>celladdr(Page6!K46)</f>
        <v>Page6!K46</v>
      </c>
      <c r="B2270" s="1464" t="s">
        <v>1086</v>
      </c>
      <c r="C2270" s="1451" t="b">
        <f>Page6!$K$46&lt;0</f>
        <v>0</v>
      </c>
      <c r="D2270" s="1454" t="b">
        <f>OR(AND(Page6!$K$46&gt;0,Page6!$M$46=0),AND(Page6!$M$46&lt;&gt;0,Page6!$K$46=0))</f>
        <v>0</v>
      </c>
      <c r="E2270" s="1454"/>
      <c r="G2270" s="1444" t="str">
        <f t="shared" si="300"/>
        <v/>
      </c>
      <c r="H2270" s="1447" t="str">
        <f>IF(C2270=TRUE,Comments!$B$26,"")</f>
        <v/>
      </c>
      <c r="I2270" s="1446" t="str">
        <f>IF(D2270=TRUE,Comments!$B$21,"")</f>
        <v/>
      </c>
      <c r="J2270" s="1446"/>
      <c r="N2270" s="611" t="s">
        <v>1572</v>
      </c>
      <c r="O2270" s="611" t="str">
        <f t="shared" si="298"/>
        <v/>
      </c>
      <c r="P2270" s="611" t="str">
        <f t="shared" si="301"/>
        <v>Page6!K</v>
      </c>
      <c r="Q2270" s="611">
        <f t="shared" si="302"/>
        <v>46</v>
      </c>
      <c r="R2270" s="1447">
        <f t="shared" ca="1" si="303"/>
        <v>0</v>
      </c>
      <c r="S2270" s="1447">
        <f t="shared" ca="1" si="304"/>
        <v>0</v>
      </c>
      <c r="V2270" s="2557" t="str">
        <f t="shared" ca="1" si="306"/>
        <v/>
      </c>
      <c r="W2270" s="611" t="str">
        <f t="shared" ca="1" si="305"/>
        <v>Page6, Ligne 43 [Page6!K46]  -</v>
      </c>
    </row>
    <row r="2271" spans="1:23">
      <c r="A2271" s="1443" t="str">
        <f>celladdr(Page6!K47)</f>
        <v>Page6!K47</v>
      </c>
      <c r="B2271" s="1464" t="s">
        <v>1086</v>
      </c>
      <c r="C2271" s="1451" t="b">
        <f>Page6!$K$47&lt;0</f>
        <v>0</v>
      </c>
      <c r="D2271" s="1454" t="b">
        <f>OR(AND(Page6!$K$47&gt;0,Page6!$M$47=0),AND(Page6!$M$47&lt;&gt;0,Page6!$K$47=0))</f>
        <v>0</v>
      </c>
      <c r="E2271" s="1454"/>
      <c r="G2271" s="1444" t="str">
        <f t="shared" si="300"/>
        <v/>
      </c>
      <c r="H2271" s="1447" t="str">
        <f>IF(C2271=TRUE,Comments!$B$26,"")</f>
        <v/>
      </c>
      <c r="I2271" s="1446" t="str">
        <f>IF(D2271=TRUE,Comments!$B$21,"")</f>
        <v/>
      </c>
      <c r="J2271" s="1446"/>
      <c r="N2271" s="611" t="s">
        <v>1573</v>
      </c>
      <c r="O2271" s="611" t="str">
        <f t="shared" si="298"/>
        <v/>
      </c>
      <c r="P2271" s="611" t="str">
        <f t="shared" si="301"/>
        <v>Page6!K</v>
      </c>
      <c r="Q2271" s="611">
        <f t="shared" si="302"/>
        <v>47</v>
      </c>
      <c r="R2271" s="1447">
        <f t="shared" ca="1" si="303"/>
        <v>0</v>
      </c>
      <c r="S2271" s="1447">
        <f t="shared" ca="1" si="304"/>
        <v>0</v>
      </c>
      <c r="V2271" s="2557" t="str">
        <f t="shared" ca="1" si="306"/>
        <v/>
      </c>
      <c r="W2271" s="611" t="str">
        <f t="shared" ca="1" si="305"/>
        <v>Page6, Ligne 44 [Page6!K47]  -</v>
      </c>
    </row>
    <row r="2272" spans="1:23">
      <c r="A2272" s="1443" t="str">
        <f>celladdr(Page6!K52)</f>
        <v>Page6!K52</v>
      </c>
      <c r="B2272" s="1453" t="s">
        <v>1086</v>
      </c>
      <c r="C2272" s="1445" t="b">
        <f>Page6!$K$52&lt;&gt;SUM(Page6!$K$44:$K$47)</f>
        <v>0</v>
      </c>
      <c r="D2272" s="1454"/>
      <c r="F2272" s="1454"/>
      <c r="G2272" s="1444" t="str">
        <f t="shared" si="300"/>
        <v/>
      </c>
      <c r="H2272" s="1446" t="str">
        <f>IF(C2272=TRUE,Comments!$B$44&amp;Page6!$K$52-SUM(Page6!$K$44:$K$47),"")</f>
        <v/>
      </c>
      <c r="I2272" s="1452"/>
      <c r="J2272" s="1452"/>
      <c r="K2272" s="1452"/>
      <c r="N2272" s="611" t="s">
        <v>1574</v>
      </c>
      <c r="O2272" s="611" t="str">
        <f t="shared" si="298"/>
        <v/>
      </c>
      <c r="P2272" s="611" t="str">
        <f t="shared" si="301"/>
        <v>Page6!K</v>
      </c>
      <c r="Q2272" s="611">
        <f t="shared" si="302"/>
        <v>52</v>
      </c>
      <c r="R2272" s="1447">
        <f t="shared" ca="1" si="303"/>
        <v>0</v>
      </c>
      <c r="S2272" s="1447">
        <f t="shared" ca="1" si="304"/>
        <v>0</v>
      </c>
      <c r="V2272" s="2557" t="str">
        <f t="shared" ca="1" si="306"/>
        <v/>
      </c>
      <c r="W2272" s="611" t="str">
        <f t="shared" ca="1" si="305"/>
        <v>Page6, Ligne 49 [Page6!K52]  -</v>
      </c>
    </row>
    <row r="2273" spans="1:23">
      <c r="A2273" s="1443" t="str">
        <f>celladdr(Page6!L4)</f>
        <v>Page6!L4</v>
      </c>
      <c r="B2273" s="1456" t="s">
        <v>1086</v>
      </c>
      <c r="C2273" s="1451" t="b">
        <f>Page6!$L$4&lt;0</f>
        <v>0</v>
      </c>
      <c r="D2273" s="1454" t="b">
        <f>OR(AND(Page6!$L$4&lt;&gt;0,Page6!$M$4=0),AND(Page6!$M$4&lt;&gt;0,Page6!$L$4=0))</f>
        <v>0</v>
      </c>
      <c r="E2273" s="1454"/>
      <c r="F2273" s="1454"/>
      <c r="G2273" s="1444" t="str">
        <f t="shared" si="300"/>
        <v/>
      </c>
      <c r="H2273" s="1447" t="str">
        <f>IF(C2273=TRUE,Comments!$B$23,"")</f>
        <v/>
      </c>
      <c r="I2273" s="1446" t="str">
        <f>IF(D2273=TRUE,Comments!$B$24,"")</f>
        <v/>
      </c>
      <c r="J2273" s="1446"/>
      <c r="K2273" s="1452"/>
      <c r="N2273" s="611" t="s">
        <v>1575</v>
      </c>
      <c r="O2273" s="611" t="str">
        <f t="shared" si="298"/>
        <v/>
      </c>
      <c r="P2273" s="611" t="str">
        <f t="shared" si="301"/>
        <v>Page6!L</v>
      </c>
      <c r="Q2273" s="611">
        <f t="shared" si="302"/>
        <v>4</v>
      </c>
      <c r="R2273" s="1447">
        <f t="shared" ca="1" si="303"/>
        <v>0</v>
      </c>
      <c r="S2273" s="1447">
        <f t="shared" ca="1" si="304"/>
        <v>0</v>
      </c>
      <c r="V2273" s="2557" t="str">
        <f t="shared" ca="1" si="306"/>
        <v/>
      </c>
      <c r="W2273" s="611" t="str">
        <f t="shared" ca="1" si="305"/>
        <v>Page6, Ligne 1 [Page6!L4]  -</v>
      </c>
    </row>
    <row r="2274" spans="1:23">
      <c r="A2274" s="1443" t="str">
        <f>celladdr(Page6!L5)</f>
        <v>Page6!L5</v>
      </c>
      <c r="B2274" s="1456" t="s">
        <v>1086</v>
      </c>
      <c r="C2274" s="1451" t="b">
        <f>Page6!$L$5&lt;0</f>
        <v>0</v>
      </c>
      <c r="D2274" s="1454" t="b">
        <f>OR(AND(Page6!$L$5&lt;&gt;0,Page6!$M$5=0),AND(Page6!$M$5&lt;&gt;0,Page6!$L$5=0))</f>
        <v>0</v>
      </c>
      <c r="E2274" s="1454"/>
      <c r="F2274" s="1454"/>
      <c r="G2274" s="1444" t="str">
        <f t="shared" si="300"/>
        <v/>
      </c>
      <c r="H2274" s="1447" t="str">
        <f>IF(C2274=TRUE,Comments!$B$23,"")</f>
        <v/>
      </c>
      <c r="I2274" s="1446" t="str">
        <f>IF(D2274=TRUE,Comments!$B$24,"")</f>
        <v/>
      </c>
      <c r="J2274" s="1446"/>
      <c r="K2274" s="1452"/>
      <c r="N2274" s="611" t="s">
        <v>1576</v>
      </c>
      <c r="O2274" s="611" t="str">
        <f t="shared" si="298"/>
        <v/>
      </c>
      <c r="P2274" s="611" t="str">
        <f t="shared" si="301"/>
        <v>Page6!L</v>
      </c>
      <c r="Q2274" s="611">
        <f t="shared" si="302"/>
        <v>5</v>
      </c>
      <c r="R2274" s="1447">
        <f t="shared" ca="1" si="303"/>
        <v>0</v>
      </c>
      <c r="S2274" s="1447">
        <f t="shared" ca="1" si="304"/>
        <v>0</v>
      </c>
      <c r="V2274" s="2557" t="str">
        <f t="shared" ca="1" si="306"/>
        <v/>
      </c>
      <c r="W2274" s="611" t="str">
        <f t="shared" ca="1" si="305"/>
        <v>Page6, Ligne 2 [Page6!L5]  -</v>
      </c>
    </row>
    <row r="2275" spans="1:23">
      <c r="A2275" s="1443" t="str">
        <f>celladdr(Page6!L6)</f>
        <v>Page6!L6</v>
      </c>
      <c r="B2275" s="1456" t="s">
        <v>1086</v>
      </c>
      <c r="C2275" s="1451"/>
      <c r="D2275" s="1454"/>
      <c r="E2275" s="1454" t="b">
        <f>IF(Page6!$K$4=0,FALSE,OR(IF(Flag=TRUE,Page6!$L$6/Page6!$K$4,Page6!$L$6)&lt;INDEX(Min_Table,M2275),IF(Flag=TRUE,Page6!$L$6/Page6!$K$4,Page6!$L$6)&gt;INDEX(Max_Table,M2275)))</f>
        <v>0</v>
      </c>
      <c r="F2275" s="1454"/>
      <c r="G2275" s="1444" t="str">
        <f t="shared" si="300"/>
        <v/>
      </c>
      <c r="I2275" s="1446"/>
      <c r="J2275" s="1446" t="str">
        <f>IF(E2275=TRUE,Comments!$B$22&amp;DOLLAR(INDEX(Min_Table,M2275),0)&amp;Comments!$B$18&amp;DOLLAR(INDEX(Max_Table,M2275),0)&amp;Comments!$B$19&amp;DOLLAR(IF(Flag=TRUE,Page6!$L$6/Page6!$K$4,Page6!$L$6),0),"")</f>
        <v/>
      </c>
      <c r="K2275" s="1452"/>
      <c r="M2275" s="611">
        <f>ROW(OR_VEH!$A$605)</f>
        <v>605</v>
      </c>
      <c r="N2275" s="611" t="s">
        <v>1577</v>
      </c>
      <c r="O2275" s="611" t="str">
        <f t="shared" si="298"/>
        <v/>
      </c>
      <c r="P2275" s="611" t="str">
        <f t="shared" si="301"/>
        <v>Page6!L</v>
      </c>
      <c r="Q2275" s="611">
        <f t="shared" si="302"/>
        <v>6</v>
      </c>
      <c r="R2275" s="1447">
        <f t="shared" ca="1" si="303"/>
        <v>0</v>
      </c>
      <c r="S2275" s="1447">
        <f t="shared" ca="1" si="304"/>
        <v>0</v>
      </c>
      <c r="T2275" s="611">
        <v>22</v>
      </c>
      <c r="V2275" s="2557" t="str">
        <f t="shared" ca="1" si="306"/>
        <v/>
      </c>
      <c r="W2275" s="611" t="str">
        <f t="shared" ca="1" si="305"/>
        <v>Page6, Ligne 3 [Page6!L6]  -</v>
      </c>
    </row>
    <row r="2276" spans="1:23">
      <c r="A2276" s="1443" t="str">
        <f>celladdr(Page6!L7)</f>
        <v>Page6!L7</v>
      </c>
      <c r="B2276" s="1456" t="s">
        <v>1086</v>
      </c>
      <c r="C2276" s="1451" t="b">
        <f>Page6!$L$7&lt;0</f>
        <v>0</v>
      </c>
      <c r="D2276" s="1454" t="b">
        <f>OR(AND(Page6!$L$7&lt;&gt;0,Page6!$M$7=0),AND(Page6!$M$7&lt;&gt;0,Page6!$L$7=0))</f>
        <v>0</v>
      </c>
      <c r="E2276" s="1454"/>
      <c r="F2276" s="1454"/>
      <c r="G2276" s="1444" t="str">
        <f t="shared" si="300"/>
        <v/>
      </c>
      <c r="H2276" s="1447" t="str">
        <f>IF(C2276=TRUE,Comments!$B$23,"")</f>
        <v/>
      </c>
      <c r="I2276" s="1446" t="str">
        <f>IF(D2276=TRUE,Comments!$B$24,"")</f>
        <v/>
      </c>
      <c r="J2276" s="1446"/>
      <c r="K2276" s="1452"/>
      <c r="N2276" s="611" t="s">
        <v>1578</v>
      </c>
      <c r="O2276" s="611" t="str">
        <f t="shared" si="298"/>
        <v/>
      </c>
      <c r="P2276" s="611" t="str">
        <f t="shared" si="301"/>
        <v>Page6!L</v>
      </c>
      <c r="Q2276" s="611">
        <f t="shared" si="302"/>
        <v>7</v>
      </c>
      <c r="R2276" s="1447">
        <f t="shared" ca="1" si="303"/>
        <v>0</v>
      </c>
      <c r="S2276" s="1447">
        <f t="shared" ca="1" si="304"/>
        <v>0</v>
      </c>
      <c r="V2276" s="2557" t="str">
        <f t="shared" ca="1" si="306"/>
        <v/>
      </c>
      <c r="W2276" s="611" t="str">
        <f t="shared" ca="1" si="305"/>
        <v>Page6, Ligne 4 [Page6!L7]  -</v>
      </c>
    </row>
    <row r="2277" spans="1:23">
      <c r="A2277" s="1443" t="str">
        <f>celladdr(Page6!L8)</f>
        <v>Page6!L8</v>
      </c>
      <c r="B2277" s="1456" t="s">
        <v>1086</v>
      </c>
      <c r="C2277" s="1451" t="b">
        <f>Page6!$L$8&lt;0</f>
        <v>0</v>
      </c>
      <c r="D2277" s="1454" t="b">
        <f>OR(AND(Page6!$L$8&lt;&gt;0,Page6!$M$8=0),AND(Page6!$M$8&lt;&gt;0,Page6!$L$8=0))</f>
        <v>0</v>
      </c>
      <c r="E2277" s="1454"/>
      <c r="F2277" s="1454"/>
      <c r="G2277" s="1444" t="str">
        <f t="shared" si="300"/>
        <v/>
      </c>
      <c r="H2277" s="1447" t="str">
        <f>IF(C2277=TRUE,Comments!$B$23,"")</f>
        <v/>
      </c>
      <c r="I2277" s="1446" t="str">
        <f>IF(D2277=TRUE,Comments!$B$24,"")</f>
        <v/>
      </c>
      <c r="J2277" s="1446"/>
      <c r="K2277" s="1452"/>
      <c r="N2277" s="611" t="s">
        <v>1579</v>
      </c>
      <c r="O2277" s="611" t="str">
        <f t="shared" si="298"/>
        <v/>
      </c>
      <c r="P2277" s="611" t="str">
        <f t="shared" si="301"/>
        <v>Page6!L</v>
      </c>
      <c r="Q2277" s="611">
        <f t="shared" si="302"/>
        <v>8</v>
      </c>
      <c r="R2277" s="1447">
        <f t="shared" ca="1" si="303"/>
        <v>0</v>
      </c>
      <c r="S2277" s="1447">
        <f t="shared" ca="1" si="304"/>
        <v>0</v>
      </c>
      <c r="V2277" s="2557" t="str">
        <f t="shared" ca="1" si="306"/>
        <v/>
      </c>
      <c r="W2277" s="611" t="str">
        <f t="shared" ca="1" si="305"/>
        <v>Page6, Ligne 5 [Page6!L8]  -</v>
      </c>
    </row>
    <row r="2278" spans="1:23">
      <c r="A2278" s="1443" t="str">
        <f>celladdr(Page6!L9)</f>
        <v>Page6!L9</v>
      </c>
      <c r="B2278" s="1456" t="s">
        <v>1086</v>
      </c>
      <c r="C2278" s="1451"/>
      <c r="D2278" s="1454"/>
      <c r="E2278" s="1454" t="b">
        <f>IF(Page6!$K$7=0,FALSE,OR(IF(Flag=TRUE,Page6!$L$9/Page6!$K$7,Page6!$L$9)&lt;INDEX(Min_Table,M2278),IF(Flag=TRUE,Page6!$L$9/Page6!$K$7,Page6!$L$9)&gt;INDEX(Max_Table,M2278)))</f>
        <v>0</v>
      </c>
      <c r="F2278" s="1454"/>
      <c r="G2278" s="1444" t="str">
        <f t="shared" si="300"/>
        <v/>
      </c>
      <c r="I2278" s="1446"/>
      <c r="J2278" s="1446" t="str">
        <f>IF(E2278=TRUE,Comments!$B$22&amp;DOLLAR(INDEX(Min_Table,M2278),0)&amp;Comments!$B$18&amp;DOLLAR(INDEX(Max_Table,M2278),0)&amp;Comments!$B$19&amp;DOLLAR(IF(Flag=TRUE,Page6!$L$9/Page6!$K$7,Page6!$L$9),0),"")</f>
        <v/>
      </c>
      <c r="K2278" s="1452"/>
      <c r="M2278" s="611">
        <f>ROW(OR_VEH!$A$610)</f>
        <v>610</v>
      </c>
      <c r="N2278" s="611" t="s">
        <v>1577</v>
      </c>
      <c r="O2278" s="611" t="str">
        <f t="shared" si="298"/>
        <v/>
      </c>
      <c r="P2278" s="611" t="str">
        <f t="shared" si="301"/>
        <v>Page6!L</v>
      </c>
      <c r="Q2278" s="611">
        <f t="shared" si="302"/>
        <v>9</v>
      </c>
      <c r="R2278" s="1447">
        <f t="shared" ca="1" si="303"/>
        <v>0</v>
      </c>
      <c r="S2278" s="1447">
        <f t="shared" ca="1" si="304"/>
        <v>0</v>
      </c>
      <c r="T2278" s="611">
        <v>22</v>
      </c>
      <c r="V2278" s="2557" t="str">
        <f t="shared" ca="1" si="306"/>
        <v/>
      </c>
      <c r="W2278" s="611" t="str">
        <f t="shared" ca="1" si="305"/>
        <v>Page6, Ligne 6 [Page6!L9]  -</v>
      </c>
    </row>
    <row r="2279" spans="1:23">
      <c r="A2279" s="1443" t="str">
        <f>celladdr(Page6!L11)</f>
        <v>Page6!L11</v>
      </c>
      <c r="B2279" s="1456" t="s">
        <v>1086</v>
      </c>
      <c r="C2279" s="1451" t="b">
        <f>Page6!$L$11&lt;0</f>
        <v>0</v>
      </c>
      <c r="D2279" s="1454" t="b">
        <f>OR(AND(Page6!$L$11&lt;&gt;0,Page6!$M$11=0),AND(Page6!$M$11&lt;&gt;0,Page6!$L$11=0))</f>
        <v>0</v>
      </c>
      <c r="E2279" s="1454"/>
      <c r="F2279" s="1454"/>
      <c r="G2279" s="1444" t="str">
        <f t="shared" si="300"/>
        <v/>
      </c>
      <c r="H2279" s="1447" t="str">
        <f>IF(C2279=TRUE,Comments!$B$23,"")</f>
        <v/>
      </c>
      <c r="I2279" s="1446" t="str">
        <f>IF(D2279=TRUE,Comments!$B$24,"")</f>
        <v/>
      </c>
      <c r="J2279" s="1446"/>
      <c r="K2279" s="1452"/>
      <c r="N2279" s="611" t="s">
        <v>1580</v>
      </c>
      <c r="O2279" s="611" t="str">
        <f t="shared" si="298"/>
        <v/>
      </c>
      <c r="P2279" s="611" t="str">
        <f t="shared" si="301"/>
        <v>Page6!L</v>
      </c>
      <c r="Q2279" s="611">
        <f t="shared" si="302"/>
        <v>11</v>
      </c>
      <c r="R2279" s="1447">
        <f t="shared" ca="1" si="303"/>
        <v>0</v>
      </c>
      <c r="S2279" s="1447">
        <f t="shared" ca="1" si="304"/>
        <v>0</v>
      </c>
      <c r="V2279" s="2557" t="str">
        <f t="shared" ca="1" si="306"/>
        <v/>
      </c>
      <c r="W2279" s="611" t="str">
        <f t="shared" ca="1" si="305"/>
        <v>Page6, Ligne 8 [Page6!L11]  -</v>
      </c>
    </row>
    <row r="2280" spans="1:23">
      <c r="A2280" s="1443" t="str">
        <f>celladdr(Page6!L13)</f>
        <v>Page6!L13</v>
      </c>
      <c r="B2280" s="1456" t="s">
        <v>1086</v>
      </c>
      <c r="C2280" s="1451" t="b">
        <f>Page6!$L$13&lt;0</f>
        <v>0</v>
      </c>
      <c r="D2280" s="1454" t="b">
        <f>OR(AND(Page6!$L$13&lt;&gt;0,Page6!$M$13=0),AND(Page6!$M$13&lt;&gt;0,Page6!$L$13=0))</f>
        <v>0</v>
      </c>
      <c r="E2280" s="1454"/>
      <c r="F2280" s="1454"/>
      <c r="G2280" s="1444" t="str">
        <f t="shared" si="300"/>
        <v/>
      </c>
      <c r="H2280" s="1447" t="str">
        <f>IF(C2280=TRUE,Comments!$B$23,"")</f>
        <v/>
      </c>
      <c r="I2280" s="1446" t="str">
        <f>IF(D2280=TRUE,Comments!$B$24,"")</f>
        <v/>
      </c>
      <c r="J2280" s="1446"/>
      <c r="K2280" s="1452"/>
      <c r="N2280" s="611" t="s">
        <v>1581</v>
      </c>
      <c r="O2280" s="611" t="str">
        <f t="shared" si="298"/>
        <v/>
      </c>
      <c r="P2280" s="611" t="str">
        <f t="shared" si="301"/>
        <v>Page6!L</v>
      </c>
      <c r="Q2280" s="611">
        <f t="shared" si="302"/>
        <v>13</v>
      </c>
      <c r="R2280" s="1447">
        <f t="shared" ca="1" si="303"/>
        <v>0</v>
      </c>
      <c r="S2280" s="1447">
        <f t="shared" ca="1" si="304"/>
        <v>0</v>
      </c>
      <c r="V2280" s="2557" t="str">
        <f t="shared" ca="1" si="306"/>
        <v/>
      </c>
      <c r="W2280" s="611" t="str">
        <f t="shared" ca="1" si="305"/>
        <v>Page6, Ligne 10 [Page6!L13]  -</v>
      </c>
    </row>
    <row r="2281" spans="1:23">
      <c r="A2281" s="1443" t="str">
        <f>celladdr(Page6!L16)</f>
        <v>Page6!L16</v>
      </c>
      <c r="B2281" s="1456" t="s">
        <v>1086</v>
      </c>
      <c r="C2281" s="1451" t="b">
        <f>Page6!$L$16&lt;0</f>
        <v>0</v>
      </c>
      <c r="D2281" s="1454" t="b">
        <f>OR(AND(Page6!$L$16&lt;&gt;0,Page6!$M$16=0),AND(Page6!$M$16&lt;&gt;0,Page6!$L$16=0))</f>
        <v>0</v>
      </c>
      <c r="E2281" s="1454"/>
      <c r="F2281" s="1454"/>
      <c r="G2281" s="1444" t="str">
        <f t="shared" si="300"/>
        <v/>
      </c>
      <c r="H2281" s="1447" t="str">
        <f>IF(C2281=TRUE,Comments!$B$23,"")</f>
        <v/>
      </c>
      <c r="I2281" s="1446" t="str">
        <f>IF(D2281=TRUE,Comments!$B$24,"")</f>
        <v/>
      </c>
      <c r="J2281" s="1446"/>
      <c r="K2281" s="1452"/>
      <c r="N2281" s="611" t="s">
        <v>1582</v>
      </c>
      <c r="O2281" s="611" t="str">
        <f t="shared" si="298"/>
        <v/>
      </c>
      <c r="P2281" s="611" t="str">
        <f t="shared" si="301"/>
        <v>Page6!L</v>
      </c>
      <c r="Q2281" s="611">
        <f t="shared" si="302"/>
        <v>16</v>
      </c>
      <c r="R2281" s="1447">
        <f t="shared" ca="1" si="303"/>
        <v>0</v>
      </c>
      <c r="S2281" s="1447">
        <f t="shared" ca="1" si="304"/>
        <v>0</v>
      </c>
      <c r="V2281" s="2557" t="str">
        <f t="shared" ca="1" si="306"/>
        <v/>
      </c>
      <c r="W2281" s="611" t="str">
        <f t="shared" ca="1" si="305"/>
        <v>Page6, Ligne 13 [Page6!L16]  -</v>
      </c>
    </row>
    <row r="2282" spans="1:23">
      <c r="A2282" s="1443" t="str">
        <f>celladdr(Page6!L24)</f>
        <v>Page6!L24</v>
      </c>
      <c r="B2282" s="1456" t="s">
        <v>1086</v>
      </c>
      <c r="C2282" s="1451" t="b">
        <f>Page6!$L$24&lt;0</f>
        <v>0</v>
      </c>
      <c r="D2282" s="1454" t="b">
        <f>OR(AND(Page6!$L24&lt;&gt;0,Page6!$M24=0),AND(Page6!$M24&lt;&gt;0,Page6!$L24=0))</f>
        <v>0</v>
      </c>
      <c r="E2282" s="1454"/>
      <c r="G2282" s="1444" t="str">
        <f t="shared" si="300"/>
        <v/>
      </c>
      <c r="H2282" s="1446" t="str">
        <f>IF(C2282=TRUE,Comments!$B$23,"")</f>
        <v/>
      </c>
      <c r="I2282" s="1446" t="str">
        <f>IF(D2282=TRUE,Comments!$B$24,"")</f>
        <v/>
      </c>
      <c r="J2282" s="1446"/>
      <c r="N2282" s="611" t="str">
        <f>_xlfn.CONCAT("MÉCA - ",Page6!D24," - CHIFFRE D'AFFAIRES RÉALISÉ - AAD")</f>
        <v>MÉCA - M-D'O CLIENT VOIT &amp; CAM LÉGERS - CHIFFRE D'AFFAIRES RÉALISÉ - AAD</v>
      </c>
      <c r="O2282" s="611" t="str">
        <f t="shared" si="298"/>
        <v/>
      </c>
      <c r="P2282" s="611" t="str">
        <f t="shared" si="301"/>
        <v>Page6!L</v>
      </c>
      <c r="Q2282" s="611">
        <f t="shared" si="302"/>
        <v>24</v>
      </c>
      <c r="R2282" s="1447">
        <f t="shared" ca="1" si="303"/>
        <v>0</v>
      </c>
      <c r="S2282" s="1447">
        <f t="shared" ca="1" si="304"/>
        <v>0</v>
      </c>
      <c r="V2282" s="2557" t="str">
        <f t="shared" ca="1" si="306"/>
        <v/>
      </c>
      <c r="W2282" s="611" t="str">
        <f t="shared" ca="1" si="305"/>
        <v>Page6, Ligne 21 [Page6!L24]  -</v>
      </c>
    </row>
    <row r="2283" spans="1:23">
      <c r="A2283" s="1443" t="str">
        <f>celladdr(Page6!L25)</f>
        <v>Page6!L25</v>
      </c>
      <c r="B2283" s="1456" t="s">
        <v>1086</v>
      </c>
      <c r="C2283" s="1451" t="b">
        <f>Page6!$L$25&lt;0</f>
        <v>0</v>
      </c>
      <c r="D2283" s="1454" t="b">
        <f>OR(AND(Page6!$L25&lt;&gt;0,Page6!$M25=0),AND(Page6!$M25&lt;&gt;0,Page6!$L25=0))</f>
        <v>0</v>
      </c>
      <c r="E2283" s="1454"/>
      <c r="G2283" s="1444" t="str">
        <f t="shared" si="300"/>
        <v/>
      </c>
      <c r="H2283" s="1446" t="str">
        <f>IF(C2283=TRUE,Comments!$B$23,"")</f>
        <v/>
      </c>
      <c r="I2283" s="1446" t="str">
        <f>IF(D2283=TRUE,Comments!$B$24,"")</f>
        <v/>
      </c>
      <c r="J2283" s="1446"/>
      <c r="N2283" s="611" t="str">
        <f>_xlfn.CONCAT("MÉCA - ",Page6!D25," - CHIFFRE D'AFFAIRES RÉALISÉ - AAD")</f>
        <v>MÉCA - M-D’O CLIENT - VOIT, CAM LÉGER VE - CHIFFRE D'AFFAIRES RÉALISÉ - AAD</v>
      </c>
      <c r="O2283" s="611" t="str">
        <f t="shared" si="298"/>
        <v/>
      </c>
      <c r="P2283" s="611" t="str">
        <f t="shared" si="301"/>
        <v>Page6!L</v>
      </c>
      <c r="Q2283" s="611">
        <f t="shared" si="302"/>
        <v>25</v>
      </c>
      <c r="R2283" s="1447">
        <f t="shared" ca="1" si="303"/>
        <v>0</v>
      </c>
      <c r="S2283" s="1447">
        <f t="shared" ca="1" si="304"/>
        <v>0</v>
      </c>
      <c r="W2283" s="611" t="str">
        <f t="shared" ca="1" si="305"/>
        <v>Page6, Ligne 22 [Page6!L25]  -</v>
      </c>
    </row>
    <row r="2284" spans="1:23">
      <c r="A2284" s="1443" t="str">
        <f>celladdr(Page6!L26)</f>
        <v>Page6!L26</v>
      </c>
      <c r="B2284" s="1456" t="s">
        <v>1086</v>
      </c>
      <c r="C2284" s="1451" t="b">
        <f>Page6!$L$26&lt;0</f>
        <v>0</v>
      </c>
      <c r="D2284" s="1454" t="b">
        <f>OR(AND(Page6!$L26&lt;&gt;0,Page6!$M26=0),AND(Page6!$M26&lt;&gt;0,Page6!$L26=0))</f>
        <v>0</v>
      </c>
      <c r="E2284" s="1454"/>
      <c r="G2284" s="1444" t="str">
        <f t="shared" si="300"/>
        <v/>
      </c>
      <c r="H2284" s="1446" t="str">
        <f>IF(C2284=TRUE,Comments!$B$23,"")</f>
        <v/>
      </c>
      <c r="I2284" s="1446" t="str">
        <f>IF(D2284=TRUE,Comments!$B$24,"")</f>
        <v/>
      </c>
      <c r="J2284" s="1446"/>
      <c r="N2284" s="611" t="str">
        <f>_xlfn.CONCAT("MÉCA - ",Page6!D26," - CHIFFRE D'AFFAIRES RÉALISÉ - AAD")</f>
        <v>MÉCA - M-D'O CONT. SERV.-VOIT &amp; CAM LÉGERS - CHIFFRE D'AFFAIRES RÉALISÉ - AAD</v>
      </c>
      <c r="O2284" s="611" t="str">
        <f t="shared" si="298"/>
        <v/>
      </c>
      <c r="P2284" s="611" t="str">
        <f t="shared" si="301"/>
        <v>Page6!L</v>
      </c>
      <c r="Q2284" s="611">
        <f t="shared" si="302"/>
        <v>26</v>
      </c>
      <c r="R2284" s="1447">
        <f t="shared" ca="1" si="303"/>
        <v>0</v>
      </c>
      <c r="S2284" s="1447">
        <f t="shared" ca="1" si="304"/>
        <v>0</v>
      </c>
      <c r="V2284" s="2557" t="str">
        <f ca="1">IF(SUM(R2284+S2284)=0,"","
*** "&amp;TEXT(SUM(R2284+S2284),"0,0")&amp;" Points de précision seront déduits suite à cette(ces) erreur(s) !")</f>
        <v/>
      </c>
      <c r="W2284" s="611" t="str">
        <f t="shared" ca="1" si="305"/>
        <v>Page6, Ligne 23 [Page6!L26]  -</v>
      </c>
    </row>
    <row r="2285" spans="1:23">
      <c r="A2285" s="1443" t="str">
        <f>celladdr(Page6!L27)</f>
        <v>Page6!L27</v>
      </c>
      <c r="B2285" s="1456" t="s">
        <v>1086</v>
      </c>
      <c r="C2285" s="1451" t="b">
        <f>Page6!$L$27&lt;0</f>
        <v>0</v>
      </c>
      <c r="D2285" s="1454" t="b">
        <f>OR(AND(Page6!$L27&lt;&gt;0,Page6!$M27=0),AND(Page6!$M27&lt;&gt;0,Page6!$L27=0))</f>
        <v>0</v>
      </c>
      <c r="E2285" s="1454"/>
      <c r="G2285" s="1444" t="str">
        <f t="shared" si="300"/>
        <v/>
      </c>
      <c r="H2285" s="1446" t="str">
        <f>IF(C2285=TRUE,Comments!$B$23,"")</f>
        <v/>
      </c>
      <c r="I2285" s="1446" t="str">
        <f>IF(D2285=TRUE,Comments!$B$24,"")</f>
        <v/>
      </c>
      <c r="J2285" s="1446"/>
      <c r="N2285" s="611" t="str">
        <f>_xlfn.CONCAT("MÉCA - ",Page6!D27," - CHIFFRE D'AFFAIRES RÉALISÉ - AAD")</f>
        <v>MÉCA - M-D’O CONT SERV - VOIT, CAM LÉGER VE - CHIFFRE D'AFFAIRES RÉALISÉ - AAD</v>
      </c>
      <c r="O2285" s="611" t="str">
        <f t="shared" si="298"/>
        <v/>
      </c>
      <c r="P2285" s="611" t="str">
        <f t="shared" si="301"/>
        <v>Page6!L</v>
      </c>
      <c r="Q2285" s="611">
        <f t="shared" si="302"/>
        <v>27</v>
      </c>
      <c r="R2285" s="1447">
        <f t="shared" ca="1" si="303"/>
        <v>0</v>
      </c>
      <c r="S2285" s="1447">
        <f t="shared" ca="1" si="304"/>
        <v>0</v>
      </c>
      <c r="W2285" s="611" t="str">
        <f t="shared" ca="1" si="305"/>
        <v>Page6, Ligne 24 [Page6!L27]  -</v>
      </c>
    </row>
    <row r="2286" spans="1:23">
      <c r="A2286" s="1443" t="str">
        <f>celladdr(Page6!L28)</f>
        <v>Page6!L28</v>
      </c>
      <c r="B2286" s="1456" t="s">
        <v>1086</v>
      </c>
      <c r="C2286" s="1451" t="b">
        <f>Page6!$L$28&lt;0</f>
        <v>0</v>
      </c>
      <c r="D2286" s="1454" t="b">
        <f>OR(AND(Page6!$L28&lt;&gt;0,Page6!$M28=0),AND(Page6!$M28&lt;&gt;0,Page6!$L28=0))</f>
        <v>0</v>
      </c>
      <c r="E2286" s="1454"/>
      <c r="G2286" s="1444" t="str">
        <f t="shared" si="300"/>
        <v/>
      </c>
      <c r="H2286" s="1446" t="str">
        <f>IF(C2286=TRUE,Comments!$B$23,"")</f>
        <v/>
      </c>
      <c r="I2286" s="1446" t="str">
        <f>IF(D2286=TRUE,Comments!$B$24,"")</f>
        <v/>
      </c>
      <c r="J2286" s="1446"/>
      <c r="N2286" s="611" t="str">
        <f>_xlfn.CONCAT("MÉCA - ",Page6!D28," - CHIFFRE D'AFFAIRES RÉALISÉ - AAD")</f>
        <v>MÉCA - M-D'O SERV RAPIDE VOIT &amp; CAM LÉG. - CHIFFRE D'AFFAIRES RÉALISÉ - AAD</v>
      </c>
      <c r="O2286" s="611" t="str">
        <f t="shared" si="298"/>
        <v/>
      </c>
      <c r="P2286" s="611" t="str">
        <f t="shared" si="301"/>
        <v>Page6!L</v>
      </c>
      <c r="Q2286" s="611">
        <f t="shared" si="302"/>
        <v>28</v>
      </c>
      <c r="R2286" s="1447">
        <f t="shared" ca="1" si="303"/>
        <v>0</v>
      </c>
      <c r="S2286" s="1447">
        <f t="shared" ca="1" si="304"/>
        <v>0</v>
      </c>
      <c r="V2286" s="2557" t="str">
        <f ca="1">IF(SUM(R2286+S2286)=0,"","
*** "&amp;TEXT(SUM(R2286+S2286),"0,0")&amp;" Points de précision seront déduits suite à cette(ces) erreur(s) !")</f>
        <v/>
      </c>
      <c r="W2286" s="611" t="str">
        <f t="shared" ca="1" si="305"/>
        <v>Page6, Ligne 25 [Page6!L28]  -</v>
      </c>
    </row>
    <row r="2287" spans="1:23">
      <c r="A2287" s="1443" t="str">
        <f>celladdr(Page6!L29)</f>
        <v>Page6!L29</v>
      </c>
      <c r="B2287" s="1456" t="s">
        <v>1086</v>
      </c>
      <c r="C2287" s="1451" t="b">
        <f>Page6!$L$29&lt;0</f>
        <v>0</v>
      </c>
      <c r="D2287" s="1454" t="b">
        <f>OR(AND(Page6!$L29&lt;&gt;0,Page6!$M29=0),AND(Page6!$M29&lt;&gt;0,Page6!$L29=0))</f>
        <v>0</v>
      </c>
      <c r="E2287" s="1454"/>
      <c r="G2287" s="1444" t="str">
        <f t="shared" si="300"/>
        <v/>
      </c>
      <c r="H2287" s="1446" t="str">
        <f>IF(C2287=TRUE,Comments!$B$23,"")</f>
        <v/>
      </c>
      <c r="I2287" s="1446" t="str">
        <f>IF(D2287=TRUE,Comments!$B$24,"")</f>
        <v/>
      </c>
      <c r="J2287" s="1446"/>
      <c r="N2287" s="611" t="str">
        <f>_xlfn.CONCAT("MÉCA - ",Page6!D29," - CHIFFRE D'AFFAIRES RÉALISÉ - AAD")</f>
        <v>MÉCA - M-D’O SERV MOBILE - VOIT, CAM LÉGER - CHIFFRE D'AFFAIRES RÉALISÉ - AAD</v>
      </c>
      <c r="O2287" s="611" t="str">
        <f t="shared" si="298"/>
        <v/>
      </c>
      <c r="P2287" s="611" t="str">
        <f t="shared" si="301"/>
        <v>Page6!L</v>
      </c>
      <c r="Q2287" s="611">
        <f t="shared" si="302"/>
        <v>29</v>
      </c>
      <c r="R2287" s="1447">
        <f t="shared" ca="1" si="303"/>
        <v>0</v>
      </c>
      <c r="S2287" s="1447">
        <f t="shared" ca="1" si="304"/>
        <v>0</v>
      </c>
      <c r="W2287" s="611" t="str">
        <f t="shared" ca="1" si="305"/>
        <v>Page6, Ligne 26 [Page6!L29]  -</v>
      </c>
    </row>
    <row r="2288" spans="1:23">
      <c r="A2288" s="1443" t="str">
        <f>celladdr(Page6!L30)</f>
        <v>Page6!L30</v>
      </c>
      <c r="B2288" s="1456" t="s">
        <v>1086</v>
      </c>
      <c r="C2288" s="1451" t="b">
        <f>Page6!$L$30&lt;0</f>
        <v>0</v>
      </c>
      <c r="D2288" s="1454" t="b">
        <f>OR(AND(Page6!$L30&lt;&gt;0,Page6!$M30=0),AND(Page6!$M30&lt;&gt;0,Page6!$L30=0))</f>
        <v>0</v>
      </c>
      <c r="E2288" s="1454"/>
      <c r="G2288" s="1444" t="str">
        <f t="shared" si="300"/>
        <v/>
      </c>
      <c r="H2288" s="1446" t="str">
        <f>IF(C2288=TRUE,Comments!$B$23,"")</f>
        <v/>
      </c>
      <c r="I2288" s="1446" t="str">
        <f>IF(D2288=TRUE,Comments!$B$24,"")</f>
        <v/>
      </c>
      <c r="J2288" s="1446"/>
      <c r="N2288" s="611" t="str">
        <f>_xlfn.CONCAT("MÉCA - ",Page6!D30," - CHIFFRE D'AFFAIRES RÉALISÉ - AAD")</f>
        <v>MÉCA - M-D’O CLIENT - NON-GM VE - CHIFFRE D'AFFAIRES RÉALISÉ - AAD</v>
      </c>
      <c r="O2288" s="611" t="str">
        <f t="shared" si="298"/>
        <v/>
      </c>
      <c r="P2288" s="611" t="str">
        <f t="shared" si="301"/>
        <v>Page6!L</v>
      </c>
      <c r="Q2288" s="611">
        <f t="shared" si="302"/>
        <v>30</v>
      </c>
      <c r="R2288" s="1447">
        <f t="shared" ca="1" si="303"/>
        <v>0</v>
      </c>
      <c r="S2288" s="1447">
        <f t="shared" ca="1" si="304"/>
        <v>0</v>
      </c>
      <c r="W2288" s="611" t="str">
        <f t="shared" ca="1" si="305"/>
        <v>Page6, Ligne 27 [Page6!L30]  -</v>
      </c>
    </row>
    <row r="2289" spans="1:23">
      <c r="A2289" s="1443" t="str">
        <f>celladdr(Page6!L31)</f>
        <v>Page6!L31</v>
      </c>
      <c r="B2289" s="1456" t="s">
        <v>1086</v>
      </c>
      <c r="C2289" s="1451" t="b">
        <f>Page6!$L$31&lt;0</f>
        <v>0</v>
      </c>
      <c r="D2289" s="1454" t="b">
        <f>OR(AND(Page6!$L31&lt;&gt;0,Page6!$M31=0),AND(Page6!$M31&lt;&gt;0,Page6!$L31=0))</f>
        <v>0</v>
      </c>
      <c r="E2289" s="1454"/>
      <c r="G2289" s="1444" t="str">
        <f t="shared" si="300"/>
        <v/>
      </c>
      <c r="H2289" s="1446" t="str">
        <f>IF(C2289=TRUE,Comments!$B$23,"")</f>
        <v/>
      </c>
      <c r="I2289" s="1446" t="str">
        <f>IF(D2289=TRUE,Comments!$B$24,"")</f>
        <v/>
      </c>
      <c r="J2289" s="1446"/>
      <c r="N2289" s="611" t="str">
        <f>_xlfn.CONCAT("MÉCA - ",Page6!D31," - CHIFFRE D'AFFAIRES RÉALISÉ - AAD")</f>
        <v>MÉCA - M-D'O CLIENT CAM. COM,PARCS,MOY - CHIFFRE D'AFFAIRES RÉALISÉ - AAD</v>
      </c>
      <c r="O2289" s="611" t="str">
        <f t="shared" si="298"/>
        <v/>
      </c>
      <c r="P2289" s="611" t="str">
        <f t="shared" si="301"/>
        <v>Page6!L</v>
      </c>
      <c r="Q2289" s="611">
        <f t="shared" si="302"/>
        <v>31</v>
      </c>
      <c r="R2289" s="1447">
        <f t="shared" ca="1" si="303"/>
        <v>0</v>
      </c>
      <c r="S2289" s="1447">
        <f t="shared" ca="1" si="304"/>
        <v>0</v>
      </c>
      <c r="V2289" s="2557" t="str">
        <f ca="1">IF(SUM(R2289+S2289)=0,"","
*** "&amp;TEXT(SUM(R2289+S2289),"0,0")&amp;" Points de précision seront déduits suite à cette(ces) erreur(s) !")</f>
        <v/>
      </c>
      <c r="W2289" s="611" t="str">
        <f t="shared" ca="1" si="305"/>
        <v>Page6, Ligne 28 [Page6!L31]  -</v>
      </c>
    </row>
    <row r="2290" spans="1:23">
      <c r="A2290" s="1443" t="str">
        <f>celladdr(Page6!L32)</f>
        <v>Page6!L32</v>
      </c>
      <c r="B2290" s="1456" t="s">
        <v>1086</v>
      </c>
      <c r="C2290" s="1451" t="b">
        <f>Page6!$L$32&lt;0</f>
        <v>0</v>
      </c>
      <c r="D2290" s="1454" t="b">
        <f>OR(AND(Page6!$L32&lt;&gt;0,Page6!$M32=0),AND(Page6!$M32&lt;&gt;0,Page6!$L32=0))</f>
        <v>0</v>
      </c>
      <c r="E2290" s="1454"/>
      <c r="G2290" s="1444" t="str">
        <f t="shared" si="300"/>
        <v/>
      </c>
      <c r="H2290" s="1446" t="str">
        <f>IF(C2290=TRUE,Comments!$B$23,"")</f>
        <v/>
      </c>
      <c r="I2290" s="1446" t="str">
        <f>IF(D2290=TRUE,Comments!$B$24,"")</f>
        <v/>
      </c>
      <c r="J2290" s="1446"/>
      <c r="N2290" s="611" t="str">
        <f>_xlfn.CONCAT("MÉCA - ",Page6!D32," - CHIFFRE D'AFFAIRES RÉALISÉ - AAD")</f>
        <v>MÉCA - M-D’O CLIENT - CAM COM,PARCS,MOY VE - CHIFFRE D'AFFAIRES RÉALISÉ - AAD</v>
      </c>
      <c r="O2290" s="611" t="str">
        <f t="shared" si="298"/>
        <v/>
      </c>
      <c r="P2290" s="611" t="str">
        <f t="shared" si="301"/>
        <v>Page6!L</v>
      </c>
      <c r="Q2290" s="611">
        <f t="shared" si="302"/>
        <v>32</v>
      </c>
      <c r="R2290" s="1447">
        <f t="shared" ca="1" si="303"/>
        <v>0</v>
      </c>
      <c r="S2290" s="1447">
        <f t="shared" ca="1" si="304"/>
        <v>0</v>
      </c>
      <c r="W2290" s="611" t="str">
        <f t="shared" ca="1" si="305"/>
        <v>Page6, Ligne 29 [Page6!L32]  -</v>
      </c>
    </row>
    <row r="2291" spans="1:23">
      <c r="A2291" s="1443" t="str">
        <f>celladdr(Page6!L33)</f>
        <v>Page6!L33</v>
      </c>
      <c r="B2291" s="1456" t="s">
        <v>1086</v>
      </c>
      <c r="C2291" s="1451" t="b">
        <f>Page6!$L$33&lt;0</f>
        <v>0</v>
      </c>
      <c r="D2291" s="1454" t="b">
        <f>OR(AND(Page6!$L33&lt;&gt;0,Page6!$M33=0),AND(Page6!$M33&lt;&gt;0,Page6!$L33=0))</f>
        <v>0</v>
      </c>
      <c r="E2291" s="1454"/>
      <c r="G2291" s="1444" t="str">
        <f t="shared" si="300"/>
        <v/>
      </c>
      <c r="H2291" s="1446" t="str">
        <f>IF(C2291=TRUE,Comments!$B$23,"")</f>
        <v/>
      </c>
      <c r="I2291" s="1446" t="str">
        <f>IF(D2291=TRUE,Comments!$B$24,"")</f>
        <v/>
      </c>
      <c r="J2291" s="1446"/>
      <c r="N2291" s="611" t="str">
        <f>_xlfn.CONCAT("MÉCA - ",Page6!D33," - CHIFFRE D'AFFAIRES RÉALISÉ - AAD")</f>
        <v>MÉCA - M-D'O CONT. SERV.  CAM COM,PARCS,MOY - CHIFFRE D'AFFAIRES RÉALISÉ - AAD</v>
      </c>
      <c r="O2291" s="611" t="str">
        <f t="shared" si="298"/>
        <v/>
      </c>
      <c r="P2291" s="611" t="str">
        <f t="shared" si="301"/>
        <v>Page6!L</v>
      </c>
      <c r="Q2291" s="611">
        <f t="shared" si="302"/>
        <v>33</v>
      </c>
      <c r="R2291" s="1447">
        <f t="shared" ca="1" si="303"/>
        <v>0</v>
      </c>
      <c r="S2291" s="1447">
        <f t="shared" ca="1" si="304"/>
        <v>0</v>
      </c>
      <c r="V2291" s="2557" t="str">
        <f ca="1">IF(SUM(R2291+S2291)=0,"","
*** "&amp;TEXT(SUM(R2291+S2291),"0,0")&amp;" Points de précision seront déduits suite à cette(ces) erreur(s) !")</f>
        <v/>
      </c>
      <c r="W2291" s="611" t="str">
        <f t="shared" ca="1" si="305"/>
        <v>Page6, Ligne 30 [Page6!L33]  -</v>
      </c>
    </row>
    <row r="2292" spans="1:23">
      <c r="A2292" s="1443" t="str">
        <f>celladdr(Page6!L34)</f>
        <v>Page6!L34</v>
      </c>
      <c r="B2292" s="1456" t="s">
        <v>1086</v>
      </c>
      <c r="C2292" s="1451" t="b">
        <f>Page6!$L$34&lt;0</f>
        <v>0</v>
      </c>
      <c r="D2292" s="1454" t="b">
        <f>OR(AND(Page6!$L34&lt;&gt;0,Page6!$M34=0),AND(Page6!$M34&lt;&gt;0,Page6!$L34=0))</f>
        <v>0</v>
      </c>
      <c r="E2292" s="1454"/>
      <c r="G2292" s="1444" t="str">
        <f t="shared" si="300"/>
        <v/>
      </c>
      <c r="H2292" s="1446" t="str">
        <f>IF(C2292=TRUE,Comments!$B$23,"")</f>
        <v/>
      </c>
      <c r="I2292" s="1446" t="str">
        <f>IF(D2292=TRUE,Comments!$B$24,"")</f>
        <v/>
      </c>
      <c r="J2292" s="1446"/>
      <c r="N2292" s="611" t="str">
        <f>_xlfn.CONCAT("MÉCA - ",Page6!D34," - CHIFFRE D'AFFAIRES RÉALISÉ - AAD")</f>
        <v>MÉCA - M-D’O CONT SERV - CAM COM,PARCS,MOY VE - CHIFFRE D'AFFAIRES RÉALISÉ - AAD</v>
      </c>
      <c r="O2292" s="611" t="str">
        <f t="shared" si="298"/>
        <v/>
      </c>
      <c r="P2292" s="611" t="str">
        <f t="shared" si="301"/>
        <v>Page6!L</v>
      </c>
      <c r="Q2292" s="611">
        <f t="shared" si="302"/>
        <v>34</v>
      </c>
      <c r="R2292" s="1447">
        <f t="shared" ca="1" si="303"/>
        <v>0</v>
      </c>
      <c r="S2292" s="1447">
        <f t="shared" ca="1" si="304"/>
        <v>0</v>
      </c>
      <c r="W2292" s="611" t="str">
        <f t="shared" ca="1" si="305"/>
        <v>Page6, Ligne 31 [Page6!L34]  -</v>
      </c>
    </row>
    <row r="2293" spans="1:23">
      <c r="A2293" s="1443" t="str">
        <f>celladdr(Page6!L35)</f>
        <v>Page6!L35</v>
      </c>
      <c r="B2293" s="1456" t="s">
        <v>1086</v>
      </c>
      <c r="C2293" s="1451" t="b">
        <f>Page6!$L$35&lt;0</f>
        <v>0</v>
      </c>
      <c r="D2293" s="1454" t="b">
        <f>OR(AND(Page6!$L$35&lt;&gt;0,Page6!$M$35=0),AND(Page6!$M$35&lt;&gt;0,Page6!$L$35=0))</f>
        <v>0</v>
      </c>
      <c r="E2293" s="1454"/>
      <c r="G2293" s="1444" t="str">
        <f t="shared" si="300"/>
        <v/>
      </c>
      <c r="H2293" s="1446" t="str">
        <f>IF(C2293=TRUE,Comments!$B$23,"")</f>
        <v/>
      </c>
      <c r="I2293" s="1446" t="str">
        <f>IF(D2293=TRUE,Comments!$B$24,"")</f>
        <v/>
      </c>
      <c r="J2293" s="1446"/>
      <c r="N2293" s="611" t="str">
        <f>_xlfn.CONCAT("MÉCA - ",Page6!D35," - CHIFFRE D'AFFAIRES RÉALISÉ - AAD")</f>
        <v>MÉCA - M-D'O SERV RAPIDE CAM,PARCS,MOY VE - CHIFFRE D'AFFAIRES RÉALISÉ - AAD</v>
      </c>
      <c r="O2293" s="611" t="str">
        <f t="shared" si="298"/>
        <v/>
      </c>
      <c r="P2293" s="611" t="str">
        <f t="shared" si="301"/>
        <v>Page6!L</v>
      </c>
      <c r="Q2293" s="611">
        <f t="shared" si="302"/>
        <v>35</v>
      </c>
      <c r="R2293" s="1447">
        <f t="shared" ca="1" si="303"/>
        <v>0</v>
      </c>
      <c r="S2293" s="1447">
        <f t="shared" ca="1" si="304"/>
        <v>0</v>
      </c>
      <c r="V2293" s="2557" t="str">
        <f t="shared" ref="V2293:V2308" ca="1" si="307">IF(SUM(R2293+S2293)=0,"","
*** "&amp;TEXT(SUM(R2293+S2293),"0,0")&amp;" Points de précision seront déduits suite à cette(ces) erreur(s) !")</f>
        <v/>
      </c>
      <c r="W2293" s="611" t="str">
        <f t="shared" ca="1" si="305"/>
        <v>Page6, Ligne 32 [Page6!L35]  -</v>
      </c>
    </row>
    <row r="2294" spans="1:23">
      <c r="A2294" s="1443" t="str">
        <f>celladdr(Page6!L36)</f>
        <v>Page6!L36</v>
      </c>
      <c r="B2294" s="1456" t="s">
        <v>1086</v>
      </c>
      <c r="C2294" s="1451" t="b">
        <f>Page6!$L$36&lt;0</f>
        <v>0</v>
      </c>
      <c r="D2294" s="1454" t="b">
        <f>OR(AND(Page6!$L$36&lt;&gt;0,Page6!$M$36=0),AND(Page6!$M$36&lt;&gt;0,Page6!$L$36=0))</f>
        <v>0</v>
      </c>
      <c r="E2294" s="1454"/>
      <c r="G2294" s="1444" t="str">
        <f t="shared" si="300"/>
        <v/>
      </c>
      <c r="H2294" s="1446" t="str">
        <f>IF(C2294=TRUE,Comments!$B$23,"")</f>
        <v/>
      </c>
      <c r="I2294" s="1446" t="str">
        <f>IF(D2294=TRUE,Comments!$B$24,"")</f>
        <v/>
      </c>
      <c r="J2294" s="1446"/>
      <c r="N2294" s="611" t="str">
        <f>_xlfn.CONCAT("MÉCA - ",Page6!D36," - CHIFFRE D'AFFAIRES RÉALISÉ - AAD")</f>
        <v>MÉCA - M-D'O RÉCLAMATION GARANTIE - CHIFFRE D'AFFAIRES RÉALISÉ - AAD</v>
      </c>
      <c r="O2294" s="611" t="str">
        <f t="shared" si="298"/>
        <v/>
      </c>
      <c r="P2294" s="611" t="str">
        <f t="shared" si="301"/>
        <v>Page6!L</v>
      </c>
      <c r="Q2294" s="611">
        <f t="shared" si="302"/>
        <v>36</v>
      </c>
      <c r="R2294" s="1447">
        <f t="shared" ca="1" si="303"/>
        <v>0</v>
      </c>
      <c r="S2294" s="1447">
        <f t="shared" ca="1" si="304"/>
        <v>0</v>
      </c>
      <c r="V2294" s="2557" t="str">
        <f t="shared" ca="1" si="307"/>
        <v/>
      </c>
      <c r="W2294" s="611" t="str">
        <f t="shared" ca="1" si="305"/>
        <v>Page6, Ligne 33 [Page6!L36]  -</v>
      </c>
    </row>
    <row r="2295" spans="1:23">
      <c r="A2295" s="1443" t="str">
        <f>celladdr(Page6!L37)</f>
        <v>Page6!L37</v>
      </c>
      <c r="B2295" s="1456" t="s">
        <v>1086</v>
      </c>
      <c r="C2295" s="1451" t="b">
        <f>Page6!$L$37&lt;0</f>
        <v>0</v>
      </c>
      <c r="D2295" s="1454" t="b">
        <f>OR(AND(Page6!$L$37&lt;&gt;0,Page6!$M$37=0),AND(Page6!$M$37&lt;&gt;0,Page6!$L$37=0))</f>
        <v>0</v>
      </c>
      <c r="E2295" s="1454"/>
      <c r="G2295" s="1444" t="str">
        <f t="shared" si="300"/>
        <v/>
      </c>
      <c r="H2295" s="1446" t="str">
        <f>IF(C2295=TRUE,Comments!$B$23,"")</f>
        <v/>
      </c>
      <c r="I2295" s="1446" t="str">
        <f>IF(D2295=TRUE,Comments!$B$24,"")</f>
        <v/>
      </c>
      <c r="J2295" s="1446"/>
      <c r="N2295" s="611" t="str">
        <f>_xlfn.CONCAT("MÉCA - ",Page6!D37," - CHIFFRE D'AFFAIRES RÉALISÉ - AAD")</f>
        <v>MÉCA - MAIN-D'ŒUVRE INTERNE - CHIFFRE D'AFFAIRES RÉALISÉ - AAD</v>
      </c>
      <c r="O2295" s="611" t="str">
        <f t="shared" si="298"/>
        <v/>
      </c>
      <c r="P2295" s="611" t="str">
        <f t="shared" si="301"/>
        <v>Page6!L</v>
      </c>
      <c r="Q2295" s="611">
        <f t="shared" si="302"/>
        <v>37</v>
      </c>
      <c r="R2295" s="1447">
        <f t="shared" ca="1" si="303"/>
        <v>0</v>
      </c>
      <c r="S2295" s="1447">
        <f t="shared" ca="1" si="304"/>
        <v>0</v>
      </c>
      <c r="V2295" s="2557" t="str">
        <f t="shared" ca="1" si="307"/>
        <v/>
      </c>
      <c r="W2295" s="611" t="str">
        <f t="shared" ca="1" si="305"/>
        <v>Page6, Ligne 34 [Page6!L37]  -</v>
      </c>
    </row>
    <row r="2296" spans="1:23">
      <c r="A2296" s="1443" t="str">
        <f>celladdr(Page6!L38)</f>
        <v>Page6!L38</v>
      </c>
      <c r="B2296" s="1456" t="s">
        <v>1086</v>
      </c>
      <c r="C2296" s="1451" t="b">
        <f>Page6!$L$38&lt;0</f>
        <v>0</v>
      </c>
      <c r="D2296" s="1454" t="b">
        <f>OR(AND(Page6!$L$38&lt;&gt;0,Page6!$M$38=0),AND(Page6!$M$38&lt;&gt;0,Page6!$L$38=0))</f>
        <v>0</v>
      </c>
      <c r="E2296" s="1454"/>
      <c r="G2296" s="1444" t="str">
        <f t="shared" si="300"/>
        <v/>
      </c>
      <c r="H2296" s="1446" t="str">
        <f>IF(C2296=TRUE,Comments!$B$23,"")</f>
        <v/>
      </c>
      <c r="I2296" s="1446" t="str">
        <f>IF(D2296=TRUE,Comments!$B$24,"")</f>
        <v/>
      </c>
      <c r="J2296" s="1446"/>
      <c r="N2296" s="611" t="str">
        <f>_xlfn.CONCAT("MÉCA - ",Page6!D38," - CHIFFRE D'AFFAIRES RÉALISÉ - AAD")</f>
        <v>MÉCA - M-D'O INSPECTION VÉHICULES NEUFS - CHIFFRE D'AFFAIRES RÉALISÉ - AAD</v>
      </c>
      <c r="O2296" s="611" t="str">
        <f t="shared" si="298"/>
        <v/>
      </c>
      <c r="P2296" s="611" t="str">
        <f t="shared" si="301"/>
        <v>Page6!L</v>
      </c>
      <c r="Q2296" s="611">
        <f t="shared" si="302"/>
        <v>38</v>
      </c>
      <c r="R2296" s="1447">
        <f t="shared" ca="1" si="303"/>
        <v>0</v>
      </c>
      <c r="S2296" s="1447">
        <f t="shared" ca="1" si="304"/>
        <v>0</v>
      </c>
      <c r="V2296" s="2557" t="str">
        <f t="shared" ca="1" si="307"/>
        <v/>
      </c>
      <c r="W2296" s="611" t="str">
        <f t="shared" ca="1" si="305"/>
        <v>Page6, Ligne 35 [Page6!L38]  -</v>
      </c>
    </row>
    <row r="2297" spans="1:23">
      <c r="A2297" s="1443" t="str">
        <f>celladdr(Page6!L41)</f>
        <v>Page6!L41</v>
      </c>
      <c r="B2297" s="1456" t="s">
        <v>1086</v>
      </c>
      <c r="C2297" s="1451" t="b">
        <f>Page6!$L$41&lt;0</f>
        <v>0</v>
      </c>
      <c r="D2297" s="1454" t="b">
        <f>OR(AND(Page6!$L$41&lt;&gt;0,Page6!$M$41=0),AND(Page6!$M$41&lt;&gt;0,Page6!$L$41=0))</f>
        <v>0</v>
      </c>
      <c r="F2297" s="1454"/>
      <c r="G2297" s="1444" t="str">
        <f t="shared" si="300"/>
        <v/>
      </c>
      <c r="H2297" s="1447" t="str">
        <f>IF(C2297=TRUE,Comments!$B$23,"")</f>
        <v/>
      </c>
      <c r="I2297" s="1446" t="str">
        <f>IF(D2297=TRUE,Comments!$B$24,"")</f>
        <v/>
      </c>
      <c r="J2297" s="1452"/>
      <c r="K2297" s="1452"/>
      <c r="N2297" s="611" t="s">
        <v>1583</v>
      </c>
      <c r="O2297" s="611" t="str">
        <f t="shared" si="298"/>
        <v/>
      </c>
      <c r="P2297" s="611" t="str">
        <f t="shared" si="301"/>
        <v>Page6!L</v>
      </c>
      <c r="Q2297" s="611">
        <f t="shared" si="302"/>
        <v>41</v>
      </c>
      <c r="R2297" s="1447">
        <f t="shared" ca="1" si="303"/>
        <v>0</v>
      </c>
      <c r="S2297" s="1447">
        <f t="shared" ca="1" si="304"/>
        <v>0</v>
      </c>
      <c r="V2297" s="2557" t="str">
        <f t="shared" ca="1" si="307"/>
        <v/>
      </c>
      <c r="W2297" s="611" t="str">
        <f t="shared" ca="1" si="305"/>
        <v>Page6, Ligne 38 [Page6!L41]  -</v>
      </c>
    </row>
    <row r="2298" spans="1:23">
      <c r="A2298" s="1443" t="str">
        <f>celladdr(Page6!L42)</f>
        <v>Page6!L42</v>
      </c>
      <c r="B2298" s="1456" t="s">
        <v>1086</v>
      </c>
      <c r="C2298" s="1451" t="b">
        <f>Page6!$L$42&lt;0</f>
        <v>0</v>
      </c>
      <c r="D2298" s="1454" t="b">
        <f>OR(AND(Page6!$L$42&lt;&gt;0,Page6!$M$42=0),AND(Page6!$M$42&lt;&gt;0,Page6!$L$42=0))</f>
        <v>0</v>
      </c>
      <c r="F2298" s="1454"/>
      <c r="G2298" s="1444" t="str">
        <f t="shared" si="300"/>
        <v/>
      </c>
      <c r="H2298" s="1447" t="str">
        <f>IF(C2298=TRUE,Comments!$B$23,"")</f>
        <v/>
      </c>
      <c r="I2298" s="1446" t="str">
        <f>IF(D2298=TRUE,Comments!$B$24,"")</f>
        <v/>
      </c>
      <c r="J2298" s="1452"/>
      <c r="K2298" s="1452"/>
      <c r="N2298" s="611" t="s">
        <v>1584</v>
      </c>
      <c r="O2298" s="611" t="str">
        <f t="shared" si="298"/>
        <v/>
      </c>
      <c r="P2298" s="611" t="str">
        <f t="shared" si="301"/>
        <v>Page6!L</v>
      </c>
      <c r="Q2298" s="611">
        <f t="shared" si="302"/>
        <v>42</v>
      </c>
      <c r="R2298" s="1447">
        <f t="shared" ca="1" si="303"/>
        <v>0</v>
      </c>
      <c r="S2298" s="1447">
        <f t="shared" ca="1" si="304"/>
        <v>0</v>
      </c>
      <c r="V2298" s="2557" t="str">
        <f t="shared" ca="1" si="307"/>
        <v/>
      </c>
      <c r="W2298" s="611" t="str">
        <f t="shared" ca="1" si="305"/>
        <v>Page6, Ligne 39 [Page6!L42]  -</v>
      </c>
    </row>
    <row r="2299" spans="1:23">
      <c r="A2299" s="1443" t="str">
        <f>celladdr(Page6!L43)</f>
        <v>Page6!L43</v>
      </c>
      <c r="B2299" s="1444" t="s">
        <v>1086</v>
      </c>
      <c r="C2299" s="1445" t="b">
        <f>Page6!$N$43&lt;&gt;Page6!$N$40+Page6!$N$41+Page6!$N$42</f>
        <v>0</v>
      </c>
      <c r="D2299" s="1454"/>
      <c r="F2299" s="1454"/>
      <c r="G2299" s="1444" t="str">
        <f t="shared" si="300"/>
        <v/>
      </c>
      <c r="H2299" s="1446" t="str">
        <f>IF(C2299=TRUE,Comments!$B$43&amp;DOLLAR(Page6!$N$43-(Page6!$N$40+Page6!$N$41+Page6!$N$42),0),"")</f>
        <v/>
      </c>
      <c r="I2299" s="1452"/>
      <c r="J2299" s="1452"/>
      <c r="K2299" s="1452"/>
      <c r="N2299" s="611" t="s">
        <v>1585</v>
      </c>
      <c r="O2299" s="611" t="str">
        <f t="shared" si="298"/>
        <v/>
      </c>
      <c r="P2299" s="611" t="str">
        <f t="shared" si="301"/>
        <v>Page6!L</v>
      </c>
      <c r="Q2299" s="611">
        <f t="shared" si="302"/>
        <v>43</v>
      </c>
      <c r="R2299" s="1447">
        <f t="shared" ca="1" si="303"/>
        <v>0</v>
      </c>
      <c r="S2299" s="1447">
        <f t="shared" ca="1" si="304"/>
        <v>0</v>
      </c>
      <c r="V2299" s="2557" t="str">
        <f t="shared" ca="1" si="307"/>
        <v/>
      </c>
      <c r="W2299" s="611" t="str">
        <f t="shared" ca="1" si="305"/>
        <v>Page6, Ligne 40 [Page6!L43]  -</v>
      </c>
    </row>
    <row r="2300" spans="1:23">
      <c r="A2300" s="1443" t="str">
        <f>celladdr(Page6!L44)</f>
        <v>Page6!L44</v>
      </c>
      <c r="B2300" s="1456" t="s">
        <v>1086</v>
      </c>
      <c r="C2300" s="1451" t="b">
        <f>Page6!$L$44&lt;0</f>
        <v>0</v>
      </c>
      <c r="D2300" s="1454" t="b">
        <f>OR(AND(Page6!$L$44&lt;&gt;0,Page6!$M$44=0),AND(Page6!$M$44&lt;&gt;0,Page6!$L$44=0))</f>
        <v>0</v>
      </c>
      <c r="E2300" s="1454"/>
      <c r="G2300" s="1444" t="str">
        <f t="shared" si="300"/>
        <v/>
      </c>
      <c r="H2300" s="1446" t="str">
        <f>IF(C2300=TRUE,Comments!$B$23,"")</f>
        <v/>
      </c>
      <c r="I2300" s="1446" t="str">
        <f>IF(D2300=TRUE,Comments!$B$24,"")</f>
        <v/>
      </c>
      <c r="J2300" s="1446"/>
      <c r="N2300" s="611" t="s">
        <v>1586</v>
      </c>
      <c r="O2300" s="611" t="str">
        <f t="shared" si="298"/>
        <v/>
      </c>
      <c r="P2300" s="611" t="str">
        <f t="shared" si="301"/>
        <v>Page6!L</v>
      </c>
      <c r="Q2300" s="611">
        <f t="shared" si="302"/>
        <v>44</v>
      </c>
      <c r="R2300" s="1447">
        <f t="shared" ca="1" si="303"/>
        <v>0</v>
      </c>
      <c r="S2300" s="1447">
        <f t="shared" ca="1" si="304"/>
        <v>0</v>
      </c>
      <c r="V2300" s="2557" t="str">
        <f t="shared" ca="1" si="307"/>
        <v/>
      </c>
      <c r="W2300" s="611" t="str">
        <f t="shared" ca="1" si="305"/>
        <v>Page6, Ligne 41 [Page6!L44]  -</v>
      </c>
    </row>
    <row r="2301" spans="1:23">
      <c r="A2301" s="1443" t="str">
        <f>celladdr(Page6!L45)</f>
        <v>Page6!L45</v>
      </c>
      <c r="B2301" s="1456" t="s">
        <v>1086</v>
      </c>
      <c r="C2301" s="1451" t="b">
        <f>Page6!$L$45&lt;0</f>
        <v>0</v>
      </c>
      <c r="D2301" s="1454" t="b">
        <f>OR(AND(Page6!$L$45&lt;&gt;0,Page6!$M$45=0),AND(Page6!$M$45&lt;&gt;0,Page6!$L$45=0))</f>
        <v>0</v>
      </c>
      <c r="E2301" s="1454"/>
      <c r="G2301" s="1444" t="str">
        <f t="shared" si="300"/>
        <v/>
      </c>
      <c r="H2301" s="1446" t="str">
        <f>IF(C2301=TRUE,Comments!$B$23,"")</f>
        <v/>
      </c>
      <c r="I2301" s="1446" t="str">
        <f>IF(D2301=TRUE,Comments!$B$24,"")</f>
        <v/>
      </c>
      <c r="J2301" s="1446"/>
      <c r="N2301" s="611" t="s">
        <v>1587</v>
      </c>
      <c r="O2301" s="611" t="str">
        <f t="shared" si="298"/>
        <v/>
      </c>
      <c r="P2301" s="611" t="str">
        <f t="shared" si="301"/>
        <v>Page6!L</v>
      </c>
      <c r="Q2301" s="611">
        <f t="shared" si="302"/>
        <v>45</v>
      </c>
      <c r="R2301" s="1447">
        <f t="shared" ca="1" si="303"/>
        <v>0</v>
      </c>
      <c r="S2301" s="1447">
        <f t="shared" ca="1" si="304"/>
        <v>0</v>
      </c>
      <c r="V2301" s="2557" t="str">
        <f t="shared" ca="1" si="307"/>
        <v/>
      </c>
      <c r="W2301" s="611" t="str">
        <f t="shared" ca="1" si="305"/>
        <v>Page6, Ligne 42 [Page6!L45]  -</v>
      </c>
    </row>
    <row r="2302" spans="1:23">
      <c r="A2302" s="1443" t="str">
        <f>celladdr(Page6!L46)</f>
        <v>Page6!L46</v>
      </c>
      <c r="B2302" s="1456" t="s">
        <v>1086</v>
      </c>
      <c r="C2302" s="1451" t="b">
        <f>Page6!$L$46&lt;0</f>
        <v>0</v>
      </c>
      <c r="D2302" s="1454" t="b">
        <f>OR(AND(Page6!$L$46&lt;&gt;0,Page6!$M$46=0),AND(Page6!$M$46&lt;&gt;0,Page6!$L$46=0))</f>
        <v>0</v>
      </c>
      <c r="E2302" s="1454"/>
      <c r="G2302" s="1444" t="str">
        <f t="shared" si="300"/>
        <v/>
      </c>
      <c r="H2302" s="1446" t="str">
        <f>IF(C2302=TRUE,Comments!$B$23,"")</f>
        <v/>
      </c>
      <c r="I2302" s="1446" t="str">
        <f>IF(D2302=TRUE,Comments!$B$24,"")</f>
        <v/>
      </c>
      <c r="J2302" s="1446"/>
      <c r="N2302" s="611" t="s">
        <v>1588</v>
      </c>
      <c r="O2302" s="611" t="str">
        <f t="shared" ref="O2302:O2308" si="308">IF(A2302=A2301,"TRUE","")</f>
        <v/>
      </c>
      <c r="P2302" s="611" t="str">
        <f t="shared" si="301"/>
        <v>Page6!L</v>
      </c>
      <c r="Q2302" s="611">
        <f t="shared" si="302"/>
        <v>46</v>
      </c>
      <c r="R2302" s="1447">
        <f t="shared" ca="1" si="303"/>
        <v>0</v>
      </c>
      <c r="S2302" s="1447">
        <f t="shared" ca="1" si="304"/>
        <v>0</v>
      </c>
      <c r="V2302" s="2557" t="str">
        <f t="shared" ca="1" si="307"/>
        <v/>
      </c>
      <c r="W2302" s="611" t="str">
        <f t="shared" ca="1" si="305"/>
        <v>Page6, Ligne 43 [Page6!L46]  -</v>
      </c>
    </row>
    <row r="2303" spans="1:23">
      <c r="A2303" s="1443" t="str">
        <f>celladdr(Page6!L47)</f>
        <v>Page6!L47</v>
      </c>
      <c r="B2303" s="1456" t="s">
        <v>1086</v>
      </c>
      <c r="C2303" s="1451" t="b">
        <f>Page6!$L$47&lt;0</f>
        <v>0</v>
      </c>
      <c r="D2303" s="1454" t="b">
        <f>OR(AND(Page6!$L$47&lt;&gt;0,Page6!$M$47=0),AND(Page6!$M$47&lt;&gt;0,Page6!$L$47=0))</f>
        <v>0</v>
      </c>
      <c r="E2303" s="1454"/>
      <c r="G2303" s="1444" t="str">
        <f t="shared" si="300"/>
        <v/>
      </c>
      <c r="H2303" s="1446" t="str">
        <f>IF(C2303=TRUE,Comments!$B$23,"")</f>
        <v/>
      </c>
      <c r="I2303" s="1446" t="str">
        <f>IF(D2303=TRUE,Comments!$B$24,"")</f>
        <v/>
      </c>
      <c r="J2303" s="1446"/>
      <c r="N2303" s="611" t="s">
        <v>1589</v>
      </c>
      <c r="O2303" s="611" t="str">
        <f t="shared" si="308"/>
        <v/>
      </c>
      <c r="P2303" s="611" t="str">
        <f t="shared" si="301"/>
        <v>Page6!L</v>
      </c>
      <c r="Q2303" s="611">
        <f t="shared" si="302"/>
        <v>47</v>
      </c>
      <c r="R2303" s="1447">
        <f t="shared" ca="1" si="303"/>
        <v>0</v>
      </c>
      <c r="S2303" s="1447">
        <f t="shared" ca="1" si="304"/>
        <v>0</v>
      </c>
      <c r="V2303" s="2557" t="str">
        <f t="shared" ca="1" si="307"/>
        <v/>
      </c>
      <c r="W2303" s="611" t="str">
        <f t="shared" ca="1" si="305"/>
        <v>Page6, Ligne 44 [Page6!L47]  -</v>
      </c>
    </row>
    <row r="2304" spans="1:23">
      <c r="A2304" s="1443" t="str">
        <f>celladdr(Page6!L50)</f>
        <v>Page6!L50</v>
      </c>
      <c r="B2304" s="1456" t="s">
        <v>1086</v>
      </c>
      <c r="C2304" s="1451" t="b">
        <f>Page6!$L$50&lt;0</f>
        <v>0</v>
      </c>
      <c r="D2304" s="1454" t="b">
        <f>OR(AND(Page6!$L$50&lt;&gt;0,Page6!$M$50=0),AND(Page6!$M$50&lt;&gt;0,Page6!$L$50=0))</f>
        <v>0</v>
      </c>
      <c r="F2304" s="1454"/>
      <c r="G2304" s="1444" t="str">
        <f t="shared" si="300"/>
        <v/>
      </c>
      <c r="H2304" s="1447" t="str">
        <f>IF(C2304=TRUE,Comments!$B$23,"")</f>
        <v/>
      </c>
      <c r="I2304" s="1446" t="str">
        <f>IF(D2304=TRUE,Comments!$B$24,"")</f>
        <v/>
      </c>
      <c r="J2304" s="1452"/>
      <c r="K2304" s="1452"/>
      <c r="N2304" s="611" t="s">
        <v>1590</v>
      </c>
      <c r="O2304" s="611" t="str">
        <f t="shared" si="308"/>
        <v/>
      </c>
      <c r="P2304" s="611" t="str">
        <f t="shared" si="301"/>
        <v>Page6!L</v>
      </c>
      <c r="Q2304" s="611">
        <f t="shared" si="302"/>
        <v>50</v>
      </c>
      <c r="R2304" s="1447">
        <f t="shared" ca="1" si="303"/>
        <v>0</v>
      </c>
      <c r="S2304" s="1447">
        <f t="shared" ca="1" si="304"/>
        <v>0</v>
      </c>
      <c r="V2304" s="2557" t="str">
        <f t="shared" ca="1" si="307"/>
        <v/>
      </c>
      <c r="W2304" s="611" t="str">
        <f t="shared" ca="1" si="305"/>
        <v>Page6, Ligne 47 [Page6!L50]  -</v>
      </c>
    </row>
    <row r="2305" spans="1:23">
      <c r="A2305" s="1443" t="str">
        <f>celladdr(Page6!L51)</f>
        <v>Page6!L51</v>
      </c>
      <c r="B2305" s="1456" t="s">
        <v>1086</v>
      </c>
      <c r="C2305" s="1451" t="b">
        <f>Page6!$L$51&lt;0</f>
        <v>0</v>
      </c>
      <c r="D2305" s="1454" t="b">
        <f>OR(AND(Page6!$L$51&lt;&gt;0,Page6!$M$51=0),AND(Page6!$M$51&lt;&gt;0,Page6!$L$51=0))</f>
        <v>0</v>
      </c>
      <c r="F2305" s="1454"/>
      <c r="G2305" s="1444" t="str">
        <f t="shared" si="300"/>
        <v/>
      </c>
      <c r="H2305" s="1447" t="str">
        <f>IF(C2305=TRUE,Comments!$B$23,"")</f>
        <v/>
      </c>
      <c r="I2305" s="1446" t="str">
        <f>IF(D2305=TRUE,Comments!$B$24,"")</f>
        <v/>
      </c>
      <c r="J2305" s="1452"/>
      <c r="K2305" s="1452"/>
      <c r="N2305" s="611" t="s">
        <v>1591</v>
      </c>
      <c r="O2305" s="611" t="str">
        <f t="shared" si="308"/>
        <v/>
      </c>
      <c r="P2305" s="611" t="str">
        <f t="shared" si="301"/>
        <v>Page6!L</v>
      </c>
      <c r="Q2305" s="611">
        <f t="shared" si="302"/>
        <v>51</v>
      </c>
      <c r="R2305" s="1447">
        <f t="shared" ca="1" si="303"/>
        <v>0</v>
      </c>
      <c r="S2305" s="1447">
        <f t="shared" ca="1" si="304"/>
        <v>0</v>
      </c>
      <c r="V2305" s="2557" t="str">
        <f t="shared" ca="1" si="307"/>
        <v/>
      </c>
      <c r="W2305" s="611" t="str">
        <f t="shared" ca="1" si="305"/>
        <v>Page6, Ligne 48 [Page6!L51]  -</v>
      </c>
    </row>
    <row r="2306" spans="1:23">
      <c r="A2306" s="1443" t="str">
        <f>celladdr(Page6!L52)</f>
        <v>Page6!L52</v>
      </c>
      <c r="B2306" s="1444" t="s">
        <v>1086</v>
      </c>
      <c r="C2306" s="1445" t="b">
        <f>Page6!$N$52&lt;&gt;Page6!$N$49+Page6!$N$50+Page6!$N$51</f>
        <v>0</v>
      </c>
      <c r="D2306" s="1454"/>
      <c r="F2306" s="1454"/>
      <c r="G2306" s="1444" t="str">
        <f t="shared" ref="G2306:G2369" si="309">IF(H2306&amp;I2306&amp;J2306&amp;K2306&lt;&gt;"","No.de ref. du commentaire.: "&amp;W2306&amp;" "&amp;N2306&amp;" "&amp;H2306&amp;I2306&amp;IF(OR(C2306=TRUE,D2306=TRUE),"",J2306&amp;K2306&amp;V2306),"")</f>
        <v/>
      </c>
      <c r="H2306" s="1446" t="str">
        <f>IF(C2306=TRUE,Comments!$B$45&amp;DOLLAR(Page6!$N$52-(Page6!$N$49+Page6!$N$50+Page6!$N$51),0),"")</f>
        <v/>
      </c>
      <c r="I2306" s="1452"/>
      <c r="J2306" s="1452"/>
      <c r="K2306" s="1452"/>
      <c r="N2306" s="611" t="s">
        <v>1592</v>
      </c>
      <c r="O2306" s="611" t="str">
        <f t="shared" si="308"/>
        <v/>
      </c>
      <c r="P2306" s="611" t="str">
        <f t="shared" ref="P2306:P2369" si="310">LEFT(A2306,FIND("!",A2306)+1)</f>
        <v>Page6!L</v>
      </c>
      <c r="Q2306" s="611">
        <f t="shared" ref="Q2306:Q2369" si="311">VALUE(RIGHT(A2306,LEN(A2306)-FIND("!",A2306)-1))</f>
        <v>52</v>
      </c>
      <c r="R2306" s="1447">
        <f t="shared" ref="R2306:R2369" ca="1" si="312">IF(E2306=TRUE,INDIRECT("Comments!$D$"&amp;T2306),0)</f>
        <v>0</v>
      </c>
      <c r="S2306" s="1447">
        <f t="shared" ref="S2306:S2369" ca="1" si="313">IF(F2306=TRUE,INDIRECT("Comments!$D$"&amp;U2306),0)</f>
        <v>0</v>
      </c>
      <c r="V2306" s="2557" t="str">
        <f t="shared" ca="1" si="307"/>
        <v/>
      </c>
      <c r="W2306" s="611" t="str">
        <f t="shared" ref="W2306:W2369" ca="1" si="314">LEFT(A2306,FIND("!",A2306,1)-1)&amp;", Ligne "&amp;INDIRECT(ADDRESS(ROW(INDIRECT(A2306)),IF(INDIRECT(ADDRESS(ROW(INDIRECT(A2306)),1,,,LEFT(A2306,FIND("!",A2306,1)-1)))="",2,1),,,LEFT(A2306,FIND("!",A2306,1)-1)))&amp;" ["&amp;A2306&amp;"] "&amp;" -"</f>
        <v>Page6, Ligne 49 [Page6!L52]  -</v>
      </c>
    </row>
    <row r="2307" spans="1:23">
      <c r="A2307" s="1443" t="str">
        <f>celladdr(Page6!L54)</f>
        <v>Page6!L54</v>
      </c>
      <c r="B2307" s="1456" t="s">
        <v>1086</v>
      </c>
      <c r="C2307" s="1451" t="b">
        <f>Page6!$L$54&lt;0</f>
        <v>0</v>
      </c>
      <c r="D2307" s="1454" t="b">
        <f>OR(AND(Page6!$L$54&lt;&gt;0,Page6!$M$54=0),AND(Page6!$M$54&lt;&gt;0,Page6!$L$54=0))</f>
        <v>0</v>
      </c>
      <c r="E2307" s="1454" t="b">
        <f>IF(Page6!$O$54=0,FALSE,OR(Page6!$O$54&lt;INDEX(Min_Table,L2307),Page6!$O$54&gt;INDEX(Max_Table,L2307)))</f>
        <v>0</v>
      </c>
      <c r="G2307" s="1444" t="str">
        <f t="shared" si="309"/>
        <v/>
      </c>
      <c r="H2307" s="1446" t="str">
        <f>IF(C2307=TRUE,Comments!$B$23,"")</f>
        <v/>
      </c>
      <c r="I2307" s="1446" t="str">
        <f>IF(D2307=TRUE,Comments!$B$24,"")</f>
        <v/>
      </c>
      <c r="J2307" s="1446" t="str">
        <f>IF(E2307=TRUE,Comments!$B$22&amp;INDEX(Min_Table,L2307)&amp;Comments!$B$18&amp;INDEX(Max_Table,L2307)&amp;Comments!$B$19&amp;Page6!$O$54,"")</f>
        <v/>
      </c>
      <c r="L2307" s="611">
        <f>ROW(OR_VEH!$A$665)</f>
        <v>665</v>
      </c>
      <c r="N2307" s="611" t="s">
        <v>1593</v>
      </c>
      <c r="O2307" s="611" t="str">
        <f t="shared" si="308"/>
        <v/>
      </c>
      <c r="P2307" s="611" t="str">
        <f t="shared" si="310"/>
        <v>Page6!L</v>
      </c>
      <c r="Q2307" s="611">
        <f t="shared" si="311"/>
        <v>54</v>
      </c>
      <c r="R2307" s="1447">
        <f t="shared" ca="1" si="312"/>
        <v>0</v>
      </c>
      <c r="S2307" s="1447">
        <f t="shared" ca="1" si="313"/>
        <v>0</v>
      </c>
      <c r="T2307" s="611">
        <v>22</v>
      </c>
      <c r="V2307" s="2557" t="str">
        <f t="shared" ca="1" si="307"/>
        <v/>
      </c>
      <c r="W2307" s="611" t="str">
        <f t="shared" ca="1" si="314"/>
        <v>Page6, Ligne 51 [Page6!L54]  -</v>
      </c>
    </row>
    <row r="2308" spans="1:23">
      <c r="A2308" s="1443" t="str">
        <f>celladdr(Page6!L55)</f>
        <v>Page6!L55</v>
      </c>
      <c r="B2308" s="1456" t="s">
        <v>1086</v>
      </c>
      <c r="C2308" s="1451" t="b">
        <f>Page6!$L$55&lt;0</f>
        <v>0</v>
      </c>
      <c r="D2308" s="1454" t="b">
        <f>OR(AND(Page6!$L55&lt;&gt;0,Page6!$M55=0),AND(Page6!$M55&lt;&gt;0,Page6!$L55=0))</f>
        <v>0</v>
      </c>
      <c r="E2308" s="1454"/>
      <c r="G2308" s="1444" t="str">
        <f t="shared" si="309"/>
        <v/>
      </c>
      <c r="H2308" s="1446" t="str">
        <f>IF(C2308=TRUE,Comments!$B$23,"")</f>
        <v/>
      </c>
      <c r="I2308" s="1446" t="str">
        <f>IF(D2308=TRUE,Comments!$B$24,"")</f>
        <v/>
      </c>
      <c r="J2308" s="1446"/>
      <c r="N2308" s="611" t="str">
        <f>_xlfn.CONCAT("P&amp;A - ",Page6!D55,"  - CHIFFRE D'AFFAIRES RÉALISÉ - AAD")</f>
        <v>P&amp;A - B.R. SERV VOIT &amp; CAM LÉG.  - CHIFFRE D'AFFAIRES RÉALISÉ - AAD</v>
      </c>
      <c r="O2308" s="611" t="str">
        <f t="shared" si="308"/>
        <v/>
      </c>
      <c r="P2308" s="611" t="str">
        <f t="shared" si="310"/>
        <v>Page6!L</v>
      </c>
      <c r="Q2308" s="611">
        <f t="shared" si="311"/>
        <v>55</v>
      </c>
      <c r="R2308" s="1447">
        <f t="shared" ca="1" si="312"/>
        <v>0</v>
      </c>
      <c r="S2308" s="1447">
        <f t="shared" ca="1" si="313"/>
        <v>0</v>
      </c>
      <c r="V2308" s="2557" t="str">
        <f t="shared" ca="1" si="307"/>
        <v/>
      </c>
      <c r="W2308" s="611" t="str">
        <f t="shared" ca="1" si="314"/>
        <v>Page6, Ligne 52 [Page6!L55]  -</v>
      </c>
    </row>
    <row r="2309" spans="1:23">
      <c r="A2309" s="1443" t="str">
        <f>celladdr(Page6!L56)</f>
        <v>Page6!L56</v>
      </c>
      <c r="B2309" s="1456" t="s">
        <v>1086</v>
      </c>
      <c r="C2309" s="1451" t="b">
        <f>Page6!$L$56&lt;0</f>
        <v>0</v>
      </c>
      <c r="D2309" s="1454" t="b">
        <f>OR(AND(Page6!$L56&lt;&gt;0,Page6!$M56=0),AND(Page6!$M56&lt;&gt;0,Page6!$L56=0))</f>
        <v>0</v>
      </c>
      <c r="E2309" s="1454"/>
      <c r="G2309" s="1444" t="str">
        <f t="shared" si="309"/>
        <v/>
      </c>
      <c r="H2309" s="1446" t="str">
        <f>IF(C2309=TRUE,Comments!$B$23,"")</f>
        <v/>
      </c>
      <c r="I2309" s="1446" t="str">
        <f>IF(D2309=TRUE,Comments!$B$24,"")</f>
        <v/>
      </c>
      <c r="J2309" s="1446"/>
      <c r="N2309" s="611" t="str">
        <f>_xlfn.CONCAT("P&amp;A - ",Page6!D56,"  - CHIFFRE D'AFFAIRES RÉALISÉ - AAD")</f>
        <v>P&amp;A - B.R. SERV - VOIT, CAM LÉGER VE  - CHIFFRE D'AFFAIRES RÉALISÉ - AAD</v>
      </c>
      <c r="P2309" s="611" t="str">
        <f t="shared" si="310"/>
        <v>Page6!L</v>
      </c>
      <c r="Q2309" s="611">
        <f t="shared" si="311"/>
        <v>56</v>
      </c>
      <c r="R2309" s="1447">
        <f t="shared" ca="1" si="312"/>
        <v>0</v>
      </c>
      <c r="S2309" s="1447">
        <f t="shared" ca="1" si="313"/>
        <v>0</v>
      </c>
      <c r="W2309" s="611" t="str">
        <f t="shared" ca="1" si="314"/>
        <v>Page6, Ligne 53 [Page6!L56]  -</v>
      </c>
    </row>
    <row r="2310" spans="1:23">
      <c r="A2310" s="1443" t="str">
        <f>celladdr(Page6!L57)</f>
        <v>Page6!L57</v>
      </c>
      <c r="B2310" s="1456" t="s">
        <v>1086</v>
      </c>
      <c r="C2310" s="1451" t="b">
        <f>Page6!$L$57&lt;0</f>
        <v>0</v>
      </c>
      <c r="D2310" s="1454" t="b">
        <f>OR(AND(Page6!$L57&lt;&gt;0,Page6!$M57=0),AND(Page6!$M57&lt;&gt;0,Page6!$L57=0))</f>
        <v>0</v>
      </c>
      <c r="E2310" s="1454"/>
      <c r="G2310" s="1444" t="str">
        <f t="shared" si="309"/>
        <v/>
      </c>
      <c r="H2310" s="1446" t="str">
        <f>IF(C2310=TRUE,Comments!$B$23,"")</f>
        <v/>
      </c>
      <c r="I2310" s="1446" t="str">
        <f>IF(D2310=TRUE,Comments!$B$24,"")</f>
        <v/>
      </c>
      <c r="J2310" s="1446"/>
      <c r="N2310" s="611" t="str">
        <f>_xlfn.CONCAT("P&amp;A - ",Page6!D57,"  - CHIFFRE D'AFFAIRES RÉALISÉ - AAD")</f>
        <v>P&amp;A - B.R. SERV CAM MOY &amp; SAAB  - CHIFFRE D'AFFAIRES RÉALISÉ - AAD</v>
      </c>
      <c r="O2310" s="611" t="str">
        <f>IF(A2310=A2308,"TRUE","")</f>
        <v/>
      </c>
      <c r="P2310" s="611" t="str">
        <f t="shared" si="310"/>
        <v>Page6!L</v>
      </c>
      <c r="Q2310" s="611">
        <f t="shared" si="311"/>
        <v>57</v>
      </c>
      <c r="R2310" s="1447">
        <f t="shared" ca="1" si="312"/>
        <v>0</v>
      </c>
      <c r="S2310" s="1447">
        <f t="shared" ca="1" si="313"/>
        <v>0</v>
      </c>
      <c r="V2310" s="2557" t="str">
        <f ca="1">IF(SUM(R2310+S2310)=0,"","
*** "&amp;TEXT(SUM(R2310+S2310),"0,0")&amp;" Points de précision seront déduits suite à cette(ces) erreur(s) !")</f>
        <v/>
      </c>
      <c r="W2310" s="611" t="str">
        <f t="shared" ca="1" si="314"/>
        <v>Page6, Ligne 54 [Page6!L57]  -</v>
      </c>
    </row>
    <row r="2311" spans="1:23">
      <c r="A2311" s="1443" t="str">
        <f>celladdr(Page6!L58)</f>
        <v>Page6!L58</v>
      </c>
      <c r="B2311" s="1456" t="s">
        <v>1086</v>
      </c>
      <c r="C2311" s="1451" t="b">
        <f>Page6!$L$59&lt;0</f>
        <v>0</v>
      </c>
      <c r="D2311" s="1454" t="b">
        <f>OR(AND(Page6!$L58&lt;&gt;0,Page6!$M58=0),AND(Page6!$M58&lt;&gt;0,Page6!$L58=0))</f>
        <v>0</v>
      </c>
      <c r="E2311" s="1454"/>
      <c r="G2311" s="1444" t="str">
        <f t="shared" si="309"/>
        <v/>
      </c>
      <c r="H2311" s="1446" t="str">
        <f>IF(C2311=TRUE,Comments!$B$23,"")</f>
        <v/>
      </c>
      <c r="I2311" s="1446" t="str">
        <f>IF(D2311=TRUE,Comments!$B$24,"")</f>
        <v/>
      </c>
      <c r="J2311" s="1446"/>
      <c r="N2311" s="611" t="str">
        <f>_xlfn.CONCAT("P&amp;A - ",Page6!D58,"  - CHIFFRE D'AFFAIRES RÉALISÉ - AAD")</f>
        <v>P&amp;A - B.R. SERV - CAM COM,PARCS,MOY VE  - CHIFFRE D'AFFAIRES RÉALISÉ - AAD</v>
      </c>
      <c r="P2311" s="611" t="str">
        <f t="shared" si="310"/>
        <v>Page6!L</v>
      </c>
      <c r="Q2311" s="611">
        <f t="shared" si="311"/>
        <v>58</v>
      </c>
      <c r="R2311" s="1447">
        <f t="shared" ca="1" si="312"/>
        <v>0</v>
      </c>
      <c r="S2311" s="1447">
        <f t="shared" ca="1" si="313"/>
        <v>0</v>
      </c>
      <c r="W2311" s="611" t="str">
        <f t="shared" ca="1" si="314"/>
        <v>Page6, Ligne 55 [Page6!L58]  -</v>
      </c>
    </row>
    <row r="2312" spans="1:23">
      <c r="A2312" s="1443" t="str">
        <f>celladdr(Page6!L59)</f>
        <v>Page6!L59</v>
      </c>
      <c r="B2312" s="1456" t="s">
        <v>1086</v>
      </c>
      <c r="C2312" s="1451" t="b">
        <f>Page6!$L$59&lt;0</f>
        <v>0</v>
      </c>
      <c r="D2312" s="1454" t="b">
        <f>OR(AND(Page6!$L59&lt;&gt;0,Page6!$M59=0),AND(Page6!$M59&lt;&gt;0,Page6!$L59=0))</f>
        <v>0</v>
      </c>
      <c r="E2312" s="1454"/>
      <c r="G2312" s="1444" t="str">
        <f t="shared" si="309"/>
        <v/>
      </c>
      <c r="H2312" s="1446" t="str">
        <f>IF(C2312=TRUE,Comments!$B$23,"")</f>
        <v/>
      </c>
      <c r="I2312" s="1446" t="str">
        <f>IF(D2312=TRUE,Comments!$B$24,"")</f>
        <v/>
      </c>
      <c r="J2312" s="1446"/>
      <c r="N2312" s="611" t="str">
        <f>_xlfn.CONCAT("P&amp;A - ",Page6!D59,"  - CHIFFRE D'AFFAIRES RÉALISÉ - AAD")</f>
        <v>P&amp;A - B.R. SERVICE RAPIDE  - CHIFFRE D'AFFAIRES RÉALISÉ - AAD</v>
      </c>
      <c r="O2312" s="611" t="str">
        <f>IF(A2312=A2310,"TRUE","")</f>
        <v/>
      </c>
      <c r="P2312" s="611" t="str">
        <f t="shared" si="310"/>
        <v>Page6!L</v>
      </c>
      <c r="Q2312" s="611">
        <f t="shared" si="311"/>
        <v>59</v>
      </c>
      <c r="R2312" s="1447">
        <f t="shared" ca="1" si="312"/>
        <v>0</v>
      </c>
      <c r="S2312" s="1447">
        <f t="shared" ca="1" si="313"/>
        <v>0</v>
      </c>
      <c r="V2312" s="2557" t="str">
        <f ca="1">IF(SUM(R2312+S2312)=0,"","
*** "&amp;TEXT(SUM(R2312+S2312),"0,0")&amp;" Points de précision seront déduits suite à cette(ces) erreur(s) !")</f>
        <v/>
      </c>
      <c r="W2312" s="611" t="str">
        <f t="shared" ca="1" si="314"/>
        <v>Page6, Ligne 56 [Page6!L59]  -</v>
      </c>
    </row>
    <row r="2313" spans="1:23">
      <c r="A2313" s="1443" t="str">
        <f>celladdr(Page6!L60)</f>
        <v>Page6!L60</v>
      </c>
      <c r="B2313" s="1456" t="s">
        <v>1086</v>
      </c>
      <c r="C2313" s="1451" t="b">
        <f>Page6!$L$60&lt;0</f>
        <v>0</v>
      </c>
      <c r="D2313" s="1454" t="b">
        <f>OR(AND(Page6!$L60&lt;&gt;0,Page6!$M60=0),AND(Page6!$M60&lt;&gt;0,Page6!$L60=0))</f>
        <v>0</v>
      </c>
      <c r="E2313" s="1454"/>
      <c r="G2313" s="1444" t="str">
        <f t="shared" si="309"/>
        <v/>
      </c>
      <c r="H2313" s="1446" t="str">
        <f>IF(C2313=TRUE,Comments!$B$23,"")</f>
        <v/>
      </c>
      <c r="I2313" s="1446" t="str">
        <f>IF(D2313=TRUE,Comments!$B$24,"")</f>
        <v/>
      </c>
      <c r="J2313" s="1446"/>
      <c r="N2313" s="611" t="str">
        <f>_xlfn.CONCAT("P&amp;A - ",Page6!D60,"  - CHIFFRE D'AFFAIRES RÉALISÉ - AAD")</f>
        <v>P&amp;A - B.R. CLIENT CARROSSERIE  - CHIFFRE D'AFFAIRES RÉALISÉ - AAD</v>
      </c>
      <c r="O2313" s="611" t="str">
        <f>IF(A2313=A2312,"TRUE","")</f>
        <v/>
      </c>
      <c r="P2313" s="611" t="str">
        <f t="shared" si="310"/>
        <v>Page6!L</v>
      </c>
      <c r="Q2313" s="611">
        <f t="shared" si="311"/>
        <v>60</v>
      </c>
      <c r="R2313" s="1447">
        <f t="shared" ca="1" si="312"/>
        <v>0</v>
      </c>
      <c r="S2313" s="1447">
        <f t="shared" ca="1" si="313"/>
        <v>0</v>
      </c>
      <c r="V2313" s="2557" t="str">
        <f ca="1">IF(SUM(R2313+S2313)=0,"","
*** "&amp;TEXT(SUM(R2313+S2313),"0,0")&amp;" Points de précision seront déduits suite à cette(ces) erreur(s) !")</f>
        <v/>
      </c>
      <c r="W2313" s="611" t="str">
        <f t="shared" ca="1" si="314"/>
        <v>Page6, Ligne 57 [Page6!L60]  -</v>
      </c>
    </row>
    <row r="2314" spans="1:23">
      <c r="A2314" s="1443" t="str">
        <f>celladdr(Page6!L61)</f>
        <v>Page6!L61</v>
      </c>
      <c r="B2314" s="1456" t="s">
        <v>1086</v>
      </c>
      <c r="C2314" s="1451" t="b">
        <f>Page6!$L$61&lt;0</f>
        <v>0</v>
      </c>
      <c r="D2314" s="1454" t="b">
        <f>OR(AND(Page6!$L61&lt;&gt;0,Page6!$M61=0),AND(Page6!$M61&lt;&gt;0,Page6!$L61=0))</f>
        <v>0</v>
      </c>
      <c r="E2314" s="1454"/>
      <c r="G2314" s="1444" t="str">
        <f t="shared" si="309"/>
        <v/>
      </c>
      <c r="H2314" s="1446" t="str">
        <f>IF(C2314=TRUE,Comments!$B$23,"")</f>
        <v/>
      </c>
      <c r="I2314" s="1446" t="str">
        <f>IF(D2314=TRUE,Comments!$B$24,"")</f>
        <v/>
      </c>
      <c r="J2314" s="1446"/>
      <c r="N2314" s="611" t="str">
        <f>_xlfn.CONCAT("P&amp;A - ",Page6!D61,"  - CHIFFRE D'AFFAIRES RÉALISÉ - AAD")</f>
        <v>P&amp;A - B.R. CLIENT SERV MOBILE  - CHIFFRE D'AFFAIRES RÉALISÉ - AAD</v>
      </c>
      <c r="P2314" s="611" t="str">
        <f t="shared" si="310"/>
        <v>Page6!L</v>
      </c>
      <c r="Q2314" s="611">
        <f t="shared" si="311"/>
        <v>61</v>
      </c>
      <c r="R2314" s="1447">
        <f t="shared" ca="1" si="312"/>
        <v>0</v>
      </c>
      <c r="S2314" s="1447">
        <f t="shared" ca="1" si="313"/>
        <v>0</v>
      </c>
      <c r="W2314" s="611" t="str">
        <f t="shared" ca="1" si="314"/>
        <v>Page6, Ligne 58 [Page6!L61]  -</v>
      </c>
    </row>
    <row r="2315" spans="1:23">
      <c r="A2315" s="1443" t="str">
        <f>celladdr(Page6!L62)</f>
        <v>Page6!L62</v>
      </c>
      <c r="B2315" s="1456" t="s">
        <v>1086</v>
      </c>
      <c r="C2315" s="1451" t="b">
        <f>Page6!$L$62&lt;0</f>
        <v>0</v>
      </c>
      <c r="D2315" s="1454" t="b">
        <f>OR(AND(Page6!$L62&lt;&gt;0,Page6!$M62=0),AND(Page6!$M62&lt;&gt;0,Page6!$L62=0))</f>
        <v>0</v>
      </c>
      <c r="E2315" s="1454"/>
      <c r="G2315" s="1444" t="str">
        <f t="shared" si="309"/>
        <v/>
      </c>
      <c r="H2315" s="1446" t="str">
        <f>IF(C2315=TRUE,Comments!$B$23,"")</f>
        <v/>
      </c>
      <c r="I2315" s="1446" t="str">
        <f>IF(D2315=TRUE,Comments!$B$24,"")</f>
        <v/>
      </c>
      <c r="J2315" s="1446"/>
      <c r="N2315" s="611" t="str">
        <f>_xlfn.CONCAT("P&amp;A - ",Page6!D62,"  - CHIFFRE D'AFFAIRES RÉALISÉ - AAD")</f>
        <v>P&amp;A - B.R. CLIENT NON-GM VE  - CHIFFRE D'AFFAIRES RÉALISÉ - AAD</v>
      </c>
      <c r="P2315" s="611" t="str">
        <f t="shared" si="310"/>
        <v>Page6!L</v>
      </c>
      <c r="Q2315" s="611">
        <f t="shared" si="311"/>
        <v>62</v>
      </c>
      <c r="R2315" s="1447">
        <f t="shared" ca="1" si="312"/>
        <v>0</v>
      </c>
      <c r="S2315" s="1447">
        <f t="shared" ca="1" si="313"/>
        <v>0</v>
      </c>
      <c r="W2315" s="611" t="str">
        <f t="shared" ca="1" si="314"/>
        <v>Page6, Ligne 59 [Page6!L62]  -</v>
      </c>
    </row>
    <row r="2316" spans="1:23">
      <c r="A2316" s="1443" t="str">
        <f>celladdr(Page6!L63)</f>
        <v>Page6!L63</v>
      </c>
      <c r="B2316" s="1456" t="s">
        <v>1086</v>
      </c>
      <c r="C2316" s="1451" t="b">
        <f>Page6!$L$63&lt;0</f>
        <v>0</v>
      </c>
      <c r="D2316" s="1454" t="b">
        <f>OR(AND(Page6!$L63&lt;&gt;0,Page6!$M63=0),AND(Page6!$M63&lt;&gt;0,Page6!$L63=0))</f>
        <v>0</v>
      </c>
      <c r="E2316" s="1454"/>
      <c r="G2316" s="1444" t="str">
        <f t="shared" si="309"/>
        <v/>
      </c>
      <c r="H2316" s="1446" t="str">
        <f>IF(C2316=TRUE,Comments!$B$23,"")</f>
        <v/>
      </c>
      <c r="I2316" s="1446" t="str">
        <f>IF(D2316=TRUE,Comments!$B$24,"")</f>
        <v/>
      </c>
      <c r="J2316" s="1446"/>
      <c r="N2316" s="611" t="str">
        <f>_xlfn.CONCAT("P&amp;A - ",Page6!D63,"  - CHIFFRE D'AFFAIRES RÉALISÉ - AAD")</f>
        <v>P&amp;A - INTERNE  - CHIFFRE D'AFFAIRES RÉALISÉ - AAD</v>
      </c>
      <c r="O2316" s="611" t="str">
        <f>IF(A2316=A2313,"TRUE","")</f>
        <v/>
      </c>
      <c r="P2316" s="611" t="str">
        <f t="shared" si="310"/>
        <v>Page6!L</v>
      </c>
      <c r="Q2316" s="611">
        <f t="shared" si="311"/>
        <v>63</v>
      </c>
      <c r="R2316" s="1447">
        <f t="shared" ca="1" si="312"/>
        <v>0</v>
      </c>
      <c r="S2316" s="1447">
        <f t="shared" ca="1" si="313"/>
        <v>0</v>
      </c>
      <c r="V2316" s="2557" t="str">
        <f ca="1">IF(SUM(R2316+S2316)=0,"","
*** "&amp;TEXT(SUM(R2316+S2316),"0,0")&amp;" Points de précision seront déduits suite à cette(ces) erreur(s) !")</f>
        <v/>
      </c>
      <c r="W2316" s="611" t="str">
        <f t="shared" ca="1" si="314"/>
        <v>Page6, Ligne 60 [Page6!L63]  -</v>
      </c>
    </row>
    <row r="2317" spans="1:23">
      <c r="A2317" s="1443" t="str">
        <f>celladdr(Page6!L64)</f>
        <v>Page6!L64</v>
      </c>
      <c r="B2317" s="1456" t="s">
        <v>1086</v>
      </c>
      <c r="C2317" s="1451" t="b">
        <f>Page6!$L$65&lt;0</f>
        <v>0</v>
      </c>
      <c r="D2317" s="1454" t="b">
        <f>OR(AND(Page6!$L64&lt;&gt;0,Page6!$M64=0),AND(Page6!$M64&lt;&gt;0,Page6!$L64=0))</f>
        <v>0</v>
      </c>
      <c r="E2317" s="1454"/>
      <c r="G2317" s="1444" t="str">
        <f t="shared" si="309"/>
        <v/>
      </c>
      <c r="H2317" s="1446" t="str">
        <f>IF(C2317=TRUE,Comments!$B$23,"")</f>
        <v/>
      </c>
      <c r="I2317" s="1446" t="str">
        <f>IF(D2317=TRUE,Comments!$B$24,"")</f>
        <v/>
      </c>
      <c r="J2317" s="1446"/>
      <c r="N2317" s="611" t="str">
        <f>_xlfn.CONCAT("P&amp;A - ",Page6!D64,"  - CHIFFRE D'AFFAIRES RÉALISÉ - AAD")</f>
        <v>P&amp;A - VENTES AU DÉTAIL - COMPTOIR  - CHIFFRE D'AFFAIRES RÉALISÉ - AAD</v>
      </c>
      <c r="O2317" s="611" t="str">
        <f>IF(A2317=A2316,"TRUE","")</f>
        <v/>
      </c>
      <c r="P2317" s="611" t="str">
        <f t="shared" si="310"/>
        <v>Page6!L</v>
      </c>
      <c r="Q2317" s="611">
        <f t="shared" si="311"/>
        <v>64</v>
      </c>
      <c r="R2317" s="1447">
        <f t="shared" ca="1" si="312"/>
        <v>0</v>
      </c>
      <c r="S2317" s="1447">
        <f t="shared" ca="1" si="313"/>
        <v>0</v>
      </c>
      <c r="V2317" s="2557" t="str">
        <f ca="1">IF(SUM(R2317+S2317)=0,"","
*** "&amp;TEXT(SUM(R2317+S2317),"0,0")&amp;" Points de précision seront déduits suite à cette(ces) erreur(s) !")</f>
        <v/>
      </c>
      <c r="W2317" s="611" t="str">
        <f t="shared" ca="1" si="314"/>
        <v>Page6, Ligne 61 [Page6!L64]  -</v>
      </c>
    </row>
    <row r="2318" spans="1:23">
      <c r="A2318" s="1443" t="str">
        <f>celladdr(Page6!L65)</f>
        <v>Page6!L65</v>
      </c>
      <c r="B2318" s="1456" t="s">
        <v>1086</v>
      </c>
      <c r="C2318" s="1451" t="b">
        <f>Page6!$L$64&lt;0</f>
        <v>0</v>
      </c>
      <c r="D2318" s="1454" t="b">
        <f>OR(AND(Page6!$L65&lt;&gt;0,Page6!$M65=0),AND(Page6!$M65&lt;&gt;0,Page6!$L65=0))</f>
        <v>0</v>
      </c>
      <c r="E2318" s="1454"/>
      <c r="G2318" s="1444" t="str">
        <f t="shared" si="309"/>
        <v/>
      </c>
      <c r="H2318" s="1446" t="str">
        <f>IF(C2318=TRUE,Comments!$B$23,"")</f>
        <v/>
      </c>
      <c r="I2318" s="1446" t="str">
        <f>IF(D2318=TRUE,Comments!$B$24,"")</f>
        <v/>
      </c>
      <c r="J2318" s="1446"/>
      <c r="N2318" s="611" t="str">
        <f>_xlfn.CONCAT("P&amp;A - ",Page6!D65,"  - CHIFFRE D'AFFAIRES RÉALISÉ - AAD")</f>
        <v>P&amp;A - COMMERCE ÉLECTRONIQUE - PIÈCES   - CHIFFRE D'AFFAIRES RÉALISÉ - AAD</v>
      </c>
      <c r="P2318" s="611" t="str">
        <f t="shared" si="310"/>
        <v>Page6!L</v>
      </c>
      <c r="Q2318" s="611">
        <f t="shared" si="311"/>
        <v>65</v>
      </c>
      <c r="R2318" s="1447">
        <f t="shared" ca="1" si="312"/>
        <v>0</v>
      </c>
      <c r="S2318" s="1447">
        <f t="shared" ca="1" si="313"/>
        <v>0</v>
      </c>
      <c r="W2318" s="611" t="str">
        <f t="shared" ca="1" si="314"/>
        <v>Page6, Ligne 62 [Page6!L65]  -</v>
      </c>
    </row>
    <row r="2319" spans="1:23">
      <c r="A2319" s="1443" t="str">
        <f>celladdr(Page6!L66)</f>
        <v>Page6!L66</v>
      </c>
      <c r="B2319" s="1456" t="s">
        <v>1086</v>
      </c>
      <c r="C2319" s="1451" t="b">
        <f>Page6!$L$66&lt;0</f>
        <v>0</v>
      </c>
      <c r="D2319" s="1454" t="b">
        <f>OR(AND(Page6!$L66&lt;&gt;0,Page6!$M66=0),AND(Page6!$M66&lt;&gt;0,Page6!$L66=0))</f>
        <v>0</v>
      </c>
      <c r="E2319" s="1454"/>
      <c r="G2319" s="1444" t="str">
        <f t="shared" si="309"/>
        <v/>
      </c>
      <c r="H2319" s="1446" t="str">
        <f>IF(C2319=TRUE,Comments!$B$23,"")</f>
        <v/>
      </c>
      <c r="I2319" s="1446" t="str">
        <f>IF(D2319=TRUE,Comments!$B$24,"")</f>
        <v/>
      </c>
      <c r="J2319" s="1446"/>
      <c r="N2319" s="611" t="str">
        <f>_xlfn.CONCAT("P&amp;A - ",Page6!D66,"  - CHIFFRE D'AFFAIRES RÉALISÉ - AAD")</f>
        <v>P&amp;A - EN GROS  - CHIFFRE D'AFFAIRES RÉALISÉ - AAD</v>
      </c>
      <c r="O2319" s="611" t="str">
        <f>IF(A2319=A2317,"TRUE","")</f>
        <v/>
      </c>
      <c r="P2319" s="611" t="str">
        <f t="shared" si="310"/>
        <v>Page6!L</v>
      </c>
      <c r="Q2319" s="611">
        <f t="shared" si="311"/>
        <v>66</v>
      </c>
      <c r="R2319" s="1447">
        <f t="shared" ca="1" si="312"/>
        <v>0</v>
      </c>
      <c r="S2319" s="1447">
        <f t="shared" ca="1" si="313"/>
        <v>0</v>
      </c>
      <c r="V2319" s="2557" t="str">
        <f ca="1">IF(SUM(R2319+S2319)=0,"","
*** "&amp;TEXT(SUM(R2319+S2319),"0,0")&amp;" Points de précision seront déduits suite à cette(ces) erreur(s) !")</f>
        <v/>
      </c>
      <c r="W2319" s="611" t="str">
        <f t="shared" ca="1" si="314"/>
        <v>Page6, Ligne 63 [Page6!L66]  -</v>
      </c>
    </row>
    <row r="2320" spans="1:23">
      <c r="A2320" s="1443" t="str">
        <f>celladdr(Page6!L67)</f>
        <v>Page6!L67</v>
      </c>
      <c r="B2320" s="1456" t="s">
        <v>1086</v>
      </c>
      <c r="C2320" s="1451" t="b">
        <f>Page6!$L$67&lt;0</f>
        <v>0</v>
      </c>
      <c r="D2320" s="1454" t="b">
        <f>OR(AND(Page6!$L67&lt;&gt;0,Page6!$M67=0),AND(Page6!$M67&lt;&gt;0,Page6!$L67=0))</f>
        <v>0</v>
      </c>
      <c r="E2320" s="1454"/>
      <c r="G2320" s="1444" t="str">
        <f t="shared" si="309"/>
        <v/>
      </c>
      <c r="H2320" s="1446" t="str">
        <f>IF(C2320=TRUE,Comments!$B$23,"")</f>
        <v/>
      </c>
      <c r="I2320" s="1446" t="str">
        <f>IF(D2320=TRUE,Comments!$B$24,"")</f>
        <v/>
      </c>
      <c r="J2320" s="1446"/>
      <c r="N2320" s="611" t="str">
        <f>_xlfn.CONCAT("P&amp;A - ",Page6!D67,"  - CHIFFRE D'AFFAIRES RÉALISÉ - AAD")</f>
        <v>P&amp;A - ACCESSOIRES  - CHIFFRE D'AFFAIRES RÉALISÉ - AAD</v>
      </c>
      <c r="O2320" s="611" t="str">
        <f>IF(A2320=A2319,"TRUE","")</f>
        <v/>
      </c>
      <c r="P2320" s="611" t="str">
        <f t="shared" si="310"/>
        <v>Page6!L</v>
      </c>
      <c r="Q2320" s="611">
        <f t="shared" si="311"/>
        <v>67</v>
      </c>
      <c r="R2320" s="1447">
        <f t="shared" ca="1" si="312"/>
        <v>0</v>
      </c>
      <c r="S2320" s="1447">
        <f t="shared" ca="1" si="313"/>
        <v>0</v>
      </c>
      <c r="V2320" s="2557" t="str">
        <f ca="1">IF(SUM(R2320+S2320)=0,"","
*** "&amp;TEXT(SUM(R2320+S2320),"0,0")&amp;" Points de précision seront déduits suite à cette(ces) erreur(s) !")</f>
        <v/>
      </c>
      <c r="W2320" s="611" t="str">
        <f t="shared" ca="1" si="314"/>
        <v>Page6, Ligne 64 [Page6!L67]  -</v>
      </c>
    </row>
    <row r="2321" spans="1:23">
      <c r="A2321" s="1443" t="str">
        <f>celladdr(Page6!L68)</f>
        <v>Page6!L68</v>
      </c>
      <c r="B2321" s="1456" t="s">
        <v>1086</v>
      </c>
      <c r="C2321" s="1451" t="b">
        <f>Page6!$L$68&lt;0</f>
        <v>0</v>
      </c>
      <c r="D2321" s="1454" t="b">
        <f>OR(AND(Page6!$L68&lt;&gt;0,Page6!$M68=0),AND(Page6!$M68&lt;&gt;0,Page6!$L68=0))</f>
        <v>0</v>
      </c>
      <c r="E2321" s="1454"/>
      <c r="G2321" s="1444" t="str">
        <f t="shared" si="309"/>
        <v/>
      </c>
      <c r="H2321" s="1446" t="str">
        <f>IF(C2321=TRUE,Comments!$B$23,"")</f>
        <v/>
      </c>
      <c r="I2321" s="1446" t="str">
        <f>IF(D2321=TRUE,Comments!$B$24,"")</f>
        <v/>
      </c>
      <c r="J2321" s="1446"/>
      <c r="N2321" s="611" t="str">
        <f>_xlfn.CONCAT("P&amp;A - ",Page6!D68,"  - CHIFFRE D'AFFAIRES RÉALISÉ - AAD")</f>
        <v>P&amp;A - COMMERCE ÉLECTRONIQUE - ACCESSOIRES   - CHIFFRE D'AFFAIRES RÉALISÉ - AAD</v>
      </c>
      <c r="P2321" s="611" t="str">
        <f t="shared" si="310"/>
        <v>Page6!L</v>
      </c>
      <c r="Q2321" s="611">
        <f t="shared" si="311"/>
        <v>68</v>
      </c>
      <c r="R2321" s="1447">
        <f t="shared" ca="1" si="312"/>
        <v>0</v>
      </c>
      <c r="S2321" s="1447">
        <f t="shared" ca="1" si="313"/>
        <v>0</v>
      </c>
      <c r="W2321" s="611" t="str">
        <f t="shared" ca="1" si="314"/>
        <v>Page6, Ligne 65 [Page6!L68]  -</v>
      </c>
    </row>
    <row r="2322" spans="1:23">
      <c r="A2322" s="1443" t="str">
        <f>celladdr(Page6!L73)</f>
        <v>Page6!L73</v>
      </c>
      <c r="B2322" s="1456" t="s">
        <v>1086</v>
      </c>
      <c r="C2322" s="1451" t="b">
        <f>Page6!$L$73&lt;0</f>
        <v>0</v>
      </c>
      <c r="D2322" s="1454" t="b">
        <f>OR(AND(Page6!$L$73&lt;&gt;0,Page6!$M$73=0),AND(Page6!$M$73&lt;&gt;0,Page6!$L$73=0))</f>
        <v>0</v>
      </c>
      <c r="E2322" s="1454"/>
      <c r="G2322" s="1444" t="str">
        <f t="shared" si="309"/>
        <v/>
      </c>
      <c r="H2322" s="1446" t="str">
        <f>IF(C2322=TRUE,Comments!$B$23,"")</f>
        <v/>
      </c>
      <c r="I2322" s="1446" t="str">
        <f>IF(D2322=TRUE,Comments!$B$24,"")</f>
        <v/>
      </c>
      <c r="J2322" s="1446"/>
      <c r="N2322" s="611" t="s">
        <v>1594</v>
      </c>
      <c r="O2322" s="611" t="str">
        <f>IF(A2322=A2320,"TRUE","")</f>
        <v/>
      </c>
      <c r="P2322" s="611" t="str">
        <f t="shared" si="310"/>
        <v>Page6!L</v>
      </c>
      <c r="Q2322" s="611">
        <f t="shared" si="311"/>
        <v>73</v>
      </c>
      <c r="R2322" s="1447">
        <f t="shared" ca="1" si="312"/>
        <v>0</v>
      </c>
      <c r="S2322" s="1447">
        <f t="shared" ca="1" si="313"/>
        <v>0</v>
      </c>
      <c r="V2322" s="2557" t="str">
        <f t="shared" ref="V2322:V2335" ca="1" si="315">IF(SUM(R2322+S2322)=0,"","
*** "&amp;TEXT(SUM(R2322+S2322),"0,0")&amp;" Points de précision seront déduits suite à cette(ces) erreur(s) !")</f>
        <v/>
      </c>
      <c r="W2322" s="611" t="str">
        <f t="shared" ca="1" si="314"/>
        <v>Page6, Ligne 70 [Page6!L73]  -</v>
      </c>
    </row>
    <row r="2323" spans="1:23">
      <c r="A2323" s="1443" t="str">
        <f>celladdr(Page6!L74)</f>
        <v>Page6!L74</v>
      </c>
      <c r="B2323" s="1456" t="s">
        <v>1086</v>
      </c>
      <c r="C2323" s="1451" t="b">
        <f>Page6!$L$74&lt;0</f>
        <v>0</v>
      </c>
      <c r="D2323" s="1454" t="b">
        <f>OR(AND(Page6!$L$74&lt;&gt;0,Page6!$M$74=0),AND(Page6!$M$74&lt;&gt;0,Page6!$L$74=0))</f>
        <v>0</v>
      </c>
      <c r="E2323" s="1454"/>
      <c r="G2323" s="1444" t="str">
        <f t="shared" si="309"/>
        <v/>
      </c>
      <c r="H2323" s="1446" t="str">
        <f>IF(C2323=TRUE,Comments!$B$23,"")</f>
        <v/>
      </c>
      <c r="I2323" s="1446" t="str">
        <f>IF(D2323=TRUE,Comments!$B$24,"")</f>
        <v/>
      </c>
      <c r="J2323" s="1446"/>
      <c r="N2323" s="611" t="s">
        <v>1595</v>
      </c>
      <c r="O2323" s="611" t="str">
        <f t="shared" ref="O2323:O2386" si="316">IF(A2323=A2322,"TRUE","")</f>
        <v/>
      </c>
      <c r="P2323" s="611" t="str">
        <f t="shared" si="310"/>
        <v>Page6!L</v>
      </c>
      <c r="Q2323" s="611">
        <f t="shared" si="311"/>
        <v>74</v>
      </c>
      <c r="R2323" s="1447">
        <f t="shared" ca="1" si="312"/>
        <v>0</v>
      </c>
      <c r="S2323" s="1447">
        <f t="shared" ca="1" si="313"/>
        <v>0</v>
      </c>
      <c r="V2323" s="2557" t="str">
        <f t="shared" ca="1" si="315"/>
        <v/>
      </c>
      <c r="W2323" s="611" t="str">
        <f t="shared" ca="1" si="314"/>
        <v>Page6, Ligne 71 [Page6!L74]  -</v>
      </c>
    </row>
    <row r="2324" spans="1:23">
      <c r="A2324" s="1443" t="str">
        <f>celladdr(Page6!L75)</f>
        <v>Page6!L75</v>
      </c>
      <c r="B2324" s="1456" t="s">
        <v>1086</v>
      </c>
      <c r="C2324" s="1451" t="b">
        <f>Page6!$L$75&lt;0</f>
        <v>0</v>
      </c>
      <c r="D2324" s="1454" t="b">
        <f>OR(AND(Page6!$L$75&lt;&gt;0,Page6!$M$75=0),AND(Page6!$M$75&lt;&gt;0,Page6!$L$75=0))</f>
        <v>0</v>
      </c>
      <c r="E2324" s="1454"/>
      <c r="G2324" s="1444" t="str">
        <f t="shared" si="309"/>
        <v/>
      </c>
      <c r="H2324" s="1446" t="str">
        <f>IF(C2324=TRUE,Comments!$B$23,"")</f>
        <v/>
      </c>
      <c r="I2324" s="1446" t="str">
        <f>IF(D2324=TRUE,Comments!$B$24,"")</f>
        <v/>
      </c>
      <c r="J2324" s="1446"/>
      <c r="N2324" s="611" t="s">
        <v>1596</v>
      </c>
      <c r="O2324" s="611" t="str">
        <f t="shared" si="316"/>
        <v/>
      </c>
      <c r="P2324" s="611" t="str">
        <f t="shared" si="310"/>
        <v>Page6!L</v>
      </c>
      <c r="Q2324" s="611">
        <f t="shared" si="311"/>
        <v>75</v>
      </c>
      <c r="R2324" s="1447">
        <f t="shared" ca="1" si="312"/>
        <v>0</v>
      </c>
      <c r="S2324" s="1447">
        <f t="shared" ca="1" si="313"/>
        <v>0</v>
      </c>
      <c r="V2324" s="2557" t="str">
        <f t="shared" ca="1" si="315"/>
        <v/>
      </c>
      <c r="W2324" s="611" t="str">
        <f t="shared" ca="1" si="314"/>
        <v>Page6, Ligne 72 [Page6!L75]  -</v>
      </c>
    </row>
    <row r="2325" spans="1:23">
      <c r="A2325" s="1443" t="str">
        <f>celladdr(Page6!L77)</f>
        <v>Page6!L77</v>
      </c>
      <c r="B2325" s="1444" t="s">
        <v>1086</v>
      </c>
      <c r="C2325" s="1445" t="b">
        <f>Page6!$N$77&lt;&gt;Page6!$N$72+Page6!$N$76</f>
        <v>0</v>
      </c>
      <c r="D2325" s="1454"/>
      <c r="F2325" s="1454"/>
      <c r="G2325" s="1444" t="str">
        <f t="shared" si="309"/>
        <v/>
      </c>
      <c r="H2325" s="1446" t="str">
        <f>IF(C2325=TRUE,Comments!$B$46&amp;DOLLAR(Page6!$N$77-(Page6!$N$72+Page6!$N$76),0),"")</f>
        <v/>
      </c>
      <c r="I2325" s="1452"/>
      <c r="J2325" s="1452"/>
      <c r="K2325" s="1452"/>
      <c r="N2325" s="611" t="s">
        <v>1597</v>
      </c>
      <c r="O2325" s="611" t="str">
        <f t="shared" si="316"/>
        <v/>
      </c>
      <c r="P2325" s="611" t="str">
        <f t="shared" si="310"/>
        <v>Page6!L</v>
      </c>
      <c r="Q2325" s="611">
        <f t="shared" si="311"/>
        <v>77</v>
      </c>
      <c r="R2325" s="1447">
        <f t="shared" ca="1" si="312"/>
        <v>0</v>
      </c>
      <c r="S2325" s="1447">
        <f t="shared" ca="1" si="313"/>
        <v>0</v>
      </c>
      <c r="V2325" s="2557" t="str">
        <f t="shared" ca="1" si="315"/>
        <v/>
      </c>
      <c r="W2325" s="611" t="str">
        <f t="shared" ca="1" si="314"/>
        <v>Page6, Ligne 74 [Page6!L77]  -</v>
      </c>
    </row>
    <row r="2326" spans="1:23">
      <c r="A2326" s="1443" t="str">
        <f>celladdr(Page6!M4)</f>
        <v>Page6!M4</v>
      </c>
      <c r="B2326" s="1456" t="s">
        <v>1086</v>
      </c>
      <c r="C2326" s="1451" t="b">
        <f>IF(Page6!$K$4=0,FALSE,OR(Page6!$M$4/Page6!$K$4&lt;INDEX(Min_Table,L2326),Page6!$M$4/Page6!$K$4&gt;INDEX(Max_Table,L2326)))</f>
        <v>0</v>
      </c>
      <c r="D2326" s="1454" t="b">
        <f>OR(AND(Page6!$L4&lt;&gt;0,Page6!$M4=0),AND(Page6!$M4&lt;&gt;0,Page6!$L4=0))</f>
        <v>0</v>
      </c>
      <c r="E2326" s="1454" t="b">
        <f>IF(Page6!$K$4=0,FALSE,OR(Page6!$M$4/Page6!$K$4&lt;INDEX(Min_Table,M2326),Page6!$M$4/Page6!$K$4&gt;INDEX(Max_Table,M2326)))</f>
        <v>0</v>
      </c>
      <c r="F2326" s="1454"/>
      <c r="G2326" s="1444" t="str">
        <f t="shared" si="309"/>
        <v/>
      </c>
      <c r="H2326" s="1447" t="str">
        <f>IF(C2326=TRUE,Comments!$B$20&amp;DOLLAR(INDEX(Min_Table,L2326),0)&amp;Comments!$B$18&amp;DOLLAR(INDEX(Max_Table,L2326),0)&amp;Comments!$B$19&amp;DOLLAR(Page6!$M$4/Page6!$K$4,0),"")</f>
        <v/>
      </c>
      <c r="I2326" s="1446" t="str">
        <f>IF(D2326=TRUE,Comments!$B$24,"")</f>
        <v/>
      </c>
      <c r="J2326" s="1446" t="str">
        <f>IF(E2326=TRUE,Comments!$B$22&amp;DOLLAR(INDEX(Min_Table,M2326),0)&amp;Comments!$B$18&amp;DOLLAR(INDEX(Max_Table,M2326),0)&amp;Comments!$B$19&amp;DOLLAR(Page6!$M$4/Page6!$K$4,0),"")</f>
        <v/>
      </c>
      <c r="K2326" s="1452"/>
      <c r="L2326" s="611">
        <f>ROW(OR_VEH!$A$668)</f>
        <v>668</v>
      </c>
      <c r="M2326" s="611">
        <f>ROW(OR_VEH!$A$603)</f>
        <v>603</v>
      </c>
      <c r="N2326" s="611" t="s">
        <v>1598</v>
      </c>
      <c r="O2326" s="611" t="str">
        <f t="shared" si="316"/>
        <v/>
      </c>
      <c r="P2326" s="611" t="str">
        <f t="shared" si="310"/>
        <v>Page6!M</v>
      </c>
      <c r="Q2326" s="611">
        <f t="shared" si="311"/>
        <v>4</v>
      </c>
      <c r="R2326" s="1447">
        <f t="shared" ca="1" si="312"/>
        <v>0</v>
      </c>
      <c r="S2326" s="1447">
        <f t="shared" ca="1" si="313"/>
        <v>0</v>
      </c>
      <c r="T2326" s="611">
        <v>22</v>
      </c>
      <c r="V2326" s="2557" t="str">
        <f t="shared" ca="1" si="315"/>
        <v/>
      </c>
      <c r="W2326" s="611" t="str">
        <f t="shared" ca="1" si="314"/>
        <v>Page6, Ligne 1 [Page6!M4]  -</v>
      </c>
    </row>
    <row r="2327" spans="1:23">
      <c r="A2327" s="1443" t="str">
        <f>celladdr(Page6!M5)</f>
        <v>Page6!M5</v>
      </c>
      <c r="B2327" s="1456" t="s">
        <v>1086</v>
      </c>
      <c r="C2327" s="1451" t="b">
        <f>IF(Page6!$K$5=0,FALSE,OR(Page6!$M$5/Page6!$K$5&lt;INDEX(Min_Table,L2327),Page6!$M$5/Page6!$K$5&gt;INDEX(Max_Table,L2327)))</f>
        <v>0</v>
      </c>
      <c r="D2327" s="1454" t="b">
        <f>OR(AND(Page6!$L5&lt;&gt;0,Page6!$M5=0),AND(Page6!$M5&lt;&gt;0,Page6!$L5=0))</f>
        <v>0</v>
      </c>
      <c r="E2327" s="1454" t="b">
        <f>IF(Page6!$K$5=0,FALSE,OR(Page6!$M$5/Page6!$K$5&lt;INDEX(Min_Table,M2327),Page6!$M$5/Page6!$K$5&gt;INDEX(Max_Table,M2327)))</f>
        <v>0</v>
      </c>
      <c r="F2327" s="1454"/>
      <c r="G2327" s="1444" t="str">
        <f t="shared" si="309"/>
        <v/>
      </c>
      <c r="H2327" s="1447" t="str">
        <f>IF(C2327=TRUE,Comments!$B$20&amp;DOLLAR(INDEX(Min_Table,L2327),0)&amp;Comments!$B$18&amp;DOLLAR(INDEX(Max_Table,L2327),0)&amp;Comments!$B$19&amp;DOLLAR(Page6!$M$5/Page6!$K$5,0),"")</f>
        <v/>
      </c>
      <c r="I2327" s="1446" t="str">
        <f>IF(D2327=TRUE,Comments!$B$24,"")</f>
        <v/>
      </c>
      <c r="J2327" s="1446" t="str">
        <f>IF(E2327=TRUE,Comments!$B$22&amp;DOLLAR(INDEX(Min_Table,M2327),0)&amp;Comments!$B$18&amp;DOLLAR(INDEX(Max_Table,M2327),0)&amp;Comments!$B$19&amp;DOLLAR(Page6!$M$5/Page6!$K$5,0),"")</f>
        <v/>
      </c>
      <c r="K2327" s="1452"/>
      <c r="L2327" s="611">
        <f>ROW(OR_VEH!$A$668)</f>
        <v>668</v>
      </c>
      <c r="M2327" s="611">
        <f>ROW(OR_VEH!$A$604)</f>
        <v>604</v>
      </c>
      <c r="N2327" s="611" t="s">
        <v>1599</v>
      </c>
      <c r="O2327" s="611" t="str">
        <f t="shared" si="316"/>
        <v/>
      </c>
      <c r="P2327" s="611" t="str">
        <f t="shared" si="310"/>
        <v>Page6!M</v>
      </c>
      <c r="Q2327" s="611">
        <f t="shared" si="311"/>
        <v>5</v>
      </c>
      <c r="R2327" s="1447">
        <f t="shared" ca="1" si="312"/>
        <v>0</v>
      </c>
      <c r="S2327" s="1447">
        <f t="shared" ca="1" si="313"/>
        <v>0</v>
      </c>
      <c r="T2327" s="611">
        <v>22</v>
      </c>
      <c r="V2327" s="2557" t="str">
        <f t="shared" ca="1" si="315"/>
        <v/>
      </c>
      <c r="W2327" s="611" t="str">
        <f t="shared" ca="1" si="314"/>
        <v>Page6, Ligne 2 [Page6!M5]  -</v>
      </c>
    </row>
    <row r="2328" spans="1:23">
      <c r="A2328" s="1443" t="str">
        <f>celladdr(Page6!M7)</f>
        <v>Page6!M7</v>
      </c>
      <c r="B2328" s="1456" t="s">
        <v>1086</v>
      </c>
      <c r="C2328" s="1451" t="b">
        <f>IF(Page6!$K$7=0,FALSE,OR(Page6!$M$7/Page6!$K$7&lt;INDEX(Min_Table,L2328),Page6!$M$7/Page6!$K$7&gt;INDEX(Max_Table,L2328)))</f>
        <v>0</v>
      </c>
      <c r="D2328" s="1454" t="b">
        <f>OR(AND(Page6!$L7&lt;&gt;0,Page6!$M7=0),AND(Page6!$M7&lt;&gt;0,Page6!$L7=0))</f>
        <v>0</v>
      </c>
      <c r="E2328" s="1454" t="b">
        <f>IF(Page6!$K$7=0,FALSE,OR(Page6!$M$7/Page6!$K$7&lt;INDEX(Min_Table,M2328),Page6!$M$7/Page6!$K$7&gt;INDEX(Max_Table,M2328)))</f>
        <v>0</v>
      </c>
      <c r="F2328" s="1454"/>
      <c r="G2328" s="1444" t="str">
        <f t="shared" si="309"/>
        <v/>
      </c>
      <c r="H2328" s="1447" t="str">
        <f>IF(C2328=TRUE,Comments!$B$20&amp;DOLLAR(INDEX(Min_Table,L2328),0)&amp;Comments!$B$18&amp;DOLLAR(INDEX(Max_Table,L2328),0)&amp;Comments!$B$19&amp;DOLLAR(Page6!$M$7/Page6!$K$7,0),"")</f>
        <v/>
      </c>
      <c r="I2328" s="1446" t="str">
        <f>IF(D2328=TRUE,Comments!$B$24,"")</f>
        <v/>
      </c>
      <c r="J2328" s="1446" t="str">
        <f>IF(E2328=TRUE,Comments!$B$22&amp;DOLLAR(INDEX(Min_Table,M2328),0)&amp;Comments!$B$18&amp;DOLLAR(INDEX(Max_Table,M2328),0)&amp;Comments!$B$19&amp;DOLLAR(Page6!$M$7/Page6!$K$7,0),"")</f>
        <v/>
      </c>
      <c r="K2328" s="1452"/>
      <c r="L2328" s="611">
        <f>ROW(OR_VEH!$A$668)</f>
        <v>668</v>
      </c>
      <c r="M2328" s="611">
        <f>ROW(OR_VEH!$A$608)</f>
        <v>608</v>
      </c>
      <c r="N2328" s="611" t="s">
        <v>1600</v>
      </c>
      <c r="O2328" s="611" t="str">
        <f t="shared" si="316"/>
        <v/>
      </c>
      <c r="P2328" s="611" t="str">
        <f t="shared" si="310"/>
        <v>Page6!M</v>
      </c>
      <c r="Q2328" s="611">
        <f t="shared" si="311"/>
        <v>7</v>
      </c>
      <c r="R2328" s="1447">
        <f t="shared" ca="1" si="312"/>
        <v>0</v>
      </c>
      <c r="S2328" s="1447">
        <f t="shared" ca="1" si="313"/>
        <v>0</v>
      </c>
      <c r="T2328" s="611">
        <v>22</v>
      </c>
      <c r="V2328" s="2557" t="str">
        <f t="shared" ca="1" si="315"/>
        <v/>
      </c>
      <c r="W2328" s="611" t="str">
        <f t="shared" ca="1" si="314"/>
        <v>Page6, Ligne 4 [Page6!M7]  -</v>
      </c>
    </row>
    <row r="2329" spans="1:23">
      <c r="A2329" s="1443" t="str">
        <f>celladdr(Page6!M8)</f>
        <v>Page6!M8</v>
      </c>
      <c r="B2329" s="1456" t="s">
        <v>1086</v>
      </c>
      <c r="C2329" s="1451" t="b">
        <f>IF(Page6!$K$8=0,FALSE,OR(Page6!$M$8/Page6!$K$8&lt;INDEX(Min_Table,L2329),Page6!$M$8/Page6!$K$8&gt;INDEX(Max_Table,L2329)))</f>
        <v>0</v>
      </c>
      <c r="D2329" s="1454" t="b">
        <f>OR(AND(Page6!$L8&lt;&gt;0,Page6!$M8=0),AND(Page6!$M8&lt;&gt;0,Page6!$L8=0))</f>
        <v>0</v>
      </c>
      <c r="E2329" s="1454" t="b">
        <f>IF(Page6!$K$8=0,FALSE,OR(Page6!$M$8/Page6!$K$8&lt;INDEX(Min_Table,M2329),Page6!$M$8/Page6!$K$8&gt;INDEX(Max_Table,M2329)))</f>
        <v>0</v>
      </c>
      <c r="F2329" s="1454"/>
      <c r="G2329" s="1444" t="str">
        <f t="shared" si="309"/>
        <v/>
      </c>
      <c r="H2329" s="1447" t="str">
        <f>IF(C2329=TRUE,Comments!$B$20&amp;DOLLAR(INDEX(Min_Table,L2329),0)&amp;Comments!$B$18&amp;DOLLAR(INDEX(Max_Table,L2329),0)&amp;Comments!$B$19&amp;DOLLAR(Page6!$M$8/Page6!$K$8,0),"")</f>
        <v/>
      </c>
      <c r="I2329" s="1446" t="str">
        <f>IF(D2329=TRUE,Comments!$B$24,"")</f>
        <v/>
      </c>
      <c r="J2329" s="1446" t="str">
        <f>IF(E2329=TRUE,Comments!$B$22&amp;DOLLAR(INDEX(Min_Table,M2329),0)&amp;Comments!$B$18&amp;DOLLAR(INDEX(Max_Table,M2329),0)&amp;Comments!$B$19&amp;DOLLAR(Page6!$M$8/Page6!$K$8,0),"")</f>
        <v/>
      </c>
      <c r="K2329" s="1452"/>
      <c r="L2329" s="611">
        <f>ROW(OR_VEH!$A$668)</f>
        <v>668</v>
      </c>
      <c r="M2329" s="611">
        <f>ROW(OR_VEH!$A$609)</f>
        <v>609</v>
      </c>
      <c r="N2329" s="611" t="s">
        <v>1601</v>
      </c>
      <c r="O2329" s="611" t="str">
        <f t="shared" si="316"/>
        <v/>
      </c>
      <c r="P2329" s="611" t="str">
        <f t="shared" si="310"/>
        <v>Page6!M</v>
      </c>
      <c r="Q2329" s="611">
        <f t="shared" si="311"/>
        <v>8</v>
      </c>
      <c r="R2329" s="1447">
        <f t="shared" ca="1" si="312"/>
        <v>0</v>
      </c>
      <c r="S2329" s="1447">
        <f t="shared" ca="1" si="313"/>
        <v>0</v>
      </c>
      <c r="T2329" s="611">
        <v>22</v>
      </c>
      <c r="V2329" s="2557" t="str">
        <f t="shared" ca="1" si="315"/>
        <v/>
      </c>
      <c r="W2329" s="611" t="str">
        <f t="shared" ca="1" si="314"/>
        <v>Page6, Ligne 5 [Page6!M8]  -</v>
      </c>
    </row>
    <row r="2330" spans="1:23">
      <c r="A2330" s="1443" t="str">
        <f>celladdr(Page6!M11)</f>
        <v>Page6!M11</v>
      </c>
      <c r="B2330" s="1456" t="s">
        <v>1086</v>
      </c>
      <c r="C2330" s="1451" t="b">
        <f>IF(Page6!$K$11=0,FALSE,OR(Page6!$M$11/Page6!$K$11&lt;INDEX(Min_Table,L2330),Page6!$M$11/Page6!$K$11&gt;INDEX(Max_Table,L2330)))</f>
        <v>0</v>
      </c>
      <c r="D2330" s="1454" t="b">
        <f>OR(AND(Page6!$L11&lt;&gt;0,Page6!$M11=0),AND(Page6!$M11&lt;&gt;0,Page6!$L11=0))</f>
        <v>0</v>
      </c>
      <c r="E2330" s="1454" t="b">
        <f>IF(Page6!$K$11=0,FALSE,OR(Page6!$M$11/Page6!$K$11&lt;INDEX(Min_Table,M2330),Page6!$M$11/Page6!$K$11&gt;INDEX(Max_Table,M2330)))</f>
        <v>0</v>
      </c>
      <c r="F2330" s="1454"/>
      <c r="G2330" s="1444" t="str">
        <f t="shared" si="309"/>
        <v/>
      </c>
      <c r="H2330" s="1447" t="str">
        <f>IF(C2330=TRUE,Comments!$B$20&amp;DOLLAR(INDEX(Min_Table,L2330),0)&amp;Comments!$B$18&amp;DOLLAR(INDEX(Max_Table,L2330),0)&amp;Comments!$B$19&amp;DOLLAR(Page6!$M$11/Page6!$K$11,0),"")</f>
        <v/>
      </c>
      <c r="I2330" s="1446" t="str">
        <f>IF(D2330=TRUE,Comments!$B$24,"")</f>
        <v/>
      </c>
      <c r="J2330" s="1446" t="str">
        <f>IF(E2330=TRUE,Comments!$B$22&amp;DOLLAR(INDEX(Min_Table,M2330),0)&amp;Comments!$B$18&amp;DOLLAR(INDEX(Max_Table,M2330),0)&amp;Comments!$B$19&amp;DOLLAR(Page6!$M$11/Page6!$K$11,0),"")</f>
        <v/>
      </c>
      <c r="K2330" s="1452"/>
      <c r="L2330" s="611">
        <f>ROW(OR_VEH!$A$668)</f>
        <v>668</v>
      </c>
      <c r="M2330" s="611">
        <f>ROW(OR_VEH!$A$607)</f>
        <v>607</v>
      </c>
      <c r="N2330" s="611" t="s">
        <v>1602</v>
      </c>
      <c r="O2330" s="611" t="str">
        <f t="shared" si="316"/>
        <v/>
      </c>
      <c r="P2330" s="611" t="str">
        <f t="shared" si="310"/>
        <v>Page6!M</v>
      </c>
      <c r="Q2330" s="611">
        <f t="shared" si="311"/>
        <v>11</v>
      </c>
      <c r="R2330" s="1447">
        <f t="shared" ca="1" si="312"/>
        <v>0</v>
      </c>
      <c r="S2330" s="1447">
        <f t="shared" ca="1" si="313"/>
        <v>0</v>
      </c>
      <c r="T2330" s="611">
        <v>22</v>
      </c>
      <c r="V2330" s="2557" t="str">
        <f t="shared" ca="1" si="315"/>
        <v/>
      </c>
      <c r="W2330" s="611" t="str">
        <f t="shared" ca="1" si="314"/>
        <v>Page6, Ligne 8 [Page6!M11]  -</v>
      </c>
    </row>
    <row r="2331" spans="1:23">
      <c r="A2331" s="1443" t="str">
        <f>celladdr(Page6!M12)</f>
        <v>Page6!M12</v>
      </c>
      <c r="B2331" s="1456" t="s">
        <v>1086</v>
      </c>
      <c r="C2331" s="1451"/>
      <c r="D2331" s="1454"/>
      <c r="E2331" s="1454"/>
      <c r="F2331" s="1454"/>
      <c r="G2331" s="1444" t="str">
        <f t="shared" si="309"/>
        <v/>
      </c>
      <c r="I2331" s="1446"/>
      <c r="J2331" s="1446"/>
      <c r="K2331" s="1452"/>
      <c r="N2331" s="611" t="s">
        <v>1603</v>
      </c>
      <c r="O2331" s="611" t="str">
        <f t="shared" si="316"/>
        <v/>
      </c>
      <c r="P2331" s="611" t="str">
        <f t="shared" si="310"/>
        <v>Page6!M</v>
      </c>
      <c r="Q2331" s="611">
        <f t="shared" si="311"/>
        <v>12</v>
      </c>
      <c r="R2331" s="1447">
        <f t="shared" ca="1" si="312"/>
        <v>0</v>
      </c>
      <c r="S2331" s="1447">
        <f t="shared" ca="1" si="313"/>
        <v>0</v>
      </c>
      <c r="V2331" s="2557" t="str">
        <f t="shared" ca="1" si="315"/>
        <v/>
      </c>
      <c r="W2331" s="611" t="str">
        <f t="shared" ca="1" si="314"/>
        <v>Page6, Ligne 9 [Page6!M12]  -</v>
      </c>
    </row>
    <row r="2332" spans="1:23">
      <c r="A2332" s="1443" t="str">
        <f>celladdr(Page6!M13)</f>
        <v>Page6!M13</v>
      </c>
      <c r="B2332" s="1456" t="s">
        <v>1086</v>
      </c>
      <c r="C2332" s="1451" t="b">
        <f>IF(Page6!$K$13=0,FALSE,OR(Page6!$M$13/Page6!$K$13&lt;INDEX(Min_Table,L2332),Page6!$M$13/Page6!$K$13&gt;INDEX(Max_Table,L2332)))</f>
        <v>0</v>
      </c>
      <c r="D2332" s="1454" t="b">
        <f>OR(AND(Page6!$L13&lt;&gt;0,Page6!$M13=0),AND(Page6!$M13&lt;&gt;0,Page6!$L13=0))</f>
        <v>0</v>
      </c>
      <c r="E2332" s="1454" t="b">
        <f>IF(Page6!$K$13=0,FALSE,OR(Page6!$M$13/Page6!$K$13&lt;INDEX(Min_Table,M2332),Page6!$M$13/Page6!$K$13&gt;INDEX(Max_Table,M2332)))</f>
        <v>0</v>
      </c>
      <c r="F2332" s="1454"/>
      <c r="G2332" s="1444" t="str">
        <f t="shared" si="309"/>
        <v/>
      </c>
      <c r="H2332" s="1447" t="str">
        <f>IF(C2332=TRUE,Comments!$B$20&amp;DOLLAR(INDEX(Min_Table,L2332),0)&amp;Comments!$B$18&amp;DOLLAR(INDEX(Max_Table,L2332),0)&amp;Comments!$B$19&amp;DOLLAR(Page6!$M$13/Page6!$K$13,0),"")</f>
        <v/>
      </c>
      <c r="I2332" s="1446" t="str">
        <f>IF(D2332=TRUE,Comments!$B$24,"")</f>
        <v/>
      </c>
      <c r="J2332" s="1446" t="str">
        <f>IF(E2332=TRUE,Comments!$B$22&amp;DOLLAR(INDEX(Min_Table,M2332),0)&amp;Comments!$B$18&amp;DOLLAR(INDEX(Max_Table,M2332),0)&amp;Comments!$B$19&amp;DOLLAR(Page6!$M$13/Page6!$K$13,0),"")</f>
        <v/>
      </c>
      <c r="K2332" s="1452"/>
      <c r="L2332" s="611">
        <f>ROW(OR_VEH!$A$668)</f>
        <v>668</v>
      </c>
      <c r="M2332" s="611">
        <f>ROW(OR_VEH!$A$612)</f>
        <v>612</v>
      </c>
      <c r="N2332" s="611" t="s">
        <v>1604</v>
      </c>
      <c r="O2332" s="611" t="str">
        <f t="shared" si="316"/>
        <v/>
      </c>
      <c r="P2332" s="611" t="str">
        <f t="shared" si="310"/>
        <v>Page6!M</v>
      </c>
      <c r="Q2332" s="611">
        <f t="shared" si="311"/>
        <v>13</v>
      </c>
      <c r="R2332" s="1447">
        <f t="shared" ca="1" si="312"/>
        <v>0</v>
      </c>
      <c r="S2332" s="1447">
        <f t="shared" ca="1" si="313"/>
        <v>0</v>
      </c>
      <c r="T2332" s="611">
        <v>22</v>
      </c>
      <c r="V2332" s="2557" t="str">
        <f t="shared" ca="1" si="315"/>
        <v/>
      </c>
      <c r="W2332" s="611" t="str">
        <f t="shared" ca="1" si="314"/>
        <v>Page6, Ligne 10 [Page6!M13]  -</v>
      </c>
    </row>
    <row r="2333" spans="1:23">
      <c r="A2333" s="1443" t="str">
        <f>celladdr(Page6!M14)</f>
        <v>Page6!M14</v>
      </c>
      <c r="B2333" s="1456" t="s">
        <v>1086</v>
      </c>
      <c r="C2333" s="1451"/>
      <c r="D2333" s="1454"/>
      <c r="E2333" s="1454"/>
      <c r="F2333" s="1454"/>
      <c r="G2333" s="1444" t="str">
        <f t="shared" si="309"/>
        <v/>
      </c>
      <c r="I2333" s="1446"/>
      <c r="J2333" s="1446"/>
      <c r="K2333" s="1452"/>
      <c r="N2333" s="611" t="s">
        <v>1605</v>
      </c>
      <c r="O2333" s="611" t="str">
        <f t="shared" si="316"/>
        <v/>
      </c>
      <c r="P2333" s="611" t="str">
        <f t="shared" si="310"/>
        <v>Page6!M</v>
      </c>
      <c r="Q2333" s="611">
        <f t="shared" si="311"/>
        <v>14</v>
      </c>
      <c r="R2333" s="1447">
        <f t="shared" ca="1" si="312"/>
        <v>0</v>
      </c>
      <c r="S2333" s="1447">
        <f t="shared" ca="1" si="313"/>
        <v>0</v>
      </c>
      <c r="V2333" s="2557" t="str">
        <f t="shared" ca="1" si="315"/>
        <v/>
      </c>
      <c r="W2333" s="611" t="str">
        <f t="shared" ca="1" si="314"/>
        <v>Page6, Ligne 11 [Page6!M14]  -</v>
      </c>
    </row>
    <row r="2334" spans="1:23">
      <c r="A2334" s="1443" t="str">
        <f>celladdr(Page6!M16)</f>
        <v>Page6!M16</v>
      </c>
      <c r="B2334" s="1456" t="s">
        <v>1086</v>
      </c>
      <c r="C2334" s="1451" t="b">
        <f>IF(Page6!$K$16=0,FALSE,OR(Page6!$M$16/Page6!$K$16&lt;INDEX(Min_Table,L2334),Page6!$M$16/Page6!$K$16&gt;INDEX(Max_Table,L2334)))</f>
        <v>0</v>
      </c>
      <c r="D2334" s="1454" t="b">
        <f>OR(AND(Page6!$L16&lt;&gt;0,Page6!$M16=0),AND(Page6!$M16&lt;&gt;0,Page6!$L16=0))</f>
        <v>0</v>
      </c>
      <c r="E2334" s="1454"/>
      <c r="F2334" s="1454"/>
      <c r="G2334" s="1444" t="str">
        <f t="shared" si="309"/>
        <v/>
      </c>
      <c r="I2334" s="1446" t="str">
        <f>IF(D2334=TRUE,Comments!$B$24,"")</f>
        <v/>
      </c>
      <c r="J2334" s="1446"/>
      <c r="K2334" s="1452"/>
      <c r="L2334" s="611">
        <f>ROW(OR_VEH!$A$668)</f>
        <v>668</v>
      </c>
      <c r="N2334" s="611" t="s">
        <v>1606</v>
      </c>
      <c r="O2334" s="611" t="str">
        <f t="shared" si="316"/>
        <v/>
      </c>
      <c r="P2334" s="611" t="str">
        <f t="shared" si="310"/>
        <v>Page6!M</v>
      </c>
      <c r="Q2334" s="611">
        <f t="shared" si="311"/>
        <v>16</v>
      </c>
      <c r="R2334" s="1447">
        <f t="shared" ca="1" si="312"/>
        <v>0</v>
      </c>
      <c r="S2334" s="1447">
        <f t="shared" ca="1" si="313"/>
        <v>0</v>
      </c>
      <c r="V2334" s="2557" t="str">
        <f t="shared" ca="1" si="315"/>
        <v/>
      </c>
      <c r="W2334" s="611" t="str">
        <f t="shared" ca="1" si="314"/>
        <v>Page6, Ligne 13 [Page6!M16]  -</v>
      </c>
    </row>
    <row r="2335" spans="1:23">
      <c r="A2335" s="1443" t="str">
        <f>celladdr(Page6!M24)</f>
        <v>Page6!M24</v>
      </c>
      <c r="B2335" s="1456" t="s">
        <v>1086</v>
      </c>
      <c r="C2335" s="1451" t="b">
        <f>IF(Page6!$K24=0,FALSE,OR(Page6!$M24/Page6!$K24&lt;INDEX(Min_Table,L2335),Page6!$M24/Page6!$K24&gt;INDEX(Max_Table,L2335)))</f>
        <v>0</v>
      </c>
      <c r="D2335" s="1454" t="b">
        <f>OR(AND(Page6!$L24&lt;&gt;0,Page6!$M24=0),AND(Page6!$M24&lt;&gt;0,Page6!$L24=0))</f>
        <v>0</v>
      </c>
      <c r="E2335" s="1454" t="b">
        <f>IF(Page6!$K24=0,FALSE,OR(Page6!$M24/Page6!$K24&lt;INDEX(Min_Table,M2335),Page6!$M24/Page6!$K24&gt;INDEX(Max_Table,M2335)))</f>
        <v>0</v>
      </c>
      <c r="G2335" s="1444" t="str">
        <f t="shared" si="309"/>
        <v/>
      </c>
      <c r="H2335" s="1447" t="str">
        <f>IF(C2335=TRUE,Comments!$B$20&amp;DOLLAR(INDEX(Min_Table,L2335),0)&amp;Comments!$B$18&amp;DOLLAR(INDEX(Max_Table,L2335),0)&amp;Comments!$B$19&amp;DOLLAR(Page6!$M$24/Page6!$K$24,0),"")</f>
        <v/>
      </c>
      <c r="I2335" s="1446" t="str">
        <f>IF(D2335=TRUE,Comments!$B$24,"")</f>
        <v/>
      </c>
      <c r="J2335" s="1446" t="str">
        <f>IF(E2335=TRUE,Comments!$B$22&amp;DOLLAR(INDEX(Min_Table,M2335),0)&amp;Comments!$B$18&amp;DOLLAR(INDEX(Max_Table,M2335),0)&amp;Comments!$B$19&amp;DOLLAR(Page6!$M$24/Page6!$K$24,0),"")</f>
        <v/>
      </c>
      <c r="K2335" s="1446"/>
      <c r="L2335" s="611">
        <f>ROW(OR_VEH!$A$669)</f>
        <v>669</v>
      </c>
      <c r="M2335" s="611">
        <f>ROW(OR_VEH!$A$614)</f>
        <v>614</v>
      </c>
      <c r="N2335" s="4" t="str">
        <f>_xlfn.CONCAT("MÉCA - ", Page6!D24,"  - COÛT DES VENTES - AAD")</f>
        <v>MÉCA - M-D'O CLIENT VOIT &amp; CAM LÉGERS  - COÛT DES VENTES - AAD</v>
      </c>
      <c r="O2335" s="611" t="str">
        <f t="shared" si="316"/>
        <v/>
      </c>
      <c r="P2335" s="611" t="str">
        <f t="shared" si="310"/>
        <v>Page6!M</v>
      </c>
      <c r="Q2335" s="611">
        <f t="shared" si="311"/>
        <v>24</v>
      </c>
      <c r="R2335" s="1447">
        <f t="shared" ca="1" si="312"/>
        <v>0</v>
      </c>
      <c r="S2335" s="1447">
        <f t="shared" ca="1" si="313"/>
        <v>0</v>
      </c>
      <c r="T2335" s="611">
        <v>22</v>
      </c>
      <c r="U2335" s="611" t="s">
        <v>1607</v>
      </c>
      <c r="V2335" s="2557" t="str">
        <f t="shared" ca="1" si="315"/>
        <v/>
      </c>
      <c r="W2335" s="611" t="str">
        <f t="shared" ca="1" si="314"/>
        <v>Page6, Ligne 21 [Page6!M24]  -</v>
      </c>
    </row>
    <row r="2336" spans="1:23">
      <c r="A2336" s="1443" t="str">
        <f>celladdr(Page6!M25)</f>
        <v>Page6!M25</v>
      </c>
      <c r="B2336" s="1456" t="s">
        <v>1086</v>
      </c>
      <c r="C2336" s="1451" t="b">
        <f>IF(Page6!$K25=0,FALSE,OR(Page6!$M25/Page6!$K25&lt;INDEX(Min_Table,L2336),Page6!$M25/Page6!$K25&gt;INDEX(Max_Table,L2336)))</f>
        <v>0</v>
      </c>
      <c r="D2336" s="1454" t="b">
        <f>OR(AND(Page6!$L25&lt;&gt;0,Page6!$M25=0),AND(Page6!$M25&lt;&gt;0,Page6!$L25=0))</f>
        <v>0</v>
      </c>
      <c r="E2336" s="1454" t="b">
        <f>IF(Page6!$K25=0,FALSE,OR(Page6!$M25/Page6!$K25&lt;INDEX(Min_Table,M2336),Page6!$M25/Page6!$K25&gt;INDEX(Max_Table,M2336)))</f>
        <v>0</v>
      </c>
      <c r="G2336" s="1444" t="str">
        <f t="shared" si="309"/>
        <v/>
      </c>
      <c r="I2336" s="1446" t="str">
        <f>IF(D2336=TRUE,Comments!$B$24,"")</f>
        <v/>
      </c>
      <c r="J2336" s="1446" t="str">
        <f>IF(E2336=TRUE,Comments!$B$22&amp;DOLLAR(INDEX(Min_Table,M2336),0)&amp;Comments!$B$18&amp;DOLLAR(INDEX(Max_Table,M2336),0)&amp;Comments!$B$19&amp;DOLLAR(Page6!$M$24/Page6!$K$24,0),"")</f>
        <v/>
      </c>
      <c r="K2336" s="1446"/>
      <c r="L2336" s="611">
        <f>ROW(OR_VEH!$A$669)</f>
        <v>669</v>
      </c>
      <c r="M2336" s="611">
        <f>ROW(OR_VEH!$A$615)</f>
        <v>615</v>
      </c>
      <c r="N2336" s="4" t="str">
        <f>_xlfn.CONCAT("MÉCA - ", Page6!D25,"  - COÛT DES VENTES - AAD")</f>
        <v>MÉCA - M-D’O CLIENT - VOIT, CAM LÉGER VE  - COÛT DES VENTES - AAD</v>
      </c>
      <c r="O2336" s="611" t="str">
        <f t="shared" si="316"/>
        <v/>
      </c>
      <c r="P2336" s="611" t="str">
        <f t="shared" si="310"/>
        <v>Page6!M</v>
      </c>
      <c r="Q2336" s="611">
        <f t="shared" si="311"/>
        <v>25</v>
      </c>
      <c r="R2336" s="1447">
        <f t="shared" ca="1" si="312"/>
        <v>0</v>
      </c>
      <c r="S2336" s="1447">
        <f t="shared" ca="1" si="313"/>
        <v>0</v>
      </c>
      <c r="T2336" s="611">
        <v>22</v>
      </c>
      <c r="U2336" s="611" t="s">
        <v>1607</v>
      </c>
      <c r="W2336" s="611" t="str">
        <f t="shared" ca="1" si="314"/>
        <v>Page6, Ligne 22 [Page6!M25]  -</v>
      </c>
    </row>
    <row r="2337" spans="1:23">
      <c r="A2337" s="1443" t="str">
        <f>celladdr(Page6!M26)</f>
        <v>Page6!M26</v>
      </c>
      <c r="B2337" s="1456" t="s">
        <v>1086</v>
      </c>
      <c r="C2337" s="1451" t="b">
        <f>IF(Page6!$K26=0,FALSE,OR(Page6!$M26/Page6!$K26&lt;INDEX(Min_Table,L2337),Page6!$M26/Page6!$K26&gt;INDEX(Max_Table,L2337)))</f>
        <v>0</v>
      </c>
      <c r="D2337" s="1454" t="b">
        <f>OR(AND(Page6!$L26&lt;&gt;0,Page6!$M26=0),AND(Page6!$M26&lt;&gt;0,Page6!$L26=0))</f>
        <v>0</v>
      </c>
      <c r="E2337" s="1454" t="b">
        <f>IF(Page6!$K26=0,FALSE,OR(Page6!$M26/Page6!$K26&lt;INDEX(Min_Table,M2337),Page6!$M26/Page6!$K26&gt;INDEX(Max_Table,M2337)))</f>
        <v>0</v>
      </c>
      <c r="G2337" s="1444" t="str">
        <f t="shared" si="309"/>
        <v/>
      </c>
      <c r="H2337" s="1447" t="str">
        <f>IF(C2337=TRUE,Comments!$B$20&amp;DOLLAR(INDEX(Min_Table,L2337),0)&amp;Comments!$B$18&amp;DOLLAR(INDEX(Max_Table,L2337),0)&amp;Comments!$B$19&amp;DOLLAR(Page6!$M$26/Page6!$K$26,0),"")</f>
        <v/>
      </c>
      <c r="I2337" s="1446" t="str">
        <f>IF(D2337=TRUE,Comments!$B$24,"")</f>
        <v/>
      </c>
      <c r="J2337" s="1446" t="str">
        <f>IF(E2337=TRUE,Comments!$B$22&amp;DOLLAR(INDEX(Min_Table,M2337),0)&amp;Comments!$B$18&amp;DOLLAR(INDEX(Max_Table,M2337),0)&amp;Comments!$B$19&amp;DOLLAR(Page6!$M$24/Page6!$K$24,0),"")</f>
        <v/>
      </c>
      <c r="K2337" s="1446"/>
      <c r="L2337" s="611">
        <f>ROW(OR_VEH!$A$669)</f>
        <v>669</v>
      </c>
      <c r="M2337" s="611">
        <f>ROW(OR_VEH!$A$616)</f>
        <v>616</v>
      </c>
      <c r="N2337" s="4" t="str">
        <f>_xlfn.CONCAT("MÉCA - ", Page6!D26,"  - COÛT DES VENTES - AAD")</f>
        <v>MÉCA - M-D'O CONT. SERV.-VOIT &amp; CAM LÉGERS  - COÛT DES VENTES - AAD</v>
      </c>
      <c r="O2337" s="611" t="str">
        <f t="shared" si="316"/>
        <v/>
      </c>
      <c r="P2337" s="611" t="str">
        <f t="shared" si="310"/>
        <v>Page6!M</v>
      </c>
      <c r="Q2337" s="611">
        <f t="shared" si="311"/>
        <v>26</v>
      </c>
      <c r="R2337" s="1447">
        <f t="shared" ca="1" si="312"/>
        <v>0</v>
      </c>
      <c r="S2337" s="1447">
        <f t="shared" ca="1" si="313"/>
        <v>0</v>
      </c>
      <c r="T2337" s="611">
        <v>22</v>
      </c>
      <c r="U2337" s="611" t="s">
        <v>1607</v>
      </c>
      <c r="V2337" s="2557" t="str">
        <f ca="1">IF(SUM(R2337+S2337)=0,"","
*** "&amp;TEXT(SUM(R2337+S2337),"0,0")&amp;" Points de précision seront déduits suite à cette(ces) erreur(s) !")</f>
        <v/>
      </c>
      <c r="W2337" s="611" t="str">
        <f t="shared" ca="1" si="314"/>
        <v>Page6, Ligne 23 [Page6!M26]  -</v>
      </c>
    </row>
    <row r="2338" spans="1:23">
      <c r="A2338" s="1443" t="str">
        <f>celladdr(Page6!M27)</f>
        <v>Page6!M27</v>
      </c>
      <c r="B2338" s="1456" t="s">
        <v>1086</v>
      </c>
      <c r="C2338" s="1451" t="b">
        <f>IF(Page6!$K27=0,FALSE,OR(Page6!$M27/Page6!$K27&lt;INDEX(Min_Table,L2338),Page6!$M27/Page6!$K27&gt;INDEX(Max_Table,L2338)))</f>
        <v>0</v>
      </c>
      <c r="D2338" s="1454" t="b">
        <f>OR(AND(Page6!$L27&lt;&gt;0,Page6!$M27=0),AND(Page6!$M27&lt;&gt;0,Page6!$L27=0))</f>
        <v>0</v>
      </c>
      <c r="E2338" s="1454" t="b">
        <f>IF(Page6!$K27=0,FALSE,OR(Page6!$M27/Page6!$K27&lt;INDEX(Min_Table,M2338),Page6!$M27/Page6!$K27&gt;INDEX(Max_Table,M2338)))</f>
        <v>0</v>
      </c>
      <c r="G2338" s="1444" t="str">
        <f t="shared" si="309"/>
        <v/>
      </c>
      <c r="I2338" s="1446" t="str">
        <f>IF(D2338=TRUE,Comments!$B$24,"")</f>
        <v/>
      </c>
      <c r="J2338" s="1446" t="str">
        <f>IF(E2338=TRUE,Comments!$B$22&amp;DOLLAR(INDEX(Min_Table,M2338),0)&amp;Comments!$B$18&amp;DOLLAR(INDEX(Max_Table,M2338),0)&amp;Comments!$B$19&amp;DOLLAR(Page6!$M$24/Page6!$K$24,0),"")</f>
        <v/>
      </c>
      <c r="K2338" s="1446"/>
      <c r="L2338" s="611">
        <f>ROW(OR_VEH!$A$669)</f>
        <v>669</v>
      </c>
      <c r="M2338" s="611">
        <f>ROW(OR_VEH!$A$617)</f>
        <v>617</v>
      </c>
      <c r="N2338" s="4" t="str">
        <f>_xlfn.CONCAT("MÉCA - ", Page6!D27,"  - COÛT DES VENTES - AAD")</f>
        <v>MÉCA - M-D’O CONT SERV - VOIT, CAM LÉGER VE  - COÛT DES VENTES - AAD</v>
      </c>
      <c r="O2338" s="611" t="str">
        <f t="shared" si="316"/>
        <v/>
      </c>
      <c r="P2338" s="611" t="str">
        <f t="shared" si="310"/>
        <v>Page6!M</v>
      </c>
      <c r="Q2338" s="611">
        <f t="shared" si="311"/>
        <v>27</v>
      </c>
      <c r="R2338" s="1447">
        <f t="shared" ca="1" si="312"/>
        <v>0</v>
      </c>
      <c r="S2338" s="1447">
        <f t="shared" ca="1" si="313"/>
        <v>0</v>
      </c>
      <c r="T2338" s="611">
        <v>22</v>
      </c>
      <c r="U2338" s="611" t="s">
        <v>1607</v>
      </c>
      <c r="W2338" s="611" t="str">
        <f t="shared" ca="1" si="314"/>
        <v>Page6, Ligne 24 [Page6!M27]  -</v>
      </c>
    </row>
    <row r="2339" spans="1:23">
      <c r="A2339" s="1443" t="str">
        <f>celladdr(Page6!M28)</f>
        <v>Page6!M28</v>
      </c>
      <c r="B2339" s="1456" t="s">
        <v>1086</v>
      </c>
      <c r="C2339" s="1451" t="b">
        <f>IF(Page6!$K28=0,FALSE,OR(Page6!$M28/Page6!$K28&lt;INDEX(Min_Table,L2339),Page6!$M28/Page6!$K28&gt;INDEX(Max_Table,L2339)))</f>
        <v>0</v>
      </c>
      <c r="D2339" s="1454" t="b">
        <f>OR(AND(Page6!$L28&lt;&gt;0,Page6!$M28=0),AND(Page6!$M28&lt;&gt;0,Page6!$L28=0))</f>
        <v>0</v>
      </c>
      <c r="E2339" s="1454" t="b">
        <f>IF(Page6!$K28=0,FALSE,OR(Page6!$M28/Page6!$K28&lt;INDEX(Min_Table,M2339),Page6!$M28/Page6!$K28&gt;INDEX(Max_Table,M2339)))</f>
        <v>0</v>
      </c>
      <c r="G2339" s="1444" t="str">
        <f t="shared" si="309"/>
        <v/>
      </c>
      <c r="H2339" s="1447" t="str">
        <f>IF(C2339=TRUE,Comments!$B$20&amp;DOLLAR(INDEX(Min_Table,L2339),0)&amp;Comments!$B$18&amp;DOLLAR(INDEX(Max_Table,L2339),0)&amp;Comments!$B$19&amp;DOLLAR(Page6!$M$28/Page6!$K$28,0),"")</f>
        <v/>
      </c>
      <c r="I2339" s="1446" t="str">
        <f>IF(D2339=TRUE,Comments!$B$24,"")</f>
        <v/>
      </c>
      <c r="J2339" s="1446" t="str">
        <f>IF(E2339=TRUE,Comments!$B$22&amp;DOLLAR(INDEX(Min_Table,M2339),0)&amp;Comments!$B$18&amp;DOLLAR(INDEX(Max_Table,M2339),0)&amp;Comments!$B$19&amp;DOLLAR(Page6!$M$24/Page6!$K$24,0),"")</f>
        <v/>
      </c>
      <c r="K2339" s="1446"/>
      <c r="L2339" s="611">
        <f>ROW(OR_VEH!$A$669)</f>
        <v>669</v>
      </c>
      <c r="M2339" s="611">
        <f>ROW(OR_VEH!$A$618)</f>
        <v>618</v>
      </c>
      <c r="N2339" s="4" t="str">
        <f>_xlfn.CONCAT("MÉCA - ", Page6!D28,"  - COÛT DES VENTES - AAD")</f>
        <v>MÉCA - M-D'O SERV RAPIDE VOIT &amp; CAM LÉG.  - COÛT DES VENTES - AAD</v>
      </c>
      <c r="O2339" s="611" t="str">
        <f t="shared" si="316"/>
        <v/>
      </c>
      <c r="P2339" s="611" t="str">
        <f t="shared" si="310"/>
        <v>Page6!M</v>
      </c>
      <c r="Q2339" s="611">
        <f t="shared" si="311"/>
        <v>28</v>
      </c>
      <c r="R2339" s="1447">
        <f t="shared" ca="1" si="312"/>
        <v>0</v>
      </c>
      <c r="S2339" s="1447">
        <f t="shared" ca="1" si="313"/>
        <v>0</v>
      </c>
      <c r="T2339" s="611">
        <v>22</v>
      </c>
      <c r="U2339" s="611" t="s">
        <v>1607</v>
      </c>
      <c r="V2339" s="2557" t="str">
        <f ca="1">IF(SUM(R2339+S2339)=0,"","
*** "&amp;TEXT(SUM(R2339+S2339),"0,0")&amp;" Points de précision seront déduits suite à cette(ces) erreur(s) !")</f>
        <v/>
      </c>
      <c r="W2339" s="611" t="str">
        <f t="shared" ca="1" si="314"/>
        <v>Page6, Ligne 25 [Page6!M28]  -</v>
      </c>
    </row>
    <row r="2340" spans="1:23">
      <c r="A2340" s="1443" t="str">
        <f>celladdr(Page6!M29)</f>
        <v>Page6!M29</v>
      </c>
      <c r="B2340" s="1456" t="s">
        <v>1086</v>
      </c>
      <c r="C2340" s="1451" t="b">
        <f>IF(Page6!$K29=0,FALSE,OR(Page6!$M29/Page6!$K29&lt;INDEX(Min_Table,L2340),Page6!$M29/Page6!$K29&gt;INDEX(Max_Table,L2340)))</f>
        <v>0</v>
      </c>
      <c r="D2340" s="1454" t="b">
        <f>OR(AND(Page6!$L29&lt;&gt;0,Page6!$M29=0),AND(Page6!$M29&lt;&gt;0,Page6!$L29=0))</f>
        <v>0</v>
      </c>
      <c r="E2340" s="1454" t="b">
        <f>IF(Page6!$K29=0,FALSE,OR(Page6!$M29/Page6!$K29&lt;INDEX(Min_Table,M2340),Page6!$M29/Page6!$K29&gt;INDEX(Max_Table,M2340)))</f>
        <v>0</v>
      </c>
      <c r="G2340" s="1444" t="str">
        <f t="shared" si="309"/>
        <v/>
      </c>
      <c r="I2340" s="1446" t="str">
        <f>IF(D2340=TRUE,Comments!$B$24,"")</f>
        <v/>
      </c>
      <c r="J2340" s="1446" t="str">
        <f>IF(E2340=TRUE,Comments!$B$22&amp;DOLLAR(INDEX(Min_Table,M2340),0)&amp;Comments!$B$18&amp;DOLLAR(INDEX(Max_Table,M2340),0)&amp;Comments!$B$19&amp;DOLLAR(Page6!$M$24/Page6!$K$24,0),"")</f>
        <v/>
      </c>
      <c r="K2340" s="1446"/>
      <c r="L2340" s="611">
        <f>ROW(OR_VEH!$A$669)</f>
        <v>669</v>
      </c>
      <c r="M2340" s="611">
        <f>ROW(OR_VEH!$A$619)</f>
        <v>619</v>
      </c>
      <c r="N2340" s="4" t="str">
        <f>_xlfn.CONCAT("MÉCA - ", Page6!D29,"  - COÛT DES VENTES - AAD")</f>
        <v>MÉCA - M-D’O SERV MOBILE - VOIT, CAM LÉGER  - COÛT DES VENTES - AAD</v>
      </c>
      <c r="O2340" s="611" t="str">
        <f t="shared" si="316"/>
        <v/>
      </c>
      <c r="P2340" s="611" t="str">
        <f t="shared" si="310"/>
        <v>Page6!M</v>
      </c>
      <c r="Q2340" s="611">
        <f t="shared" si="311"/>
        <v>29</v>
      </c>
      <c r="R2340" s="1447">
        <f t="shared" ca="1" si="312"/>
        <v>0</v>
      </c>
      <c r="S2340" s="1447">
        <f t="shared" ca="1" si="313"/>
        <v>0</v>
      </c>
      <c r="T2340" s="611">
        <v>22</v>
      </c>
      <c r="U2340" s="611" t="s">
        <v>1607</v>
      </c>
      <c r="W2340" s="611" t="str">
        <f t="shared" ca="1" si="314"/>
        <v>Page6, Ligne 26 [Page6!M29]  -</v>
      </c>
    </row>
    <row r="2341" spans="1:23">
      <c r="A2341" s="1443" t="str">
        <f>celladdr(Page6!M30)</f>
        <v>Page6!M30</v>
      </c>
      <c r="B2341" s="1456" t="s">
        <v>1086</v>
      </c>
      <c r="C2341" s="1451" t="b">
        <f>IF(Page6!$K30=0,FALSE,OR(Page6!$M30/Page6!$K30&lt;INDEX(Min_Table,L2341),Page6!$M30/Page6!$K30&gt;INDEX(Max_Table,L2341)))</f>
        <v>0</v>
      </c>
      <c r="D2341" s="1454" t="b">
        <f>OR(AND(Page6!$L30&lt;&gt;0,Page6!$M30=0),AND(Page6!$M30&lt;&gt;0,Page6!$L30=0))</f>
        <v>0</v>
      </c>
      <c r="E2341" s="1454" t="b">
        <f>IF(Page6!$K30=0,FALSE,OR(Page6!$M30/Page6!$K30&lt;INDEX(Min_Table,M2341),Page6!$M30/Page6!$K30&gt;INDEX(Max_Table,M2341)))</f>
        <v>0</v>
      </c>
      <c r="G2341" s="1444" t="str">
        <f t="shared" si="309"/>
        <v/>
      </c>
      <c r="I2341" s="1446" t="str">
        <f>IF(D2341=TRUE,Comments!$B$24,"")</f>
        <v/>
      </c>
      <c r="J2341" s="1446" t="str">
        <f>IF(E2341=TRUE,Comments!$B$22&amp;DOLLAR(INDEX(Min_Table,M2341),0)&amp;Comments!$B$18&amp;DOLLAR(INDEX(Max_Table,M2341),0)&amp;Comments!$B$19&amp;DOLLAR(Page6!$M$24/Page6!$K$24,0),"")</f>
        <v/>
      </c>
      <c r="K2341" s="1446"/>
      <c r="L2341" s="611">
        <f>ROW(OR_VEH!$A$669)</f>
        <v>669</v>
      </c>
      <c r="M2341" s="611">
        <f>ROW(OR_VEH!$A$620)</f>
        <v>620</v>
      </c>
      <c r="N2341" s="4" t="str">
        <f>_xlfn.CONCAT("MÉCA - ", Page6!D30,"  - COÛT DES VENTES - AAD")</f>
        <v>MÉCA - M-D’O CLIENT - NON-GM VE  - COÛT DES VENTES - AAD</v>
      </c>
      <c r="O2341" s="611" t="str">
        <f t="shared" si="316"/>
        <v/>
      </c>
      <c r="P2341" s="611" t="str">
        <f t="shared" si="310"/>
        <v>Page6!M</v>
      </c>
      <c r="Q2341" s="611">
        <f t="shared" si="311"/>
        <v>30</v>
      </c>
      <c r="R2341" s="1447">
        <f t="shared" ca="1" si="312"/>
        <v>0</v>
      </c>
      <c r="S2341" s="1447">
        <f t="shared" ca="1" si="313"/>
        <v>0</v>
      </c>
      <c r="T2341" s="611">
        <v>22</v>
      </c>
      <c r="U2341" s="611" t="s">
        <v>1607</v>
      </c>
      <c r="W2341" s="611" t="str">
        <f t="shared" ca="1" si="314"/>
        <v>Page6, Ligne 27 [Page6!M30]  -</v>
      </c>
    </row>
    <row r="2342" spans="1:23">
      <c r="A2342" s="1443" t="str">
        <f>celladdr(Page6!M31)</f>
        <v>Page6!M31</v>
      </c>
      <c r="B2342" s="1456" t="s">
        <v>1086</v>
      </c>
      <c r="C2342" s="1451" t="b">
        <f>IF(Page6!$K31=0,FALSE,OR(Page6!$M31/Page6!$K31&lt;INDEX(Min_Table,L2342),Page6!$M31/Page6!$K31&gt;INDEX(Max_Table,L2342)))</f>
        <v>0</v>
      </c>
      <c r="D2342" s="1454" t="b">
        <f>OR(AND(Page6!$L31&lt;&gt;0,Page6!$M31=0),AND(Page6!$M31&lt;&gt;0,Page6!$L31=0))</f>
        <v>0</v>
      </c>
      <c r="E2342" s="1454" t="b">
        <f>IF(Page6!$K31=0,FALSE,OR(Page6!$M31/Page6!$K31&lt;INDEX(Min_Table,M2342),Page6!$M31/Page6!$K31&gt;INDEX(Max_Table,M2342)))</f>
        <v>0</v>
      </c>
      <c r="G2342" s="1444" t="str">
        <f t="shared" si="309"/>
        <v/>
      </c>
      <c r="H2342" s="1447" t="str">
        <f>IF(C2342=TRUE,Comments!$B$20&amp;DOLLAR(INDEX(Min_Table,L2342),0)&amp;Comments!$B$18&amp;DOLLAR(INDEX(Max_Table,L2342),0)&amp;Comments!$B$19&amp;DOLLAR(Page6!$M$31/Page6!$K$31,0),"")</f>
        <v/>
      </c>
      <c r="I2342" s="1446" t="str">
        <f>IF(D2342=TRUE,Comments!$B$24,"")</f>
        <v/>
      </c>
      <c r="J2342" s="1446" t="str">
        <f>IF(E2342=TRUE,Comments!$B$22&amp;DOLLAR(INDEX(Min_Table,M2342),0)&amp;Comments!$B$18&amp;DOLLAR(INDEX(Max_Table,M2342),0)&amp;Comments!$B$19&amp;DOLLAR(Page6!$M$24/Page6!$K$24,0),"")</f>
        <v/>
      </c>
      <c r="K2342" s="1446"/>
      <c r="L2342" s="611">
        <f>ROW(OR_VEH!$A$669)</f>
        <v>669</v>
      </c>
      <c r="M2342" s="611">
        <f>ROW(OR_VEH!$A$621)</f>
        <v>621</v>
      </c>
      <c r="N2342" s="4" t="str">
        <f>_xlfn.CONCAT("MÉCA - ", Page6!D31,"  - COÛT DES VENTES - AAD")</f>
        <v>MÉCA - M-D'O CLIENT CAM. COM,PARCS,MOY  - COÛT DES VENTES - AAD</v>
      </c>
      <c r="O2342" s="611" t="str">
        <f t="shared" si="316"/>
        <v/>
      </c>
      <c r="P2342" s="611" t="str">
        <f t="shared" si="310"/>
        <v>Page6!M</v>
      </c>
      <c r="Q2342" s="611">
        <f t="shared" si="311"/>
        <v>31</v>
      </c>
      <c r="R2342" s="1447">
        <f t="shared" ca="1" si="312"/>
        <v>0</v>
      </c>
      <c r="S2342" s="1447">
        <f t="shared" ca="1" si="313"/>
        <v>0</v>
      </c>
      <c r="T2342" s="611">
        <v>22</v>
      </c>
      <c r="U2342" s="611" t="s">
        <v>1607</v>
      </c>
      <c r="V2342" s="2557" t="str">
        <f ca="1">IF(SUM(R2342+S2342)=0,"","
*** "&amp;TEXT(SUM(R2342+S2342),"0,0")&amp;" Points de précision seront déduits suite à cette(ces) erreur(s) !")</f>
        <v/>
      </c>
      <c r="W2342" s="611" t="str">
        <f t="shared" ca="1" si="314"/>
        <v>Page6, Ligne 28 [Page6!M31]  -</v>
      </c>
    </row>
    <row r="2343" spans="1:23">
      <c r="A2343" s="1443" t="str">
        <f>celladdr(Page6!M32)</f>
        <v>Page6!M32</v>
      </c>
      <c r="B2343" s="1456" t="s">
        <v>1086</v>
      </c>
      <c r="C2343" s="1451" t="b">
        <f>IF(Page6!$K32=0,FALSE,OR(Page6!$M32/Page6!$K32&lt;INDEX(Min_Table,L2343),Page6!$M32/Page6!$K32&gt;INDEX(Max_Table,L2343)))</f>
        <v>0</v>
      </c>
      <c r="D2343" s="1454" t="b">
        <f>OR(AND(Page6!$L32&lt;&gt;0,Page6!$M32=0),AND(Page6!$M32&lt;&gt;0,Page6!$L32=0))</f>
        <v>0</v>
      </c>
      <c r="E2343" s="1454" t="b">
        <f>IF(Page6!$K32=0,FALSE,OR(Page6!$M32/Page6!$K32&lt;INDEX(Min_Table,M2343),Page6!$M32/Page6!$K32&gt;INDEX(Max_Table,M2343)))</f>
        <v>0</v>
      </c>
      <c r="G2343" s="1444" t="str">
        <f t="shared" si="309"/>
        <v/>
      </c>
      <c r="I2343" s="1446" t="str">
        <f>IF(D2343=TRUE,Comments!$B$24,"")</f>
        <v/>
      </c>
      <c r="J2343" s="1446" t="str">
        <f>IF(E2343=TRUE,Comments!$B$22&amp;DOLLAR(INDEX(Min_Table,M2343),0)&amp;Comments!$B$18&amp;DOLLAR(INDEX(Max_Table,M2343),0)&amp;Comments!$B$19&amp;DOLLAR(Page6!$M$24/Page6!$K$24,0),"")</f>
        <v/>
      </c>
      <c r="K2343" s="1446"/>
      <c r="L2343" s="611">
        <f>ROW(OR_VEH!$A$669)</f>
        <v>669</v>
      </c>
      <c r="M2343" s="611">
        <f>ROW(OR_VEH!$A$622)</f>
        <v>622</v>
      </c>
      <c r="N2343" s="4" t="str">
        <f>_xlfn.CONCAT("MÉCA - ", Page6!D32,"  - COÛT DES VENTES - AAD")</f>
        <v>MÉCA - M-D’O CLIENT - CAM COM,PARCS,MOY VE  - COÛT DES VENTES - AAD</v>
      </c>
      <c r="O2343" s="611" t="str">
        <f t="shared" si="316"/>
        <v/>
      </c>
      <c r="P2343" s="611" t="str">
        <f t="shared" si="310"/>
        <v>Page6!M</v>
      </c>
      <c r="Q2343" s="611">
        <f t="shared" si="311"/>
        <v>32</v>
      </c>
      <c r="R2343" s="1447">
        <f t="shared" ca="1" si="312"/>
        <v>0</v>
      </c>
      <c r="S2343" s="1447">
        <f t="shared" ca="1" si="313"/>
        <v>0</v>
      </c>
      <c r="T2343" s="611">
        <v>22</v>
      </c>
      <c r="U2343" s="611" t="s">
        <v>1607</v>
      </c>
      <c r="W2343" s="611" t="str">
        <f t="shared" ca="1" si="314"/>
        <v>Page6, Ligne 29 [Page6!M32]  -</v>
      </c>
    </row>
    <row r="2344" spans="1:23">
      <c r="A2344" s="1443" t="str">
        <f>celladdr(Page6!M33)</f>
        <v>Page6!M33</v>
      </c>
      <c r="B2344" s="1456" t="s">
        <v>1086</v>
      </c>
      <c r="C2344" s="1451" t="b">
        <f>IF(Page6!$K33=0,FALSE,OR(Page6!$M33/Page6!$K33&lt;INDEX(Min_Table,L2344),Page6!$M33/Page6!$K33&gt;INDEX(Max_Table,L2344)))</f>
        <v>0</v>
      </c>
      <c r="D2344" s="1454" t="b">
        <f>OR(AND(Page6!$L33&lt;&gt;0,Page6!$M33=0),AND(Page6!$M33&lt;&gt;0,Page6!$L33=0))</f>
        <v>0</v>
      </c>
      <c r="E2344" s="1454" t="b">
        <f>IF(Page6!$K33=0,FALSE,OR(Page6!$M33/Page6!$K33&lt;INDEX(Min_Table,M2344),Page6!$M33/Page6!$K33&gt;INDEX(Max_Table,M2344)))</f>
        <v>0</v>
      </c>
      <c r="G2344" s="1444" t="str">
        <f t="shared" si="309"/>
        <v/>
      </c>
      <c r="H2344" s="1447" t="str">
        <f>IF(C2344=TRUE,Comments!$B$20&amp;DOLLAR(INDEX(Min_Table,L2344),0)&amp;Comments!$B$18&amp;DOLLAR(INDEX(Max_Table,L2344),0)&amp;Comments!$B$19&amp;DOLLAR(Page6!$M$33/Page6!$K$33,0),"")</f>
        <v/>
      </c>
      <c r="I2344" s="1446" t="str">
        <f>IF(D2344=TRUE,Comments!$B$24,"")</f>
        <v/>
      </c>
      <c r="J2344" s="1446" t="str">
        <f>IF(E2344=TRUE,Comments!$B$22&amp;DOLLAR(INDEX(Min_Table,M2344),0)&amp;Comments!$B$18&amp;DOLLAR(INDEX(Max_Table,M2344),0)&amp;Comments!$B$19&amp;DOLLAR(Page6!$M$24/Page6!$K$24,0),"")</f>
        <v/>
      </c>
      <c r="K2344" s="1446"/>
      <c r="L2344" s="611">
        <f>ROW(OR_VEH!$A$669)</f>
        <v>669</v>
      </c>
      <c r="M2344" s="611">
        <f>ROW(OR_VEH!$A$623)</f>
        <v>623</v>
      </c>
      <c r="N2344" s="4" t="str">
        <f>_xlfn.CONCAT("MÉCA - ", Page6!D33,"  - COÛT DES VENTES - AAD")</f>
        <v>MÉCA - M-D'O CONT. SERV.  CAM COM,PARCS,MOY  - COÛT DES VENTES - AAD</v>
      </c>
      <c r="O2344" s="611" t="str">
        <f t="shared" si="316"/>
        <v/>
      </c>
      <c r="P2344" s="611" t="str">
        <f t="shared" si="310"/>
        <v>Page6!M</v>
      </c>
      <c r="Q2344" s="611">
        <f t="shared" si="311"/>
        <v>33</v>
      </c>
      <c r="R2344" s="1447">
        <f t="shared" ca="1" si="312"/>
        <v>0</v>
      </c>
      <c r="S2344" s="1447">
        <f t="shared" ca="1" si="313"/>
        <v>0</v>
      </c>
      <c r="T2344" s="611">
        <v>22</v>
      </c>
      <c r="U2344" s="611" t="s">
        <v>1607</v>
      </c>
      <c r="V2344" s="2557" t="str">
        <f ca="1">IF(SUM(R2344+S2344)=0,"","
*** "&amp;TEXT(SUM(R2344+S2344),"0,0")&amp;" Points de précision seront déduits suite à cette(ces) erreur(s) !")</f>
        <v/>
      </c>
      <c r="W2344" s="611" t="str">
        <f t="shared" ca="1" si="314"/>
        <v>Page6, Ligne 30 [Page6!M33]  -</v>
      </c>
    </row>
    <row r="2345" spans="1:23">
      <c r="A2345" s="1443" t="str">
        <f>celladdr(Page6!M34)</f>
        <v>Page6!M34</v>
      </c>
      <c r="B2345" s="1456" t="s">
        <v>1086</v>
      </c>
      <c r="C2345" s="1451" t="b">
        <f>IF(Page6!$K34=0,FALSE,OR(Page6!$M34/Page6!$K34&lt;INDEX(Min_Table,L2345),Page6!$M34/Page6!$K34&gt;INDEX(Max_Table,L2345)))</f>
        <v>0</v>
      </c>
      <c r="D2345" s="1454" t="b">
        <f>OR(AND(Page6!$L34&lt;&gt;0,Page6!$M34=0),AND(Page6!$M34&lt;&gt;0,Page6!$L34=0))</f>
        <v>0</v>
      </c>
      <c r="E2345" s="1454" t="b">
        <f>IF(Page6!$K34=0,FALSE,OR(Page6!$M34/Page6!$K34&lt;INDEX(Min_Table,M2345),Page6!$M34/Page6!$K34&gt;INDEX(Max_Table,M2345)))</f>
        <v>0</v>
      </c>
      <c r="G2345" s="1444" t="str">
        <f t="shared" si="309"/>
        <v/>
      </c>
      <c r="I2345" s="1446" t="str">
        <f>IF(D2345=TRUE,Comments!$B$24,"")</f>
        <v/>
      </c>
      <c r="J2345" s="1446" t="str">
        <f>IF(E2345=TRUE,Comments!$B$22&amp;DOLLAR(INDEX(Min_Table,M2345),0)&amp;Comments!$B$18&amp;DOLLAR(INDEX(Max_Table,M2345),0)&amp;Comments!$B$19&amp;DOLLAR(Page6!$M$24/Page6!$K$24,0),"")</f>
        <v/>
      </c>
      <c r="K2345" s="1446"/>
      <c r="L2345" s="611">
        <f>ROW(OR_VEH!$A$669)</f>
        <v>669</v>
      </c>
      <c r="M2345" s="611">
        <f>ROW(OR_VEH!$A$624)</f>
        <v>624</v>
      </c>
      <c r="N2345" s="4" t="str">
        <f>_xlfn.CONCAT("MÉCA - ", Page6!D34,"  - COÛT DES VENTES - AAD")</f>
        <v>MÉCA - M-D’O CONT SERV - CAM COM,PARCS,MOY VE  - COÛT DES VENTES - AAD</v>
      </c>
      <c r="O2345" s="611" t="str">
        <f t="shared" si="316"/>
        <v/>
      </c>
      <c r="P2345" s="611" t="str">
        <f t="shared" si="310"/>
        <v>Page6!M</v>
      </c>
      <c r="Q2345" s="611">
        <f t="shared" si="311"/>
        <v>34</v>
      </c>
      <c r="R2345" s="1447">
        <f t="shared" ca="1" si="312"/>
        <v>0</v>
      </c>
      <c r="S2345" s="1447">
        <f t="shared" ca="1" si="313"/>
        <v>0</v>
      </c>
      <c r="T2345" s="611">
        <v>22</v>
      </c>
      <c r="U2345" s="611" t="s">
        <v>1607</v>
      </c>
      <c r="W2345" s="611" t="str">
        <f t="shared" ca="1" si="314"/>
        <v>Page6, Ligne 31 [Page6!M34]  -</v>
      </c>
    </row>
    <row r="2346" spans="1:23">
      <c r="A2346" s="1443" t="str">
        <f>celladdr(Page6!M35)</f>
        <v>Page6!M35</v>
      </c>
      <c r="B2346" s="1456" t="s">
        <v>1086</v>
      </c>
      <c r="C2346" s="1451" t="b">
        <f>IF(Page6!$K$35=0,FALSE,OR(Page6!$M$35/Page6!$K$35&lt;INDEX(Min_Table,L2346),Page6!$M$35/Page6!$K$35&gt;INDEX(Max_Table,L2346)))</f>
        <v>0</v>
      </c>
      <c r="D2346" s="1454" t="b">
        <f>OR(AND(Page6!$L35&lt;&gt;0,Page6!$M35=0),AND(Page6!$M35&lt;&gt;0,Page6!$L35=0))</f>
        <v>0</v>
      </c>
      <c r="E2346" s="1454" t="b">
        <f>IF(Page6!$K$35=0,FALSE,OR(Page6!$M$35/Page6!$K$35&lt;INDEX(Min_Table,M2346),Page6!$M$35/Page6!$K$35&gt;INDEX(Max_Table,M2346)))</f>
        <v>0</v>
      </c>
      <c r="G2346" s="1444" t="str">
        <f t="shared" si="309"/>
        <v/>
      </c>
      <c r="H2346" s="1447" t="str">
        <f>IF(C2346=TRUE,Comments!$B$20&amp;DOLLAR(INDEX(Min_Table,L2346),0)&amp;Comments!$B$18&amp;DOLLAR(INDEX(Max_Table,L2346),0)&amp;Comments!$B$19&amp;DOLLAR(Page6!$M$35/Page6!$K$35,0),"")</f>
        <v/>
      </c>
      <c r="I2346" s="1446" t="str">
        <f>IF(D2346=TRUE,Comments!$B$24,"")</f>
        <v/>
      </c>
      <c r="J2346" s="1446" t="str">
        <f>IF(E2346=TRUE,Comments!$B$22&amp;DOLLAR(INDEX(Min_Table,M2346),0)&amp;Comments!$B$18&amp;DOLLAR(INDEX(Max_Table,M2346),0)&amp;Comments!$B$19&amp;DOLLAR(Page6!$M$35/Page6!$K$35,0),"")</f>
        <v/>
      </c>
      <c r="K2346" s="1446"/>
      <c r="L2346" s="611">
        <f>ROW(OR_VEH!$A$669)</f>
        <v>669</v>
      </c>
      <c r="M2346" s="611">
        <f>ROW(OR_VEH!$A$625)</f>
        <v>625</v>
      </c>
      <c r="N2346" s="611" t="s">
        <v>1608</v>
      </c>
      <c r="O2346" s="611" t="str">
        <f t="shared" si="316"/>
        <v/>
      </c>
      <c r="P2346" s="611" t="str">
        <f t="shared" si="310"/>
        <v>Page6!M</v>
      </c>
      <c r="Q2346" s="611">
        <f t="shared" si="311"/>
        <v>35</v>
      </c>
      <c r="R2346" s="1447">
        <f t="shared" ca="1" si="312"/>
        <v>0</v>
      </c>
      <c r="S2346" s="1447">
        <f t="shared" ca="1" si="313"/>
        <v>0</v>
      </c>
      <c r="T2346" s="611">
        <v>22</v>
      </c>
      <c r="U2346" s="611" t="s">
        <v>1607</v>
      </c>
      <c r="V2346" s="2557" t="str">
        <f t="shared" ref="V2346:V2361" ca="1" si="317">IF(SUM(R2346+S2346)=0,"","
*** "&amp;TEXT(SUM(R2346+S2346),"0,0")&amp;" Points de précision seront déduits suite à cette(ces) erreur(s) !")</f>
        <v/>
      </c>
      <c r="W2346" s="611" t="str">
        <f t="shared" ca="1" si="314"/>
        <v>Page6, Ligne 32 [Page6!M35]  -</v>
      </c>
    </row>
    <row r="2347" spans="1:23">
      <c r="A2347" s="1443" t="str">
        <f>celladdr(Page6!M36)</f>
        <v>Page6!M36</v>
      </c>
      <c r="B2347" s="1456" t="s">
        <v>1086</v>
      </c>
      <c r="C2347" s="1451" t="b">
        <f>IF(Page6!$K$36=0,FALSE,OR(Page6!$M$36/Page6!$K$36&lt;INDEX(Min_Table,L2347),Page6!$M$36/Page6!$K$36&gt;INDEX(Max_Table,L2347)))</f>
        <v>0</v>
      </c>
      <c r="D2347" s="1454" t="b">
        <f>OR(AND(Page6!$L36&lt;&gt;0,Page6!$M36=0),AND(Page6!$M36&lt;&gt;0,Page6!$L36=0))</f>
        <v>0</v>
      </c>
      <c r="E2347" s="1454" t="b">
        <f>IF(Page6!$K$36=0,FALSE,OR(Page6!$M$36/Page6!$K$36&lt;INDEX(Min_Table,M2347),Page6!$M$36/Page6!$K$36&gt;INDEX(Max_Table,M2347)))</f>
        <v>0</v>
      </c>
      <c r="G2347" s="1444" t="str">
        <f t="shared" si="309"/>
        <v/>
      </c>
      <c r="H2347" s="1447" t="str">
        <f>IF(C2347=TRUE,Comments!$B$20&amp;DOLLAR(INDEX(Min_Table,L2347),0)&amp;Comments!$B$18&amp;DOLLAR(INDEX(Max_Table,L2347),0)&amp;Comments!$B$19&amp;DOLLAR(Page6!$M$36/Page6!$K$36,0),"")</f>
        <v/>
      </c>
      <c r="I2347" s="1446" t="str">
        <f>IF(D2347=TRUE,Comments!$B$24,"")</f>
        <v/>
      </c>
      <c r="J2347" s="1446" t="str">
        <f>IF(E2347=TRUE,Comments!$B$22&amp;DOLLAR(INDEX(Min_Table,M2347),0)&amp;Comments!$B$18&amp;DOLLAR(INDEX(Max_Table,M2347),0)&amp;Comments!$B$19&amp;DOLLAR(Page6!$M$36/Page6!$K$36,0),"")</f>
        <v/>
      </c>
      <c r="K2347" s="1446"/>
      <c r="L2347" s="611">
        <f>ROW(OR_VEH!$A$669)</f>
        <v>669</v>
      </c>
      <c r="M2347" s="611">
        <f>ROW(OR_VEH!$A$626)</f>
        <v>626</v>
      </c>
      <c r="N2347" s="611" t="s">
        <v>1609</v>
      </c>
      <c r="O2347" s="611" t="str">
        <f t="shared" si="316"/>
        <v/>
      </c>
      <c r="P2347" s="611" t="str">
        <f t="shared" si="310"/>
        <v>Page6!M</v>
      </c>
      <c r="Q2347" s="611">
        <f t="shared" si="311"/>
        <v>36</v>
      </c>
      <c r="R2347" s="1447">
        <f t="shared" ca="1" si="312"/>
        <v>0</v>
      </c>
      <c r="S2347" s="1447">
        <f t="shared" ca="1" si="313"/>
        <v>0</v>
      </c>
      <c r="T2347" s="611">
        <v>22</v>
      </c>
      <c r="U2347" s="611" t="s">
        <v>1607</v>
      </c>
      <c r="V2347" s="2557" t="str">
        <f t="shared" ca="1" si="317"/>
        <v/>
      </c>
      <c r="W2347" s="611" t="str">
        <f t="shared" ca="1" si="314"/>
        <v>Page6, Ligne 33 [Page6!M36]  -</v>
      </c>
    </row>
    <row r="2348" spans="1:23">
      <c r="A2348" s="1443" t="str">
        <f>celladdr(Page6!M37)</f>
        <v>Page6!M37</v>
      </c>
      <c r="B2348" s="1456" t="s">
        <v>1086</v>
      </c>
      <c r="C2348" s="1451" t="b">
        <f>IF(Page6!$K$37=0,FALSE,OR(Page6!$M$37/Page6!$K$37&lt;INDEX(Min_Table,L2348),Page6!$M$37/Page6!$K$37&gt;INDEX(Max_Table,L2348)))</f>
        <v>0</v>
      </c>
      <c r="D2348" s="1454" t="b">
        <f>OR(AND(Page6!$L37&lt;&gt;0,Page6!$M37=0),AND(Page6!$M37&lt;&gt;0,Page6!$L37=0))</f>
        <v>0</v>
      </c>
      <c r="E2348" s="1454" t="b">
        <f>IF(Page6!$K$37=0,FALSE,OR(Page6!$M$37/Page6!$K$37&lt;INDEX(Min_Table,M2348),Page6!$M$37/Page6!$K$37&gt;INDEX(Max_Table,M2348)))</f>
        <v>0</v>
      </c>
      <c r="G2348" s="1444" t="str">
        <f t="shared" si="309"/>
        <v/>
      </c>
      <c r="H2348" s="1447" t="str">
        <f>IF(C2348=TRUE,Comments!$B$20&amp;DOLLAR(INDEX(Min_Table,L2348),0)&amp;Comments!$B$18&amp;DOLLAR(INDEX(Max_Table,L2348),0)&amp;Comments!$B$19&amp;DOLLAR(Page6!$M$37/Page6!$K$37,0),"")</f>
        <v/>
      </c>
      <c r="I2348" s="1446" t="str">
        <f>IF(D2348=TRUE,Comments!$B$24,"")</f>
        <v/>
      </c>
      <c r="J2348" s="1446" t="str">
        <f>IF(E2348=TRUE,Comments!$B$22&amp;DOLLAR(INDEX(Min_Table,M2348),0)&amp;Comments!$B$18&amp;DOLLAR(INDEX(Max_Table,M2348),0)&amp;Comments!$B$19&amp;DOLLAR(Page6!$M$37/Page6!$K$37,0),"")</f>
        <v/>
      </c>
      <c r="K2348" s="1446"/>
      <c r="L2348" s="611">
        <f>ROW(OR_VEH!$A$669)</f>
        <v>669</v>
      </c>
      <c r="M2348" s="611">
        <f>ROW(OR_VEH!$A$627)</f>
        <v>627</v>
      </c>
      <c r="N2348" s="611" t="s">
        <v>1610</v>
      </c>
      <c r="O2348" s="611" t="str">
        <f t="shared" si="316"/>
        <v/>
      </c>
      <c r="P2348" s="611" t="str">
        <f t="shared" si="310"/>
        <v>Page6!M</v>
      </c>
      <c r="Q2348" s="611">
        <f t="shared" si="311"/>
        <v>37</v>
      </c>
      <c r="R2348" s="1447">
        <f t="shared" ca="1" si="312"/>
        <v>0</v>
      </c>
      <c r="S2348" s="1447">
        <f t="shared" ca="1" si="313"/>
        <v>0</v>
      </c>
      <c r="T2348" s="611">
        <v>22</v>
      </c>
      <c r="U2348" s="611" t="s">
        <v>1607</v>
      </c>
      <c r="V2348" s="2557" t="str">
        <f t="shared" ca="1" si="317"/>
        <v/>
      </c>
      <c r="W2348" s="611" t="str">
        <f t="shared" ca="1" si="314"/>
        <v>Page6, Ligne 34 [Page6!M37]  -</v>
      </c>
    </row>
    <row r="2349" spans="1:23">
      <c r="A2349" s="1443" t="str">
        <f>celladdr(Page6!M38)</f>
        <v>Page6!M38</v>
      </c>
      <c r="B2349" s="1456" t="s">
        <v>1086</v>
      </c>
      <c r="C2349" s="1451" t="b">
        <f>IF(Page6!$K$38=0,FALSE,OR(Page6!$M$38/Page6!$K$38&lt;INDEX(Min_Table,L2349),Page6!$M$38/Page6!$K$38&gt;INDEX(Max_Table,L2349)))</f>
        <v>0</v>
      </c>
      <c r="D2349" s="1454" t="b">
        <f>OR(AND(Page6!$L38&lt;&gt;0,Page6!$M38=0),AND(Page6!$M38&lt;&gt;0,Page6!$L38=0))</f>
        <v>0</v>
      </c>
      <c r="E2349" s="1454" t="b">
        <f>IF(Page6!$K$38=0,FALSE,OR(Page6!$M$38/Page6!$K$38&lt;INDEX(Min_Table,M2349),Page6!$M$38/Page6!$K$38&gt;INDEX(Max_Table,M2349)))</f>
        <v>0</v>
      </c>
      <c r="G2349" s="1444" t="str">
        <f t="shared" si="309"/>
        <v/>
      </c>
      <c r="H2349" s="1447" t="str">
        <f>IF(C2349=TRUE,Comments!$B$20&amp;DOLLAR(INDEX(Min_Table,L2349),0)&amp;Comments!$B$18&amp;DOLLAR(INDEX(Max_Table,L2349),0)&amp;Comments!$B$19&amp;DOLLAR(Page6!$M$38/Page6!$K$38,0),"")</f>
        <v/>
      </c>
      <c r="I2349" s="1446" t="str">
        <f>IF(D2349=TRUE,Comments!$B$24,"")</f>
        <v/>
      </c>
      <c r="J2349" s="1446" t="str">
        <f>IF(E2349=TRUE,Comments!$B$22&amp;DOLLAR(INDEX(Min_Table,M2349),0)&amp;Comments!$B$18&amp;DOLLAR(INDEX(Max_Table,M2349),0)&amp;Comments!$B$19&amp;DOLLAR(Page6!$M$38/Page6!$K$38,0),"")</f>
        <v/>
      </c>
      <c r="K2349" s="1446"/>
      <c r="L2349" s="611">
        <f>ROW(OR_VEH!$A$669)</f>
        <v>669</v>
      </c>
      <c r="M2349" s="611">
        <f>ROW(OR_VEH!$A$628)</f>
        <v>628</v>
      </c>
      <c r="N2349" s="611" t="s">
        <v>1611</v>
      </c>
      <c r="O2349" s="611" t="str">
        <f t="shared" si="316"/>
        <v/>
      </c>
      <c r="P2349" s="611" t="str">
        <f t="shared" si="310"/>
        <v>Page6!M</v>
      </c>
      <c r="Q2349" s="611">
        <f t="shared" si="311"/>
        <v>38</v>
      </c>
      <c r="R2349" s="1447">
        <f t="shared" ca="1" si="312"/>
        <v>0</v>
      </c>
      <c r="S2349" s="1447">
        <f t="shared" ca="1" si="313"/>
        <v>0</v>
      </c>
      <c r="T2349" s="611">
        <v>22</v>
      </c>
      <c r="U2349" s="611" t="s">
        <v>1607</v>
      </c>
      <c r="V2349" s="2557" t="str">
        <f t="shared" ca="1" si="317"/>
        <v/>
      </c>
      <c r="W2349" s="611" t="str">
        <f t="shared" ca="1" si="314"/>
        <v>Page6, Ligne 35 [Page6!M38]  -</v>
      </c>
    </row>
    <row r="2350" spans="1:23">
      <c r="A2350" s="1443" t="str">
        <f>celladdr(Page6!M39)</f>
        <v>Page6!M39</v>
      </c>
      <c r="B2350" s="1456" t="s">
        <v>1086</v>
      </c>
      <c r="C2350" s="1451"/>
      <c r="D2350" s="1454"/>
      <c r="E2350" s="1454"/>
      <c r="G2350" s="1444" t="str">
        <f t="shared" si="309"/>
        <v/>
      </c>
      <c r="I2350" s="1446"/>
      <c r="J2350" s="1446"/>
      <c r="K2350" s="1446"/>
      <c r="N2350" s="611" t="s">
        <v>1612</v>
      </c>
      <c r="O2350" s="611" t="str">
        <f t="shared" si="316"/>
        <v/>
      </c>
      <c r="P2350" s="611" t="str">
        <f t="shared" si="310"/>
        <v>Page6!M</v>
      </c>
      <c r="Q2350" s="611">
        <f t="shared" si="311"/>
        <v>39</v>
      </c>
      <c r="R2350" s="1447">
        <f t="shared" ca="1" si="312"/>
        <v>0</v>
      </c>
      <c r="S2350" s="1447">
        <f t="shared" ca="1" si="313"/>
        <v>0</v>
      </c>
      <c r="U2350" s="611" t="s">
        <v>1607</v>
      </c>
      <c r="V2350" s="2557" t="str">
        <f t="shared" ca="1" si="317"/>
        <v/>
      </c>
      <c r="W2350" s="611" t="str">
        <f t="shared" ca="1" si="314"/>
        <v>Page6, Ligne 36 [Page6!M39]  -</v>
      </c>
    </row>
    <row r="2351" spans="1:23">
      <c r="A2351" s="1443" t="str">
        <f>celladdr(Page6!M41)</f>
        <v>Page6!M41</v>
      </c>
      <c r="B2351" s="1456" t="s">
        <v>1086</v>
      </c>
      <c r="C2351" s="1451"/>
      <c r="D2351" s="1454" t="b">
        <f>OR(AND(Page6!$L41&lt;&gt;0,Page6!$M41=0),AND(Page6!$M41&lt;&gt;0,Page6!$L41=0))</f>
        <v>0</v>
      </c>
      <c r="E2351" s="1454"/>
      <c r="G2351" s="1444" t="str">
        <f t="shared" si="309"/>
        <v/>
      </c>
      <c r="I2351" s="1446" t="str">
        <f>IF(D2351=TRUE,Comments!$B$24,"")</f>
        <v/>
      </c>
      <c r="J2351" s="1446"/>
      <c r="N2351" s="611" t="s">
        <v>1613</v>
      </c>
      <c r="O2351" s="611" t="str">
        <f t="shared" si="316"/>
        <v/>
      </c>
      <c r="P2351" s="611" t="str">
        <f t="shared" si="310"/>
        <v>Page6!M</v>
      </c>
      <c r="Q2351" s="611">
        <f t="shared" si="311"/>
        <v>41</v>
      </c>
      <c r="R2351" s="1447">
        <f t="shared" ca="1" si="312"/>
        <v>0</v>
      </c>
      <c r="S2351" s="1447">
        <f t="shared" ca="1" si="313"/>
        <v>0</v>
      </c>
      <c r="V2351" s="2557" t="str">
        <f t="shared" ca="1" si="317"/>
        <v/>
      </c>
      <c r="W2351" s="611" t="str">
        <f t="shared" ca="1" si="314"/>
        <v>Page6, Ligne 38 [Page6!M41]  -</v>
      </c>
    </row>
    <row r="2352" spans="1:23">
      <c r="A2352" s="1443" t="str">
        <f>celladdr(Page6!M42)</f>
        <v>Page6!M42</v>
      </c>
      <c r="B2352" s="1456" t="s">
        <v>1086</v>
      </c>
      <c r="D2352" s="1454" t="b">
        <f>OR(AND(Page6!$L42&lt;&gt;0,Page6!$M42=0),AND(Page6!$M42&lt;&gt;0,Page6!$L42=0))</f>
        <v>0</v>
      </c>
      <c r="G2352" s="1444" t="str">
        <f t="shared" si="309"/>
        <v/>
      </c>
      <c r="N2352" s="611" t="s">
        <v>1614</v>
      </c>
      <c r="O2352" s="611" t="str">
        <f t="shared" si="316"/>
        <v/>
      </c>
      <c r="P2352" s="611" t="str">
        <f t="shared" si="310"/>
        <v>Page6!M</v>
      </c>
      <c r="Q2352" s="611">
        <f t="shared" si="311"/>
        <v>42</v>
      </c>
      <c r="R2352" s="1447">
        <f t="shared" ca="1" si="312"/>
        <v>0</v>
      </c>
      <c r="S2352" s="1447">
        <f t="shared" ca="1" si="313"/>
        <v>0</v>
      </c>
      <c r="V2352" s="2557" t="str">
        <f t="shared" ca="1" si="317"/>
        <v/>
      </c>
      <c r="W2352" s="611" t="str">
        <f t="shared" ca="1" si="314"/>
        <v>Page6, Ligne 39 [Page6!M42]  -</v>
      </c>
    </row>
    <row r="2353" spans="1:23">
      <c r="A2353" s="1443" t="str">
        <f>celladdr(Page6!M44)</f>
        <v>Page6!M44</v>
      </c>
      <c r="B2353" s="1456" t="s">
        <v>1086</v>
      </c>
      <c r="C2353" s="1451" t="b">
        <f>IF(OR(Page6!$K$44=0,Page6!$M$44=0),FALSE,OR((Page6!$M$44+Page6!$M$45)/Page6!$K$44&lt;INDEX(Min_Table,L2353),(Page6!$M$44+Page6!$M$45)/Page6!$K$44&gt;INDEX(Max_Table,L2353)))</f>
        <v>0</v>
      </c>
      <c r="D2353" s="1454" t="b">
        <f>OR(AND(Page6!$L44&lt;&gt;0,Page6!$M44=0),AND(Page6!$M44&lt;&gt;0,Page6!$L44=0))</f>
        <v>0</v>
      </c>
      <c r="E2353" s="1454" t="b">
        <f>IF(OR(Page6!$K$44=0,Page6!$M$44=0),FALSE,OR((Page6!$M$44+Page6!$M$45)/Page6!$K$44&lt;INDEX(Min_Table,M2353),(Page6!$M$44+Page6!$M$45)/Page6!$K$44&gt;INDEX(Max_Table,M2353)))</f>
        <v>0</v>
      </c>
      <c r="G2353" s="1444" t="str">
        <f t="shared" si="309"/>
        <v/>
      </c>
      <c r="H2353" s="1447" t="str">
        <f>IF(C2353=TRUE,Comments!$B$20&amp;DOLLAR(INDEX(Min_Table,L2353),0)&amp;Comments!$B$18&amp;DOLLAR(INDEX(Max_Table,L2353),0)&amp;Comments!$B$19&amp;DOLLAR((Page6!$M$44+Page6!$M$45)/Page6!$K$44,0),"")</f>
        <v/>
      </c>
      <c r="I2353" s="1446" t="str">
        <f>IF(D2353=TRUE,Comments!$B$24,"")</f>
        <v/>
      </c>
      <c r="J2353" s="1446" t="str">
        <f>IF(E2353=TRUE,Comments!$B$22&amp;DOLLAR(INDEX(Min_Table,M2353),0)&amp;Comments!$B$18&amp;DOLLAR(INDEX(Max_Table,M2353),0)&amp;Comments!$B$19&amp;DOLLAR((Page6!$M$44+Page6!$M$45)/Page6!$K$44,0),"")</f>
        <v/>
      </c>
      <c r="K2353" s="1446"/>
      <c r="L2353" s="611">
        <f>ROW(OR_VEH!$A$669)</f>
        <v>669</v>
      </c>
      <c r="M2353" s="611">
        <f>ROW(OR_VEH!$A$630)</f>
        <v>630</v>
      </c>
      <c r="N2353" s="611" t="s">
        <v>1615</v>
      </c>
      <c r="O2353" s="611" t="str">
        <f t="shared" si="316"/>
        <v/>
      </c>
      <c r="P2353" s="611" t="str">
        <f t="shared" si="310"/>
        <v>Page6!M</v>
      </c>
      <c r="Q2353" s="611">
        <f t="shared" si="311"/>
        <v>44</v>
      </c>
      <c r="R2353" s="1447">
        <f t="shared" ca="1" si="312"/>
        <v>0</v>
      </c>
      <c r="S2353" s="1447">
        <f t="shared" ca="1" si="313"/>
        <v>0</v>
      </c>
      <c r="T2353" s="611">
        <v>22</v>
      </c>
      <c r="U2353" s="611" t="s">
        <v>1607</v>
      </c>
      <c r="V2353" s="2557" t="str">
        <f t="shared" ca="1" si="317"/>
        <v/>
      </c>
      <c r="W2353" s="611" t="str">
        <f t="shared" ca="1" si="314"/>
        <v>Page6, Ligne 41 [Page6!M44]  -</v>
      </c>
    </row>
    <row r="2354" spans="1:23">
      <c r="A2354" s="1443" t="str">
        <f>celladdr(Page6!M45)</f>
        <v>Page6!M45</v>
      </c>
      <c r="B2354" s="1456" t="s">
        <v>1086</v>
      </c>
      <c r="C2354" s="1451" t="b">
        <f>IF(OR(Page6!$K$44=0,Page6!$M$45=0),FALSE,OR((Page6!$M$44+Page6!$M$45)/Page6!$K$44&lt;INDEX(Min_Table,L2354),(Page6!$M$44+Page6!$M$45)/Page6!$K$44&gt;INDEX(Max_Table,L2354)))</f>
        <v>0</v>
      </c>
      <c r="D2354" s="1454" t="b">
        <f>OR(AND(Page6!$L45&lt;&gt;0,Page6!$M45=0),AND(Page6!$M45&lt;&gt;0,Page6!$L45=0))</f>
        <v>0</v>
      </c>
      <c r="E2354" s="1454" t="b">
        <f>IF(OR(Page6!$K$44=0,Page6!$M$45=0),FALSE,OR((Page6!$M$44+Page6!$M$45)/Page6!$K$44&lt;INDEX(Min_Table,M2354),(Page6!$M$44+Page6!$M$45)/Page6!$K$44&gt;INDEX(Max_Table,M2354)))</f>
        <v>0</v>
      </c>
      <c r="G2354" s="1444" t="str">
        <f t="shared" si="309"/>
        <v/>
      </c>
      <c r="H2354" s="1447" t="str">
        <f>IF(C2354=TRUE,Comments!$B$20&amp;DOLLAR(INDEX(Min_Table,L2354),0)&amp;Comments!$B$18&amp;DOLLAR(INDEX(Max_Table,L2354),0)&amp;Comments!$B$19&amp;DOLLAR((Page6!$M$44+Page6!$M$45)/Page6!$K$44,0),"")</f>
        <v/>
      </c>
      <c r="I2354" s="1446" t="str">
        <f>IF(D2354=TRUE,Comments!$B$24,"")</f>
        <v/>
      </c>
      <c r="J2354" s="1446" t="str">
        <f>IF(E2354=TRUE,Comments!$B$22&amp;DOLLAR(INDEX(Min_Table,M2354),0)&amp;Comments!$B$18&amp;DOLLAR(INDEX(Max_Table,M2354),0)&amp;Comments!$B$19&amp;DOLLAR((Page6!$M$44+Page6!$M$45)/Page6!$K$44,0),"")</f>
        <v/>
      </c>
      <c r="K2354" s="1446"/>
      <c r="L2354" s="611">
        <f>ROW(OR_VEH!$A$669)</f>
        <v>669</v>
      </c>
      <c r="M2354" s="611">
        <f>ROW(OR_VEH!$A$631)</f>
        <v>631</v>
      </c>
      <c r="N2354" s="611" t="s">
        <v>1616</v>
      </c>
      <c r="O2354" s="611" t="str">
        <f t="shared" si="316"/>
        <v/>
      </c>
      <c r="P2354" s="611" t="str">
        <f t="shared" si="310"/>
        <v>Page6!M</v>
      </c>
      <c r="Q2354" s="611">
        <f t="shared" si="311"/>
        <v>45</v>
      </c>
      <c r="R2354" s="1447">
        <f t="shared" ca="1" si="312"/>
        <v>0</v>
      </c>
      <c r="S2354" s="1447">
        <f t="shared" ca="1" si="313"/>
        <v>0</v>
      </c>
      <c r="T2354" s="611">
        <v>22</v>
      </c>
      <c r="U2354" s="611" t="s">
        <v>1607</v>
      </c>
      <c r="V2354" s="2557" t="str">
        <f t="shared" ca="1" si="317"/>
        <v/>
      </c>
      <c r="W2354" s="611" t="str">
        <f t="shared" ca="1" si="314"/>
        <v>Page6, Ligne 42 [Page6!M45]  -</v>
      </c>
    </row>
    <row r="2355" spans="1:23">
      <c r="A2355" s="1443" t="str">
        <f>celladdr(Page6!M46)</f>
        <v>Page6!M46</v>
      </c>
      <c r="B2355" s="1456" t="s">
        <v>1086</v>
      </c>
      <c r="C2355" s="1451" t="b">
        <f>IF(Page6!$K$46=0,FALSE,OR(Page6!$M$46/Page6!$K$46&lt;INDEX(Min_Table,L2355),Page6!$M$46/Page6!$K$46&gt;INDEX(Max_Table,L2355)))</f>
        <v>0</v>
      </c>
      <c r="D2355" s="1454" t="b">
        <f>OR(AND(Page6!$L46&lt;&gt;0,Page6!$M46=0),AND(Page6!$M46&lt;&gt;0,Page6!$L46=0))</f>
        <v>0</v>
      </c>
      <c r="E2355" s="1454" t="b">
        <f>IF(Page6!$K$46=0,FALSE,OR(Page6!$M$46/Page6!$K$46&lt;INDEX(Min_Table,M2355),Page6!$M$46/Page6!$K$46&gt;INDEX(Max_Table,M2355)))</f>
        <v>0</v>
      </c>
      <c r="G2355" s="1444" t="str">
        <f t="shared" si="309"/>
        <v/>
      </c>
      <c r="H2355" s="1447" t="str">
        <f>IF(C2355=TRUE,Comments!$B$20&amp;DOLLAR(INDEX(Min_Table,L2355),0)&amp;Comments!$B$18&amp;DOLLAR(INDEX(Max_Table,L2355),0)&amp;Comments!$B$19&amp;DOLLAR(Page6!$M$46/Page6!$K$46,0),"")</f>
        <v/>
      </c>
      <c r="I2355" s="1446" t="str">
        <f>IF(D2355=TRUE,Comments!$B$24,"")</f>
        <v/>
      </c>
      <c r="J2355" s="1446" t="str">
        <f>IF(E2355=TRUE,Comments!$B$22&amp;DOLLAR(INDEX(Min_Table,M2355),0)&amp;Comments!$B$18&amp;DOLLAR(INDEX(Max_Table,M2355),0)&amp;Comments!$B$19&amp;DOLLAR(Page6!$M$46/Page6!$K$46,0),"")</f>
        <v/>
      </c>
      <c r="K2355" s="1446"/>
      <c r="L2355" s="611">
        <f>ROW(OR_VEH!$A$669)</f>
        <v>669</v>
      </c>
      <c r="M2355" s="611">
        <f>ROW(OR_VEH!$A$632)</f>
        <v>632</v>
      </c>
      <c r="N2355" s="611" t="s">
        <v>1617</v>
      </c>
      <c r="O2355" s="611" t="str">
        <f t="shared" si="316"/>
        <v/>
      </c>
      <c r="P2355" s="611" t="str">
        <f t="shared" si="310"/>
        <v>Page6!M</v>
      </c>
      <c r="Q2355" s="611">
        <f t="shared" si="311"/>
        <v>46</v>
      </c>
      <c r="R2355" s="1447">
        <f t="shared" ca="1" si="312"/>
        <v>0</v>
      </c>
      <c r="S2355" s="1447">
        <f t="shared" ca="1" si="313"/>
        <v>0</v>
      </c>
      <c r="T2355" s="611">
        <v>22</v>
      </c>
      <c r="U2355" s="611" t="s">
        <v>1607</v>
      </c>
      <c r="V2355" s="2557" t="str">
        <f t="shared" ca="1" si="317"/>
        <v/>
      </c>
      <c r="W2355" s="611" t="str">
        <f t="shared" ca="1" si="314"/>
        <v>Page6, Ligne 43 [Page6!M46]  -</v>
      </c>
    </row>
    <row r="2356" spans="1:23">
      <c r="A2356" s="1443" t="str">
        <f>celladdr(Page6!M47)</f>
        <v>Page6!M47</v>
      </c>
      <c r="B2356" s="1456" t="s">
        <v>1086</v>
      </c>
      <c r="C2356" s="1451" t="b">
        <f>IF(Page6!$K$47=0,FALSE,OR(Page6!$M$47/Page6!$K$47&lt;INDEX(Min_Table,L2356),Page6!$M$47/Page6!$K$47&gt;INDEX(Max_Table,L2356)))</f>
        <v>0</v>
      </c>
      <c r="D2356" s="1454" t="b">
        <f>OR(AND(Page6!$L47&lt;&gt;0,Page6!$M47=0),AND(Page6!$M47&lt;&gt;0,Page6!$L47=0))</f>
        <v>0</v>
      </c>
      <c r="E2356" s="1454" t="b">
        <f>IF(Page6!$K$47=0,FALSE,OR(Page6!$M$47/Page6!$K$47&lt;INDEX(Min_Table,M2356),Page6!$M$47/Page6!$K$47&gt;INDEX(Max_Table,M2356)))</f>
        <v>0</v>
      </c>
      <c r="G2356" s="1444" t="str">
        <f t="shared" si="309"/>
        <v/>
      </c>
      <c r="H2356" s="1447" t="str">
        <f>IF(C2356=TRUE,Comments!$B$20&amp;DOLLAR(INDEX(Min_Table,L2356),0)&amp;Comments!$B$18&amp;DOLLAR(INDEX(Max_Table,L2356),0)&amp;Comments!$B$19&amp;DOLLAR(Page6!$M$47/Page6!$K$47,0),"")</f>
        <v/>
      </c>
      <c r="I2356" s="1446" t="str">
        <f>IF(D2356=TRUE,Comments!$B$24,"")</f>
        <v/>
      </c>
      <c r="J2356" s="1446" t="str">
        <f>IF(E2356=TRUE,Comments!$B$22&amp;DOLLAR(INDEX(Min_Table,M2356),0)&amp;Comments!$B$18&amp;DOLLAR(INDEX(Max_Table,M2356),0)&amp;Comments!$B$19&amp;DOLLAR(Page6!$M$47/Page6!$K$47,0),"")</f>
        <v/>
      </c>
      <c r="K2356" s="1446"/>
      <c r="L2356" s="611">
        <f>ROW(OR_VEH!$A$669)</f>
        <v>669</v>
      </c>
      <c r="M2356" s="611">
        <f>ROW(OR_VEH!$A$633)</f>
        <v>633</v>
      </c>
      <c r="N2356" s="611" t="s">
        <v>1618</v>
      </c>
      <c r="O2356" s="611" t="str">
        <f t="shared" si="316"/>
        <v/>
      </c>
      <c r="P2356" s="611" t="str">
        <f t="shared" si="310"/>
        <v>Page6!M</v>
      </c>
      <c r="Q2356" s="611">
        <f t="shared" si="311"/>
        <v>47</v>
      </c>
      <c r="R2356" s="1447">
        <f t="shared" ca="1" si="312"/>
        <v>0</v>
      </c>
      <c r="S2356" s="1447">
        <f t="shared" ca="1" si="313"/>
        <v>0</v>
      </c>
      <c r="T2356" s="611">
        <v>22</v>
      </c>
      <c r="U2356" s="611" t="s">
        <v>1607</v>
      </c>
      <c r="V2356" s="2557" t="str">
        <f t="shared" ca="1" si="317"/>
        <v/>
      </c>
      <c r="W2356" s="611" t="str">
        <f t="shared" ca="1" si="314"/>
        <v>Page6, Ligne 44 [Page6!M47]  -</v>
      </c>
    </row>
    <row r="2357" spans="1:23">
      <c r="A2357" s="1443" t="str">
        <f>celladdr(Page6!M48)</f>
        <v>Page6!M48</v>
      </c>
      <c r="B2357" s="1456" t="s">
        <v>1086</v>
      </c>
      <c r="C2357" s="1451"/>
      <c r="D2357" s="1454"/>
      <c r="E2357" s="1454"/>
      <c r="G2357" s="1444" t="str">
        <f t="shared" si="309"/>
        <v/>
      </c>
      <c r="I2357" s="1446"/>
      <c r="J2357" s="1446"/>
      <c r="K2357" s="1446"/>
      <c r="N2357" s="611" t="s">
        <v>1619</v>
      </c>
      <c r="O2357" s="611" t="str">
        <f t="shared" si="316"/>
        <v/>
      </c>
      <c r="P2357" s="611" t="str">
        <f t="shared" si="310"/>
        <v>Page6!M</v>
      </c>
      <c r="Q2357" s="611">
        <f t="shared" si="311"/>
        <v>48</v>
      </c>
      <c r="R2357" s="1447">
        <f t="shared" ca="1" si="312"/>
        <v>0</v>
      </c>
      <c r="S2357" s="1447">
        <f t="shared" ca="1" si="313"/>
        <v>0</v>
      </c>
      <c r="U2357" s="611" t="s">
        <v>1607</v>
      </c>
      <c r="V2357" s="2557" t="str">
        <f t="shared" ca="1" si="317"/>
        <v/>
      </c>
      <c r="W2357" s="611" t="str">
        <f t="shared" ca="1" si="314"/>
        <v>Page6, Ligne 45 [Page6!M48]  -</v>
      </c>
    </row>
    <row r="2358" spans="1:23">
      <c r="A2358" s="1443" t="str">
        <f>celladdr(Page6!M50)</f>
        <v>Page6!M50</v>
      </c>
      <c r="B2358" s="1456" t="s">
        <v>1086</v>
      </c>
      <c r="C2358" s="1451"/>
      <c r="D2358" s="1454" t="b">
        <f>OR(AND(Page6!$L50&lt;&gt;0,Page6!$M50=0),AND(Page6!$M50&lt;&gt;0,Page6!$L50=0))</f>
        <v>0</v>
      </c>
      <c r="E2358" s="1454"/>
      <c r="G2358" s="1444" t="str">
        <f t="shared" si="309"/>
        <v/>
      </c>
      <c r="I2358" s="1446" t="str">
        <f>IF(D2358=TRUE,Comments!$B$24,"")</f>
        <v/>
      </c>
      <c r="J2358" s="1446"/>
      <c r="N2358" s="611" t="s">
        <v>1620</v>
      </c>
      <c r="O2358" s="611" t="str">
        <f t="shared" si="316"/>
        <v/>
      </c>
      <c r="P2358" s="611" t="str">
        <f t="shared" si="310"/>
        <v>Page6!M</v>
      </c>
      <c r="Q2358" s="611">
        <f t="shared" si="311"/>
        <v>50</v>
      </c>
      <c r="R2358" s="1447">
        <f t="shared" ca="1" si="312"/>
        <v>0</v>
      </c>
      <c r="S2358" s="1447">
        <f t="shared" ca="1" si="313"/>
        <v>0</v>
      </c>
      <c r="V2358" s="2557" t="str">
        <f t="shared" ca="1" si="317"/>
        <v/>
      </c>
      <c r="W2358" s="611" t="str">
        <f t="shared" ca="1" si="314"/>
        <v>Page6, Ligne 47 [Page6!M50]  -</v>
      </c>
    </row>
    <row r="2359" spans="1:23">
      <c r="A2359" s="1443" t="str">
        <f>celladdr(Page6!M51)</f>
        <v>Page6!M51</v>
      </c>
      <c r="B2359" s="1456" t="s">
        <v>1086</v>
      </c>
      <c r="C2359" s="1451"/>
      <c r="D2359" s="1454" t="b">
        <f>OR(AND(Page6!$L51&lt;&gt;0,Page6!$M51=0),AND(Page6!$M51&lt;&gt;0,Page6!$L51=0))</f>
        <v>0</v>
      </c>
      <c r="E2359" s="1454"/>
      <c r="G2359" s="1444" t="str">
        <f t="shared" si="309"/>
        <v/>
      </c>
      <c r="I2359" s="1446"/>
      <c r="J2359" s="1446"/>
      <c r="N2359" s="611" t="s">
        <v>1621</v>
      </c>
      <c r="O2359" s="611" t="str">
        <f t="shared" si="316"/>
        <v/>
      </c>
      <c r="P2359" s="611" t="str">
        <f t="shared" si="310"/>
        <v>Page6!M</v>
      </c>
      <c r="Q2359" s="611">
        <f t="shared" si="311"/>
        <v>51</v>
      </c>
      <c r="R2359" s="1447">
        <f t="shared" ca="1" si="312"/>
        <v>0</v>
      </c>
      <c r="S2359" s="1447">
        <f t="shared" ca="1" si="313"/>
        <v>0</v>
      </c>
      <c r="V2359" s="2557" t="str">
        <f t="shared" ca="1" si="317"/>
        <v/>
      </c>
      <c r="W2359" s="611" t="str">
        <f t="shared" ca="1" si="314"/>
        <v>Page6, Ligne 48 [Page6!M51]  -</v>
      </c>
    </row>
    <row r="2360" spans="1:23">
      <c r="A2360" s="1443" t="str">
        <f>celladdr(Page6!M54)</f>
        <v>Page6!M54</v>
      </c>
      <c r="B2360" s="1456" t="s">
        <v>1086</v>
      </c>
      <c r="C2360" s="1451"/>
      <c r="D2360" s="1454" t="b">
        <f>OR(AND(Page6!$L54&lt;&gt;0,Page6!$M54=0),AND(Page6!$M54&lt;&gt;0,Page6!$L54=0))</f>
        <v>0</v>
      </c>
      <c r="E2360" s="1454" t="b">
        <f>IF(Page6!$O$54=0,FALSE,OR(Page6!$O$54&lt;INDEX(Min_Table,L2360),Page6!$O$54&gt;INDEX(Max_Table,L2360)))</f>
        <v>0</v>
      </c>
      <c r="G2360" s="1444" t="str">
        <f t="shared" si="309"/>
        <v/>
      </c>
      <c r="I2360" s="1446" t="str">
        <f>IF(D2360=TRUE,Comments!$B$24,"")</f>
        <v/>
      </c>
      <c r="J2360" s="1446" t="str">
        <f>IF(E2360=TRUE,Comments!$B$22&amp;INDEX(Min_Table,L2360)&amp;Comments!$B$18&amp;INDEX(Max_Table,L2360)&amp;Comments!$B$19&amp;Page6!$O$54,"")</f>
        <v/>
      </c>
      <c r="L2360" s="611">
        <f>ROW(OR_VEH!$A$665)</f>
        <v>665</v>
      </c>
      <c r="N2360" s="611" t="s">
        <v>1622</v>
      </c>
      <c r="O2360" s="611" t="str">
        <f t="shared" si="316"/>
        <v/>
      </c>
      <c r="P2360" s="611" t="str">
        <f t="shared" si="310"/>
        <v>Page6!M</v>
      </c>
      <c r="Q2360" s="611">
        <f t="shared" si="311"/>
        <v>54</v>
      </c>
      <c r="R2360" s="1447">
        <f t="shared" ca="1" si="312"/>
        <v>0</v>
      </c>
      <c r="S2360" s="1447">
        <f t="shared" ca="1" si="313"/>
        <v>0</v>
      </c>
      <c r="T2360" s="611">
        <v>22</v>
      </c>
      <c r="V2360" s="2557" t="str">
        <f t="shared" ca="1" si="317"/>
        <v/>
      </c>
      <c r="W2360" s="611" t="str">
        <f t="shared" ca="1" si="314"/>
        <v>Page6, Ligne 51 [Page6!M54]  -</v>
      </c>
    </row>
    <row r="2361" spans="1:23">
      <c r="A2361" s="1443" t="str">
        <f>celladdr(Page6!M55)</f>
        <v>Page6!M55</v>
      </c>
      <c r="B2361" s="1456" t="s">
        <v>1086</v>
      </c>
      <c r="C2361" s="1451"/>
      <c r="D2361" s="1454" t="b">
        <f>OR(AND(Page6!$L55&lt;&gt;0,Page6!$M55=0),AND(Page6!$M55&lt;&gt;0,Page6!$L55=0))</f>
        <v>0</v>
      </c>
      <c r="E2361" s="1454"/>
      <c r="G2361" s="1444" t="str">
        <f t="shared" si="309"/>
        <v/>
      </c>
      <c r="I2361" s="1446" t="str">
        <f>IF(D2361=TRUE,Comments!$B$24,"")</f>
        <v/>
      </c>
      <c r="J2361" s="1446"/>
      <c r="N2361" s="4" t="str">
        <f>_xlfn.CONCAT("P&amp;A - ",Page6!D55," - COÛT DES VENTES - AAD")</f>
        <v>P&amp;A - B.R. SERV VOIT &amp; CAM LÉG. - COÛT DES VENTES - AAD</v>
      </c>
      <c r="O2361" s="611" t="str">
        <f t="shared" si="316"/>
        <v/>
      </c>
      <c r="P2361" s="611" t="str">
        <f t="shared" si="310"/>
        <v>Page6!M</v>
      </c>
      <c r="Q2361" s="611">
        <f t="shared" si="311"/>
        <v>55</v>
      </c>
      <c r="R2361" s="1447">
        <f t="shared" ca="1" si="312"/>
        <v>0</v>
      </c>
      <c r="S2361" s="1447">
        <f t="shared" ca="1" si="313"/>
        <v>0</v>
      </c>
      <c r="V2361" s="2557" t="str">
        <f t="shared" ca="1" si="317"/>
        <v/>
      </c>
      <c r="W2361" s="611" t="str">
        <f t="shared" ca="1" si="314"/>
        <v>Page6, Ligne 52 [Page6!M55]  -</v>
      </c>
    </row>
    <row r="2362" spans="1:23">
      <c r="A2362" s="1443" t="str">
        <f>celladdr(Page6!M56)</f>
        <v>Page6!M56</v>
      </c>
      <c r="B2362" s="1456" t="s">
        <v>1086</v>
      </c>
      <c r="C2362" s="1451"/>
      <c r="D2362" s="1454" t="b">
        <f>OR(AND(Page6!$L56&lt;&gt;0,Page6!$M56=0),AND(Page6!$M56&lt;&gt;0,Page6!$L56=0))</f>
        <v>0</v>
      </c>
      <c r="E2362" s="1454"/>
      <c r="G2362" s="1444" t="str">
        <f t="shared" si="309"/>
        <v/>
      </c>
      <c r="I2362" s="1446" t="str">
        <f>IF(D2362=TRUE,Comments!$B$24,"")</f>
        <v/>
      </c>
      <c r="J2362" s="1446"/>
      <c r="N2362" s="4" t="str">
        <f>_xlfn.CONCAT("P&amp;A - ",Page6!D56," - COÛT DES VENTES - AAD")</f>
        <v>P&amp;A - B.R. SERV - VOIT, CAM LÉGER VE - COÛT DES VENTES - AAD</v>
      </c>
      <c r="O2362" s="611" t="str">
        <f t="shared" si="316"/>
        <v/>
      </c>
      <c r="P2362" s="611" t="str">
        <f t="shared" si="310"/>
        <v>Page6!M</v>
      </c>
      <c r="Q2362" s="611">
        <f t="shared" si="311"/>
        <v>56</v>
      </c>
      <c r="R2362" s="1447">
        <f t="shared" ca="1" si="312"/>
        <v>0</v>
      </c>
      <c r="S2362" s="1447">
        <f t="shared" ca="1" si="313"/>
        <v>0</v>
      </c>
      <c r="W2362" s="611" t="str">
        <f t="shared" ca="1" si="314"/>
        <v>Page6, Ligne 53 [Page6!M56]  -</v>
      </c>
    </row>
    <row r="2363" spans="1:23">
      <c r="A2363" s="1443" t="str">
        <f>celladdr(Page6!M57)</f>
        <v>Page6!M57</v>
      </c>
      <c r="B2363" s="1456" t="s">
        <v>1086</v>
      </c>
      <c r="C2363" s="1451"/>
      <c r="D2363" s="1454" t="b">
        <f>OR(AND(Page6!$L57&lt;&gt;0,Page6!$M57=0),AND(Page6!$M57&lt;&gt;0,Page6!$L57=0))</f>
        <v>0</v>
      </c>
      <c r="E2363" s="1454"/>
      <c r="G2363" s="1444" t="str">
        <f t="shared" si="309"/>
        <v/>
      </c>
      <c r="I2363" s="1446" t="str">
        <f>IF(D2363=TRUE,Comments!$B$24,"")</f>
        <v/>
      </c>
      <c r="J2363" s="1446"/>
      <c r="N2363" s="4" t="str">
        <f>_xlfn.CONCAT("P&amp;A - ",Page6!D57," - COÛT DES VENTES - AAD")</f>
        <v>P&amp;A - B.R. SERV CAM MOY &amp; SAAB - COÛT DES VENTES - AAD</v>
      </c>
      <c r="O2363" s="611" t="str">
        <f t="shared" si="316"/>
        <v/>
      </c>
      <c r="P2363" s="611" t="str">
        <f t="shared" si="310"/>
        <v>Page6!M</v>
      </c>
      <c r="Q2363" s="611">
        <f t="shared" si="311"/>
        <v>57</v>
      </c>
      <c r="R2363" s="1447">
        <f t="shared" ca="1" si="312"/>
        <v>0</v>
      </c>
      <c r="S2363" s="1447">
        <f t="shared" ca="1" si="313"/>
        <v>0</v>
      </c>
      <c r="V2363" s="2557" t="str">
        <f ca="1">IF(SUM(R2363+S2363)=0,"","
*** "&amp;TEXT(SUM(R2363+S2363),"0,0")&amp;" Points de précision seront déduits suite à cette(ces) erreur(s) !")</f>
        <v/>
      </c>
      <c r="W2363" s="611" t="str">
        <f t="shared" ca="1" si="314"/>
        <v>Page6, Ligne 54 [Page6!M57]  -</v>
      </c>
    </row>
    <row r="2364" spans="1:23">
      <c r="A2364" s="1443" t="str">
        <f>celladdr(Page6!M58)</f>
        <v>Page6!M58</v>
      </c>
      <c r="B2364" s="1456" t="s">
        <v>1086</v>
      </c>
      <c r="C2364" s="1451"/>
      <c r="D2364" s="1454" t="b">
        <f>OR(AND(Page6!$L58&lt;&gt;0,Page6!$M58=0),AND(Page6!$M58&lt;&gt;0,Page6!$L58=0))</f>
        <v>0</v>
      </c>
      <c r="E2364" s="1454"/>
      <c r="G2364" s="1444" t="str">
        <f t="shared" si="309"/>
        <v/>
      </c>
      <c r="I2364" s="1446" t="str">
        <f>IF(D2364=TRUE,Comments!$B$24,"")</f>
        <v/>
      </c>
      <c r="J2364" s="1446"/>
      <c r="N2364" s="4" t="str">
        <f>_xlfn.CONCAT("P&amp;A - ",Page6!D58," - COÛT DES VENTES - AAD")</f>
        <v>P&amp;A - B.R. SERV - CAM COM,PARCS,MOY VE - COÛT DES VENTES - AAD</v>
      </c>
      <c r="O2364" s="611" t="str">
        <f t="shared" si="316"/>
        <v/>
      </c>
      <c r="P2364" s="611" t="str">
        <f t="shared" si="310"/>
        <v>Page6!M</v>
      </c>
      <c r="Q2364" s="611">
        <f t="shared" si="311"/>
        <v>58</v>
      </c>
      <c r="R2364" s="1447">
        <f t="shared" ca="1" si="312"/>
        <v>0</v>
      </c>
      <c r="S2364" s="1447">
        <f t="shared" ca="1" si="313"/>
        <v>0</v>
      </c>
      <c r="W2364" s="611" t="str">
        <f t="shared" ca="1" si="314"/>
        <v>Page6, Ligne 55 [Page6!M58]  -</v>
      </c>
    </row>
    <row r="2365" spans="1:23">
      <c r="A2365" s="1443" t="str">
        <f>celladdr(Page6!M59)</f>
        <v>Page6!M59</v>
      </c>
      <c r="B2365" s="1456" t="s">
        <v>1086</v>
      </c>
      <c r="C2365" s="1451"/>
      <c r="D2365" s="1454" t="b">
        <f>OR(AND(Page6!$L59&lt;&gt;0,Page6!$M59=0),AND(Page6!$M59&lt;&gt;0,Page6!$L59=0))</f>
        <v>0</v>
      </c>
      <c r="E2365" s="1454"/>
      <c r="G2365" s="1444" t="str">
        <f t="shared" si="309"/>
        <v/>
      </c>
      <c r="I2365" s="1446" t="str">
        <f>IF(D2365=TRUE,Comments!$B$24,"")</f>
        <v/>
      </c>
      <c r="J2365" s="1446"/>
      <c r="N2365" s="4" t="str">
        <f>_xlfn.CONCAT("P&amp;A - ",Page6!D59," - COÛT DES VENTES - AAD")</f>
        <v>P&amp;A - B.R. SERVICE RAPIDE - COÛT DES VENTES - AAD</v>
      </c>
      <c r="O2365" s="611" t="str">
        <f t="shared" si="316"/>
        <v/>
      </c>
      <c r="P2365" s="611" t="str">
        <f t="shared" si="310"/>
        <v>Page6!M</v>
      </c>
      <c r="Q2365" s="611">
        <f t="shared" si="311"/>
        <v>59</v>
      </c>
      <c r="R2365" s="1447">
        <f t="shared" ca="1" si="312"/>
        <v>0</v>
      </c>
      <c r="S2365" s="1447">
        <f t="shared" ca="1" si="313"/>
        <v>0</v>
      </c>
      <c r="V2365" s="2557" t="str">
        <f ca="1">IF(SUM(R2365+S2365)=0,"","
*** "&amp;TEXT(SUM(R2365+S2365),"0,0")&amp;" Points de précision seront déduits suite à cette(ces) erreur(s) !")</f>
        <v/>
      </c>
      <c r="W2365" s="611" t="str">
        <f t="shared" ca="1" si="314"/>
        <v>Page6, Ligne 56 [Page6!M59]  -</v>
      </c>
    </row>
    <row r="2366" spans="1:23">
      <c r="A2366" s="1443" t="str">
        <f>celladdr(Page6!M60)</f>
        <v>Page6!M60</v>
      </c>
      <c r="B2366" s="1456" t="s">
        <v>1086</v>
      </c>
      <c r="C2366" s="1451"/>
      <c r="D2366" s="1454" t="b">
        <f>OR(AND(Page6!$L60&lt;&gt;0,Page6!$M60=0),AND(Page6!$M60&lt;&gt;0,Page6!$L60=0))</f>
        <v>0</v>
      </c>
      <c r="E2366" s="1454"/>
      <c r="G2366" s="1444" t="str">
        <f t="shared" si="309"/>
        <v/>
      </c>
      <c r="I2366" s="1446" t="str">
        <f>IF(D2366=TRUE,Comments!$B$24,"")</f>
        <v/>
      </c>
      <c r="J2366" s="1446"/>
      <c r="N2366" s="4" t="str">
        <f>_xlfn.CONCAT("P&amp;A - ",Page6!D60," - COÛT DES VENTES - AAD")</f>
        <v>P&amp;A - B.R. CLIENT CARROSSERIE - COÛT DES VENTES - AAD</v>
      </c>
      <c r="O2366" s="611" t="str">
        <f t="shared" si="316"/>
        <v/>
      </c>
      <c r="P2366" s="611" t="str">
        <f t="shared" si="310"/>
        <v>Page6!M</v>
      </c>
      <c r="Q2366" s="611">
        <f t="shared" si="311"/>
        <v>60</v>
      </c>
      <c r="R2366" s="1447">
        <f t="shared" ca="1" si="312"/>
        <v>0</v>
      </c>
      <c r="S2366" s="1447">
        <f t="shared" ca="1" si="313"/>
        <v>0</v>
      </c>
      <c r="V2366" s="2557" t="str">
        <f ca="1">IF(SUM(R2366+S2366)=0,"","
*** "&amp;TEXT(SUM(R2366+S2366),"0,0")&amp;" Points de précision seront déduits suite à cette(ces) erreur(s) !")</f>
        <v/>
      </c>
      <c r="W2366" s="611" t="str">
        <f t="shared" ca="1" si="314"/>
        <v>Page6, Ligne 57 [Page6!M60]  -</v>
      </c>
    </row>
    <row r="2367" spans="1:23">
      <c r="A2367" s="1443" t="str">
        <f>celladdr(Page6!M61)</f>
        <v>Page6!M61</v>
      </c>
      <c r="B2367" s="1456" t="s">
        <v>1086</v>
      </c>
      <c r="C2367" s="1451"/>
      <c r="D2367" s="1454" t="b">
        <f>OR(AND(Page6!$L61&lt;&gt;0,Page6!$M61=0),AND(Page6!$M61&lt;&gt;0,Page6!$L61=0))</f>
        <v>0</v>
      </c>
      <c r="E2367" s="1454"/>
      <c r="G2367" s="1444" t="str">
        <f t="shared" si="309"/>
        <v/>
      </c>
      <c r="I2367" s="1446" t="str">
        <f>IF(D2367=TRUE,Comments!$B$24,"")</f>
        <v/>
      </c>
      <c r="J2367" s="1446"/>
      <c r="N2367" s="4" t="str">
        <f>_xlfn.CONCAT("P&amp;A - ",Page6!D61," - COÛT DES VENTES - AAD")</f>
        <v>P&amp;A - B.R. CLIENT SERV MOBILE - COÛT DES VENTES - AAD</v>
      </c>
      <c r="O2367" s="611" t="str">
        <f t="shared" si="316"/>
        <v/>
      </c>
      <c r="P2367" s="611" t="str">
        <f t="shared" si="310"/>
        <v>Page6!M</v>
      </c>
      <c r="Q2367" s="611">
        <f t="shared" si="311"/>
        <v>61</v>
      </c>
      <c r="R2367" s="1447">
        <f t="shared" ca="1" si="312"/>
        <v>0</v>
      </c>
      <c r="S2367" s="1447">
        <f t="shared" ca="1" si="313"/>
        <v>0</v>
      </c>
      <c r="W2367" s="611" t="str">
        <f t="shared" ca="1" si="314"/>
        <v>Page6, Ligne 58 [Page6!M61]  -</v>
      </c>
    </row>
    <row r="2368" spans="1:23">
      <c r="A2368" s="1443" t="str">
        <f>celladdr(Page6!M62)</f>
        <v>Page6!M62</v>
      </c>
      <c r="B2368" s="1456" t="s">
        <v>1086</v>
      </c>
      <c r="C2368" s="1451"/>
      <c r="D2368" s="1454" t="b">
        <f>OR(AND(Page6!$L62&lt;&gt;0,Page6!$M62=0),AND(Page6!$M62&lt;&gt;0,Page6!$L62=0))</f>
        <v>0</v>
      </c>
      <c r="E2368" s="1454"/>
      <c r="G2368" s="1444" t="str">
        <f t="shared" si="309"/>
        <v/>
      </c>
      <c r="I2368" s="1446" t="str">
        <f>IF(D2368=TRUE,Comments!$B$24,"")</f>
        <v/>
      </c>
      <c r="J2368" s="1446"/>
      <c r="N2368" s="4" t="str">
        <f>_xlfn.CONCAT("P&amp;A - ",Page6!D62," - COÛT DES VENTES - AAD")</f>
        <v>P&amp;A - B.R. CLIENT NON-GM VE - COÛT DES VENTES - AAD</v>
      </c>
      <c r="O2368" s="611" t="str">
        <f t="shared" si="316"/>
        <v/>
      </c>
      <c r="P2368" s="611" t="str">
        <f t="shared" si="310"/>
        <v>Page6!M</v>
      </c>
      <c r="Q2368" s="611">
        <f t="shared" si="311"/>
        <v>62</v>
      </c>
      <c r="R2368" s="1447">
        <f t="shared" ca="1" si="312"/>
        <v>0</v>
      </c>
      <c r="S2368" s="1447">
        <f t="shared" ca="1" si="313"/>
        <v>0</v>
      </c>
      <c r="W2368" s="611" t="str">
        <f t="shared" ca="1" si="314"/>
        <v>Page6, Ligne 59 [Page6!M62]  -</v>
      </c>
    </row>
    <row r="2369" spans="1:23">
      <c r="A2369" s="1443" t="str">
        <f>celladdr(Page6!M63)</f>
        <v>Page6!M63</v>
      </c>
      <c r="B2369" s="1456" t="s">
        <v>1086</v>
      </c>
      <c r="C2369" s="1451"/>
      <c r="D2369" s="1454" t="b">
        <f>OR(AND(Page6!$L63&lt;&gt;0,Page6!$M63=0),AND(Page6!$M63&lt;&gt;0,Page6!$L63=0))</f>
        <v>0</v>
      </c>
      <c r="E2369" s="1454"/>
      <c r="G2369" s="1444" t="str">
        <f t="shared" si="309"/>
        <v/>
      </c>
      <c r="I2369" s="1446" t="str">
        <f>IF(D2369=TRUE,Comments!$B$24,"")</f>
        <v/>
      </c>
      <c r="J2369" s="1446"/>
      <c r="N2369" s="4" t="str">
        <f>_xlfn.CONCAT("P&amp;A - ",Page6!D63," - COÛT DES VENTES - AAD")</f>
        <v>P&amp;A - INTERNE - COÛT DES VENTES - AAD</v>
      </c>
      <c r="O2369" s="611" t="str">
        <f t="shared" si="316"/>
        <v/>
      </c>
      <c r="P2369" s="611" t="str">
        <f t="shared" si="310"/>
        <v>Page6!M</v>
      </c>
      <c r="Q2369" s="611">
        <f t="shared" si="311"/>
        <v>63</v>
      </c>
      <c r="R2369" s="1447">
        <f t="shared" ca="1" si="312"/>
        <v>0</v>
      </c>
      <c r="S2369" s="1447">
        <f t="shared" ca="1" si="313"/>
        <v>0</v>
      </c>
      <c r="V2369" s="2557" t="str">
        <f ca="1">IF(SUM(R2369+S2369)=0,"","
*** "&amp;TEXT(SUM(R2369+S2369),"0,0")&amp;" Points de précision seront déduits suite à cette(ces) erreur(s) !")</f>
        <v/>
      </c>
      <c r="W2369" s="611" t="str">
        <f t="shared" ca="1" si="314"/>
        <v>Page6, Ligne 60 [Page6!M63]  -</v>
      </c>
    </row>
    <row r="2370" spans="1:23">
      <c r="A2370" s="1443" t="str">
        <f>celladdr(Page6!M64)</f>
        <v>Page6!M64</v>
      </c>
      <c r="B2370" s="1456" t="s">
        <v>1086</v>
      </c>
      <c r="C2370" s="1451"/>
      <c r="D2370" s="1454" t="b">
        <f>OR(AND(Page6!$L64&lt;&gt;0,Page6!$M64=0),AND(Page6!$M64&lt;&gt;0,Page6!$L64=0))</f>
        <v>0</v>
      </c>
      <c r="E2370" s="1454"/>
      <c r="G2370" s="1444" t="str">
        <f t="shared" ref="G2370:G2433" si="318">IF(H2370&amp;I2370&amp;J2370&amp;K2370&lt;&gt;"","No.de ref. du commentaire.: "&amp;W2370&amp;" "&amp;N2370&amp;" "&amp;H2370&amp;I2370&amp;IF(OR(C2370=TRUE,D2370=TRUE),"",J2370&amp;K2370&amp;V2370),"")</f>
        <v/>
      </c>
      <c r="I2370" s="1446" t="str">
        <f>IF(D2370=TRUE,Comments!$B$24,"")</f>
        <v/>
      </c>
      <c r="J2370" s="1446"/>
      <c r="N2370" s="4" t="str">
        <f>_xlfn.CONCAT("P&amp;A - ",Page6!D64," - COÛT DES VENTES - AAD")</f>
        <v>P&amp;A - VENTES AU DÉTAIL - COMPTOIR - COÛT DES VENTES - AAD</v>
      </c>
      <c r="O2370" s="611" t="str">
        <f t="shared" si="316"/>
        <v/>
      </c>
      <c r="P2370" s="611" t="str">
        <f t="shared" ref="P2370:P2433" si="319">LEFT(A2370,FIND("!",A2370)+1)</f>
        <v>Page6!M</v>
      </c>
      <c r="Q2370" s="611">
        <f t="shared" ref="Q2370:Q2433" si="320">VALUE(RIGHT(A2370,LEN(A2370)-FIND("!",A2370)-1))</f>
        <v>64</v>
      </c>
      <c r="R2370" s="1447">
        <f t="shared" ref="R2370:R2433" ca="1" si="321">IF(E2370=TRUE,INDIRECT("Comments!$D$"&amp;T2370),0)</f>
        <v>0</v>
      </c>
      <c r="S2370" s="1447">
        <f t="shared" ref="S2370:S2433" ca="1" si="322">IF(F2370=TRUE,INDIRECT("Comments!$D$"&amp;U2370),0)</f>
        <v>0</v>
      </c>
      <c r="V2370" s="2557" t="str">
        <f ca="1">IF(SUM(R2370+S2370)=0,"","
*** "&amp;TEXT(SUM(R2370+S2370),"0,0")&amp;" Points de précision seront déduits suite à cette(ces) erreur(s) !")</f>
        <v/>
      </c>
      <c r="W2370" s="611" t="str">
        <f t="shared" ref="W2370:W2433" ca="1" si="323">LEFT(A2370,FIND("!",A2370,1)-1)&amp;", Ligne "&amp;INDIRECT(ADDRESS(ROW(INDIRECT(A2370)),IF(INDIRECT(ADDRESS(ROW(INDIRECT(A2370)),1,,,LEFT(A2370,FIND("!",A2370,1)-1)))="",2,1),,,LEFT(A2370,FIND("!",A2370,1)-1)))&amp;" ["&amp;A2370&amp;"] "&amp;" -"</f>
        <v>Page6, Ligne 61 [Page6!M64]  -</v>
      </c>
    </row>
    <row r="2371" spans="1:23">
      <c r="A2371" s="1443" t="str">
        <f>celladdr(Page6!M65)</f>
        <v>Page6!M65</v>
      </c>
      <c r="B2371" s="1456" t="s">
        <v>1086</v>
      </c>
      <c r="C2371" s="1451"/>
      <c r="D2371" s="1454" t="b">
        <f>OR(AND(Page6!$L65&lt;&gt;0,Page6!$M65=0),AND(Page6!$M65&lt;&gt;0,Page6!$L65=0))</f>
        <v>0</v>
      </c>
      <c r="E2371" s="1454"/>
      <c r="G2371" s="1444" t="str">
        <f t="shared" si="318"/>
        <v/>
      </c>
      <c r="I2371" s="1446" t="str">
        <f>IF(D2371=TRUE,Comments!$B$24,"")</f>
        <v/>
      </c>
      <c r="J2371" s="1446"/>
      <c r="N2371" s="4" t="str">
        <f>_xlfn.CONCAT("P&amp;A - ",Page6!D65," - COÛT DES VENTES - AAD")</f>
        <v>P&amp;A - COMMERCE ÉLECTRONIQUE - PIÈCES  - COÛT DES VENTES - AAD</v>
      </c>
      <c r="O2371" s="611" t="str">
        <f t="shared" si="316"/>
        <v/>
      </c>
      <c r="P2371" s="611" t="str">
        <f t="shared" si="319"/>
        <v>Page6!M</v>
      </c>
      <c r="Q2371" s="611">
        <f t="shared" si="320"/>
        <v>65</v>
      </c>
      <c r="R2371" s="1447">
        <f t="shared" ca="1" si="321"/>
        <v>0</v>
      </c>
      <c r="S2371" s="1447">
        <f t="shared" ca="1" si="322"/>
        <v>0</v>
      </c>
      <c r="W2371" s="611" t="str">
        <f t="shared" ca="1" si="323"/>
        <v>Page6, Ligne 62 [Page6!M65]  -</v>
      </c>
    </row>
    <row r="2372" spans="1:23">
      <c r="A2372" s="1443" t="str">
        <f>celladdr(Page6!M66)</f>
        <v>Page6!M66</v>
      </c>
      <c r="B2372" s="1456" t="s">
        <v>1086</v>
      </c>
      <c r="C2372" s="1451"/>
      <c r="D2372" s="1454" t="b">
        <f>OR(AND(Page6!$L66&lt;&gt;0,Page6!$M66=0),AND(Page6!$M66&lt;&gt;0,Page6!$L66=0))</f>
        <v>0</v>
      </c>
      <c r="E2372" s="1454"/>
      <c r="G2372" s="1444" t="str">
        <f t="shared" si="318"/>
        <v/>
      </c>
      <c r="I2372" s="1446" t="str">
        <f>IF(D2372=TRUE,Comments!$B$24,"")</f>
        <v/>
      </c>
      <c r="J2372" s="1446"/>
      <c r="N2372" s="4" t="str">
        <f>_xlfn.CONCAT("P&amp;A - ",Page6!D66," - COÛT DES VENTES - AAD")</f>
        <v>P&amp;A - EN GROS - COÛT DES VENTES - AAD</v>
      </c>
      <c r="O2372" s="611" t="str">
        <f t="shared" si="316"/>
        <v/>
      </c>
      <c r="P2372" s="611" t="str">
        <f t="shared" si="319"/>
        <v>Page6!M</v>
      </c>
      <c r="Q2372" s="611">
        <f t="shared" si="320"/>
        <v>66</v>
      </c>
      <c r="R2372" s="1447">
        <f t="shared" ca="1" si="321"/>
        <v>0</v>
      </c>
      <c r="S2372" s="1447">
        <f t="shared" ca="1" si="322"/>
        <v>0</v>
      </c>
      <c r="V2372" s="2557" t="str">
        <f ca="1">IF(SUM(R2372+S2372)=0,"","
*** "&amp;TEXT(SUM(R2372+S2372),"0,0")&amp;" Points de précision seront déduits suite à cette(ces) erreur(s) !")</f>
        <v/>
      </c>
      <c r="W2372" s="611" t="str">
        <f t="shared" ca="1" si="323"/>
        <v>Page6, Ligne 63 [Page6!M66]  -</v>
      </c>
    </row>
    <row r="2373" spans="1:23">
      <c r="A2373" s="1443" t="str">
        <f>celladdr(Page6!M67)</f>
        <v>Page6!M67</v>
      </c>
      <c r="B2373" s="1456" t="s">
        <v>1086</v>
      </c>
      <c r="C2373" s="1451"/>
      <c r="D2373" s="1454" t="b">
        <f>OR(AND(Page6!$L67&lt;&gt;0,Page6!$M67=0),AND(Page6!$M67&lt;&gt;0,Page6!$L67=0))</f>
        <v>0</v>
      </c>
      <c r="E2373" s="1454"/>
      <c r="G2373" s="1444" t="str">
        <f t="shared" si="318"/>
        <v/>
      </c>
      <c r="I2373" s="1446" t="str">
        <f>IF(D2373=TRUE,Comments!$B$24,"")</f>
        <v/>
      </c>
      <c r="J2373" s="1446"/>
      <c r="N2373" s="4" t="str">
        <f>_xlfn.CONCAT("P&amp;A - ",Page6!D67," - COÛT DES VENTES - AAD")</f>
        <v>P&amp;A - ACCESSOIRES - COÛT DES VENTES - AAD</v>
      </c>
      <c r="O2373" s="611" t="str">
        <f t="shared" si="316"/>
        <v/>
      </c>
      <c r="P2373" s="611" t="str">
        <f t="shared" si="319"/>
        <v>Page6!M</v>
      </c>
      <c r="Q2373" s="611">
        <f t="shared" si="320"/>
        <v>67</v>
      </c>
      <c r="R2373" s="1447">
        <f t="shared" ca="1" si="321"/>
        <v>0</v>
      </c>
      <c r="S2373" s="1447">
        <f t="shared" ca="1" si="322"/>
        <v>0</v>
      </c>
      <c r="V2373" s="2557" t="str">
        <f ca="1">IF(SUM(R2373+S2373)=0,"","
*** "&amp;TEXT(SUM(R2373+S2373),"0,0")&amp;" Points de précision seront déduits suite à cette(ces) erreur(s) !")</f>
        <v/>
      </c>
      <c r="W2373" s="611" t="str">
        <f t="shared" ca="1" si="323"/>
        <v>Page6, Ligne 64 [Page6!M67]  -</v>
      </c>
    </row>
    <row r="2374" spans="1:23">
      <c r="A2374" s="1443" t="str">
        <f>celladdr(Page6!M68)</f>
        <v>Page6!M68</v>
      </c>
      <c r="B2374" s="1456" t="s">
        <v>1086</v>
      </c>
      <c r="C2374" s="1451"/>
      <c r="D2374" s="1454" t="b">
        <f>OR(AND(Page6!$L68&lt;&gt;0,Page6!$M68=0),AND(Page6!$M68&lt;&gt;0,Page6!$L68=0))</f>
        <v>0</v>
      </c>
      <c r="E2374" s="1454"/>
      <c r="G2374" s="1444" t="str">
        <f t="shared" si="318"/>
        <v/>
      </c>
      <c r="I2374" s="1446" t="str">
        <f>IF(D2374=TRUE,Comments!$B$24,"")</f>
        <v/>
      </c>
      <c r="J2374" s="1446"/>
      <c r="N2374" s="4" t="str">
        <f>_xlfn.CONCAT("P&amp;A - ",Page6!D68," - COÛT DES VENTES - AAD")</f>
        <v>P&amp;A - COMMERCE ÉLECTRONIQUE - ACCESSOIRES  - COÛT DES VENTES - AAD</v>
      </c>
      <c r="O2374" s="611" t="str">
        <f t="shared" si="316"/>
        <v/>
      </c>
      <c r="P2374" s="611" t="str">
        <f t="shared" si="319"/>
        <v>Page6!M</v>
      </c>
      <c r="Q2374" s="611">
        <f t="shared" si="320"/>
        <v>68</v>
      </c>
      <c r="R2374" s="1447">
        <f t="shared" ca="1" si="321"/>
        <v>0</v>
      </c>
      <c r="S2374" s="1447">
        <f t="shared" ca="1" si="322"/>
        <v>0</v>
      </c>
      <c r="W2374" s="611" t="str">
        <f t="shared" ca="1" si="323"/>
        <v>Page6, Ligne 65 [Page6!M68]  -</v>
      </c>
    </row>
    <row r="2375" spans="1:23">
      <c r="A2375" s="1443" t="str">
        <f>celladdr(Page6!M69)</f>
        <v>Page6!M69</v>
      </c>
      <c r="B2375" s="1456" t="s">
        <v>1086</v>
      </c>
      <c r="C2375" s="1451"/>
      <c r="D2375" s="1454"/>
      <c r="E2375" s="1454"/>
      <c r="G2375" s="1444" t="str">
        <f t="shared" si="318"/>
        <v/>
      </c>
      <c r="I2375" s="1446"/>
      <c r="J2375" s="1446"/>
      <c r="N2375" s="611" t="s">
        <v>1623</v>
      </c>
      <c r="O2375" s="611" t="str">
        <f t="shared" si="316"/>
        <v/>
      </c>
      <c r="P2375" s="611" t="str">
        <f t="shared" si="319"/>
        <v>Page6!M</v>
      </c>
      <c r="Q2375" s="611">
        <f t="shared" si="320"/>
        <v>69</v>
      </c>
      <c r="R2375" s="1447">
        <f t="shared" ca="1" si="321"/>
        <v>0</v>
      </c>
      <c r="S2375" s="1447">
        <f t="shared" ca="1" si="322"/>
        <v>0</v>
      </c>
      <c r="V2375" s="2557" t="str">
        <f t="shared" ref="V2375:V2438" ca="1" si="324">IF(SUM(R2375+S2375)=0,"","
*** "&amp;TEXT(SUM(R2375+S2375),"0,0")&amp;" Points de précision seront déduits suite à cette(ces) erreur(s) !")</f>
        <v/>
      </c>
      <c r="W2375" s="611" t="str">
        <f t="shared" ca="1" si="323"/>
        <v>Page6, Ligne 66 [Page6!M69]  -</v>
      </c>
    </row>
    <row r="2376" spans="1:23">
      <c r="A2376" s="1443" t="str">
        <f>celladdr(Page6!M70)</f>
        <v>Page6!M70</v>
      </c>
      <c r="B2376" s="1456" t="s">
        <v>1086</v>
      </c>
      <c r="C2376" s="1451"/>
      <c r="D2376" s="1454"/>
      <c r="E2376" s="1454"/>
      <c r="G2376" s="1444" t="str">
        <f t="shared" si="318"/>
        <v/>
      </c>
      <c r="I2376" s="1446"/>
      <c r="J2376" s="1446"/>
      <c r="N2376" s="611" t="s">
        <v>1624</v>
      </c>
      <c r="O2376" s="611" t="str">
        <f t="shared" si="316"/>
        <v/>
      </c>
      <c r="P2376" s="611" t="str">
        <f t="shared" si="319"/>
        <v>Page6!M</v>
      </c>
      <c r="Q2376" s="611">
        <f t="shared" si="320"/>
        <v>70</v>
      </c>
      <c r="R2376" s="1447">
        <f t="shared" ca="1" si="321"/>
        <v>0</v>
      </c>
      <c r="S2376" s="1447">
        <f t="shared" ca="1" si="322"/>
        <v>0</v>
      </c>
      <c r="V2376" s="2557" t="str">
        <f t="shared" ca="1" si="324"/>
        <v/>
      </c>
      <c r="W2376" s="611" t="str">
        <f t="shared" ca="1" si="323"/>
        <v>Page6, Ligne 67 [Page6!M70]  -</v>
      </c>
    </row>
    <row r="2377" spans="1:23">
      <c r="A2377" s="1443" t="str">
        <f>celladdr(Page6!M73)</f>
        <v>Page6!M73</v>
      </c>
      <c r="B2377" s="1456" t="s">
        <v>1086</v>
      </c>
      <c r="C2377" s="1451"/>
      <c r="D2377" s="1454" t="b">
        <f>OR(AND(Page6!$L73&lt;&gt;0,Page6!$M73=0),AND(Page6!$M73&lt;&gt;0,Page6!$L73=0))</f>
        <v>0</v>
      </c>
      <c r="E2377" s="1454"/>
      <c r="G2377" s="1444" t="str">
        <f t="shared" si="318"/>
        <v/>
      </c>
      <c r="I2377" s="1446" t="str">
        <f>IF(D2377=TRUE,Comments!$B$24,"")</f>
        <v/>
      </c>
      <c r="J2377" s="1446"/>
      <c r="N2377" s="611" t="s">
        <v>1625</v>
      </c>
      <c r="O2377" s="611" t="str">
        <f t="shared" si="316"/>
        <v/>
      </c>
      <c r="P2377" s="611" t="str">
        <f t="shared" si="319"/>
        <v>Page6!M</v>
      </c>
      <c r="Q2377" s="611">
        <f t="shared" si="320"/>
        <v>73</v>
      </c>
      <c r="R2377" s="1447">
        <f t="shared" ca="1" si="321"/>
        <v>0</v>
      </c>
      <c r="S2377" s="1447">
        <f t="shared" ca="1" si="322"/>
        <v>0</v>
      </c>
      <c r="V2377" s="2557" t="str">
        <f t="shared" ca="1" si="324"/>
        <v/>
      </c>
      <c r="W2377" s="611" t="str">
        <f t="shared" ca="1" si="323"/>
        <v>Page6, Ligne 70 [Page6!M73]  -</v>
      </c>
    </row>
    <row r="2378" spans="1:23">
      <c r="A2378" s="1443" t="str">
        <f>celladdr(Page6!M74)</f>
        <v>Page6!M74</v>
      </c>
      <c r="B2378" s="1456" t="s">
        <v>1086</v>
      </c>
      <c r="C2378" s="1451"/>
      <c r="D2378" s="1454" t="b">
        <f>OR(AND(Page6!$L74&lt;&gt;0,Page6!$M74=0),AND(Page6!$M74&lt;&gt;0,Page6!$L74=0))</f>
        <v>0</v>
      </c>
      <c r="E2378" s="1454"/>
      <c r="G2378" s="1444" t="str">
        <f t="shared" si="318"/>
        <v/>
      </c>
      <c r="I2378" s="1446" t="str">
        <f>IF(D2378=TRUE,Comments!$B$24,"")</f>
        <v/>
      </c>
      <c r="J2378" s="1446"/>
      <c r="N2378" s="611" t="s">
        <v>1626</v>
      </c>
      <c r="O2378" s="611" t="str">
        <f t="shared" si="316"/>
        <v/>
      </c>
      <c r="P2378" s="611" t="str">
        <f t="shared" si="319"/>
        <v>Page6!M</v>
      </c>
      <c r="Q2378" s="611">
        <f t="shared" si="320"/>
        <v>74</v>
      </c>
      <c r="R2378" s="1447">
        <f t="shared" ca="1" si="321"/>
        <v>0</v>
      </c>
      <c r="S2378" s="1447">
        <f t="shared" ca="1" si="322"/>
        <v>0</v>
      </c>
      <c r="V2378" s="2557" t="str">
        <f t="shared" ca="1" si="324"/>
        <v/>
      </c>
      <c r="W2378" s="611" t="str">
        <f t="shared" ca="1" si="323"/>
        <v>Page6, Ligne 71 [Page6!M74]  -</v>
      </c>
    </row>
    <row r="2379" spans="1:23">
      <c r="A2379" s="1443" t="str">
        <f>celladdr(Page6!M75)</f>
        <v>Page6!M75</v>
      </c>
      <c r="B2379" s="1456" t="s">
        <v>1086</v>
      </c>
      <c r="C2379" s="1451"/>
      <c r="D2379" s="1454" t="b">
        <f>OR(AND(Page6!$L75&lt;&gt;0,Page6!$M75=0),AND(Page6!$M75&lt;&gt;0,Page6!$L75=0))</f>
        <v>0</v>
      </c>
      <c r="E2379" s="1454"/>
      <c r="G2379" s="1444" t="str">
        <f t="shared" si="318"/>
        <v/>
      </c>
      <c r="I2379" s="1446" t="str">
        <f>IF(D2379=TRUE,Comments!$B$24,"")</f>
        <v/>
      </c>
      <c r="J2379" s="1446"/>
      <c r="N2379" s="611" t="s">
        <v>1627</v>
      </c>
      <c r="O2379" s="611" t="str">
        <f t="shared" si="316"/>
        <v/>
      </c>
      <c r="P2379" s="611" t="str">
        <f t="shared" si="319"/>
        <v>Page6!M</v>
      </c>
      <c r="Q2379" s="611">
        <f t="shared" si="320"/>
        <v>75</v>
      </c>
      <c r="R2379" s="1447">
        <f t="shared" ca="1" si="321"/>
        <v>0</v>
      </c>
      <c r="S2379" s="1447">
        <f t="shared" ca="1" si="322"/>
        <v>0</v>
      </c>
      <c r="V2379" s="2557" t="str">
        <f t="shared" ca="1" si="324"/>
        <v/>
      </c>
      <c r="W2379" s="611" t="str">
        <f t="shared" ca="1" si="323"/>
        <v>Page6, Ligne 72 [Page6!M75]  -</v>
      </c>
    </row>
    <row r="2380" spans="1:23">
      <c r="A2380" s="1443" t="str">
        <f>celladdr(Page6!N17)</f>
        <v>Page6!N17</v>
      </c>
      <c r="B2380" s="1455" t="s">
        <v>1086</v>
      </c>
      <c r="C2380" s="1445" t="b">
        <f>Page6!$N$17&lt;&gt;Page6!$N$10+Page6!$N$15+Page6!$N$16</f>
        <v>0</v>
      </c>
      <c r="D2380" s="1454"/>
      <c r="F2380" s="1454"/>
      <c r="G2380" s="1444" t="str">
        <f t="shared" si="318"/>
        <v/>
      </c>
      <c r="H2380" s="1446" t="str">
        <f>IF(C2380=TRUE,Comments!$B$41&amp;DOLLAR(Page6!$N$17-(Page6!$N$10+Page6!$N$15+Page6!$N$16),0),"")</f>
        <v/>
      </c>
      <c r="I2380" s="1452"/>
      <c r="J2380" s="1452"/>
      <c r="K2380" s="1452"/>
      <c r="N2380" s="611" t="s">
        <v>1628</v>
      </c>
      <c r="O2380" s="611" t="str">
        <f t="shared" si="316"/>
        <v/>
      </c>
      <c r="P2380" s="611" t="str">
        <f t="shared" si="319"/>
        <v>Page6!N</v>
      </c>
      <c r="Q2380" s="611">
        <f t="shared" si="320"/>
        <v>17</v>
      </c>
      <c r="R2380" s="1447">
        <f t="shared" ca="1" si="321"/>
        <v>0</v>
      </c>
      <c r="S2380" s="1447">
        <f t="shared" ca="1" si="322"/>
        <v>0</v>
      </c>
      <c r="V2380" s="2557" t="str">
        <f t="shared" ca="1" si="324"/>
        <v/>
      </c>
      <c r="W2380" s="611" t="str">
        <f t="shared" ca="1" si="323"/>
        <v>Page6, Ligne 14 [Page6!N17]  -</v>
      </c>
    </row>
    <row r="2381" spans="1:23">
      <c r="A2381" s="1443" t="str">
        <f>celladdr(Page6!O6)</f>
        <v>Page6!O6</v>
      </c>
      <c r="B2381" s="1464" t="s">
        <v>1086</v>
      </c>
      <c r="C2381" s="1451"/>
      <c r="D2381" s="1454"/>
      <c r="E2381" s="1454" t="b">
        <f>IF(Page6!$K$5=0,FALSE,OR(IF(Flag=TRUE,Page6!$O$6/Page6!$K$5,Page6!$O$6)&lt;INDEX(Min_Table,M2381),IF(Flag=TRUE,Page6!$O$6/Page6!$K$5,Page6!$O$6)&gt;INDEX(Max_Table,M2381)))</f>
        <v>0</v>
      </c>
      <c r="F2381" s="1454"/>
      <c r="G2381" s="1444" t="str">
        <f t="shared" si="318"/>
        <v/>
      </c>
      <c r="I2381" s="1446"/>
      <c r="J2381" s="1446" t="str">
        <f>IF(E2381=TRUE,Comments!$B$22&amp;DOLLAR(INDEX(Min_Table,M2381),0)&amp;Comments!$B$18&amp;DOLLAR(INDEX(Max_Table,M2381),0)&amp;Comments!$B$19&amp;DOLLAR(IF(Flag=TRUE,Page6!$O$6/Page6!$K$5,Page6!$O$6),0),"")</f>
        <v/>
      </c>
      <c r="K2381" s="1452"/>
      <c r="M2381" s="611">
        <f>ROW(OR_VEH!$A$606)</f>
        <v>606</v>
      </c>
      <c r="N2381" s="611" t="s">
        <v>1577</v>
      </c>
      <c r="O2381" s="611" t="str">
        <f t="shared" si="316"/>
        <v/>
      </c>
      <c r="P2381" s="611" t="str">
        <f t="shared" si="319"/>
        <v>Page6!O</v>
      </c>
      <c r="Q2381" s="611">
        <f t="shared" si="320"/>
        <v>6</v>
      </c>
      <c r="R2381" s="1447">
        <f t="shared" ca="1" si="321"/>
        <v>0</v>
      </c>
      <c r="S2381" s="1447">
        <f t="shared" ca="1" si="322"/>
        <v>0</v>
      </c>
      <c r="T2381" s="611">
        <v>22</v>
      </c>
      <c r="V2381" s="2557" t="str">
        <f t="shared" ca="1" si="324"/>
        <v/>
      </c>
      <c r="W2381" s="611" t="str">
        <f t="shared" ca="1" si="323"/>
        <v>Page6, Ligne 3 [Page6!O6]  -</v>
      </c>
    </row>
    <row r="2382" spans="1:23">
      <c r="A2382" s="1443" t="str">
        <f>celladdr(Page6!O9)</f>
        <v>Page6!O9</v>
      </c>
      <c r="B2382" s="1464" t="s">
        <v>1086</v>
      </c>
      <c r="C2382" s="1451"/>
      <c r="D2382" s="1454"/>
      <c r="E2382" s="1454" t="b">
        <f>IF(Page6!$K$8=0,FALSE,OR(IF(Flag=TRUE,Page6!$O$9/Page6!$K$8,Page6!$O$9)&lt;INDEX(Min_Table,M2382),IF(Flag=TRUE,Page6!$O$9/Page6!$K$8,Page6!$O$9)&gt;INDEX(Max_Table,M2382)))</f>
        <v>0</v>
      </c>
      <c r="F2382" s="1454"/>
      <c r="G2382" s="1444" t="str">
        <f t="shared" si="318"/>
        <v/>
      </c>
      <c r="I2382" s="1446"/>
      <c r="J2382" s="1446" t="str">
        <f>IF(E2382=TRUE,Comments!$B$22&amp;DOLLAR(INDEX(Min_Table,M2382),0)&amp;Comments!$B$18&amp;DOLLAR(INDEX(Max_Table,M2382),0)&amp;Comments!$B$19&amp;DOLLAR(IF(Flag=TRUE,Page6!$O$9/Page6!$K$8,Page6!$O$9),0),"")</f>
        <v/>
      </c>
      <c r="K2382" s="1452"/>
      <c r="M2382" s="611">
        <f>ROW(OR_VEH!$A$611)</f>
        <v>611</v>
      </c>
      <c r="N2382" s="611" t="s">
        <v>1577</v>
      </c>
      <c r="O2382" s="611" t="str">
        <f t="shared" si="316"/>
        <v/>
      </c>
      <c r="P2382" s="611" t="str">
        <f t="shared" si="319"/>
        <v>Page6!O</v>
      </c>
      <c r="Q2382" s="611">
        <f t="shared" si="320"/>
        <v>9</v>
      </c>
      <c r="R2382" s="1447">
        <f t="shared" ca="1" si="321"/>
        <v>0</v>
      </c>
      <c r="S2382" s="1447">
        <f t="shared" ca="1" si="322"/>
        <v>0</v>
      </c>
      <c r="T2382" s="611">
        <v>22</v>
      </c>
      <c r="V2382" s="2557" t="str">
        <f t="shared" ca="1" si="324"/>
        <v/>
      </c>
      <c r="W2382" s="611" t="str">
        <f t="shared" ca="1" si="323"/>
        <v>Page6, Ligne 6 [Page6!O9]  -</v>
      </c>
    </row>
    <row r="2383" spans="1:23">
      <c r="A2383" s="1443" t="str">
        <f>celladdr(Page7!E24)</f>
        <v>Page7!E24</v>
      </c>
      <c r="B2383" s="1464" t="s">
        <v>1086</v>
      </c>
      <c r="C2383" s="1445" t="b">
        <f>Page7!$E$24&lt;&gt;Page7!$E$4+Page7!$E$5+Page7!$E$7+Page7!$E$9+Page7!$E$10+Page7!$E$14+Page7!$E$15+Page7!$E$17+Page7!$E$19+Page7!$E$20</f>
        <v>0</v>
      </c>
      <c r="D2383" s="1454"/>
      <c r="F2383" s="1454"/>
      <c r="G2383" s="1444" t="str">
        <f t="shared" si="318"/>
        <v/>
      </c>
      <c r="H2383" s="1446" t="str">
        <f>IF(C2383=TRUE,Comments!$B$47&amp;Page7!$E$24-(Page7!$E$4+Page7!$E$5+Page7!$E$7+Page7!$E$9+Page7!$E$10+Page7!$E$14+Page7!$E$15+Page7!$E$17+Page7!$E$19+Page7!$E$20),"")</f>
        <v/>
      </c>
      <c r="I2383" s="1452"/>
      <c r="J2383" s="1452"/>
      <c r="K2383" s="1452"/>
      <c r="N2383" s="611" t="s">
        <v>1629</v>
      </c>
      <c r="O2383" s="611" t="str">
        <f t="shared" si="316"/>
        <v/>
      </c>
      <c r="P2383" s="611" t="str">
        <f t="shared" si="319"/>
        <v>Page7!E</v>
      </c>
      <c r="Q2383" s="611">
        <f t="shared" si="320"/>
        <v>24</v>
      </c>
      <c r="R2383" s="1447">
        <f t="shared" ca="1" si="321"/>
        <v>0</v>
      </c>
      <c r="S2383" s="1447">
        <f t="shared" ca="1" si="322"/>
        <v>0</v>
      </c>
      <c r="V2383" s="2557" t="str">
        <f t="shared" ca="1" si="324"/>
        <v/>
      </c>
      <c r="W2383" s="611" t="str">
        <f t="shared" ca="1" si="323"/>
        <v>Page7, Ligne 21 [Page7!E24]  -</v>
      </c>
    </row>
    <row r="2384" spans="1:23">
      <c r="A2384" s="1443" t="str">
        <f>celladdr(Page7!E28)</f>
        <v>Page7!E28</v>
      </c>
      <c r="B2384" s="1464" t="s">
        <v>1086</v>
      </c>
      <c r="C2384" s="1445" t="b">
        <f>Page7!E28&lt;0</f>
        <v>0</v>
      </c>
      <c r="D2384" s="1445" t="b">
        <f>OR(AND(Page7!E28=0,Page7!F28&lt;&gt;0),AND(Page7!E28&gt;0,Page7!F28=0))</f>
        <v>0</v>
      </c>
      <c r="G2384" s="1444" t="str">
        <f t="shared" si="318"/>
        <v/>
      </c>
      <c r="H2384" s="1446" t="str">
        <f>IF(C2384=TRUE,Comments!$B$26,"")</f>
        <v/>
      </c>
      <c r="I2384" s="1446" t="str">
        <f>IF(D2384=TRUE,Comments!$B$4,"")</f>
        <v/>
      </c>
      <c r="J2384" s="1446"/>
      <c r="N2384" s="611" t="s">
        <v>1630</v>
      </c>
      <c r="O2384" s="611" t="str">
        <f t="shared" si="316"/>
        <v/>
      </c>
      <c r="P2384" s="611" t="str">
        <f t="shared" si="319"/>
        <v>Page7!E</v>
      </c>
      <c r="Q2384" s="611">
        <f t="shared" si="320"/>
        <v>28</v>
      </c>
      <c r="R2384" s="1447">
        <f t="shared" ca="1" si="321"/>
        <v>0</v>
      </c>
      <c r="S2384" s="1447">
        <f t="shared" ca="1" si="322"/>
        <v>0</v>
      </c>
      <c r="V2384" s="2557" t="str">
        <f t="shared" ca="1" si="324"/>
        <v/>
      </c>
      <c r="W2384" s="611" t="str">
        <f t="shared" ca="1" si="323"/>
        <v>Page7, Ligne 25 [Page7!E28]  -</v>
      </c>
    </row>
    <row r="2385" spans="1:23">
      <c r="A2385" s="1443" t="str">
        <f>celladdr(Page7!E29)</f>
        <v>Page7!E29</v>
      </c>
      <c r="B2385" s="1464" t="s">
        <v>1086</v>
      </c>
      <c r="C2385" s="1445" t="b">
        <f>Page7!E29&lt;0</f>
        <v>0</v>
      </c>
      <c r="D2385" s="1445" t="b">
        <f>OR(AND(Page7!E29=0,Page7!F29&lt;&gt;0),AND(Page7!E29&gt;0,Page7!F29=0))</f>
        <v>0</v>
      </c>
      <c r="G2385" s="1444" t="str">
        <f t="shared" si="318"/>
        <v/>
      </c>
      <c r="H2385" s="1446" t="str">
        <f>IF(C2385=TRUE,Comments!$B$26,"")</f>
        <v/>
      </c>
      <c r="I2385" s="1446" t="str">
        <f>IF(D2385=TRUE,Comments!$B$4,"")</f>
        <v/>
      </c>
      <c r="J2385" s="1446"/>
      <c r="N2385" s="611" t="s">
        <v>1631</v>
      </c>
      <c r="O2385" s="611" t="str">
        <f t="shared" si="316"/>
        <v/>
      </c>
      <c r="P2385" s="611" t="str">
        <f t="shared" si="319"/>
        <v>Page7!E</v>
      </c>
      <c r="Q2385" s="611">
        <f t="shared" si="320"/>
        <v>29</v>
      </c>
      <c r="R2385" s="1447">
        <f t="shared" ca="1" si="321"/>
        <v>0</v>
      </c>
      <c r="S2385" s="1447">
        <f t="shared" ca="1" si="322"/>
        <v>0</v>
      </c>
      <c r="V2385" s="2557" t="str">
        <f t="shared" ca="1" si="324"/>
        <v/>
      </c>
      <c r="W2385" s="611" t="str">
        <f t="shared" ca="1" si="323"/>
        <v>Page7, Ligne 26 [Page7!E29]  -</v>
      </c>
    </row>
    <row r="2386" spans="1:23">
      <c r="A2386" s="1443" t="str">
        <f>celladdr(Page7!E30)</f>
        <v>Page7!E30</v>
      </c>
      <c r="B2386" s="1464" t="s">
        <v>1086</v>
      </c>
      <c r="C2386" s="1445" t="b">
        <f>Page7!E30&lt;0</f>
        <v>0</v>
      </c>
      <c r="D2386" s="1445" t="b">
        <f>OR(AND(Page7!E30=0,Page7!F30&lt;&gt;0),AND(Page7!E30&gt;0,Page7!F30=0))</f>
        <v>0</v>
      </c>
      <c r="G2386" s="1444" t="str">
        <f t="shared" si="318"/>
        <v/>
      </c>
      <c r="H2386" s="1446" t="str">
        <f>IF(C2386=TRUE,Comments!$B$26,"")</f>
        <v/>
      </c>
      <c r="I2386" s="1446" t="str">
        <f>IF(D2386=TRUE,Comments!$B$4,"")</f>
        <v/>
      </c>
      <c r="J2386" s="1446"/>
      <c r="N2386" s="4" t="s">
        <v>1632</v>
      </c>
      <c r="O2386" s="611" t="str">
        <f t="shared" si="316"/>
        <v/>
      </c>
      <c r="P2386" s="611" t="str">
        <f t="shared" si="319"/>
        <v>Page7!E</v>
      </c>
      <c r="Q2386" s="611">
        <f t="shared" si="320"/>
        <v>30</v>
      </c>
      <c r="R2386" s="1447">
        <f t="shared" ca="1" si="321"/>
        <v>0</v>
      </c>
      <c r="S2386" s="1447">
        <f t="shared" ca="1" si="322"/>
        <v>0</v>
      </c>
      <c r="V2386" s="2557" t="str">
        <f t="shared" ca="1" si="324"/>
        <v/>
      </c>
      <c r="W2386" s="611" t="str">
        <f t="shared" ca="1" si="323"/>
        <v>Page7, Ligne 27 [Page7!E30]  -</v>
      </c>
    </row>
    <row r="2387" spans="1:23">
      <c r="A2387" s="1443" t="str">
        <f>celladdr(Page7!E31)</f>
        <v>Page7!E31</v>
      </c>
      <c r="B2387" s="1464" t="s">
        <v>1086</v>
      </c>
      <c r="C2387" s="1445" t="b">
        <f>Page7!E31&lt;0</f>
        <v>0</v>
      </c>
      <c r="D2387" s="1445" t="b">
        <f>OR(AND(Page7!E31=0,Page7!F31&lt;&gt;0),AND(Page7!E31&gt;0,Page7!F31=0))</f>
        <v>0</v>
      </c>
      <c r="G2387" s="1444" t="str">
        <f t="shared" si="318"/>
        <v/>
      </c>
      <c r="H2387" s="1446" t="str">
        <f>IF(C2387=TRUE,Comments!$B$26,"")</f>
        <v/>
      </c>
      <c r="I2387" s="1446" t="str">
        <f>IF(D2387=TRUE,Comments!$B$4,"")</f>
        <v/>
      </c>
      <c r="J2387" s="1446"/>
      <c r="N2387" s="611" t="s">
        <v>1633</v>
      </c>
      <c r="O2387" s="611" t="str">
        <f t="shared" ref="O2387:O2450" si="325">IF(A2387=A2386,"TRUE","")</f>
        <v/>
      </c>
      <c r="P2387" s="611" t="str">
        <f t="shared" si="319"/>
        <v>Page7!E</v>
      </c>
      <c r="Q2387" s="611">
        <f t="shared" si="320"/>
        <v>31</v>
      </c>
      <c r="R2387" s="1447">
        <f t="shared" ca="1" si="321"/>
        <v>0</v>
      </c>
      <c r="S2387" s="1447">
        <f t="shared" ca="1" si="322"/>
        <v>0</v>
      </c>
      <c r="V2387" s="2557" t="str">
        <f t="shared" ca="1" si="324"/>
        <v/>
      </c>
      <c r="W2387" s="611" t="str">
        <f t="shared" ca="1" si="323"/>
        <v>Page7, Ligne 28 [Page7!E31]  -</v>
      </c>
    </row>
    <row r="2388" spans="1:23">
      <c r="A2388" s="1443" t="str">
        <f>celladdr(Page7!E32)</f>
        <v>Page7!E32</v>
      </c>
      <c r="B2388" s="1464" t="s">
        <v>1086</v>
      </c>
      <c r="C2388" s="1445" t="b">
        <f>Page7!E32&lt;0</f>
        <v>0</v>
      </c>
      <c r="D2388" s="1445" t="b">
        <f>OR(AND(Page7!E32=0,Page7!F32&lt;&gt;0),AND(Page7!E32&gt;0,Page7!F32=0))</f>
        <v>0</v>
      </c>
      <c r="G2388" s="1444" t="str">
        <f t="shared" si="318"/>
        <v/>
      </c>
      <c r="H2388" s="1446" t="str">
        <f>IF(C2388=TRUE,Comments!$B$26,"")</f>
        <v/>
      </c>
      <c r="I2388" s="1446" t="str">
        <f>IF(D2388=TRUE,Comments!$B$4,"")</f>
        <v/>
      </c>
      <c r="J2388" s="1446"/>
      <c r="N2388" s="4" t="s">
        <v>1634</v>
      </c>
      <c r="O2388" s="611" t="str">
        <f t="shared" si="325"/>
        <v/>
      </c>
      <c r="P2388" s="611" t="str">
        <f t="shared" si="319"/>
        <v>Page7!E</v>
      </c>
      <c r="Q2388" s="611">
        <f t="shared" si="320"/>
        <v>32</v>
      </c>
      <c r="R2388" s="1447">
        <f t="shared" ca="1" si="321"/>
        <v>0</v>
      </c>
      <c r="S2388" s="1447">
        <f t="shared" ca="1" si="322"/>
        <v>0</v>
      </c>
      <c r="V2388" s="2557" t="str">
        <f t="shared" ca="1" si="324"/>
        <v/>
      </c>
      <c r="W2388" s="611" t="str">
        <f t="shared" ca="1" si="323"/>
        <v>Page7, Ligne 29 [Page7!E32]  -</v>
      </c>
    </row>
    <row r="2389" spans="1:23">
      <c r="A2389" s="1443" t="str">
        <f>celladdr(Page7!E33)</f>
        <v>Page7!E33</v>
      </c>
      <c r="B2389" s="1464" t="s">
        <v>1086</v>
      </c>
      <c r="C2389" s="1445" t="b">
        <f>Page7!E33&lt;0</f>
        <v>0</v>
      </c>
      <c r="D2389" s="1445" t="b">
        <f>OR(AND(Page7!E33=0,Page7!F33&lt;&gt;0),AND(Page7!E33&gt;0,Page7!F33=0))</f>
        <v>0</v>
      </c>
      <c r="E2389" s="1454"/>
      <c r="G2389" s="1444" t="str">
        <f t="shared" si="318"/>
        <v/>
      </c>
      <c r="H2389" s="1446" t="str">
        <f>IF(C2389=TRUE,Comments!$B$26,"")</f>
        <v/>
      </c>
      <c r="I2389" s="1446" t="str">
        <f>IF(D2389=TRUE,Comments!$B$4,"")</f>
        <v/>
      </c>
      <c r="J2389" s="1446"/>
      <c r="N2389" s="611" t="s">
        <v>1635</v>
      </c>
      <c r="O2389" s="611" t="str">
        <f t="shared" si="325"/>
        <v/>
      </c>
      <c r="P2389" s="611" t="str">
        <f t="shared" si="319"/>
        <v>Page7!E</v>
      </c>
      <c r="Q2389" s="611">
        <f t="shared" si="320"/>
        <v>33</v>
      </c>
      <c r="R2389" s="1447">
        <f t="shared" ca="1" si="321"/>
        <v>0</v>
      </c>
      <c r="S2389" s="1447">
        <f t="shared" ca="1" si="322"/>
        <v>0</v>
      </c>
      <c r="V2389" s="2557" t="str">
        <f t="shared" ca="1" si="324"/>
        <v/>
      </c>
      <c r="W2389" s="611" t="str">
        <f t="shared" ca="1" si="323"/>
        <v>Page7, Ligne 30 [Page7!E33]  -</v>
      </c>
    </row>
    <row r="2390" spans="1:23">
      <c r="A2390" s="1443" t="str">
        <f>celladdr(Page7!E37)</f>
        <v>Page7!E37</v>
      </c>
      <c r="B2390" s="1464" t="s">
        <v>1086</v>
      </c>
      <c r="C2390" s="1445" t="b">
        <f>OR(AND(Page7!E37=0,Page7!F37&lt;&gt;0),AND(Page7!E37&gt;0,Page7!F37=0))</f>
        <v>0</v>
      </c>
      <c r="D2390" s="1445" t="b">
        <f>Page7!E37&lt;0</f>
        <v>0</v>
      </c>
      <c r="G2390" s="1444" t="str">
        <f t="shared" si="318"/>
        <v/>
      </c>
      <c r="H2390" s="1447" t="str">
        <f>IF(C2390=TRUE,Comments!$B$4,"")</f>
        <v/>
      </c>
      <c r="I2390" s="1447" t="str">
        <f>IF(D2390=TRUE,Comments!$B$26,"")</f>
        <v/>
      </c>
      <c r="N2390" s="611" t="s">
        <v>1636</v>
      </c>
      <c r="O2390" s="611" t="str">
        <f t="shared" si="325"/>
        <v/>
      </c>
      <c r="P2390" s="611" t="str">
        <f t="shared" si="319"/>
        <v>Page7!E</v>
      </c>
      <c r="Q2390" s="611">
        <f t="shared" si="320"/>
        <v>37</v>
      </c>
      <c r="R2390" s="1447">
        <f t="shared" ca="1" si="321"/>
        <v>0</v>
      </c>
      <c r="S2390" s="1447">
        <f t="shared" ca="1" si="322"/>
        <v>0</v>
      </c>
      <c r="V2390" s="2557" t="str">
        <f t="shared" ca="1" si="324"/>
        <v/>
      </c>
      <c r="W2390" s="611" t="str">
        <f t="shared" ca="1" si="323"/>
        <v>Page7, Ligne 34 [Page7!E37]  -</v>
      </c>
    </row>
    <row r="2391" spans="1:23">
      <c r="A2391" s="1443" t="str">
        <f>celladdr(Page7!E38)</f>
        <v>Page7!E38</v>
      </c>
      <c r="B2391" s="1464" t="s">
        <v>1086</v>
      </c>
      <c r="C2391" s="1445" t="b">
        <f>OR(AND(Page7!E38=0,Page7!F38&lt;&gt;0),AND(Page7!E38&gt;0,Page7!F38=0))</f>
        <v>0</v>
      </c>
      <c r="D2391" s="1445" t="b">
        <f>Page7!E38&lt;0</f>
        <v>0</v>
      </c>
      <c r="G2391" s="1444" t="str">
        <f t="shared" si="318"/>
        <v/>
      </c>
      <c r="H2391" s="1447" t="str">
        <f>IF(C2391=TRUE,Comments!$B$4,"")</f>
        <v/>
      </c>
      <c r="I2391" s="1447" t="str">
        <f>IF(D2391=TRUE,Comments!$B$26,"")</f>
        <v/>
      </c>
      <c r="N2391" s="611" t="s">
        <v>1637</v>
      </c>
      <c r="O2391" s="611" t="str">
        <f t="shared" si="325"/>
        <v/>
      </c>
      <c r="P2391" s="611" t="str">
        <f t="shared" si="319"/>
        <v>Page7!E</v>
      </c>
      <c r="Q2391" s="611">
        <f t="shared" si="320"/>
        <v>38</v>
      </c>
      <c r="R2391" s="1447">
        <f t="shared" ca="1" si="321"/>
        <v>0</v>
      </c>
      <c r="S2391" s="1447">
        <f t="shared" ca="1" si="322"/>
        <v>0</v>
      </c>
      <c r="V2391" s="2557" t="str">
        <f t="shared" ca="1" si="324"/>
        <v/>
      </c>
      <c r="W2391" s="611" t="str">
        <f t="shared" ca="1" si="323"/>
        <v>Page7, Ligne 35 [Page7!E38]  -</v>
      </c>
    </row>
    <row r="2392" spans="1:23">
      <c r="A2392" s="1443" t="str">
        <f>celladdr(Page7!E47)</f>
        <v>Page7!E47</v>
      </c>
      <c r="B2392" s="1464" t="s">
        <v>1086</v>
      </c>
      <c r="D2392" s="1454" t="b">
        <f>OR(Page7!$E$47&lt;INDEX(Min_Table,L2392),Page7!$E$47&gt;INDEX(Max_Table,L2392))</f>
        <v>0</v>
      </c>
      <c r="E2392" s="1454"/>
      <c r="F2392" s="1454"/>
      <c r="G2392" s="1444" t="str">
        <f t="shared" si="318"/>
        <v/>
      </c>
      <c r="H2392" s="1446"/>
      <c r="I2392" s="1446" t="str">
        <f>IF(D2392=TRUE,Comments!$B$17&amp;INDEX(Min_Table,L2392)&amp;Comments!$B$18&amp;INDEX(Max_Table,L2392),"")</f>
        <v/>
      </c>
      <c r="J2392" s="1446"/>
      <c r="K2392" s="1452"/>
      <c r="L2392" s="611">
        <f>ROW(OR_VEH!$A$671)</f>
        <v>671</v>
      </c>
      <c r="N2392" s="611" t="s">
        <v>1638</v>
      </c>
      <c r="O2392" s="611" t="str">
        <f t="shared" si="325"/>
        <v/>
      </c>
      <c r="P2392" s="611" t="str">
        <f t="shared" si="319"/>
        <v>Page7!E</v>
      </c>
      <c r="Q2392" s="611">
        <f t="shared" si="320"/>
        <v>47</v>
      </c>
      <c r="R2392" s="1447">
        <f t="shared" ca="1" si="321"/>
        <v>0</v>
      </c>
      <c r="S2392" s="1447">
        <f t="shared" ca="1" si="322"/>
        <v>0</v>
      </c>
      <c r="V2392" s="2557" t="str">
        <f t="shared" ca="1" si="324"/>
        <v/>
      </c>
      <c r="W2392" s="611" t="str">
        <f t="shared" ca="1" si="323"/>
        <v>Page7, Ligne 44 [Page7!E47]  -</v>
      </c>
    </row>
    <row r="2393" spans="1:23">
      <c r="A2393" s="1443" t="str">
        <f>celladdr(Page7!E48)</f>
        <v>Page7!E48</v>
      </c>
      <c r="B2393" s="1464" t="s">
        <v>1086</v>
      </c>
      <c r="D2393" s="1454" t="b">
        <f>OR(Page7!$E$48&lt;INDEX(Min_Table,L2393),Page7!$E$48&gt;INDEX(Max_Table,L2393))</f>
        <v>0</v>
      </c>
      <c r="E2393" s="1454"/>
      <c r="F2393" s="1454"/>
      <c r="G2393" s="1444" t="str">
        <f t="shared" si="318"/>
        <v/>
      </c>
      <c r="H2393" s="1446"/>
      <c r="I2393" s="1446" t="str">
        <f>IF(D2393=TRUE,Comments!$B$17&amp;INDEX(Min_Table,L2393)&amp;Comments!$B$18&amp;INDEX(Max_Table,L2393),"")</f>
        <v/>
      </c>
      <c r="J2393" s="1446"/>
      <c r="K2393" s="1452"/>
      <c r="L2393" s="611">
        <f>ROW(OR_VEH!$A$671)</f>
        <v>671</v>
      </c>
      <c r="N2393" s="611" t="s">
        <v>1639</v>
      </c>
      <c r="O2393" s="611" t="str">
        <f t="shared" si="325"/>
        <v/>
      </c>
      <c r="P2393" s="611" t="str">
        <f t="shared" si="319"/>
        <v>Page7!E</v>
      </c>
      <c r="Q2393" s="611">
        <f t="shared" si="320"/>
        <v>48</v>
      </c>
      <c r="R2393" s="1447">
        <f t="shared" ca="1" si="321"/>
        <v>0</v>
      </c>
      <c r="S2393" s="1447">
        <f t="shared" ca="1" si="322"/>
        <v>0</v>
      </c>
      <c r="V2393" s="2557" t="str">
        <f t="shared" ca="1" si="324"/>
        <v/>
      </c>
      <c r="W2393" s="611" t="str">
        <f t="shared" ca="1" si="323"/>
        <v>Page7, Ligne 45 [Page7!E48]  -</v>
      </c>
    </row>
    <row r="2394" spans="1:23">
      <c r="A2394" s="1443" t="str">
        <f>celladdr(Page7!E49)</f>
        <v>Page7!E49</v>
      </c>
      <c r="B2394" s="1464" t="s">
        <v>1086</v>
      </c>
      <c r="D2394" s="1454" t="b">
        <f>OR(Page7!$E$49&lt;INDEX(Min_Table,L2394),Page7!$E$49&gt;INDEX(Max_Table,L2394))</f>
        <v>0</v>
      </c>
      <c r="E2394" s="1454"/>
      <c r="F2394" s="1454"/>
      <c r="G2394" s="1444" t="str">
        <f t="shared" si="318"/>
        <v/>
      </c>
      <c r="H2394" s="1446"/>
      <c r="I2394" s="1446" t="str">
        <f>IF(D2394=TRUE,Comments!$B$17&amp;INDEX(Min_Table,L2394)&amp;Comments!$B$18&amp;INDEX(Max_Table,L2394),"")</f>
        <v/>
      </c>
      <c r="J2394" s="1446"/>
      <c r="K2394" s="1452"/>
      <c r="L2394" s="611">
        <f>ROW(OR_VEH!$A$671)</f>
        <v>671</v>
      </c>
      <c r="N2394" s="611" t="s">
        <v>1640</v>
      </c>
      <c r="O2394" s="611" t="str">
        <f t="shared" si="325"/>
        <v/>
      </c>
      <c r="P2394" s="611" t="str">
        <f t="shared" si="319"/>
        <v>Page7!E</v>
      </c>
      <c r="Q2394" s="611">
        <f t="shared" si="320"/>
        <v>49</v>
      </c>
      <c r="R2394" s="1447">
        <f t="shared" ca="1" si="321"/>
        <v>0</v>
      </c>
      <c r="S2394" s="1447">
        <f t="shared" ca="1" si="322"/>
        <v>0</v>
      </c>
      <c r="V2394" s="2557" t="str">
        <f t="shared" ca="1" si="324"/>
        <v/>
      </c>
      <c r="W2394" s="611" t="str">
        <f t="shared" ca="1" si="323"/>
        <v>Page7, Ligne 46 [Page7!E49]  -</v>
      </c>
    </row>
    <row r="2395" spans="1:23">
      <c r="A2395" s="1443" t="str">
        <f>celladdr(Page7!E50)</f>
        <v>Page7!E50</v>
      </c>
      <c r="B2395" s="1464" t="s">
        <v>1086</v>
      </c>
      <c r="D2395" s="1454" t="b">
        <f>OR(Page7!$E$50&lt;INDEX(Min_Table,L2395),Page7!$E$50&gt;INDEX(Max_Table,L2395))</f>
        <v>0</v>
      </c>
      <c r="E2395" s="1454"/>
      <c r="F2395" s="1454"/>
      <c r="G2395" s="1444" t="str">
        <f t="shared" si="318"/>
        <v/>
      </c>
      <c r="H2395" s="1446"/>
      <c r="I2395" s="1446" t="str">
        <f>IF(D2395=TRUE,Comments!$B$17&amp;INDEX(Min_Table,L2395)&amp;Comments!$B$18&amp;INDEX(Max_Table,L2395),"")</f>
        <v/>
      </c>
      <c r="J2395" s="1446"/>
      <c r="K2395" s="1452"/>
      <c r="L2395" s="611">
        <f>ROW(OR_VEH!$A$671)</f>
        <v>671</v>
      </c>
      <c r="N2395" s="4" t="s">
        <v>1641</v>
      </c>
      <c r="O2395" s="611" t="str">
        <f t="shared" si="325"/>
        <v/>
      </c>
      <c r="P2395" s="611" t="str">
        <f t="shared" si="319"/>
        <v>Page7!E</v>
      </c>
      <c r="Q2395" s="611">
        <f t="shared" si="320"/>
        <v>50</v>
      </c>
      <c r="R2395" s="1447">
        <f t="shared" ca="1" si="321"/>
        <v>0</v>
      </c>
      <c r="S2395" s="1447">
        <f t="shared" ca="1" si="322"/>
        <v>0</v>
      </c>
      <c r="V2395" s="2557" t="str">
        <f t="shared" ca="1" si="324"/>
        <v/>
      </c>
      <c r="W2395" s="611" t="str">
        <f t="shared" ca="1" si="323"/>
        <v>Page7, Ligne 47 [Page7!E50]  -</v>
      </c>
    </row>
    <row r="2396" spans="1:23">
      <c r="A2396" s="1443" t="str">
        <f>celladdr(Page7!E52)</f>
        <v>Page7!E52</v>
      </c>
      <c r="B2396" s="1464" t="s">
        <v>1086</v>
      </c>
      <c r="D2396" s="1454" t="b">
        <f>OR(Page7!$E$52&lt;INDEX(Min_Table,L2396),Page7!$E$52&gt;INDEX(Max_Table,L2396))</f>
        <v>0</v>
      </c>
      <c r="G2396" s="1444" t="str">
        <f t="shared" si="318"/>
        <v/>
      </c>
      <c r="H2396" s="1446"/>
      <c r="I2396" s="1446" t="str">
        <f>IF(D2396=TRUE,Comments!$B$17&amp;INDEX(Min_Table,L2396)&amp;Comments!$B$18&amp;INDEX(Max_Table,L2396),"")</f>
        <v/>
      </c>
      <c r="L2396" s="611">
        <f>ROW(OR_VEH!$A$671)</f>
        <v>671</v>
      </c>
      <c r="N2396" s="611" t="s">
        <v>1642</v>
      </c>
      <c r="O2396" s="611" t="str">
        <f t="shared" si="325"/>
        <v/>
      </c>
      <c r="P2396" s="611" t="str">
        <f t="shared" si="319"/>
        <v>Page7!E</v>
      </c>
      <c r="Q2396" s="611">
        <f t="shared" si="320"/>
        <v>52</v>
      </c>
      <c r="R2396" s="1447">
        <f t="shared" ca="1" si="321"/>
        <v>0</v>
      </c>
      <c r="S2396" s="1447">
        <f t="shared" ca="1" si="322"/>
        <v>0</v>
      </c>
      <c r="V2396" s="2557" t="str">
        <f t="shared" ca="1" si="324"/>
        <v/>
      </c>
      <c r="W2396" s="611" t="str">
        <f t="shared" ca="1" si="323"/>
        <v>Page7, Ligne 49 [Page7!E52]  -</v>
      </c>
    </row>
    <row r="2397" spans="1:23">
      <c r="A2397" s="1443" t="str">
        <f>celladdr(Page7!E53)</f>
        <v>Page7!E53</v>
      </c>
      <c r="B2397" s="1464" t="s">
        <v>1086</v>
      </c>
      <c r="D2397" s="1454" t="b">
        <f>OR(Page7!$E$53&lt;INDEX(Min_Table,L2397),Page7!$E$53&gt;INDEX(Max_Table,L2397))</f>
        <v>0</v>
      </c>
      <c r="G2397" s="1444" t="str">
        <f t="shared" si="318"/>
        <v/>
      </c>
      <c r="H2397" s="1446"/>
      <c r="I2397" s="1446" t="str">
        <f>IF(D2397=TRUE,Comments!$B$17&amp;INDEX(Min_Table,L2397)&amp;Comments!$B$18&amp;INDEX(Max_Table,L2397),"")</f>
        <v/>
      </c>
      <c r="J2397" s="1446"/>
      <c r="L2397" s="611">
        <f>ROW(OR_VEH!$A$671)</f>
        <v>671</v>
      </c>
      <c r="N2397" s="611" t="s">
        <v>1643</v>
      </c>
      <c r="O2397" s="611" t="str">
        <f t="shared" si="325"/>
        <v/>
      </c>
      <c r="P2397" s="611" t="str">
        <f t="shared" si="319"/>
        <v>Page7!E</v>
      </c>
      <c r="Q2397" s="611">
        <f t="shared" si="320"/>
        <v>53</v>
      </c>
      <c r="R2397" s="1447">
        <f t="shared" ca="1" si="321"/>
        <v>0</v>
      </c>
      <c r="S2397" s="1447">
        <f t="shared" ca="1" si="322"/>
        <v>0</v>
      </c>
      <c r="V2397" s="2557" t="str">
        <f t="shared" ca="1" si="324"/>
        <v/>
      </c>
      <c r="W2397" s="611" t="str">
        <f t="shared" ca="1" si="323"/>
        <v>Page7, Ligne 50 [Page7!E53]  -</v>
      </c>
    </row>
    <row r="2398" spans="1:23">
      <c r="A2398" s="1443" t="str">
        <f>celladdr(Page7!E55)</f>
        <v>Page7!E55</v>
      </c>
      <c r="B2398" s="1464" t="s">
        <v>1086</v>
      </c>
      <c r="D2398" s="1454" t="b">
        <f>OR(Page7!$E$55&lt;INDEX(Min_Table,L2398),Page7!$E$55&gt;INDEX(Max_Table,L2398))</f>
        <v>0</v>
      </c>
      <c r="G2398" s="1444" t="str">
        <f t="shared" si="318"/>
        <v/>
      </c>
      <c r="I2398" s="1446" t="str">
        <f>IF(D2398=TRUE,Comments!$B$17&amp;INDEX(Min_Table,L2398)&amp;Comments!$B$18&amp;INDEX(Max_Table,L2398),"")</f>
        <v/>
      </c>
      <c r="L2398" s="611">
        <f>ROW(OR_VEH!$A$671)</f>
        <v>671</v>
      </c>
      <c r="N2398" s="611" t="s">
        <v>1644</v>
      </c>
      <c r="O2398" s="611" t="str">
        <f t="shared" si="325"/>
        <v/>
      </c>
      <c r="P2398" s="611" t="str">
        <f t="shared" si="319"/>
        <v>Page7!E</v>
      </c>
      <c r="Q2398" s="611">
        <f t="shared" si="320"/>
        <v>55</v>
      </c>
      <c r="R2398" s="1447">
        <f t="shared" ca="1" si="321"/>
        <v>0</v>
      </c>
      <c r="S2398" s="1447">
        <f t="shared" ca="1" si="322"/>
        <v>0</v>
      </c>
      <c r="V2398" s="2557" t="str">
        <f t="shared" ca="1" si="324"/>
        <v/>
      </c>
      <c r="W2398" s="611" t="str">
        <f t="shared" ca="1" si="323"/>
        <v>Page7, Ligne 52 [Page7!E55]  -</v>
      </c>
    </row>
    <row r="2399" spans="1:23">
      <c r="A2399" s="1443" t="str">
        <f>celladdr(Page7!E56)</f>
        <v>Page7!E56</v>
      </c>
      <c r="B2399" s="1464" t="s">
        <v>1086</v>
      </c>
      <c r="D2399" s="1454" t="b">
        <f>OR(Page7!$E$56&lt;INDEX(Min_Table,L2399),Page7!$E$56&gt;INDEX(Max_Table,L2399))</f>
        <v>0</v>
      </c>
      <c r="E2399" s="1454"/>
      <c r="F2399" s="1454"/>
      <c r="G2399" s="1444" t="str">
        <f t="shared" si="318"/>
        <v/>
      </c>
      <c r="I2399" s="1446" t="str">
        <f>IF(D2399=TRUE,Comments!$B$17&amp;INDEX(Min_Table,L2399)&amp;Comments!$B$18&amp;INDEX(Max_Table,L2399),"")</f>
        <v/>
      </c>
      <c r="J2399" s="1446"/>
      <c r="K2399" s="1452"/>
      <c r="L2399" s="611">
        <f>ROW(OR_VEH!$A$671)</f>
        <v>671</v>
      </c>
      <c r="N2399" s="611" t="s">
        <v>1645</v>
      </c>
      <c r="O2399" s="611" t="str">
        <f t="shared" si="325"/>
        <v/>
      </c>
      <c r="P2399" s="611" t="str">
        <f t="shared" si="319"/>
        <v>Page7!E</v>
      </c>
      <c r="Q2399" s="611">
        <f t="shared" si="320"/>
        <v>56</v>
      </c>
      <c r="R2399" s="1447">
        <f t="shared" ca="1" si="321"/>
        <v>0</v>
      </c>
      <c r="S2399" s="1447">
        <f t="shared" ca="1" si="322"/>
        <v>0</v>
      </c>
      <c r="V2399" s="2557" t="str">
        <f t="shared" ca="1" si="324"/>
        <v/>
      </c>
      <c r="W2399" s="611" t="str">
        <f t="shared" ca="1" si="323"/>
        <v>Page7, Ligne 53 [Page7!E56]  -</v>
      </c>
    </row>
    <row r="2400" spans="1:23">
      <c r="A2400" s="1443" t="str">
        <f>celladdr(Page7!E81)</f>
        <v>Page7!E81</v>
      </c>
      <c r="B2400" s="1444" t="s">
        <v>1086</v>
      </c>
      <c r="D2400" s="1454" t="b">
        <f>Page7!E81&gt;Page7!J81</f>
        <v>0</v>
      </c>
      <c r="E2400" s="1454"/>
      <c r="F2400" s="1454"/>
      <c r="G2400" s="1444" t="str">
        <f t="shared" si="318"/>
        <v/>
      </c>
      <c r="I2400" s="1446" t="str">
        <f>IF(D2400=TRUE,Comments!$B$72,"")</f>
        <v/>
      </c>
      <c r="J2400" s="1446"/>
      <c r="K2400" s="1452"/>
      <c r="L2400" s="611">
        <f>ROW(OR_VEH!$A$671)</f>
        <v>671</v>
      </c>
      <c r="N2400" s="611" t="s">
        <v>1646</v>
      </c>
      <c r="O2400" s="611" t="str">
        <f t="shared" si="325"/>
        <v/>
      </c>
      <c r="P2400" s="611" t="str">
        <f t="shared" si="319"/>
        <v>Page7!E</v>
      </c>
      <c r="Q2400" s="611">
        <f t="shared" si="320"/>
        <v>81</v>
      </c>
      <c r="R2400" s="1447">
        <f t="shared" ca="1" si="321"/>
        <v>0</v>
      </c>
      <c r="S2400" s="1447">
        <f t="shared" ca="1" si="322"/>
        <v>0</v>
      </c>
      <c r="V2400" s="2557" t="str">
        <f t="shared" ca="1" si="324"/>
        <v/>
      </c>
      <c r="W2400" s="611" t="str">
        <f t="shared" ca="1" si="323"/>
        <v>Page7, Ligne 78 [Page7!E81]  -</v>
      </c>
    </row>
    <row r="2401" spans="1:23">
      <c r="A2401" s="1443" t="str">
        <f>celladdr(Page7!F28)</f>
        <v>Page7!F28</v>
      </c>
      <c r="B2401" s="1464" t="s">
        <v>1086</v>
      </c>
      <c r="C2401" s="1451" t="b">
        <f>IF(Page7!$E$28=0,FALSE,OR(Page7!$F$28/Page7!$E$28&lt;INDEX(Min_Table,L2401),Page7!$F$28/Page7!$E$28&gt;INDEX(Max_Table,L2401)))</f>
        <v>0</v>
      </c>
      <c r="D2401" s="1445" t="b">
        <f>OR(AND(Page7!E28=0,Page7!F28&lt;&gt;0),AND(Page7!E28&gt;0,Page7!F28=0))</f>
        <v>0</v>
      </c>
      <c r="E2401" s="1445" t="b">
        <f>OR(Page7!F28-Page1!I23&gt;100,Page7!F28-Page1!I23&lt;-100)</f>
        <v>0</v>
      </c>
      <c r="G2401" s="1444" t="str">
        <f t="shared" si="318"/>
        <v/>
      </c>
      <c r="H2401" s="1447" t="str">
        <f>IF(C2401=TRUE,Comments!$B$20&amp;DOLLAR(INDEX(Min_Table,L2401),0)&amp;Comments!$B$18&amp;DOLLAR(INDEX(Max_Table,L2401),0)&amp;Comments!$B$19&amp;DOLLAR(Page7!$F$28/Page7!$E$28,0),"")</f>
        <v/>
      </c>
      <c r="I2401" s="1446" t="str">
        <f>IF(D2401=TRUE,Comments!$B$4,"")</f>
        <v/>
      </c>
      <c r="J2401" s="1446" t="str">
        <f>IF(E2401=TRUE,Comments!$B$67&amp;DOLLAR(Page7!F28-Page1!I23,0),"")</f>
        <v/>
      </c>
      <c r="L2401" s="611">
        <f>ROW(OR_VEH!$A$635)</f>
        <v>635</v>
      </c>
      <c r="N2401" s="611" t="s">
        <v>1647</v>
      </c>
      <c r="O2401" s="611" t="str">
        <f t="shared" si="325"/>
        <v/>
      </c>
      <c r="P2401" s="611" t="str">
        <f t="shared" si="319"/>
        <v>Page7!F</v>
      </c>
      <c r="Q2401" s="611">
        <f t="shared" si="320"/>
        <v>28</v>
      </c>
      <c r="R2401" s="1447">
        <f t="shared" ca="1" si="321"/>
        <v>0</v>
      </c>
      <c r="S2401" s="1447">
        <f t="shared" ca="1" si="322"/>
        <v>0</v>
      </c>
      <c r="T2401" s="611">
        <v>67</v>
      </c>
      <c r="V2401" s="2557" t="str">
        <f t="shared" ca="1" si="324"/>
        <v/>
      </c>
      <c r="W2401" s="611" t="str">
        <f t="shared" ca="1" si="323"/>
        <v>Page7, Ligne 25 [Page7!F28]  -</v>
      </c>
    </row>
    <row r="2402" spans="1:23">
      <c r="A2402" s="1443" t="str">
        <f>celladdr(Page7!F29)</f>
        <v>Page7!F29</v>
      </c>
      <c r="B2402" s="1464" t="s">
        <v>1086</v>
      </c>
      <c r="C2402" s="1451" t="b">
        <f>IF(Page7!$E$29=0,FALSE,OR(Page7!$F$29/Page7!$E$29&lt;INDEX(Min_Table,L2402),Page7!$F$29/Page7!$E$29&gt;INDEX(Max_Table,L2402)))</f>
        <v>0</v>
      </c>
      <c r="D2402" s="1445" t="b">
        <f>OR(AND(Page7!E29=0,Page7!F29&lt;&gt;0),AND(Page7!E29&gt;0,Page7!F29=0))</f>
        <v>0</v>
      </c>
      <c r="E2402" s="1445" t="b">
        <f>OR(Page7!F29+Page7!F30-Page1!I24&gt;100,Page7!F29+Page7!F30-Page1!I24&lt;-100)</f>
        <v>0</v>
      </c>
      <c r="G2402" s="1444" t="str">
        <f t="shared" si="318"/>
        <v/>
      </c>
      <c r="H2402" s="1447" t="str">
        <f>IF(C2402=TRUE,Comments!$B$20&amp;DOLLAR(INDEX(Min_Table,L2402),0)&amp;Comments!$B$18&amp;DOLLAR(INDEX(Max_Table,L2402),0)&amp;Comments!$B$19&amp;DOLLAR(Page7!$F$29/Page7!$E$29,0),"")</f>
        <v/>
      </c>
      <c r="I2402" s="1446" t="str">
        <f>IF(D2402=TRUE,Comments!$B$4,"")</f>
        <v/>
      </c>
      <c r="J2402" s="1446" t="str">
        <f>IF(E2402=TRUE,Comments!$B$67&amp;DOLLAR(Page7!F29+Page7!F30-Page1!I24,0),"")</f>
        <v/>
      </c>
      <c r="L2402" s="611">
        <f>ROW(OR_VEH!$A$637)</f>
        <v>637</v>
      </c>
      <c r="N2402" s="611" t="s">
        <v>1648</v>
      </c>
      <c r="O2402" s="611" t="str">
        <f t="shared" si="325"/>
        <v/>
      </c>
      <c r="P2402" s="611" t="str">
        <f t="shared" si="319"/>
        <v>Page7!F</v>
      </c>
      <c r="Q2402" s="611">
        <f t="shared" si="320"/>
        <v>29</v>
      </c>
      <c r="R2402" s="1447">
        <f t="shared" ca="1" si="321"/>
        <v>0</v>
      </c>
      <c r="S2402" s="1447">
        <f t="shared" ca="1" si="322"/>
        <v>0</v>
      </c>
      <c r="T2402" s="611">
        <v>67</v>
      </c>
      <c r="V2402" s="2557" t="str">
        <f t="shared" ca="1" si="324"/>
        <v/>
      </c>
      <c r="W2402" s="611" t="str">
        <f t="shared" ca="1" si="323"/>
        <v>Page7, Ligne 26 [Page7!F29]  -</v>
      </c>
    </row>
    <row r="2403" spans="1:23">
      <c r="A2403" s="1443" t="str">
        <f>celladdr(Page7!F30)</f>
        <v>Page7!F30</v>
      </c>
      <c r="B2403" s="1464" t="s">
        <v>1086</v>
      </c>
      <c r="C2403" s="1451" t="b">
        <f>IF(Page7!$E$30=0,FALSE,OR(Page7!$F$30/Page7!$E$30&lt;INDEX(Min_Table,L2403),Page7!$F$30/Page7!$E$30&gt;INDEX(Max_Table,L2403)))</f>
        <v>0</v>
      </c>
      <c r="D2403" s="1445" t="b">
        <f>OR(AND(Page7!E30=0,Page7!F30&lt;&gt;0),AND(Page7!E30&gt;0,Page7!F30=0))</f>
        <v>0</v>
      </c>
      <c r="G2403" s="1444" t="str">
        <f t="shared" si="318"/>
        <v/>
      </c>
      <c r="H2403" s="1447" t="str">
        <f>IF(C2403=TRUE,Comments!$B$20&amp;DOLLAR(INDEX(Min_Table,L2403),0)&amp;Comments!$B$18&amp;DOLLAR(INDEX(Max_Table,L2403),0)&amp;Comments!$B$19&amp;DOLLAR(Page7!$F$30/Page7!$E$30,0),"")</f>
        <v/>
      </c>
      <c r="I2403" s="1446" t="str">
        <f>IF(D2403=TRUE,Comments!$B$4,"")</f>
        <v/>
      </c>
      <c r="J2403" s="1446"/>
      <c r="L2403" s="611">
        <f>ROW(OR_VEH!$A$637)</f>
        <v>637</v>
      </c>
      <c r="N2403" s="4" t="s">
        <v>1649</v>
      </c>
      <c r="O2403" s="611" t="str">
        <f t="shared" si="325"/>
        <v/>
      </c>
      <c r="P2403" s="611" t="str">
        <f t="shared" si="319"/>
        <v>Page7!F</v>
      </c>
      <c r="Q2403" s="611">
        <f t="shared" si="320"/>
        <v>30</v>
      </c>
      <c r="R2403" s="1447">
        <f t="shared" ca="1" si="321"/>
        <v>0</v>
      </c>
      <c r="S2403" s="1447">
        <f t="shared" ca="1" si="322"/>
        <v>0</v>
      </c>
      <c r="T2403" s="611">
        <v>67</v>
      </c>
      <c r="V2403" s="2557" t="str">
        <f t="shared" ca="1" si="324"/>
        <v/>
      </c>
      <c r="W2403" s="611" t="str">
        <f t="shared" ca="1" si="323"/>
        <v>Page7, Ligne 27 [Page7!F30]  -</v>
      </c>
    </row>
    <row r="2404" spans="1:23">
      <c r="A2404" s="1443" t="str">
        <f>celladdr(Page7!F31)</f>
        <v>Page7!F31</v>
      </c>
      <c r="B2404" s="1464" t="s">
        <v>1086</v>
      </c>
      <c r="C2404" s="1451" t="b">
        <f>IF(Page7!$E$31=0,FALSE,OR(Page7!$F$31/Page7!$E$31&lt;INDEX(Min_Table,L2404),Page7!$F$31/Page7!$E$31&gt;INDEX(Max_Table,L2404)))</f>
        <v>0</v>
      </c>
      <c r="D2404" s="1445" t="b">
        <f>OR(AND(Page7!E31=0,Page7!F31&lt;&gt;0),AND(Page7!E31&gt;0,Page7!F31=0))</f>
        <v>0</v>
      </c>
      <c r="E2404" s="1445" t="b">
        <f>OR(Page7!F31+Page7!F32-Page1!I25&gt;100,Page7!F31+Page7!F32-Page1!I25&lt;-100)</f>
        <v>0</v>
      </c>
      <c r="G2404" s="1444" t="str">
        <f t="shared" si="318"/>
        <v/>
      </c>
      <c r="H2404" s="1447" t="str">
        <f>IF(C2404=TRUE,Comments!$B$20&amp;DOLLAR(INDEX(Min_Table,L2404),0)&amp;Comments!$B$18&amp;DOLLAR(INDEX(Max_Table,L2404),0)&amp;Comments!$B$19&amp;DOLLAR(Page7!$F$31/Page7!$E$31,0),"")</f>
        <v/>
      </c>
      <c r="I2404" s="1446" t="str">
        <f>IF(D2404=TRUE,Comments!$B$4,"")</f>
        <v/>
      </c>
      <c r="J2404" s="1446" t="str">
        <f>IF(E2404=TRUE,Comments!$B$67&amp;DOLLAR(Page7!F31+Page7!F32-Page1!I25,0),"")</f>
        <v/>
      </c>
      <c r="L2404" s="611">
        <f>ROW(OR_VEH!$A$639)</f>
        <v>639</v>
      </c>
      <c r="N2404" s="611" t="s">
        <v>1650</v>
      </c>
      <c r="O2404" s="611" t="str">
        <f t="shared" si="325"/>
        <v/>
      </c>
      <c r="P2404" s="611" t="str">
        <f t="shared" si="319"/>
        <v>Page7!F</v>
      </c>
      <c r="Q2404" s="611">
        <f t="shared" si="320"/>
        <v>31</v>
      </c>
      <c r="R2404" s="1447">
        <f t="shared" ca="1" si="321"/>
        <v>0</v>
      </c>
      <c r="S2404" s="1447">
        <f t="shared" ca="1" si="322"/>
        <v>0</v>
      </c>
      <c r="T2404" s="611">
        <v>67</v>
      </c>
      <c r="V2404" s="2557" t="str">
        <f t="shared" ca="1" si="324"/>
        <v/>
      </c>
      <c r="W2404" s="611" t="str">
        <f t="shared" ca="1" si="323"/>
        <v>Page7, Ligne 28 [Page7!F31]  -</v>
      </c>
    </row>
    <row r="2405" spans="1:23">
      <c r="A2405" s="1443" t="str">
        <f>celladdr(Page7!F32)</f>
        <v>Page7!F32</v>
      </c>
      <c r="B2405" s="1464" t="s">
        <v>1086</v>
      </c>
      <c r="C2405" s="1451" t="b">
        <f>IF(Page7!$E$32=0,FALSE,OR(Page7!$F$32/Page7!$E$32&lt;INDEX(Min_Table,L2405),Page7!$F$32/Page7!$E$32&gt;INDEX(Max_Table,L2405)))</f>
        <v>0</v>
      </c>
      <c r="D2405" s="1445" t="b">
        <f>OR(AND(Page7!E32=0,Page7!F32&lt;&gt;0),AND(Page7!E32&gt;0,Page7!F32=0))</f>
        <v>0</v>
      </c>
      <c r="G2405" s="1444" t="str">
        <f t="shared" si="318"/>
        <v/>
      </c>
      <c r="H2405" s="1447" t="str">
        <f>IF(C2405=TRUE,Comments!$B$20&amp;DOLLAR(INDEX(Min_Table,L2405),0)&amp;Comments!$B$18&amp;DOLLAR(INDEX(Max_Table,L2405),0)&amp;Comments!$B$19&amp;DOLLAR(Page7!$F$32/Page7!$E$32,0),"")</f>
        <v/>
      </c>
      <c r="I2405" s="1446" t="str">
        <f>IF(D2405=TRUE,Comments!$B$4,"")</f>
        <v/>
      </c>
      <c r="J2405" s="1446"/>
      <c r="L2405" s="611">
        <f>ROW(OR_VEH!$A$639)</f>
        <v>639</v>
      </c>
      <c r="N2405" s="4" t="s">
        <v>1651</v>
      </c>
      <c r="O2405" s="611" t="str">
        <f t="shared" si="325"/>
        <v/>
      </c>
      <c r="P2405" s="611" t="str">
        <f t="shared" si="319"/>
        <v>Page7!F</v>
      </c>
      <c r="Q2405" s="611">
        <f t="shared" si="320"/>
        <v>32</v>
      </c>
      <c r="R2405" s="1447">
        <f t="shared" ca="1" si="321"/>
        <v>0</v>
      </c>
      <c r="S2405" s="1447">
        <f t="shared" ca="1" si="322"/>
        <v>0</v>
      </c>
      <c r="T2405" s="611">
        <v>67</v>
      </c>
      <c r="V2405" s="2557" t="str">
        <f t="shared" ca="1" si="324"/>
        <v/>
      </c>
      <c r="W2405" s="611" t="str">
        <f t="shared" ca="1" si="323"/>
        <v>Page7, Ligne 29 [Page7!F32]  -</v>
      </c>
    </row>
    <row r="2406" spans="1:23">
      <c r="A2406" s="1443" t="str">
        <f>celladdr(Page7!F33)</f>
        <v>Page7!F33</v>
      </c>
      <c r="B2406" s="1464" t="s">
        <v>1086</v>
      </c>
      <c r="C2406" s="1451" t="b">
        <f>IF(Page7!$E$33=0,FALSE,OR(Page7!$F$33/Page7!$E$33&lt;INDEX(Min_Table,L2406),Page7!$F$33/Page7!$E$33&gt;INDEX(Max_Table,L2406)))</f>
        <v>0</v>
      </c>
      <c r="D2406" s="1445" t="b">
        <f>OR(AND(Page7!E33=0,Page7!F33&lt;&gt;0),AND(Page7!E33&gt;0,Page7!F33=0))</f>
        <v>0</v>
      </c>
      <c r="E2406" s="1445" t="b">
        <f>OR(Page7!F33-Page1!I26&gt;100,Page7!F33-Page1!I26&lt;-100)</f>
        <v>0</v>
      </c>
      <c r="G2406" s="1444" t="str">
        <f t="shared" si="318"/>
        <v/>
      </c>
      <c r="H2406" s="1447" t="str">
        <f>IF(C2406=TRUE,Comments!$B$20&amp;DOLLAR(INDEX(Min_Table,L2406),0)&amp;Comments!$B$18&amp;DOLLAR(INDEX(Max_Table,L2406),0)&amp;Comments!$B$19&amp;DOLLAR(Page7!$F$33/Page7!$E$33,0),"")</f>
        <v/>
      </c>
      <c r="I2406" s="1446" t="str">
        <f>IF(D2406=TRUE,Comments!$B$4,"")</f>
        <v/>
      </c>
      <c r="J2406" s="1446" t="str">
        <f>IF(E2406=TRUE,Comments!$B$67&amp;DOLLAR(Page7!F33-Page1!I26,0),"")</f>
        <v/>
      </c>
      <c r="L2406" s="611">
        <f>ROW(OR_VEH!$A$641)</f>
        <v>641</v>
      </c>
      <c r="N2406" s="611" t="s">
        <v>1652</v>
      </c>
      <c r="O2406" s="611" t="str">
        <f t="shared" si="325"/>
        <v/>
      </c>
      <c r="P2406" s="611" t="str">
        <f t="shared" si="319"/>
        <v>Page7!F</v>
      </c>
      <c r="Q2406" s="611">
        <f t="shared" si="320"/>
        <v>33</v>
      </c>
      <c r="R2406" s="1447">
        <f t="shared" ca="1" si="321"/>
        <v>0</v>
      </c>
      <c r="S2406" s="1447">
        <f t="shared" ca="1" si="322"/>
        <v>0</v>
      </c>
      <c r="T2406" s="611">
        <v>67</v>
      </c>
      <c r="V2406" s="2557" t="str">
        <f t="shared" ca="1" si="324"/>
        <v/>
      </c>
      <c r="W2406" s="611" t="str">
        <f t="shared" ca="1" si="323"/>
        <v>Page7, Ligne 30 [Page7!F33]  -</v>
      </c>
    </row>
    <row r="2407" spans="1:23">
      <c r="A2407" s="1443" t="str">
        <f>celladdr(Page7!F34)</f>
        <v>Page7!F34</v>
      </c>
      <c r="B2407" s="1464" t="s">
        <v>1086</v>
      </c>
      <c r="C2407" s="1451"/>
      <c r="E2407" s="1445" t="b">
        <f>OR(Page7!F34-Page1!I27&gt;100,Page7!F34-Page1!I27&lt;-100)</f>
        <v>0</v>
      </c>
      <c r="G2407" s="1444" t="str">
        <f t="shared" si="318"/>
        <v/>
      </c>
      <c r="I2407" s="1446"/>
      <c r="J2407" s="1446" t="str">
        <f>IF(E2407=TRUE,Comments!$B$67&amp;DOLLAR(Page7!F34-Page1!I27,0),"")</f>
        <v/>
      </c>
      <c r="N2407" s="611" t="s">
        <v>1653</v>
      </c>
      <c r="O2407" s="611" t="str">
        <f t="shared" si="325"/>
        <v/>
      </c>
      <c r="P2407" s="611" t="str">
        <f t="shared" si="319"/>
        <v>Page7!F</v>
      </c>
      <c r="Q2407" s="611">
        <f t="shared" si="320"/>
        <v>34</v>
      </c>
      <c r="R2407" s="1447">
        <f t="shared" ca="1" si="321"/>
        <v>0</v>
      </c>
      <c r="S2407" s="1447">
        <f t="shared" ca="1" si="322"/>
        <v>0</v>
      </c>
      <c r="T2407" s="611">
        <v>67</v>
      </c>
      <c r="V2407" s="2557" t="str">
        <f t="shared" ca="1" si="324"/>
        <v/>
      </c>
      <c r="W2407" s="611" t="str">
        <f t="shared" ca="1" si="323"/>
        <v>Page7, Ligne 31 [Page7!F34]  -</v>
      </c>
    </row>
    <row r="2408" spans="1:23">
      <c r="A2408" s="1443" t="str">
        <f>celladdr(Page7!F37)</f>
        <v>Page7!F37</v>
      </c>
      <c r="B2408" s="1464" t="s">
        <v>1086</v>
      </c>
      <c r="C2408" s="1445" t="b">
        <f>OR(AND(Page7!E37=0,Page7!F37&lt;&gt;0),AND(Page7!E37&gt;0,Page7!F37=0))</f>
        <v>0</v>
      </c>
      <c r="D2408" s="1445" t="b">
        <f>Page7!F37&lt;0</f>
        <v>0</v>
      </c>
      <c r="E2408" s="1451" t="b">
        <f>IF(Page7!$E$37=0,FALSE,OR(Page7!$F$37/Page7!$E$37&lt;INDEX(Min_Table,L2408),Page7!$F$37/Page7!$E$37&gt;INDEX(Max_Table,L2408)))</f>
        <v>0</v>
      </c>
      <c r="G2408" s="1444" t="str">
        <f t="shared" si="318"/>
        <v/>
      </c>
      <c r="H2408" s="1447" t="str">
        <f>IF(C2408=TRUE,Comments!$B$4,"")</f>
        <v/>
      </c>
      <c r="I2408" s="1447" t="str">
        <f>IF(D2408=TRUE,Comments!$B$28,"")</f>
        <v/>
      </c>
      <c r="J2408" s="1447" t="str">
        <f>IF(E2408=TRUE,Comments!$B$35&amp;DOLLAR(INDEX(Min_Table,L2408),0)&amp;Comments!$B$18&amp;DOLLAR(INDEX(Max_Table,L2408),0)&amp;Comments!$B$19&amp;DOLLAR(Page7!$F$37/Page7!$E$37,0),"")</f>
        <v/>
      </c>
      <c r="L2408" s="611">
        <f>ROW(OR_VEH!$A$643)</f>
        <v>643</v>
      </c>
      <c r="N2408" s="611" t="s">
        <v>1654</v>
      </c>
      <c r="O2408" s="611" t="str">
        <f t="shared" si="325"/>
        <v/>
      </c>
      <c r="P2408" s="611" t="str">
        <f t="shared" si="319"/>
        <v>Page7!F</v>
      </c>
      <c r="Q2408" s="611">
        <f t="shared" si="320"/>
        <v>37</v>
      </c>
      <c r="R2408" s="1447">
        <f t="shared" ca="1" si="321"/>
        <v>0</v>
      </c>
      <c r="S2408" s="1447">
        <f t="shared" ca="1" si="322"/>
        <v>0</v>
      </c>
      <c r="T2408" s="611">
        <v>35</v>
      </c>
      <c r="V2408" s="2557" t="str">
        <f t="shared" ca="1" si="324"/>
        <v/>
      </c>
      <c r="W2408" s="611" t="str">
        <f t="shared" ca="1" si="323"/>
        <v>Page7, Ligne 34 [Page7!F37]  -</v>
      </c>
    </row>
    <row r="2409" spans="1:23">
      <c r="A2409" s="1443" t="str">
        <f>celladdr(Page7!F38)</f>
        <v>Page7!F38</v>
      </c>
      <c r="B2409" s="1464" t="s">
        <v>1086</v>
      </c>
      <c r="C2409" s="1445" t="b">
        <f>OR(AND(Page7!E38=0,Page7!F38&lt;&gt;0),AND(Page7!E38&gt;0,Page7!F38=0))</f>
        <v>0</v>
      </c>
      <c r="D2409" s="1445" t="b">
        <f>Page7!F38&lt;0</f>
        <v>0</v>
      </c>
      <c r="E2409" s="1451" t="b">
        <f>IF(Page7!$E$38=0,FALSE,OR(Page7!$F$38/Page7!$E$38&lt;INDEX(Min_Table,L2409),Page7!$F$38/Page7!$E$38&gt;INDEX(Max_Table,L2409)))</f>
        <v>0</v>
      </c>
      <c r="G2409" s="1444" t="str">
        <f t="shared" si="318"/>
        <v/>
      </c>
      <c r="H2409" s="1447" t="str">
        <f>IF(C2409=TRUE,Comments!$B$4,"")</f>
        <v/>
      </c>
      <c r="I2409" s="1447" t="str">
        <f>IF(D2409=TRUE,Comments!$B$28,"")</f>
        <v/>
      </c>
      <c r="J2409" s="1447" t="str">
        <f>IF(E2409=TRUE,Comments!$B$35&amp;DOLLAR(INDEX(Min_Table,L2409),0)&amp;Comments!$B$18&amp;DOLLAR(INDEX(Max_Table,L2409),0)&amp;Comments!$B$19&amp;DOLLAR(Page7!$F$38/Page7!$E$38,0),"")</f>
        <v/>
      </c>
      <c r="L2409" s="611">
        <f>ROW(OR_VEH!$A$645)</f>
        <v>645</v>
      </c>
      <c r="N2409" s="611" t="s">
        <v>1655</v>
      </c>
      <c r="O2409" s="611" t="str">
        <f t="shared" si="325"/>
        <v/>
      </c>
      <c r="P2409" s="611" t="str">
        <f t="shared" si="319"/>
        <v>Page7!F</v>
      </c>
      <c r="Q2409" s="611">
        <f t="shared" si="320"/>
        <v>38</v>
      </c>
      <c r="R2409" s="1447">
        <f t="shared" ca="1" si="321"/>
        <v>0</v>
      </c>
      <c r="S2409" s="1447">
        <f t="shared" ca="1" si="322"/>
        <v>0</v>
      </c>
      <c r="T2409" s="611">
        <v>35</v>
      </c>
      <c r="V2409" s="2557" t="str">
        <f t="shared" ca="1" si="324"/>
        <v/>
      </c>
      <c r="W2409" s="611" t="str">
        <f t="shared" ca="1" si="323"/>
        <v>Page7, Ligne 35 [Page7!F38]  -</v>
      </c>
    </row>
    <row r="2410" spans="1:23">
      <c r="A2410" s="611" t="str">
        <f>celladdr(Page7!F40)</f>
        <v>Page7!F40</v>
      </c>
      <c r="B2410" s="1464" t="s">
        <v>1086</v>
      </c>
      <c r="E2410" s="1451"/>
      <c r="G2410" s="1444" t="str">
        <f t="shared" si="318"/>
        <v/>
      </c>
      <c r="N2410" s="611" t="s">
        <v>1656</v>
      </c>
      <c r="O2410" s="611" t="str">
        <f t="shared" si="325"/>
        <v/>
      </c>
      <c r="P2410" s="611" t="str">
        <f t="shared" si="319"/>
        <v>Page7!F</v>
      </c>
      <c r="Q2410" s="611">
        <f t="shared" si="320"/>
        <v>40</v>
      </c>
      <c r="R2410" s="1447">
        <f t="shared" ca="1" si="321"/>
        <v>0</v>
      </c>
      <c r="S2410" s="1447">
        <f t="shared" ca="1" si="322"/>
        <v>0</v>
      </c>
      <c r="V2410" s="2557" t="str">
        <f t="shared" ca="1" si="324"/>
        <v/>
      </c>
      <c r="W2410" s="611" t="str">
        <f t="shared" ca="1" si="323"/>
        <v>Page7, Ligne 37 [Page7!F40]  -</v>
      </c>
    </row>
    <row r="2411" spans="1:23">
      <c r="A2411" s="611" t="str">
        <f>celladdr(Page7!F41)</f>
        <v>Page7!F41</v>
      </c>
      <c r="B2411" s="1464" t="s">
        <v>1086</v>
      </c>
      <c r="E2411" s="1451"/>
      <c r="G2411" s="1444" t="str">
        <f t="shared" si="318"/>
        <v/>
      </c>
      <c r="N2411" s="611" t="s">
        <v>1657</v>
      </c>
      <c r="O2411" s="611" t="str">
        <f t="shared" si="325"/>
        <v/>
      </c>
      <c r="P2411" s="611" t="str">
        <f t="shared" si="319"/>
        <v>Page7!F</v>
      </c>
      <c r="Q2411" s="611">
        <f t="shared" si="320"/>
        <v>41</v>
      </c>
      <c r="R2411" s="1447">
        <f t="shared" ca="1" si="321"/>
        <v>0</v>
      </c>
      <c r="S2411" s="1447">
        <f t="shared" ca="1" si="322"/>
        <v>0</v>
      </c>
      <c r="V2411" s="2557" t="str">
        <f t="shared" ca="1" si="324"/>
        <v/>
      </c>
      <c r="W2411" s="611" t="str">
        <f t="shared" ca="1" si="323"/>
        <v>Page7, Ligne 38 [Page7!F41]  -</v>
      </c>
    </row>
    <row r="2412" spans="1:23">
      <c r="A2412" s="611" t="str">
        <f>celladdr(Page7!F42)</f>
        <v>Page7!F42</v>
      </c>
      <c r="B2412" s="1464" t="s">
        <v>1086</v>
      </c>
      <c r="C2412" s="1445" t="b">
        <f>(Page1!$I$31+Page1!$I$32+Page1!$I$33+Page1!$I$37)&lt;&gt;(Page7!$F$42+Page7!$K$42)</f>
        <v>0</v>
      </c>
      <c r="G2412" s="1444" t="str">
        <f t="shared" si="318"/>
        <v/>
      </c>
      <c r="H2412" s="1446" t="str">
        <f>IF(C2412=TRUE,Comments!$B$3&amp;DOLLAR((Page1!$I$31+Page1!$I$32+Page1!$I$33+Page1!$I$37)-(Page7!$F$42+Page7!$K$42),0),"")</f>
        <v/>
      </c>
      <c r="J2412" s="1446"/>
      <c r="N2412" s="611" t="s">
        <v>1658</v>
      </c>
      <c r="O2412" s="611" t="str">
        <f t="shared" si="325"/>
        <v/>
      </c>
      <c r="P2412" s="611" t="str">
        <f t="shared" si="319"/>
        <v>Page7!F</v>
      </c>
      <c r="Q2412" s="611">
        <f t="shared" si="320"/>
        <v>42</v>
      </c>
      <c r="R2412" s="1447">
        <f t="shared" ca="1" si="321"/>
        <v>0</v>
      </c>
      <c r="S2412" s="1447">
        <f t="shared" ca="1" si="322"/>
        <v>0</v>
      </c>
      <c r="V2412" s="2557" t="str">
        <f t="shared" ca="1" si="324"/>
        <v/>
      </c>
      <c r="W2412" s="611" t="str">
        <f t="shared" ca="1" si="323"/>
        <v>Page7, Ligne 39 [Page7!F42]  -</v>
      </c>
    </row>
    <row r="2413" spans="1:23">
      <c r="A2413" s="1117" t="str">
        <f>celladdr(Page7!F44)</f>
        <v>Page7!F44</v>
      </c>
      <c r="B2413" s="1464" t="s">
        <v>1086</v>
      </c>
      <c r="E2413" s="1445" t="b">
        <f>Page7!$F$44&lt;0</f>
        <v>0</v>
      </c>
      <c r="G2413" s="1444" t="str">
        <f t="shared" si="318"/>
        <v/>
      </c>
      <c r="H2413" s="1446"/>
      <c r="J2413" s="1446" t="str">
        <f>IF(E2413=TRUE,Comments!$B$6,"")</f>
        <v/>
      </c>
      <c r="N2413" s="611" t="s">
        <v>1659</v>
      </c>
      <c r="O2413" s="611" t="str">
        <f t="shared" si="325"/>
        <v/>
      </c>
      <c r="P2413" s="611" t="str">
        <f t="shared" si="319"/>
        <v>Page7!F</v>
      </c>
      <c r="Q2413" s="611">
        <f t="shared" si="320"/>
        <v>44</v>
      </c>
      <c r="R2413" s="1447">
        <f t="shared" ca="1" si="321"/>
        <v>0</v>
      </c>
      <c r="S2413" s="1447">
        <f t="shared" ca="1" si="322"/>
        <v>0</v>
      </c>
      <c r="T2413" s="611">
        <v>6</v>
      </c>
      <c r="V2413" s="2557" t="str">
        <f t="shared" ca="1" si="324"/>
        <v/>
      </c>
      <c r="W2413" s="611" t="str">
        <f t="shared" ca="1" si="323"/>
        <v>Page7, Ligne 41 [Page7!F44]  -</v>
      </c>
    </row>
    <row r="2414" spans="1:23">
      <c r="A2414" s="1443" t="str">
        <f>celladdr(Page7!F47)</f>
        <v>Page7!F47</v>
      </c>
      <c r="B2414" s="1464" t="s">
        <v>1086</v>
      </c>
      <c r="D2414" s="1454" t="b">
        <f>OR(Page7!$F$47&lt;INDEX(Min_Table,L2414),Page7!$F$47&gt;INDEX(Max_Table,L2414))</f>
        <v>0</v>
      </c>
      <c r="E2414" s="1454"/>
      <c r="F2414" s="1454"/>
      <c r="G2414" s="1444" t="str">
        <f t="shared" si="318"/>
        <v/>
      </c>
      <c r="H2414" s="1446"/>
      <c r="I2414" s="1446" t="str">
        <f>IF(D2414=TRUE,Comments!$B$17&amp;INDEX(Min_Table,L2414)&amp;Comments!$B$18&amp;INDEX(Max_Table,L2414),"")</f>
        <v/>
      </c>
      <c r="J2414" s="1446"/>
      <c r="K2414" s="1452"/>
      <c r="L2414" s="611">
        <f>ROW(OR_VEH!$A$671)</f>
        <v>671</v>
      </c>
      <c r="N2414" s="611" t="s">
        <v>1660</v>
      </c>
      <c r="O2414" s="611" t="str">
        <f t="shared" si="325"/>
        <v/>
      </c>
      <c r="P2414" s="611" t="str">
        <f t="shared" si="319"/>
        <v>Page7!F</v>
      </c>
      <c r="Q2414" s="611">
        <f t="shared" si="320"/>
        <v>47</v>
      </c>
      <c r="R2414" s="1447">
        <f t="shared" ca="1" si="321"/>
        <v>0</v>
      </c>
      <c r="S2414" s="1447">
        <f t="shared" ca="1" si="322"/>
        <v>0</v>
      </c>
      <c r="V2414" s="2557" t="str">
        <f t="shared" ca="1" si="324"/>
        <v/>
      </c>
      <c r="W2414" s="611" t="str">
        <f t="shared" ca="1" si="323"/>
        <v>Page7, Ligne 44 [Page7!F47]  -</v>
      </c>
    </row>
    <row r="2415" spans="1:23">
      <c r="A2415" s="1443" t="str">
        <f>celladdr(Page7!F48)</f>
        <v>Page7!F48</v>
      </c>
      <c r="B2415" s="1464" t="s">
        <v>1086</v>
      </c>
      <c r="D2415" s="1454" t="b">
        <f>OR(Page7!$F$48&lt;INDEX(Min_Table,L2415),Page7!$F$48&gt;INDEX(Max_Table,L2415))</f>
        <v>0</v>
      </c>
      <c r="E2415" s="1454"/>
      <c r="F2415" s="1454"/>
      <c r="G2415" s="1444" t="str">
        <f t="shared" si="318"/>
        <v/>
      </c>
      <c r="H2415" s="1446"/>
      <c r="I2415" s="1446" t="str">
        <f>IF(D2415=TRUE,Comments!$B$17&amp;INDEX(Min_Table,L2415)&amp;Comments!$B$18&amp;INDEX(Max_Table,L2415),"")</f>
        <v/>
      </c>
      <c r="J2415" s="1446"/>
      <c r="K2415" s="1452"/>
      <c r="L2415" s="611">
        <f>ROW(OR_VEH!$A$671)</f>
        <v>671</v>
      </c>
      <c r="N2415" s="611" t="s">
        <v>1661</v>
      </c>
      <c r="O2415" s="611" t="str">
        <f t="shared" si="325"/>
        <v/>
      </c>
      <c r="P2415" s="611" t="str">
        <f t="shared" si="319"/>
        <v>Page7!F</v>
      </c>
      <c r="Q2415" s="611">
        <f t="shared" si="320"/>
        <v>48</v>
      </c>
      <c r="R2415" s="1447">
        <f t="shared" ca="1" si="321"/>
        <v>0</v>
      </c>
      <c r="S2415" s="1447">
        <f t="shared" ca="1" si="322"/>
        <v>0</v>
      </c>
      <c r="V2415" s="2557" t="str">
        <f t="shared" ca="1" si="324"/>
        <v/>
      </c>
      <c r="W2415" s="611" t="str">
        <f t="shared" ca="1" si="323"/>
        <v>Page7, Ligne 45 [Page7!F48]  -</v>
      </c>
    </row>
    <row r="2416" spans="1:23">
      <c r="A2416" s="1443" t="str">
        <f>celladdr(Page7!F49)</f>
        <v>Page7!F49</v>
      </c>
      <c r="B2416" s="1464" t="s">
        <v>1086</v>
      </c>
      <c r="D2416" s="1454" t="b">
        <f>OR(Page7!$F$49&lt;INDEX(Min_Table,L2416),Page7!$F$49&gt;INDEX(Max_Table,L2416))</f>
        <v>0</v>
      </c>
      <c r="E2416" s="1454"/>
      <c r="F2416" s="1454"/>
      <c r="G2416" s="1444" t="str">
        <f t="shared" si="318"/>
        <v/>
      </c>
      <c r="H2416" s="1446"/>
      <c r="I2416" s="1446" t="str">
        <f>IF(D2416=TRUE,Comments!$B$17&amp;INDEX(Min_Table,L2416)&amp;Comments!$B$18&amp;INDEX(Max_Table,L2416),"")</f>
        <v/>
      </c>
      <c r="J2416" s="1446"/>
      <c r="K2416" s="1452"/>
      <c r="L2416" s="611">
        <f>ROW(OR_VEH!$A$671)</f>
        <v>671</v>
      </c>
      <c r="N2416" s="611" t="s">
        <v>1662</v>
      </c>
      <c r="O2416" s="611" t="str">
        <f t="shared" si="325"/>
        <v/>
      </c>
      <c r="P2416" s="611" t="str">
        <f t="shared" si="319"/>
        <v>Page7!F</v>
      </c>
      <c r="Q2416" s="611">
        <f t="shared" si="320"/>
        <v>49</v>
      </c>
      <c r="R2416" s="1447">
        <f t="shared" ca="1" si="321"/>
        <v>0</v>
      </c>
      <c r="S2416" s="1447">
        <f t="shared" ca="1" si="322"/>
        <v>0</v>
      </c>
      <c r="V2416" s="2557" t="str">
        <f t="shared" ca="1" si="324"/>
        <v/>
      </c>
      <c r="W2416" s="611" t="str">
        <f t="shared" ca="1" si="323"/>
        <v>Page7, Ligne 46 [Page7!F49]  -</v>
      </c>
    </row>
    <row r="2417" spans="1:23">
      <c r="A2417" s="1443" t="str">
        <f>celladdr(Page7!F50)</f>
        <v>Page7!F50</v>
      </c>
      <c r="B2417" s="1464" t="s">
        <v>1086</v>
      </c>
      <c r="D2417" s="1454" t="b">
        <f>OR(Page7!$F$50&lt;INDEX(Min_Table,L2417),Page7!$F$50&gt;INDEX(Max_Table,L2417))</f>
        <v>0</v>
      </c>
      <c r="E2417" s="1454"/>
      <c r="F2417" s="1454"/>
      <c r="G2417" s="1444" t="str">
        <f t="shared" si="318"/>
        <v/>
      </c>
      <c r="H2417" s="1446"/>
      <c r="I2417" s="1446" t="str">
        <f>IF(D2417=TRUE,Comments!$B$17&amp;INDEX(Min_Table,L2417)&amp;Comments!$B$18&amp;INDEX(Max_Table,L2417),"")</f>
        <v/>
      </c>
      <c r="J2417" s="1446"/>
      <c r="K2417" s="1452"/>
      <c r="L2417" s="611">
        <f>ROW(OR_VEH!$A$671)</f>
        <v>671</v>
      </c>
      <c r="N2417" s="4" t="s">
        <v>1663</v>
      </c>
      <c r="O2417" s="611" t="str">
        <f t="shared" si="325"/>
        <v/>
      </c>
      <c r="P2417" s="611" t="str">
        <f t="shared" si="319"/>
        <v>Page7!F</v>
      </c>
      <c r="Q2417" s="611">
        <f t="shared" si="320"/>
        <v>50</v>
      </c>
      <c r="R2417" s="1447">
        <f t="shared" ca="1" si="321"/>
        <v>0</v>
      </c>
      <c r="S2417" s="1447">
        <f t="shared" ca="1" si="322"/>
        <v>0</v>
      </c>
      <c r="V2417" s="2557" t="str">
        <f t="shared" ca="1" si="324"/>
        <v/>
      </c>
      <c r="W2417" s="611" t="str">
        <f t="shared" ca="1" si="323"/>
        <v>Page7, Ligne 47 [Page7!F50]  -</v>
      </c>
    </row>
    <row r="2418" spans="1:23">
      <c r="A2418" s="1443" t="str">
        <f>celladdr(Page7!F52)</f>
        <v>Page7!F52</v>
      </c>
      <c r="B2418" s="1464" t="s">
        <v>1086</v>
      </c>
      <c r="D2418" s="1454" t="b">
        <f>OR(Page7!$F$52&lt;INDEX(Min_Table,L2418),Page7!$F$52&gt;INDEX(Max_Table,L2418))</f>
        <v>0</v>
      </c>
      <c r="G2418" s="1444" t="str">
        <f t="shared" si="318"/>
        <v/>
      </c>
      <c r="H2418" s="1446"/>
      <c r="I2418" s="1446" t="str">
        <f>IF(D2418=TRUE,Comments!$B$17&amp;INDEX(Min_Table,L2418)&amp;Comments!$B$18&amp;INDEX(Max_Table,L2418),"")</f>
        <v/>
      </c>
      <c r="L2418" s="611">
        <f>ROW(OR_VEH!$A$671)</f>
        <v>671</v>
      </c>
      <c r="N2418" s="611" t="s">
        <v>1664</v>
      </c>
      <c r="O2418" s="611" t="str">
        <f t="shared" si="325"/>
        <v/>
      </c>
      <c r="P2418" s="611" t="str">
        <f t="shared" si="319"/>
        <v>Page7!F</v>
      </c>
      <c r="Q2418" s="611">
        <f t="shared" si="320"/>
        <v>52</v>
      </c>
      <c r="R2418" s="1447">
        <f t="shared" ca="1" si="321"/>
        <v>0</v>
      </c>
      <c r="S2418" s="1447">
        <f t="shared" ca="1" si="322"/>
        <v>0</v>
      </c>
      <c r="V2418" s="2557" t="str">
        <f t="shared" ca="1" si="324"/>
        <v/>
      </c>
      <c r="W2418" s="611" t="str">
        <f t="shared" ca="1" si="323"/>
        <v>Page7, Ligne 49 [Page7!F52]  -</v>
      </c>
    </row>
    <row r="2419" spans="1:23">
      <c r="A2419" s="1443" t="str">
        <f>celladdr(Page7!F53)</f>
        <v>Page7!F53</v>
      </c>
      <c r="B2419" s="1464" t="s">
        <v>1086</v>
      </c>
      <c r="D2419" s="1454" t="b">
        <f>OR(Page7!$F$53&lt;INDEX(Min_Table,L2419),Page7!$F$53&gt;INDEX(Max_Table,L2419))</f>
        <v>0</v>
      </c>
      <c r="G2419" s="1444" t="str">
        <f t="shared" si="318"/>
        <v/>
      </c>
      <c r="H2419" s="1446"/>
      <c r="I2419" s="1446" t="str">
        <f>IF(D2419=TRUE,Comments!$B$17&amp;INDEX(Min_Table,L2419)&amp;Comments!$B$18&amp;INDEX(Max_Table,L2419),"")</f>
        <v/>
      </c>
      <c r="J2419" s="1446"/>
      <c r="L2419" s="611">
        <f>ROW(OR_VEH!$A$671)</f>
        <v>671</v>
      </c>
      <c r="N2419" s="611" t="s">
        <v>1665</v>
      </c>
      <c r="O2419" s="611" t="str">
        <f t="shared" si="325"/>
        <v/>
      </c>
      <c r="P2419" s="611" t="str">
        <f t="shared" si="319"/>
        <v>Page7!F</v>
      </c>
      <c r="Q2419" s="611">
        <f t="shared" si="320"/>
        <v>53</v>
      </c>
      <c r="R2419" s="1447">
        <f t="shared" ca="1" si="321"/>
        <v>0</v>
      </c>
      <c r="S2419" s="1447">
        <f t="shared" ca="1" si="322"/>
        <v>0</v>
      </c>
      <c r="V2419" s="2557" t="str">
        <f t="shared" ca="1" si="324"/>
        <v/>
      </c>
      <c r="W2419" s="611" t="str">
        <f t="shared" ca="1" si="323"/>
        <v>Page7, Ligne 50 [Page7!F53]  -</v>
      </c>
    </row>
    <row r="2420" spans="1:23">
      <c r="A2420" s="1443" t="str">
        <f>celladdr(Page7!F55)</f>
        <v>Page7!F55</v>
      </c>
      <c r="B2420" s="1464" t="s">
        <v>1086</v>
      </c>
      <c r="D2420" s="1454" t="b">
        <f>OR(Page7!$F$55&lt;INDEX(Min_Table,L2420),Page7!$F$55&gt;INDEX(Max_Table,L2420))</f>
        <v>0</v>
      </c>
      <c r="G2420" s="1444" t="str">
        <f t="shared" si="318"/>
        <v/>
      </c>
      <c r="I2420" s="1446" t="str">
        <f>IF(D2420=TRUE,Comments!$B$17&amp;INDEX(Min_Table,L2420)&amp;Comments!$B$18&amp;INDEX(Max_Table,L2420),"")</f>
        <v/>
      </c>
      <c r="L2420" s="611">
        <f>ROW(OR_VEH!$A$671)</f>
        <v>671</v>
      </c>
      <c r="N2420" s="611" t="s">
        <v>1666</v>
      </c>
      <c r="O2420" s="611" t="str">
        <f t="shared" si="325"/>
        <v/>
      </c>
      <c r="P2420" s="611" t="str">
        <f t="shared" si="319"/>
        <v>Page7!F</v>
      </c>
      <c r="Q2420" s="611">
        <f t="shared" si="320"/>
        <v>55</v>
      </c>
      <c r="R2420" s="1447">
        <f t="shared" ca="1" si="321"/>
        <v>0</v>
      </c>
      <c r="S2420" s="1447">
        <f t="shared" ca="1" si="322"/>
        <v>0</v>
      </c>
      <c r="V2420" s="2557" t="str">
        <f t="shared" ca="1" si="324"/>
        <v/>
      </c>
      <c r="W2420" s="611" t="str">
        <f t="shared" ca="1" si="323"/>
        <v>Page7, Ligne 52 [Page7!F55]  -</v>
      </c>
    </row>
    <row r="2421" spans="1:23">
      <c r="A2421" s="1443" t="str">
        <f>celladdr(Page7!F56)</f>
        <v>Page7!F56</v>
      </c>
      <c r="B2421" s="1464" t="s">
        <v>1086</v>
      </c>
      <c r="D2421" s="1454" t="b">
        <f>OR(Page7!$F$56&lt;INDEX(Min_Table,L2421),Page7!$F$56&gt;INDEX(Max_Table,L2421))</f>
        <v>0</v>
      </c>
      <c r="E2421" s="1454"/>
      <c r="F2421" s="1454"/>
      <c r="G2421" s="1444" t="str">
        <f t="shared" si="318"/>
        <v/>
      </c>
      <c r="I2421" s="1446" t="str">
        <f>IF(D2421=TRUE,Comments!$B$17&amp;INDEX(Min_Table,L2421)&amp;Comments!$B$18&amp;INDEX(Max_Table,L2421),"")</f>
        <v/>
      </c>
      <c r="J2421" s="1446"/>
      <c r="K2421" s="1452"/>
      <c r="L2421" s="611">
        <f>ROW(OR_VEH!$A$671)</f>
        <v>671</v>
      </c>
      <c r="N2421" s="611" t="s">
        <v>1667</v>
      </c>
      <c r="O2421" s="611" t="str">
        <f t="shared" si="325"/>
        <v/>
      </c>
      <c r="P2421" s="611" t="str">
        <f t="shared" si="319"/>
        <v>Page7!F</v>
      </c>
      <c r="Q2421" s="611">
        <f t="shared" si="320"/>
        <v>56</v>
      </c>
      <c r="R2421" s="1447">
        <f t="shared" ca="1" si="321"/>
        <v>0</v>
      </c>
      <c r="S2421" s="1447">
        <f t="shared" ca="1" si="322"/>
        <v>0</v>
      </c>
      <c r="V2421" s="2557" t="str">
        <f t="shared" ca="1" si="324"/>
        <v/>
      </c>
      <c r="W2421" s="611" t="str">
        <f t="shared" ca="1" si="323"/>
        <v>Page7, Ligne 53 [Page7!F56]  -</v>
      </c>
    </row>
    <row r="2422" spans="1:23">
      <c r="A2422" s="1443" t="str">
        <f>celladdr(Page7!H24)</f>
        <v>Page7!H24</v>
      </c>
      <c r="B2422" s="1455" t="s">
        <v>1086</v>
      </c>
      <c r="C2422" s="1445" t="b">
        <f>Page7!$H$24&lt;&gt;Page7!$H$23+Page7!$H$13</f>
        <v>0</v>
      </c>
      <c r="D2422" s="1454"/>
      <c r="F2422" s="1454"/>
      <c r="G2422" s="1444" t="str">
        <f t="shared" si="318"/>
        <v/>
      </c>
      <c r="H2422" s="1446" t="str">
        <f>IF(C2422=TRUE,Comments!$B$47&amp;DOLLAR(Page7!$H$24-(Page7!$H$23+Page7!$H$13),0),"")</f>
        <v/>
      </c>
      <c r="I2422" s="1452"/>
      <c r="J2422" s="1452"/>
      <c r="K2422" s="1452"/>
      <c r="N2422" s="611" t="s">
        <v>1668</v>
      </c>
      <c r="O2422" s="611" t="str">
        <f t="shared" si="325"/>
        <v/>
      </c>
      <c r="P2422" s="611" t="str">
        <f t="shared" si="319"/>
        <v>Page7!H</v>
      </c>
      <c r="Q2422" s="611">
        <f t="shared" si="320"/>
        <v>24</v>
      </c>
      <c r="R2422" s="1447">
        <f t="shared" ca="1" si="321"/>
        <v>0</v>
      </c>
      <c r="S2422" s="1447">
        <f t="shared" ca="1" si="322"/>
        <v>0</v>
      </c>
      <c r="V2422" s="2557" t="str">
        <f t="shared" ca="1" si="324"/>
        <v/>
      </c>
      <c r="W2422" s="611" t="str">
        <f t="shared" ca="1" si="323"/>
        <v>Page7, Ligne 21 [Page7!H24]  -</v>
      </c>
    </row>
    <row r="2423" spans="1:23">
      <c r="A2423" s="1443" t="str">
        <f>celladdr(Page7!H37)</f>
        <v>Page7!H37</v>
      </c>
      <c r="B2423" s="1464" t="s">
        <v>1086</v>
      </c>
      <c r="C2423" s="1445" t="b">
        <f>OR(AND(Page7!H37=0,Page7!I37&lt;&gt;0),AND(Page7!H37&gt;0,Page7!I37=0))</f>
        <v>0</v>
      </c>
      <c r="D2423" s="1445" t="b">
        <f>Page7!H37&lt;0</f>
        <v>0</v>
      </c>
      <c r="G2423" s="1444" t="str">
        <f t="shared" si="318"/>
        <v/>
      </c>
      <c r="H2423" s="1447" t="str">
        <f>IF(C2423=TRUE,Comments!$B$4,"")</f>
        <v/>
      </c>
      <c r="I2423" s="1447" t="str">
        <f>IF(D2423=TRUE,Comments!$B$26,"")</f>
        <v/>
      </c>
      <c r="N2423" s="611" t="s">
        <v>1636</v>
      </c>
      <c r="O2423" s="611" t="str">
        <f t="shared" si="325"/>
        <v/>
      </c>
      <c r="P2423" s="611" t="str">
        <f t="shared" si="319"/>
        <v>Page7!H</v>
      </c>
      <c r="Q2423" s="611">
        <f t="shared" si="320"/>
        <v>37</v>
      </c>
      <c r="R2423" s="1447">
        <f t="shared" ca="1" si="321"/>
        <v>0</v>
      </c>
      <c r="S2423" s="1447">
        <f t="shared" ca="1" si="322"/>
        <v>0</v>
      </c>
      <c r="V2423" s="2557" t="str">
        <f t="shared" ca="1" si="324"/>
        <v/>
      </c>
      <c r="W2423" s="611" t="str">
        <f t="shared" ca="1" si="323"/>
        <v>Page7, Ligne 34 [Page7!H37]  -</v>
      </c>
    </row>
    <row r="2424" spans="1:23">
      <c r="A2424" s="1443" t="str">
        <f>celladdr(Page7!H38)</f>
        <v>Page7!H38</v>
      </c>
      <c r="B2424" s="1464" t="s">
        <v>1086</v>
      </c>
      <c r="C2424" s="1445" t="b">
        <f>OR(AND(Page7!H38=0,Page7!I38&lt;&gt;0),AND(Page7!H38&gt;0,Page7!I38=0))</f>
        <v>0</v>
      </c>
      <c r="D2424" s="1445" t="b">
        <f>Page7!H38&lt;0</f>
        <v>0</v>
      </c>
      <c r="G2424" s="1444" t="str">
        <f t="shared" si="318"/>
        <v/>
      </c>
      <c r="H2424" s="1447" t="str">
        <f>IF(C2424=TRUE,Comments!$B$4,"")</f>
        <v/>
      </c>
      <c r="I2424" s="1447" t="str">
        <f>IF(D2424=TRUE,Comments!$B$26,"")</f>
        <v/>
      </c>
      <c r="J2424" s="1446"/>
      <c r="N2424" s="611" t="s">
        <v>1637</v>
      </c>
      <c r="O2424" s="611" t="str">
        <f t="shared" si="325"/>
        <v/>
      </c>
      <c r="P2424" s="611" t="str">
        <f t="shared" si="319"/>
        <v>Page7!H</v>
      </c>
      <c r="Q2424" s="611">
        <f t="shared" si="320"/>
        <v>38</v>
      </c>
      <c r="R2424" s="1447">
        <f t="shared" ca="1" si="321"/>
        <v>0</v>
      </c>
      <c r="S2424" s="1447">
        <f t="shared" ca="1" si="322"/>
        <v>0</v>
      </c>
      <c r="V2424" s="2557" t="str">
        <f t="shared" ca="1" si="324"/>
        <v/>
      </c>
      <c r="W2424" s="611" t="str">
        <f t="shared" ca="1" si="323"/>
        <v>Page7, Ligne 35 [Page7!H38]  -</v>
      </c>
    </row>
    <row r="2425" spans="1:23">
      <c r="A2425" s="1443" t="str">
        <f>celladdr(Page7!H47)</f>
        <v>Page7!H47</v>
      </c>
      <c r="B2425" s="1464" t="s">
        <v>1086</v>
      </c>
      <c r="D2425" s="1454" t="b">
        <f>OR(Page7!$H$47&lt;INDEX(Min_Table,L2425),Page7!$H$47&gt;INDEX(Max_Table,L2425))</f>
        <v>0</v>
      </c>
      <c r="E2425" s="1454"/>
      <c r="F2425" s="1454"/>
      <c r="G2425" s="1444" t="str">
        <f t="shared" si="318"/>
        <v/>
      </c>
      <c r="H2425" s="1446"/>
      <c r="I2425" s="1446" t="str">
        <f>IF(D2425=TRUE,Comments!$B$17&amp;INDEX(Min_Table,L2425)&amp;Comments!$B$18&amp;INDEX(Max_Table,L2425),"")</f>
        <v/>
      </c>
      <c r="J2425" s="1446"/>
      <c r="K2425" s="1452"/>
      <c r="L2425" s="611">
        <f>ROW(OR_VEH!$A$671)</f>
        <v>671</v>
      </c>
      <c r="N2425" s="611" t="s">
        <v>1669</v>
      </c>
      <c r="O2425" s="611" t="str">
        <f t="shared" si="325"/>
        <v/>
      </c>
      <c r="P2425" s="611" t="str">
        <f t="shared" si="319"/>
        <v>Page7!H</v>
      </c>
      <c r="Q2425" s="611">
        <f t="shared" si="320"/>
        <v>47</v>
      </c>
      <c r="R2425" s="1447">
        <f t="shared" ca="1" si="321"/>
        <v>0</v>
      </c>
      <c r="S2425" s="1447">
        <f t="shared" ca="1" si="322"/>
        <v>0</v>
      </c>
      <c r="V2425" s="2557" t="str">
        <f t="shared" ca="1" si="324"/>
        <v/>
      </c>
      <c r="W2425" s="611" t="str">
        <f t="shared" ca="1" si="323"/>
        <v>Page7, Ligne 44 [Page7!H47]  -</v>
      </c>
    </row>
    <row r="2426" spans="1:23">
      <c r="A2426" s="1443" t="str">
        <f>celladdr(Page7!H48)</f>
        <v>Page7!H48</v>
      </c>
      <c r="B2426" s="1464" t="s">
        <v>1086</v>
      </c>
      <c r="D2426" s="1454" t="b">
        <f>OR(Page7!$H$48&lt;INDEX(Min_Table,L2426),Page7!$H$48&gt;INDEX(Max_Table,L2426))</f>
        <v>0</v>
      </c>
      <c r="E2426" s="1454"/>
      <c r="F2426" s="1454"/>
      <c r="G2426" s="1444" t="str">
        <f t="shared" si="318"/>
        <v/>
      </c>
      <c r="H2426" s="1446"/>
      <c r="I2426" s="1446" t="str">
        <f>IF(D2426=TRUE,Comments!$B$17&amp;INDEX(Min_Table,L2426)&amp;Comments!$B$18&amp;INDEX(Max_Table,L2426),"")</f>
        <v/>
      </c>
      <c r="J2426" s="1446"/>
      <c r="K2426" s="1452"/>
      <c r="L2426" s="611">
        <f>ROW(OR_VEH!$A$671)</f>
        <v>671</v>
      </c>
      <c r="N2426" s="611" t="s">
        <v>1670</v>
      </c>
      <c r="O2426" s="611" t="str">
        <f t="shared" si="325"/>
        <v/>
      </c>
      <c r="P2426" s="611" t="str">
        <f t="shared" si="319"/>
        <v>Page7!H</v>
      </c>
      <c r="Q2426" s="611">
        <f t="shared" si="320"/>
        <v>48</v>
      </c>
      <c r="R2426" s="1447">
        <f t="shared" ca="1" si="321"/>
        <v>0</v>
      </c>
      <c r="S2426" s="1447">
        <f t="shared" ca="1" si="322"/>
        <v>0</v>
      </c>
      <c r="V2426" s="2557" t="str">
        <f t="shared" ca="1" si="324"/>
        <v/>
      </c>
      <c r="W2426" s="611" t="str">
        <f t="shared" ca="1" si="323"/>
        <v>Page7, Ligne 45 [Page7!H48]  -</v>
      </c>
    </row>
    <row r="2427" spans="1:23">
      <c r="A2427" s="1443" t="str">
        <f>celladdr(Page7!H49)</f>
        <v>Page7!H49</v>
      </c>
      <c r="B2427" s="1464" t="s">
        <v>1086</v>
      </c>
      <c r="D2427" s="1454" t="b">
        <f>OR(Page7!$H$49&lt;INDEX(Min_Table,L2427),Page7!$H$49&gt;INDEX(Max_Table,L2427))</f>
        <v>0</v>
      </c>
      <c r="E2427" s="1454"/>
      <c r="F2427" s="1454"/>
      <c r="G2427" s="1444" t="str">
        <f t="shared" si="318"/>
        <v/>
      </c>
      <c r="H2427" s="1446"/>
      <c r="I2427" s="1446" t="str">
        <f>IF(D2427=TRUE,Comments!$B$17&amp;INDEX(Min_Table,L2427)&amp;Comments!$B$18&amp;INDEX(Max_Table,L2427),"")</f>
        <v/>
      </c>
      <c r="J2427" s="1446"/>
      <c r="K2427" s="1452"/>
      <c r="L2427" s="611">
        <f>ROW(OR_VEH!$A$671)</f>
        <v>671</v>
      </c>
      <c r="N2427" s="611" t="s">
        <v>1671</v>
      </c>
      <c r="O2427" s="611" t="str">
        <f t="shared" si="325"/>
        <v/>
      </c>
      <c r="P2427" s="611" t="str">
        <f t="shared" si="319"/>
        <v>Page7!H</v>
      </c>
      <c r="Q2427" s="611">
        <f t="shared" si="320"/>
        <v>49</v>
      </c>
      <c r="R2427" s="1447">
        <f t="shared" ca="1" si="321"/>
        <v>0</v>
      </c>
      <c r="S2427" s="1447">
        <f t="shared" ca="1" si="322"/>
        <v>0</v>
      </c>
      <c r="V2427" s="2557" t="str">
        <f t="shared" ca="1" si="324"/>
        <v/>
      </c>
      <c r="W2427" s="611" t="str">
        <f t="shared" ca="1" si="323"/>
        <v>Page7, Ligne 46 [Page7!H49]  -</v>
      </c>
    </row>
    <row r="2428" spans="1:23">
      <c r="A2428" s="1443" t="str">
        <f>celladdr(Page7!H50)</f>
        <v>Page7!H50</v>
      </c>
      <c r="B2428" s="1464" t="s">
        <v>1086</v>
      </c>
      <c r="D2428" s="1454" t="b">
        <f>OR(Page7!$H$50&lt;INDEX(Min_Table,L2428),Page7!$H$50&gt;INDEX(Max_Table,L2428))</f>
        <v>0</v>
      </c>
      <c r="E2428" s="1454"/>
      <c r="F2428" s="1454"/>
      <c r="G2428" s="1444" t="str">
        <f t="shared" si="318"/>
        <v/>
      </c>
      <c r="H2428" s="1446"/>
      <c r="I2428" s="1446" t="str">
        <f>IF(D2428=TRUE,Comments!$B$17&amp;INDEX(Min_Table,L2428)&amp;Comments!$B$18&amp;INDEX(Max_Table,L2428),"")</f>
        <v/>
      </c>
      <c r="J2428" s="1446"/>
      <c r="K2428" s="1452"/>
      <c r="L2428" s="611">
        <f>ROW(OR_VEH!$A$671)</f>
        <v>671</v>
      </c>
      <c r="N2428" s="4" t="s">
        <v>1672</v>
      </c>
      <c r="O2428" s="611" t="str">
        <f t="shared" si="325"/>
        <v/>
      </c>
      <c r="P2428" s="611" t="str">
        <f t="shared" si="319"/>
        <v>Page7!H</v>
      </c>
      <c r="Q2428" s="611">
        <f t="shared" si="320"/>
        <v>50</v>
      </c>
      <c r="R2428" s="1447">
        <f t="shared" ca="1" si="321"/>
        <v>0</v>
      </c>
      <c r="S2428" s="1447">
        <f t="shared" ca="1" si="322"/>
        <v>0</v>
      </c>
      <c r="V2428" s="2557" t="str">
        <f t="shared" ca="1" si="324"/>
        <v/>
      </c>
      <c r="W2428" s="611" t="str">
        <f t="shared" ca="1" si="323"/>
        <v>Page7, Ligne 47 [Page7!H50]  -</v>
      </c>
    </row>
    <row r="2429" spans="1:23">
      <c r="A2429" s="1443" t="str">
        <f>celladdr(Page7!H52)</f>
        <v>Page7!H52</v>
      </c>
      <c r="B2429" s="1464" t="s">
        <v>1086</v>
      </c>
      <c r="D2429" s="1454" t="b">
        <f>OR(Page7!$H$52&lt;INDEX(Min_Table,L2429),Page7!$H$52&gt;INDEX(Max_Table,L2429))</f>
        <v>0</v>
      </c>
      <c r="G2429" s="1444" t="str">
        <f t="shared" si="318"/>
        <v/>
      </c>
      <c r="H2429" s="1446"/>
      <c r="I2429" s="1446" t="str">
        <f>IF(D2429=TRUE,Comments!$B$17&amp;INDEX(Min_Table,L2429)&amp;Comments!$B$18&amp;INDEX(Max_Table,L2429),"")</f>
        <v/>
      </c>
      <c r="L2429" s="611">
        <f>ROW(OR_VEH!$A$671)</f>
        <v>671</v>
      </c>
      <c r="N2429" s="611" t="s">
        <v>1673</v>
      </c>
      <c r="O2429" s="611" t="str">
        <f t="shared" si="325"/>
        <v/>
      </c>
      <c r="P2429" s="611" t="str">
        <f t="shared" si="319"/>
        <v>Page7!H</v>
      </c>
      <c r="Q2429" s="611">
        <f t="shared" si="320"/>
        <v>52</v>
      </c>
      <c r="R2429" s="1447">
        <f t="shared" ca="1" si="321"/>
        <v>0</v>
      </c>
      <c r="S2429" s="1447">
        <f t="shared" ca="1" si="322"/>
        <v>0</v>
      </c>
      <c r="V2429" s="2557" t="str">
        <f t="shared" ca="1" si="324"/>
        <v/>
      </c>
      <c r="W2429" s="611" t="str">
        <f t="shared" ca="1" si="323"/>
        <v>Page7, Ligne 49 [Page7!H52]  -</v>
      </c>
    </row>
    <row r="2430" spans="1:23">
      <c r="A2430" s="1443" t="str">
        <f>celladdr(Page7!H53)</f>
        <v>Page7!H53</v>
      </c>
      <c r="B2430" s="1464" t="s">
        <v>1086</v>
      </c>
      <c r="D2430" s="1454" t="b">
        <f>OR(Page7!$H$53&lt;INDEX(Min_Table,L2430),Page7!$H$53&gt;INDEX(Max_Table,L2430))</f>
        <v>0</v>
      </c>
      <c r="G2430" s="1444" t="str">
        <f t="shared" si="318"/>
        <v/>
      </c>
      <c r="H2430" s="1446"/>
      <c r="I2430" s="1446" t="str">
        <f>IF(D2430=TRUE,Comments!$B$17&amp;INDEX(Min_Table,L2430)&amp;Comments!$B$18&amp;INDEX(Max_Table,L2430),"")</f>
        <v/>
      </c>
      <c r="J2430" s="1446"/>
      <c r="L2430" s="611">
        <f>ROW(OR_VEH!$A$671)</f>
        <v>671</v>
      </c>
      <c r="N2430" s="611" t="s">
        <v>1674</v>
      </c>
      <c r="O2430" s="611" t="str">
        <f t="shared" si="325"/>
        <v/>
      </c>
      <c r="P2430" s="611" t="str">
        <f t="shared" si="319"/>
        <v>Page7!H</v>
      </c>
      <c r="Q2430" s="611">
        <f t="shared" si="320"/>
        <v>53</v>
      </c>
      <c r="R2430" s="1447">
        <f t="shared" ca="1" si="321"/>
        <v>0</v>
      </c>
      <c r="S2430" s="1447">
        <f t="shared" ca="1" si="322"/>
        <v>0</v>
      </c>
      <c r="V2430" s="2557" t="str">
        <f t="shared" ca="1" si="324"/>
        <v/>
      </c>
      <c r="W2430" s="611" t="str">
        <f t="shared" ca="1" si="323"/>
        <v>Page7, Ligne 50 [Page7!H53]  -</v>
      </c>
    </row>
    <row r="2431" spans="1:23">
      <c r="A2431" s="1443" t="str">
        <f>celladdr(Page7!H55)</f>
        <v>Page7!H55</v>
      </c>
      <c r="B2431" s="1464" t="s">
        <v>1086</v>
      </c>
      <c r="D2431" s="1454" t="b">
        <f>OR(Page7!$H$55&lt;INDEX(Min_Table,L2431),Page7!$H$55&gt;INDEX(Max_Table,L2431))</f>
        <v>0</v>
      </c>
      <c r="G2431" s="1444" t="str">
        <f t="shared" si="318"/>
        <v/>
      </c>
      <c r="I2431" s="1446" t="str">
        <f>IF(D2431=TRUE,Comments!$B$17&amp;INDEX(Min_Table,L2431)&amp;Comments!$B$18&amp;INDEX(Max_Table,L2431),"")</f>
        <v/>
      </c>
      <c r="L2431" s="611">
        <f>ROW(OR_VEH!$A$671)</f>
        <v>671</v>
      </c>
      <c r="N2431" s="611" t="s">
        <v>1675</v>
      </c>
      <c r="O2431" s="611" t="str">
        <f t="shared" si="325"/>
        <v/>
      </c>
      <c r="P2431" s="611" t="str">
        <f t="shared" si="319"/>
        <v>Page7!H</v>
      </c>
      <c r="Q2431" s="611">
        <f t="shared" si="320"/>
        <v>55</v>
      </c>
      <c r="R2431" s="1447">
        <f t="shared" ca="1" si="321"/>
        <v>0</v>
      </c>
      <c r="S2431" s="1447">
        <f t="shared" ca="1" si="322"/>
        <v>0</v>
      </c>
      <c r="V2431" s="2557" t="str">
        <f t="shared" ca="1" si="324"/>
        <v/>
      </c>
      <c r="W2431" s="611" t="str">
        <f t="shared" ca="1" si="323"/>
        <v>Page7, Ligne 52 [Page7!H55]  -</v>
      </c>
    </row>
    <row r="2432" spans="1:23">
      <c r="A2432" s="1443" t="str">
        <f>celladdr(Page7!H56)</f>
        <v>Page7!H56</v>
      </c>
      <c r="B2432" s="1464" t="s">
        <v>1086</v>
      </c>
      <c r="D2432" s="1454" t="b">
        <f>OR(Page7!$H$56&lt;INDEX(Min_Table,L2432),Page7!$H$56&gt;INDEX(Max_Table,L2432))</f>
        <v>0</v>
      </c>
      <c r="E2432" s="1454"/>
      <c r="F2432" s="1454"/>
      <c r="G2432" s="1444" t="str">
        <f t="shared" si="318"/>
        <v/>
      </c>
      <c r="I2432" s="1446" t="str">
        <f>IF(D2432=TRUE,Comments!$B$17&amp;INDEX(Min_Table,L2432)&amp;Comments!$B$18&amp;INDEX(Max_Table,L2432),"")</f>
        <v/>
      </c>
      <c r="J2432" s="1446"/>
      <c r="K2432" s="1452"/>
      <c r="L2432" s="611">
        <f>ROW(OR_VEH!$A$671)</f>
        <v>671</v>
      </c>
      <c r="N2432" s="611" t="s">
        <v>1676</v>
      </c>
      <c r="O2432" s="611" t="str">
        <f t="shared" si="325"/>
        <v/>
      </c>
      <c r="P2432" s="611" t="str">
        <f t="shared" si="319"/>
        <v>Page7!H</v>
      </c>
      <c r="Q2432" s="611">
        <f t="shared" si="320"/>
        <v>56</v>
      </c>
      <c r="R2432" s="1447">
        <f t="shared" ca="1" si="321"/>
        <v>0</v>
      </c>
      <c r="S2432" s="1447">
        <f t="shared" ca="1" si="322"/>
        <v>0</v>
      </c>
      <c r="V2432" s="2557" t="str">
        <f t="shared" ca="1" si="324"/>
        <v/>
      </c>
      <c r="W2432" s="611" t="str">
        <f t="shared" ca="1" si="323"/>
        <v>Page7, Ligne 53 [Page7!H56]  -</v>
      </c>
    </row>
    <row r="2433" spans="1:23">
      <c r="A2433" s="1443" t="str">
        <f>celladdr(Page7!I37)</f>
        <v>Page7!I37</v>
      </c>
      <c r="B2433" s="1464" t="s">
        <v>1086</v>
      </c>
      <c r="C2433" s="1445" t="b">
        <f>OR(AND(Page7!H37=0,Page7!I37&lt;&gt;0),AND(Page7!H37&gt;0,Page7!I37=0))</f>
        <v>0</v>
      </c>
      <c r="D2433" s="1445" t="b">
        <f>Page7!I37&lt;0</f>
        <v>0</v>
      </c>
      <c r="E2433" s="1451" t="b">
        <f>IF(Page7!$H$37=0,FALSE,OR(Page7!$I$37/Page7!$H$37&lt;INDEX(Min_Table,L2433),Page7!$I$37/Page7!$H$37&gt;INDEX(Max_Table,L2433)))</f>
        <v>0</v>
      </c>
      <c r="G2433" s="1444" t="str">
        <f t="shared" si="318"/>
        <v/>
      </c>
      <c r="H2433" s="1447" t="str">
        <f>IF(C2433=TRUE,Comments!$B$4,"")</f>
        <v/>
      </c>
      <c r="I2433" s="1447" t="str">
        <f>IF(D2433=TRUE,Comments!$B$28,"")</f>
        <v/>
      </c>
      <c r="J2433" s="1447" t="str">
        <f>IF(E2433=TRUE,Comments!$B$35&amp;DOLLAR(INDEX(Min_Table,L2433),0)&amp;Comments!$B$18&amp;DOLLAR(INDEX(Max_Table,L2433),0)&amp;Comments!$B$19&amp;DOLLAR(Page7!$I$37/Page7!$H$37,0),"")</f>
        <v/>
      </c>
      <c r="L2433" s="611">
        <f>ROW(OR_VEH!$A$643)</f>
        <v>643</v>
      </c>
      <c r="N2433" s="611" t="s">
        <v>1654</v>
      </c>
      <c r="O2433" s="611" t="str">
        <f t="shared" si="325"/>
        <v/>
      </c>
      <c r="P2433" s="611" t="str">
        <f t="shared" si="319"/>
        <v>Page7!I</v>
      </c>
      <c r="Q2433" s="611">
        <f t="shared" si="320"/>
        <v>37</v>
      </c>
      <c r="R2433" s="1447">
        <f t="shared" ca="1" si="321"/>
        <v>0</v>
      </c>
      <c r="S2433" s="1447">
        <f t="shared" ca="1" si="322"/>
        <v>0</v>
      </c>
      <c r="T2433" s="611">
        <v>35</v>
      </c>
      <c r="V2433" s="2557" t="str">
        <f t="shared" ca="1" si="324"/>
        <v/>
      </c>
      <c r="W2433" s="611" t="str">
        <f t="shared" ca="1" si="323"/>
        <v>Page7, Ligne 34 [Page7!I37]  -</v>
      </c>
    </row>
    <row r="2434" spans="1:23">
      <c r="A2434" s="1443" t="str">
        <f>celladdr(Page7!I38)</f>
        <v>Page7!I38</v>
      </c>
      <c r="B2434" s="1464" t="s">
        <v>1086</v>
      </c>
      <c r="C2434" s="1445" t="b">
        <f>OR(AND(Page7!H38=0,Page7!I38&lt;&gt;0),AND(Page7!H38&gt;0,Page7!I38=0))</f>
        <v>0</v>
      </c>
      <c r="D2434" s="1445" t="b">
        <f>Page7!I38&lt;0</f>
        <v>0</v>
      </c>
      <c r="E2434" s="1451" t="b">
        <f>IF(Page7!$H$38=0,FALSE,OR(Page7!$I$38/Page7!$H$38&lt;INDEX(Min_Table,L2434),Page7!$I$38/Page7!$H$38&gt;INDEX(Max_Table,L2434)))</f>
        <v>0</v>
      </c>
      <c r="G2434" s="1444" t="str">
        <f t="shared" ref="G2434:G2497" si="326">IF(H2434&amp;I2434&amp;J2434&amp;K2434&lt;&gt;"","No.de ref. du commentaire.: "&amp;W2434&amp;" "&amp;N2434&amp;" "&amp;H2434&amp;I2434&amp;IF(OR(C2434=TRUE,D2434=TRUE),"",J2434&amp;K2434&amp;V2434),"")</f>
        <v/>
      </c>
      <c r="H2434" s="1447" t="str">
        <f>IF(C2434=TRUE,Comments!$B$4,"")</f>
        <v/>
      </c>
      <c r="I2434" s="1447" t="str">
        <f>IF(D2434=TRUE,Comments!$B$28,"")</f>
        <v/>
      </c>
      <c r="J2434" s="1447" t="str">
        <f>IF(E2434=TRUE,Comments!$B$35&amp;DOLLAR(INDEX(Min_Table,L2434),0)&amp;Comments!$B$18&amp;DOLLAR(INDEX(Max_Table,L2434),0)&amp;Comments!$B$19&amp;DOLLAR(Page7!$I$38/Page7!$H$38,0),"")</f>
        <v/>
      </c>
      <c r="L2434" s="611">
        <f>ROW(OR_VEH!$A$645)</f>
        <v>645</v>
      </c>
      <c r="N2434" s="611" t="s">
        <v>1655</v>
      </c>
      <c r="O2434" s="611" t="str">
        <f t="shared" si="325"/>
        <v/>
      </c>
      <c r="P2434" s="611" t="str">
        <f t="shared" ref="P2434:P2497" si="327">LEFT(A2434,FIND("!",A2434)+1)</f>
        <v>Page7!I</v>
      </c>
      <c r="Q2434" s="611">
        <f t="shared" ref="Q2434:Q2497" si="328">VALUE(RIGHT(A2434,LEN(A2434)-FIND("!",A2434)-1))</f>
        <v>38</v>
      </c>
      <c r="R2434" s="1447">
        <f t="shared" ref="R2434:R2497" ca="1" si="329">IF(E2434=TRUE,INDIRECT("Comments!$D$"&amp;T2434),0)</f>
        <v>0</v>
      </c>
      <c r="S2434" s="1447">
        <f t="shared" ref="S2434:S2497" ca="1" si="330">IF(F2434=TRUE,INDIRECT("Comments!$D$"&amp;U2434),0)</f>
        <v>0</v>
      </c>
      <c r="T2434" s="611">
        <v>35</v>
      </c>
      <c r="V2434" s="2557" t="str">
        <f t="shared" ca="1" si="324"/>
        <v/>
      </c>
      <c r="W2434" s="611" t="str">
        <f t="shared" ref="W2434:W2497" ca="1" si="331">LEFT(A2434,FIND("!",A2434,1)-1)&amp;", Ligne "&amp;INDIRECT(ADDRESS(ROW(INDIRECT(A2434)),IF(INDIRECT(ADDRESS(ROW(INDIRECT(A2434)),1,,,LEFT(A2434,FIND("!",A2434,1)-1)))="",2,1),,,LEFT(A2434,FIND("!",A2434,1)-1)))&amp;" ["&amp;A2434&amp;"] "&amp;" -"</f>
        <v>Page7, Ligne 35 [Page7!I38]  -</v>
      </c>
    </row>
    <row r="2435" spans="1:23">
      <c r="A2435" s="1443" t="str">
        <f>celladdr(Page7!I48)</f>
        <v>Page7!I48</v>
      </c>
      <c r="B2435" s="1464" t="s">
        <v>1086</v>
      </c>
      <c r="C2435" s="1445" t="b">
        <f>OR(AND(Page7!$G$12+Page7!$G$22=0,Page7!$I$48+Page7!$I$52+Page7!$I$53&gt;0),AND(Page7!$G$12+Page7!$G$22&lt;0,Page7!$I$48+Page7!$I$52+Page7!$I$53=0))</f>
        <v>0</v>
      </c>
      <c r="D2435" s="1454" t="b">
        <f>OR(Page7!$I$48&lt;INDEX(Min_Table,L2435),Page7!$I$48&gt;INDEX(Max_Table,L2435))</f>
        <v>0</v>
      </c>
      <c r="E2435" s="1454"/>
      <c r="F2435" s="1454"/>
      <c r="G2435" s="1444" t="str">
        <f t="shared" si="326"/>
        <v/>
      </c>
      <c r="H2435" s="1446" t="str">
        <f>IF(C2435=TRUE,Comments!$B$70,"")</f>
        <v/>
      </c>
      <c r="I2435" s="1446" t="str">
        <f>IF(D2435=TRUE,Comments!$B$17&amp;INDEX(Min_Table,L2435)&amp;Comments!$B$18&amp;INDEX(Max_Table,L2435),"")</f>
        <v/>
      </c>
      <c r="J2435" s="1446"/>
      <c r="K2435" s="1452"/>
      <c r="L2435" s="611">
        <f>ROW(OR_VEH!$A$671)</f>
        <v>671</v>
      </c>
      <c r="N2435" s="611" t="s">
        <v>1677</v>
      </c>
      <c r="O2435" s="611" t="str">
        <f t="shared" si="325"/>
        <v/>
      </c>
      <c r="P2435" s="611" t="str">
        <f t="shared" si="327"/>
        <v>Page7!I</v>
      </c>
      <c r="Q2435" s="611">
        <f t="shared" si="328"/>
        <v>48</v>
      </c>
      <c r="R2435" s="1447">
        <f t="shared" ca="1" si="329"/>
        <v>0</v>
      </c>
      <c r="S2435" s="1447">
        <f t="shared" ca="1" si="330"/>
        <v>0</v>
      </c>
      <c r="V2435" s="2557" t="str">
        <f t="shared" ca="1" si="324"/>
        <v/>
      </c>
      <c r="W2435" s="611" t="str">
        <f t="shared" ca="1" si="331"/>
        <v>Page7, Ligne 45 [Page7!I48]  -</v>
      </c>
    </row>
    <row r="2436" spans="1:23">
      <c r="A2436" s="1443" t="str">
        <f>celladdr(Page7!I52)</f>
        <v>Page7!I52</v>
      </c>
      <c r="B2436" s="1464" t="s">
        <v>1086</v>
      </c>
      <c r="C2436" s="1445" t="b">
        <f>OR(AND(Page7!$G$12+Page7!$G$22=0,Page7!$I$48+Page7!$I$52+Page7!$I$53&gt;0),AND(Page7!$G$12+Page7!$G$22&lt;0,Page7!$I$48+Page7!$I$52+Page7!$I$53=0))</f>
        <v>0</v>
      </c>
      <c r="D2436" s="1454" t="b">
        <f>OR(Page7!$I$52&lt;INDEX(Min_Table,L2436),Page7!$I$52&gt;INDEX(Max_Table,L2436))</f>
        <v>0</v>
      </c>
      <c r="G2436" s="1444" t="str">
        <f t="shared" si="326"/>
        <v/>
      </c>
      <c r="H2436" s="1446" t="str">
        <f>IF(C2436=TRUE,Comments!$B$70,"")</f>
        <v/>
      </c>
      <c r="I2436" s="1446" t="str">
        <f>IF(D2436=TRUE,Comments!$B$17&amp;INDEX(Min_Table,L2436)&amp;Comments!$B$18&amp;INDEX(Max_Table,L2436),"")</f>
        <v/>
      </c>
      <c r="L2436" s="611">
        <f>ROW(OR_VEH!$A$671)</f>
        <v>671</v>
      </c>
      <c r="N2436" s="611" t="s">
        <v>1678</v>
      </c>
      <c r="O2436" s="611" t="str">
        <f t="shared" si="325"/>
        <v/>
      </c>
      <c r="P2436" s="611" t="str">
        <f t="shared" si="327"/>
        <v>Page7!I</v>
      </c>
      <c r="Q2436" s="611">
        <f t="shared" si="328"/>
        <v>52</v>
      </c>
      <c r="R2436" s="1447">
        <f t="shared" ca="1" si="329"/>
        <v>0</v>
      </c>
      <c r="S2436" s="1447">
        <f t="shared" ca="1" si="330"/>
        <v>0</v>
      </c>
      <c r="V2436" s="2557" t="str">
        <f t="shared" ca="1" si="324"/>
        <v/>
      </c>
      <c r="W2436" s="611" t="str">
        <f t="shared" ca="1" si="331"/>
        <v>Page7, Ligne 49 [Page7!I52]  -</v>
      </c>
    </row>
    <row r="2437" spans="1:23">
      <c r="A2437" s="1443" t="str">
        <f>celladdr(Page7!I53)</f>
        <v>Page7!I53</v>
      </c>
      <c r="B2437" s="1464" t="s">
        <v>1086</v>
      </c>
      <c r="C2437" s="1445" t="b">
        <f>OR(AND(Page7!$G$12+Page7!$G$22=0,Page7!$I$48+Page7!$I$52+Page7!$I$53&gt;0),AND(Page7!$G$12+Page7!$G$22&lt;0,Page7!$I$48+Page7!$I$52+Page7!$I$53=0))</f>
        <v>0</v>
      </c>
      <c r="D2437" s="1454" t="b">
        <f>OR(Page7!$I$53&lt;INDEX(Min_Table,L2437),Page7!$I$53&gt;INDEX(Max_Table,L2437))</f>
        <v>0</v>
      </c>
      <c r="G2437" s="1444" t="str">
        <f t="shared" si="326"/>
        <v/>
      </c>
      <c r="H2437" s="1446" t="str">
        <f>IF(C2437=TRUE,Comments!$B$70,"")</f>
        <v/>
      </c>
      <c r="I2437" s="1446" t="str">
        <f>IF(D2437=TRUE,Comments!$B$17&amp;INDEX(Min_Table,L2437)&amp;Comments!$B$18&amp;INDEX(Max_Table,L2437),"")</f>
        <v/>
      </c>
      <c r="J2437" s="1446"/>
      <c r="L2437" s="611">
        <f>ROW(OR_VEH!$A$671)</f>
        <v>671</v>
      </c>
      <c r="N2437" s="611" t="s">
        <v>1679</v>
      </c>
      <c r="O2437" s="611" t="str">
        <f t="shared" si="325"/>
        <v/>
      </c>
      <c r="P2437" s="611" t="str">
        <f t="shared" si="327"/>
        <v>Page7!I</v>
      </c>
      <c r="Q2437" s="611">
        <f t="shared" si="328"/>
        <v>53</v>
      </c>
      <c r="R2437" s="1447">
        <f t="shared" ca="1" si="329"/>
        <v>0</v>
      </c>
      <c r="S2437" s="1447">
        <f t="shared" ca="1" si="330"/>
        <v>0</v>
      </c>
      <c r="V2437" s="2557" t="str">
        <f t="shared" ca="1" si="324"/>
        <v/>
      </c>
      <c r="W2437" s="611" t="str">
        <f t="shared" ca="1" si="331"/>
        <v>Page7, Ligne 50 [Page7!I53]  -</v>
      </c>
    </row>
    <row r="2438" spans="1:23">
      <c r="A2438" s="1443" t="str">
        <f>celladdr(Page7!I55)</f>
        <v>Page7!I55</v>
      </c>
      <c r="B2438" s="1464" t="s">
        <v>1086</v>
      </c>
      <c r="D2438" s="1454" t="b">
        <f>OR(Page7!$I$55&lt;INDEX(Min_Table,L2438),Page7!$I$55&gt;INDEX(Max_Table,L2438))</f>
        <v>0</v>
      </c>
      <c r="G2438" s="1444" t="str">
        <f t="shared" si="326"/>
        <v/>
      </c>
      <c r="I2438" s="1446" t="str">
        <f>IF(D2438=TRUE,Comments!$B$17&amp;INDEX(Min_Table,L2438)&amp;Comments!$B$18&amp;INDEX(Max_Table,L2438),"")</f>
        <v/>
      </c>
      <c r="L2438" s="611">
        <f>ROW(OR_VEH!$A$671)</f>
        <v>671</v>
      </c>
      <c r="N2438" s="611" t="s">
        <v>1680</v>
      </c>
      <c r="O2438" s="611" t="str">
        <f t="shared" si="325"/>
        <v/>
      </c>
      <c r="P2438" s="611" t="str">
        <f t="shared" si="327"/>
        <v>Page7!I</v>
      </c>
      <c r="Q2438" s="611">
        <f t="shared" si="328"/>
        <v>55</v>
      </c>
      <c r="R2438" s="1447">
        <f t="shared" ca="1" si="329"/>
        <v>0</v>
      </c>
      <c r="S2438" s="1447">
        <f t="shared" ca="1" si="330"/>
        <v>0</v>
      </c>
      <c r="V2438" s="2557" t="str">
        <f t="shared" ca="1" si="324"/>
        <v/>
      </c>
      <c r="W2438" s="611" t="str">
        <f t="shared" ca="1" si="331"/>
        <v>Page7, Ligne 52 [Page7!I55]  -</v>
      </c>
    </row>
    <row r="2439" spans="1:23">
      <c r="A2439" s="1443" t="str">
        <f>celladdr(Page7!I56)</f>
        <v>Page7!I56</v>
      </c>
      <c r="B2439" s="1464" t="s">
        <v>1086</v>
      </c>
      <c r="D2439" s="1454" t="b">
        <f>OR(Page7!$I$56&lt;INDEX(Min_Table,L2439),Page7!$I$56&gt;INDEX(Max_Table,L2439))</f>
        <v>0</v>
      </c>
      <c r="E2439" s="1454"/>
      <c r="F2439" s="1454"/>
      <c r="G2439" s="1444" t="str">
        <f t="shared" si="326"/>
        <v/>
      </c>
      <c r="I2439" s="1446" t="str">
        <f>IF(D2439=TRUE,Comments!$B$17&amp;INDEX(Min_Table,L2439)&amp;Comments!$B$18&amp;INDEX(Max_Table,L2439),"")</f>
        <v/>
      </c>
      <c r="J2439" s="1446"/>
      <c r="K2439" s="1452"/>
      <c r="L2439" s="611">
        <f>ROW(OR_VEH!$A$671)</f>
        <v>671</v>
      </c>
      <c r="N2439" s="611" t="s">
        <v>1681</v>
      </c>
      <c r="O2439" s="611" t="str">
        <f t="shared" si="325"/>
        <v/>
      </c>
      <c r="P2439" s="611" t="str">
        <f t="shared" si="327"/>
        <v>Page7!I</v>
      </c>
      <c r="Q2439" s="611">
        <f t="shared" si="328"/>
        <v>56</v>
      </c>
      <c r="R2439" s="1447">
        <f t="shared" ca="1" si="329"/>
        <v>0</v>
      </c>
      <c r="S2439" s="1447">
        <f t="shared" ca="1" si="330"/>
        <v>0</v>
      </c>
      <c r="V2439" s="2557" t="str">
        <f t="shared" ref="V2439:V2502" ca="1" si="332">IF(SUM(R2439+S2439)=0,"","
*** "&amp;TEXT(SUM(R2439+S2439),"0,0")&amp;" Points de précision seront déduits suite à cette(ces) erreur(s) !")</f>
        <v/>
      </c>
      <c r="W2439" s="611" t="str">
        <f t="shared" ca="1" si="331"/>
        <v>Page7, Ligne 53 [Page7!I56]  -</v>
      </c>
    </row>
    <row r="2440" spans="1:23">
      <c r="A2440" s="1443" t="str">
        <f>celladdr(Page7!I59)</f>
        <v>Page7!I59</v>
      </c>
      <c r="B2440" s="1464" t="s">
        <v>1086</v>
      </c>
      <c r="E2440" s="1454" t="b">
        <f>Page7!$I$59&lt;0</f>
        <v>0</v>
      </c>
      <c r="G2440" s="1444" t="str">
        <f t="shared" si="326"/>
        <v/>
      </c>
      <c r="H2440" s="1446"/>
      <c r="J2440" s="1446" t="str">
        <f>IF(E2440=TRUE,Comments!$B$30,"")</f>
        <v/>
      </c>
      <c r="N2440" s="611" t="s">
        <v>1682</v>
      </c>
      <c r="O2440" s="611" t="str">
        <f t="shared" si="325"/>
        <v/>
      </c>
      <c r="P2440" s="611" t="str">
        <f t="shared" si="327"/>
        <v>Page7!I</v>
      </c>
      <c r="Q2440" s="611">
        <f t="shared" si="328"/>
        <v>59</v>
      </c>
      <c r="R2440" s="1447">
        <f t="shared" ca="1" si="329"/>
        <v>0</v>
      </c>
      <c r="S2440" s="1447">
        <f t="shared" ca="1" si="330"/>
        <v>0</v>
      </c>
      <c r="T2440" s="611">
        <v>30</v>
      </c>
      <c r="V2440" s="2557" t="str">
        <f t="shared" ca="1" si="332"/>
        <v/>
      </c>
      <c r="W2440" s="611" t="str">
        <f t="shared" ca="1" si="331"/>
        <v>Page7, Ligne 56 [Page7!I59]  -</v>
      </c>
    </row>
    <row r="2441" spans="1:23">
      <c r="A2441" s="1443" t="str">
        <f>celladdr(Page7!I60)</f>
        <v>Page7!I60</v>
      </c>
      <c r="B2441" s="1464" t="s">
        <v>1086</v>
      </c>
      <c r="E2441" s="1454" t="b">
        <f>Page7!$I$60&lt;0</f>
        <v>0</v>
      </c>
      <c r="G2441" s="1444" t="str">
        <f t="shared" si="326"/>
        <v/>
      </c>
      <c r="H2441" s="1446"/>
      <c r="I2441" s="1446"/>
      <c r="J2441" s="1446" t="str">
        <f>IF(E2441=TRUE,Comments!$B$30,"")</f>
        <v/>
      </c>
      <c r="N2441" s="611" t="s">
        <v>1683</v>
      </c>
      <c r="O2441" s="611" t="str">
        <f t="shared" si="325"/>
        <v/>
      </c>
      <c r="P2441" s="611" t="str">
        <f t="shared" si="327"/>
        <v>Page7!I</v>
      </c>
      <c r="Q2441" s="611">
        <f t="shared" si="328"/>
        <v>60</v>
      </c>
      <c r="R2441" s="1447">
        <f t="shared" ca="1" si="329"/>
        <v>0</v>
      </c>
      <c r="S2441" s="1447">
        <f t="shared" ca="1" si="330"/>
        <v>0</v>
      </c>
      <c r="T2441" s="611">
        <v>30</v>
      </c>
      <c r="V2441" s="2557" t="str">
        <f t="shared" ca="1" si="332"/>
        <v/>
      </c>
      <c r="W2441" s="611" t="str">
        <f t="shared" ca="1" si="331"/>
        <v>Page7, Ligne 57 [Page7!I60]  -</v>
      </c>
    </row>
    <row r="2442" spans="1:23">
      <c r="A2442" s="1443" t="str">
        <f>celladdr(Page7!I61)</f>
        <v>Page7!I61</v>
      </c>
      <c r="B2442" s="1464" t="s">
        <v>1086</v>
      </c>
      <c r="E2442" s="1454" t="b">
        <f>Page7!$I$61&lt;0</f>
        <v>0</v>
      </c>
      <c r="G2442" s="1444" t="str">
        <f t="shared" si="326"/>
        <v/>
      </c>
      <c r="H2442" s="1446"/>
      <c r="I2442" s="1446"/>
      <c r="J2442" s="1446" t="str">
        <f>IF(E2442=TRUE,Comments!$B$30,"")</f>
        <v/>
      </c>
      <c r="N2442" s="611" t="s">
        <v>1684</v>
      </c>
      <c r="O2442" s="611" t="str">
        <f t="shared" si="325"/>
        <v/>
      </c>
      <c r="P2442" s="611" t="str">
        <f t="shared" si="327"/>
        <v>Page7!I</v>
      </c>
      <c r="Q2442" s="611">
        <f t="shared" si="328"/>
        <v>61</v>
      </c>
      <c r="R2442" s="1447">
        <f t="shared" ca="1" si="329"/>
        <v>0</v>
      </c>
      <c r="S2442" s="1447">
        <f t="shared" ca="1" si="330"/>
        <v>0</v>
      </c>
      <c r="T2442" s="611">
        <v>30</v>
      </c>
      <c r="V2442" s="2557" t="str">
        <f t="shared" ca="1" si="332"/>
        <v/>
      </c>
      <c r="W2442" s="611" t="str">
        <f t="shared" ca="1" si="331"/>
        <v>Page7, Ligne 58 [Page7!I61]  -</v>
      </c>
    </row>
    <row r="2443" spans="1:23">
      <c r="A2443" s="1443" t="str">
        <f>celladdr(Page7!I62)</f>
        <v>Page7!I62</v>
      </c>
      <c r="B2443" s="1463" t="s">
        <v>1086</v>
      </c>
      <c r="E2443" s="1454" t="b">
        <f>Page7!$I$62&lt;0</f>
        <v>0</v>
      </c>
      <c r="G2443" s="1444" t="str">
        <f t="shared" si="326"/>
        <v/>
      </c>
      <c r="H2443" s="1446"/>
      <c r="I2443" s="1446"/>
      <c r="J2443" s="1446" t="str">
        <f>IF(E2443=TRUE,Comments!$B$30,"")</f>
        <v/>
      </c>
      <c r="N2443" s="611" t="s">
        <v>1685</v>
      </c>
      <c r="O2443" s="611" t="str">
        <f t="shared" si="325"/>
        <v/>
      </c>
      <c r="P2443" s="611" t="str">
        <f t="shared" si="327"/>
        <v>Page7!I</v>
      </c>
      <c r="Q2443" s="611">
        <f t="shared" si="328"/>
        <v>62</v>
      </c>
      <c r="R2443" s="1447">
        <f t="shared" ca="1" si="329"/>
        <v>0</v>
      </c>
      <c r="S2443" s="1447">
        <f t="shared" ca="1" si="330"/>
        <v>0</v>
      </c>
      <c r="T2443" s="611">
        <v>30</v>
      </c>
      <c r="V2443" s="2557" t="str">
        <f t="shared" ca="1" si="332"/>
        <v/>
      </c>
      <c r="W2443" s="611" t="str">
        <f t="shared" ca="1" si="331"/>
        <v>Page7, Ligne 59 [Page7!I62]  -</v>
      </c>
    </row>
    <row r="2444" spans="1:23">
      <c r="A2444" s="1443" t="str">
        <f>celladdr(Page7!I63)</f>
        <v>Page7!I63</v>
      </c>
      <c r="B2444" s="1464" t="s">
        <v>1086</v>
      </c>
      <c r="E2444" s="1454" t="b">
        <f>Page7!$I$63&lt;0</f>
        <v>0</v>
      </c>
      <c r="G2444" s="1444" t="str">
        <f t="shared" si="326"/>
        <v/>
      </c>
      <c r="J2444" s="1446" t="str">
        <f>IF(E2444=TRUE,Comments!$B$30,"")</f>
        <v/>
      </c>
      <c r="N2444" s="611" t="s">
        <v>1686</v>
      </c>
      <c r="O2444" s="611" t="str">
        <f t="shared" si="325"/>
        <v/>
      </c>
      <c r="P2444" s="611" t="str">
        <f t="shared" si="327"/>
        <v>Page7!I</v>
      </c>
      <c r="Q2444" s="611">
        <f t="shared" si="328"/>
        <v>63</v>
      </c>
      <c r="R2444" s="1447">
        <f t="shared" ca="1" si="329"/>
        <v>0</v>
      </c>
      <c r="S2444" s="1447">
        <f t="shared" ca="1" si="330"/>
        <v>0</v>
      </c>
      <c r="T2444" s="611">
        <v>30</v>
      </c>
      <c r="V2444" s="2557" t="str">
        <f t="shared" ca="1" si="332"/>
        <v/>
      </c>
      <c r="W2444" s="611" t="str">
        <f t="shared" ca="1" si="331"/>
        <v>Page7, Ligne 60 [Page7!I63]  -</v>
      </c>
    </row>
    <row r="2445" spans="1:23">
      <c r="A2445" s="1443" t="str">
        <f>celladdr(Page7!I64)</f>
        <v>Page7!I64</v>
      </c>
      <c r="B2445" s="1464" t="s">
        <v>1086</v>
      </c>
      <c r="E2445" s="1454" t="b">
        <f>Page7!$I$64&lt;0</f>
        <v>0</v>
      </c>
      <c r="G2445" s="1444" t="str">
        <f t="shared" si="326"/>
        <v/>
      </c>
      <c r="H2445" s="1446"/>
      <c r="J2445" s="1446" t="str">
        <f>IF(E2445=TRUE,Comments!$B$30,"")</f>
        <v/>
      </c>
      <c r="N2445" s="611" t="s">
        <v>1687</v>
      </c>
      <c r="O2445" s="611" t="str">
        <f t="shared" si="325"/>
        <v/>
      </c>
      <c r="P2445" s="611" t="str">
        <f t="shared" si="327"/>
        <v>Page7!I</v>
      </c>
      <c r="Q2445" s="611">
        <f t="shared" si="328"/>
        <v>64</v>
      </c>
      <c r="R2445" s="1447">
        <f t="shared" ca="1" si="329"/>
        <v>0</v>
      </c>
      <c r="S2445" s="1447">
        <f t="shared" ca="1" si="330"/>
        <v>0</v>
      </c>
      <c r="T2445" s="611">
        <v>30</v>
      </c>
      <c r="V2445" s="2557" t="str">
        <f t="shared" ca="1" si="332"/>
        <v/>
      </c>
      <c r="W2445" s="611" t="str">
        <f t="shared" ca="1" si="331"/>
        <v>Page7, Ligne 61 [Page7!I64]  -</v>
      </c>
    </row>
    <row r="2446" spans="1:23">
      <c r="A2446" s="1443" t="str">
        <f>celladdr(Page7!I66)</f>
        <v>Page7!I66</v>
      </c>
      <c r="B2446" s="1464" t="s">
        <v>1086</v>
      </c>
      <c r="E2446" s="1454" t="b">
        <f>Page7!$I$66&lt;0</f>
        <v>0</v>
      </c>
      <c r="G2446" s="1444" t="str">
        <f t="shared" si="326"/>
        <v/>
      </c>
      <c r="H2446" s="1446"/>
      <c r="J2446" s="1446" t="str">
        <f>IF(E2446=TRUE,Comments!$B$30,"")</f>
        <v/>
      </c>
      <c r="N2446" s="611" t="s">
        <v>1688</v>
      </c>
      <c r="O2446" s="611" t="str">
        <f t="shared" si="325"/>
        <v/>
      </c>
      <c r="P2446" s="611" t="str">
        <f t="shared" si="327"/>
        <v>Page7!I</v>
      </c>
      <c r="Q2446" s="611">
        <f t="shared" si="328"/>
        <v>66</v>
      </c>
      <c r="R2446" s="1447">
        <f t="shared" ca="1" si="329"/>
        <v>0</v>
      </c>
      <c r="S2446" s="1447">
        <f t="shared" ca="1" si="330"/>
        <v>0</v>
      </c>
      <c r="T2446" s="611">
        <v>30</v>
      </c>
      <c r="V2446" s="2557" t="str">
        <f t="shared" ca="1" si="332"/>
        <v/>
      </c>
      <c r="W2446" s="611" t="str">
        <f t="shared" ca="1" si="331"/>
        <v>Page7, Ligne 63 [Page7!I66]  -</v>
      </c>
    </row>
    <row r="2447" spans="1:23">
      <c r="A2447" s="1443" t="str">
        <f>celladdr(Page7!I67)</f>
        <v>Page7!I67</v>
      </c>
      <c r="B2447" s="1464" t="s">
        <v>1086</v>
      </c>
      <c r="E2447" s="1454" t="b">
        <f>Page7!$I$67&lt;0</f>
        <v>0</v>
      </c>
      <c r="G2447" s="1444" t="str">
        <f t="shared" si="326"/>
        <v/>
      </c>
      <c r="H2447" s="1446"/>
      <c r="J2447" s="1446" t="str">
        <f>IF(E2447=TRUE,Comments!$B$30,"")</f>
        <v/>
      </c>
      <c r="N2447" s="611" t="s">
        <v>1689</v>
      </c>
      <c r="O2447" s="611" t="str">
        <f t="shared" si="325"/>
        <v/>
      </c>
      <c r="P2447" s="611" t="str">
        <f t="shared" si="327"/>
        <v>Page7!I</v>
      </c>
      <c r="Q2447" s="611">
        <f t="shared" si="328"/>
        <v>67</v>
      </c>
      <c r="R2447" s="1447">
        <f t="shared" ca="1" si="329"/>
        <v>0</v>
      </c>
      <c r="S2447" s="1447">
        <f t="shared" ca="1" si="330"/>
        <v>0</v>
      </c>
      <c r="T2447" s="611">
        <v>30</v>
      </c>
      <c r="V2447" s="2557" t="str">
        <f t="shared" ca="1" si="332"/>
        <v/>
      </c>
      <c r="W2447" s="611" t="str">
        <f t="shared" ca="1" si="331"/>
        <v>Page7, Ligne 64 [Page7!I67]  -</v>
      </c>
    </row>
    <row r="2448" spans="1:23">
      <c r="A2448" s="1443" t="str">
        <f>celladdr(Page7!I68)</f>
        <v>Page7!I68</v>
      </c>
      <c r="B2448" s="1453" t="s">
        <v>1086</v>
      </c>
      <c r="C2448" s="1454" t="b">
        <f>Page7!$I$68&lt;&gt;Page7!$I$65+Page7!$I$66-Page7!$I$67</f>
        <v>0</v>
      </c>
      <c r="D2448" s="1465"/>
      <c r="G2448" s="1444" t="str">
        <f t="shared" si="326"/>
        <v/>
      </c>
      <c r="H2448" s="1446" t="str">
        <f>IF(C2448=TRUE,Comments!$B$51&amp;DOLLAR(Page7!$I$68-(Page7!$I$65+Page7!$I$66-Page7!$I$67),0),"")</f>
        <v/>
      </c>
      <c r="I2448" s="1446"/>
      <c r="N2448" s="611" t="s">
        <v>1690</v>
      </c>
      <c r="O2448" s="611" t="str">
        <f t="shared" si="325"/>
        <v/>
      </c>
      <c r="P2448" s="611" t="str">
        <f t="shared" si="327"/>
        <v>Page7!I</v>
      </c>
      <c r="Q2448" s="611">
        <f t="shared" si="328"/>
        <v>68</v>
      </c>
      <c r="R2448" s="1447">
        <f t="shared" ca="1" si="329"/>
        <v>0</v>
      </c>
      <c r="S2448" s="1447">
        <f t="shared" ca="1" si="330"/>
        <v>0</v>
      </c>
      <c r="V2448" s="2557" t="str">
        <f t="shared" ca="1" si="332"/>
        <v/>
      </c>
      <c r="W2448" s="611" t="str">
        <f t="shared" ca="1" si="331"/>
        <v>Page7, Ligne 65 [Page7!I68]  -</v>
      </c>
    </row>
    <row r="2449" spans="1:23">
      <c r="A2449" s="1443" t="str">
        <f>celladdr(Page7!J4)</f>
        <v>Page7!J4</v>
      </c>
      <c r="B2449" s="1464" t="s">
        <v>1086</v>
      </c>
      <c r="C2449" s="1454"/>
      <c r="D2449" s="1454" t="b">
        <f>Page7!$J$4&lt;0</f>
        <v>0</v>
      </c>
      <c r="G2449" s="1444" t="str">
        <f t="shared" si="326"/>
        <v/>
      </c>
      <c r="H2449" s="1446"/>
      <c r="I2449" s="1446" t="str">
        <f>IF(D2449=TRUE,Comments!$B$26,"")</f>
        <v/>
      </c>
      <c r="J2449" s="1446"/>
      <c r="N2449" s="611" t="s">
        <v>1691</v>
      </c>
      <c r="O2449" s="611" t="str">
        <f t="shared" si="325"/>
        <v/>
      </c>
      <c r="P2449" s="611" t="str">
        <f t="shared" si="327"/>
        <v>Page7!J</v>
      </c>
      <c r="Q2449" s="611">
        <f t="shared" si="328"/>
        <v>4</v>
      </c>
      <c r="R2449" s="1447">
        <f t="shared" ca="1" si="329"/>
        <v>0</v>
      </c>
      <c r="S2449" s="1447">
        <f t="shared" ca="1" si="330"/>
        <v>0</v>
      </c>
      <c r="V2449" s="2557" t="str">
        <f t="shared" ca="1" si="332"/>
        <v/>
      </c>
      <c r="W2449" s="611" t="str">
        <f t="shared" ca="1" si="331"/>
        <v>Page7, Ligne 1 [Page7!J4]  -</v>
      </c>
    </row>
    <row r="2450" spans="1:23">
      <c r="A2450" s="1443" t="str">
        <f>celladdr(Page7!J5)</f>
        <v>Page7!J5</v>
      </c>
      <c r="B2450" s="1464" t="s">
        <v>1086</v>
      </c>
      <c r="C2450" s="1454" t="b">
        <f>OR(AND(Page7!$J$5=0,Page7!$K$5&lt;&gt;0),AND(Page7!$J$5&lt;&gt;0,Page7!$K$5=0))</f>
        <v>0</v>
      </c>
      <c r="D2450" s="1454" t="b">
        <f>Page7!$J$5&lt;0</f>
        <v>0</v>
      </c>
      <c r="G2450" s="1444" t="str">
        <f t="shared" si="326"/>
        <v/>
      </c>
      <c r="H2450" s="1446" t="str">
        <f>IF(C2450=TRUE,Comments!$B$27,"")</f>
        <v/>
      </c>
      <c r="I2450" s="1446" t="str">
        <f>IF(D2450=TRUE,Comments!$B$26,"")</f>
        <v/>
      </c>
      <c r="N2450" s="611" t="s">
        <v>1692</v>
      </c>
      <c r="O2450" s="611" t="str">
        <f t="shared" si="325"/>
        <v/>
      </c>
      <c r="P2450" s="611" t="str">
        <f t="shared" si="327"/>
        <v>Page7!J</v>
      </c>
      <c r="Q2450" s="611">
        <f t="shared" si="328"/>
        <v>5</v>
      </c>
      <c r="R2450" s="1447">
        <f t="shared" ca="1" si="329"/>
        <v>0</v>
      </c>
      <c r="S2450" s="1447">
        <f t="shared" ca="1" si="330"/>
        <v>0</v>
      </c>
      <c r="V2450" s="2557" t="str">
        <f t="shared" ca="1" si="332"/>
        <v/>
      </c>
      <c r="W2450" s="611" t="str">
        <f t="shared" ca="1" si="331"/>
        <v>Page7, Ligne 2 [Page7!J5]  -</v>
      </c>
    </row>
    <row r="2451" spans="1:23">
      <c r="A2451" s="1443" t="str">
        <f>celladdr(Page7!J7)</f>
        <v>Page7!J7</v>
      </c>
      <c r="B2451" s="1464" t="s">
        <v>1086</v>
      </c>
      <c r="C2451" s="1454" t="b">
        <f>OR(AND(Page7!$J$7&gt;0,Page7!$L$7=0),AND(Page7!$K$7&lt;&gt;0,Page7!$L$7=0),AND(Page7!$L$7&lt;&gt;0,OR(Page7!$J$7=0,Page7!$K$7=0)))</f>
        <v>0</v>
      </c>
      <c r="D2451" s="1454" t="b">
        <f>Page7!$J$7&lt;0</f>
        <v>0</v>
      </c>
      <c r="E2451" s="1454"/>
      <c r="G2451" s="1444" t="str">
        <f t="shared" si="326"/>
        <v/>
      </c>
      <c r="H2451" s="1446" t="str">
        <f>IF(C2451=TRUE,Comments!$B$21,"")</f>
        <v/>
      </c>
      <c r="I2451" s="1446" t="str">
        <f>IF(D2451=TRUE,Comments!$B$26,"")</f>
        <v/>
      </c>
      <c r="J2451" s="1446"/>
      <c r="N2451" s="611" t="s">
        <v>1693</v>
      </c>
      <c r="O2451" s="611" t="str">
        <f t="shared" ref="O2451:O2514" si="333">IF(A2451=A2450,"TRUE","")</f>
        <v/>
      </c>
      <c r="P2451" s="611" t="str">
        <f t="shared" si="327"/>
        <v>Page7!J</v>
      </c>
      <c r="Q2451" s="611">
        <f t="shared" si="328"/>
        <v>7</v>
      </c>
      <c r="R2451" s="1447">
        <f t="shared" ca="1" si="329"/>
        <v>0</v>
      </c>
      <c r="S2451" s="1447">
        <f t="shared" ca="1" si="330"/>
        <v>0</v>
      </c>
      <c r="V2451" s="2557" t="str">
        <f t="shared" ca="1" si="332"/>
        <v/>
      </c>
      <c r="W2451" s="611" t="str">
        <f t="shared" ca="1" si="331"/>
        <v>Page7, Ligne 4 [Page7!J7]  -</v>
      </c>
    </row>
    <row r="2452" spans="1:23">
      <c r="A2452" s="1443" t="str">
        <f>celladdr(Page7!J9)</f>
        <v>Page7!J9</v>
      </c>
      <c r="B2452" s="1464" t="s">
        <v>1086</v>
      </c>
      <c r="C2452" s="1454" t="b">
        <f>OR(AND(Page7!$J$9&gt;0,Page7!$L$9=0),AND(Page7!$K$9&lt;&gt;0,Page7!$L$9=0),AND(Page7!$L$9&lt;&gt;0,OR(Page7!$J$9=0,Page7!$K$9=0)))</f>
        <v>0</v>
      </c>
      <c r="D2452" s="1454" t="b">
        <f>Page7!$J$9&lt;0</f>
        <v>0</v>
      </c>
      <c r="G2452" s="1444" t="str">
        <f t="shared" si="326"/>
        <v/>
      </c>
      <c r="H2452" s="1446" t="str">
        <f>IF(C2452=TRUE,Comments!$B$21,"")</f>
        <v/>
      </c>
      <c r="I2452" s="1446" t="str">
        <f>IF(D2452=TRUE,Comments!$B$26,"")</f>
        <v/>
      </c>
      <c r="J2452" s="1446"/>
      <c r="N2452" s="611" t="s">
        <v>1694</v>
      </c>
      <c r="O2452" s="611" t="str">
        <f t="shared" si="333"/>
        <v/>
      </c>
      <c r="P2452" s="611" t="str">
        <f t="shared" si="327"/>
        <v>Page7!J</v>
      </c>
      <c r="Q2452" s="611">
        <f t="shared" si="328"/>
        <v>9</v>
      </c>
      <c r="R2452" s="1447">
        <f t="shared" ca="1" si="329"/>
        <v>0</v>
      </c>
      <c r="S2452" s="1447">
        <f t="shared" ca="1" si="330"/>
        <v>0</v>
      </c>
      <c r="V2452" s="2557" t="str">
        <f t="shared" ca="1" si="332"/>
        <v/>
      </c>
      <c r="W2452" s="611" t="str">
        <f t="shared" ca="1" si="331"/>
        <v>Page7, Ligne 6 [Page7!J9]  -</v>
      </c>
    </row>
    <row r="2453" spans="1:23">
      <c r="A2453" s="1443" t="str">
        <f>celladdr(Page7!J10)</f>
        <v>Page7!J10</v>
      </c>
      <c r="B2453" s="1464" t="s">
        <v>1086</v>
      </c>
      <c r="C2453" s="1454" t="b">
        <f>OR(AND(Page7!$J$10&gt;0,Page7!$L$10=0),AND(Page7!$K$10&lt;&gt;0,Page7!$L$10=0),AND(Page7!$L$10&lt;&gt;0,OR(Page7!$J$10=0,Page7!$K$10=0)))</f>
        <v>0</v>
      </c>
      <c r="D2453" s="1454" t="b">
        <f>Page7!$J$10&lt;0</f>
        <v>0</v>
      </c>
      <c r="E2453" s="1454"/>
      <c r="G2453" s="1444" t="str">
        <f t="shared" si="326"/>
        <v/>
      </c>
      <c r="H2453" s="1446" t="str">
        <f>IF(C2453=TRUE,Comments!$B$21,"")</f>
        <v/>
      </c>
      <c r="I2453" s="1446" t="str">
        <f>IF(D2453=TRUE,Comments!$B$26,"")</f>
        <v/>
      </c>
      <c r="J2453" s="1446"/>
      <c r="N2453" s="611" t="s">
        <v>1695</v>
      </c>
      <c r="O2453" s="611" t="str">
        <f t="shared" si="333"/>
        <v/>
      </c>
      <c r="P2453" s="611" t="str">
        <f t="shared" si="327"/>
        <v>Page7!J</v>
      </c>
      <c r="Q2453" s="611">
        <f t="shared" si="328"/>
        <v>10</v>
      </c>
      <c r="R2453" s="1447">
        <f t="shared" ca="1" si="329"/>
        <v>0</v>
      </c>
      <c r="S2453" s="1447">
        <f t="shared" ca="1" si="330"/>
        <v>0</v>
      </c>
      <c r="V2453" s="2557" t="str">
        <f t="shared" ca="1" si="332"/>
        <v/>
      </c>
      <c r="W2453" s="611" t="str">
        <f t="shared" ca="1" si="331"/>
        <v>Page7, Ligne 7 [Page7!J10]  -</v>
      </c>
    </row>
    <row r="2454" spans="1:23">
      <c r="A2454" s="1443" t="str">
        <f>celladdr(Page7!J14)</f>
        <v>Page7!J14</v>
      </c>
      <c r="B2454" s="1464" t="s">
        <v>1086</v>
      </c>
      <c r="C2454" s="1454" t="b">
        <f>OR(AND(Page7!$J$14=0,Page7!$K$14&lt;&gt;0),AND(Page7!$J$14&lt;&gt;0,Page7!$K$14=0))</f>
        <v>0</v>
      </c>
      <c r="D2454" s="1454" t="b">
        <f>Page7!$J$14&lt;0</f>
        <v>0</v>
      </c>
      <c r="G2454" s="1444" t="str">
        <f t="shared" si="326"/>
        <v/>
      </c>
      <c r="H2454" s="1446" t="str">
        <f>IF(C2454=TRUE,Comments!$B$27,"")</f>
        <v/>
      </c>
      <c r="I2454" s="1446" t="str">
        <f>IF(D2454=TRUE,Comments!$B$26,"")</f>
        <v/>
      </c>
      <c r="J2454" s="1446"/>
      <c r="N2454" s="611" t="s">
        <v>1696</v>
      </c>
      <c r="O2454" s="611" t="str">
        <f t="shared" si="333"/>
        <v/>
      </c>
      <c r="P2454" s="611" t="str">
        <f t="shared" si="327"/>
        <v>Page7!J</v>
      </c>
      <c r="Q2454" s="611">
        <f t="shared" si="328"/>
        <v>14</v>
      </c>
      <c r="R2454" s="1447">
        <f t="shared" ca="1" si="329"/>
        <v>0</v>
      </c>
      <c r="S2454" s="1447">
        <f t="shared" ca="1" si="330"/>
        <v>0</v>
      </c>
      <c r="V2454" s="2557" t="str">
        <f t="shared" ca="1" si="332"/>
        <v/>
      </c>
      <c r="W2454" s="611" t="str">
        <f t="shared" ca="1" si="331"/>
        <v>Page7, Ligne 11 [Page7!J14]  -</v>
      </c>
    </row>
    <row r="2455" spans="1:23">
      <c r="A2455" s="1443" t="str">
        <f>celladdr(Page7!J15)</f>
        <v>Page7!J15</v>
      </c>
      <c r="B2455" s="1464" t="s">
        <v>1086</v>
      </c>
      <c r="C2455" s="1454" t="b">
        <f>OR(AND(Page7!$J$15=0,Page7!$K$15&lt;&gt;0),AND(Page7!$J$15&lt;&gt;0,Page7!$K$15=0))</f>
        <v>0</v>
      </c>
      <c r="D2455" s="1454" t="b">
        <f>Page7!$J$15&lt;0</f>
        <v>0</v>
      </c>
      <c r="G2455" s="1444" t="str">
        <f t="shared" si="326"/>
        <v/>
      </c>
      <c r="H2455" s="1446" t="str">
        <f>IF(C2455=TRUE,Comments!$B$27,"")</f>
        <v/>
      </c>
      <c r="I2455" s="1446" t="str">
        <f>IF(D2455=TRUE,Comments!$B$26,"")</f>
        <v/>
      </c>
      <c r="J2455" s="1446"/>
      <c r="N2455" s="611" t="s">
        <v>1697</v>
      </c>
      <c r="O2455" s="611" t="str">
        <f t="shared" si="333"/>
        <v/>
      </c>
      <c r="P2455" s="611" t="str">
        <f t="shared" si="327"/>
        <v>Page7!J</v>
      </c>
      <c r="Q2455" s="611">
        <f t="shared" si="328"/>
        <v>15</v>
      </c>
      <c r="R2455" s="1447">
        <f t="shared" ca="1" si="329"/>
        <v>0</v>
      </c>
      <c r="S2455" s="1447">
        <f t="shared" ca="1" si="330"/>
        <v>0</v>
      </c>
      <c r="V2455" s="2557" t="str">
        <f t="shared" ca="1" si="332"/>
        <v/>
      </c>
      <c r="W2455" s="611" t="str">
        <f t="shared" ca="1" si="331"/>
        <v>Page7, Ligne 12 [Page7!J15]  -</v>
      </c>
    </row>
    <row r="2456" spans="1:23">
      <c r="A2456" s="1443" t="str">
        <f>celladdr(Page7!J17)</f>
        <v>Page7!J17</v>
      </c>
      <c r="B2456" s="1464" t="s">
        <v>1086</v>
      </c>
      <c r="C2456" s="1454" t="b">
        <f>OR(AND(Page7!$J$17&gt;0,Page7!$L$17=0),AND(Page7!$K$17&lt;&gt;0,Page7!$L$17=0),AND(Page7!$L$17&lt;&gt;0,OR(Page7!$J$17=0,Page7!$K$17=0)))</f>
        <v>0</v>
      </c>
      <c r="D2456" s="1454" t="b">
        <f>Page7!$J$17&lt;0</f>
        <v>0</v>
      </c>
      <c r="G2456" s="1444" t="str">
        <f t="shared" si="326"/>
        <v/>
      </c>
      <c r="H2456" s="1446" t="str">
        <f>IF(C2456=TRUE,Comments!$B$21,"")</f>
        <v/>
      </c>
      <c r="I2456" s="1446" t="str">
        <f>IF(D2456=TRUE,Comments!$B$26,"")</f>
        <v/>
      </c>
      <c r="J2456" s="1446"/>
      <c r="N2456" s="611" t="s">
        <v>1698</v>
      </c>
      <c r="O2456" s="611" t="str">
        <f t="shared" si="333"/>
        <v/>
      </c>
      <c r="P2456" s="611" t="str">
        <f t="shared" si="327"/>
        <v>Page7!J</v>
      </c>
      <c r="Q2456" s="611">
        <f t="shared" si="328"/>
        <v>17</v>
      </c>
      <c r="R2456" s="1447">
        <f t="shared" ca="1" si="329"/>
        <v>0</v>
      </c>
      <c r="S2456" s="1447">
        <f t="shared" ca="1" si="330"/>
        <v>0</v>
      </c>
      <c r="V2456" s="2557" t="str">
        <f t="shared" ca="1" si="332"/>
        <v/>
      </c>
      <c r="W2456" s="611" t="str">
        <f t="shared" ca="1" si="331"/>
        <v>Page7, Ligne 14 [Page7!J17]  -</v>
      </c>
    </row>
    <row r="2457" spans="1:23">
      <c r="A2457" s="1443" t="str">
        <f>celladdr(Page7!J19)</f>
        <v>Page7!J19</v>
      </c>
      <c r="B2457" s="1464" t="s">
        <v>1086</v>
      </c>
      <c r="C2457" s="1454" t="b">
        <f>OR(AND(Page7!$J$19&gt;0,Page7!$L$19=0),AND(Page7!$K$19&lt;&gt;0,Page7!$L$19=0),AND(Page7!$L$19&lt;&gt;0,OR(Page7!$J$19=0,Page7!$K$19=0)))</f>
        <v>0</v>
      </c>
      <c r="D2457" s="1454" t="b">
        <f>Page7!$J$19&lt;0</f>
        <v>0</v>
      </c>
      <c r="G2457" s="1444" t="str">
        <f t="shared" si="326"/>
        <v/>
      </c>
      <c r="H2457" s="1446" t="str">
        <f>IF(C2457=TRUE,Comments!$B$21,"")</f>
        <v/>
      </c>
      <c r="I2457" s="1446" t="str">
        <f>IF(D2457=TRUE,Comments!$B$26,"")</f>
        <v/>
      </c>
      <c r="N2457" s="611" t="s">
        <v>1699</v>
      </c>
      <c r="O2457" s="611" t="str">
        <f t="shared" si="333"/>
        <v/>
      </c>
      <c r="P2457" s="611" t="str">
        <f t="shared" si="327"/>
        <v>Page7!J</v>
      </c>
      <c r="Q2457" s="611">
        <f t="shared" si="328"/>
        <v>19</v>
      </c>
      <c r="R2457" s="1447">
        <f t="shared" ca="1" si="329"/>
        <v>0</v>
      </c>
      <c r="S2457" s="1447">
        <f t="shared" ca="1" si="330"/>
        <v>0</v>
      </c>
      <c r="V2457" s="2557" t="str">
        <f t="shared" ca="1" si="332"/>
        <v/>
      </c>
      <c r="W2457" s="611" t="str">
        <f t="shared" ca="1" si="331"/>
        <v>Page7, Ligne 16 [Page7!J19]  -</v>
      </c>
    </row>
    <row r="2458" spans="1:23">
      <c r="A2458" s="1443" t="str">
        <f>celladdr(Page7!J20)</f>
        <v>Page7!J20</v>
      </c>
      <c r="B2458" s="1464" t="s">
        <v>1086</v>
      </c>
      <c r="C2458" s="1454" t="b">
        <f>OR(AND(Page7!$J$20&gt;0,Page7!$L$20=0),AND(Page7!$K$20&lt;&gt;0,Page7!$L$20=0),AND(Page7!$L$20&lt;&gt;0,OR(Page7!$J$20=0,Page7!$K$20=0)))</f>
        <v>0</v>
      </c>
      <c r="D2458" s="1454" t="b">
        <f>Page7!$J$20&lt;0</f>
        <v>0</v>
      </c>
      <c r="G2458" s="1444" t="str">
        <f t="shared" si="326"/>
        <v/>
      </c>
      <c r="H2458" s="1446" t="str">
        <f>IF(C2458=TRUE,Comments!$B$21,"")</f>
        <v/>
      </c>
      <c r="I2458" s="1446" t="str">
        <f>IF(D2458=TRUE,Comments!$B$26,"")</f>
        <v/>
      </c>
      <c r="N2458" s="611" t="s">
        <v>1700</v>
      </c>
      <c r="O2458" s="611" t="str">
        <f t="shared" si="333"/>
        <v/>
      </c>
      <c r="P2458" s="611" t="str">
        <f t="shared" si="327"/>
        <v>Page7!J</v>
      </c>
      <c r="Q2458" s="611">
        <f t="shared" si="328"/>
        <v>20</v>
      </c>
      <c r="R2458" s="1447">
        <f t="shared" ca="1" si="329"/>
        <v>0</v>
      </c>
      <c r="S2458" s="1447">
        <f t="shared" ca="1" si="330"/>
        <v>0</v>
      </c>
      <c r="V2458" s="2557" t="str">
        <f t="shared" ca="1" si="332"/>
        <v/>
      </c>
      <c r="W2458" s="611" t="str">
        <f t="shared" ca="1" si="331"/>
        <v>Page7, Ligne 17 [Page7!J20]  -</v>
      </c>
    </row>
    <row r="2459" spans="1:23">
      <c r="A2459" s="1443" t="str">
        <f>celladdr(Page7!J24)</f>
        <v>Page7!J24</v>
      </c>
      <c r="B2459" s="1453" t="s">
        <v>1086</v>
      </c>
      <c r="C2459" s="1445" t="b">
        <f>Page7!$J$24&lt;&gt;Page7!$J$4+Page7!$J$5+Page7!$J$7+Page7!$J$9+Page7!$J$10+Page7!$J$14+Page7!$J$15+Page7!$J$17+Page7!$J$19+Page7!$J$20</f>
        <v>0</v>
      </c>
      <c r="D2459" s="1454"/>
      <c r="F2459" s="1454"/>
      <c r="G2459" s="1444" t="str">
        <f t="shared" si="326"/>
        <v/>
      </c>
      <c r="H2459" s="1446" t="str">
        <f>IF(C2459=TRUE,Comments!$B$47&amp;Page7!$J$24-(Page7!$J$4+Page7!$J$5+Page7!$J$7+Page7!$J$9+Page7!$J$10+Page7!$J$14+Page7!$J$15+Page7!$J$17+Page7!$J$19+Page7!$J$20),"")</f>
        <v/>
      </c>
      <c r="I2459" s="1452"/>
      <c r="J2459" s="1452"/>
      <c r="K2459" s="1452"/>
      <c r="N2459" s="611" t="s">
        <v>1701</v>
      </c>
      <c r="O2459" s="611" t="str">
        <f t="shared" si="333"/>
        <v/>
      </c>
      <c r="P2459" s="611" t="str">
        <f t="shared" si="327"/>
        <v>Page7!J</v>
      </c>
      <c r="Q2459" s="611">
        <f t="shared" si="328"/>
        <v>24</v>
      </c>
      <c r="R2459" s="1447">
        <f t="shared" ca="1" si="329"/>
        <v>0</v>
      </c>
      <c r="S2459" s="1447">
        <f t="shared" ca="1" si="330"/>
        <v>0</v>
      </c>
      <c r="V2459" s="2557" t="str">
        <f t="shared" ca="1" si="332"/>
        <v/>
      </c>
      <c r="W2459" s="611" t="str">
        <f t="shared" ca="1" si="331"/>
        <v>Page7, Ligne 21 [Page7!J24]  -</v>
      </c>
    </row>
    <row r="2460" spans="1:23">
      <c r="A2460" s="1443" t="str">
        <f>celladdr(Page7!J47)</f>
        <v>Page7!J47</v>
      </c>
      <c r="B2460" s="1464" t="s">
        <v>1086</v>
      </c>
      <c r="D2460" s="1454" t="b">
        <f>OR(Page7!$J$47&lt;INDEX(Min_Table,L2460),Page7!$J$47&gt;INDEX(Max_Table,L2460))</f>
        <v>0</v>
      </c>
      <c r="E2460" s="1454"/>
      <c r="F2460" s="1454"/>
      <c r="G2460" s="1444" t="str">
        <f t="shared" si="326"/>
        <v/>
      </c>
      <c r="H2460" s="1446"/>
      <c r="I2460" s="1446" t="str">
        <f>IF(D2460=TRUE,Comments!$B$17&amp;INDEX(Min_Table,L2460)&amp;Comments!$B$18&amp;INDEX(Max_Table,L2460),"")</f>
        <v/>
      </c>
      <c r="J2460" s="1446"/>
      <c r="K2460" s="1452"/>
      <c r="L2460" s="611">
        <f>ROW(OR_VEH!$A$671)</f>
        <v>671</v>
      </c>
      <c r="N2460" s="611" t="s">
        <v>1702</v>
      </c>
      <c r="O2460" s="611" t="str">
        <f t="shared" si="333"/>
        <v/>
      </c>
      <c r="P2460" s="611" t="str">
        <f t="shared" si="327"/>
        <v>Page7!J</v>
      </c>
      <c r="Q2460" s="611">
        <f t="shared" si="328"/>
        <v>47</v>
      </c>
      <c r="R2460" s="1447">
        <f t="shared" ca="1" si="329"/>
        <v>0</v>
      </c>
      <c r="S2460" s="1447">
        <f t="shared" ca="1" si="330"/>
        <v>0</v>
      </c>
      <c r="V2460" s="2557" t="str">
        <f t="shared" ca="1" si="332"/>
        <v/>
      </c>
      <c r="W2460" s="611" t="str">
        <f t="shared" ca="1" si="331"/>
        <v>Page7, Ligne 44 [Page7!J47]  -</v>
      </c>
    </row>
    <row r="2461" spans="1:23">
      <c r="A2461" s="1443" t="str">
        <f>celladdr(Page7!J48)</f>
        <v>Page7!J48</v>
      </c>
      <c r="B2461" s="1464" t="s">
        <v>1086</v>
      </c>
      <c r="D2461" s="1454" t="b">
        <f>OR(Page7!$J$48&lt;INDEX(Min_Table,L2461),Page7!$J$48&gt;INDEX(Max_Table,L2461))</f>
        <v>0</v>
      </c>
      <c r="E2461" s="1454"/>
      <c r="F2461" s="1454"/>
      <c r="G2461" s="1444" t="str">
        <f t="shared" si="326"/>
        <v/>
      </c>
      <c r="H2461" s="1446"/>
      <c r="I2461" s="1446" t="str">
        <f>IF(D2461=TRUE,Comments!$B$17&amp;INDEX(Min_Table,L2461)&amp;Comments!$B$18&amp;INDEX(Max_Table,L2461),"")</f>
        <v/>
      </c>
      <c r="J2461" s="1446"/>
      <c r="K2461" s="1452"/>
      <c r="L2461" s="611">
        <f>ROW(OR_VEH!$A$671)</f>
        <v>671</v>
      </c>
      <c r="N2461" s="611" t="s">
        <v>1703</v>
      </c>
      <c r="O2461" s="611" t="str">
        <f t="shared" si="333"/>
        <v/>
      </c>
      <c r="P2461" s="611" t="str">
        <f t="shared" si="327"/>
        <v>Page7!J</v>
      </c>
      <c r="Q2461" s="611">
        <f t="shared" si="328"/>
        <v>48</v>
      </c>
      <c r="R2461" s="1447">
        <f t="shared" ca="1" si="329"/>
        <v>0</v>
      </c>
      <c r="S2461" s="1447">
        <f t="shared" ca="1" si="330"/>
        <v>0</v>
      </c>
      <c r="V2461" s="2557" t="str">
        <f t="shared" ca="1" si="332"/>
        <v/>
      </c>
      <c r="W2461" s="611" t="str">
        <f t="shared" ca="1" si="331"/>
        <v>Page7, Ligne 45 [Page7!J48]  -</v>
      </c>
    </row>
    <row r="2462" spans="1:23">
      <c r="A2462" s="1443" t="str">
        <f>celladdr(Page7!J49)</f>
        <v>Page7!J49</v>
      </c>
      <c r="B2462" s="1464" t="s">
        <v>1086</v>
      </c>
      <c r="D2462" s="1454" t="b">
        <f>OR(Page7!$J$49&lt;INDEX(Min_Table,L2462),Page7!$J$49&gt;INDEX(Max_Table,L2462))</f>
        <v>0</v>
      </c>
      <c r="E2462" s="1454"/>
      <c r="F2462" s="1454"/>
      <c r="G2462" s="1444" t="str">
        <f t="shared" si="326"/>
        <v/>
      </c>
      <c r="H2462" s="1446"/>
      <c r="I2462" s="1446" t="str">
        <f>IF(D2462=TRUE,Comments!$B$17&amp;INDEX(Min_Table,L2462)&amp;Comments!$B$18&amp;INDEX(Max_Table,L2462),"")</f>
        <v/>
      </c>
      <c r="J2462" s="1446"/>
      <c r="K2462" s="1452"/>
      <c r="L2462" s="611">
        <f>ROW(OR_VEH!$A$671)</f>
        <v>671</v>
      </c>
      <c r="N2462" s="611" t="s">
        <v>1704</v>
      </c>
      <c r="O2462" s="611" t="str">
        <f t="shared" si="333"/>
        <v/>
      </c>
      <c r="P2462" s="611" t="str">
        <f t="shared" si="327"/>
        <v>Page7!J</v>
      </c>
      <c r="Q2462" s="611">
        <f t="shared" si="328"/>
        <v>49</v>
      </c>
      <c r="R2462" s="1447">
        <f t="shared" ca="1" si="329"/>
        <v>0</v>
      </c>
      <c r="S2462" s="1447">
        <f t="shared" ca="1" si="330"/>
        <v>0</v>
      </c>
      <c r="V2462" s="2557" t="str">
        <f t="shared" ca="1" si="332"/>
        <v/>
      </c>
      <c r="W2462" s="611" t="str">
        <f t="shared" ca="1" si="331"/>
        <v>Page7, Ligne 46 [Page7!J49]  -</v>
      </c>
    </row>
    <row r="2463" spans="1:23">
      <c r="A2463" s="1443" t="str">
        <f>celladdr(Page7!J50)</f>
        <v>Page7!J50</v>
      </c>
      <c r="B2463" s="1464" t="s">
        <v>1086</v>
      </c>
      <c r="D2463" s="1454" t="b">
        <f>OR(Page7!$J$50&lt;INDEX(Min_Table,L2463),Page7!$J$50&gt;INDEX(Max_Table,L2463))</f>
        <v>0</v>
      </c>
      <c r="E2463" s="1454"/>
      <c r="F2463" s="1454"/>
      <c r="G2463" s="1444" t="str">
        <f t="shared" si="326"/>
        <v/>
      </c>
      <c r="H2463" s="1446"/>
      <c r="I2463" s="1446" t="str">
        <f>IF(D2463=TRUE,Comments!$B$17&amp;INDEX(Min_Table,L2463)&amp;Comments!$B$18&amp;INDEX(Max_Table,L2463),"")</f>
        <v/>
      </c>
      <c r="J2463" s="1446"/>
      <c r="K2463" s="1452"/>
      <c r="L2463" s="611">
        <f>ROW(OR_VEH!$A$671)</f>
        <v>671</v>
      </c>
      <c r="N2463" s="4" t="s">
        <v>1705</v>
      </c>
      <c r="O2463" s="611" t="str">
        <f t="shared" si="333"/>
        <v/>
      </c>
      <c r="P2463" s="611" t="str">
        <f t="shared" si="327"/>
        <v>Page7!J</v>
      </c>
      <c r="Q2463" s="611">
        <f t="shared" si="328"/>
        <v>50</v>
      </c>
      <c r="R2463" s="1447">
        <f t="shared" ca="1" si="329"/>
        <v>0</v>
      </c>
      <c r="S2463" s="1447">
        <f t="shared" ca="1" si="330"/>
        <v>0</v>
      </c>
      <c r="V2463" s="2557" t="str">
        <f t="shared" ca="1" si="332"/>
        <v/>
      </c>
      <c r="W2463" s="611" t="str">
        <f t="shared" ca="1" si="331"/>
        <v>Page7, Ligne 47 [Page7!J50]  -</v>
      </c>
    </row>
    <row r="2464" spans="1:23">
      <c r="A2464" s="1443" t="str">
        <f>celladdr(Page7!J51)</f>
        <v>Page7!J51</v>
      </c>
      <c r="B2464" s="1464" t="s">
        <v>1086</v>
      </c>
      <c r="D2464" s="1454" t="b">
        <f>OR(Page7!$J$51&lt;INDEX(Min_Table,L2464),Page7!$J$51&gt;INDEX(Max_Table,L2464))</f>
        <v>0</v>
      </c>
      <c r="E2464" s="1454"/>
      <c r="F2464" s="1454"/>
      <c r="G2464" s="1444" t="str">
        <f t="shared" si="326"/>
        <v/>
      </c>
      <c r="H2464" s="1446"/>
      <c r="I2464" s="1446" t="str">
        <f>IF(D2464=TRUE,Comments!$B$17&amp;INDEX(Min_Table,L2464)&amp;Comments!$B$18&amp;INDEX(Max_Table,L2464),"")</f>
        <v/>
      </c>
      <c r="J2464" s="1446"/>
      <c r="K2464" s="1452"/>
      <c r="L2464" s="611">
        <f>ROW(OR_VEH!$A$671)</f>
        <v>671</v>
      </c>
      <c r="N2464" s="611" t="s">
        <v>1706</v>
      </c>
      <c r="O2464" s="611" t="str">
        <f t="shared" si="333"/>
        <v/>
      </c>
      <c r="P2464" s="611" t="str">
        <f t="shared" si="327"/>
        <v>Page7!J</v>
      </c>
      <c r="Q2464" s="611">
        <f t="shared" si="328"/>
        <v>51</v>
      </c>
      <c r="R2464" s="1447">
        <f t="shared" ca="1" si="329"/>
        <v>0</v>
      </c>
      <c r="S2464" s="1447">
        <f t="shared" ca="1" si="330"/>
        <v>0</v>
      </c>
      <c r="V2464" s="2557" t="str">
        <f t="shared" ca="1" si="332"/>
        <v/>
      </c>
      <c r="W2464" s="611" t="str">
        <f t="shared" ca="1" si="331"/>
        <v>Page7, Ligne 48 [Page7!J51]  -</v>
      </c>
    </row>
    <row r="2465" spans="1:23">
      <c r="A2465" s="1443" t="str">
        <f>celladdr(Page7!J52)</f>
        <v>Page7!J52</v>
      </c>
      <c r="B2465" s="1464" t="s">
        <v>1086</v>
      </c>
      <c r="D2465" s="1454" t="b">
        <f>OR(Page7!$J$52&lt;INDEX(Min_Table,L2465),Page7!$J$52&gt;INDEX(Max_Table,L2465))</f>
        <v>0</v>
      </c>
      <c r="G2465" s="1444" t="str">
        <f t="shared" si="326"/>
        <v/>
      </c>
      <c r="H2465" s="1446"/>
      <c r="I2465" s="1446" t="str">
        <f>IF(D2465=TRUE,Comments!$B$17&amp;INDEX(Min_Table,L2465)&amp;Comments!$B$18&amp;INDEX(Max_Table,L2465),"")</f>
        <v/>
      </c>
      <c r="L2465" s="611">
        <f>ROW(OR_VEH!$A$671)</f>
        <v>671</v>
      </c>
      <c r="N2465" s="611" t="s">
        <v>1707</v>
      </c>
      <c r="O2465" s="611" t="str">
        <f t="shared" si="333"/>
        <v/>
      </c>
      <c r="P2465" s="611" t="str">
        <f t="shared" si="327"/>
        <v>Page7!J</v>
      </c>
      <c r="Q2465" s="611">
        <f t="shared" si="328"/>
        <v>52</v>
      </c>
      <c r="R2465" s="1447">
        <f t="shared" ca="1" si="329"/>
        <v>0</v>
      </c>
      <c r="S2465" s="1447">
        <f t="shared" ca="1" si="330"/>
        <v>0</v>
      </c>
      <c r="V2465" s="2557" t="str">
        <f t="shared" ca="1" si="332"/>
        <v/>
      </c>
      <c r="W2465" s="611" t="str">
        <f t="shared" ca="1" si="331"/>
        <v>Page7, Ligne 49 [Page7!J52]  -</v>
      </c>
    </row>
    <row r="2466" spans="1:23">
      <c r="A2466" s="1443" t="str">
        <f>celladdr(Page7!J53)</f>
        <v>Page7!J53</v>
      </c>
      <c r="B2466" s="1464" t="s">
        <v>1086</v>
      </c>
      <c r="D2466" s="1454" t="b">
        <f>OR(Page7!$J$53&lt;INDEX(Min_Table,L2466),Page7!$J$53&gt;INDEX(Max_Table,L2466))</f>
        <v>0</v>
      </c>
      <c r="G2466" s="1444" t="str">
        <f t="shared" si="326"/>
        <v/>
      </c>
      <c r="H2466" s="1446"/>
      <c r="I2466" s="1446" t="str">
        <f>IF(D2466=TRUE,Comments!$B$17&amp;INDEX(Min_Table,L2466)&amp;Comments!$B$18&amp;INDEX(Max_Table,L2466),"")</f>
        <v/>
      </c>
      <c r="J2466" s="1446"/>
      <c r="L2466" s="611">
        <f>ROW(OR_VEH!$A$671)</f>
        <v>671</v>
      </c>
      <c r="N2466" s="611" t="s">
        <v>1708</v>
      </c>
      <c r="O2466" s="611" t="str">
        <f t="shared" si="333"/>
        <v/>
      </c>
      <c r="P2466" s="611" t="str">
        <f t="shared" si="327"/>
        <v>Page7!J</v>
      </c>
      <c r="Q2466" s="611">
        <f t="shared" si="328"/>
        <v>53</v>
      </c>
      <c r="R2466" s="1447">
        <f t="shared" ca="1" si="329"/>
        <v>0</v>
      </c>
      <c r="S2466" s="1447">
        <f t="shared" ca="1" si="330"/>
        <v>0</v>
      </c>
      <c r="V2466" s="2557" t="str">
        <f t="shared" ca="1" si="332"/>
        <v/>
      </c>
      <c r="W2466" s="611" t="str">
        <f t="shared" ca="1" si="331"/>
        <v>Page7, Ligne 50 [Page7!J53]  -</v>
      </c>
    </row>
    <row r="2467" spans="1:23">
      <c r="A2467" s="1443" t="str">
        <f>celladdr(Page7!J55)</f>
        <v>Page7!J55</v>
      </c>
      <c r="B2467" s="1464" t="s">
        <v>1086</v>
      </c>
      <c r="D2467" s="1454" t="b">
        <f>OR(Page7!$J$55&lt;INDEX(Min_Table,L2467),Page7!$J$55&gt;INDEX(Max_Table,L2467))</f>
        <v>0</v>
      </c>
      <c r="G2467" s="1444" t="str">
        <f t="shared" si="326"/>
        <v/>
      </c>
      <c r="I2467" s="1446" t="str">
        <f>IF(D2467=TRUE,Comments!$B$17&amp;INDEX(Min_Table,L2467)&amp;Comments!$B$18&amp;INDEX(Max_Table,L2467),"")</f>
        <v/>
      </c>
      <c r="L2467" s="611">
        <f>ROW(OR_VEH!$A$671)</f>
        <v>671</v>
      </c>
      <c r="N2467" s="611" t="s">
        <v>1709</v>
      </c>
      <c r="O2467" s="611" t="str">
        <f t="shared" si="333"/>
        <v/>
      </c>
      <c r="P2467" s="611" t="str">
        <f t="shared" si="327"/>
        <v>Page7!J</v>
      </c>
      <c r="Q2467" s="611">
        <f t="shared" si="328"/>
        <v>55</v>
      </c>
      <c r="R2467" s="1447">
        <f t="shared" ca="1" si="329"/>
        <v>0</v>
      </c>
      <c r="S2467" s="1447">
        <f t="shared" ca="1" si="330"/>
        <v>0</v>
      </c>
      <c r="V2467" s="2557" t="str">
        <f t="shared" ca="1" si="332"/>
        <v/>
      </c>
      <c r="W2467" s="611" t="str">
        <f t="shared" ca="1" si="331"/>
        <v>Page7, Ligne 52 [Page7!J55]  -</v>
      </c>
    </row>
    <row r="2468" spans="1:23">
      <c r="A2468" s="1443" t="str">
        <f>celladdr(Page7!J56)</f>
        <v>Page7!J56</v>
      </c>
      <c r="B2468" s="1464" t="s">
        <v>1086</v>
      </c>
      <c r="D2468" s="1454" t="b">
        <f>OR(Page7!$J$56&lt;INDEX(Min_Table,L2468),Page7!$J$56&gt;INDEX(Max_Table,L2468))</f>
        <v>0</v>
      </c>
      <c r="E2468" s="1454"/>
      <c r="F2468" s="1454"/>
      <c r="G2468" s="1444" t="str">
        <f t="shared" si="326"/>
        <v/>
      </c>
      <c r="I2468" s="1446" t="str">
        <f>IF(D2468=TRUE,Comments!$B$17&amp;INDEX(Min_Table,L2468)&amp;Comments!$B$18&amp;INDEX(Max_Table,L2468),"")</f>
        <v/>
      </c>
      <c r="J2468" s="1446"/>
      <c r="K2468" s="1452"/>
      <c r="L2468" s="611">
        <f>ROW(OR_VEH!$A$671)</f>
        <v>671</v>
      </c>
      <c r="N2468" s="611" t="s">
        <v>1710</v>
      </c>
      <c r="O2468" s="611" t="str">
        <f t="shared" si="333"/>
        <v/>
      </c>
      <c r="P2468" s="611" t="str">
        <f t="shared" si="327"/>
        <v>Page7!J</v>
      </c>
      <c r="Q2468" s="611">
        <f t="shared" si="328"/>
        <v>56</v>
      </c>
      <c r="R2468" s="1447">
        <f t="shared" ca="1" si="329"/>
        <v>0</v>
      </c>
      <c r="S2468" s="1447">
        <f t="shared" ca="1" si="330"/>
        <v>0</v>
      </c>
      <c r="V2468" s="2557" t="str">
        <f t="shared" ca="1" si="332"/>
        <v/>
      </c>
      <c r="W2468" s="611" t="str">
        <f t="shared" ca="1" si="331"/>
        <v>Page7, Ligne 53 [Page7!J56]  -</v>
      </c>
    </row>
    <row r="2469" spans="1:23">
      <c r="A2469" s="1443" t="str">
        <f>celladdr(Page7!K4)</f>
        <v>Page7!K4</v>
      </c>
      <c r="B2469" s="1456" t="s">
        <v>1086</v>
      </c>
      <c r="C2469" s="1454" t="b">
        <f>OR(AND(Page7!$J$4=0,Page7!$K$4&lt;&gt;0),AND(Page7!$J$4&lt;&gt;0,Page7!$K$4=0))</f>
        <v>0</v>
      </c>
      <c r="D2469" s="1454"/>
      <c r="G2469" s="1444" t="str">
        <f t="shared" si="326"/>
        <v/>
      </c>
      <c r="H2469" s="1446" t="str">
        <f>IF(C2469=TRUE,Comments!$B$27,"")</f>
        <v/>
      </c>
      <c r="I2469" s="1446"/>
      <c r="J2469" s="1446"/>
      <c r="N2469" s="611" t="s">
        <v>1711</v>
      </c>
      <c r="O2469" s="611" t="str">
        <f t="shared" si="333"/>
        <v/>
      </c>
      <c r="P2469" s="611" t="str">
        <f t="shared" si="327"/>
        <v>Page7!K</v>
      </c>
      <c r="Q2469" s="611">
        <f t="shared" si="328"/>
        <v>4</v>
      </c>
      <c r="R2469" s="1447">
        <f t="shared" ca="1" si="329"/>
        <v>0</v>
      </c>
      <c r="S2469" s="1447">
        <f t="shared" ca="1" si="330"/>
        <v>0</v>
      </c>
      <c r="V2469" s="2557" t="str">
        <f t="shared" ca="1" si="332"/>
        <v/>
      </c>
      <c r="W2469" s="611" t="str">
        <f t="shared" ca="1" si="331"/>
        <v>Page7, Ligne 1 [Page7!K4]  -</v>
      </c>
    </row>
    <row r="2470" spans="1:23">
      <c r="A2470" s="1443" t="str">
        <f>celladdr(Page7!K5)</f>
        <v>Page7!K5</v>
      </c>
      <c r="B2470" s="1456" t="s">
        <v>1086</v>
      </c>
      <c r="C2470" s="1454" t="b">
        <f>OR(AND(Page7!$J$5=0,Page7!$K$5&lt;&gt;0),AND(Page7!$J$5&lt;&gt;0,Page7!$K$5=0))</f>
        <v>0</v>
      </c>
      <c r="D2470" s="1454"/>
      <c r="G2470" s="1444" t="str">
        <f t="shared" si="326"/>
        <v/>
      </c>
      <c r="H2470" s="1446" t="str">
        <f>IF(C2470=TRUE,Comments!$B$27,"")</f>
        <v/>
      </c>
      <c r="I2470" s="1446"/>
      <c r="N2470" s="611" t="s">
        <v>1712</v>
      </c>
      <c r="O2470" s="611" t="str">
        <f t="shared" si="333"/>
        <v/>
      </c>
      <c r="P2470" s="611" t="str">
        <f t="shared" si="327"/>
        <v>Page7!K</v>
      </c>
      <c r="Q2470" s="611">
        <f t="shared" si="328"/>
        <v>5</v>
      </c>
      <c r="R2470" s="1447">
        <f t="shared" ca="1" si="329"/>
        <v>0</v>
      </c>
      <c r="S2470" s="1447">
        <f t="shared" ca="1" si="330"/>
        <v>0</v>
      </c>
      <c r="V2470" s="2557" t="str">
        <f t="shared" ca="1" si="332"/>
        <v/>
      </c>
      <c r="W2470" s="611" t="str">
        <f t="shared" ca="1" si="331"/>
        <v>Page7, Ligne 2 [Page7!K5]  -</v>
      </c>
    </row>
    <row r="2471" spans="1:23">
      <c r="A2471" s="1443" t="str">
        <f>celladdr(Page7!K7)</f>
        <v>Page7!K7</v>
      </c>
      <c r="B2471" s="1456" t="s">
        <v>1086</v>
      </c>
      <c r="C2471" s="1454" t="b">
        <f>OR(AND(Page7!$J$7&gt;0,Page7!$L$7=0),AND(Page7!$K$7&lt;&gt;0,Page7!$L$7=0),AND(Page7!$L$7&lt;&gt;0,OR(Page7!$J$7=0,Page7!$K$7=0)))</f>
        <v>0</v>
      </c>
      <c r="D2471" s="1454" t="b">
        <f>Page7!$K$7&lt;0</f>
        <v>0</v>
      </c>
      <c r="E2471" s="1454"/>
      <c r="G2471" s="1444" t="str">
        <f t="shared" si="326"/>
        <v/>
      </c>
      <c r="H2471" s="1446" t="str">
        <f>IF(C2471=TRUE,Comments!$B$21,"")</f>
        <v/>
      </c>
      <c r="I2471" s="1446" t="str">
        <f>IF(D2471=TRUE,Comments!$B$23,"")</f>
        <v/>
      </c>
      <c r="J2471" s="1446"/>
      <c r="N2471" s="611" t="s">
        <v>1713</v>
      </c>
      <c r="O2471" s="611" t="str">
        <f t="shared" si="333"/>
        <v/>
      </c>
      <c r="P2471" s="611" t="str">
        <f t="shared" si="327"/>
        <v>Page7!K</v>
      </c>
      <c r="Q2471" s="611">
        <f t="shared" si="328"/>
        <v>7</v>
      </c>
      <c r="R2471" s="1447">
        <f t="shared" ca="1" si="329"/>
        <v>0</v>
      </c>
      <c r="S2471" s="1447">
        <f t="shared" ca="1" si="330"/>
        <v>0</v>
      </c>
      <c r="V2471" s="2557" t="str">
        <f t="shared" ca="1" si="332"/>
        <v/>
      </c>
      <c r="W2471" s="611" t="str">
        <f t="shared" ca="1" si="331"/>
        <v>Page7, Ligne 4 [Page7!K7]  -</v>
      </c>
    </row>
    <row r="2472" spans="1:23">
      <c r="A2472" s="1443" t="str">
        <f>celladdr(Page7!K8)</f>
        <v>Page7!K8</v>
      </c>
      <c r="B2472" s="1456" t="s">
        <v>1086</v>
      </c>
      <c r="C2472" s="1454" t="b">
        <f>OR(AND(Page7!$K$8&lt;&gt;0,Page7!$L$8=0),AND(Page7!$L$8&lt;&gt;0,Page7!$K$8=0))</f>
        <v>0</v>
      </c>
      <c r="D2472" s="1454" t="b">
        <f>Page7!$K$8&lt;0</f>
        <v>0</v>
      </c>
      <c r="E2472" s="1454"/>
      <c r="G2472" s="1444" t="str">
        <f t="shared" si="326"/>
        <v/>
      </c>
      <c r="H2472" s="1446" t="str">
        <f>IF(C2472=TRUE,Comments!$B$24,"")</f>
        <v/>
      </c>
      <c r="I2472" s="1446" t="str">
        <f>IF(D2472=TRUE,Comments!$B$23,"")</f>
        <v/>
      </c>
      <c r="J2472" s="1446"/>
      <c r="N2472" s="611" t="s">
        <v>1714</v>
      </c>
      <c r="O2472" s="611" t="str">
        <f t="shared" si="333"/>
        <v/>
      </c>
      <c r="P2472" s="611" t="str">
        <f t="shared" si="327"/>
        <v>Page7!K</v>
      </c>
      <c r="Q2472" s="611">
        <f t="shared" si="328"/>
        <v>8</v>
      </c>
      <c r="R2472" s="1447">
        <f t="shared" ca="1" si="329"/>
        <v>0</v>
      </c>
      <c r="S2472" s="1447">
        <f t="shared" ca="1" si="330"/>
        <v>0</v>
      </c>
      <c r="V2472" s="2557" t="str">
        <f t="shared" ca="1" si="332"/>
        <v/>
      </c>
      <c r="W2472" s="611" t="str">
        <f t="shared" ca="1" si="331"/>
        <v>Page7, Ligne 5 [Page7!K8]  -</v>
      </c>
    </row>
    <row r="2473" spans="1:23">
      <c r="A2473" s="1443" t="str">
        <f>celladdr(Page7!K9)</f>
        <v>Page7!K9</v>
      </c>
      <c r="B2473" s="1456" t="s">
        <v>1086</v>
      </c>
      <c r="C2473" s="1454" t="b">
        <f>OR(AND(Page7!$J$9&gt;0,Page7!$L$9=0),AND(Page7!$K$9&lt;&gt;0,Page7!$L$9=0),AND(Page7!$L$9&lt;&gt;0,OR(Page7!$J$9=0,Page7!$K$9=0)))</f>
        <v>0</v>
      </c>
      <c r="D2473" s="1454" t="b">
        <f>Page7!$K$9&lt;0</f>
        <v>0</v>
      </c>
      <c r="G2473" s="1444" t="str">
        <f t="shared" si="326"/>
        <v/>
      </c>
      <c r="H2473" s="1446" t="str">
        <f>IF(C2473=TRUE,Comments!$B$21,"")</f>
        <v/>
      </c>
      <c r="I2473" s="1446" t="str">
        <f>IF(D2473=TRUE,Comments!$B$23,"")</f>
        <v/>
      </c>
      <c r="J2473" s="1446"/>
      <c r="N2473" s="611" t="s">
        <v>1715</v>
      </c>
      <c r="O2473" s="611" t="str">
        <f t="shared" si="333"/>
        <v/>
      </c>
      <c r="P2473" s="611" t="str">
        <f t="shared" si="327"/>
        <v>Page7!K</v>
      </c>
      <c r="Q2473" s="611">
        <f t="shared" si="328"/>
        <v>9</v>
      </c>
      <c r="R2473" s="1447">
        <f t="shared" ca="1" si="329"/>
        <v>0</v>
      </c>
      <c r="S2473" s="1447">
        <f t="shared" ca="1" si="330"/>
        <v>0</v>
      </c>
      <c r="V2473" s="2557" t="str">
        <f t="shared" ca="1" si="332"/>
        <v/>
      </c>
      <c r="W2473" s="611" t="str">
        <f t="shared" ca="1" si="331"/>
        <v>Page7, Ligne 6 [Page7!K9]  -</v>
      </c>
    </row>
    <row r="2474" spans="1:23">
      <c r="A2474" s="1443" t="str">
        <f>celladdr(Page7!K10)</f>
        <v>Page7!K10</v>
      </c>
      <c r="B2474" s="1456" t="s">
        <v>1086</v>
      </c>
      <c r="C2474" s="1454" t="b">
        <f>OR(AND(Page7!$J$10&gt;0,Page7!$L$10=0),AND(Page7!$K$10&lt;&gt;0,Page7!$L$10=0),AND(Page7!$L$10&lt;&gt;0,OR(Page7!$J$10=0,Page7!$K$10=0)))</f>
        <v>0</v>
      </c>
      <c r="D2474" s="1454" t="b">
        <f>Page7!$K$10&lt;0</f>
        <v>0</v>
      </c>
      <c r="E2474" s="1454"/>
      <c r="G2474" s="1444" t="str">
        <f t="shared" si="326"/>
        <v/>
      </c>
      <c r="H2474" s="1446" t="str">
        <f>IF(C2474=TRUE,Comments!$B$21,"")</f>
        <v/>
      </c>
      <c r="I2474" s="1446" t="str">
        <f>IF(D2474=TRUE,Comments!$B$23,"")</f>
        <v/>
      </c>
      <c r="J2474" s="1446"/>
      <c r="N2474" s="611" t="s">
        <v>1716</v>
      </c>
      <c r="O2474" s="611" t="str">
        <f t="shared" si="333"/>
        <v/>
      </c>
      <c r="P2474" s="611" t="str">
        <f t="shared" si="327"/>
        <v>Page7!K</v>
      </c>
      <c r="Q2474" s="611">
        <f t="shared" si="328"/>
        <v>10</v>
      </c>
      <c r="R2474" s="1447">
        <f t="shared" ca="1" si="329"/>
        <v>0</v>
      </c>
      <c r="S2474" s="1447">
        <f t="shared" ca="1" si="330"/>
        <v>0</v>
      </c>
      <c r="V2474" s="2557" t="str">
        <f t="shared" ca="1" si="332"/>
        <v/>
      </c>
      <c r="W2474" s="611" t="str">
        <f t="shared" ca="1" si="331"/>
        <v>Page7, Ligne 7 [Page7!K10]  -</v>
      </c>
    </row>
    <row r="2475" spans="1:23">
      <c r="A2475" s="1443" t="str">
        <f>celladdr(Page7!K14)</f>
        <v>Page7!K14</v>
      </c>
      <c r="B2475" s="1456" t="s">
        <v>1086</v>
      </c>
      <c r="C2475" s="1454" t="b">
        <f>OR(AND(Page7!$J$14=0,Page7!$K$14&lt;&gt;0),AND(Page7!$J$14&lt;&gt;0,Page7!$K$14=0))</f>
        <v>0</v>
      </c>
      <c r="D2475" s="1454"/>
      <c r="G2475" s="1444" t="str">
        <f t="shared" si="326"/>
        <v/>
      </c>
      <c r="H2475" s="1446" t="str">
        <f>IF(C2475=TRUE,Comments!$B$27,"")</f>
        <v/>
      </c>
      <c r="I2475" s="1446" t="str">
        <f>IF(D2475=TRUE,Comments!$B$26,"")</f>
        <v/>
      </c>
      <c r="J2475" s="1446"/>
      <c r="N2475" s="611" t="s">
        <v>1717</v>
      </c>
      <c r="O2475" s="611" t="str">
        <f t="shared" si="333"/>
        <v/>
      </c>
      <c r="P2475" s="611" t="str">
        <f t="shared" si="327"/>
        <v>Page7!K</v>
      </c>
      <c r="Q2475" s="611">
        <f t="shared" si="328"/>
        <v>14</v>
      </c>
      <c r="R2475" s="1447">
        <f t="shared" ca="1" si="329"/>
        <v>0</v>
      </c>
      <c r="S2475" s="1447">
        <f t="shared" ca="1" si="330"/>
        <v>0</v>
      </c>
      <c r="V2475" s="2557" t="str">
        <f t="shared" ca="1" si="332"/>
        <v/>
      </c>
      <c r="W2475" s="611" t="str">
        <f t="shared" ca="1" si="331"/>
        <v>Page7, Ligne 11 [Page7!K14]  -</v>
      </c>
    </row>
    <row r="2476" spans="1:23">
      <c r="A2476" s="1443" t="str">
        <f>celladdr(Page7!K15)</f>
        <v>Page7!K15</v>
      </c>
      <c r="B2476" s="1456" t="s">
        <v>1086</v>
      </c>
      <c r="C2476" s="1454" t="b">
        <f>OR(AND(Page7!$J$15=0,Page7!$K$15&lt;&gt;0),AND(Page7!$J$15&lt;&gt;0,Page7!$K$15=0))</f>
        <v>0</v>
      </c>
      <c r="D2476" s="1454"/>
      <c r="G2476" s="1444" t="str">
        <f t="shared" si="326"/>
        <v/>
      </c>
      <c r="H2476" s="1446" t="str">
        <f>IF(C2476=TRUE,Comments!$B$27,"")</f>
        <v/>
      </c>
      <c r="I2476" s="1446" t="str">
        <f>IF(D2476=TRUE,Comments!$B$26,"")</f>
        <v/>
      </c>
      <c r="J2476" s="1446"/>
      <c r="N2476" s="611" t="s">
        <v>1718</v>
      </c>
      <c r="O2476" s="611" t="str">
        <f t="shared" si="333"/>
        <v/>
      </c>
      <c r="P2476" s="611" t="str">
        <f t="shared" si="327"/>
        <v>Page7!K</v>
      </c>
      <c r="Q2476" s="611">
        <f t="shared" si="328"/>
        <v>15</v>
      </c>
      <c r="R2476" s="1447">
        <f t="shared" ca="1" si="329"/>
        <v>0</v>
      </c>
      <c r="S2476" s="1447">
        <f t="shared" ca="1" si="330"/>
        <v>0</v>
      </c>
      <c r="V2476" s="2557" t="str">
        <f t="shared" ca="1" si="332"/>
        <v/>
      </c>
      <c r="W2476" s="611" t="str">
        <f t="shared" ca="1" si="331"/>
        <v>Page7, Ligne 12 [Page7!K15]  -</v>
      </c>
    </row>
    <row r="2477" spans="1:23">
      <c r="A2477" s="1443" t="str">
        <f>celladdr(Page7!K17)</f>
        <v>Page7!K17</v>
      </c>
      <c r="B2477" s="1456" t="s">
        <v>1086</v>
      </c>
      <c r="C2477" s="1454" t="b">
        <f>OR(AND(Page7!$J$17&gt;0,Page7!$L$17=0),AND(Page7!$K$17&lt;&gt;0,Page7!$L$17=0),AND(Page7!$L$17&lt;&gt;0,OR(Page7!$J$17=0,Page7!$K$17=0)))</f>
        <v>0</v>
      </c>
      <c r="D2477" s="1454" t="b">
        <f>Page7!$K$17&lt;0</f>
        <v>0</v>
      </c>
      <c r="G2477" s="1444" t="str">
        <f t="shared" si="326"/>
        <v/>
      </c>
      <c r="H2477" s="1446" t="str">
        <f>IF(C2477=TRUE,Comments!$B$27,"")</f>
        <v/>
      </c>
      <c r="I2477" s="1446" t="str">
        <f>IF(D2477=TRUE,Comments!$B$23,"")</f>
        <v/>
      </c>
      <c r="J2477" s="1446"/>
      <c r="N2477" s="611" t="s">
        <v>1719</v>
      </c>
      <c r="O2477" s="611" t="str">
        <f t="shared" si="333"/>
        <v/>
      </c>
      <c r="P2477" s="611" t="str">
        <f t="shared" si="327"/>
        <v>Page7!K</v>
      </c>
      <c r="Q2477" s="611">
        <f t="shared" si="328"/>
        <v>17</v>
      </c>
      <c r="R2477" s="1447">
        <f t="shared" ca="1" si="329"/>
        <v>0</v>
      </c>
      <c r="S2477" s="1447">
        <f t="shared" ca="1" si="330"/>
        <v>0</v>
      </c>
      <c r="V2477" s="2557" t="str">
        <f t="shared" ca="1" si="332"/>
        <v/>
      </c>
      <c r="W2477" s="611" t="str">
        <f t="shared" ca="1" si="331"/>
        <v>Page7, Ligne 14 [Page7!K17]  -</v>
      </c>
    </row>
    <row r="2478" spans="1:23">
      <c r="A2478" s="1443" t="str">
        <f>celladdr(Page7!K18)</f>
        <v>Page7!K18</v>
      </c>
      <c r="B2478" s="1456" t="s">
        <v>1086</v>
      </c>
      <c r="C2478" s="1454" t="b">
        <f>OR(AND(Page7!$K$18&lt;&gt;0,Page7!$L$18=0),AND(Page7!$L$18&lt;&gt;0,Page7!$K$18=0))</f>
        <v>0</v>
      </c>
      <c r="D2478" s="1454" t="b">
        <f>Page7!$K$18&lt;0</f>
        <v>0</v>
      </c>
      <c r="G2478" s="1444" t="str">
        <f t="shared" si="326"/>
        <v/>
      </c>
      <c r="H2478" s="1446" t="str">
        <f>IF(C2478=TRUE,Comments!$B$24,"")</f>
        <v/>
      </c>
      <c r="I2478" s="1446" t="str">
        <f>IF(D2478=TRUE,Comments!$B$23,"")</f>
        <v/>
      </c>
      <c r="J2478" s="1446"/>
      <c r="N2478" s="611" t="s">
        <v>1720</v>
      </c>
      <c r="O2478" s="611" t="str">
        <f t="shared" si="333"/>
        <v/>
      </c>
      <c r="P2478" s="611" t="str">
        <f t="shared" si="327"/>
        <v>Page7!K</v>
      </c>
      <c r="Q2478" s="611">
        <f t="shared" si="328"/>
        <v>18</v>
      </c>
      <c r="R2478" s="1447">
        <f t="shared" ca="1" si="329"/>
        <v>0</v>
      </c>
      <c r="S2478" s="1447">
        <f t="shared" ca="1" si="330"/>
        <v>0</v>
      </c>
      <c r="V2478" s="2557" t="str">
        <f t="shared" ca="1" si="332"/>
        <v/>
      </c>
      <c r="W2478" s="611" t="str">
        <f t="shared" ca="1" si="331"/>
        <v>Page7, Ligne 15 [Page7!K18]  -</v>
      </c>
    </row>
    <row r="2479" spans="1:23">
      <c r="A2479" s="1443" t="str">
        <f>celladdr(Page7!K19)</f>
        <v>Page7!K19</v>
      </c>
      <c r="B2479" s="1456" t="s">
        <v>1086</v>
      </c>
      <c r="C2479" s="1454" t="b">
        <f>OR(AND(Page7!$J$19&gt;0,Page7!$L$19=0),AND(Page7!$K$19&lt;&gt;0,Page7!$L$19=0),AND(Page7!$L$19&lt;&gt;0,OR(Page7!$J$19=0,Page7!$K$19=0)))</f>
        <v>0</v>
      </c>
      <c r="D2479" s="1454" t="b">
        <f>Page7!$K$19&lt;0</f>
        <v>0</v>
      </c>
      <c r="G2479" s="1444" t="str">
        <f t="shared" si="326"/>
        <v/>
      </c>
      <c r="H2479" s="1446" t="str">
        <f>IF(C2479=TRUE,Comments!$B$27,"")</f>
        <v/>
      </c>
      <c r="I2479" s="1446" t="str">
        <f>IF(D2479=TRUE,Comments!$B$23,"")</f>
        <v/>
      </c>
      <c r="N2479" s="611" t="s">
        <v>1721</v>
      </c>
      <c r="O2479" s="611" t="str">
        <f t="shared" si="333"/>
        <v/>
      </c>
      <c r="P2479" s="611" t="str">
        <f t="shared" si="327"/>
        <v>Page7!K</v>
      </c>
      <c r="Q2479" s="611">
        <f t="shared" si="328"/>
        <v>19</v>
      </c>
      <c r="R2479" s="1447">
        <f t="shared" ca="1" si="329"/>
        <v>0</v>
      </c>
      <c r="S2479" s="1447">
        <f t="shared" ca="1" si="330"/>
        <v>0</v>
      </c>
      <c r="V2479" s="2557" t="str">
        <f t="shared" ca="1" si="332"/>
        <v/>
      </c>
      <c r="W2479" s="611" t="str">
        <f t="shared" ca="1" si="331"/>
        <v>Page7, Ligne 16 [Page7!K19]  -</v>
      </c>
    </row>
    <row r="2480" spans="1:23">
      <c r="A2480" s="1443" t="str">
        <f>celladdr(Page7!K20)</f>
        <v>Page7!K20</v>
      </c>
      <c r="B2480" s="1456" t="s">
        <v>1086</v>
      </c>
      <c r="C2480" s="1454" t="b">
        <f>OR(AND(Page7!$J$20&gt;0,Page7!$L$20=0),AND(Page7!$K$20&lt;&gt;0,Page7!$L$20=0),AND(Page7!$L$20&lt;&gt;0,OR(Page7!$J$20=0,Page7!$K$20=0)))</f>
        <v>0</v>
      </c>
      <c r="D2480" s="1454" t="b">
        <f>Page7!$K$20&lt;0</f>
        <v>0</v>
      </c>
      <c r="G2480" s="1444" t="str">
        <f t="shared" si="326"/>
        <v/>
      </c>
      <c r="H2480" s="1446" t="str">
        <f>IF(C2480=TRUE,Comments!$B$27,"")</f>
        <v/>
      </c>
      <c r="I2480" s="1446" t="str">
        <f>IF(D2480=TRUE,Comments!$B$23,"")</f>
        <v/>
      </c>
      <c r="N2480" s="611" t="s">
        <v>1722</v>
      </c>
      <c r="O2480" s="611" t="str">
        <f t="shared" si="333"/>
        <v/>
      </c>
      <c r="P2480" s="611" t="str">
        <f t="shared" si="327"/>
        <v>Page7!K</v>
      </c>
      <c r="Q2480" s="611">
        <f t="shared" si="328"/>
        <v>20</v>
      </c>
      <c r="R2480" s="1447">
        <f t="shared" ca="1" si="329"/>
        <v>0</v>
      </c>
      <c r="S2480" s="1447">
        <f t="shared" ca="1" si="330"/>
        <v>0</v>
      </c>
      <c r="V2480" s="2557" t="str">
        <f t="shared" ca="1" si="332"/>
        <v/>
      </c>
      <c r="W2480" s="611" t="str">
        <f t="shared" ca="1" si="331"/>
        <v>Page7, Ligne 17 [Page7!K20]  -</v>
      </c>
    </row>
    <row r="2481" spans="1:23" ht="80">
      <c r="A2481" s="1443" t="str">
        <f>celladdr(Page7!K37)</f>
        <v>Page7!K37</v>
      </c>
      <c r="B2481" s="1456" t="s">
        <v>1086</v>
      </c>
      <c r="C2481" s="1454" t="b">
        <f>IF(Page7!J37=0,FALSE,OR(Page7!K37/Page7!J37&lt;INDEX(Min_Table,L2481),Page7!K37/Page7!J37&gt;INDEX(Max_Table,L2481)))</f>
        <v>0</v>
      </c>
      <c r="D2481" s="1454"/>
      <c r="E2481" s="1445" t="b">
        <f>OR(Page7!K37-Page1!I28&gt;100,Page7!K37-Page1!I28&lt;-100)</f>
        <v>1</v>
      </c>
      <c r="F2481" s="1445" t="b">
        <f>IF(Page7!J37=0,FALSE,OR(Page7!K37/Page7!J37&lt;INDEX(Min_Table,M2481),Page7!K37/Page7!J37&gt;INDEX(Max_Table,M2481)))</f>
        <v>0</v>
      </c>
      <c r="G2481" s="1444" t="str">
        <f t="shared" ca="1" si="326"/>
        <v>No.de ref. du commentaire.: Page7, Ligne 34 [Page7!K37]  - TOTAL AUTOS D'OCCASION EN STOCK 
--- L'information à la page 7 ne concorde pas avec l'information à la page 1.  La différence est de    (2 000 $)
*** 600,0 Points de précision seront déduits suite à cette(ces) erreur(s) !</v>
      </c>
      <c r="H2481" s="1446" t="str">
        <f>IF(C2481=TRUE,Comments!$B$20&amp;DOLLAR(INDEX(Min_Table,L2481),0)&amp;Comments!$B$18&amp;DOLLAR(INDEX(Max_Table,L2481),0)&amp;Comments!$B$19&amp;DOLLAR(IFERROR(Page7!K37/Page7!J37,0),0),"")</f>
        <v/>
      </c>
      <c r="I2481" s="1446"/>
      <c r="J2481" s="1447" t="str">
        <f>IF(E2481=TRUE,Comments!$B$67&amp;DOLLAR(Page7!K37-Page1!I28,0),"")</f>
        <v xml:space="preserve">
--- L'information à la page 7 ne concorde pas avec l'information à la page 1.  La différence est de    (2 000 $)</v>
      </c>
      <c r="K2481" s="1447" t="str">
        <f>IF(F2481=TRUE,Comments!$B$35&amp;DOLLAR(INDEX(Min_Table,M2481),0)&amp;Comments!$B$18&amp;DOLLAR(INDEX(Max_Table,M2481),0)&amp;Comments!$B$19&amp;DOLLAR(IFERROR(Page7!K37/Page7!J37,0),0),"")</f>
        <v/>
      </c>
      <c r="L2481" s="611">
        <f>ROW(OR_VEH!$A644)</f>
        <v>644</v>
      </c>
      <c r="M2481" s="611">
        <f>ROW(OR_VEH!$A643)</f>
        <v>643</v>
      </c>
      <c r="N2481" s="611" t="s">
        <v>1723</v>
      </c>
      <c r="O2481" s="611" t="str">
        <f t="shared" si="333"/>
        <v/>
      </c>
      <c r="P2481" s="611" t="str">
        <f t="shared" si="327"/>
        <v>Page7!K</v>
      </c>
      <c r="Q2481" s="611">
        <f t="shared" si="328"/>
        <v>37</v>
      </c>
      <c r="R2481" s="1447">
        <f t="shared" ca="1" si="329"/>
        <v>600</v>
      </c>
      <c r="S2481" s="1447">
        <f t="shared" ca="1" si="330"/>
        <v>0</v>
      </c>
      <c r="T2481" s="611">
        <v>67</v>
      </c>
      <c r="U2481" s="611">
        <v>35</v>
      </c>
      <c r="V2481" s="2557" t="str">
        <f t="shared" ca="1" si="332"/>
        <v xml:space="preserve">
*** 600,0 Points de précision seront déduits suite à cette(ces) erreur(s) !</v>
      </c>
      <c r="W2481" s="611" t="str">
        <f t="shared" ca="1" si="331"/>
        <v>Page7, Ligne 34 [Page7!K37]  -</v>
      </c>
    </row>
    <row r="2482" spans="1:23">
      <c r="A2482" s="1443" t="str">
        <f>celladdr(Page7!K38)</f>
        <v>Page7!K38</v>
      </c>
      <c r="B2482" s="1456" t="s">
        <v>1086</v>
      </c>
      <c r="C2482" s="1454" t="b">
        <f>IF(Page7!J38=0,FALSE,OR(Page7!K38/Page7!J38&lt;INDEX(Min_Table,L2482),Page7!K38/Page7!J38&gt;INDEX(Max_Table,L2482)))</f>
        <v>0</v>
      </c>
      <c r="D2482" s="1454"/>
      <c r="E2482" s="1445" t="b">
        <f>OR(Page7!K38-Page1!I29&gt;100,Page7!K38-Page1!I29&lt;-100)</f>
        <v>0</v>
      </c>
      <c r="F2482" s="1445" t="b">
        <f>IF(Page7!J38=0,FALSE,OR(Page7!K38/Page7!J38&lt;INDEX(Min_Table,M2482),Page7!K38/Page7!J38&gt;INDEX(Max_Table,M2482)))</f>
        <v>0</v>
      </c>
      <c r="G2482" s="1444" t="str">
        <f t="shared" si="326"/>
        <v/>
      </c>
      <c r="H2482" s="1446" t="str">
        <f>IF(C2482=TRUE,Comments!$B$20&amp;DOLLAR(INDEX(Min_Table,L2482),0)&amp;Comments!$B$18&amp;DOLLAR(INDEX(Max_Table,L2482),0)&amp;Comments!$B$19&amp;DOLLAR(IFERROR(Page7!K38/Page7!J38,0),0),"")</f>
        <v/>
      </c>
      <c r="I2482" s="1446"/>
      <c r="J2482" s="1447" t="str">
        <f>IF(E2482=TRUE,Comments!$B$67&amp;DOLLAR(Page7!K38-Page1!I29,0),"")</f>
        <v/>
      </c>
      <c r="K2482" s="1447" t="str">
        <f>IF(F2482=TRUE,Comments!$B$35&amp;DOLLAR(INDEX(Min_Table,M2482),0)&amp;Comments!$B$18&amp;DOLLAR(INDEX(Max_Table,M2482),0)&amp;Comments!$B$19&amp;DOLLAR(IFERROR(Page7!K38/Page7!J38,0),0),"")</f>
        <v/>
      </c>
      <c r="L2482" s="611">
        <f>ROW(OR_VEH!$A646)</f>
        <v>646</v>
      </c>
      <c r="M2482" s="611">
        <f>ROW(OR_VEH!$A645)</f>
        <v>645</v>
      </c>
      <c r="N2482" s="611" t="s">
        <v>1724</v>
      </c>
      <c r="O2482" s="611" t="str">
        <f t="shared" si="333"/>
        <v/>
      </c>
      <c r="P2482" s="611" t="str">
        <f t="shared" si="327"/>
        <v>Page7!K</v>
      </c>
      <c r="Q2482" s="611">
        <f t="shared" si="328"/>
        <v>38</v>
      </c>
      <c r="R2482" s="1447">
        <f t="shared" ca="1" si="329"/>
        <v>0</v>
      </c>
      <c r="S2482" s="1447">
        <f t="shared" ca="1" si="330"/>
        <v>0</v>
      </c>
      <c r="T2482" s="611">
        <v>67</v>
      </c>
      <c r="U2482" s="611">
        <v>35</v>
      </c>
      <c r="V2482" s="2557" t="str">
        <f t="shared" ca="1" si="332"/>
        <v/>
      </c>
      <c r="W2482" s="611" t="str">
        <f t="shared" ca="1" si="331"/>
        <v>Page7, Ligne 35 [Page7!K38]  -</v>
      </c>
    </row>
    <row r="2483" spans="1:23">
      <c r="A2483" s="611" t="str">
        <f>celladdr(Page7!K40)</f>
        <v>Page7!K40</v>
      </c>
      <c r="B2483" s="1464" t="s">
        <v>1086</v>
      </c>
      <c r="C2483" s="1451"/>
      <c r="G2483" s="1444" t="str">
        <f t="shared" si="326"/>
        <v/>
      </c>
      <c r="I2483" s="1446"/>
      <c r="N2483" s="611" t="s">
        <v>1725</v>
      </c>
      <c r="O2483" s="611" t="str">
        <f t="shared" si="333"/>
        <v/>
      </c>
      <c r="P2483" s="611" t="str">
        <f t="shared" si="327"/>
        <v>Page7!K</v>
      </c>
      <c r="Q2483" s="611">
        <f t="shared" si="328"/>
        <v>40</v>
      </c>
      <c r="R2483" s="1447">
        <f t="shared" ca="1" si="329"/>
        <v>0</v>
      </c>
      <c r="S2483" s="1447">
        <f t="shared" ca="1" si="330"/>
        <v>0</v>
      </c>
      <c r="V2483" s="2557" t="str">
        <f t="shared" ca="1" si="332"/>
        <v/>
      </c>
      <c r="W2483" s="611" t="str">
        <f t="shared" ca="1" si="331"/>
        <v>Page7, Ligne 37 [Page7!K40]  -</v>
      </c>
    </row>
    <row r="2484" spans="1:23">
      <c r="A2484" s="611" t="str">
        <f>celladdr(Page7!K41)</f>
        <v>Page7!K41</v>
      </c>
      <c r="B2484" s="1464" t="s">
        <v>1086</v>
      </c>
      <c r="C2484" s="1451"/>
      <c r="G2484" s="1444" t="str">
        <f t="shared" si="326"/>
        <v/>
      </c>
      <c r="I2484" s="1446"/>
      <c r="N2484" s="611" t="s">
        <v>1726</v>
      </c>
      <c r="O2484" s="611" t="str">
        <f t="shared" si="333"/>
        <v/>
      </c>
      <c r="P2484" s="611" t="str">
        <f t="shared" si="327"/>
        <v>Page7!K</v>
      </c>
      <c r="Q2484" s="611">
        <f t="shared" si="328"/>
        <v>41</v>
      </c>
      <c r="R2484" s="1447">
        <f t="shared" ca="1" si="329"/>
        <v>0</v>
      </c>
      <c r="S2484" s="1447">
        <f t="shared" ca="1" si="330"/>
        <v>0</v>
      </c>
      <c r="V2484" s="2557" t="str">
        <f t="shared" ca="1" si="332"/>
        <v/>
      </c>
      <c r="W2484" s="611" t="str">
        <f t="shared" ca="1" si="331"/>
        <v>Page7, Ligne 38 [Page7!K41]  -</v>
      </c>
    </row>
    <row r="2485" spans="1:23">
      <c r="A2485" s="611" t="str">
        <f>celladdr(Page7!K42)</f>
        <v>Page7!K42</v>
      </c>
      <c r="B2485" s="1464" t="s">
        <v>1086</v>
      </c>
      <c r="C2485" s="1445" t="b">
        <f>(Page1!$I$31+Page1!$I$32+Page1!$I$33+Page1!$I$37)&lt;&gt;(Page7!$F$42+Page7!$K$42)</f>
        <v>0</v>
      </c>
      <c r="G2485" s="1444" t="str">
        <f t="shared" si="326"/>
        <v/>
      </c>
      <c r="H2485" s="1446" t="str">
        <f>IF(C2485=TRUE,Comments!$B$3&amp;DOLLAR((Page1!$I$31+Page1!$I$32+Page1!$I$33+Page1!$I$37)-(Page7!$F$42+Page7!$K$42),0),"")</f>
        <v/>
      </c>
      <c r="J2485" s="1446"/>
      <c r="N2485" s="611" t="s">
        <v>1727</v>
      </c>
      <c r="O2485" s="611" t="str">
        <f t="shared" si="333"/>
        <v/>
      </c>
      <c r="P2485" s="611" t="str">
        <f t="shared" si="327"/>
        <v>Page7!K</v>
      </c>
      <c r="Q2485" s="611">
        <f t="shared" si="328"/>
        <v>42</v>
      </c>
      <c r="R2485" s="1447">
        <f t="shared" ca="1" si="329"/>
        <v>0</v>
      </c>
      <c r="S2485" s="1447">
        <f t="shared" ca="1" si="330"/>
        <v>0</v>
      </c>
      <c r="V2485" s="2557" t="str">
        <f t="shared" ca="1" si="332"/>
        <v/>
      </c>
      <c r="W2485" s="611" t="str">
        <f t="shared" ca="1" si="331"/>
        <v>Page7, Ligne 39 [Page7!K42]  -</v>
      </c>
    </row>
    <row r="2486" spans="1:23">
      <c r="A2486" s="1443" t="str">
        <f>celladdr(Page7!K47)</f>
        <v>Page7!K47</v>
      </c>
      <c r="B2486" s="1464" t="s">
        <v>1086</v>
      </c>
      <c r="D2486" s="1454" t="b">
        <f>OR(Page7!$K$47&lt;INDEX(Min_Table,L2486),Page7!$K$47&gt;INDEX(Max_Table,L2486))</f>
        <v>0</v>
      </c>
      <c r="E2486" s="1454"/>
      <c r="F2486" s="1454"/>
      <c r="G2486" s="1444" t="str">
        <f t="shared" si="326"/>
        <v/>
      </c>
      <c r="H2486" s="1446"/>
      <c r="I2486" s="1446" t="str">
        <f>IF(D2486=TRUE,Comments!$B$17&amp;INDEX(Min_Table,L2486)&amp;Comments!$B$18&amp;INDEX(Max_Table,L2486),"")</f>
        <v/>
      </c>
      <c r="J2486" s="1446"/>
      <c r="K2486" s="1452"/>
      <c r="L2486" s="611">
        <f>ROW(OR_VEH!$A$671)</f>
        <v>671</v>
      </c>
      <c r="N2486" s="611" t="s">
        <v>1728</v>
      </c>
      <c r="O2486" s="611" t="str">
        <f t="shared" si="333"/>
        <v/>
      </c>
      <c r="P2486" s="611" t="str">
        <f t="shared" si="327"/>
        <v>Page7!K</v>
      </c>
      <c r="Q2486" s="611">
        <f t="shared" si="328"/>
        <v>47</v>
      </c>
      <c r="R2486" s="1447">
        <f t="shared" ca="1" si="329"/>
        <v>0</v>
      </c>
      <c r="S2486" s="1447">
        <f t="shared" ca="1" si="330"/>
        <v>0</v>
      </c>
      <c r="V2486" s="2557" t="str">
        <f t="shared" ca="1" si="332"/>
        <v/>
      </c>
      <c r="W2486" s="611" t="str">
        <f t="shared" ca="1" si="331"/>
        <v>Page7, Ligne 44 [Page7!K47]  -</v>
      </c>
    </row>
    <row r="2487" spans="1:23">
      <c r="A2487" s="1443" t="str">
        <f>celladdr(Page7!K48)</f>
        <v>Page7!K48</v>
      </c>
      <c r="B2487" s="1464" t="s">
        <v>1086</v>
      </c>
      <c r="D2487" s="1454" t="b">
        <f>OR(Page7!$K$48&lt;INDEX(Min_Table,L2487),Page7!$K$48&gt;INDEX(Max_Table,L2487))</f>
        <v>0</v>
      </c>
      <c r="E2487" s="1454"/>
      <c r="F2487" s="1454"/>
      <c r="G2487" s="1444" t="str">
        <f t="shared" si="326"/>
        <v/>
      </c>
      <c r="H2487" s="1446"/>
      <c r="I2487" s="1446" t="str">
        <f>IF(D2487=TRUE,Comments!$B$17&amp;INDEX(Min_Table,L2487)&amp;Comments!$B$18&amp;INDEX(Max_Table,L2487),"")</f>
        <v/>
      </c>
      <c r="J2487" s="1446"/>
      <c r="K2487" s="1452"/>
      <c r="L2487" s="611">
        <f>ROW(OR_VEH!$A$671)</f>
        <v>671</v>
      </c>
      <c r="N2487" s="611" t="s">
        <v>1729</v>
      </c>
      <c r="O2487" s="611" t="str">
        <f t="shared" si="333"/>
        <v/>
      </c>
      <c r="P2487" s="611" t="str">
        <f t="shared" si="327"/>
        <v>Page7!K</v>
      </c>
      <c r="Q2487" s="611">
        <f t="shared" si="328"/>
        <v>48</v>
      </c>
      <c r="R2487" s="1447">
        <f t="shared" ca="1" si="329"/>
        <v>0</v>
      </c>
      <c r="S2487" s="1447">
        <f t="shared" ca="1" si="330"/>
        <v>0</v>
      </c>
      <c r="V2487" s="2557" t="str">
        <f t="shared" ca="1" si="332"/>
        <v/>
      </c>
      <c r="W2487" s="611" t="str">
        <f t="shared" ca="1" si="331"/>
        <v>Page7, Ligne 45 [Page7!K48]  -</v>
      </c>
    </row>
    <row r="2488" spans="1:23">
      <c r="A2488" s="1443" t="str">
        <f>celladdr(Page7!K49)</f>
        <v>Page7!K49</v>
      </c>
      <c r="B2488" s="1464" t="s">
        <v>1086</v>
      </c>
      <c r="D2488" s="1454" t="b">
        <f>OR(Page7!$K$49&lt;INDEX(Min_Table,L2488),Page7!$K$49&gt;INDEX(Max_Table,L2488))</f>
        <v>0</v>
      </c>
      <c r="E2488" s="1454"/>
      <c r="F2488" s="1454"/>
      <c r="G2488" s="1444" t="str">
        <f t="shared" si="326"/>
        <v/>
      </c>
      <c r="H2488" s="1446"/>
      <c r="I2488" s="1446" t="str">
        <f>IF(D2488=TRUE,Comments!$B$17&amp;INDEX(Min_Table,L2488)&amp;Comments!$B$18&amp;INDEX(Max_Table,L2488),"")</f>
        <v/>
      </c>
      <c r="J2488" s="1446"/>
      <c r="K2488" s="1452"/>
      <c r="L2488" s="611">
        <f>ROW(OR_VEH!$A$671)</f>
        <v>671</v>
      </c>
      <c r="N2488" s="611" t="s">
        <v>1730</v>
      </c>
      <c r="O2488" s="611" t="str">
        <f t="shared" si="333"/>
        <v/>
      </c>
      <c r="P2488" s="611" t="str">
        <f t="shared" si="327"/>
        <v>Page7!K</v>
      </c>
      <c r="Q2488" s="611">
        <f t="shared" si="328"/>
        <v>49</v>
      </c>
      <c r="R2488" s="1447">
        <f t="shared" ca="1" si="329"/>
        <v>0</v>
      </c>
      <c r="S2488" s="1447">
        <f t="shared" ca="1" si="330"/>
        <v>0</v>
      </c>
      <c r="V2488" s="2557" t="str">
        <f t="shared" ca="1" si="332"/>
        <v/>
      </c>
      <c r="W2488" s="611" t="str">
        <f t="shared" ca="1" si="331"/>
        <v>Page7, Ligne 46 [Page7!K49]  -</v>
      </c>
    </row>
    <row r="2489" spans="1:23">
      <c r="A2489" s="1443" t="str">
        <f>celladdr(Page7!K50)</f>
        <v>Page7!K50</v>
      </c>
      <c r="B2489" s="1464" t="s">
        <v>1086</v>
      </c>
      <c r="D2489" s="1454" t="b">
        <f>OR(Page7!$K$50&lt;INDEX(Min_Table,L2489),Page7!$K$50&gt;INDEX(Max_Table,L2489))</f>
        <v>0</v>
      </c>
      <c r="E2489" s="1454"/>
      <c r="F2489" s="1454"/>
      <c r="G2489" s="1444" t="str">
        <f t="shared" si="326"/>
        <v/>
      </c>
      <c r="H2489" s="1446"/>
      <c r="I2489" s="1446" t="str">
        <f>IF(D2489=TRUE,Comments!$B$17&amp;INDEX(Min_Table,L2489)&amp;Comments!$B$18&amp;INDEX(Max_Table,L2489),"")</f>
        <v/>
      </c>
      <c r="J2489" s="1446"/>
      <c r="K2489" s="1452"/>
      <c r="L2489" s="611">
        <f>ROW(OR_VEH!$A$671)</f>
        <v>671</v>
      </c>
      <c r="N2489" s="4" t="s">
        <v>1731</v>
      </c>
      <c r="O2489" s="611" t="str">
        <f t="shared" si="333"/>
        <v/>
      </c>
      <c r="P2489" s="611" t="str">
        <f t="shared" si="327"/>
        <v>Page7!K</v>
      </c>
      <c r="Q2489" s="611">
        <f t="shared" si="328"/>
        <v>50</v>
      </c>
      <c r="R2489" s="1447">
        <f t="shared" ca="1" si="329"/>
        <v>0</v>
      </c>
      <c r="S2489" s="1447">
        <f t="shared" ca="1" si="330"/>
        <v>0</v>
      </c>
      <c r="V2489" s="2557" t="str">
        <f t="shared" ca="1" si="332"/>
        <v/>
      </c>
      <c r="W2489" s="611" t="str">
        <f t="shared" ca="1" si="331"/>
        <v>Page7, Ligne 47 [Page7!K50]  -</v>
      </c>
    </row>
    <row r="2490" spans="1:23">
      <c r="A2490" s="1443" t="str">
        <f>celladdr(Page7!K51)</f>
        <v>Page7!K51</v>
      </c>
      <c r="B2490" s="1464" t="s">
        <v>1086</v>
      </c>
      <c r="D2490" s="1454" t="b">
        <f>OR(Page7!$K$51&lt;INDEX(Min_Table,L2490),Page7!$K$51&gt;INDEX(Max_Table,L2490))</f>
        <v>0</v>
      </c>
      <c r="E2490" s="1454"/>
      <c r="F2490" s="1454"/>
      <c r="G2490" s="1444" t="str">
        <f t="shared" si="326"/>
        <v/>
      </c>
      <c r="H2490" s="1446"/>
      <c r="I2490" s="1446" t="str">
        <f>IF(D2490=TRUE,Comments!$B$17&amp;INDEX(Min_Table,L2490)&amp;Comments!$B$18&amp;INDEX(Max_Table,L2490),"")</f>
        <v/>
      </c>
      <c r="J2490" s="1446"/>
      <c r="K2490" s="1452"/>
      <c r="L2490" s="611">
        <f>ROW(OR_VEH!$A$671)</f>
        <v>671</v>
      </c>
      <c r="N2490" s="611" t="s">
        <v>1732</v>
      </c>
      <c r="O2490" s="611" t="str">
        <f t="shared" si="333"/>
        <v/>
      </c>
      <c r="P2490" s="611" t="str">
        <f t="shared" si="327"/>
        <v>Page7!K</v>
      </c>
      <c r="Q2490" s="611">
        <f t="shared" si="328"/>
        <v>51</v>
      </c>
      <c r="R2490" s="1447">
        <f t="shared" ca="1" si="329"/>
        <v>0</v>
      </c>
      <c r="S2490" s="1447">
        <f t="shared" ca="1" si="330"/>
        <v>0</v>
      </c>
      <c r="V2490" s="2557" t="str">
        <f t="shared" ca="1" si="332"/>
        <v/>
      </c>
      <c r="W2490" s="611" t="str">
        <f t="shared" ca="1" si="331"/>
        <v>Page7, Ligne 48 [Page7!K51]  -</v>
      </c>
    </row>
    <row r="2491" spans="1:23">
      <c r="A2491" s="1443" t="str">
        <f>celladdr(Page7!K52)</f>
        <v>Page7!K52</v>
      </c>
      <c r="B2491" s="1464" t="s">
        <v>1086</v>
      </c>
      <c r="D2491" s="1454" t="b">
        <f>OR(Page7!$K$52&lt;INDEX(Min_Table,L2491),Page7!$K$52&gt;INDEX(Max_Table,L2491))</f>
        <v>0</v>
      </c>
      <c r="G2491" s="1444" t="str">
        <f t="shared" si="326"/>
        <v/>
      </c>
      <c r="H2491" s="1446"/>
      <c r="I2491" s="1446" t="str">
        <f>IF(D2491=TRUE,Comments!$B$17&amp;INDEX(Min_Table,L2491)&amp;Comments!$B$18&amp;INDEX(Max_Table,L2491),"")</f>
        <v/>
      </c>
      <c r="L2491" s="611">
        <f>ROW(OR_VEH!$A$671)</f>
        <v>671</v>
      </c>
      <c r="N2491" s="611" t="s">
        <v>1733</v>
      </c>
      <c r="O2491" s="611" t="str">
        <f t="shared" si="333"/>
        <v/>
      </c>
      <c r="P2491" s="611" t="str">
        <f t="shared" si="327"/>
        <v>Page7!K</v>
      </c>
      <c r="Q2491" s="611">
        <f t="shared" si="328"/>
        <v>52</v>
      </c>
      <c r="R2491" s="1447">
        <f t="shared" ca="1" si="329"/>
        <v>0</v>
      </c>
      <c r="S2491" s="1447">
        <f t="shared" ca="1" si="330"/>
        <v>0</v>
      </c>
      <c r="V2491" s="2557" t="str">
        <f t="shared" ca="1" si="332"/>
        <v/>
      </c>
      <c r="W2491" s="611" t="str">
        <f t="shared" ca="1" si="331"/>
        <v>Page7, Ligne 49 [Page7!K52]  -</v>
      </c>
    </row>
    <row r="2492" spans="1:23">
      <c r="A2492" s="1443" t="str">
        <f>celladdr(Page7!K53)</f>
        <v>Page7!K53</v>
      </c>
      <c r="B2492" s="1464" t="s">
        <v>1086</v>
      </c>
      <c r="D2492" s="1454" t="b">
        <f>OR(Page7!$K$53&lt;INDEX(Min_Table,L2492),Page7!$K$53&gt;INDEX(Max_Table,L2492))</f>
        <v>0</v>
      </c>
      <c r="G2492" s="1444" t="str">
        <f t="shared" si="326"/>
        <v/>
      </c>
      <c r="H2492" s="1446"/>
      <c r="I2492" s="1446" t="str">
        <f>IF(D2492=TRUE,Comments!$B$17&amp;INDEX(Min_Table,L2492)&amp;Comments!$B$18&amp;INDEX(Max_Table,L2492),"")</f>
        <v/>
      </c>
      <c r="J2492" s="1446"/>
      <c r="L2492" s="611">
        <f>ROW(OR_VEH!$A$671)</f>
        <v>671</v>
      </c>
      <c r="N2492" s="611" t="s">
        <v>1734</v>
      </c>
      <c r="O2492" s="611" t="str">
        <f t="shared" si="333"/>
        <v/>
      </c>
      <c r="P2492" s="611" t="str">
        <f t="shared" si="327"/>
        <v>Page7!K</v>
      </c>
      <c r="Q2492" s="611">
        <f t="shared" si="328"/>
        <v>53</v>
      </c>
      <c r="R2492" s="1447">
        <f t="shared" ca="1" si="329"/>
        <v>0</v>
      </c>
      <c r="S2492" s="1447">
        <f t="shared" ca="1" si="330"/>
        <v>0</v>
      </c>
      <c r="V2492" s="2557" t="str">
        <f t="shared" ca="1" si="332"/>
        <v/>
      </c>
      <c r="W2492" s="611" t="str">
        <f t="shared" ca="1" si="331"/>
        <v>Page7, Ligne 50 [Page7!K53]  -</v>
      </c>
    </row>
    <row r="2493" spans="1:23">
      <c r="A2493" s="1443" t="str">
        <f>celladdr(Page7!K55)</f>
        <v>Page7!K55</v>
      </c>
      <c r="B2493" s="1464" t="s">
        <v>1086</v>
      </c>
      <c r="D2493" s="1454" t="b">
        <f>OR(Page7!$K$55&lt;INDEX(Min_Table,L2493),Page7!$K$55&gt;INDEX(Max_Table,L2493))</f>
        <v>0</v>
      </c>
      <c r="G2493" s="1444" t="str">
        <f t="shared" si="326"/>
        <v/>
      </c>
      <c r="I2493" s="1446" t="str">
        <f>IF(D2493=TRUE,Comments!$B$17&amp;INDEX(Min_Table,L2493)&amp;Comments!$B$18&amp;INDEX(Max_Table,L2493),"")</f>
        <v/>
      </c>
      <c r="L2493" s="611">
        <f>ROW(OR_VEH!$A$671)</f>
        <v>671</v>
      </c>
      <c r="N2493" s="611" t="s">
        <v>1735</v>
      </c>
      <c r="O2493" s="611" t="str">
        <f t="shared" si="333"/>
        <v/>
      </c>
      <c r="P2493" s="611" t="str">
        <f t="shared" si="327"/>
        <v>Page7!K</v>
      </c>
      <c r="Q2493" s="611">
        <f t="shared" si="328"/>
        <v>55</v>
      </c>
      <c r="R2493" s="1447">
        <f t="shared" ca="1" si="329"/>
        <v>0</v>
      </c>
      <c r="S2493" s="1447">
        <f t="shared" ca="1" si="330"/>
        <v>0</v>
      </c>
      <c r="V2493" s="2557" t="str">
        <f t="shared" ca="1" si="332"/>
        <v/>
      </c>
      <c r="W2493" s="611" t="str">
        <f t="shared" ca="1" si="331"/>
        <v>Page7, Ligne 52 [Page7!K55]  -</v>
      </c>
    </row>
    <row r="2494" spans="1:23">
      <c r="A2494" s="1443" t="str">
        <f>celladdr(Page7!K56)</f>
        <v>Page7!K56</v>
      </c>
      <c r="B2494" s="1464" t="s">
        <v>1086</v>
      </c>
      <c r="D2494" s="1454" t="b">
        <f>OR(Page7!$K$56&lt;INDEX(Min_Table,L2494),Page7!$K$56&gt;INDEX(Max_Table,L2494))</f>
        <v>0</v>
      </c>
      <c r="E2494" s="1454"/>
      <c r="F2494" s="1454"/>
      <c r="G2494" s="1444" t="str">
        <f t="shared" si="326"/>
        <v/>
      </c>
      <c r="I2494" s="1446" t="str">
        <f>IF(D2494=TRUE,Comments!$B$17&amp;INDEX(Min_Table,L2494)&amp;Comments!$B$18&amp;INDEX(Max_Table,L2494),"")</f>
        <v/>
      </c>
      <c r="J2494" s="1446"/>
      <c r="K2494" s="1452"/>
      <c r="L2494" s="611">
        <f>ROW(OR_VEH!$A$671)</f>
        <v>671</v>
      </c>
      <c r="N2494" s="611" t="s">
        <v>1736</v>
      </c>
      <c r="O2494" s="611" t="str">
        <f t="shared" si="333"/>
        <v/>
      </c>
      <c r="P2494" s="611" t="str">
        <f t="shared" si="327"/>
        <v>Page7!K</v>
      </c>
      <c r="Q2494" s="611">
        <f t="shared" si="328"/>
        <v>56</v>
      </c>
      <c r="R2494" s="1447">
        <f t="shared" ca="1" si="329"/>
        <v>0</v>
      </c>
      <c r="S2494" s="1447">
        <f t="shared" ca="1" si="330"/>
        <v>0</v>
      </c>
      <c r="V2494" s="2557" t="str">
        <f t="shared" ca="1" si="332"/>
        <v/>
      </c>
      <c r="W2494" s="611" t="str">
        <f t="shared" ca="1" si="331"/>
        <v>Page7, Ligne 53 [Page7!K56]  -</v>
      </c>
    </row>
    <row r="2495" spans="1:23">
      <c r="A2495" s="1443" t="str">
        <f>celladdr(Page7!K79)</f>
        <v>Page7!K79</v>
      </c>
      <c r="B2495" s="1464" t="s">
        <v>1086</v>
      </c>
      <c r="C2495" s="1451" t="b">
        <f>Page7!K79&lt;0</f>
        <v>0</v>
      </c>
      <c r="D2495" s="1454" t="b">
        <f>OR(AND(Page7!$K$79&lt;&gt;0,Page7!$L$79=0),AND(Page7!$L$79&lt;&gt;0,Page7!$K$79=0))</f>
        <v>0</v>
      </c>
      <c r="E2495" s="1454"/>
      <c r="F2495" s="1454"/>
      <c r="G2495" s="1444" t="str">
        <f t="shared" si="326"/>
        <v/>
      </c>
      <c r="H2495" s="1447" t="str">
        <f>IF(C2495=TRUE,Comments!$B$23,"")</f>
        <v/>
      </c>
      <c r="I2495" s="1446" t="str">
        <f>IF(D2495=TRUE,Comments!$B$24,"")</f>
        <v/>
      </c>
      <c r="J2495" s="1446"/>
      <c r="K2495" s="1452"/>
      <c r="N2495" s="611" t="str">
        <f>"CPTE # "&amp;Page7!$D$79&amp;"  "&amp;Page7!$C$79&amp;" - CHIFFRE D'AFFAIRES RÉALISÉ - AAD"</f>
        <v>CPTE # 445  AUTRES VÉH. NEUFS (PVND) - CHIFFRE D'AFFAIRES RÉALISÉ - AAD</v>
      </c>
      <c r="O2495" s="611" t="str">
        <f t="shared" si="333"/>
        <v/>
      </c>
      <c r="P2495" s="611" t="str">
        <f t="shared" si="327"/>
        <v>Page7!K</v>
      </c>
      <c r="Q2495" s="611">
        <f t="shared" si="328"/>
        <v>79</v>
      </c>
      <c r="R2495" s="1447">
        <f t="shared" ca="1" si="329"/>
        <v>0</v>
      </c>
      <c r="S2495" s="1447">
        <f t="shared" ca="1" si="330"/>
        <v>0</v>
      </c>
      <c r="V2495" s="2557" t="str">
        <f t="shared" ca="1" si="332"/>
        <v/>
      </c>
      <c r="W2495" s="611" t="str">
        <f t="shared" ca="1" si="331"/>
        <v>Page7, Ligne 76 [Page7!K79]  -</v>
      </c>
    </row>
    <row r="2496" spans="1:23">
      <c r="A2496" s="1443" t="str">
        <f>celladdr(Page7!L6)</f>
        <v>Page7!L6</v>
      </c>
      <c r="B2496" s="1456" t="s">
        <v>1086</v>
      </c>
      <c r="C2496" s="1454"/>
      <c r="D2496" s="1454"/>
      <c r="G2496" s="1444" t="str">
        <f t="shared" si="326"/>
        <v/>
      </c>
      <c r="H2496" s="1446"/>
      <c r="I2496" s="1446"/>
      <c r="N2496" s="611" t="s">
        <v>1737</v>
      </c>
      <c r="O2496" s="611" t="str">
        <f t="shared" si="333"/>
        <v/>
      </c>
      <c r="P2496" s="611" t="str">
        <f t="shared" si="327"/>
        <v>Page7!L</v>
      </c>
      <c r="Q2496" s="611">
        <f t="shared" si="328"/>
        <v>6</v>
      </c>
      <c r="R2496" s="1447">
        <f t="shared" ca="1" si="329"/>
        <v>0</v>
      </c>
      <c r="S2496" s="1447">
        <f t="shared" ca="1" si="330"/>
        <v>0</v>
      </c>
      <c r="V2496" s="2557" t="str">
        <f t="shared" ca="1" si="332"/>
        <v/>
      </c>
      <c r="W2496" s="611" t="str">
        <f t="shared" ca="1" si="331"/>
        <v>Page7, Ligne 3 [Page7!L6]  -</v>
      </c>
    </row>
    <row r="2497" spans="1:23">
      <c r="A2497" s="1443" t="str">
        <f>celladdr(Page7!L7)</f>
        <v>Page7!L7</v>
      </c>
      <c r="B2497" s="1456" t="s">
        <v>1086</v>
      </c>
      <c r="C2497" s="1454" t="b">
        <f>OR(AND(Page7!$J$7&gt;0,Page7!$L$7=0),AND(Page7!$K$7&lt;&gt;0,Page7!$L$7=0),AND(Page7!$L$7&lt;&gt;0,OR(Page7!$J$7=0,Page7!$K$7=0)))</f>
        <v>0</v>
      </c>
      <c r="D2497" s="1454"/>
      <c r="E2497" s="1454"/>
      <c r="G2497" s="1444" t="str">
        <f t="shared" si="326"/>
        <v/>
      </c>
      <c r="H2497" s="1446" t="str">
        <f>IF(C2497=TRUE,Comments!$B$21,"")</f>
        <v/>
      </c>
      <c r="I2497" s="1446"/>
      <c r="J2497" s="1446"/>
      <c r="N2497" s="611" t="s">
        <v>1738</v>
      </c>
      <c r="O2497" s="611" t="str">
        <f t="shared" si="333"/>
        <v/>
      </c>
      <c r="P2497" s="611" t="str">
        <f t="shared" si="327"/>
        <v>Page7!L</v>
      </c>
      <c r="Q2497" s="611">
        <f t="shared" si="328"/>
        <v>7</v>
      </c>
      <c r="R2497" s="1447">
        <f t="shared" ca="1" si="329"/>
        <v>0</v>
      </c>
      <c r="S2497" s="1447">
        <f t="shared" ca="1" si="330"/>
        <v>0</v>
      </c>
      <c r="V2497" s="2557" t="str">
        <f t="shared" ca="1" si="332"/>
        <v/>
      </c>
      <c r="W2497" s="611" t="str">
        <f t="shared" ca="1" si="331"/>
        <v>Page7, Ligne 4 [Page7!L7]  -</v>
      </c>
    </row>
    <row r="2498" spans="1:23">
      <c r="A2498" s="1443" t="str">
        <f>celladdr(Page7!L8)</f>
        <v>Page7!L8</v>
      </c>
      <c r="B2498" s="1456" t="s">
        <v>1086</v>
      </c>
      <c r="C2498" s="1454" t="b">
        <f>OR(AND(Page7!$K$8&lt;&gt;0,Page7!$L$8=0),AND(Page7!$L$8&lt;&gt;0,Page7!$K$8=0))</f>
        <v>0</v>
      </c>
      <c r="D2498" s="1454"/>
      <c r="E2498" s="1454"/>
      <c r="G2498" s="1444" t="str">
        <f t="shared" ref="G2498:G2561" si="334">IF(H2498&amp;I2498&amp;J2498&amp;K2498&lt;&gt;"","No.de ref. du commentaire.: "&amp;W2498&amp;" "&amp;N2498&amp;" "&amp;H2498&amp;I2498&amp;IF(OR(C2498=TRUE,D2498=TRUE),"",J2498&amp;K2498&amp;V2498),"")</f>
        <v/>
      </c>
      <c r="H2498" s="1446" t="str">
        <f>IF(C2498=TRUE,Comments!$B$24,"")</f>
        <v/>
      </c>
      <c r="I2498" s="1446"/>
      <c r="J2498" s="1446"/>
      <c r="N2498" s="611" t="s">
        <v>1739</v>
      </c>
      <c r="O2498" s="611" t="str">
        <f t="shared" si="333"/>
        <v/>
      </c>
      <c r="P2498" s="611" t="str">
        <f t="shared" ref="P2498:P2561" si="335">LEFT(A2498,FIND("!",A2498)+1)</f>
        <v>Page7!L</v>
      </c>
      <c r="Q2498" s="611">
        <f t="shared" ref="Q2498:Q2561" si="336">VALUE(RIGHT(A2498,LEN(A2498)-FIND("!",A2498)-1))</f>
        <v>8</v>
      </c>
      <c r="R2498" s="1447">
        <f t="shared" ref="R2498:R2561" ca="1" si="337">IF(E2498=TRUE,INDIRECT("Comments!$D$"&amp;T2498),0)</f>
        <v>0</v>
      </c>
      <c r="S2498" s="1447">
        <f t="shared" ref="S2498:S2561" ca="1" si="338">IF(F2498=TRUE,INDIRECT("Comments!$D$"&amp;U2498),0)</f>
        <v>0</v>
      </c>
      <c r="V2498" s="2557" t="str">
        <f t="shared" ca="1" si="332"/>
        <v/>
      </c>
      <c r="W2498" s="611" t="str">
        <f t="shared" ref="W2498:W2561" ca="1" si="339">LEFT(A2498,FIND("!",A2498,1)-1)&amp;", Ligne "&amp;INDIRECT(ADDRESS(ROW(INDIRECT(A2498)),IF(INDIRECT(ADDRESS(ROW(INDIRECT(A2498)),1,,,LEFT(A2498,FIND("!",A2498,1)-1)))="",2,1),,,LEFT(A2498,FIND("!",A2498,1)-1)))&amp;" ["&amp;A2498&amp;"] "&amp;" -"</f>
        <v>Page7, Ligne 5 [Page7!L8]  -</v>
      </c>
    </row>
    <row r="2499" spans="1:23">
      <c r="A2499" s="1443" t="str">
        <f>celladdr(Page7!L9)</f>
        <v>Page7!L9</v>
      </c>
      <c r="B2499" s="1456" t="s">
        <v>1086</v>
      </c>
      <c r="C2499" s="1454" t="b">
        <f>OR(AND(Page7!$J$9&gt;0,Page7!$L$9=0),AND(Page7!$K$9&lt;&gt;0,Page7!$L$9=0),AND(Page7!$L$9&lt;&gt;0,OR(Page7!$J$9=0,Page7!$K$9=0)))</f>
        <v>0</v>
      </c>
      <c r="D2499" s="1454"/>
      <c r="G2499" s="1444" t="str">
        <f t="shared" si="334"/>
        <v/>
      </c>
      <c r="H2499" s="1446" t="str">
        <f>IF(C2499=TRUE,Comments!$B$21,"")</f>
        <v/>
      </c>
      <c r="I2499" s="1446"/>
      <c r="J2499" s="1446"/>
      <c r="N2499" s="611" t="s">
        <v>1740</v>
      </c>
      <c r="O2499" s="611" t="str">
        <f t="shared" si="333"/>
        <v/>
      </c>
      <c r="P2499" s="611" t="str">
        <f t="shared" si="335"/>
        <v>Page7!L</v>
      </c>
      <c r="Q2499" s="611">
        <f t="shared" si="336"/>
        <v>9</v>
      </c>
      <c r="R2499" s="1447">
        <f t="shared" ca="1" si="337"/>
        <v>0</v>
      </c>
      <c r="S2499" s="1447">
        <f t="shared" ca="1" si="338"/>
        <v>0</v>
      </c>
      <c r="V2499" s="2557" t="str">
        <f t="shared" ca="1" si="332"/>
        <v/>
      </c>
      <c r="W2499" s="611" t="str">
        <f t="shared" ca="1" si="339"/>
        <v>Page7, Ligne 6 [Page7!L9]  -</v>
      </c>
    </row>
    <row r="2500" spans="1:23">
      <c r="A2500" s="1443" t="str">
        <f>celladdr(Page7!L10)</f>
        <v>Page7!L10</v>
      </c>
      <c r="B2500" s="1456" t="s">
        <v>1086</v>
      </c>
      <c r="C2500" s="1454" t="b">
        <f>OR(AND(Page7!$J$10&gt;0,Page7!$L$10=0),AND(Page7!$K$10&lt;&gt;0,Page7!$L$10=0),AND(Page7!$L$10&lt;&gt;0,OR(Page7!$J$10=0,Page7!$K$10=0)))</f>
        <v>0</v>
      </c>
      <c r="D2500" s="1454"/>
      <c r="E2500" s="1454"/>
      <c r="G2500" s="1444" t="str">
        <f t="shared" si="334"/>
        <v/>
      </c>
      <c r="H2500" s="1446" t="str">
        <f>IF(C2500=TRUE,Comments!$B$21,"")</f>
        <v/>
      </c>
      <c r="I2500" s="1446"/>
      <c r="J2500" s="1446"/>
      <c r="N2500" s="611" t="s">
        <v>1741</v>
      </c>
      <c r="O2500" s="611" t="str">
        <f t="shared" si="333"/>
        <v/>
      </c>
      <c r="P2500" s="611" t="str">
        <f t="shared" si="335"/>
        <v>Page7!L</v>
      </c>
      <c r="Q2500" s="611">
        <f t="shared" si="336"/>
        <v>10</v>
      </c>
      <c r="R2500" s="1447">
        <f t="shared" ca="1" si="337"/>
        <v>0</v>
      </c>
      <c r="S2500" s="1447">
        <f t="shared" ca="1" si="338"/>
        <v>0</v>
      </c>
      <c r="V2500" s="2557" t="str">
        <f t="shared" ca="1" si="332"/>
        <v/>
      </c>
      <c r="W2500" s="611" t="str">
        <f t="shared" ca="1" si="339"/>
        <v>Page7, Ligne 7 [Page7!L10]  -</v>
      </c>
    </row>
    <row r="2501" spans="1:23">
      <c r="A2501" s="1443" t="str">
        <f>celladdr(Page7!L11)</f>
        <v>Page7!L11</v>
      </c>
      <c r="B2501" s="1456" t="s">
        <v>1086</v>
      </c>
      <c r="C2501" s="1454"/>
      <c r="D2501" s="1454"/>
      <c r="G2501" s="1444" t="str">
        <f t="shared" si="334"/>
        <v/>
      </c>
      <c r="H2501" s="1446"/>
      <c r="I2501" s="1446"/>
      <c r="N2501" s="611" t="s">
        <v>1742</v>
      </c>
      <c r="O2501" s="611" t="str">
        <f t="shared" si="333"/>
        <v/>
      </c>
      <c r="P2501" s="611" t="str">
        <f t="shared" si="335"/>
        <v>Page7!L</v>
      </c>
      <c r="Q2501" s="611">
        <f t="shared" si="336"/>
        <v>11</v>
      </c>
      <c r="R2501" s="1447">
        <f t="shared" ca="1" si="337"/>
        <v>0</v>
      </c>
      <c r="S2501" s="1447">
        <f t="shared" ca="1" si="338"/>
        <v>0</v>
      </c>
      <c r="V2501" s="2557" t="str">
        <f t="shared" ca="1" si="332"/>
        <v/>
      </c>
      <c r="W2501" s="611" t="str">
        <f t="shared" ca="1" si="339"/>
        <v>Page7, Ligne 8 [Page7!L11]  -</v>
      </c>
    </row>
    <row r="2502" spans="1:23">
      <c r="A2502" s="1443" t="str">
        <f>celladdr(Page7!L12)</f>
        <v>Page7!L12</v>
      </c>
      <c r="B2502" s="1456" t="s">
        <v>1086</v>
      </c>
      <c r="C2502" s="1454"/>
      <c r="D2502" s="1454"/>
      <c r="G2502" s="1444" t="str">
        <f t="shared" si="334"/>
        <v/>
      </c>
      <c r="H2502" s="1446"/>
      <c r="I2502" s="1446"/>
      <c r="N2502" s="611" t="s">
        <v>1743</v>
      </c>
      <c r="O2502" s="611" t="str">
        <f t="shared" si="333"/>
        <v/>
      </c>
      <c r="P2502" s="611" t="str">
        <f t="shared" si="335"/>
        <v>Page7!L</v>
      </c>
      <c r="Q2502" s="611">
        <f t="shared" si="336"/>
        <v>12</v>
      </c>
      <c r="R2502" s="1447">
        <f t="shared" ca="1" si="337"/>
        <v>0</v>
      </c>
      <c r="S2502" s="1447">
        <f t="shared" ca="1" si="338"/>
        <v>0</v>
      </c>
      <c r="V2502" s="2557" t="str">
        <f t="shared" ca="1" si="332"/>
        <v/>
      </c>
      <c r="W2502" s="611" t="str">
        <f t="shared" ca="1" si="339"/>
        <v>Page7, Ligne 9 [Page7!L12]  -</v>
      </c>
    </row>
    <row r="2503" spans="1:23">
      <c r="A2503" s="1443" t="str">
        <f>celladdr(Page7!L16)</f>
        <v>Page7!L16</v>
      </c>
      <c r="B2503" s="1456" t="s">
        <v>1086</v>
      </c>
      <c r="C2503" s="1454"/>
      <c r="D2503" s="1454"/>
      <c r="G2503" s="1444" t="str">
        <f t="shared" si="334"/>
        <v/>
      </c>
      <c r="H2503" s="1446"/>
      <c r="I2503" s="1446"/>
      <c r="J2503" s="1446"/>
      <c r="N2503" s="611" t="s">
        <v>1744</v>
      </c>
      <c r="O2503" s="611" t="str">
        <f t="shared" si="333"/>
        <v/>
      </c>
      <c r="P2503" s="611" t="str">
        <f t="shared" si="335"/>
        <v>Page7!L</v>
      </c>
      <c r="Q2503" s="611">
        <f t="shared" si="336"/>
        <v>16</v>
      </c>
      <c r="R2503" s="1447">
        <f t="shared" ca="1" si="337"/>
        <v>0</v>
      </c>
      <c r="S2503" s="1447">
        <f t="shared" ca="1" si="338"/>
        <v>0</v>
      </c>
      <c r="V2503" s="2557" t="str">
        <f t="shared" ref="V2503:V2566" ca="1" si="340">IF(SUM(R2503+S2503)=0,"","
*** "&amp;TEXT(SUM(R2503+S2503),"0,0")&amp;" Points de précision seront déduits suite à cette(ces) erreur(s) !")</f>
        <v/>
      </c>
      <c r="W2503" s="611" t="str">
        <f t="shared" ca="1" si="339"/>
        <v>Page7, Ligne 13 [Page7!L16]  -</v>
      </c>
    </row>
    <row r="2504" spans="1:23">
      <c r="A2504" s="1443" t="str">
        <f>celladdr(Page7!L17)</f>
        <v>Page7!L17</v>
      </c>
      <c r="B2504" s="1456" t="s">
        <v>1086</v>
      </c>
      <c r="C2504" s="1454" t="b">
        <f>OR(AND(Page7!$J$17&gt;0,Page7!$L$17=0),AND(Page7!$K$17&lt;&gt;0,Page7!$L$17=0),AND(Page7!$L$17&lt;&gt;0,OR(Page7!$J$17=0,Page7!$K$17=0)))</f>
        <v>0</v>
      </c>
      <c r="D2504" s="1454"/>
      <c r="G2504" s="1444" t="str">
        <f t="shared" si="334"/>
        <v/>
      </c>
      <c r="H2504" s="1446" t="str">
        <f>IF(C2504=TRUE,Comments!$B$27,"")</f>
        <v/>
      </c>
      <c r="I2504" s="1446"/>
      <c r="J2504" s="1446"/>
      <c r="N2504" s="611" t="s">
        <v>1745</v>
      </c>
      <c r="O2504" s="611" t="str">
        <f t="shared" si="333"/>
        <v/>
      </c>
      <c r="P2504" s="611" t="str">
        <f t="shared" si="335"/>
        <v>Page7!L</v>
      </c>
      <c r="Q2504" s="611">
        <f t="shared" si="336"/>
        <v>17</v>
      </c>
      <c r="R2504" s="1447">
        <f t="shared" ca="1" si="337"/>
        <v>0</v>
      </c>
      <c r="S2504" s="1447">
        <f t="shared" ca="1" si="338"/>
        <v>0</v>
      </c>
      <c r="V2504" s="2557" t="str">
        <f t="shared" ca="1" si="340"/>
        <v/>
      </c>
      <c r="W2504" s="611" t="str">
        <f t="shared" ca="1" si="339"/>
        <v>Page7, Ligne 14 [Page7!L17]  -</v>
      </c>
    </row>
    <row r="2505" spans="1:23">
      <c r="A2505" s="1443" t="str">
        <f>celladdr(Page7!L18)</f>
        <v>Page7!L18</v>
      </c>
      <c r="B2505" s="1456" t="s">
        <v>1086</v>
      </c>
      <c r="C2505" s="1454" t="b">
        <f>OR(AND(Page7!$K$18&lt;&gt;0,Page7!$L$18=0),AND(Page7!$L$18&lt;&gt;0,Page7!$K$18=0))</f>
        <v>0</v>
      </c>
      <c r="D2505" s="1454"/>
      <c r="G2505" s="1444" t="str">
        <f t="shared" si="334"/>
        <v/>
      </c>
      <c r="H2505" s="1446" t="str">
        <f>IF(C2505=TRUE,Comments!$B$24,"")</f>
        <v/>
      </c>
      <c r="I2505" s="1446"/>
      <c r="J2505" s="1446"/>
      <c r="N2505" s="611" t="s">
        <v>1746</v>
      </c>
      <c r="O2505" s="611" t="str">
        <f t="shared" si="333"/>
        <v/>
      </c>
      <c r="P2505" s="611" t="str">
        <f t="shared" si="335"/>
        <v>Page7!L</v>
      </c>
      <c r="Q2505" s="611">
        <f t="shared" si="336"/>
        <v>18</v>
      </c>
      <c r="R2505" s="1447">
        <f t="shared" ca="1" si="337"/>
        <v>0</v>
      </c>
      <c r="S2505" s="1447">
        <f t="shared" ca="1" si="338"/>
        <v>0</v>
      </c>
      <c r="V2505" s="2557" t="str">
        <f t="shared" ca="1" si="340"/>
        <v/>
      </c>
      <c r="W2505" s="611" t="str">
        <f t="shared" ca="1" si="339"/>
        <v>Page7, Ligne 15 [Page7!L18]  -</v>
      </c>
    </row>
    <row r="2506" spans="1:23">
      <c r="A2506" s="1443" t="str">
        <f>celladdr(Page7!L19)</f>
        <v>Page7!L19</v>
      </c>
      <c r="B2506" s="1456" t="s">
        <v>1086</v>
      </c>
      <c r="C2506" s="1454" t="b">
        <f>OR(AND(Page7!$J$19&gt;0,Page7!$L$19=0),AND(Page7!$K$19&lt;&gt;0,Page7!$L$19=0),AND(Page7!$L$19&lt;&gt;0,OR(Page7!$J$19=0,Page7!$K$19=0)))</f>
        <v>0</v>
      </c>
      <c r="D2506" s="1454"/>
      <c r="G2506" s="1444" t="str">
        <f t="shared" si="334"/>
        <v/>
      </c>
      <c r="H2506" s="1446" t="str">
        <f>IF(C2506=TRUE,Comments!$B$27,"")</f>
        <v/>
      </c>
      <c r="I2506" s="1446"/>
      <c r="N2506" s="611" t="s">
        <v>1747</v>
      </c>
      <c r="O2506" s="611" t="str">
        <f t="shared" si="333"/>
        <v/>
      </c>
      <c r="P2506" s="611" t="str">
        <f t="shared" si="335"/>
        <v>Page7!L</v>
      </c>
      <c r="Q2506" s="611">
        <f t="shared" si="336"/>
        <v>19</v>
      </c>
      <c r="R2506" s="1447">
        <f t="shared" ca="1" si="337"/>
        <v>0</v>
      </c>
      <c r="S2506" s="1447">
        <f t="shared" ca="1" si="338"/>
        <v>0</v>
      </c>
      <c r="V2506" s="2557" t="str">
        <f t="shared" ca="1" si="340"/>
        <v/>
      </c>
      <c r="W2506" s="611" t="str">
        <f t="shared" ca="1" si="339"/>
        <v>Page7, Ligne 16 [Page7!L19]  -</v>
      </c>
    </row>
    <row r="2507" spans="1:23">
      <c r="A2507" s="1443" t="str">
        <f>celladdr(Page7!L20)</f>
        <v>Page7!L20</v>
      </c>
      <c r="B2507" s="1456" t="s">
        <v>1086</v>
      </c>
      <c r="C2507" s="1454" t="b">
        <f>OR(AND(Page7!$J$20&gt;0,Page7!$L$20=0),AND(Page7!$K$20&lt;&gt;0,Page7!$L$20=0),AND(Page7!$L$20&lt;&gt;0,OR(Page7!$J$20=0,Page7!$K$20=0)))</f>
        <v>0</v>
      </c>
      <c r="D2507" s="1454"/>
      <c r="G2507" s="1444" t="str">
        <f t="shared" si="334"/>
        <v/>
      </c>
      <c r="H2507" s="1446" t="str">
        <f>IF(C2507=TRUE,Comments!$B$27,"")</f>
        <v/>
      </c>
      <c r="I2507" s="1446"/>
      <c r="N2507" s="611" t="s">
        <v>1748</v>
      </c>
      <c r="O2507" s="611" t="str">
        <f t="shared" si="333"/>
        <v/>
      </c>
      <c r="P2507" s="611" t="str">
        <f t="shared" si="335"/>
        <v>Page7!L</v>
      </c>
      <c r="Q2507" s="611">
        <f t="shared" si="336"/>
        <v>20</v>
      </c>
      <c r="R2507" s="1447">
        <f t="shared" ca="1" si="337"/>
        <v>0</v>
      </c>
      <c r="S2507" s="1447">
        <f t="shared" ca="1" si="338"/>
        <v>0</v>
      </c>
      <c r="V2507" s="2557" t="str">
        <f t="shared" ca="1" si="340"/>
        <v/>
      </c>
      <c r="W2507" s="611" t="str">
        <f t="shared" ca="1" si="339"/>
        <v>Page7, Ligne 17 [Page7!L20]  -</v>
      </c>
    </row>
    <row r="2508" spans="1:23">
      <c r="A2508" s="1443" t="str">
        <f>celladdr(Page7!M21)</f>
        <v>Page7!M21</v>
      </c>
      <c r="B2508" s="1456" t="s">
        <v>1086</v>
      </c>
      <c r="C2508" s="1454"/>
      <c r="D2508" s="1454"/>
      <c r="G2508" s="1444" t="str">
        <f t="shared" si="334"/>
        <v/>
      </c>
      <c r="H2508" s="1446"/>
      <c r="I2508" s="1446"/>
      <c r="J2508" s="1446"/>
      <c r="N2508" s="611" t="s">
        <v>1749</v>
      </c>
      <c r="O2508" s="611" t="str">
        <f t="shared" si="333"/>
        <v/>
      </c>
      <c r="P2508" s="611" t="str">
        <f t="shared" si="335"/>
        <v>Page7!M</v>
      </c>
      <c r="Q2508" s="611">
        <f t="shared" si="336"/>
        <v>21</v>
      </c>
      <c r="R2508" s="1447">
        <f t="shared" ca="1" si="337"/>
        <v>0</v>
      </c>
      <c r="S2508" s="1447">
        <f t="shared" ca="1" si="338"/>
        <v>0</v>
      </c>
      <c r="V2508" s="2557" t="str">
        <f t="shared" ca="1" si="340"/>
        <v/>
      </c>
      <c r="W2508" s="611" t="str">
        <f t="shared" ca="1" si="339"/>
        <v>Page7, Ligne 18 [Page7!M21]  -</v>
      </c>
    </row>
    <row r="2509" spans="1:23">
      <c r="A2509" s="1443" t="str">
        <f>celladdr(Page7!M22)</f>
        <v>Page7!M22</v>
      </c>
      <c r="B2509" s="1456" t="s">
        <v>1086</v>
      </c>
      <c r="C2509" s="1454"/>
      <c r="D2509" s="1454"/>
      <c r="G2509" s="1444" t="str">
        <f t="shared" si="334"/>
        <v/>
      </c>
      <c r="H2509" s="1446"/>
      <c r="I2509" s="1446"/>
      <c r="J2509" s="1446"/>
      <c r="N2509" s="611" t="s">
        <v>1750</v>
      </c>
      <c r="O2509" s="611" t="str">
        <f t="shared" si="333"/>
        <v/>
      </c>
      <c r="P2509" s="611" t="str">
        <f t="shared" si="335"/>
        <v>Page7!M</v>
      </c>
      <c r="Q2509" s="611">
        <f t="shared" si="336"/>
        <v>22</v>
      </c>
      <c r="R2509" s="1447">
        <f t="shared" ca="1" si="337"/>
        <v>0</v>
      </c>
      <c r="S2509" s="1447">
        <f t="shared" ca="1" si="338"/>
        <v>0</v>
      </c>
      <c r="V2509" s="2557" t="str">
        <f t="shared" ca="1" si="340"/>
        <v/>
      </c>
      <c r="W2509" s="611" t="str">
        <f t="shared" ca="1" si="339"/>
        <v>Page7, Ligne 19 [Page7!M22]  -</v>
      </c>
    </row>
    <row r="2510" spans="1:23">
      <c r="A2510" s="1443" t="str">
        <f>celladdr(Page7!M24)</f>
        <v>Page7!M24</v>
      </c>
      <c r="B2510" s="1455" t="s">
        <v>1086</v>
      </c>
      <c r="C2510" s="1445" t="b">
        <f>Page7!$M$24&lt;&gt;Page7!$M$23+Page7!$M$13</f>
        <v>0</v>
      </c>
      <c r="D2510" s="1454"/>
      <c r="F2510" s="1454"/>
      <c r="G2510" s="1444" t="str">
        <f t="shared" si="334"/>
        <v/>
      </c>
      <c r="H2510" s="1446" t="str">
        <f>IF(C2510=TRUE,Comments!$B$47&amp;DOLLAR(Page7!$M$24-(Page7!$M$23+Page7!$M$13),0),"")</f>
        <v/>
      </c>
      <c r="I2510" s="1452"/>
      <c r="J2510" s="1452"/>
      <c r="K2510" s="1452"/>
      <c r="N2510" s="611" t="s">
        <v>1751</v>
      </c>
      <c r="O2510" s="611" t="str">
        <f t="shared" si="333"/>
        <v/>
      </c>
      <c r="P2510" s="611" t="str">
        <f t="shared" si="335"/>
        <v>Page7!M</v>
      </c>
      <c r="Q2510" s="611">
        <f t="shared" si="336"/>
        <v>24</v>
      </c>
      <c r="R2510" s="1447">
        <f t="shared" ca="1" si="337"/>
        <v>0</v>
      </c>
      <c r="S2510" s="1447">
        <f t="shared" ca="1" si="338"/>
        <v>0</v>
      </c>
      <c r="V2510" s="2557" t="str">
        <f t="shared" ca="1" si="340"/>
        <v/>
      </c>
      <c r="W2510" s="611" t="str">
        <f t="shared" ca="1" si="339"/>
        <v>Page7, Ligne 21 [Page7!M24]  -</v>
      </c>
    </row>
    <row r="2511" spans="1:23">
      <c r="A2511" s="1443" t="str">
        <f>celladdr(Page7!M47)</f>
        <v>Page7!M47</v>
      </c>
      <c r="B2511" s="1464" t="s">
        <v>1086</v>
      </c>
      <c r="D2511" s="1454" t="b">
        <f>OR(Page7!$M$47&lt;INDEX(Min_Table,L2511),Page7!$M$47&gt;INDEX(Max_Table,L2511))</f>
        <v>0</v>
      </c>
      <c r="E2511" s="1454"/>
      <c r="F2511" s="1454"/>
      <c r="G2511" s="1444" t="str">
        <f t="shared" si="334"/>
        <v/>
      </c>
      <c r="H2511" s="1446"/>
      <c r="I2511" s="1446" t="str">
        <f>IF(D2511=TRUE,Comments!$B$17&amp;INDEX(Min_Table,L2511)&amp;Comments!$B$18&amp;INDEX(Max_Table,L2511),"")</f>
        <v/>
      </c>
      <c r="J2511" s="1446"/>
      <c r="K2511" s="1452"/>
      <c r="L2511" s="611">
        <f>ROW(OR_VEH!$A$671)</f>
        <v>671</v>
      </c>
      <c r="N2511" s="611" t="s">
        <v>1752</v>
      </c>
      <c r="O2511" s="611" t="str">
        <f t="shared" si="333"/>
        <v/>
      </c>
      <c r="P2511" s="611" t="str">
        <f t="shared" si="335"/>
        <v>Page7!M</v>
      </c>
      <c r="Q2511" s="611">
        <f t="shared" si="336"/>
        <v>47</v>
      </c>
      <c r="R2511" s="1447">
        <f t="shared" ca="1" si="337"/>
        <v>0</v>
      </c>
      <c r="S2511" s="1447">
        <f t="shared" ca="1" si="338"/>
        <v>0</v>
      </c>
      <c r="V2511" s="2557" t="str">
        <f t="shared" ca="1" si="340"/>
        <v/>
      </c>
      <c r="W2511" s="611" t="str">
        <f t="shared" ca="1" si="339"/>
        <v>Page7, Ligne 44 [Page7!M47]  -</v>
      </c>
    </row>
    <row r="2512" spans="1:23">
      <c r="A2512" s="1443" t="str">
        <f>celladdr(Page7!M48)</f>
        <v>Page7!M48</v>
      </c>
      <c r="B2512" s="1464" t="s">
        <v>1086</v>
      </c>
      <c r="D2512" s="1454" t="b">
        <f>OR(Page7!$M$48&lt;INDEX(Min_Table,L2512),Page7!$M$48&gt;INDEX(Max_Table,L2512))</f>
        <v>0</v>
      </c>
      <c r="E2512" s="1454"/>
      <c r="F2512" s="1454"/>
      <c r="G2512" s="1444" t="str">
        <f t="shared" si="334"/>
        <v/>
      </c>
      <c r="H2512" s="1446"/>
      <c r="I2512" s="1446" t="str">
        <f>IF(D2512=TRUE,Comments!$B$17&amp;INDEX(Min_Table,L2512)&amp;Comments!$B$18&amp;INDEX(Max_Table,L2512),"")</f>
        <v/>
      </c>
      <c r="J2512" s="1446"/>
      <c r="K2512" s="1452"/>
      <c r="L2512" s="611">
        <f>ROW(OR_VEH!$A$671)</f>
        <v>671</v>
      </c>
      <c r="N2512" s="611" t="s">
        <v>1753</v>
      </c>
      <c r="O2512" s="611" t="str">
        <f t="shared" si="333"/>
        <v/>
      </c>
      <c r="P2512" s="611" t="str">
        <f t="shared" si="335"/>
        <v>Page7!M</v>
      </c>
      <c r="Q2512" s="611">
        <f t="shared" si="336"/>
        <v>48</v>
      </c>
      <c r="R2512" s="1447">
        <f t="shared" ca="1" si="337"/>
        <v>0</v>
      </c>
      <c r="S2512" s="1447">
        <f t="shared" ca="1" si="338"/>
        <v>0</v>
      </c>
      <c r="V2512" s="2557" t="str">
        <f t="shared" ca="1" si="340"/>
        <v/>
      </c>
      <c r="W2512" s="611" t="str">
        <f t="shared" ca="1" si="339"/>
        <v>Page7, Ligne 45 [Page7!M48]  -</v>
      </c>
    </row>
    <row r="2513" spans="1:23">
      <c r="A2513" s="1443" t="str">
        <f>celladdr(Page7!M49)</f>
        <v>Page7!M49</v>
      </c>
      <c r="B2513" s="1464" t="s">
        <v>1086</v>
      </c>
      <c r="D2513" s="1454" t="b">
        <f>OR(Page7!$M$49&lt;INDEX(Min_Table,L2513),Page7!$M$49&gt;INDEX(Max_Table,L2513))</f>
        <v>0</v>
      </c>
      <c r="E2513" s="1454"/>
      <c r="F2513" s="1454"/>
      <c r="G2513" s="1444" t="str">
        <f t="shared" si="334"/>
        <v/>
      </c>
      <c r="H2513" s="1446"/>
      <c r="I2513" s="1446" t="str">
        <f>IF(D2513=TRUE,Comments!$B$17&amp;INDEX(Min_Table,L2513)&amp;Comments!$B$18&amp;INDEX(Max_Table,L2513),"")</f>
        <v/>
      </c>
      <c r="J2513" s="1446"/>
      <c r="K2513" s="1452"/>
      <c r="L2513" s="611">
        <f>ROW(OR_VEH!$A$671)</f>
        <v>671</v>
      </c>
      <c r="N2513" s="611" t="s">
        <v>1754</v>
      </c>
      <c r="O2513" s="611" t="str">
        <f t="shared" si="333"/>
        <v/>
      </c>
      <c r="P2513" s="611" t="str">
        <f t="shared" si="335"/>
        <v>Page7!M</v>
      </c>
      <c r="Q2513" s="611">
        <f t="shared" si="336"/>
        <v>49</v>
      </c>
      <c r="R2513" s="1447">
        <f t="shared" ca="1" si="337"/>
        <v>0</v>
      </c>
      <c r="S2513" s="1447">
        <f t="shared" ca="1" si="338"/>
        <v>0</v>
      </c>
      <c r="V2513" s="2557" t="str">
        <f t="shared" ca="1" si="340"/>
        <v/>
      </c>
      <c r="W2513" s="611" t="str">
        <f t="shared" ca="1" si="339"/>
        <v>Page7, Ligne 46 [Page7!M49]  -</v>
      </c>
    </row>
    <row r="2514" spans="1:23">
      <c r="A2514" s="1443" t="str">
        <f>celladdr(Page7!M50)</f>
        <v>Page7!M50</v>
      </c>
      <c r="B2514" s="1464" t="s">
        <v>1086</v>
      </c>
      <c r="D2514" s="1454" t="b">
        <f>OR(Page7!$M$50&lt;INDEX(Min_Table,L2514),Page7!$M$50&gt;INDEX(Max_Table,L2514))</f>
        <v>0</v>
      </c>
      <c r="E2514" s="1454"/>
      <c r="F2514" s="1454"/>
      <c r="G2514" s="1444" t="str">
        <f t="shared" si="334"/>
        <v/>
      </c>
      <c r="H2514" s="1446"/>
      <c r="I2514" s="1446" t="str">
        <f>IF(D2514=TRUE,Comments!$B$17&amp;INDEX(Min_Table,L2514)&amp;Comments!$B$18&amp;INDEX(Max_Table,L2514),"")</f>
        <v/>
      </c>
      <c r="J2514" s="1446"/>
      <c r="K2514" s="1452"/>
      <c r="L2514" s="611">
        <f>ROW(OR_VEH!$A$671)</f>
        <v>671</v>
      </c>
      <c r="N2514" s="4" t="s">
        <v>1755</v>
      </c>
      <c r="O2514" s="611" t="str">
        <f t="shared" si="333"/>
        <v/>
      </c>
      <c r="P2514" s="611" t="str">
        <f t="shared" si="335"/>
        <v>Page7!M</v>
      </c>
      <c r="Q2514" s="611">
        <f t="shared" si="336"/>
        <v>50</v>
      </c>
      <c r="R2514" s="1447">
        <f t="shared" ca="1" si="337"/>
        <v>0</v>
      </c>
      <c r="S2514" s="1447">
        <f t="shared" ca="1" si="338"/>
        <v>0</v>
      </c>
      <c r="V2514" s="2557" t="str">
        <f t="shared" ca="1" si="340"/>
        <v/>
      </c>
      <c r="W2514" s="611" t="str">
        <f t="shared" ca="1" si="339"/>
        <v>Page7, Ligne 47 [Page7!M50]  -</v>
      </c>
    </row>
    <row r="2515" spans="1:23">
      <c r="A2515" s="1443" t="str">
        <f>celladdr(Page7!M52)</f>
        <v>Page7!M52</v>
      </c>
      <c r="B2515" s="1464" t="s">
        <v>1086</v>
      </c>
      <c r="D2515" s="1454" t="b">
        <f>OR(Page7!$M$52&lt;INDEX(Min_Table,L2515),Page7!$M$52&gt;INDEX(Max_Table,L2515))</f>
        <v>0</v>
      </c>
      <c r="G2515" s="1444" t="str">
        <f t="shared" si="334"/>
        <v/>
      </c>
      <c r="H2515" s="1446"/>
      <c r="I2515" s="1446" t="str">
        <f>IF(D2515=TRUE,Comments!$B$17&amp;INDEX(Min_Table,L2515)&amp;Comments!$B$18&amp;INDEX(Max_Table,L2515),"")</f>
        <v/>
      </c>
      <c r="L2515" s="611">
        <f>ROW(OR_VEH!$A$671)</f>
        <v>671</v>
      </c>
      <c r="N2515" s="611" t="s">
        <v>1756</v>
      </c>
      <c r="O2515" s="611" t="str">
        <f t="shared" ref="O2515:O2578" si="341">IF(A2515=A2514,"TRUE","")</f>
        <v/>
      </c>
      <c r="P2515" s="611" t="str">
        <f t="shared" si="335"/>
        <v>Page7!M</v>
      </c>
      <c r="Q2515" s="611">
        <f t="shared" si="336"/>
        <v>52</v>
      </c>
      <c r="R2515" s="1447">
        <f t="shared" ca="1" si="337"/>
        <v>0</v>
      </c>
      <c r="S2515" s="1447">
        <f t="shared" ca="1" si="338"/>
        <v>0</v>
      </c>
      <c r="V2515" s="2557" t="str">
        <f t="shared" ca="1" si="340"/>
        <v/>
      </c>
      <c r="W2515" s="611" t="str">
        <f t="shared" ca="1" si="339"/>
        <v>Page7, Ligne 49 [Page7!M52]  -</v>
      </c>
    </row>
    <row r="2516" spans="1:23">
      <c r="A2516" s="1443" t="str">
        <f>celladdr(Page7!M53)</f>
        <v>Page7!M53</v>
      </c>
      <c r="B2516" s="1464" t="s">
        <v>1086</v>
      </c>
      <c r="D2516" s="1454" t="b">
        <f>OR(Page7!$M$53&lt;INDEX(Min_Table,L2516),Page7!$M$53&gt;INDEX(Max_Table,L2516))</f>
        <v>0</v>
      </c>
      <c r="G2516" s="1444" t="str">
        <f t="shared" si="334"/>
        <v/>
      </c>
      <c r="H2516" s="1446"/>
      <c r="I2516" s="1446" t="str">
        <f>IF(D2516=TRUE,Comments!$B$17&amp;INDEX(Min_Table,L2516)&amp;Comments!$B$18&amp;INDEX(Max_Table,L2516),"")</f>
        <v/>
      </c>
      <c r="J2516" s="1446"/>
      <c r="L2516" s="611">
        <f>ROW(OR_VEH!$A$671)</f>
        <v>671</v>
      </c>
      <c r="N2516" s="611" t="s">
        <v>1757</v>
      </c>
      <c r="O2516" s="611" t="str">
        <f t="shared" si="341"/>
        <v/>
      </c>
      <c r="P2516" s="611" t="str">
        <f t="shared" si="335"/>
        <v>Page7!M</v>
      </c>
      <c r="Q2516" s="611">
        <f t="shared" si="336"/>
        <v>53</v>
      </c>
      <c r="R2516" s="1447">
        <f t="shared" ca="1" si="337"/>
        <v>0</v>
      </c>
      <c r="S2516" s="1447">
        <f t="shared" ca="1" si="338"/>
        <v>0</v>
      </c>
      <c r="V2516" s="2557" t="str">
        <f t="shared" ca="1" si="340"/>
        <v/>
      </c>
      <c r="W2516" s="611" t="str">
        <f t="shared" ca="1" si="339"/>
        <v>Page7, Ligne 50 [Page7!M53]  -</v>
      </c>
    </row>
    <row r="2517" spans="1:23">
      <c r="A2517" s="1443" t="str">
        <f>celladdr(Page7!M55)</f>
        <v>Page7!M55</v>
      </c>
      <c r="B2517" s="1464" t="s">
        <v>1086</v>
      </c>
      <c r="D2517" s="1454" t="b">
        <f>OR(Page7!$M$55&lt;INDEX(Min_Table,L2517),Page7!$M$55&gt;INDEX(Max_Table,L2517))</f>
        <v>0</v>
      </c>
      <c r="G2517" s="1444" t="str">
        <f t="shared" si="334"/>
        <v/>
      </c>
      <c r="I2517" s="1446" t="str">
        <f>IF(D2517=TRUE,Comments!$B$17&amp;INDEX(Min_Table,L2517)&amp;Comments!$B$18&amp;INDEX(Max_Table,L2517),"")</f>
        <v/>
      </c>
      <c r="L2517" s="611">
        <f>ROW(OR_VEH!$A$671)</f>
        <v>671</v>
      </c>
      <c r="N2517" s="611" t="s">
        <v>1758</v>
      </c>
      <c r="O2517" s="611" t="str">
        <f t="shared" si="341"/>
        <v/>
      </c>
      <c r="P2517" s="611" t="str">
        <f t="shared" si="335"/>
        <v>Page7!M</v>
      </c>
      <c r="Q2517" s="611">
        <f t="shared" si="336"/>
        <v>55</v>
      </c>
      <c r="R2517" s="1447">
        <f t="shared" ca="1" si="337"/>
        <v>0</v>
      </c>
      <c r="S2517" s="1447">
        <f t="shared" ca="1" si="338"/>
        <v>0</v>
      </c>
      <c r="V2517" s="2557" t="str">
        <f t="shared" ca="1" si="340"/>
        <v/>
      </c>
      <c r="W2517" s="611" t="str">
        <f t="shared" ca="1" si="339"/>
        <v>Page7, Ligne 52 [Page7!M55]  -</v>
      </c>
    </row>
    <row r="2518" spans="1:23">
      <c r="A2518" s="1443" t="str">
        <f>celladdr(Page7!M56)</f>
        <v>Page7!M56</v>
      </c>
      <c r="B2518" s="1464" t="s">
        <v>1086</v>
      </c>
      <c r="D2518" s="1454" t="b">
        <f>OR(Page7!$M$56&lt;INDEX(Min_Table,L2518),Page7!$M$56&gt;INDEX(Max_Table,L2518))</f>
        <v>0</v>
      </c>
      <c r="E2518" s="1454"/>
      <c r="F2518" s="1454"/>
      <c r="G2518" s="1444" t="str">
        <f t="shared" si="334"/>
        <v/>
      </c>
      <c r="I2518" s="1446" t="str">
        <f>IF(D2518=TRUE,Comments!$B$17&amp;INDEX(Min_Table,L2518)&amp;Comments!$B$18&amp;INDEX(Max_Table,L2518),"")</f>
        <v/>
      </c>
      <c r="J2518" s="1446"/>
      <c r="K2518" s="1452"/>
      <c r="L2518" s="611">
        <f>ROW(OR_VEH!$A$671)</f>
        <v>671</v>
      </c>
      <c r="N2518" s="611" t="s">
        <v>1759</v>
      </c>
      <c r="O2518" s="611" t="str">
        <f t="shared" si="341"/>
        <v/>
      </c>
      <c r="P2518" s="611" t="str">
        <f t="shared" si="335"/>
        <v>Page7!M</v>
      </c>
      <c r="Q2518" s="611">
        <f t="shared" si="336"/>
        <v>56</v>
      </c>
      <c r="R2518" s="1447">
        <f t="shared" ca="1" si="337"/>
        <v>0</v>
      </c>
      <c r="S2518" s="1447">
        <f t="shared" ca="1" si="338"/>
        <v>0</v>
      </c>
      <c r="V2518" s="2557" t="str">
        <f t="shared" ca="1" si="340"/>
        <v/>
      </c>
      <c r="W2518" s="611" t="str">
        <f t="shared" ca="1" si="339"/>
        <v>Page7, Ligne 53 [Page7!M56]  -</v>
      </c>
    </row>
    <row r="2519" spans="1:23">
      <c r="A2519" s="1443" t="str">
        <f>celladdr(Page7!M59)</f>
        <v>Page7!M59</v>
      </c>
      <c r="B2519" s="1464" t="s">
        <v>1086</v>
      </c>
      <c r="E2519" s="1445" t="b">
        <f>Page7!$M$59&lt;0</f>
        <v>0</v>
      </c>
      <c r="G2519" s="1444" t="str">
        <f t="shared" si="334"/>
        <v/>
      </c>
      <c r="H2519" s="1446"/>
      <c r="J2519" s="1446" t="str">
        <f>IF(E2519=TRUE,Comments!$B$30,"")</f>
        <v/>
      </c>
      <c r="N2519" s="611" t="s">
        <v>1760</v>
      </c>
      <c r="O2519" s="611" t="str">
        <f t="shared" si="341"/>
        <v/>
      </c>
      <c r="P2519" s="611" t="str">
        <f t="shared" si="335"/>
        <v>Page7!M</v>
      </c>
      <c r="Q2519" s="611">
        <f t="shared" si="336"/>
        <v>59</v>
      </c>
      <c r="R2519" s="1447">
        <f t="shared" ca="1" si="337"/>
        <v>0</v>
      </c>
      <c r="S2519" s="1447">
        <f t="shared" ca="1" si="338"/>
        <v>0</v>
      </c>
      <c r="T2519" s="611">
        <v>30</v>
      </c>
      <c r="V2519" s="2557" t="str">
        <f t="shared" ca="1" si="340"/>
        <v/>
      </c>
      <c r="W2519" s="611" t="str">
        <f t="shared" ca="1" si="339"/>
        <v>Page7, Ligne 56 [Page7!M59]  -</v>
      </c>
    </row>
    <row r="2520" spans="1:23">
      <c r="A2520" s="1443" t="str">
        <f>celladdr(Page7!M60)</f>
        <v>Page7!M60</v>
      </c>
      <c r="B2520" s="1464" t="s">
        <v>1086</v>
      </c>
      <c r="E2520" s="1445" t="b">
        <f>Page7!$M$60&lt;0</f>
        <v>0</v>
      </c>
      <c r="G2520" s="1444" t="str">
        <f t="shared" si="334"/>
        <v/>
      </c>
      <c r="H2520" s="1446"/>
      <c r="J2520" s="1446" t="str">
        <f>IF(E2520=TRUE,Comments!$B$30,"")</f>
        <v/>
      </c>
      <c r="N2520" s="611" t="s">
        <v>1761</v>
      </c>
      <c r="O2520" s="611" t="str">
        <f t="shared" si="341"/>
        <v/>
      </c>
      <c r="P2520" s="611" t="str">
        <f t="shared" si="335"/>
        <v>Page7!M</v>
      </c>
      <c r="Q2520" s="611">
        <f t="shared" si="336"/>
        <v>60</v>
      </c>
      <c r="R2520" s="1447">
        <f t="shared" ca="1" si="337"/>
        <v>0</v>
      </c>
      <c r="S2520" s="1447">
        <f t="shared" ca="1" si="338"/>
        <v>0</v>
      </c>
      <c r="T2520" s="611">
        <v>30</v>
      </c>
      <c r="V2520" s="2557" t="str">
        <f t="shared" ca="1" si="340"/>
        <v/>
      </c>
      <c r="W2520" s="611" t="str">
        <f t="shared" ca="1" si="339"/>
        <v>Page7, Ligne 57 [Page7!M60]  -</v>
      </c>
    </row>
    <row r="2521" spans="1:23">
      <c r="A2521" s="1443" t="str">
        <f>celladdr(Page7!M61)</f>
        <v>Page7!M61</v>
      </c>
      <c r="B2521" s="1464" t="s">
        <v>1086</v>
      </c>
      <c r="E2521" s="1445" t="b">
        <f>Page7!$M$61&lt;0</f>
        <v>0</v>
      </c>
      <c r="G2521" s="1444" t="str">
        <f t="shared" si="334"/>
        <v/>
      </c>
      <c r="H2521" s="1446"/>
      <c r="J2521" s="1446" t="str">
        <f>IF(E2521=TRUE,Comments!$B$30,"")</f>
        <v/>
      </c>
      <c r="N2521" s="611" t="s">
        <v>1762</v>
      </c>
      <c r="O2521" s="611" t="str">
        <f t="shared" si="341"/>
        <v/>
      </c>
      <c r="P2521" s="611" t="str">
        <f t="shared" si="335"/>
        <v>Page7!M</v>
      </c>
      <c r="Q2521" s="611">
        <f t="shared" si="336"/>
        <v>61</v>
      </c>
      <c r="R2521" s="1447">
        <f t="shared" ca="1" si="337"/>
        <v>0</v>
      </c>
      <c r="S2521" s="1447">
        <f t="shared" ca="1" si="338"/>
        <v>0</v>
      </c>
      <c r="T2521" s="611">
        <v>30</v>
      </c>
      <c r="V2521" s="2557" t="str">
        <f t="shared" ca="1" si="340"/>
        <v/>
      </c>
      <c r="W2521" s="611" t="str">
        <f t="shared" ca="1" si="339"/>
        <v>Page7, Ligne 58 [Page7!M61]  -</v>
      </c>
    </row>
    <row r="2522" spans="1:23">
      <c r="A2522" s="1443" t="str">
        <f>celladdr(Page7!M62)</f>
        <v>Page7!M62</v>
      </c>
      <c r="B2522" s="1463" t="s">
        <v>1086</v>
      </c>
      <c r="E2522" s="1445" t="b">
        <f>Page7!$M$62&lt;0</f>
        <v>0</v>
      </c>
      <c r="G2522" s="1444" t="str">
        <f t="shared" si="334"/>
        <v/>
      </c>
      <c r="H2522" s="1446"/>
      <c r="J2522" s="1446" t="str">
        <f>IF(E2522=TRUE,Comments!$B$30,"")</f>
        <v/>
      </c>
      <c r="N2522" s="611" t="s">
        <v>1763</v>
      </c>
      <c r="O2522" s="611" t="str">
        <f t="shared" si="341"/>
        <v/>
      </c>
      <c r="P2522" s="611" t="str">
        <f t="shared" si="335"/>
        <v>Page7!M</v>
      </c>
      <c r="Q2522" s="611">
        <f t="shared" si="336"/>
        <v>62</v>
      </c>
      <c r="R2522" s="1447">
        <f t="shared" ca="1" si="337"/>
        <v>0</v>
      </c>
      <c r="S2522" s="1447">
        <f t="shared" ca="1" si="338"/>
        <v>0</v>
      </c>
      <c r="T2522" s="611">
        <v>30</v>
      </c>
      <c r="V2522" s="2557" t="str">
        <f t="shared" ca="1" si="340"/>
        <v/>
      </c>
      <c r="W2522" s="611" t="str">
        <f t="shared" ca="1" si="339"/>
        <v>Page7, Ligne 59 [Page7!M62]  -</v>
      </c>
    </row>
    <row r="2523" spans="1:23">
      <c r="A2523" s="1443" t="str">
        <f>celladdr(Page7!M63)</f>
        <v>Page7!M63</v>
      </c>
      <c r="B2523" s="1464" t="s">
        <v>1086</v>
      </c>
      <c r="E2523" s="1445" t="b">
        <f>Page7!$M$63&lt;0</f>
        <v>0</v>
      </c>
      <c r="G2523" s="1444" t="str">
        <f t="shared" si="334"/>
        <v/>
      </c>
      <c r="H2523" s="1446"/>
      <c r="J2523" s="1446" t="str">
        <f>IF(E2523=TRUE,Comments!$B$30,"")</f>
        <v/>
      </c>
      <c r="N2523" s="611" t="s">
        <v>1764</v>
      </c>
      <c r="O2523" s="611" t="str">
        <f t="shared" si="341"/>
        <v/>
      </c>
      <c r="P2523" s="611" t="str">
        <f t="shared" si="335"/>
        <v>Page7!M</v>
      </c>
      <c r="Q2523" s="611">
        <f t="shared" si="336"/>
        <v>63</v>
      </c>
      <c r="R2523" s="1447">
        <f t="shared" ca="1" si="337"/>
        <v>0</v>
      </c>
      <c r="S2523" s="1447">
        <f t="shared" ca="1" si="338"/>
        <v>0</v>
      </c>
      <c r="T2523" s="611">
        <v>30</v>
      </c>
      <c r="V2523" s="2557" t="str">
        <f t="shared" ca="1" si="340"/>
        <v/>
      </c>
      <c r="W2523" s="611" t="str">
        <f t="shared" ca="1" si="339"/>
        <v>Page7, Ligne 60 [Page7!M63]  -</v>
      </c>
    </row>
    <row r="2524" spans="1:23">
      <c r="A2524" s="1443" t="str">
        <f>celladdr(Page7!M64)</f>
        <v>Page7!M64</v>
      </c>
      <c r="B2524" s="1464" t="s">
        <v>1086</v>
      </c>
      <c r="E2524" s="1445" t="b">
        <f>Page7!$M$64&lt;0</f>
        <v>0</v>
      </c>
      <c r="G2524" s="1444" t="str">
        <f t="shared" si="334"/>
        <v/>
      </c>
      <c r="H2524" s="1446"/>
      <c r="J2524" s="1446" t="str">
        <f>IF(E2524=TRUE,Comments!$B$30,"")</f>
        <v/>
      </c>
      <c r="N2524" s="611" t="s">
        <v>1765</v>
      </c>
      <c r="O2524" s="611" t="str">
        <f t="shared" si="341"/>
        <v/>
      </c>
      <c r="P2524" s="611" t="str">
        <f t="shared" si="335"/>
        <v>Page7!M</v>
      </c>
      <c r="Q2524" s="611">
        <f t="shared" si="336"/>
        <v>64</v>
      </c>
      <c r="R2524" s="1447">
        <f t="shared" ca="1" si="337"/>
        <v>0</v>
      </c>
      <c r="S2524" s="1447">
        <f t="shared" ca="1" si="338"/>
        <v>0</v>
      </c>
      <c r="T2524" s="611">
        <v>30</v>
      </c>
      <c r="V2524" s="2557" t="str">
        <f t="shared" ca="1" si="340"/>
        <v/>
      </c>
      <c r="W2524" s="611" t="str">
        <f t="shared" ca="1" si="339"/>
        <v>Page7, Ligne 61 [Page7!M64]  -</v>
      </c>
    </row>
    <row r="2525" spans="1:23">
      <c r="A2525" s="1443" t="str">
        <f>celladdr(Page7!M68)</f>
        <v>Page7!M68</v>
      </c>
      <c r="B2525" s="1460" t="s">
        <v>1086</v>
      </c>
      <c r="C2525" s="1445" t="b">
        <f>Page7!M68&gt;(SUM(Page6!G24:G35)+SUM(Page6!G41:G42)+SUM(Page6!G44:G45)+SUM(Page6!G50:G51)+SUM(Page6!G55:G60)+SUM(Page6!G64:G67)+SUM(Page6!G73:G75))</f>
        <v>0</v>
      </c>
      <c r="E2525" s="1445" t="b">
        <f>IF(Page7!N68=TBIn!E58,FALSE,Page7!M68=0)</f>
        <v>0</v>
      </c>
      <c r="F2525" s="1445" t="b">
        <f>IF((SUM(Page6!G24:G35)+SUM(Page6!G41:G42)+SUM(Page6!G44:G45)+SUM(Page6!G50:G51)+SUM(Page6!G55:G60)+SUM(Page6!G64:G67)+SUM(Page6!G73:G75))=0,FALSE,Page7!M68&lt;(0.2*(SUM(Page6!G24:G35)+SUM(Page6!G41:G42)+SUM(Page6!G44:G45)+SUM(Page6!G50:G51)+SUM(Page6!G55:G60)+SUM(Page6!G64:G67)+SUM(Page6!G73:G75))))</f>
        <v>0</v>
      </c>
      <c r="G2525" s="1444" t="str">
        <f t="shared" si="334"/>
        <v/>
      </c>
      <c r="H2525" s="1446" t="str">
        <f>IF(C2525=TRUE,Comments!$B$91&amp;DOLLAR(Page7!$M$68,0)&amp;Comments!$B$92&amp;DOLLAR(SUM(Page6!G24:G35)+SUM(Page6!G41:G42)+SUM(Page6!G44:G45)+SUM(Page6!G50:G51)+SUM(Page6!G55:G60)+SUM(Page6!G64:G67)+SUM(Page6!G73:G75),0),"")</f>
        <v/>
      </c>
      <c r="J2525" s="1446" t="str">
        <f>IF(E2525=TRUE,Comments!$B$32,"")</f>
        <v/>
      </c>
      <c r="K2525" s="1446" t="str">
        <f>IF(F2525=TRUE,Comments!$B$89,"")</f>
        <v/>
      </c>
      <c r="N2525" s="611" t="s">
        <v>1766</v>
      </c>
      <c r="O2525" s="611" t="str">
        <f t="shared" si="341"/>
        <v/>
      </c>
      <c r="P2525" s="611" t="str">
        <f t="shared" si="335"/>
        <v>Page7!M</v>
      </c>
      <c r="Q2525" s="611">
        <f t="shared" si="336"/>
        <v>68</v>
      </c>
      <c r="R2525" s="1447">
        <f t="shared" ca="1" si="337"/>
        <v>0</v>
      </c>
      <c r="S2525" s="1447">
        <f t="shared" ca="1" si="338"/>
        <v>0</v>
      </c>
      <c r="T2525" s="611">
        <v>32</v>
      </c>
      <c r="U2525" s="611">
        <v>89</v>
      </c>
      <c r="V2525" s="2557" t="str">
        <f t="shared" ca="1" si="340"/>
        <v/>
      </c>
      <c r="W2525" s="611" t="str">
        <f t="shared" ca="1" si="339"/>
        <v>Page7, Ligne 65 [Page7!M68]  -</v>
      </c>
    </row>
    <row r="2526" spans="1:23">
      <c r="A2526" s="1117" t="str">
        <f>celladdr(Page7!N44)</f>
        <v>Page7!N44</v>
      </c>
      <c r="B2526" s="1464" t="s">
        <v>1086</v>
      </c>
      <c r="E2526" s="1445" t="b">
        <f>Page7!$N$44&lt;0</f>
        <v>0</v>
      </c>
      <c r="G2526" s="1444" t="str">
        <f t="shared" si="334"/>
        <v/>
      </c>
      <c r="H2526" s="1446"/>
      <c r="J2526" s="1446" t="str">
        <f>IF(E2526=TRUE,Comments!$B$6,"")</f>
        <v/>
      </c>
      <c r="N2526" s="611" t="s">
        <v>1767</v>
      </c>
      <c r="O2526" s="611" t="str">
        <f t="shared" si="341"/>
        <v/>
      </c>
      <c r="P2526" s="611" t="str">
        <f t="shared" si="335"/>
        <v>Page7!N</v>
      </c>
      <c r="Q2526" s="611">
        <f t="shared" si="336"/>
        <v>44</v>
      </c>
      <c r="R2526" s="1447">
        <f t="shared" ca="1" si="337"/>
        <v>0</v>
      </c>
      <c r="S2526" s="1447">
        <f t="shared" ca="1" si="338"/>
        <v>0</v>
      </c>
      <c r="T2526" s="611">
        <v>6</v>
      </c>
      <c r="V2526" s="2557" t="str">
        <f t="shared" ca="1" si="340"/>
        <v/>
      </c>
      <c r="W2526" s="611" t="str">
        <f t="shared" ca="1" si="339"/>
        <v>Page7, Ligne 41 [Page7!N44]  -</v>
      </c>
    </row>
    <row r="2527" spans="1:23">
      <c r="A2527" s="1443" t="str">
        <f>celladdr(Page7!N47)</f>
        <v>Page7!N47</v>
      </c>
      <c r="B2527" s="1464" t="s">
        <v>1086</v>
      </c>
      <c r="D2527" s="1454" t="b">
        <f>OR(Page7!$N$47&lt;INDEX(Min_Table,L2527),Page7!$N$47&gt;INDEX(Max_Table,L2527))</f>
        <v>0</v>
      </c>
      <c r="E2527" s="1454"/>
      <c r="F2527" s="1454"/>
      <c r="G2527" s="1444" t="str">
        <f t="shared" si="334"/>
        <v/>
      </c>
      <c r="H2527" s="1446"/>
      <c r="I2527" s="1446" t="str">
        <f>IF(D2527=TRUE,Comments!$B$17&amp;INDEX(Min_Table,L2527)&amp;Comments!$B$18&amp;INDEX(Max_Table,L2527),"")</f>
        <v/>
      </c>
      <c r="J2527" s="1446"/>
      <c r="K2527" s="1452"/>
      <c r="L2527" s="611">
        <f>ROW(OR_VEH!$A$671)</f>
        <v>671</v>
      </c>
      <c r="N2527" s="611" t="s">
        <v>1768</v>
      </c>
      <c r="O2527" s="611" t="str">
        <f t="shared" si="341"/>
        <v/>
      </c>
      <c r="P2527" s="611" t="str">
        <f t="shared" si="335"/>
        <v>Page7!N</v>
      </c>
      <c r="Q2527" s="611">
        <f t="shared" si="336"/>
        <v>47</v>
      </c>
      <c r="R2527" s="1447">
        <f t="shared" ca="1" si="337"/>
        <v>0</v>
      </c>
      <c r="S2527" s="1447">
        <f t="shared" ca="1" si="338"/>
        <v>0</v>
      </c>
      <c r="V2527" s="2557" t="str">
        <f t="shared" ca="1" si="340"/>
        <v/>
      </c>
      <c r="W2527" s="611" t="str">
        <f t="shared" ca="1" si="339"/>
        <v>Page7, Ligne 44 [Page7!N47]  -</v>
      </c>
    </row>
    <row r="2528" spans="1:23">
      <c r="A2528" s="1443" t="str">
        <f>celladdr(Page7!N48)</f>
        <v>Page7!N48</v>
      </c>
      <c r="B2528" s="1464" t="s">
        <v>1086</v>
      </c>
      <c r="D2528" s="1454" t="b">
        <f>OR(Page7!$N$48&lt;INDEX(Min_Table,L2528),Page7!$N$48&gt;INDEX(Max_Table,L2528))</f>
        <v>0</v>
      </c>
      <c r="E2528" s="1454"/>
      <c r="F2528" s="1454"/>
      <c r="G2528" s="1444" t="str">
        <f t="shared" si="334"/>
        <v/>
      </c>
      <c r="H2528" s="1446"/>
      <c r="I2528" s="1446" t="str">
        <f>IF(D2528=TRUE,Comments!$B$17&amp;INDEX(Min_Table,L2528)&amp;Comments!$B$18&amp;INDEX(Max_Table,L2528),"")</f>
        <v/>
      </c>
      <c r="J2528" s="1446"/>
      <c r="K2528" s="1452"/>
      <c r="L2528" s="611">
        <f>ROW(OR_VEH!$A$671)</f>
        <v>671</v>
      </c>
      <c r="N2528" s="611" t="s">
        <v>1769</v>
      </c>
      <c r="O2528" s="611" t="str">
        <f t="shared" si="341"/>
        <v/>
      </c>
      <c r="P2528" s="611" t="str">
        <f t="shared" si="335"/>
        <v>Page7!N</v>
      </c>
      <c r="Q2528" s="611">
        <f t="shared" si="336"/>
        <v>48</v>
      </c>
      <c r="R2528" s="1447">
        <f t="shared" ca="1" si="337"/>
        <v>0</v>
      </c>
      <c r="S2528" s="1447">
        <f t="shared" ca="1" si="338"/>
        <v>0</v>
      </c>
      <c r="V2528" s="2557" t="str">
        <f t="shared" ca="1" si="340"/>
        <v/>
      </c>
      <c r="W2528" s="611" t="str">
        <f t="shared" ca="1" si="339"/>
        <v>Page7, Ligne 45 [Page7!N48]  -</v>
      </c>
    </row>
    <row r="2529" spans="1:23">
      <c r="A2529" s="1443" t="str">
        <f>celladdr(Page7!N49)</f>
        <v>Page7!N49</v>
      </c>
      <c r="B2529" s="1464" t="s">
        <v>1086</v>
      </c>
      <c r="D2529" s="1454" t="b">
        <f>OR(Page7!$N$49&lt;INDEX(Min_Table,L2529),Page7!$N$49&gt;INDEX(Max_Table,L2529))</f>
        <v>0</v>
      </c>
      <c r="E2529" s="1454"/>
      <c r="F2529" s="1454"/>
      <c r="G2529" s="1444" t="str">
        <f t="shared" si="334"/>
        <v/>
      </c>
      <c r="H2529" s="1446"/>
      <c r="I2529" s="1446" t="str">
        <f>IF(D2529=TRUE,Comments!$B$17&amp;INDEX(Min_Table,L2529)&amp;Comments!$B$18&amp;INDEX(Max_Table,L2529),"")</f>
        <v/>
      </c>
      <c r="J2529" s="1446"/>
      <c r="K2529" s="1452"/>
      <c r="L2529" s="611">
        <f>ROW(OR_VEH!$A$671)</f>
        <v>671</v>
      </c>
      <c r="N2529" s="611" t="s">
        <v>1770</v>
      </c>
      <c r="O2529" s="611" t="str">
        <f t="shared" si="341"/>
        <v/>
      </c>
      <c r="P2529" s="611" t="str">
        <f t="shared" si="335"/>
        <v>Page7!N</v>
      </c>
      <c r="Q2529" s="611">
        <f t="shared" si="336"/>
        <v>49</v>
      </c>
      <c r="R2529" s="1447">
        <f t="shared" ca="1" si="337"/>
        <v>0</v>
      </c>
      <c r="S2529" s="1447">
        <f t="shared" ca="1" si="338"/>
        <v>0</v>
      </c>
      <c r="V2529" s="2557" t="str">
        <f t="shared" ca="1" si="340"/>
        <v/>
      </c>
      <c r="W2529" s="611" t="str">
        <f t="shared" ca="1" si="339"/>
        <v>Page7, Ligne 46 [Page7!N49]  -</v>
      </c>
    </row>
    <row r="2530" spans="1:23">
      <c r="A2530" s="1443" t="str">
        <f>celladdr(Page7!N50)</f>
        <v>Page7!N50</v>
      </c>
      <c r="B2530" s="1464" t="s">
        <v>1086</v>
      </c>
      <c r="D2530" s="1454" t="b">
        <f>OR(Page7!$N$50&lt;INDEX(Min_Table,L2530),Page7!$N$50&gt;INDEX(Max_Table,L2530))</f>
        <v>0</v>
      </c>
      <c r="E2530" s="1454"/>
      <c r="F2530" s="1454"/>
      <c r="G2530" s="1444" t="str">
        <f t="shared" si="334"/>
        <v/>
      </c>
      <c r="H2530" s="1446"/>
      <c r="I2530" s="1446" t="str">
        <f>IF(D2530=TRUE,Comments!$B$17&amp;INDEX(Min_Table,L2530)&amp;Comments!$B$18&amp;INDEX(Max_Table,L2530),"")</f>
        <v/>
      </c>
      <c r="J2530" s="1446"/>
      <c r="K2530" s="1452"/>
      <c r="L2530" s="611">
        <f>ROW(OR_VEH!$A$671)</f>
        <v>671</v>
      </c>
      <c r="N2530" s="4" t="s">
        <v>1771</v>
      </c>
      <c r="O2530" s="611" t="str">
        <f t="shared" si="341"/>
        <v/>
      </c>
      <c r="P2530" s="611" t="str">
        <f t="shared" si="335"/>
        <v>Page7!N</v>
      </c>
      <c r="Q2530" s="611">
        <f t="shared" si="336"/>
        <v>50</v>
      </c>
      <c r="R2530" s="1447">
        <f t="shared" ca="1" si="337"/>
        <v>0</v>
      </c>
      <c r="S2530" s="1447">
        <f t="shared" ca="1" si="338"/>
        <v>0</v>
      </c>
      <c r="V2530" s="2557" t="str">
        <f t="shared" ca="1" si="340"/>
        <v/>
      </c>
      <c r="W2530" s="611" t="str">
        <f t="shared" ca="1" si="339"/>
        <v>Page7, Ligne 47 [Page7!N50]  -</v>
      </c>
    </row>
    <row r="2531" spans="1:23">
      <c r="A2531" s="1443" t="str">
        <f>celladdr(Page7!N51)</f>
        <v>Page7!N51</v>
      </c>
      <c r="B2531" s="1464" t="s">
        <v>1086</v>
      </c>
      <c r="D2531" s="1454" t="b">
        <f>OR(Page7!$N$51&lt;INDEX(Min_Table,L2531),Page7!$N$51&gt;INDEX(Max_Table,L2531))</f>
        <v>0</v>
      </c>
      <c r="E2531" s="1454"/>
      <c r="F2531" s="1454"/>
      <c r="G2531" s="1444" t="str">
        <f t="shared" si="334"/>
        <v/>
      </c>
      <c r="H2531" s="1446"/>
      <c r="I2531" s="1446" t="str">
        <f>IF(D2531=TRUE,Comments!$B$17&amp;INDEX(Min_Table,L2531)&amp;Comments!$B$18&amp;INDEX(Max_Table,L2531),"")</f>
        <v/>
      </c>
      <c r="J2531" s="1446"/>
      <c r="K2531" s="1452"/>
      <c r="L2531" s="611">
        <f>ROW(OR_VEH!$A$671)</f>
        <v>671</v>
      </c>
      <c r="N2531" s="611" t="s">
        <v>1772</v>
      </c>
      <c r="O2531" s="611" t="str">
        <f t="shared" si="341"/>
        <v/>
      </c>
      <c r="P2531" s="611" t="str">
        <f t="shared" si="335"/>
        <v>Page7!N</v>
      </c>
      <c r="Q2531" s="611">
        <f t="shared" si="336"/>
        <v>51</v>
      </c>
      <c r="R2531" s="1447">
        <f t="shared" ca="1" si="337"/>
        <v>0</v>
      </c>
      <c r="S2531" s="1447">
        <f t="shared" ca="1" si="338"/>
        <v>0</v>
      </c>
      <c r="V2531" s="2557" t="str">
        <f t="shared" ca="1" si="340"/>
        <v/>
      </c>
      <c r="W2531" s="611" t="str">
        <f t="shared" ca="1" si="339"/>
        <v>Page7, Ligne 48 [Page7!N51]  -</v>
      </c>
    </row>
    <row r="2532" spans="1:23">
      <c r="A2532" s="1443" t="str">
        <f>celladdr(Page7!N52)</f>
        <v>Page7!N52</v>
      </c>
      <c r="B2532" s="1464" t="s">
        <v>1086</v>
      </c>
      <c r="D2532" s="1454" t="b">
        <f>OR(Page7!$N$52&lt;INDEX(Min_Table,L2532),Page7!$N$52&gt;INDEX(Max_Table,L2532))</f>
        <v>0</v>
      </c>
      <c r="G2532" s="1444" t="str">
        <f t="shared" si="334"/>
        <v/>
      </c>
      <c r="H2532" s="1446"/>
      <c r="I2532" s="1446" t="str">
        <f>IF(D2532=TRUE,Comments!$B$17&amp;INDEX(Min_Table,L2532)&amp;Comments!$B$18&amp;INDEX(Max_Table,L2532),"")</f>
        <v/>
      </c>
      <c r="L2532" s="611">
        <f>ROW(OR_VEH!$A$671)</f>
        <v>671</v>
      </c>
      <c r="N2532" s="611" t="s">
        <v>1773</v>
      </c>
      <c r="O2532" s="611" t="str">
        <f t="shared" si="341"/>
        <v/>
      </c>
      <c r="P2532" s="611" t="str">
        <f t="shared" si="335"/>
        <v>Page7!N</v>
      </c>
      <c r="Q2532" s="611">
        <f t="shared" si="336"/>
        <v>52</v>
      </c>
      <c r="R2532" s="1447">
        <f t="shared" ca="1" si="337"/>
        <v>0</v>
      </c>
      <c r="S2532" s="1447">
        <f t="shared" ca="1" si="338"/>
        <v>0</v>
      </c>
      <c r="V2532" s="2557" t="str">
        <f t="shared" ca="1" si="340"/>
        <v/>
      </c>
      <c r="W2532" s="611" t="str">
        <f t="shared" ca="1" si="339"/>
        <v>Page7, Ligne 49 [Page7!N52]  -</v>
      </c>
    </row>
    <row r="2533" spans="1:23">
      <c r="A2533" s="1443" t="str">
        <f>celladdr(Page7!N53)</f>
        <v>Page7!N53</v>
      </c>
      <c r="B2533" s="1464" t="s">
        <v>1086</v>
      </c>
      <c r="D2533" s="1454" t="b">
        <f>OR(Page7!$N$53&lt;INDEX(Min_Table,L2533),Page7!$N$53&gt;INDEX(Max_Table,L2533))</f>
        <v>0</v>
      </c>
      <c r="G2533" s="1444" t="str">
        <f t="shared" si="334"/>
        <v/>
      </c>
      <c r="H2533" s="1446"/>
      <c r="I2533" s="1446" t="str">
        <f>IF(D2533=TRUE,Comments!$B$17&amp;INDEX(Min_Table,L2533)&amp;Comments!$B$18&amp;INDEX(Max_Table,L2533),"")</f>
        <v/>
      </c>
      <c r="J2533" s="1446"/>
      <c r="L2533" s="611">
        <f>ROW(OR_VEH!$A$671)</f>
        <v>671</v>
      </c>
      <c r="N2533" s="611" t="s">
        <v>1774</v>
      </c>
      <c r="O2533" s="611" t="str">
        <f t="shared" si="341"/>
        <v/>
      </c>
      <c r="P2533" s="611" t="str">
        <f t="shared" si="335"/>
        <v>Page7!N</v>
      </c>
      <c r="Q2533" s="611">
        <f t="shared" si="336"/>
        <v>53</v>
      </c>
      <c r="R2533" s="1447">
        <f t="shared" ca="1" si="337"/>
        <v>0</v>
      </c>
      <c r="S2533" s="1447">
        <f t="shared" ca="1" si="338"/>
        <v>0</v>
      </c>
      <c r="V2533" s="2557" t="str">
        <f t="shared" ca="1" si="340"/>
        <v/>
      </c>
      <c r="W2533" s="611" t="str">
        <f t="shared" ca="1" si="339"/>
        <v>Page7, Ligne 50 [Page7!N53]  -</v>
      </c>
    </row>
    <row r="2534" spans="1:23">
      <c r="A2534" s="1443" t="str">
        <f>celladdr(Page7!N55)</f>
        <v>Page7!N55</v>
      </c>
      <c r="B2534" s="1464" t="s">
        <v>1086</v>
      </c>
      <c r="D2534" s="1454" t="b">
        <f>OR(Page7!$N$55&lt;INDEX(Min_Table,L2534),Page7!$N$55&gt;INDEX(Max_Table,L2534))</f>
        <v>0</v>
      </c>
      <c r="G2534" s="1444" t="str">
        <f t="shared" si="334"/>
        <v/>
      </c>
      <c r="I2534" s="1446" t="str">
        <f>IF(D2534=TRUE,Comments!$B$17&amp;INDEX(Min_Table,L2534)&amp;Comments!$B$18&amp;INDEX(Max_Table,L2534),"")</f>
        <v/>
      </c>
      <c r="L2534" s="611">
        <f>ROW(OR_VEH!$A$671)</f>
        <v>671</v>
      </c>
      <c r="N2534" s="611" t="s">
        <v>1775</v>
      </c>
      <c r="O2534" s="611" t="str">
        <f t="shared" si="341"/>
        <v/>
      </c>
      <c r="P2534" s="611" t="str">
        <f t="shared" si="335"/>
        <v>Page7!N</v>
      </c>
      <c r="Q2534" s="611">
        <f t="shared" si="336"/>
        <v>55</v>
      </c>
      <c r="R2534" s="1447">
        <f t="shared" ca="1" si="337"/>
        <v>0</v>
      </c>
      <c r="S2534" s="1447">
        <f t="shared" ca="1" si="338"/>
        <v>0</v>
      </c>
      <c r="V2534" s="2557" t="str">
        <f t="shared" ca="1" si="340"/>
        <v/>
      </c>
      <c r="W2534" s="611" t="str">
        <f t="shared" ca="1" si="339"/>
        <v>Page7, Ligne 52 [Page7!N55]  -</v>
      </c>
    </row>
    <row r="2535" spans="1:23">
      <c r="A2535" s="1443" t="str">
        <f>celladdr(Page7!N56)</f>
        <v>Page7!N56</v>
      </c>
      <c r="B2535" s="1464" t="s">
        <v>1086</v>
      </c>
      <c r="D2535" s="1454" t="b">
        <f>OR(Page7!$N$56&lt;INDEX(Min_Table,L2535),Page7!$N$56&gt;INDEX(Max_Table,L2535))</f>
        <v>0</v>
      </c>
      <c r="E2535" s="1454"/>
      <c r="F2535" s="1454"/>
      <c r="G2535" s="1444" t="str">
        <f t="shared" si="334"/>
        <v/>
      </c>
      <c r="I2535" s="1446" t="str">
        <f>IF(D2535=TRUE,Comments!$B$17&amp;INDEX(Min_Table,L2535)&amp;Comments!$B$18&amp;INDEX(Max_Table,L2535),"")</f>
        <v/>
      </c>
      <c r="J2535" s="1446"/>
      <c r="K2535" s="1452"/>
      <c r="L2535" s="611">
        <f>ROW(OR_VEH!$A$671)</f>
        <v>671</v>
      </c>
      <c r="N2535" s="611" t="s">
        <v>1776</v>
      </c>
      <c r="O2535" s="611" t="str">
        <f t="shared" si="341"/>
        <v/>
      </c>
      <c r="P2535" s="611" t="str">
        <f t="shared" si="335"/>
        <v>Page7!N</v>
      </c>
      <c r="Q2535" s="611">
        <f t="shared" si="336"/>
        <v>56</v>
      </c>
      <c r="R2535" s="1447">
        <f t="shared" ca="1" si="337"/>
        <v>0</v>
      </c>
      <c r="S2535" s="1447">
        <f t="shared" ca="1" si="338"/>
        <v>0</v>
      </c>
      <c r="V2535" s="2557" t="str">
        <f t="shared" ca="1" si="340"/>
        <v/>
      </c>
      <c r="W2535" s="611" t="str">
        <f t="shared" ca="1" si="339"/>
        <v>Page7, Ligne 53 [Page7!N56]  -</v>
      </c>
    </row>
    <row r="2536" spans="1:23">
      <c r="A2536" s="1443" t="str">
        <f>celladdr(Page7!N59)</f>
        <v>Page7!N59</v>
      </c>
      <c r="B2536" s="1464" t="s">
        <v>1086</v>
      </c>
      <c r="E2536" s="1445" t="b">
        <f>Page7!$N$59&lt;0</f>
        <v>0</v>
      </c>
      <c r="G2536" s="1444" t="str">
        <f t="shared" si="334"/>
        <v/>
      </c>
      <c r="H2536" s="1446"/>
      <c r="J2536" s="1446" t="str">
        <f>IF(E2536=TRUE,Comments!$B$30,"")</f>
        <v/>
      </c>
      <c r="N2536" s="611" t="s">
        <v>1777</v>
      </c>
      <c r="O2536" s="611" t="str">
        <f t="shared" si="341"/>
        <v/>
      </c>
      <c r="P2536" s="611" t="str">
        <f t="shared" si="335"/>
        <v>Page7!N</v>
      </c>
      <c r="Q2536" s="611">
        <f t="shared" si="336"/>
        <v>59</v>
      </c>
      <c r="R2536" s="1447">
        <f t="shared" ca="1" si="337"/>
        <v>0</v>
      </c>
      <c r="S2536" s="1447">
        <f t="shared" ca="1" si="338"/>
        <v>0</v>
      </c>
      <c r="T2536" s="611">
        <v>30</v>
      </c>
      <c r="V2536" s="2557" t="str">
        <f t="shared" ca="1" si="340"/>
        <v/>
      </c>
      <c r="W2536" s="611" t="str">
        <f t="shared" ca="1" si="339"/>
        <v>Page7, Ligne 56 [Page7!N59]  -</v>
      </c>
    </row>
    <row r="2537" spans="1:23">
      <c r="A2537" s="1443" t="str">
        <f>celladdr(Page7!N60)</f>
        <v>Page7!N60</v>
      </c>
      <c r="B2537" s="1464" t="s">
        <v>1086</v>
      </c>
      <c r="E2537" s="1445" t="b">
        <f>Page7!$N$60&lt;0</f>
        <v>0</v>
      </c>
      <c r="G2537" s="1444" t="str">
        <f t="shared" si="334"/>
        <v/>
      </c>
      <c r="H2537" s="1446"/>
      <c r="J2537" s="1446" t="str">
        <f>IF(E2537=TRUE,Comments!$B$30,"")</f>
        <v/>
      </c>
      <c r="N2537" s="611" t="s">
        <v>1778</v>
      </c>
      <c r="O2537" s="611" t="str">
        <f t="shared" si="341"/>
        <v/>
      </c>
      <c r="P2537" s="611" t="str">
        <f t="shared" si="335"/>
        <v>Page7!N</v>
      </c>
      <c r="Q2537" s="611">
        <f t="shared" si="336"/>
        <v>60</v>
      </c>
      <c r="R2537" s="1447">
        <f t="shared" ca="1" si="337"/>
        <v>0</v>
      </c>
      <c r="S2537" s="1447">
        <f t="shared" ca="1" si="338"/>
        <v>0</v>
      </c>
      <c r="T2537" s="611">
        <v>30</v>
      </c>
      <c r="V2537" s="2557" t="str">
        <f t="shared" ca="1" si="340"/>
        <v/>
      </c>
      <c r="W2537" s="611" t="str">
        <f t="shared" ca="1" si="339"/>
        <v>Page7, Ligne 57 [Page7!N60]  -</v>
      </c>
    </row>
    <row r="2538" spans="1:23">
      <c r="A2538" s="1443" t="str">
        <f>celladdr(Page7!N61)</f>
        <v>Page7!N61</v>
      </c>
      <c r="B2538" s="1464" t="s">
        <v>1086</v>
      </c>
      <c r="E2538" s="1445" t="b">
        <f>Page7!$N$61&lt;0</f>
        <v>0</v>
      </c>
      <c r="G2538" s="1444" t="str">
        <f t="shared" si="334"/>
        <v/>
      </c>
      <c r="H2538" s="1446"/>
      <c r="J2538" s="1446" t="str">
        <f>IF(E2538=TRUE,Comments!$B$30,"")</f>
        <v/>
      </c>
      <c r="N2538" s="611" t="s">
        <v>1779</v>
      </c>
      <c r="O2538" s="611" t="str">
        <f t="shared" si="341"/>
        <v/>
      </c>
      <c r="P2538" s="611" t="str">
        <f t="shared" si="335"/>
        <v>Page7!N</v>
      </c>
      <c r="Q2538" s="611">
        <f t="shared" si="336"/>
        <v>61</v>
      </c>
      <c r="R2538" s="1447">
        <f t="shared" ca="1" si="337"/>
        <v>0</v>
      </c>
      <c r="S2538" s="1447">
        <f t="shared" ca="1" si="338"/>
        <v>0</v>
      </c>
      <c r="T2538" s="611">
        <v>30</v>
      </c>
      <c r="V2538" s="2557" t="str">
        <f t="shared" ca="1" si="340"/>
        <v/>
      </c>
      <c r="W2538" s="611" t="str">
        <f t="shared" ca="1" si="339"/>
        <v>Page7, Ligne 58 [Page7!N61]  -</v>
      </c>
    </row>
    <row r="2539" spans="1:23">
      <c r="A2539" s="1443" t="str">
        <f>celladdr(Page7!N62)</f>
        <v>Page7!N62</v>
      </c>
      <c r="B2539" s="1463" t="s">
        <v>1086</v>
      </c>
      <c r="E2539" s="1445" t="b">
        <f>Page7!$N$62&lt;0</f>
        <v>0</v>
      </c>
      <c r="G2539" s="1444" t="str">
        <f t="shared" si="334"/>
        <v/>
      </c>
      <c r="H2539" s="1446"/>
      <c r="J2539" s="1446" t="str">
        <f>IF(E2539=TRUE,Comments!$B$30,"")</f>
        <v/>
      </c>
      <c r="N2539" s="611" t="s">
        <v>1780</v>
      </c>
      <c r="O2539" s="611" t="str">
        <f t="shared" si="341"/>
        <v/>
      </c>
      <c r="P2539" s="611" t="str">
        <f t="shared" si="335"/>
        <v>Page7!N</v>
      </c>
      <c r="Q2539" s="611">
        <f t="shared" si="336"/>
        <v>62</v>
      </c>
      <c r="R2539" s="1447">
        <f t="shared" ca="1" si="337"/>
        <v>0</v>
      </c>
      <c r="S2539" s="1447">
        <f t="shared" ca="1" si="338"/>
        <v>0</v>
      </c>
      <c r="T2539" s="611">
        <v>30</v>
      </c>
      <c r="V2539" s="2557" t="str">
        <f t="shared" ca="1" si="340"/>
        <v/>
      </c>
      <c r="W2539" s="611" t="str">
        <f t="shared" ca="1" si="339"/>
        <v>Page7, Ligne 59 [Page7!N62]  -</v>
      </c>
    </row>
    <row r="2540" spans="1:23">
      <c r="A2540" s="1443" t="str">
        <f>celladdr(Page7!N63)</f>
        <v>Page7!N63</v>
      </c>
      <c r="B2540" s="1464" t="s">
        <v>1086</v>
      </c>
      <c r="E2540" s="1445" t="b">
        <f>Page7!$N$63&lt;0</f>
        <v>0</v>
      </c>
      <c r="G2540" s="1444" t="str">
        <f t="shared" si="334"/>
        <v/>
      </c>
      <c r="H2540" s="1446"/>
      <c r="J2540" s="1446" t="str">
        <f>IF(E2540=TRUE,Comments!$B$30,"")</f>
        <v/>
      </c>
      <c r="N2540" s="611" t="s">
        <v>1781</v>
      </c>
      <c r="O2540" s="611" t="str">
        <f t="shared" si="341"/>
        <v/>
      </c>
      <c r="P2540" s="611" t="str">
        <f t="shared" si="335"/>
        <v>Page7!N</v>
      </c>
      <c r="Q2540" s="611">
        <f t="shared" si="336"/>
        <v>63</v>
      </c>
      <c r="R2540" s="1447">
        <f t="shared" ca="1" si="337"/>
        <v>0</v>
      </c>
      <c r="S2540" s="1447">
        <f t="shared" ca="1" si="338"/>
        <v>0</v>
      </c>
      <c r="T2540" s="611">
        <v>30</v>
      </c>
      <c r="V2540" s="2557" t="str">
        <f t="shared" ca="1" si="340"/>
        <v/>
      </c>
      <c r="W2540" s="611" t="str">
        <f t="shared" ca="1" si="339"/>
        <v>Page7, Ligne 60 [Page7!N63]  -</v>
      </c>
    </row>
    <row r="2541" spans="1:23">
      <c r="A2541" s="1443" t="str">
        <f>celladdr(Page7!N64)</f>
        <v>Page7!N64</v>
      </c>
      <c r="B2541" s="1464" t="s">
        <v>1086</v>
      </c>
      <c r="E2541" s="1445" t="b">
        <f>Page7!$N$64&lt;0</f>
        <v>0</v>
      </c>
      <c r="F2541" s="1454"/>
      <c r="G2541" s="1444" t="str">
        <f t="shared" si="334"/>
        <v/>
      </c>
      <c r="H2541" s="1446"/>
      <c r="J2541" s="1446" t="str">
        <f>IF(E2541=TRUE,Comments!$B$30,"")</f>
        <v/>
      </c>
      <c r="K2541" s="1446"/>
      <c r="N2541" s="611" t="s">
        <v>1765</v>
      </c>
      <c r="O2541" s="611" t="str">
        <f t="shared" si="341"/>
        <v/>
      </c>
      <c r="P2541" s="611" t="str">
        <f t="shared" si="335"/>
        <v>Page7!N</v>
      </c>
      <c r="Q2541" s="611">
        <f t="shared" si="336"/>
        <v>64</v>
      </c>
      <c r="R2541" s="1447">
        <f t="shared" ca="1" si="337"/>
        <v>0</v>
      </c>
      <c r="S2541" s="1447">
        <f t="shared" ca="1" si="338"/>
        <v>0</v>
      </c>
      <c r="T2541" s="611">
        <v>30</v>
      </c>
      <c r="V2541" s="2557" t="str">
        <f t="shared" ca="1" si="340"/>
        <v/>
      </c>
      <c r="W2541" s="611" t="str">
        <f t="shared" ca="1" si="339"/>
        <v>Page7, Ligne 61 [Page7!N64]  -</v>
      </c>
    </row>
    <row r="2542" spans="1:23">
      <c r="A2542" s="1443" t="str">
        <f>celladdr(Page7!N68)</f>
        <v>Page7!N68</v>
      </c>
      <c r="B2542" s="1464" t="s">
        <v>1086</v>
      </c>
      <c r="C2542" s="1445" t="b">
        <f>AND(Page6!L78&lt;&gt;0,Page7!N68=0)</f>
        <v>0</v>
      </c>
      <c r="D2542" s="1445" t="b">
        <f>Page7!N68&gt;(SUM(Page6!L24:L35)+SUM(Page6!L41:L42)+SUM(Page6!L44:L45)+SUM(Page6!L50:L51)+SUM(Page6!L55:L60)+SUM(Page6!L64:L67)+SUM(Page6!L73:L75))</f>
        <v>0</v>
      </c>
      <c r="F2542" s="1445" t="b">
        <f>IF((SUM(Page6!L24:L35)+SUM(Page6!L41:L42)+SUM(Page6!L44:L45)+SUM(Page6!L50:L51)+SUM(Page6!L55:L60)+SUM(Page6!L64:L67)+SUM(Page6!L73:L75))=0,FALSE,Page7!N68&lt;(0.2*(SUM(Page6!L24:L35)+SUM(Page6!L41:L42)+SUM(Page6!L44:L45)+SUM(Page6!L50:L51)+SUM(Page6!L55:L60)+SUM(Page6!L64:L67)+SUM(Page6!L73:L75))))</f>
        <v>0</v>
      </c>
      <c r="G2542" s="1444" t="str">
        <f t="shared" si="334"/>
        <v/>
      </c>
      <c r="H2542" s="1446" t="str">
        <f>IF(C2542=TRUE,Comments!$B$31,"")</f>
        <v/>
      </c>
      <c r="I2542" s="1447" t="str">
        <f>IF(D2542=TRUE,Comments!$B$91&amp;DOLLAR(Page7!$N$68,0)&amp;Comments!$B$92&amp;DOLLAR(SUM(Page6!L24:L35)+SUM(Page6!L41:L42)+SUM(Page6!L44:L45)+SUM(Page6!L50:L51)+SUM(Page6!L55:L60)+SUM(Page6!L64:L67)+SUM(Page6!L73:L75),0),"")</f>
        <v/>
      </c>
      <c r="J2542" s="1446"/>
      <c r="K2542" s="1446" t="str">
        <f>IF(F2542=TRUE,Comments!$B$89,"")</f>
        <v/>
      </c>
      <c r="N2542" s="611" t="s">
        <v>1782</v>
      </c>
      <c r="O2542" s="611" t="str">
        <f t="shared" si="341"/>
        <v/>
      </c>
      <c r="P2542" s="611" t="str">
        <f t="shared" si="335"/>
        <v>Page7!N</v>
      </c>
      <c r="Q2542" s="611">
        <f t="shared" si="336"/>
        <v>68</v>
      </c>
      <c r="R2542" s="1447">
        <f t="shared" ca="1" si="337"/>
        <v>0</v>
      </c>
      <c r="S2542" s="1447">
        <f t="shared" ca="1" si="338"/>
        <v>0</v>
      </c>
      <c r="U2542" s="611">
        <v>89</v>
      </c>
      <c r="V2542" s="2557" t="str">
        <f t="shared" ca="1" si="340"/>
        <v/>
      </c>
      <c r="W2542" s="611" t="str">
        <f t="shared" ca="1" si="339"/>
        <v>Page7, Ligne 65 [Page7!N68]  -</v>
      </c>
    </row>
    <row r="2543" spans="1:23">
      <c r="A2543" s="1443" t="str">
        <f>celladdr(Page7!N79)</f>
        <v>Page7!N79</v>
      </c>
      <c r="B2543" s="1463" t="s">
        <v>1086</v>
      </c>
      <c r="C2543" s="1451"/>
      <c r="D2543" s="1454" t="b">
        <f>OR(AND(Page7!$M$79&lt;&gt;0,Page7!$N$79=0),AND(Page7!$N$79&lt;&gt;0,Page7!$M$79=0))</f>
        <v>0</v>
      </c>
      <c r="E2543" s="1454"/>
      <c r="F2543" s="1454"/>
      <c r="G2543" s="1444" t="str">
        <f t="shared" si="334"/>
        <v/>
      </c>
      <c r="I2543" s="1446" t="str">
        <f>IF(D2543=TRUE,Comments!$B$24,"")</f>
        <v/>
      </c>
      <c r="J2543" s="1446"/>
      <c r="K2543" s="1452"/>
      <c r="N2543" s="611" t="str">
        <f>"CPTE # "&amp;Page7!$D$79&amp;"  "&amp;Page7!$C$79&amp;" - COÛT DES VENTES - AAD"</f>
        <v>CPTE # 445  AUTRES VÉH. NEUFS (PVND) - COÛT DES VENTES - AAD</v>
      </c>
      <c r="O2543" s="611" t="str">
        <f t="shared" si="341"/>
        <v/>
      </c>
      <c r="P2543" s="611" t="str">
        <f t="shared" si="335"/>
        <v>Page7!N</v>
      </c>
      <c r="Q2543" s="611">
        <f t="shared" si="336"/>
        <v>79</v>
      </c>
      <c r="R2543" s="1447">
        <f t="shared" ca="1" si="337"/>
        <v>0</v>
      </c>
      <c r="S2543" s="1447">
        <f t="shared" ca="1" si="338"/>
        <v>0</v>
      </c>
      <c r="V2543" s="2557" t="str">
        <f t="shared" ca="1" si="340"/>
        <v/>
      </c>
      <c r="W2543" s="611" t="str">
        <f t="shared" ca="1" si="339"/>
        <v>Page7, Ligne 76 [Page7!N79]  -</v>
      </c>
    </row>
    <row r="2544" spans="1:23">
      <c r="A2544" s="1443" t="str">
        <f>celladdr(Page7!O34)</f>
        <v>Page7!O34</v>
      </c>
      <c r="B2544" s="1453" t="s">
        <v>1086</v>
      </c>
      <c r="C2544" s="1445" t="b">
        <f>Page7!$O$34&lt;&gt;(SUM(Page7!$E$28:$E$33)+SUM(Page7!$J$28:$J$33))</f>
        <v>0</v>
      </c>
      <c r="D2544" s="1454"/>
      <c r="F2544" s="1454"/>
      <c r="G2544" s="1444" t="str">
        <f t="shared" si="334"/>
        <v/>
      </c>
      <c r="H2544" s="1446" t="str">
        <f>IF(C2544=TRUE,Comments!$B$48&amp;ROUND(Page7!$O$34-(SUM(Page7!$E$28:$E$33)+SUM(Page7!$J$28:$J$33)),1),"")</f>
        <v/>
      </c>
      <c r="I2544" s="1452"/>
      <c r="J2544" s="1452"/>
      <c r="K2544" s="1452"/>
      <c r="N2544" s="611" t="s">
        <v>1783</v>
      </c>
      <c r="O2544" s="611" t="str">
        <f t="shared" si="341"/>
        <v/>
      </c>
      <c r="P2544" s="611" t="str">
        <f t="shared" si="335"/>
        <v>Page7!O</v>
      </c>
      <c r="Q2544" s="611">
        <f t="shared" si="336"/>
        <v>34</v>
      </c>
      <c r="R2544" s="1447">
        <f t="shared" ca="1" si="337"/>
        <v>0</v>
      </c>
      <c r="S2544" s="1447">
        <f t="shared" ca="1" si="338"/>
        <v>0</v>
      </c>
      <c r="V2544" s="2557" t="str">
        <f t="shared" ca="1" si="340"/>
        <v/>
      </c>
      <c r="W2544" s="611" t="str">
        <f t="shared" ca="1" si="339"/>
        <v>Page7, Ligne 31 [Page7!O34]  -</v>
      </c>
    </row>
    <row r="2545" spans="1:23">
      <c r="A2545" s="1443" t="str">
        <f>celladdr(Page7!O38)</f>
        <v>Page7!O38</v>
      </c>
      <c r="B2545" s="1453" t="s">
        <v>1086</v>
      </c>
      <c r="C2545" s="1445" t="b">
        <f>Page7!$O$38&lt;&gt;SUM(Page7!$J$37:$J$38)</f>
        <v>0</v>
      </c>
      <c r="D2545" s="1454"/>
      <c r="F2545" s="1454"/>
      <c r="G2545" s="1444" t="str">
        <f t="shared" si="334"/>
        <v/>
      </c>
      <c r="H2545" s="1446" t="str">
        <f>IF(C2545=TRUE,Comments!$B$48&amp;ROUND(Page7!$O$38-SUM(Page7!$J$37:$J$38),1),"")</f>
        <v/>
      </c>
      <c r="I2545" s="1452"/>
      <c r="J2545" s="1452"/>
      <c r="K2545" s="1452"/>
      <c r="N2545" s="611" t="s">
        <v>1784</v>
      </c>
      <c r="O2545" s="611" t="str">
        <f t="shared" si="341"/>
        <v/>
      </c>
      <c r="P2545" s="611" t="str">
        <f t="shared" si="335"/>
        <v>Page7!O</v>
      </c>
      <c r="Q2545" s="611">
        <f t="shared" si="336"/>
        <v>38</v>
      </c>
      <c r="R2545" s="1447">
        <f t="shared" ca="1" si="337"/>
        <v>0</v>
      </c>
      <c r="S2545" s="1447">
        <f t="shared" ca="1" si="338"/>
        <v>0</v>
      </c>
      <c r="V2545" s="2557" t="str">
        <f t="shared" ca="1" si="340"/>
        <v/>
      </c>
      <c r="W2545" s="611" t="str">
        <f t="shared" ca="1" si="339"/>
        <v>Page7, Ligne 35 [Page7!O38]  -</v>
      </c>
    </row>
    <row r="2546" spans="1:23">
      <c r="A2546" s="1443" t="str">
        <f>celladdr(Page7!O54)</f>
        <v>Page7!O54</v>
      </c>
      <c r="B2546" s="1453" t="s">
        <v>1086</v>
      </c>
      <c r="C2546" s="1445" t="b">
        <f>OR(Page7!$O$54-SUM(Page7!$E$54:$N$54)&gt;0.1,Page7!$O$54-SUM(Page7!$E$54:$N$54)&lt;-0.1)</f>
        <v>0</v>
      </c>
      <c r="D2546" s="1454"/>
      <c r="F2546" s="1454"/>
      <c r="G2546" s="1444" t="str">
        <f t="shared" si="334"/>
        <v/>
      </c>
      <c r="H2546" s="1446" t="str">
        <f>IF(C2546=TRUE,Comments!$B$50&amp;ROUND(Page7!$O$54-SUM(Page7!$E$54:$N$54),1),"")</f>
        <v/>
      </c>
      <c r="I2546" s="1452"/>
      <c r="J2546" s="1452"/>
      <c r="K2546" s="1452"/>
      <c r="N2546" s="611" t="s">
        <v>1785</v>
      </c>
      <c r="O2546" s="611" t="str">
        <f t="shared" si="341"/>
        <v/>
      </c>
      <c r="P2546" s="611" t="str">
        <f t="shared" si="335"/>
        <v>Page7!O</v>
      </c>
      <c r="Q2546" s="611">
        <f t="shared" si="336"/>
        <v>54</v>
      </c>
      <c r="R2546" s="1447">
        <f t="shared" ca="1" si="337"/>
        <v>0</v>
      </c>
      <c r="S2546" s="1447">
        <f t="shared" ca="1" si="338"/>
        <v>0</v>
      </c>
      <c r="V2546" s="2557" t="str">
        <f t="shared" ca="1" si="340"/>
        <v/>
      </c>
      <c r="W2546" s="611" t="str">
        <f t="shared" ca="1" si="339"/>
        <v>Page7, Ligne 51 [Page7!O54]  -</v>
      </c>
    </row>
    <row r="2547" spans="1:23">
      <c r="A2547" s="1443" t="str">
        <f>celladdr(Page7!O55)</f>
        <v>Page7!O55</v>
      </c>
      <c r="B2547" s="1464" t="s">
        <v>1086</v>
      </c>
      <c r="C2547" s="1445" t="b">
        <f>OR(Page7!$O$55-SUM(Page7!$E$55:$N$55)&gt;0.1,Page7!$O$55-SUM(Page7!$E$55:$N$55)&lt;-0.1)</f>
        <v>0</v>
      </c>
      <c r="D2547" s="1454"/>
      <c r="F2547" s="1454"/>
      <c r="G2547" s="1444" t="str">
        <f t="shared" si="334"/>
        <v/>
      </c>
      <c r="H2547" s="1446" t="str">
        <f>IF(C2547=TRUE,Comments!$B$50&amp;ROUND(Page7!$O$55-SUM(Page7!$E$55:$N$55),1),"")</f>
        <v/>
      </c>
      <c r="I2547" s="1452"/>
      <c r="J2547" s="1452"/>
      <c r="K2547" s="1452"/>
      <c r="N2547" s="611" t="s">
        <v>1786</v>
      </c>
      <c r="O2547" s="611" t="str">
        <f t="shared" si="341"/>
        <v/>
      </c>
      <c r="P2547" s="611" t="str">
        <f t="shared" si="335"/>
        <v>Page7!O</v>
      </c>
      <c r="Q2547" s="611">
        <f t="shared" si="336"/>
        <v>55</v>
      </c>
      <c r="R2547" s="1447">
        <f t="shared" ca="1" si="337"/>
        <v>0</v>
      </c>
      <c r="S2547" s="1447">
        <f t="shared" ca="1" si="338"/>
        <v>0</v>
      </c>
      <c r="V2547" s="2557" t="str">
        <f t="shared" ca="1" si="340"/>
        <v/>
      </c>
      <c r="W2547" s="611" t="str">
        <f t="shared" ca="1" si="339"/>
        <v>Page7, Ligne 52 [Page7!O55]  -</v>
      </c>
    </row>
    <row r="2548" spans="1:23">
      <c r="A2548" s="1443" t="str">
        <f>celladdr(Page7!O56)</f>
        <v>Page7!O56</v>
      </c>
      <c r="B2548" s="1464" t="s">
        <v>1086</v>
      </c>
      <c r="C2548" s="1445" t="b">
        <f>OR(Page7!$O$56-SUM(Page7!$E$56:$N$56)&gt;0.1,Page7!$O$56-SUM(Page7!$E$56:$N$56)&lt;-0.1)</f>
        <v>0</v>
      </c>
      <c r="D2548" s="1454"/>
      <c r="F2548" s="1454"/>
      <c r="G2548" s="1444" t="str">
        <f t="shared" si="334"/>
        <v/>
      </c>
      <c r="H2548" s="1446" t="str">
        <f>IF(C2548=TRUE,Comments!$B$50&amp;ROUND(Page7!$O$56-SUM(Page7!$E$56:$N$56),1),"")</f>
        <v/>
      </c>
      <c r="I2548" s="1452"/>
      <c r="J2548" s="1452"/>
      <c r="K2548" s="1452"/>
      <c r="N2548" s="611" t="s">
        <v>1787</v>
      </c>
      <c r="O2548" s="611" t="str">
        <f t="shared" si="341"/>
        <v/>
      </c>
      <c r="P2548" s="611" t="str">
        <f t="shared" si="335"/>
        <v>Page7!O</v>
      </c>
      <c r="Q2548" s="611">
        <f t="shared" si="336"/>
        <v>56</v>
      </c>
      <c r="R2548" s="1447">
        <f t="shared" ca="1" si="337"/>
        <v>0</v>
      </c>
      <c r="S2548" s="1447">
        <f t="shared" ca="1" si="338"/>
        <v>0</v>
      </c>
      <c r="V2548" s="2557" t="str">
        <f t="shared" ca="1" si="340"/>
        <v/>
      </c>
      <c r="W2548" s="611" t="str">
        <f t="shared" ca="1" si="339"/>
        <v>Page7, Ligne 53 [Page7!O56]  -</v>
      </c>
    </row>
    <row r="2549" spans="1:23">
      <c r="A2549" s="1443" t="str">
        <f>celladdr(Page7!O59)</f>
        <v>Page7!O59</v>
      </c>
      <c r="B2549" s="1464" t="s">
        <v>1086</v>
      </c>
      <c r="E2549" s="1454" t="b">
        <f>Page7!$O$59&lt;0</f>
        <v>0</v>
      </c>
      <c r="F2549" s="1454"/>
      <c r="G2549" s="1444" t="str">
        <f t="shared" si="334"/>
        <v/>
      </c>
      <c r="H2549" s="1446"/>
      <c r="J2549" s="1446" t="str">
        <f>IF(E2549=TRUE,Comments!$B$30,"")</f>
        <v/>
      </c>
      <c r="K2549" s="1446"/>
      <c r="N2549" s="611" t="s">
        <v>1788</v>
      </c>
      <c r="O2549" s="611" t="str">
        <f t="shared" si="341"/>
        <v/>
      </c>
      <c r="P2549" s="611" t="str">
        <f t="shared" si="335"/>
        <v>Page7!O</v>
      </c>
      <c r="Q2549" s="611">
        <f t="shared" si="336"/>
        <v>59</v>
      </c>
      <c r="R2549" s="1447">
        <f t="shared" ca="1" si="337"/>
        <v>0</v>
      </c>
      <c r="S2549" s="1447">
        <f t="shared" ca="1" si="338"/>
        <v>0</v>
      </c>
      <c r="T2549" s="611">
        <v>30</v>
      </c>
      <c r="V2549" s="2557" t="str">
        <f t="shared" ca="1" si="340"/>
        <v/>
      </c>
      <c r="W2549" s="611" t="str">
        <f t="shared" ca="1" si="339"/>
        <v>Page7, Ligne 56 [Page7!O59]  -</v>
      </c>
    </row>
    <row r="2550" spans="1:23">
      <c r="A2550" s="1443" t="str">
        <f>celladdr(Page7!O60)</f>
        <v>Page7!O60</v>
      </c>
      <c r="B2550" s="1464" t="s">
        <v>1086</v>
      </c>
      <c r="E2550" s="1454" t="b">
        <f>Page7!$O$60&lt;0</f>
        <v>0</v>
      </c>
      <c r="G2550" s="1444" t="str">
        <f t="shared" si="334"/>
        <v/>
      </c>
      <c r="H2550" s="1446"/>
      <c r="J2550" s="1446" t="str">
        <f>IF(E2550=TRUE,Comments!$B$30,"")</f>
        <v/>
      </c>
      <c r="N2550" s="611" t="s">
        <v>1789</v>
      </c>
      <c r="O2550" s="611" t="str">
        <f t="shared" si="341"/>
        <v/>
      </c>
      <c r="P2550" s="611" t="str">
        <f t="shared" si="335"/>
        <v>Page7!O</v>
      </c>
      <c r="Q2550" s="611">
        <f t="shared" si="336"/>
        <v>60</v>
      </c>
      <c r="R2550" s="1447">
        <f t="shared" ca="1" si="337"/>
        <v>0</v>
      </c>
      <c r="S2550" s="1447">
        <f t="shared" ca="1" si="338"/>
        <v>0</v>
      </c>
      <c r="T2550" s="611">
        <v>30</v>
      </c>
      <c r="V2550" s="2557" t="str">
        <f t="shared" ca="1" si="340"/>
        <v/>
      </c>
      <c r="W2550" s="611" t="str">
        <f t="shared" ca="1" si="339"/>
        <v>Page7, Ligne 57 [Page7!O60]  -</v>
      </c>
    </row>
    <row r="2551" spans="1:23">
      <c r="A2551" s="1443" t="str">
        <f>celladdr(Page7!O61)</f>
        <v>Page7!O61</v>
      </c>
      <c r="B2551" s="1464" t="s">
        <v>1086</v>
      </c>
      <c r="E2551" s="1454" t="b">
        <f>Page7!$O$61&lt;0</f>
        <v>0</v>
      </c>
      <c r="G2551" s="1444" t="str">
        <f t="shared" si="334"/>
        <v/>
      </c>
      <c r="H2551" s="1446"/>
      <c r="J2551" s="1446" t="str">
        <f>IF(E2551=TRUE,Comments!$B$30,"")</f>
        <v/>
      </c>
      <c r="N2551" s="611" t="s">
        <v>1790</v>
      </c>
      <c r="O2551" s="611" t="str">
        <f t="shared" si="341"/>
        <v/>
      </c>
      <c r="P2551" s="611" t="str">
        <f t="shared" si="335"/>
        <v>Page7!O</v>
      </c>
      <c r="Q2551" s="611">
        <f t="shared" si="336"/>
        <v>61</v>
      </c>
      <c r="R2551" s="1447">
        <f t="shared" ca="1" si="337"/>
        <v>0</v>
      </c>
      <c r="S2551" s="1447">
        <f t="shared" ca="1" si="338"/>
        <v>0</v>
      </c>
      <c r="T2551" s="611">
        <v>30</v>
      </c>
      <c r="V2551" s="2557" t="str">
        <f t="shared" ca="1" si="340"/>
        <v/>
      </c>
      <c r="W2551" s="611" t="str">
        <f t="shared" ca="1" si="339"/>
        <v>Page7, Ligne 58 [Page7!O61]  -</v>
      </c>
    </row>
    <row r="2552" spans="1:23">
      <c r="A2552" s="1443" t="str">
        <f>celladdr(Page7!O62)</f>
        <v>Page7!O62</v>
      </c>
      <c r="B2552" s="1463" t="s">
        <v>1086</v>
      </c>
      <c r="E2552" s="1454" t="b">
        <f>Page7!$O$62&lt;0</f>
        <v>0</v>
      </c>
      <c r="G2552" s="1444" t="str">
        <f t="shared" si="334"/>
        <v/>
      </c>
      <c r="H2552" s="1446"/>
      <c r="J2552" s="1446" t="str">
        <f>IF(E2552=TRUE,Comments!$B$30,"")</f>
        <v/>
      </c>
      <c r="N2552" s="611" t="s">
        <v>1791</v>
      </c>
      <c r="O2552" s="611" t="str">
        <f t="shared" si="341"/>
        <v/>
      </c>
      <c r="P2552" s="611" t="str">
        <f t="shared" si="335"/>
        <v>Page7!O</v>
      </c>
      <c r="Q2552" s="611">
        <f t="shared" si="336"/>
        <v>62</v>
      </c>
      <c r="R2552" s="1447">
        <f t="shared" ca="1" si="337"/>
        <v>0</v>
      </c>
      <c r="S2552" s="1447">
        <f t="shared" ca="1" si="338"/>
        <v>0</v>
      </c>
      <c r="T2552" s="611">
        <v>30</v>
      </c>
      <c r="V2552" s="2557" t="str">
        <f t="shared" ca="1" si="340"/>
        <v/>
      </c>
      <c r="W2552" s="611" t="str">
        <f t="shared" ca="1" si="339"/>
        <v>Page7, Ligne 59 [Page7!O62]  -</v>
      </c>
    </row>
    <row r="2553" spans="1:23">
      <c r="A2553" s="1443" t="str">
        <f>celladdr(Page7!O63)</f>
        <v>Page7!O63</v>
      </c>
      <c r="B2553" s="1464" t="s">
        <v>1086</v>
      </c>
      <c r="E2553" s="1454" t="b">
        <f>Page7!$O$63&lt;0</f>
        <v>0</v>
      </c>
      <c r="G2553" s="1444" t="str">
        <f t="shared" si="334"/>
        <v/>
      </c>
      <c r="H2553" s="1446"/>
      <c r="J2553" s="1446" t="str">
        <f>IF(E2553=TRUE,Comments!$B$30,"")</f>
        <v/>
      </c>
      <c r="N2553" s="611" t="s">
        <v>1792</v>
      </c>
      <c r="O2553" s="611" t="str">
        <f t="shared" si="341"/>
        <v/>
      </c>
      <c r="P2553" s="611" t="str">
        <f t="shared" si="335"/>
        <v>Page7!O</v>
      </c>
      <c r="Q2553" s="611">
        <f t="shared" si="336"/>
        <v>63</v>
      </c>
      <c r="R2553" s="1447">
        <f t="shared" ca="1" si="337"/>
        <v>0</v>
      </c>
      <c r="S2553" s="1447">
        <f t="shared" ca="1" si="338"/>
        <v>0</v>
      </c>
      <c r="T2553" s="611">
        <v>30</v>
      </c>
      <c r="V2553" s="2557" t="str">
        <f t="shared" ca="1" si="340"/>
        <v/>
      </c>
      <c r="W2553" s="611" t="str">
        <f t="shared" ca="1" si="339"/>
        <v>Page7, Ligne 60 [Page7!O63]  -</v>
      </c>
    </row>
    <row r="2554" spans="1:23">
      <c r="A2554" s="1443" t="str">
        <f>celladdr(Page7!O64)</f>
        <v>Page7!O64</v>
      </c>
      <c r="B2554" s="1464" t="s">
        <v>1086</v>
      </c>
      <c r="E2554" s="1454" t="b">
        <f>Page7!$O$64&lt;0</f>
        <v>0</v>
      </c>
      <c r="G2554" s="1444" t="str">
        <f t="shared" si="334"/>
        <v/>
      </c>
      <c r="H2554" s="1446"/>
      <c r="I2554" s="1446"/>
      <c r="J2554" s="1446" t="str">
        <f>IF(E2554=TRUE,Comments!$B$30,"")</f>
        <v/>
      </c>
      <c r="N2554" s="611" t="s">
        <v>1793</v>
      </c>
      <c r="O2554" s="611" t="str">
        <f t="shared" si="341"/>
        <v/>
      </c>
      <c r="P2554" s="611" t="str">
        <f t="shared" si="335"/>
        <v>Page7!O</v>
      </c>
      <c r="Q2554" s="611">
        <f t="shared" si="336"/>
        <v>64</v>
      </c>
      <c r="R2554" s="1447">
        <f t="shared" ca="1" si="337"/>
        <v>0</v>
      </c>
      <c r="S2554" s="1447">
        <f t="shared" ca="1" si="338"/>
        <v>0</v>
      </c>
      <c r="T2554" s="611">
        <v>30</v>
      </c>
      <c r="V2554" s="2557" t="str">
        <f t="shared" ca="1" si="340"/>
        <v/>
      </c>
      <c r="W2554" s="611" t="str">
        <f t="shared" ca="1" si="339"/>
        <v>Page7, Ligne 61 [Page7!O64]  -</v>
      </c>
    </row>
    <row r="2555" spans="1:23">
      <c r="A2555" s="1443" t="str">
        <f>celladdr(Page8!E40)</f>
        <v>Page8!E40</v>
      </c>
      <c r="B2555" s="1453" t="s">
        <v>1086</v>
      </c>
      <c r="C2555" s="1445" t="b">
        <f>OR(AND(Page8!$F$40=0,Page8!$E$40&gt;0),AND(Page8!$F$40&gt;0,Page8!$E$40=0))</f>
        <v>0</v>
      </c>
      <c r="D2555" s="1445" t="b">
        <f>Page8!E40&lt;0</f>
        <v>0</v>
      </c>
      <c r="G2555" s="1444" t="str">
        <f t="shared" si="334"/>
        <v/>
      </c>
      <c r="H2555" s="1446" t="str">
        <f>IF(C2555=TRUE,Comments!$B$4,"")</f>
        <v/>
      </c>
      <c r="I2555" s="1446" t="str">
        <f>IF(D2555=TRUE,Comments!$B$28,"")</f>
        <v/>
      </c>
      <c r="J2555" s="1446"/>
      <c r="N2555" s="611" t="s">
        <v>1794</v>
      </c>
      <c r="O2555" s="611" t="str">
        <f t="shared" si="341"/>
        <v/>
      </c>
      <c r="P2555" s="611" t="str">
        <f t="shared" si="335"/>
        <v>Page8!E</v>
      </c>
      <c r="Q2555" s="611">
        <f t="shared" si="336"/>
        <v>40</v>
      </c>
      <c r="R2555" s="1447">
        <f t="shared" ca="1" si="337"/>
        <v>0</v>
      </c>
      <c r="S2555" s="1447">
        <f t="shared" ca="1" si="338"/>
        <v>0</v>
      </c>
      <c r="V2555" s="2557" t="str">
        <f t="shared" ca="1" si="340"/>
        <v/>
      </c>
      <c r="W2555" s="611" t="str">
        <f t="shared" ca="1" si="339"/>
        <v>Page8, Ligne 37 [Page8!E40]  -</v>
      </c>
    </row>
    <row r="2556" spans="1:23">
      <c r="A2556" s="1443" t="str">
        <f>celladdr(Page8!E42)</f>
        <v>Page8!E42</v>
      </c>
      <c r="B2556" s="1464" t="s">
        <v>1086</v>
      </c>
      <c r="C2556" s="1445" t="b">
        <f>OR(AND(Page8!$H$42=0,Page8!$E$42&gt;0),AND(Page8!$H$42&gt;0,Page8!$E$42=0))</f>
        <v>0</v>
      </c>
      <c r="D2556" s="1445" t="b">
        <f>Page8!H42&lt;0</f>
        <v>0</v>
      </c>
      <c r="G2556" s="1444" t="str">
        <f t="shared" si="334"/>
        <v/>
      </c>
      <c r="H2556" s="1446" t="str">
        <f>IF(C2556=TRUE,Comments!$B$5,"")</f>
        <v/>
      </c>
      <c r="I2556" s="1446" t="str">
        <f>IF(D2556=TRUE,Comments!$B$5,"")</f>
        <v/>
      </c>
      <c r="J2556" s="1446"/>
      <c r="N2556" s="611" t="s">
        <v>1795</v>
      </c>
      <c r="O2556" s="611" t="str">
        <f t="shared" si="341"/>
        <v/>
      </c>
      <c r="P2556" s="611" t="str">
        <f t="shared" si="335"/>
        <v>Page8!E</v>
      </c>
      <c r="Q2556" s="611">
        <f t="shared" si="336"/>
        <v>42</v>
      </c>
      <c r="R2556" s="1447">
        <f t="shared" ca="1" si="337"/>
        <v>0</v>
      </c>
      <c r="S2556" s="1447">
        <f t="shared" ca="1" si="338"/>
        <v>0</v>
      </c>
      <c r="V2556" s="2557" t="str">
        <f t="shared" ca="1" si="340"/>
        <v/>
      </c>
      <c r="W2556" s="611" t="str">
        <f t="shared" ca="1" si="339"/>
        <v>Page8, Ligne 39 [Page8!E42]  -</v>
      </c>
    </row>
    <row r="2557" spans="1:23">
      <c r="A2557" s="1443" t="str">
        <f>celladdr(Page8!E43)</f>
        <v>Page8!E43</v>
      </c>
      <c r="B2557" s="1464" t="s">
        <v>1086</v>
      </c>
      <c r="C2557" s="1445" t="b">
        <f>OR(AND(Page8!$H$43=0,Page8!$E$43&gt;0),AND(Page8!$H$43&gt;0,Page8!$E$43=0))</f>
        <v>0</v>
      </c>
      <c r="D2557" s="1445" t="b">
        <f>Page8!H43&lt;0</f>
        <v>0</v>
      </c>
      <c r="G2557" s="1444" t="str">
        <f t="shared" si="334"/>
        <v/>
      </c>
      <c r="H2557" s="1446" t="str">
        <f>IF(C2557=TRUE,Comments!$B$5,"")</f>
        <v/>
      </c>
      <c r="I2557" s="1446" t="str">
        <f>IF(D2557=TRUE,Comments!$B$5,"")</f>
        <v/>
      </c>
      <c r="J2557" s="1446"/>
      <c r="N2557" s="611" t="s">
        <v>1796</v>
      </c>
      <c r="O2557" s="611" t="str">
        <f t="shared" si="341"/>
        <v/>
      </c>
      <c r="P2557" s="611" t="str">
        <f t="shared" si="335"/>
        <v>Page8!E</v>
      </c>
      <c r="Q2557" s="611">
        <f t="shared" si="336"/>
        <v>43</v>
      </c>
      <c r="R2557" s="1447">
        <f t="shared" ca="1" si="337"/>
        <v>0</v>
      </c>
      <c r="S2557" s="1447">
        <f t="shared" ca="1" si="338"/>
        <v>0</v>
      </c>
      <c r="V2557" s="2557" t="str">
        <f t="shared" ca="1" si="340"/>
        <v/>
      </c>
      <c r="W2557" s="611" t="str">
        <f t="shared" ca="1" si="339"/>
        <v>Page8, Ligne 40 [Page8!E43]  -</v>
      </c>
    </row>
    <row r="2558" spans="1:23">
      <c r="A2558" s="1443" t="str">
        <f>celladdr(Page8!E44)</f>
        <v>Page8!E44</v>
      </c>
      <c r="B2558" s="1464" t="s">
        <v>1086</v>
      </c>
      <c r="C2558" s="1445" t="b">
        <f>OR(AND(Page8!$H$44=0,Page8!$E$44&gt;0),AND(Page8!$H$44&gt;0,Page8!$E$44=0))</f>
        <v>0</v>
      </c>
      <c r="D2558" s="1445" t="b">
        <f>Page8!H44&lt;0</f>
        <v>0</v>
      </c>
      <c r="G2558" s="1444" t="str">
        <f t="shared" si="334"/>
        <v/>
      </c>
      <c r="H2558" s="1446" t="str">
        <f>IF(C2558=TRUE,Comments!$B$5,"")</f>
        <v/>
      </c>
      <c r="I2558" s="1446" t="str">
        <f>IF(D2558=TRUE,Comments!$B$5,"")</f>
        <v/>
      </c>
      <c r="J2558" s="1446"/>
      <c r="N2558" s="611" t="s">
        <v>1797</v>
      </c>
      <c r="O2558" s="611" t="str">
        <f t="shared" si="341"/>
        <v/>
      </c>
      <c r="P2558" s="611" t="str">
        <f t="shared" si="335"/>
        <v>Page8!E</v>
      </c>
      <c r="Q2558" s="611">
        <f t="shared" si="336"/>
        <v>44</v>
      </c>
      <c r="R2558" s="1447">
        <f t="shared" ca="1" si="337"/>
        <v>0</v>
      </c>
      <c r="S2558" s="1447">
        <f t="shared" ca="1" si="338"/>
        <v>0</v>
      </c>
      <c r="V2558" s="2557" t="str">
        <f t="shared" ca="1" si="340"/>
        <v/>
      </c>
      <c r="W2558" s="611" t="str">
        <f t="shared" ca="1" si="339"/>
        <v>Page8, Ligne 41 [Page8!E44]  -</v>
      </c>
    </row>
    <row r="2559" spans="1:23">
      <c r="A2559" s="1443" t="str">
        <f>celladdr(Page8!E45)</f>
        <v>Page8!E45</v>
      </c>
      <c r="B2559" s="1457" t="s">
        <v>1086</v>
      </c>
      <c r="C2559" s="1445" t="b">
        <f>Page8!$E$45&lt;&gt;SUM(Page8!$E$42:$E$44)</f>
        <v>0</v>
      </c>
      <c r="D2559" s="1445" t="b">
        <f>OR(AND(Page8!$E$45=0,Page8!$H$45&lt;&gt;0),AND(Page8!$E$45&lt;&gt;0,Page8!$H$45=0))</f>
        <v>0</v>
      </c>
      <c r="E2559" s="1450"/>
      <c r="F2559" s="1450"/>
      <c r="G2559" s="1444" t="str">
        <f t="shared" si="334"/>
        <v/>
      </c>
      <c r="H2559" s="1446" t="str">
        <f>IF(C2559=TRUE,Comments!$B$52&amp;DOLLAR(Page8!$E$45=SUM(Page8!$E$42:$E$44),0),"")</f>
        <v/>
      </c>
      <c r="I2559" s="1446" t="str">
        <f>IF(D2559=TRUE,Comments!$B$5,"")</f>
        <v/>
      </c>
      <c r="J2559" s="1452"/>
      <c r="K2559" s="1446"/>
      <c r="N2559" s="611" t="s">
        <v>1798</v>
      </c>
      <c r="O2559" s="611" t="str">
        <f t="shared" si="341"/>
        <v/>
      </c>
      <c r="P2559" s="611" t="str">
        <f t="shared" si="335"/>
        <v>Page8!E</v>
      </c>
      <c r="Q2559" s="611">
        <f t="shared" si="336"/>
        <v>45</v>
      </c>
      <c r="R2559" s="1447">
        <f t="shared" ca="1" si="337"/>
        <v>0</v>
      </c>
      <c r="S2559" s="1447">
        <f t="shared" ca="1" si="338"/>
        <v>0</v>
      </c>
      <c r="V2559" s="2557" t="str">
        <f t="shared" ca="1" si="340"/>
        <v/>
      </c>
      <c r="W2559" s="611" t="str">
        <f t="shared" ca="1" si="339"/>
        <v>Page8, Ligne 42 [Page8!E45]  -</v>
      </c>
    </row>
    <row r="2560" spans="1:23">
      <c r="A2560" s="1443" t="str">
        <f>celladdr(Page8!F37)</f>
        <v>Page8!F37</v>
      </c>
      <c r="B2560" s="1464" t="s">
        <v>1086</v>
      </c>
      <c r="C2560" s="1445" t="b">
        <f>OR(AND(Page8!$F$37=0,Page8!$H$37&gt;0),AND(Page8!$F$37&gt;0,Page8!$H$37=0))</f>
        <v>0</v>
      </c>
      <c r="D2560" s="1445" t="b">
        <f>Page8!F37&lt;0</f>
        <v>0</v>
      </c>
      <c r="G2560" s="1444" t="str">
        <f t="shared" si="334"/>
        <v/>
      </c>
      <c r="H2560" s="1446" t="str">
        <f>IF(C2560=TRUE,Comments!$B$4,"")</f>
        <v/>
      </c>
      <c r="I2560" s="1446" t="str">
        <f>IF(D2560=TRUE,Comments!$B$26,"")</f>
        <v/>
      </c>
      <c r="J2560" s="1446"/>
      <c r="N2560" s="611" t="s">
        <v>1799</v>
      </c>
      <c r="O2560" s="611" t="str">
        <f t="shared" si="341"/>
        <v/>
      </c>
      <c r="P2560" s="611" t="str">
        <f t="shared" si="335"/>
        <v>Page8!F</v>
      </c>
      <c r="Q2560" s="611">
        <f t="shared" si="336"/>
        <v>37</v>
      </c>
      <c r="R2560" s="1447">
        <f t="shared" ca="1" si="337"/>
        <v>0</v>
      </c>
      <c r="S2560" s="1447">
        <f t="shared" ca="1" si="338"/>
        <v>0</v>
      </c>
      <c r="V2560" s="2557" t="str">
        <f t="shared" ca="1" si="340"/>
        <v/>
      </c>
      <c r="W2560" s="611" t="str">
        <f t="shared" ca="1" si="339"/>
        <v>Page8, Ligne 34 [Page8!F37]  -</v>
      </c>
    </row>
    <row r="2561" spans="1:23">
      <c r="A2561" s="1443" t="str">
        <f>celladdr(Page8!F38)</f>
        <v>Page8!F38</v>
      </c>
      <c r="B2561" s="1464" t="s">
        <v>1086</v>
      </c>
      <c r="C2561" s="1445" t="b">
        <f>OR(AND(Page8!$F$38=0,Page8!$H$38&gt;0),AND(Page8!$F$38&gt;0,Page8!$H$38=0))</f>
        <v>0</v>
      </c>
      <c r="D2561" s="1445" t="b">
        <f>Page8!F38&lt;0</f>
        <v>0</v>
      </c>
      <c r="G2561" s="1444" t="str">
        <f t="shared" si="334"/>
        <v/>
      </c>
      <c r="H2561" s="1446" t="str">
        <f>IF(C2561=TRUE,Comments!$B$4,"")</f>
        <v/>
      </c>
      <c r="I2561" s="1446" t="str">
        <f>IF(D2561=TRUE,Comments!$B$26,"")</f>
        <v/>
      </c>
      <c r="N2561" s="611" t="s">
        <v>1800</v>
      </c>
      <c r="O2561" s="611" t="str">
        <f t="shared" si="341"/>
        <v/>
      </c>
      <c r="P2561" s="611" t="str">
        <f t="shared" si="335"/>
        <v>Page8!F</v>
      </c>
      <c r="Q2561" s="611">
        <f t="shared" si="336"/>
        <v>38</v>
      </c>
      <c r="R2561" s="1447">
        <f t="shared" ca="1" si="337"/>
        <v>0</v>
      </c>
      <c r="S2561" s="1447">
        <f t="shared" ca="1" si="338"/>
        <v>0</v>
      </c>
      <c r="V2561" s="2557" t="str">
        <f t="shared" ca="1" si="340"/>
        <v/>
      </c>
      <c r="W2561" s="611" t="str">
        <f t="shared" ca="1" si="339"/>
        <v>Page8, Ligne 35 [Page8!F38]  -</v>
      </c>
    </row>
    <row r="2562" spans="1:23">
      <c r="A2562" s="1443" t="str">
        <f>celladdr(Page8!F39)</f>
        <v>Page8!F39</v>
      </c>
      <c r="B2562" s="1464" t="s">
        <v>1086</v>
      </c>
      <c r="C2562" s="1445" t="b">
        <f>OR(AND(Page8!$F$39=0,Page8!$H$39&gt;0),AND(Page8!$F$39&gt;0,Page8!$H$39=0))</f>
        <v>0</v>
      </c>
      <c r="D2562" s="1445" t="b">
        <f>Page8!F39&lt;0</f>
        <v>0</v>
      </c>
      <c r="G2562" s="1444" t="str">
        <f t="shared" ref="G2562:G2625" si="342">IF(H2562&amp;I2562&amp;J2562&amp;K2562&lt;&gt;"","No.de ref. du commentaire.: "&amp;W2562&amp;" "&amp;N2562&amp;" "&amp;H2562&amp;I2562&amp;IF(OR(C2562=TRUE,D2562=TRUE),"",J2562&amp;K2562&amp;V2562),"")</f>
        <v/>
      </c>
      <c r="H2562" s="1446" t="str">
        <f>IF(C2562=TRUE,Comments!$B$4,"")</f>
        <v/>
      </c>
      <c r="I2562" s="1446" t="str">
        <f>IF(D2562=TRUE,Comments!$B$26,"")</f>
        <v/>
      </c>
      <c r="J2562" s="1446"/>
      <c r="N2562" s="611" t="s">
        <v>1801</v>
      </c>
      <c r="O2562" s="611" t="str">
        <f t="shared" si="341"/>
        <v/>
      </c>
      <c r="P2562" s="611" t="str">
        <f t="shared" ref="P2562:P2625" si="343">LEFT(A2562,FIND("!",A2562)+1)</f>
        <v>Page8!F</v>
      </c>
      <c r="Q2562" s="611">
        <f t="shared" ref="Q2562:Q2625" si="344">VALUE(RIGHT(A2562,LEN(A2562)-FIND("!",A2562)-1))</f>
        <v>39</v>
      </c>
      <c r="R2562" s="1447">
        <f t="shared" ref="R2562:R2625" ca="1" si="345">IF(E2562=TRUE,INDIRECT("Comments!$D$"&amp;T2562),0)</f>
        <v>0</v>
      </c>
      <c r="S2562" s="1447">
        <f t="shared" ref="S2562:S2625" ca="1" si="346">IF(F2562=TRUE,INDIRECT("Comments!$D$"&amp;U2562),0)</f>
        <v>0</v>
      </c>
      <c r="V2562" s="2557" t="str">
        <f t="shared" ca="1" si="340"/>
        <v/>
      </c>
      <c r="W2562" s="611" t="str">
        <f t="shared" ref="W2562:W2625" ca="1" si="347">LEFT(A2562,FIND("!",A2562,1)-1)&amp;", Ligne "&amp;INDIRECT(ADDRESS(ROW(INDIRECT(A2562)),IF(INDIRECT(ADDRESS(ROW(INDIRECT(A2562)),1,,,LEFT(A2562,FIND("!",A2562,1)-1)))="",2,1),,,LEFT(A2562,FIND("!",A2562,1)-1)))&amp;" ["&amp;A2562&amp;"] "&amp;" -"</f>
        <v>Page8, Ligne 36 [Page8!F39]  -</v>
      </c>
    </row>
    <row r="2563" spans="1:23">
      <c r="A2563" s="1443" t="str">
        <f>celladdr(Page8!F40)</f>
        <v>Page8!F40</v>
      </c>
      <c r="B2563" s="1453" t="s">
        <v>1086</v>
      </c>
      <c r="C2563" s="1445" t="b">
        <f>OR(AND(Page8!$F$40=0,Page8!$E$40&gt;0),AND(Page8!$F$40&gt;0,Page8!$E$40=0))</f>
        <v>0</v>
      </c>
      <c r="D2563" s="1445" t="b">
        <f>Page8!F40&lt;0</f>
        <v>0</v>
      </c>
      <c r="G2563" s="1444" t="str">
        <f t="shared" si="342"/>
        <v/>
      </c>
      <c r="H2563" s="1446" t="str">
        <f>IF(C2563=TRUE,Comments!$B$4,"")</f>
        <v/>
      </c>
      <c r="I2563" s="1446" t="str">
        <f>IF(D2563=TRUE,Comments!$B$26,"")</f>
        <v/>
      </c>
      <c r="J2563" s="1446"/>
      <c r="N2563" s="611" t="s">
        <v>1802</v>
      </c>
      <c r="O2563" s="611" t="str">
        <f t="shared" si="341"/>
        <v/>
      </c>
      <c r="P2563" s="611" t="str">
        <f t="shared" si="343"/>
        <v>Page8!F</v>
      </c>
      <c r="Q2563" s="611">
        <f t="shared" si="344"/>
        <v>40</v>
      </c>
      <c r="R2563" s="1447">
        <f t="shared" ca="1" si="345"/>
        <v>0</v>
      </c>
      <c r="S2563" s="1447">
        <f t="shared" ca="1" si="346"/>
        <v>0</v>
      </c>
      <c r="V2563" s="2557" t="str">
        <f t="shared" ca="1" si="340"/>
        <v/>
      </c>
      <c r="W2563" s="611" t="str">
        <f t="shared" ca="1" si="347"/>
        <v>Page8, Ligne 37 [Page8!F40]  -</v>
      </c>
    </row>
    <row r="2564" spans="1:23">
      <c r="A2564" s="1443" t="str">
        <f>celladdr(Page8!F42)</f>
        <v>Page8!F42</v>
      </c>
      <c r="B2564" s="1464" t="s">
        <v>1086</v>
      </c>
      <c r="C2564" s="1445" t="b">
        <f>OR(AND(Page8!$F$42=0,Page8!$H$42&gt;0),AND(Page8!$F$42&gt;0,Page8!$H$42=0))</f>
        <v>0</v>
      </c>
      <c r="D2564" s="1445" t="b">
        <f>Page8!F42&lt;0</f>
        <v>0</v>
      </c>
      <c r="G2564" s="1444" t="str">
        <f t="shared" si="342"/>
        <v/>
      </c>
      <c r="H2564" s="1446" t="str">
        <f>IF(C2564=TRUE,Comments!$B$4,"")</f>
        <v/>
      </c>
      <c r="I2564" s="1446" t="str">
        <f>IF(D2564=TRUE,Comments!$B$26,"")</f>
        <v/>
      </c>
      <c r="J2564" s="1446"/>
      <c r="N2564" s="611" t="s">
        <v>1803</v>
      </c>
      <c r="O2564" s="611" t="str">
        <f t="shared" si="341"/>
        <v/>
      </c>
      <c r="P2564" s="611" t="str">
        <f t="shared" si="343"/>
        <v>Page8!F</v>
      </c>
      <c r="Q2564" s="611">
        <f t="shared" si="344"/>
        <v>42</v>
      </c>
      <c r="R2564" s="1447">
        <f t="shared" ca="1" si="345"/>
        <v>0</v>
      </c>
      <c r="S2564" s="1447">
        <f t="shared" ca="1" si="346"/>
        <v>0</v>
      </c>
      <c r="V2564" s="2557" t="str">
        <f t="shared" ca="1" si="340"/>
        <v/>
      </c>
      <c r="W2564" s="611" t="str">
        <f t="shared" ca="1" si="347"/>
        <v>Page8, Ligne 39 [Page8!F42]  -</v>
      </c>
    </row>
    <row r="2565" spans="1:23">
      <c r="A2565" s="1443" t="str">
        <f>celladdr(Page8!F43)</f>
        <v>Page8!F43</v>
      </c>
      <c r="B2565" s="1464" t="s">
        <v>1086</v>
      </c>
      <c r="C2565" s="1445" t="b">
        <f>OR(AND(Page8!$F$43=0,Page8!$H$43&gt;0),AND(Page8!$F$43&gt;0,Page8!$H$43=0))</f>
        <v>0</v>
      </c>
      <c r="D2565" s="1445" t="b">
        <f>Page8!F43&lt;0</f>
        <v>0</v>
      </c>
      <c r="G2565" s="1444" t="str">
        <f t="shared" si="342"/>
        <v/>
      </c>
      <c r="H2565" s="1446" t="str">
        <f>IF(C2565=TRUE,Comments!$B$4,"")</f>
        <v/>
      </c>
      <c r="I2565" s="1446" t="str">
        <f>IF(D2565=TRUE,Comments!$B$26,"")</f>
        <v/>
      </c>
      <c r="N2565" s="611" t="s">
        <v>1804</v>
      </c>
      <c r="O2565" s="611" t="str">
        <f t="shared" si="341"/>
        <v/>
      </c>
      <c r="P2565" s="611" t="str">
        <f t="shared" si="343"/>
        <v>Page8!F</v>
      </c>
      <c r="Q2565" s="611">
        <f t="shared" si="344"/>
        <v>43</v>
      </c>
      <c r="R2565" s="1447">
        <f t="shared" ca="1" si="345"/>
        <v>0</v>
      </c>
      <c r="S2565" s="1447">
        <f t="shared" ca="1" si="346"/>
        <v>0</v>
      </c>
      <c r="V2565" s="2557" t="str">
        <f t="shared" ca="1" si="340"/>
        <v/>
      </c>
      <c r="W2565" s="611" t="str">
        <f t="shared" ca="1" si="347"/>
        <v>Page8, Ligne 40 [Page8!F43]  -</v>
      </c>
    </row>
    <row r="2566" spans="1:23">
      <c r="A2566" s="1443" t="str">
        <f>celladdr(Page8!F44)</f>
        <v>Page8!F44</v>
      </c>
      <c r="B2566" s="1464" t="s">
        <v>1086</v>
      </c>
      <c r="C2566" s="1445" t="b">
        <f>OR(AND(Page8!$F$44=0,Page8!$H$44&gt;0),AND(Page8!$F$44&gt;0,Page8!$H$44=0))</f>
        <v>0</v>
      </c>
      <c r="D2566" s="1445" t="b">
        <f>Page8!F44&lt;0</f>
        <v>0</v>
      </c>
      <c r="G2566" s="1444" t="str">
        <f t="shared" si="342"/>
        <v/>
      </c>
      <c r="H2566" s="1446" t="str">
        <f>IF(C2566=TRUE,Comments!$B$4,"")</f>
        <v/>
      </c>
      <c r="I2566" s="1446" t="str">
        <f>IF(D2566=TRUE,Comments!$B$26,"")</f>
        <v/>
      </c>
      <c r="N2566" s="611" t="s">
        <v>1805</v>
      </c>
      <c r="O2566" s="611" t="str">
        <f t="shared" si="341"/>
        <v/>
      </c>
      <c r="P2566" s="611" t="str">
        <f t="shared" si="343"/>
        <v>Page8!F</v>
      </c>
      <c r="Q2566" s="611">
        <f t="shared" si="344"/>
        <v>44</v>
      </c>
      <c r="R2566" s="1447">
        <f t="shared" ca="1" si="345"/>
        <v>0</v>
      </c>
      <c r="S2566" s="1447">
        <f t="shared" ca="1" si="346"/>
        <v>0</v>
      </c>
      <c r="V2566" s="2557" t="str">
        <f t="shared" ca="1" si="340"/>
        <v/>
      </c>
      <c r="W2566" s="611" t="str">
        <f t="shared" ca="1" si="347"/>
        <v>Page8, Ligne 41 [Page8!F44]  -</v>
      </c>
    </row>
    <row r="2567" spans="1:23">
      <c r="A2567" s="1443" t="str">
        <f>celladdr(Page8!F45)</f>
        <v>Page8!F45</v>
      </c>
      <c r="B2567" s="1457" t="s">
        <v>1086</v>
      </c>
      <c r="C2567" s="1445" t="b">
        <f>OR(AND(Page8!$F$45=0,Page8!$H$45&gt;0),AND(Page8!$F$45&gt;0,Page8!$H$45=0))</f>
        <v>0</v>
      </c>
      <c r="D2567" s="1445" t="b">
        <f>Page8!$F$45&lt;&gt;(SUM(Page8!$F$37:$F$39)+SUM(Page8!$F$42:$F$44))</f>
        <v>0</v>
      </c>
      <c r="E2567" s="1450"/>
      <c r="F2567" s="1450"/>
      <c r="G2567" s="1444" t="str">
        <f t="shared" si="342"/>
        <v/>
      </c>
      <c r="H2567" s="1446" t="str">
        <f>IF(C2567=TRUE,Comments!$B$4,"")</f>
        <v/>
      </c>
      <c r="I2567" s="1446" t="str">
        <f>IF(D2567=TRUE,Comments!$B$53&amp;Page8!$F$45-(SUM(Page8!$F$37:$F$39)+SUM(Page8!$F$42:$F$44)),"")</f>
        <v/>
      </c>
      <c r="J2567" s="1452"/>
      <c r="K2567" s="1446"/>
      <c r="N2567" s="611" t="s">
        <v>1806</v>
      </c>
      <c r="O2567" s="611" t="str">
        <f t="shared" si="341"/>
        <v/>
      </c>
      <c r="P2567" s="611" t="str">
        <f t="shared" si="343"/>
        <v>Page8!F</v>
      </c>
      <c r="Q2567" s="611">
        <f t="shared" si="344"/>
        <v>45</v>
      </c>
      <c r="R2567" s="1447">
        <f t="shared" ca="1" si="345"/>
        <v>0</v>
      </c>
      <c r="S2567" s="1447">
        <f t="shared" ca="1" si="346"/>
        <v>0</v>
      </c>
      <c r="V2567" s="2557" t="str">
        <f t="shared" ref="V2567:V2630" ca="1" si="348">IF(SUM(R2567+S2567)=0,"","
*** "&amp;TEXT(SUM(R2567+S2567),"0,0")&amp;" Points de précision seront déduits suite à cette(ces) erreur(s) !")</f>
        <v/>
      </c>
      <c r="W2567" s="611" t="str">
        <f t="shared" ca="1" si="347"/>
        <v>Page8, Ligne 42 [Page8!F45]  -</v>
      </c>
    </row>
    <row r="2568" spans="1:23">
      <c r="A2568" s="1443" t="str">
        <f>celladdr(Page8!G54)</f>
        <v>Page8!G54</v>
      </c>
      <c r="B2568" s="1457" t="s">
        <v>1086</v>
      </c>
      <c r="C2568" s="1445" t="b">
        <f>Page8!$G$54&lt;&gt;SUM(Page8!$G$48:$G$53)</f>
        <v>0</v>
      </c>
      <c r="D2568" s="1466"/>
      <c r="E2568" s="1450"/>
      <c r="F2568" s="1450"/>
      <c r="G2568" s="1444" t="str">
        <f t="shared" si="342"/>
        <v/>
      </c>
      <c r="H2568" s="1446" t="str">
        <f>IF(C2568=TRUE,Comments!$B$47&amp;Page8!$G$54-SUM(Page8!$G$48:$G$53),"")</f>
        <v/>
      </c>
      <c r="I2568" s="1446"/>
      <c r="J2568" s="1452"/>
      <c r="K2568" s="1446"/>
      <c r="N2568" s="611" t="s">
        <v>1807</v>
      </c>
      <c r="O2568" s="611" t="str">
        <f t="shared" si="341"/>
        <v/>
      </c>
      <c r="P2568" s="611" t="str">
        <f t="shared" si="343"/>
        <v>Page8!G</v>
      </c>
      <c r="Q2568" s="611">
        <f t="shared" si="344"/>
        <v>54</v>
      </c>
      <c r="R2568" s="1447">
        <f t="shared" ca="1" si="345"/>
        <v>0</v>
      </c>
      <c r="S2568" s="1447">
        <f t="shared" ca="1" si="346"/>
        <v>0</v>
      </c>
      <c r="V2568" s="2557" t="str">
        <f t="shared" ca="1" si="348"/>
        <v/>
      </c>
      <c r="W2568" s="611" t="str">
        <f t="shared" ca="1" si="347"/>
        <v>Page8, Ligne 52 [Page8!G54]  -</v>
      </c>
    </row>
    <row r="2569" spans="1:23">
      <c r="A2569" s="1443" t="str">
        <f>celladdr(Page8!H27)</f>
        <v>Page8!H27</v>
      </c>
      <c r="B2569" s="1457" t="s">
        <v>1086</v>
      </c>
      <c r="C2569" s="1445" t="b">
        <f>Page8!$H$27&lt;&gt;Page8!$H$23+Page8!$H$26</f>
        <v>0</v>
      </c>
      <c r="D2569" s="1466"/>
      <c r="E2569" s="1450"/>
      <c r="F2569" s="1450"/>
      <c r="G2569" s="1444" t="str">
        <f t="shared" si="342"/>
        <v/>
      </c>
      <c r="H2569" s="1446" t="str">
        <f>IF(C2569=TRUE,Comments!$B$57&amp;DOLLAR(Page8!$H$27-Page8!$H$23+Page8!$H$26,0),"")</f>
        <v/>
      </c>
      <c r="I2569" s="1446"/>
      <c r="J2569" s="1452"/>
      <c r="K2569" s="1446"/>
      <c r="N2569" s="611" t="s">
        <v>1808</v>
      </c>
      <c r="O2569" s="611" t="str">
        <f t="shared" si="341"/>
        <v/>
      </c>
      <c r="P2569" s="611" t="str">
        <f t="shared" si="343"/>
        <v>Page8!H</v>
      </c>
      <c r="Q2569" s="611">
        <f t="shared" si="344"/>
        <v>27</v>
      </c>
      <c r="R2569" s="1447">
        <f t="shared" ca="1" si="345"/>
        <v>0</v>
      </c>
      <c r="S2569" s="1447">
        <f t="shared" ca="1" si="346"/>
        <v>0</v>
      </c>
      <c r="V2569" s="2557" t="str">
        <f t="shared" ca="1" si="348"/>
        <v/>
      </c>
      <c r="W2569" s="611" t="str">
        <f t="shared" ca="1" si="347"/>
        <v>Page8, Ligne 24 [Page8!H27]  -</v>
      </c>
    </row>
    <row r="2570" spans="1:23">
      <c r="A2570" s="1443" t="str">
        <f>celladdr(Page8!H30)</f>
        <v>Page8!H30</v>
      </c>
      <c r="B2570" s="1457" t="s">
        <v>1086</v>
      </c>
      <c r="C2570" s="1445" t="b">
        <f>Page8!$H$30&lt;&gt;Page8!$M$30+Page8!$O$30+Page8!$Q$30</f>
        <v>0</v>
      </c>
      <c r="D2570" s="1466"/>
      <c r="E2570" s="1450"/>
      <c r="F2570" s="1450"/>
      <c r="G2570" s="1444" t="str">
        <f t="shared" si="342"/>
        <v/>
      </c>
      <c r="H2570" s="1446" t="str">
        <f>IF(C2570=TRUE,Comments!$B$58&amp;Page8!$H$30-(Page8!$M$30+Page8!$O$30+Page8!$Q$30),"")</f>
        <v/>
      </c>
      <c r="I2570" s="1446"/>
      <c r="J2570" s="1452"/>
      <c r="K2570" s="1446"/>
      <c r="N2570" s="611" t="s">
        <v>1809</v>
      </c>
      <c r="O2570" s="611" t="str">
        <f t="shared" si="341"/>
        <v/>
      </c>
      <c r="P2570" s="611" t="str">
        <f t="shared" si="343"/>
        <v>Page8!H</v>
      </c>
      <c r="Q2570" s="611">
        <f t="shared" si="344"/>
        <v>30</v>
      </c>
      <c r="R2570" s="1447">
        <f t="shared" ca="1" si="345"/>
        <v>0</v>
      </c>
      <c r="S2570" s="1447">
        <f t="shared" ca="1" si="346"/>
        <v>0</v>
      </c>
      <c r="V2570" s="2557" t="str">
        <f t="shared" ca="1" si="348"/>
        <v/>
      </c>
      <c r="W2570" s="611" t="str">
        <f t="shared" ca="1" si="347"/>
        <v>Page8, Ligne 27 [Page8!H30]  -</v>
      </c>
    </row>
    <row r="2571" spans="1:23">
      <c r="A2571" s="1443" t="str">
        <f>celladdr(Page8!H31)</f>
        <v>Page8!H31</v>
      </c>
      <c r="B2571" s="1457" t="s">
        <v>1086</v>
      </c>
      <c r="C2571" s="1445" t="b">
        <f>Page8!$H$31&lt;&gt;Page8!$M$31+Page8!$O$31+Page8!$Q$31</f>
        <v>0</v>
      </c>
      <c r="D2571" s="1466"/>
      <c r="E2571" s="1450"/>
      <c r="F2571" s="1450"/>
      <c r="G2571" s="1444" t="str">
        <f t="shared" si="342"/>
        <v/>
      </c>
      <c r="H2571" s="1446" t="str">
        <f>IF(C2571=TRUE,Comments!$B$58&amp;Page8!$H$31-(Page8!$M$31+Page8!$O$31+Page8!$Q$31),"")</f>
        <v/>
      </c>
      <c r="I2571" s="1446"/>
      <c r="J2571" s="1452"/>
      <c r="K2571" s="1446"/>
      <c r="N2571" s="611" t="s">
        <v>1810</v>
      </c>
      <c r="O2571" s="611" t="str">
        <f t="shared" si="341"/>
        <v/>
      </c>
      <c r="P2571" s="611" t="str">
        <f t="shared" si="343"/>
        <v>Page8!H</v>
      </c>
      <c r="Q2571" s="611">
        <f t="shared" si="344"/>
        <v>31</v>
      </c>
      <c r="R2571" s="1447">
        <f t="shared" ca="1" si="345"/>
        <v>0</v>
      </c>
      <c r="S2571" s="1447">
        <f t="shared" ca="1" si="346"/>
        <v>0</v>
      </c>
      <c r="V2571" s="2557" t="str">
        <f t="shared" ca="1" si="348"/>
        <v/>
      </c>
      <c r="W2571" s="611" t="str">
        <f t="shared" ca="1" si="347"/>
        <v>Page8, Ligne 28 [Page8!H31]  -</v>
      </c>
    </row>
    <row r="2572" spans="1:23">
      <c r="A2572" s="1443" t="str">
        <f>celladdr(Page8!H32)</f>
        <v>Page8!H32</v>
      </c>
      <c r="B2572" s="1457" t="s">
        <v>1086</v>
      </c>
      <c r="C2572" s="1445" t="b">
        <f>Page8!$H$32&lt;&gt;Page8!$M$32+Page8!$O$32+Page8!$Q$32</f>
        <v>0</v>
      </c>
      <c r="D2572" s="1466"/>
      <c r="E2572" s="1450"/>
      <c r="F2572" s="1450"/>
      <c r="G2572" s="1444" t="str">
        <f t="shared" si="342"/>
        <v/>
      </c>
      <c r="H2572" s="1446" t="str">
        <f>IF(C2572=TRUE,Comments!$B$58&amp;Page8!$H$32-(Page8!$M$32+Page8!$O$32+Page8!$Q$32),"")</f>
        <v/>
      </c>
      <c r="I2572" s="1446"/>
      <c r="J2572" s="1452"/>
      <c r="K2572" s="1446"/>
      <c r="N2572" s="611" t="s">
        <v>1811</v>
      </c>
      <c r="O2572" s="611" t="str">
        <f t="shared" si="341"/>
        <v/>
      </c>
      <c r="P2572" s="611" t="str">
        <f t="shared" si="343"/>
        <v>Page8!H</v>
      </c>
      <c r="Q2572" s="611">
        <f t="shared" si="344"/>
        <v>32</v>
      </c>
      <c r="R2572" s="1447">
        <f t="shared" ca="1" si="345"/>
        <v>0</v>
      </c>
      <c r="S2572" s="1447">
        <f t="shared" ca="1" si="346"/>
        <v>0</v>
      </c>
      <c r="V2572" s="2557" t="str">
        <f t="shared" ca="1" si="348"/>
        <v/>
      </c>
      <c r="W2572" s="611" t="str">
        <f t="shared" ca="1" si="347"/>
        <v>Page8, Ligne 29 [Page8!H32]  -</v>
      </c>
    </row>
    <row r="2573" spans="1:23">
      <c r="A2573" s="1443" t="str">
        <f>celladdr(Page8!H33)</f>
        <v>Page8!H33</v>
      </c>
      <c r="B2573" s="1457" t="s">
        <v>1086</v>
      </c>
      <c r="C2573" s="1445" t="b">
        <f>Page8!$H$33&lt;&gt;Page8!$M$33+Page8!$O$33+Page8!$Q$33</f>
        <v>0</v>
      </c>
      <c r="D2573" s="1466"/>
      <c r="E2573" s="1450"/>
      <c r="F2573" s="1450"/>
      <c r="G2573" s="1444" t="str">
        <f t="shared" si="342"/>
        <v/>
      </c>
      <c r="H2573" s="1446" t="str">
        <f>IF(C2573=TRUE,Comments!$B$58&amp;Page8!$H$33-(Page8!$M$33+Page8!$O$33+Page8!$Q$33),"")</f>
        <v/>
      </c>
      <c r="I2573" s="1446"/>
      <c r="J2573" s="1452"/>
      <c r="K2573" s="1446"/>
      <c r="N2573" s="611" t="s">
        <v>1812</v>
      </c>
      <c r="O2573" s="611" t="str">
        <f t="shared" si="341"/>
        <v/>
      </c>
      <c r="P2573" s="611" t="str">
        <f t="shared" si="343"/>
        <v>Page8!H</v>
      </c>
      <c r="Q2573" s="611">
        <f t="shared" si="344"/>
        <v>33</v>
      </c>
      <c r="R2573" s="1447">
        <f t="shared" ca="1" si="345"/>
        <v>0</v>
      </c>
      <c r="S2573" s="1447">
        <f t="shared" ca="1" si="346"/>
        <v>0</v>
      </c>
      <c r="V2573" s="2557" t="str">
        <f t="shared" ca="1" si="348"/>
        <v/>
      </c>
      <c r="W2573" s="611" t="str">
        <f t="shared" ca="1" si="347"/>
        <v>Page8, Ligne 30 [Page8!H33]  -</v>
      </c>
    </row>
    <row r="2574" spans="1:23">
      <c r="A2574" s="1443" t="str">
        <f>celladdr(Page8!H34)</f>
        <v>Page8!H34</v>
      </c>
      <c r="B2574" s="1457" t="s">
        <v>1086</v>
      </c>
      <c r="C2574" s="1445" t="b">
        <f>Page8!$H$34&lt;&gt;Page8!$M$34+Page8!$O$34+Page8!$Q$34</f>
        <v>0</v>
      </c>
      <c r="D2574" s="1466"/>
      <c r="E2574" s="1450"/>
      <c r="F2574" s="1450"/>
      <c r="G2574" s="1444" t="str">
        <f t="shared" si="342"/>
        <v/>
      </c>
      <c r="H2574" s="1446" t="str">
        <f>IF(C2574=TRUE,Comments!$B$58&amp;Page8!$H$34-(Page8!$M$34+Page8!$O$34+Page8!$Q$34),"")</f>
        <v/>
      </c>
      <c r="I2574" s="1446"/>
      <c r="J2574" s="1452"/>
      <c r="K2574" s="1446"/>
      <c r="N2574" s="611" t="s">
        <v>1813</v>
      </c>
      <c r="O2574" s="611" t="str">
        <f t="shared" si="341"/>
        <v/>
      </c>
      <c r="P2574" s="611" t="str">
        <f t="shared" si="343"/>
        <v>Page8!H</v>
      </c>
      <c r="Q2574" s="611">
        <f t="shared" si="344"/>
        <v>34</v>
      </c>
      <c r="R2574" s="1447">
        <f t="shared" ca="1" si="345"/>
        <v>0</v>
      </c>
      <c r="S2574" s="1447">
        <f t="shared" ca="1" si="346"/>
        <v>0</v>
      </c>
      <c r="V2574" s="2557" t="str">
        <f t="shared" ca="1" si="348"/>
        <v/>
      </c>
      <c r="W2574" s="611" t="str">
        <f t="shared" ca="1" si="347"/>
        <v>Page8, Ligne 31 [Page8!H34]  -</v>
      </c>
    </row>
    <row r="2575" spans="1:23">
      <c r="A2575" s="1443" t="str">
        <f>celladdr(Page8!H37)</f>
        <v>Page8!H37</v>
      </c>
      <c r="B2575" s="1464" t="s">
        <v>1086</v>
      </c>
      <c r="C2575" s="1445" t="b">
        <f>OR(AND(Page8!$F$37=0,Page8!$H$37&gt;0),AND(Page8!$F$37&gt;0,Page8!$H$37=0))</f>
        <v>0</v>
      </c>
      <c r="D2575" s="1445" t="b">
        <f>Page8!H37&lt;0</f>
        <v>0</v>
      </c>
      <c r="F2575" s="1454"/>
      <c r="G2575" s="1444" t="str">
        <f t="shared" si="342"/>
        <v/>
      </c>
      <c r="H2575" s="1446" t="str">
        <f>IF(C2575=TRUE,Comments!$B$4,"")</f>
        <v/>
      </c>
      <c r="I2575" s="1446" t="str">
        <f>IF(D2575=TRUE,Comments!$B$28,"")</f>
        <v/>
      </c>
      <c r="K2575" s="1446"/>
      <c r="N2575" s="611" t="s">
        <v>1814</v>
      </c>
      <c r="O2575" s="611" t="str">
        <f t="shared" si="341"/>
        <v/>
      </c>
      <c r="P2575" s="611" t="str">
        <f t="shared" si="343"/>
        <v>Page8!H</v>
      </c>
      <c r="Q2575" s="611">
        <f t="shared" si="344"/>
        <v>37</v>
      </c>
      <c r="R2575" s="1447">
        <f t="shared" ca="1" si="345"/>
        <v>0</v>
      </c>
      <c r="S2575" s="1447">
        <f t="shared" ca="1" si="346"/>
        <v>0</v>
      </c>
      <c r="V2575" s="2557" t="str">
        <f t="shared" ca="1" si="348"/>
        <v/>
      </c>
      <c r="W2575" s="611" t="str">
        <f t="shared" ca="1" si="347"/>
        <v>Page8, Ligne 34 [Page8!H37]  -</v>
      </c>
    </row>
    <row r="2576" spans="1:23">
      <c r="A2576" s="1443" t="str">
        <f>celladdr(Page8!H38)</f>
        <v>Page8!H38</v>
      </c>
      <c r="B2576" s="1464" t="s">
        <v>1086</v>
      </c>
      <c r="C2576" s="1445" t="b">
        <f>OR(AND(Page8!$F$38=0,Page8!$H$38&gt;0),AND(Page8!$F$38&gt;0,Page8!$H$38=0))</f>
        <v>0</v>
      </c>
      <c r="D2576" s="1445" t="b">
        <f>Page8!H38&lt;0</f>
        <v>0</v>
      </c>
      <c r="F2576" s="1454"/>
      <c r="G2576" s="1444" t="str">
        <f t="shared" si="342"/>
        <v/>
      </c>
      <c r="H2576" s="1446" t="str">
        <f>IF(C2576=TRUE,Comments!$B$4,"")</f>
        <v/>
      </c>
      <c r="I2576" s="1446" t="str">
        <f>IF(D2576=TRUE,Comments!$B$28,"")</f>
        <v/>
      </c>
      <c r="K2576" s="1446"/>
      <c r="N2576" s="611" t="s">
        <v>1815</v>
      </c>
      <c r="O2576" s="611" t="str">
        <f t="shared" si="341"/>
        <v/>
      </c>
      <c r="P2576" s="611" t="str">
        <f t="shared" si="343"/>
        <v>Page8!H</v>
      </c>
      <c r="Q2576" s="611">
        <f t="shared" si="344"/>
        <v>38</v>
      </c>
      <c r="R2576" s="1447">
        <f t="shared" ca="1" si="345"/>
        <v>0</v>
      </c>
      <c r="S2576" s="1447">
        <f t="shared" ca="1" si="346"/>
        <v>0</v>
      </c>
      <c r="V2576" s="2557" t="str">
        <f t="shared" ca="1" si="348"/>
        <v/>
      </c>
      <c r="W2576" s="611" t="str">
        <f t="shared" ca="1" si="347"/>
        <v>Page8, Ligne 35 [Page8!H38]  -</v>
      </c>
    </row>
    <row r="2577" spans="1:23">
      <c r="A2577" s="1443" t="str">
        <f>celladdr(Page8!H39)</f>
        <v>Page8!H39</v>
      </c>
      <c r="B2577" s="1464" t="s">
        <v>1086</v>
      </c>
      <c r="C2577" s="1445" t="b">
        <f>OR(AND(Page8!$F$39=0,Page8!$H$39&gt;0),AND(Page8!$F$39&gt;0,Page8!$H$39=0))</f>
        <v>0</v>
      </c>
      <c r="D2577" s="1445" t="b">
        <f>Page8!H39&lt;0</f>
        <v>0</v>
      </c>
      <c r="G2577" s="1444" t="str">
        <f t="shared" si="342"/>
        <v/>
      </c>
      <c r="H2577" s="1446" t="str">
        <f>IF(C2577=TRUE,Comments!$B$4,"")</f>
        <v/>
      </c>
      <c r="I2577" s="1446" t="str">
        <f>IF(D2577=TRUE,Comments!$B$28,"")</f>
        <v/>
      </c>
      <c r="J2577" s="1446"/>
      <c r="N2577" s="611" t="s">
        <v>1816</v>
      </c>
      <c r="O2577" s="611" t="str">
        <f t="shared" si="341"/>
        <v/>
      </c>
      <c r="P2577" s="611" t="str">
        <f t="shared" si="343"/>
        <v>Page8!H</v>
      </c>
      <c r="Q2577" s="611">
        <f t="shared" si="344"/>
        <v>39</v>
      </c>
      <c r="R2577" s="1447">
        <f t="shared" ca="1" si="345"/>
        <v>0</v>
      </c>
      <c r="S2577" s="1447">
        <f t="shared" ca="1" si="346"/>
        <v>0</v>
      </c>
      <c r="V2577" s="2557" t="str">
        <f t="shared" ca="1" si="348"/>
        <v/>
      </c>
      <c r="W2577" s="611" t="str">
        <f t="shared" ca="1" si="347"/>
        <v>Page8, Ligne 36 [Page8!H39]  -</v>
      </c>
    </row>
    <row r="2578" spans="1:23">
      <c r="A2578" s="1443" t="str">
        <f>celladdr(Page8!H42)</f>
        <v>Page8!H42</v>
      </c>
      <c r="B2578" s="1464" t="s">
        <v>1086</v>
      </c>
      <c r="C2578" s="1445" t="b">
        <f>OR(AND(Page8!$F$42=0,Page8!$H$42&gt;0),AND(Page8!$F$42&gt;0,Page8!$H$42=0))</f>
        <v>0</v>
      </c>
      <c r="D2578" s="1445" t="b">
        <f>Page8!H42&lt;0</f>
        <v>0</v>
      </c>
      <c r="G2578" s="1444" t="str">
        <f t="shared" si="342"/>
        <v/>
      </c>
      <c r="H2578" s="1446" t="str">
        <f>IF(C2578=TRUE,Comments!$B$4,"")</f>
        <v/>
      </c>
      <c r="I2578" s="1446" t="str">
        <f>IF(D2578=TRUE,Comments!$B$28,"")</f>
        <v/>
      </c>
      <c r="N2578" s="611" t="s">
        <v>1817</v>
      </c>
      <c r="O2578" s="611" t="str">
        <f t="shared" si="341"/>
        <v/>
      </c>
      <c r="P2578" s="611" t="str">
        <f t="shared" si="343"/>
        <v>Page8!H</v>
      </c>
      <c r="Q2578" s="611">
        <f t="shared" si="344"/>
        <v>42</v>
      </c>
      <c r="R2578" s="1447">
        <f t="shared" ca="1" si="345"/>
        <v>0</v>
      </c>
      <c r="S2578" s="1447">
        <f t="shared" ca="1" si="346"/>
        <v>0</v>
      </c>
      <c r="V2578" s="2557" t="str">
        <f t="shared" ca="1" si="348"/>
        <v/>
      </c>
      <c r="W2578" s="611" t="str">
        <f t="shared" ca="1" si="347"/>
        <v>Page8, Ligne 39 [Page8!H42]  -</v>
      </c>
    </row>
    <row r="2579" spans="1:23">
      <c r="A2579" s="1443" t="str">
        <f>celladdr(Page8!H43)</f>
        <v>Page8!H43</v>
      </c>
      <c r="B2579" s="1464" t="s">
        <v>1086</v>
      </c>
      <c r="C2579" s="1445" t="b">
        <f>OR(AND(Page8!$F$43=0,Page8!$H$43&gt;0),AND(Page8!$F$43&gt;0,Page8!$H$43=0))</f>
        <v>0</v>
      </c>
      <c r="D2579" s="1445" t="b">
        <f>Page8!H43&lt;0</f>
        <v>0</v>
      </c>
      <c r="G2579" s="1444" t="str">
        <f t="shared" si="342"/>
        <v/>
      </c>
      <c r="H2579" s="1446" t="str">
        <f>IF(C2579=TRUE,Comments!$B$4,"")</f>
        <v/>
      </c>
      <c r="I2579" s="1446" t="str">
        <f>IF(D2579=TRUE,Comments!$B$28,"")</f>
        <v/>
      </c>
      <c r="N2579" s="611" t="s">
        <v>1818</v>
      </c>
      <c r="O2579" s="611" t="str">
        <f t="shared" ref="O2579:O2642" si="349">IF(A2579=A2578,"TRUE","")</f>
        <v/>
      </c>
      <c r="P2579" s="611" t="str">
        <f t="shared" si="343"/>
        <v>Page8!H</v>
      </c>
      <c r="Q2579" s="611">
        <f t="shared" si="344"/>
        <v>43</v>
      </c>
      <c r="R2579" s="1447">
        <f t="shared" ca="1" si="345"/>
        <v>0</v>
      </c>
      <c r="S2579" s="1447">
        <f t="shared" ca="1" si="346"/>
        <v>0</v>
      </c>
      <c r="V2579" s="2557" t="str">
        <f t="shared" ca="1" si="348"/>
        <v/>
      </c>
      <c r="W2579" s="611" t="str">
        <f t="shared" ca="1" si="347"/>
        <v>Page8, Ligne 40 [Page8!H43]  -</v>
      </c>
    </row>
    <row r="2580" spans="1:23">
      <c r="A2580" s="1443" t="str">
        <f>celladdr(Page8!H44)</f>
        <v>Page8!H44</v>
      </c>
      <c r="B2580" s="1464" t="s">
        <v>1086</v>
      </c>
      <c r="C2580" s="1445" t="b">
        <f>OR(AND(Page8!$F$44=0,Page8!$H$44&gt;0),AND(Page8!$F$44&gt;0,Page8!$H$44=0))</f>
        <v>0</v>
      </c>
      <c r="D2580" s="1445" t="b">
        <f>Page8!H44&lt;0</f>
        <v>0</v>
      </c>
      <c r="G2580" s="1444" t="str">
        <f t="shared" si="342"/>
        <v/>
      </c>
      <c r="H2580" s="1446" t="str">
        <f>IF(C2580=TRUE,Comments!$B$4,"")</f>
        <v/>
      </c>
      <c r="I2580" s="1446" t="str">
        <f>IF(D2580=TRUE,Comments!$B$28,"")</f>
        <v/>
      </c>
      <c r="N2580" s="611" t="s">
        <v>1819</v>
      </c>
      <c r="O2580" s="611" t="str">
        <f t="shared" si="349"/>
        <v/>
      </c>
      <c r="P2580" s="611" t="str">
        <f t="shared" si="343"/>
        <v>Page8!H</v>
      </c>
      <c r="Q2580" s="611">
        <f t="shared" si="344"/>
        <v>44</v>
      </c>
      <c r="R2580" s="1447">
        <f t="shared" ca="1" si="345"/>
        <v>0</v>
      </c>
      <c r="S2580" s="1447">
        <f t="shared" ca="1" si="346"/>
        <v>0</v>
      </c>
      <c r="V2580" s="2557" t="str">
        <f t="shared" ca="1" si="348"/>
        <v/>
      </c>
      <c r="W2580" s="611" t="str">
        <f t="shared" ca="1" si="347"/>
        <v>Page8, Ligne 41 [Page8!H44]  -</v>
      </c>
    </row>
    <row r="2581" spans="1:23">
      <c r="A2581" s="1443" t="str">
        <f>celladdr(Page8!H45)</f>
        <v>Page8!H45</v>
      </c>
      <c r="B2581" s="1457" t="s">
        <v>1086</v>
      </c>
      <c r="C2581" s="1445" t="b">
        <f>OR(AND(Page8!$F$45=0,Page8!$H$45&gt;0),AND(Page8!$F$45&gt;0,Page8!$H$45=0),AND(Page8!$E$45=0,Page8!$H$45&lt;&gt;0),AND(Page8!$E$45&lt;&gt;0,Page8!H45=0))</f>
        <v>0</v>
      </c>
      <c r="D2581" s="1445" t="b">
        <f>Page8!$H$45&lt;&gt;(SUM(Page8!$H$37:$H$39)+SUM(Page8!$H$42:$H$44))</f>
        <v>0</v>
      </c>
      <c r="E2581" s="1451" t="b">
        <f>IF(Page8!$F$45=0,FALSE,OR(Page8!$H$45/Page8!$F$45&lt;INDEX(Min_Table,M2581),Page8!$H$45/Page8!$F$45&gt;INDEX(Max_Table,M2581)))</f>
        <v>0</v>
      </c>
      <c r="G2581" s="1444" t="str">
        <f t="shared" si="342"/>
        <v/>
      </c>
      <c r="H2581" s="1446" t="str">
        <f>IF(C2581=TRUE,Comments!$B$54,"")</f>
        <v/>
      </c>
      <c r="I2581" s="1446" t="str">
        <f>IF(D2581=TRUE,Comments!$B$55&amp;DOLLAR(Page8!$F$45-(SUM(Page8!$F$37:$F$39)+SUM(Page8!$F$42:$F$44)),0),"")</f>
        <v/>
      </c>
      <c r="J2581" s="1447" t="str">
        <f>IF(E2581=TRUE,Comments!$B$22&amp;DOLLAR(INDEX(Min_Table,M2581),0)&amp;Comments!$B$18&amp;DOLLAR(INDEX(Max_Table,M2581),0)&amp;Comments!$B$19&amp;DOLLAR(Page8!H45/Page8!F45,0),"")</f>
        <v/>
      </c>
      <c r="M2581" s="611">
        <f>ROW(OR_VEH!$A$648)</f>
        <v>648</v>
      </c>
      <c r="N2581" s="611" t="s">
        <v>1820</v>
      </c>
      <c r="O2581" s="611" t="str">
        <f t="shared" si="349"/>
        <v/>
      </c>
      <c r="P2581" s="611" t="str">
        <f t="shared" si="343"/>
        <v>Page8!H</v>
      </c>
      <c r="Q2581" s="611">
        <f t="shared" si="344"/>
        <v>45</v>
      </c>
      <c r="R2581" s="1447">
        <f t="shared" ca="1" si="345"/>
        <v>0</v>
      </c>
      <c r="S2581" s="1447">
        <f t="shared" ca="1" si="346"/>
        <v>0</v>
      </c>
      <c r="T2581" s="611">
        <v>22</v>
      </c>
      <c r="V2581" s="2557" t="str">
        <f t="shared" ca="1" si="348"/>
        <v/>
      </c>
      <c r="W2581" s="611" t="str">
        <f t="shared" ca="1" si="347"/>
        <v>Page8, Ligne 42 [Page8!H45]  -</v>
      </c>
    </row>
    <row r="2582" spans="1:23">
      <c r="A2582" s="1443" t="str">
        <f>celladdr(Page8!J27)</f>
        <v>Page8!J27</v>
      </c>
      <c r="B2582" s="1457" t="s">
        <v>1086</v>
      </c>
      <c r="C2582" s="1445" t="b">
        <f>Page8!$J$27&lt;&gt;Page8!$J$23+Page8!$J$26</f>
        <v>0</v>
      </c>
      <c r="D2582" s="1466"/>
      <c r="E2582" s="1450"/>
      <c r="F2582" s="1450"/>
      <c r="G2582" s="1444" t="str">
        <f t="shared" si="342"/>
        <v/>
      </c>
      <c r="H2582" s="1446" t="str">
        <f>IF(C2582=TRUE,Comments!$B$57&amp;DOLLAR(Page8!$J$27-Page8!$J$23+Page8!$J$26,0),"")</f>
        <v/>
      </c>
      <c r="I2582" s="1446"/>
      <c r="J2582" s="1452"/>
      <c r="K2582" s="1446"/>
      <c r="N2582" s="611" t="s">
        <v>1821</v>
      </c>
      <c r="O2582" s="611" t="str">
        <f t="shared" si="349"/>
        <v/>
      </c>
      <c r="P2582" s="611" t="str">
        <f t="shared" si="343"/>
        <v>Page8!J</v>
      </c>
      <c r="Q2582" s="611">
        <f t="shared" si="344"/>
        <v>27</v>
      </c>
      <c r="R2582" s="1447">
        <f t="shared" ca="1" si="345"/>
        <v>0</v>
      </c>
      <c r="S2582" s="1447">
        <f t="shared" ca="1" si="346"/>
        <v>0</v>
      </c>
      <c r="V2582" s="2557" t="str">
        <f t="shared" ca="1" si="348"/>
        <v/>
      </c>
      <c r="W2582" s="611" t="str">
        <f t="shared" ca="1" si="347"/>
        <v>Page8, Ligne 24 [Page8!J27]  -</v>
      </c>
    </row>
    <row r="2583" spans="1:23">
      <c r="A2583" s="1443" t="str">
        <f>celladdr(Page8!J29)</f>
        <v>Page8!J29</v>
      </c>
      <c r="B2583" s="1457" t="s">
        <v>1086</v>
      </c>
      <c r="C2583" s="1445" t="b">
        <f>Page8!$J$29&lt;&gt;Page8!$N$29+Page8!$P$29+Page8!$R$29</f>
        <v>0</v>
      </c>
      <c r="D2583" s="1466"/>
      <c r="E2583" s="1450"/>
      <c r="F2583" s="1450"/>
      <c r="G2583" s="1444" t="str">
        <f t="shared" si="342"/>
        <v/>
      </c>
      <c r="H2583" s="1446" t="str">
        <f>IF(C2583=TRUE,Comments!$B$58&amp;Page8!$H$29-(Page8!$N$29+Page8!$P$29+Page8!$R$29),"")</f>
        <v/>
      </c>
      <c r="I2583" s="1446"/>
      <c r="J2583" s="1452"/>
      <c r="K2583" s="1446"/>
      <c r="N2583" s="611" t="s">
        <v>1822</v>
      </c>
      <c r="O2583" s="611" t="str">
        <f t="shared" si="349"/>
        <v/>
      </c>
      <c r="P2583" s="611" t="str">
        <f t="shared" si="343"/>
        <v>Page8!J</v>
      </c>
      <c r="Q2583" s="611">
        <f t="shared" si="344"/>
        <v>29</v>
      </c>
      <c r="R2583" s="1447">
        <f t="shared" ca="1" si="345"/>
        <v>0</v>
      </c>
      <c r="S2583" s="1447">
        <f t="shared" ca="1" si="346"/>
        <v>0</v>
      </c>
      <c r="V2583" s="2557" t="str">
        <f t="shared" ca="1" si="348"/>
        <v/>
      </c>
      <c r="W2583" s="611" t="str">
        <f t="shared" ca="1" si="347"/>
        <v>Page8, Ligne 26 [Page8!J29]  -</v>
      </c>
    </row>
    <row r="2584" spans="1:23">
      <c r="A2584" s="1443" t="str">
        <f>celladdr(Page8!J33)</f>
        <v>Page8!J33</v>
      </c>
      <c r="B2584" s="1457" t="s">
        <v>1086</v>
      </c>
      <c r="C2584" s="1445" t="b">
        <f>Page8!$J$33&lt;&gt;Page8!$N$33+Page8!$P$33+Page8!$R$33</f>
        <v>0</v>
      </c>
      <c r="D2584" s="1466"/>
      <c r="E2584" s="1450"/>
      <c r="F2584" s="1450"/>
      <c r="G2584" s="1444" t="str">
        <f t="shared" si="342"/>
        <v/>
      </c>
      <c r="H2584" s="1446" t="str">
        <f>IF(C2584=TRUE,Comments!$B$58&amp;Page8!$J$33-Page8!$N$33+Page8!$P$33+Page8!$R$33,"")</f>
        <v/>
      </c>
      <c r="I2584" s="1446"/>
      <c r="J2584" s="1452"/>
      <c r="K2584" s="1446"/>
      <c r="N2584" s="611" t="s">
        <v>1823</v>
      </c>
      <c r="O2584" s="611" t="str">
        <f t="shared" si="349"/>
        <v/>
      </c>
      <c r="P2584" s="611" t="str">
        <f t="shared" si="343"/>
        <v>Page8!J</v>
      </c>
      <c r="Q2584" s="611">
        <f t="shared" si="344"/>
        <v>33</v>
      </c>
      <c r="R2584" s="1447">
        <f t="shared" ca="1" si="345"/>
        <v>0</v>
      </c>
      <c r="S2584" s="1447">
        <f t="shared" ca="1" si="346"/>
        <v>0</v>
      </c>
      <c r="V2584" s="2557" t="str">
        <f t="shared" ca="1" si="348"/>
        <v/>
      </c>
      <c r="W2584" s="611" t="str">
        <f t="shared" ca="1" si="347"/>
        <v>Page8, Ligne 30 [Page8!J33]  -</v>
      </c>
    </row>
    <row r="2585" spans="1:23">
      <c r="A2585" s="1443" t="str">
        <f>celladdr(Page8!J34)</f>
        <v>Page8!J34</v>
      </c>
      <c r="B2585" s="1457" t="s">
        <v>1086</v>
      </c>
      <c r="C2585" s="1445" t="b">
        <f>Page8!$J$34&lt;&gt;Page8!$N$34+Page8!$P$34+Page8!$R$34</f>
        <v>0</v>
      </c>
      <c r="D2585" s="1466"/>
      <c r="E2585" s="1450"/>
      <c r="F2585" s="1450"/>
      <c r="G2585" s="1444" t="str">
        <f t="shared" si="342"/>
        <v/>
      </c>
      <c r="H2585" s="1446" t="str">
        <f>IF(C2585=TRUE,Comments!$B$58&amp;Page8!$J$34-Page8!$N$34+Page8!$P$34+Page8!$R$34,"")</f>
        <v/>
      </c>
      <c r="I2585" s="1446"/>
      <c r="J2585" s="1452"/>
      <c r="K2585" s="1446"/>
      <c r="N2585" s="611" t="s">
        <v>1824</v>
      </c>
      <c r="O2585" s="611" t="str">
        <f t="shared" si="349"/>
        <v/>
      </c>
      <c r="P2585" s="611" t="str">
        <f t="shared" si="343"/>
        <v>Page8!J</v>
      </c>
      <c r="Q2585" s="611">
        <f t="shared" si="344"/>
        <v>34</v>
      </c>
      <c r="R2585" s="1447">
        <f t="shared" ca="1" si="345"/>
        <v>0</v>
      </c>
      <c r="S2585" s="1447">
        <f t="shared" ca="1" si="346"/>
        <v>0</v>
      </c>
      <c r="V2585" s="2557" t="str">
        <f t="shared" ca="1" si="348"/>
        <v/>
      </c>
      <c r="W2585" s="611" t="str">
        <f t="shared" ca="1" si="347"/>
        <v>Page8, Ligne 31 [Page8!J34]  -</v>
      </c>
    </row>
    <row r="2586" spans="1:23">
      <c r="A2586" s="1443" t="str">
        <f>celladdr(Page8!K54)</f>
        <v>Page8!K54</v>
      </c>
      <c r="B2586" s="1457" t="s">
        <v>1086</v>
      </c>
      <c r="C2586" s="1445" t="b">
        <f>Page8!$K$54&lt;&gt;SUM(Page8!$K$48:$K$53)</f>
        <v>0</v>
      </c>
      <c r="D2586" s="1466"/>
      <c r="E2586" s="1450"/>
      <c r="F2586" s="1450"/>
      <c r="G2586" s="1444" t="str">
        <f t="shared" si="342"/>
        <v/>
      </c>
      <c r="H2586" s="1446" t="str">
        <f>IF(C2586=TRUE,Comments!$B$47&amp;DOLLAR(Page8!$K$54-SUM(Page8!$K$48:$K$53),0),"")</f>
        <v/>
      </c>
      <c r="I2586" s="1446"/>
      <c r="J2586" s="1452"/>
      <c r="K2586" s="1446"/>
      <c r="N2586" s="611" t="s">
        <v>1825</v>
      </c>
      <c r="O2586" s="611" t="str">
        <f t="shared" si="349"/>
        <v/>
      </c>
      <c r="P2586" s="611" t="str">
        <f t="shared" si="343"/>
        <v>Page8!K</v>
      </c>
      <c r="Q2586" s="611">
        <f t="shared" si="344"/>
        <v>54</v>
      </c>
      <c r="R2586" s="1447">
        <f t="shared" ca="1" si="345"/>
        <v>0</v>
      </c>
      <c r="S2586" s="1447">
        <f t="shared" ca="1" si="346"/>
        <v>0</v>
      </c>
      <c r="V2586" s="2557" t="str">
        <f t="shared" ca="1" si="348"/>
        <v/>
      </c>
      <c r="W2586" s="611" t="str">
        <f t="shared" ca="1" si="347"/>
        <v>Page8, Ligne 52 [Page8!K54]  -</v>
      </c>
    </row>
    <row r="2587" spans="1:23">
      <c r="A2587" s="1443" t="str">
        <f>celladdr(Page8!L32)</f>
        <v>Page8!L32</v>
      </c>
      <c r="B2587" s="1457" t="s">
        <v>1086</v>
      </c>
      <c r="D2587" s="1466"/>
      <c r="E2587" s="1450"/>
      <c r="F2587" s="1450"/>
      <c r="G2587" s="1444" t="str">
        <f t="shared" si="342"/>
        <v/>
      </c>
      <c r="H2587" s="1446"/>
      <c r="I2587" s="1446"/>
      <c r="J2587" s="1452"/>
      <c r="K2587" s="1446"/>
      <c r="N2587" s="611" t="s">
        <v>1826</v>
      </c>
      <c r="O2587" s="611" t="str">
        <f t="shared" si="349"/>
        <v/>
      </c>
      <c r="P2587" s="611" t="str">
        <f t="shared" si="343"/>
        <v>Page8!L</v>
      </c>
      <c r="Q2587" s="611">
        <f t="shared" si="344"/>
        <v>32</v>
      </c>
      <c r="R2587" s="1447">
        <f t="shared" ca="1" si="345"/>
        <v>0</v>
      </c>
      <c r="S2587" s="1447">
        <f t="shared" ca="1" si="346"/>
        <v>0</v>
      </c>
      <c r="V2587" s="2557" t="str">
        <f t="shared" ca="1" si="348"/>
        <v/>
      </c>
      <c r="W2587" s="611" t="str">
        <f t="shared" ca="1" si="347"/>
        <v>Page8, Ligne 29 [Page8!L32]  -</v>
      </c>
    </row>
    <row r="2588" spans="1:23">
      <c r="A2588" s="1443" t="str">
        <f>celladdr(Page8!M12)</f>
        <v>Page8!M12</v>
      </c>
      <c r="B2588" s="1444" t="s">
        <v>1086</v>
      </c>
      <c r="E2588" s="1451" t="b">
        <f>IF(Page8!$M$32=0,FALSE,OR(Page8!$M$12/Page8!$M$32&lt;INDEX(Min_Table,L2588),Page8!$M$12/Page8!$M$32&gt;INDEX(Max_Table,L2588)))</f>
        <v>0</v>
      </c>
      <c r="G2588" s="1444" t="str">
        <f t="shared" si="342"/>
        <v/>
      </c>
      <c r="J2588" s="1447" t="str">
        <f>IF(E2588=TRUE,Comments!$B$33&amp;DOLLAR(INDEX(Min_Table,L2588),0)&amp;Comments!$B$18&amp;DOLLAR(INDEX(Max_Table,L2588),0)&amp;Comments!$B$19&amp;DOLLAR(Page8!$M$12/Page8!$M$32,0),"")</f>
        <v/>
      </c>
      <c r="L2588" s="611">
        <f>ROW(OR_VEH!$A$652)</f>
        <v>652</v>
      </c>
      <c r="N2588" s="611" t="s">
        <v>1827</v>
      </c>
      <c r="O2588" s="611" t="str">
        <f t="shared" si="349"/>
        <v/>
      </c>
      <c r="P2588" s="611" t="str">
        <f t="shared" si="343"/>
        <v>Page8!M</v>
      </c>
      <c r="Q2588" s="611">
        <f t="shared" si="344"/>
        <v>12</v>
      </c>
      <c r="R2588" s="1447">
        <f t="shared" ca="1" si="345"/>
        <v>0</v>
      </c>
      <c r="S2588" s="1447">
        <f t="shared" ca="1" si="346"/>
        <v>0</v>
      </c>
      <c r="T2588" s="611">
        <v>33</v>
      </c>
      <c r="V2588" s="2557" t="str">
        <f t="shared" ca="1" si="348"/>
        <v/>
      </c>
      <c r="W2588" s="611" t="str">
        <f t="shared" ca="1" si="347"/>
        <v>Page8, Ligne 9 [Page8!M12]  -</v>
      </c>
    </row>
    <row r="2589" spans="1:23">
      <c r="A2589" s="1443" t="str">
        <f>celladdr(Page8!M41)</f>
        <v>Page8!M41</v>
      </c>
      <c r="B2589" s="1464" t="s">
        <v>1086</v>
      </c>
      <c r="D2589" s="1466"/>
      <c r="E2589" s="1450"/>
      <c r="F2589" s="1450"/>
      <c r="G2589" s="1444" t="str">
        <f t="shared" si="342"/>
        <v/>
      </c>
      <c r="H2589" s="1446"/>
      <c r="I2589" s="1446"/>
      <c r="J2589" s="1452"/>
      <c r="K2589" s="1446"/>
      <c r="N2589" s="611" t="s">
        <v>1828</v>
      </c>
      <c r="O2589" s="611" t="str">
        <f t="shared" si="349"/>
        <v/>
      </c>
      <c r="P2589" s="611" t="str">
        <f t="shared" si="343"/>
        <v>Page8!M</v>
      </c>
      <c r="Q2589" s="611">
        <f t="shared" si="344"/>
        <v>41</v>
      </c>
      <c r="R2589" s="1447">
        <f t="shared" ca="1" si="345"/>
        <v>0</v>
      </c>
      <c r="S2589" s="1447">
        <f t="shared" ca="1" si="346"/>
        <v>0</v>
      </c>
      <c r="V2589" s="2557" t="str">
        <f t="shared" ca="1" si="348"/>
        <v/>
      </c>
      <c r="W2589" s="611" t="str">
        <f t="shared" ca="1" si="347"/>
        <v>Page8, Ligne 38 [Page8!M41]  -</v>
      </c>
    </row>
    <row r="2590" spans="1:23">
      <c r="A2590" s="1443" t="str">
        <f>celladdr(Page8!M42)</f>
        <v>Page8!M42</v>
      </c>
      <c r="B2590" s="1457" t="s">
        <v>1086</v>
      </c>
      <c r="C2590" s="1445" t="b">
        <f>Page8!$M$42&lt;&gt;Page8!$M$40-Page8!$M$41</f>
        <v>0</v>
      </c>
      <c r="E2590" s="1451"/>
      <c r="G2590" s="1444" t="str">
        <f t="shared" si="342"/>
        <v/>
      </c>
      <c r="H2590" s="1446" t="str">
        <f>IF(C2590=TRUE,Comments!$B$56&amp;DOLLAR(Page8!$M$42-(Page8!$M$40-Page8!$M$41),0),"")</f>
        <v/>
      </c>
      <c r="I2590" s="1446"/>
      <c r="N2590" s="611" t="s">
        <v>1829</v>
      </c>
      <c r="O2590" s="611" t="str">
        <f t="shared" si="349"/>
        <v/>
      </c>
      <c r="P2590" s="611" t="str">
        <f t="shared" si="343"/>
        <v>Page8!M</v>
      </c>
      <c r="Q2590" s="611">
        <f t="shared" si="344"/>
        <v>42</v>
      </c>
      <c r="R2590" s="1447">
        <f t="shared" ca="1" si="345"/>
        <v>0</v>
      </c>
      <c r="S2590" s="1447">
        <f t="shared" ca="1" si="346"/>
        <v>0</v>
      </c>
      <c r="V2590" s="2557" t="str">
        <f t="shared" ca="1" si="348"/>
        <v/>
      </c>
      <c r="W2590" s="611" t="str">
        <f t="shared" ca="1" si="347"/>
        <v>Page8, Ligne 39 [Page8!M42]  -</v>
      </c>
    </row>
    <row r="2591" spans="1:23">
      <c r="A2591" s="1443" t="str">
        <f>celladdr(Page8!N14)</f>
        <v>Page8!N14</v>
      </c>
      <c r="B2591" s="1464" t="s">
        <v>1086</v>
      </c>
      <c r="E2591" s="1451"/>
      <c r="G2591" s="1444" t="str">
        <f t="shared" si="342"/>
        <v/>
      </c>
      <c r="H2591" s="1446"/>
      <c r="I2591" s="1446"/>
      <c r="N2591" s="611" t="s">
        <v>1830</v>
      </c>
      <c r="O2591" s="611" t="str">
        <f t="shared" si="349"/>
        <v/>
      </c>
      <c r="P2591" s="611" t="str">
        <f t="shared" si="343"/>
        <v>Page8!N</v>
      </c>
      <c r="Q2591" s="611">
        <f t="shared" si="344"/>
        <v>14</v>
      </c>
      <c r="R2591" s="1447">
        <f t="shared" ca="1" si="345"/>
        <v>0</v>
      </c>
      <c r="S2591" s="1447">
        <f t="shared" ca="1" si="346"/>
        <v>0</v>
      </c>
      <c r="V2591" s="2557" t="str">
        <f t="shared" ca="1" si="348"/>
        <v/>
      </c>
      <c r="W2591" s="611" t="str">
        <f t="shared" ca="1" si="347"/>
        <v>Page8, Ligne 11 [Page8!N14]  -</v>
      </c>
    </row>
    <row r="2592" spans="1:23">
      <c r="A2592" s="1443" t="str">
        <f>celladdr(Page8!N15)</f>
        <v>Page8!N15</v>
      </c>
      <c r="B2592" s="1464" t="s">
        <v>1086</v>
      </c>
      <c r="E2592" s="1451"/>
      <c r="G2592" s="1444" t="str">
        <f t="shared" si="342"/>
        <v/>
      </c>
      <c r="H2592" s="1446"/>
      <c r="I2592" s="1446"/>
      <c r="N2592" s="611" t="s">
        <v>1831</v>
      </c>
      <c r="O2592" s="611" t="str">
        <f t="shared" si="349"/>
        <v/>
      </c>
      <c r="P2592" s="611" t="str">
        <f t="shared" si="343"/>
        <v>Page8!N</v>
      </c>
      <c r="Q2592" s="611">
        <f t="shared" si="344"/>
        <v>15</v>
      </c>
      <c r="R2592" s="1447">
        <f t="shared" ca="1" si="345"/>
        <v>0</v>
      </c>
      <c r="S2592" s="1447">
        <f t="shared" ca="1" si="346"/>
        <v>0</v>
      </c>
      <c r="V2592" s="2557" t="str">
        <f t="shared" ca="1" si="348"/>
        <v/>
      </c>
      <c r="W2592" s="611" t="str">
        <f t="shared" ca="1" si="347"/>
        <v>Page8, Ligne 12 [Page8!N15]  -</v>
      </c>
    </row>
    <row r="2593" spans="1:23">
      <c r="A2593" s="1443" t="str">
        <f>celladdr(Page8!N16)</f>
        <v>Page8!N16</v>
      </c>
      <c r="B2593" s="1464" t="s">
        <v>1086</v>
      </c>
      <c r="E2593" s="1451"/>
      <c r="G2593" s="1444" t="str">
        <f t="shared" si="342"/>
        <v/>
      </c>
      <c r="H2593" s="1446"/>
      <c r="I2593" s="1446"/>
      <c r="N2593" s="611" t="s">
        <v>1832</v>
      </c>
      <c r="O2593" s="611" t="str">
        <f t="shared" si="349"/>
        <v/>
      </c>
      <c r="P2593" s="611" t="str">
        <f t="shared" si="343"/>
        <v>Page8!N</v>
      </c>
      <c r="Q2593" s="611">
        <f t="shared" si="344"/>
        <v>16</v>
      </c>
      <c r="R2593" s="1447">
        <f t="shared" ca="1" si="345"/>
        <v>0</v>
      </c>
      <c r="S2593" s="1447">
        <f t="shared" ca="1" si="346"/>
        <v>0</v>
      </c>
      <c r="V2593" s="2557" t="str">
        <f t="shared" ca="1" si="348"/>
        <v/>
      </c>
      <c r="W2593" s="611" t="str">
        <f t="shared" ca="1" si="347"/>
        <v>Page8, Ligne 13 [Page8!N16]  -</v>
      </c>
    </row>
    <row r="2594" spans="1:23">
      <c r="A2594" s="1443" t="str">
        <f>celladdr(Page8!N17)</f>
        <v>Page8!N17</v>
      </c>
      <c r="B2594" s="1464" t="s">
        <v>1086</v>
      </c>
      <c r="E2594" s="1451"/>
      <c r="G2594" s="1444" t="str">
        <f t="shared" si="342"/>
        <v/>
      </c>
      <c r="H2594" s="1446"/>
      <c r="I2594" s="1446"/>
      <c r="N2594" s="611" t="s">
        <v>1833</v>
      </c>
      <c r="O2594" s="611" t="str">
        <f t="shared" si="349"/>
        <v/>
      </c>
      <c r="P2594" s="611" t="str">
        <f t="shared" si="343"/>
        <v>Page8!N</v>
      </c>
      <c r="Q2594" s="611">
        <f t="shared" si="344"/>
        <v>17</v>
      </c>
      <c r="R2594" s="1447">
        <f t="shared" ca="1" si="345"/>
        <v>0</v>
      </c>
      <c r="S2594" s="1447">
        <f t="shared" ca="1" si="346"/>
        <v>0</v>
      </c>
      <c r="V2594" s="2557" t="str">
        <f t="shared" ca="1" si="348"/>
        <v/>
      </c>
      <c r="W2594" s="611" t="str">
        <f t="shared" ca="1" si="347"/>
        <v>Page8, Ligne 14 [Page8!N17]  -</v>
      </c>
    </row>
    <row r="2595" spans="1:23">
      <c r="A2595" s="1443" t="str">
        <f>celladdr(Page8!N18)</f>
        <v>Page8!N18</v>
      </c>
      <c r="B2595" s="1464" t="s">
        <v>1086</v>
      </c>
      <c r="E2595" s="1451"/>
      <c r="G2595" s="1444" t="str">
        <f t="shared" si="342"/>
        <v/>
      </c>
      <c r="H2595" s="1446"/>
      <c r="I2595" s="1446"/>
      <c r="N2595" s="611" t="s">
        <v>1834</v>
      </c>
      <c r="O2595" s="611" t="str">
        <f t="shared" si="349"/>
        <v/>
      </c>
      <c r="P2595" s="611" t="str">
        <f t="shared" si="343"/>
        <v>Page8!N</v>
      </c>
      <c r="Q2595" s="611">
        <f t="shared" si="344"/>
        <v>18</v>
      </c>
      <c r="R2595" s="1447">
        <f t="shared" ca="1" si="345"/>
        <v>0</v>
      </c>
      <c r="S2595" s="1447">
        <f t="shared" ca="1" si="346"/>
        <v>0</v>
      </c>
      <c r="V2595" s="2557" t="str">
        <f t="shared" ca="1" si="348"/>
        <v/>
      </c>
      <c r="W2595" s="611" t="str">
        <f t="shared" ca="1" si="347"/>
        <v>Page8, Ligne 15 [Page8!N18]  -</v>
      </c>
    </row>
    <row r="2596" spans="1:23">
      <c r="A2596" s="1443" t="str">
        <f>celladdr(Page8!N19)</f>
        <v>Page8!N19</v>
      </c>
      <c r="B2596" s="1464" t="s">
        <v>1086</v>
      </c>
      <c r="E2596" s="1451"/>
      <c r="G2596" s="1444" t="str">
        <f t="shared" si="342"/>
        <v/>
      </c>
      <c r="H2596" s="1446"/>
      <c r="I2596" s="1446"/>
      <c r="N2596" s="611" t="s">
        <v>1835</v>
      </c>
      <c r="O2596" s="611" t="str">
        <f t="shared" si="349"/>
        <v/>
      </c>
      <c r="P2596" s="611" t="str">
        <f t="shared" si="343"/>
        <v>Page8!N</v>
      </c>
      <c r="Q2596" s="611">
        <f t="shared" si="344"/>
        <v>19</v>
      </c>
      <c r="R2596" s="1447">
        <f t="shared" ca="1" si="345"/>
        <v>0</v>
      </c>
      <c r="S2596" s="1447">
        <f t="shared" ca="1" si="346"/>
        <v>0</v>
      </c>
      <c r="V2596" s="2557" t="str">
        <f t="shared" ca="1" si="348"/>
        <v/>
      </c>
      <c r="W2596" s="611" t="str">
        <f t="shared" ca="1" si="347"/>
        <v>Page8, Ligne 16 [Page8!N19]  -</v>
      </c>
    </row>
    <row r="2597" spans="1:23">
      <c r="A2597" s="1443" t="str">
        <f>celladdr(Page8!N20)</f>
        <v>Page8!N20</v>
      </c>
      <c r="B2597" s="1464" t="s">
        <v>1086</v>
      </c>
      <c r="E2597" s="1451"/>
      <c r="G2597" s="1444" t="str">
        <f t="shared" si="342"/>
        <v/>
      </c>
      <c r="H2597" s="1446"/>
      <c r="I2597" s="1446"/>
      <c r="N2597" s="611" t="s">
        <v>1836</v>
      </c>
      <c r="O2597" s="611" t="str">
        <f t="shared" si="349"/>
        <v/>
      </c>
      <c r="P2597" s="611" t="str">
        <f t="shared" si="343"/>
        <v>Page8!N</v>
      </c>
      <c r="Q2597" s="611">
        <f t="shared" si="344"/>
        <v>20</v>
      </c>
      <c r="R2597" s="1447">
        <f t="shared" ca="1" si="345"/>
        <v>0</v>
      </c>
      <c r="S2597" s="1447">
        <f t="shared" ca="1" si="346"/>
        <v>0</v>
      </c>
      <c r="V2597" s="2557" t="str">
        <f t="shared" ca="1" si="348"/>
        <v/>
      </c>
      <c r="W2597" s="611" t="str">
        <f t="shared" ca="1" si="347"/>
        <v>Page8, Ligne 17 [Page8!N20]  -</v>
      </c>
    </row>
    <row r="2598" spans="1:23">
      <c r="A2598" s="1443" t="str">
        <f>celladdr(Page8!N21)</f>
        <v>Page8!N21</v>
      </c>
      <c r="B2598" s="1464" t="s">
        <v>1086</v>
      </c>
      <c r="E2598" s="1451"/>
      <c r="G2598" s="1444" t="str">
        <f t="shared" si="342"/>
        <v/>
      </c>
      <c r="H2598" s="1446"/>
      <c r="I2598" s="1446"/>
      <c r="N2598" s="611" t="s">
        <v>1837</v>
      </c>
      <c r="O2598" s="611" t="str">
        <f t="shared" si="349"/>
        <v/>
      </c>
      <c r="P2598" s="611" t="str">
        <f t="shared" si="343"/>
        <v>Page8!N</v>
      </c>
      <c r="Q2598" s="611">
        <f t="shared" si="344"/>
        <v>21</v>
      </c>
      <c r="R2598" s="1447">
        <f t="shared" ca="1" si="345"/>
        <v>0</v>
      </c>
      <c r="S2598" s="1447">
        <f t="shared" ca="1" si="346"/>
        <v>0</v>
      </c>
      <c r="V2598" s="2557" t="str">
        <f t="shared" ca="1" si="348"/>
        <v/>
      </c>
      <c r="W2598" s="611" t="str">
        <f t="shared" ca="1" si="347"/>
        <v>Page8, Ligne 18 [Page8!N21]  -</v>
      </c>
    </row>
    <row r="2599" spans="1:23">
      <c r="A2599" s="1443" t="str">
        <f>celladdr(Page8!N24)</f>
        <v>Page8!N24</v>
      </c>
      <c r="B2599" s="1464" t="s">
        <v>1086</v>
      </c>
      <c r="E2599" s="1451"/>
      <c r="G2599" s="1444" t="str">
        <f t="shared" si="342"/>
        <v/>
      </c>
      <c r="H2599" s="1446"/>
      <c r="I2599" s="1446"/>
      <c r="N2599" s="611" t="s">
        <v>1838</v>
      </c>
      <c r="O2599" s="611" t="str">
        <f t="shared" si="349"/>
        <v/>
      </c>
      <c r="P2599" s="611" t="str">
        <f t="shared" si="343"/>
        <v>Page8!N</v>
      </c>
      <c r="Q2599" s="611">
        <f t="shared" si="344"/>
        <v>24</v>
      </c>
      <c r="R2599" s="1447">
        <f t="shared" ca="1" si="345"/>
        <v>0</v>
      </c>
      <c r="S2599" s="1447">
        <f t="shared" ca="1" si="346"/>
        <v>0</v>
      </c>
      <c r="V2599" s="2557" t="str">
        <f t="shared" ca="1" si="348"/>
        <v/>
      </c>
      <c r="W2599" s="611" t="str">
        <f t="shared" ca="1" si="347"/>
        <v>Page8, Ligne 21 [Page8!N24]  -</v>
      </c>
    </row>
    <row r="2600" spans="1:23">
      <c r="A2600" s="1443" t="str">
        <f>celladdr(Page8!N25)</f>
        <v>Page8!N25</v>
      </c>
      <c r="B2600" s="1464" t="s">
        <v>1086</v>
      </c>
      <c r="E2600" s="1451"/>
      <c r="G2600" s="1444" t="str">
        <f t="shared" si="342"/>
        <v/>
      </c>
      <c r="H2600" s="1446"/>
      <c r="I2600" s="1446"/>
      <c r="N2600" s="611" t="s">
        <v>1839</v>
      </c>
      <c r="O2600" s="611" t="str">
        <f t="shared" si="349"/>
        <v/>
      </c>
      <c r="P2600" s="611" t="str">
        <f t="shared" si="343"/>
        <v>Page8!N</v>
      </c>
      <c r="Q2600" s="611">
        <f t="shared" si="344"/>
        <v>25</v>
      </c>
      <c r="R2600" s="1447">
        <f t="shared" ca="1" si="345"/>
        <v>0</v>
      </c>
      <c r="S2600" s="1447">
        <f t="shared" ca="1" si="346"/>
        <v>0</v>
      </c>
      <c r="V2600" s="2557" t="str">
        <f t="shared" ca="1" si="348"/>
        <v/>
      </c>
      <c r="W2600" s="611" t="str">
        <f t="shared" ca="1" si="347"/>
        <v>Page8, Ligne 22 [Page8!N25]  -</v>
      </c>
    </row>
    <row r="2601" spans="1:23">
      <c r="A2601" s="1443" t="str">
        <f>celladdr(Page8!N26)</f>
        <v>Page8!N26</v>
      </c>
      <c r="B2601" s="1464" t="s">
        <v>1086</v>
      </c>
      <c r="E2601" s="1451"/>
      <c r="G2601" s="1444" t="str">
        <f t="shared" si="342"/>
        <v/>
      </c>
      <c r="H2601" s="1446"/>
      <c r="I2601" s="1446"/>
      <c r="N2601" s="611" t="s">
        <v>1840</v>
      </c>
      <c r="O2601" s="611" t="str">
        <f t="shared" si="349"/>
        <v/>
      </c>
      <c r="P2601" s="611" t="str">
        <f t="shared" si="343"/>
        <v>Page8!N</v>
      </c>
      <c r="Q2601" s="611">
        <f t="shared" si="344"/>
        <v>26</v>
      </c>
      <c r="R2601" s="1447">
        <f t="shared" ca="1" si="345"/>
        <v>0</v>
      </c>
      <c r="S2601" s="1447">
        <f t="shared" ca="1" si="346"/>
        <v>0</v>
      </c>
      <c r="V2601" s="2557" t="str">
        <f t="shared" ca="1" si="348"/>
        <v/>
      </c>
      <c r="W2601" s="611" t="str">
        <f t="shared" ca="1" si="347"/>
        <v>Page8, Ligne 23 [Page8!N26]  -</v>
      </c>
    </row>
    <row r="2602" spans="1:23">
      <c r="A2602" s="1443" t="str">
        <f>celladdr(Page8!N33)</f>
        <v>Page8!N33</v>
      </c>
      <c r="B2602" s="1464" t="s">
        <v>1086</v>
      </c>
      <c r="C2602" s="1451" t="b">
        <f>Page8!$N$33&lt;0</f>
        <v>0</v>
      </c>
      <c r="G2602" s="1444" t="str">
        <f t="shared" si="342"/>
        <v/>
      </c>
      <c r="H2602" s="1447" t="str">
        <f>IF(C2602=TRUE,Comments!$B$26,"")</f>
        <v/>
      </c>
      <c r="J2602" s="1446"/>
      <c r="N2602" s="611" t="s">
        <v>1841</v>
      </c>
      <c r="O2602" s="611" t="str">
        <f t="shared" si="349"/>
        <v/>
      </c>
      <c r="P2602" s="611" t="str">
        <f t="shared" si="343"/>
        <v>Page8!N</v>
      </c>
      <c r="Q2602" s="611">
        <f t="shared" si="344"/>
        <v>33</v>
      </c>
      <c r="R2602" s="1447">
        <f t="shared" ca="1" si="345"/>
        <v>0</v>
      </c>
      <c r="S2602" s="1447">
        <f t="shared" ca="1" si="346"/>
        <v>0</v>
      </c>
      <c r="V2602" s="2557" t="str">
        <f t="shared" ca="1" si="348"/>
        <v/>
      </c>
      <c r="W2602" s="611" t="str">
        <f t="shared" ca="1" si="347"/>
        <v>Page8, Ligne 30 [Page8!N33]  -</v>
      </c>
    </row>
    <row r="2603" spans="1:23">
      <c r="A2603" s="1443" t="str">
        <f>celladdr(Page8!N34)</f>
        <v>Page8!N34</v>
      </c>
      <c r="B2603" s="1464" t="s">
        <v>1086</v>
      </c>
      <c r="C2603" s="1451" t="b">
        <f>Page8!N34&lt;0</f>
        <v>0</v>
      </c>
      <c r="G2603" s="1444" t="str">
        <f t="shared" si="342"/>
        <v/>
      </c>
      <c r="H2603" s="1447" t="str">
        <f>IF(C2603=TRUE,Comments!$B$26,"")</f>
        <v/>
      </c>
      <c r="J2603" s="1446"/>
      <c r="N2603" s="611" t="s">
        <v>1842</v>
      </c>
      <c r="O2603" s="611" t="str">
        <f t="shared" si="349"/>
        <v/>
      </c>
      <c r="P2603" s="611" t="str">
        <f t="shared" si="343"/>
        <v>Page8!N</v>
      </c>
      <c r="Q2603" s="611">
        <f t="shared" si="344"/>
        <v>34</v>
      </c>
      <c r="R2603" s="1447">
        <f t="shared" ca="1" si="345"/>
        <v>0</v>
      </c>
      <c r="S2603" s="1447">
        <f t="shared" ca="1" si="346"/>
        <v>0</v>
      </c>
      <c r="V2603" s="2557" t="str">
        <f t="shared" ca="1" si="348"/>
        <v/>
      </c>
      <c r="W2603" s="611" t="str">
        <f t="shared" ca="1" si="347"/>
        <v>Page8, Ligne 31 [Page8!N34]  -</v>
      </c>
    </row>
    <row r="2604" spans="1:23">
      <c r="A2604" s="1443" t="str">
        <f>celladdr(Page8!N38)</f>
        <v>Page8!N38</v>
      </c>
      <c r="B2604" s="1464" t="s">
        <v>1086</v>
      </c>
      <c r="E2604" s="1445" t="b">
        <f>Page8!N38&gt;0</f>
        <v>0</v>
      </c>
      <c r="G2604" s="1444" t="str">
        <f t="shared" si="342"/>
        <v/>
      </c>
      <c r="J2604" s="1447" t="str">
        <f>IF(E2604=TRUE,Comments!$B$34,"")</f>
        <v/>
      </c>
      <c r="N2604" s="611" t="s">
        <v>1843</v>
      </c>
      <c r="O2604" s="611" t="str">
        <f t="shared" si="349"/>
        <v/>
      </c>
      <c r="P2604" s="611" t="str">
        <f t="shared" si="343"/>
        <v>Page8!N</v>
      </c>
      <c r="Q2604" s="611">
        <f t="shared" si="344"/>
        <v>38</v>
      </c>
      <c r="R2604" s="1447">
        <f t="shared" ca="1" si="345"/>
        <v>0</v>
      </c>
      <c r="S2604" s="1447">
        <f t="shared" ca="1" si="346"/>
        <v>0</v>
      </c>
      <c r="T2604" s="611">
        <v>34</v>
      </c>
      <c r="V2604" s="2557" t="str">
        <f t="shared" ca="1" si="348"/>
        <v/>
      </c>
      <c r="W2604" s="611" t="str">
        <f t="shared" ca="1" si="347"/>
        <v>Page8, Ligne 35 [Page8!N38]  -</v>
      </c>
    </row>
    <row r="2605" spans="1:23">
      <c r="A2605" s="1443" t="str">
        <f>celladdr(Page8!N39)</f>
        <v>Page8!N39</v>
      </c>
      <c r="B2605" s="1464" t="s">
        <v>1086</v>
      </c>
      <c r="E2605" s="1445" t="b">
        <f>Page8!N39&gt;0</f>
        <v>0</v>
      </c>
      <c r="G2605" s="1444" t="str">
        <f t="shared" si="342"/>
        <v/>
      </c>
      <c r="J2605" s="1447" t="str">
        <f>IF(E2605=TRUE,Comments!$B$34,"")</f>
        <v/>
      </c>
      <c r="N2605" s="611" t="s">
        <v>1844</v>
      </c>
      <c r="O2605" s="611" t="str">
        <f t="shared" si="349"/>
        <v/>
      </c>
      <c r="P2605" s="611" t="str">
        <f t="shared" si="343"/>
        <v>Page8!N</v>
      </c>
      <c r="Q2605" s="611">
        <f t="shared" si="344"/>
        <v>39</v>
      </c>
      <c r="R2605" s="1447">
        <f t="shared" ca="1" si="345"/>
        <v>0</v>
      </c>
      <c r="S2605" s="1447">
        <f t="shared" ca="1" si="346"/>
        <v>0</v>
      </c>
      <c r="T2605" s="611">
        <v>34</v>
      </c>
      <c r="V2605" s="2557" t="str">
        <f t="shared" ca="1" si="348"/>
        <v/>
      </c>
      <c r="W2605" s="611" t="str">
        <f t="shared" ca="1" si="347"/>
        <v>Page8, Ligne 36 [Page8!N39]  -</v>
      </c>
    </row>
    <row r="2606" spans="1:23">
      <c r="A2606" s="1443" t="str">
        <f>celladdr(Page8!N48)</f>
        <v>Page8!N48</v>
      </c>
      <c r="B2606" s="1464" t="s">
        <v>1086</v>
      </c>
      <c r="C2606" s="1454" t="b">
        <f>OR(AND(Page8!$N$48=0,Page8!$O$48&lt;&gt;0),AND(Page8!$N$48&lt;&gt;0,Page8!$O$48=0))</f>
        <v>0</v>
      </c>
      <c r="D2606" s="1454" t="b">
        <f>Page8!$N$48&lt;0</f>
        <v>0</v>
      </c>
      <c r="G2606" s="1444" t="str">
        <f t="shared" si="342"/>
        <v/>
      </c>
      <c r="H2606" s="1446" t="str">
        <f>IF(C2606=TRUE,Comments!$B$27,"")</f>
        <v/>
      </c>
      <c r="I2606" s="1446" t="str">
        <f>IF(D2606=TRUE,Comments!$B$26,"")</f>
        <v/>
      </c>
      <c r="N2606" s="611" t="s">
        <v>1845</v>
      </c>
      <c r="O2606" s="611" t="str">
        <f t="shared" si="349"/>
        <v/>
      </c>
      <c r="P2606" s="611" t="str">
        <f t="shared" si="343"/>
        <v>Page8!N</v>
      </c>
      <c r="Q2606" s="611">
        <f t="shared" si="344"/>
        <v>48</v>
      </c>
      <c r="R2606" s="1447">
        <f t="shared" ca="1" si="345"/>
        <v>0</v>
      </c>
      <c r="S2606" s="1447">
        <f t="shared" ca="1" si="346"/>
        <v>0</v>
      </c>
      <c r="V2606" s="2557" t="str">
        <f t="shared" ca="1" si="348"/>
        <v/>
      </c>
      <c r="W2606" s="611" t="str">
        <f t="shared" ca="1" si="347"/>
        <v>Page8, Ligne 45 [Page8!N48]  -</v>
      </c>
    </row>
    <row r="2607" spans="1:23">
      <c r="A2607" s="1443" t="str">
        <f>celladdr(Page8!N50)</f>
        <v>Page8!N50</v>
      </c>
      <c r="B2607" s="1464" t="s">
        <v>1086</v>
      </c>
      <c r="C2607" s="1454" t="b">
        <f>OR(AND(Page8!N50&gt;0,Page8!P50=0),AND(Page8!O50&lt;&gt;0,Page8!P50=0),AND(Page8!P50&lt;&gt;0,OR(Page8!N50=0,Page8!O50=0)))</f>
        <v>0</v>
      </c>
      <c r="D2607" s="1454" t="b">
        <f>Page8!N50&lt;0</f>
        <v>0</v>
      </c>
      <c r="G2607" s="1444" t="str">
        <f t="shared" si="342"/>
        <v/>
      </c>
      <c r="H2607" s="1446" t="str">
        <f>IF(C2607=TRUE,Comments!$B$21,"")</f>
        <v/>
      </c>
      <c r="I2607" s="1446" t="str">
        <f>IF(D2607=TRUE,Comments!$B$26,"")</f>
        <v/>
      </c>
      <c r="N2607" s="611" t="s">
        <v>1846</v>
      </c>
      <c r="O2607" s="611" t="str">
        <f t="shared" si="349"/>
        <v/>
      </c>
      <c r="P2607" s="611" t="str">
        <f t="shared" si="343"/>
        <v>Page8!N</v>
      </c>
      <c r="Q2607" s="611">
        <f t="shared" si="344"/>
        <v>50</v>
      </c>
      <c r="R2607" s="1447">
        <f t="shared" ca="1" si="345"/>
        <v>0</v>
      </c>
      <c r="S2607" s="1447">
        <f t="shared" ca="1" si="346"/>
        <v>0</v>
      </c>
      <c r="V2607" s="2557" t="str">
        <f t="shared" ca="1" si="348"/>
        <v/>
      </c>
      <c r="W2607" s="611" t="str">
        <f t="shared" ca="1" si="347"/>
        <v>Page8, Ligne 47 [Page8!N50]  -</v>
      </c>
    </row>
    <row r="2608" spans="1:23">
      <c r="A2608" s="1443" t="str">
        <f>celladdr(Page8!N51)</f>
        <v>Page8!N51</v>
      </c>
      <c r="B2608" s="1464" t="s">
        <v>1086</v>
      </c>
      <c r="C2608" s="1454" t="b">
        <f>OR(AND(Page8!N51&gt;0,Page8!P51=0),AND(Page8!O51&lt;&gt;0,Page8!P51=0),AND(Page8!P51&lt;&gt;0,OR(Page8!N51=0,Page8!O51=0)))</f>
        <v>0</v>
      </c>
      <c r="D2608" s="1454" t="b">
        <f>Page8!N51&lt;0</f>
        <v>0</v>
      </c>
      <c r="G2608" s="1444" t="str">
        <f t="shared" si="342"/>
        <v/>
      </c>
      <c r="H2608" s="1446" t="str">
        <f>IF(C2608=TRUE,Comments!$B$21,"")</f>
        <v/>
      </c>
      <c r="I2608" s="1446" t="str">
        <f>IF(D2608=TRUE,Comments!$B$26,"")</f>
        <v/>
      </c>
      <c r="N2608" s="611" t="s">
        <v>1847</v>
      </c>
      <c r="O2608" s="611" t="str">
        <f t="shared" si="349"/>
        <v/>
      </c>
      <c r="P2608" s="611" t="str">
        <f t="shared" si="343"/>
        <v>Page8!N</v>
      </c>
      <c r="Q2608" s="611">
        <f t="shared" si="344"/>
        <v>51</v>
      </c>
      <c r="R2608" s="1447">
        <f t="shared" ca="1" si="345"/>
        <v>0</v>
      </c>
      <c r="S2608" s="1447">
        <f t="shared" ca="1" si="346"/>
        <v>0</v>
      </c>
      <c r="V2608" s="2557" t="str">
        <f t="shared" ca="1" si="348"/>
        <v/>
      </c>
      <c r="W2608" s="611" t="str">
        <f t="shared" ca="1" si="347"/>
        <v>Page8, Ligne 48 [Page8!N51]  -</v>
      </c>
    </row>
    <row r="2609" spans="1:23">
      <c r="A2609" s="1443" t="str">
        <f>celladdr(Page8!N52)</f>
        <v>Page8!N52</v>
      </c>
      <c r="B2609" s="1464" t="s">
        <v>1086</v>
      </c>
      <c r="C2609" s="1454" t="b">
        <f>OR(AND(Page8!N52&gt;0,Page8!P52=0),AND(Page8!O52&lt;&gt;0,Page8!P52=0),AND(Page8!P52&lt;&gt;0,OR(Page8!N52=0,Page8!O52=0)))</f>
        <v>0</v>
      </c>
      <c r="D2609" s="1454" t="b">
        <f>Page8!N52&lt;0</f>
        <v>0</v>
      </c>
      <c r="G2609" s="1444" t="str">
        <f t="shared" si="342"/>
        <v/>
      </c>
      <c r="H2609" s="1446" t="str">
        <f>IF(C2609=TRUE,Comments!$B$21,"")</f>
        <v/>
      </c>
      <c r="I2609" s="1446" t="str">
        <f>IF(D2609=TRUE,Comments!$B$26,"")</f>
        <v/>
      </c>
      <c r="N2609" s="611" t="s">
        <v>1848</v>
      </c>
      <c r="O2609" s="611" t="str">
        <f t="shared" si="349"/>
        <v/>
      </c>
      <c r="P2609" s="611" t="str">
        <f t="shared" si="343"/>
        <v>Page8!N</v>
      </c>
      <c r="Q2609" s="611">
        <f t="shared" si="344"/>
        <v>52</v>
      </c>
      <c r="R2609" s="1447">
        <f t="shared" ca="1" si="345"/>
        <v>0</v>
      </c>
      <c r="S2609" s="1447">
        <f t="shared" ca="1" si="346"/>
        <v>0</v>
      </c>
      <c r="V2609" s="2557" t="str">
        <f t="shared" ca="1" si="348"/>
        <v/>
      </c>
      <c r="W2609" s="611" t="str">
        <f t="shared" ca="1" si="347"/>
        <v>Page8, Ligne 49 [Page8!N52]  -</v>
      </c>
    </row>
    <row r="2610" spans="1:23">
      <c r="A2610" s="1443" t="str">
        <f>celladdr(Page8!N54)</f>
        <v>Page8!N54</v>
      </c>
      <c r="B2610" s="1457" t="s">
        <v>1086</v>
      </c>
      <c r="C2610" s="1445" t="b">
        <f>Page8!$N$54&lt;&gt;SUM(Page8!$N$48:$N$53)</f>
        <v>0</v>
      </c>
      <c r="D2610" s="1466"/>
      <c r="E2610" s="1450"/>
      <c r="F2610" s="1450"/>
      <c r="G2610" s="1444" t="str">
        <f t="shared" si="342"/>
        <v/>
      </c>
      <c r="H2610" s="1446" t="str">
        <f>IF(C2610=TRUE,Comments!$B$47&amp;Page8!$N$54-SUM(Page8!$N$48:$N$53),"")</f>
        <v/>
      </c>
      <c r="I2610" s="1446"/>
      <c r="J2610" s="1452"/>
      <c r="K2610" s="1446"/>
      <c r="N2610" s="611" t="s">
        <v>1849</v>
      </c>
      <c r="O2610" s="611" t="str">
        <f t="shared" si="349"/>
        <v/>
      </c>
      <c r="P2610" s="611" t="str">
        <f t="shared" si="343"/>
        <v>Page8!N</v>
      </c>
      <c r="Q2610" s="611">
        <f t="shared" si="344"/>
        <v>54</v>
      </c>
      <c r="R2610" s="1447">
        <f t="shared" ca="1" si="345"/>
        <v>0</v>
      </c>
      <c r="S2610" s="1447">
        <f t="shared" ca="1" si="346"/>
        <v>0</v>
      </c>
      <c r="V2610" s="2557" t="str">
        <f t="shared" ca="1" si="348"/>
        <v/>
      </c>
      <c r="W2610" s="611" t="str">
        <f t="shared" ca="1" si="347"/>
        <v>Page8, Ligne 52 [Page8!N54]  -</v>
      </c>
    </row>
    <row r="2611" spans="1:23">
      <c r="A2611" s="1443" t="str">
        <f>celladdr(Page8!O12)</f>
        <v>Page8!O12</v>
      </c>
      <c r="B2611" s="1444" t="s">
        <v>1086</v>
      </c>
      <c r="E2611" s="1451" t="b">
        <f>IF(Page8!$O$32=0,FALSE,OR(Page8!$O$12/Page8!$O$32&lt;INDEX(Min_Table,L2611),Page8!$O$12/Page8!$O$32&gt;INDEX(Max_Table,L2611)))</f>
        <v>0</v>
      </c>
      <c r="G2611" s="1444" t="str">
        <f t="shared" si="342"/>
        <v/>
      </c>
      <c r="J2611" s="1447" t="str">
        <f>IF(E2611=TRUE,Comments!$B$33&amp;DOLLAR(INDEX(Min_Table,L2611),0)&amp;Comments!$B$18&amp;DOLLAR(INDEX(Max_Table,L2611),0)&amp;Comments!$B$19&amp;DOLLAR(Page8!$O$12/Page8!$O$32,0),"")</f>
        <v/>
      </c>
      <c r="L2611" s="611">
        <f>ROW(OR_VEH!$A$653)</f>
        <v>653</v>
      </c>
      <c r="N2611" s="611" t="s">
        <v>1850</v>
      </c>
      <c r="O2611" s="611" t="str">
        <f t="shared" si="349"/>
        <v/>
      </c>
      <c r="P2611" s="611" t="str">
        <f t="shared" si="343"/>
        <v>Page8!O</v>
      </c>
      <c r="Q2611" s="611">
        <f t="shared" si="344"/>
        <v>12</v>
      </c>
      <c r="R2611" s="1447">
        <f t="shared" ca="1" si="345"/>
        <v>0</v>
      </c>
      <c r="S2611" s="1447">
        <f t="shared" ca="1" si="346"/>
        <v>0</v>
      </c>
      <c r="T2611" s="611">
        <v>33</v>
      </c>
      <c r="V2611" s="2557" t="str">
        <f t="shared" ca="1" si="348"/>
        <v/>
      </c>
      <c r="W2611" s="611" t="str">
        <f t="shared" ca="1" si="347"/>
        <v>Page8, Ligne 9 [Page8!O12]  -</v>
      </c>
    </row>
    <row r="2612" spans="1:23">
      <c r="A2612" s="1443" t="str">
        <f>celladdr(Page8!O38)</f>
        <v>Page8!O38</v>
      </c>
      <c r="B2612" s="1464" t="s">
        <v>1086</v>
      </c>
      <c r="E2612" s="1445" t="b">
        <f>Page8!O38&lt;0</f>
        <v>0</v>
      </c>
      <c r="G2612" s="1444" t="str">
        <f t="shared" si="342"/>
        <v/>
      </c>
      <c r="J2612" s="1447" t="str">
        <f>IF(E2612=TRUE,Comments!$B$30,"")</f>
        <v/>
      </c>
      <c r="N2612" s="611" t="s">
        <v>1851</v>
      </c>
      <c r="O2612" s="611" t="str">
        <f t="shared" si="349"/>
        <v/>
      </c>
      <c r="P2612" s="611" t="str">
        <f t="shared" si="343"/>
        <v>Page8!O</v>
      </c>
      <c r="Q2612" s="611">
        <f t="shared" si="344"/>
        <v>38</v>
      </c>
      <c r="R2612" s="1447">
        <f t="shared" ca="1" si="345"/>
        <v>0</v>
      </c>
      <c r="S2612" s="1447">
        <f t="shared" ca="1" si="346"/>
        <v>0</v>
      </c>
      <c r="T2612" s="611">
        <v>30</v>
      </c>
      <c r="V2612" s="2557" t="str">
        <f t="shared" ca="1" si="348"/>
        <v/>
      </c>
      <c r="W2612" s="611" t="str">
        <f t="shared" ca="1" si="347"/>
        <v>Page8, Ligne 35 [Page8!O38]  -</v>
      </c>
    </row>
    <row r="2613" spans="1:23">
      <c r="A2613" s="1443" t="str">
        <f>celladdr(Page8!O39)</f>
        <v>Page8!O39</v>
      </c>
      <c r="B2613" s="1464" t="s">
        <v>1086</v>
      </c>
      <c r="E2613" s="1445" t="b">
        <f>Page8!O39&lt;0</f>
        <v>0</v>
      </c>
      <c r="G2613" s="1444" t="str">
        <f t="shared" si="342"/>
        <v/>
      </c>
      <c r="J2613" s="1447" t="str">
        <f>IF(E2613=TRUE,Comments!$B$30,"")</f>
        <v/>
      </c>
      <c r="N2613" s="611" t="s">
        <v>1852</v>
      </c>
      <c r="O2613" s="611" t="str">
        <f t="shared" si="349"/>
        <v/>
      </c>
      <c r="P2613" s="611" t="str">
        <f t="shared" si="343"/>
        <v>Page8!O</v>
      </c>
      <c r="Q2613" s="611">
        <f t="shared" si="344"/>
        <v>39</v>
      </c>
      <c r="R2613" s="1447">
        <f t="shared" ca="1" si="345"/>
        <v>0</v>
      </c>
      <c r="S2613" s="1447">
        <f t="shared" ca="1" si="346"/>
        <v>0</v>
      </c>
      <c r="T2613" s="611">
        <v>30</v>
      </c>
      <c r="V2613" s="2557" t="str">
        <f t="shared" ca="1" si="348"/>
        <v/>
      </c>
      <c r="W2613" s="611" t="str">
        <f t="shared" ca="1" si="347"/>
        <v>Page8, Ligne 36 [Page8!O39]  -</v>
      </c>
    </row>
    <row r="2614" spans="1:23">
      <c r="A2614" s="1443" t="str">
        <f>celladdr(Page8!O48)</f>
        <v>Page8!O48</v>
      </c>
      <c r="B2614" s="1464" t="s">
        <v>1086</v>
      </c>
      <c r="C2614" s="1454" t="b">
        <f>OR(AND(Page8!$N$48=0,Page8!$O$48&lt;&gt;0),AND(Page8!$N$48&lt;&gt;0,Page8!$O$48=0))</f>
        <v>0</v>
      </c>
      <c r="G2614" s="1444" t="str">
        <f t="shared" si="342"/>
        <v/>
      </c>
      <c r="H2614" s="1446" t="str">
        <f>IF(C2614=TRUE,Comments!$B$27,"")</f>
        <v/>
      </c>
      <c r="N2614" s="611" t="s">
        <v>1853</v>
      </c>
      <c r="O2614" s="611" t="str">
        <f t="shared" si="349"/>
        <v/>
      </c>
      <c r="P2614" s="611" t="str">
        <f t="shared" si="343"/>
        <v>Page8!O</v>
      </c>
      <c r="Q2614" s="611">
        <f t="shared" si="344"/>
        <v>48</v>
      </c>
      <c r="R2614" s="1447">
        <f t="shared" ca="1" si="345"/>
        <v>0</v>
      </c>
      <c r="S2614" s="1447">
        <f t="shared" ca="1" si="346"/>
        <v>0</v>
      </c>
      <c r="V2614" s="2557" t="str">
        <f t="shared" ca="1" si="348"/>
        <v/>
      </c>
      <c r="W2614" s="611" t="str">
        <f t="shared" ca="1" si="347"/>
        <v>Page8, Ligne 45 [Page8!O48]  -</v>
      </c>
    </row>
    <row r="2615" spans="1:23">
      <c r="A2615" s="1443" t="str">
        <f>celladdr(Page8!O50)</f>
        <v>Page8!O50</v>
      </c>
      <c r="B2615" s="1464" t="s">
        <v>1086</v>
      </c>
      <c r="C2615" s="1454" t="b">
        <f>OR(AND(Page8!N50&gt;0,Page8!P50=0),AND(Page8!O50&lt;&gt;0,Page8!P50=0),AND(Page8!P50&lt;&gt;0,OR(Page8!N50=0,Page8!O50=0)))</f>
        <v>0</v>
      </c>
      <c r="D2615" s="1445" t="b">
        <f>Page8!O50&lt;0</f>
        <v>0</v>
      </c>
      <c r="G2615" s="1444" t="str">
        <f t="shared" si="342"/>
        <v/>
      </c>
      <c r="H2615" s="1446" t="str">
        <f>IF(C2615=TRUE,Comments!$B$21,"")</f>
        <v/>
      </c>
      <c r="I2615" s="1446" t="str">
        <f>IF(D2615=TRUE,Comments!$B$23,"")</f>
        <v/>
      </c>
      <c r="N2615" s="611" t="s">
        <v>1854</v>
      </c>
      <c r="O2615" s="611" t="str">
        <f t="shared" si="349"/>
        <v/>
      </c>
      <c r="P2615" s="611" t="str">
        <f t="shared" si="343"/>
        <v>Page8!O</v>
      </c>
      <c r="Q2615" s="611">
        <f t="shared" si="344"/>
        <v>50</v>
      </c>
      <c r="R2615" s="1447">
        <f t="shared" ca="1" si="345"/>
        <v>0</v>
      </c>
      <c r="S2615" s="1447">
        <f t="shared" ca="1" si="346"/>
        <v>0</v>
      </c>
      <c r="V2615" s="2557" t="str">
        <f t="shared" ca="1" si="348"/>
        <v/>
      </c>
      <c r="W2615" s="611" t="str">
        <f t="shared" ca="1" si="347"/>
        <v>Page8, Ligne 47 [Page8!O50]  -</v>
      </c>
    </row>
    <row r="2616" spans="1:23">
      <c r="A2616" s="1443" t="str">
        <f>celladdr(Page8!O51)</f>
        <v>Page8!O51</v>
      </c>
      <c r="B2616" s="1464" t="s">
        <v>1086</v>
      </c>
      <c r="C2616" s="1454" t="b">
        <f>OR(AND(Page8!N51&gt;0,Page8!P51=0),AND(Page8!O51&lt;&gt;0,Page8!P51=0),AND(Page8!P51&lt;&gt;0,OR(Page8!N51=0,Page8!O51=0)))</f>
        <v>0</v>
      </c>
      <c r="D2616" s="1445" t="b">
        <f>Page8!O51&lt;0</f>
        <v>0</v>
      </c>
      <c r="G2616" s="1444" t="str">
        <f t="shared" si="342"/>
        <v/>
      </c>
      <c r="H2616" s="1446" t="str">
        <f>IF(C2616=TRUE,Comments!$B$21,"")</f>
        <v/>
      </c>
      <c r="I2616" s="1446" t="str">
        <f>IF(D2616=TRUE,Comments!$B$23,"")</f>
        <v/>
      </c>
      <c r="N2616" s="611" t="s">
        <v>1855</v>
      </c>
      <c r="O2616" s="611" t="str">
        <f t="shared" si="349"/>
        <v/>
      </c>
      <c r="P2616" s="611" t="str">
        <f t="shared" si="343"/>
        <v>Page8!O</v>
      </c>
      <c r="Q2616" s="611">
        <f t="shared" si="344"/>
        <v>51</v>
      </c>
      <c r="R2616" s="1447">
        <f t="shared" ca="1" si="345"/>
        <v>0</v>
      </c>
      <c r="S2616" s="1447">
        <f t="shared" ca="1" si="346"/>
        <v>0</v>
      </c>
      <c r="V2616" s="2557" t="str">
        <f t="shared" ca="1" si="348"/>
        <v/>
      </c>
      <c r="W2616" s="611" t="str">
        <f t="shared" ca="1" si="347"/>
        <v>Page8, Ligne 48 [Page8!O51]  -</v>
      </c>
    </row>
    <row r="2617" spans="1:23">
      <c r="A2617" s="1443" t="str">
        <f>celladdr(Page8!O52)</f>
        <v>Page8!O52</v>
      </c>
      <c r="B2617" s="1464" t="s">
        <v>1086</v>
      </c>
      <c r="C2617" s="1454" t="b">
        <f>OR(AND(Page8!N52&gt;0,Page8!P52=0),AND(Page8!O52&lt;&gt;0,Page8!P52=0),AND(Page8!P52&lt;&gt;0,OR(Page8!N52=0,Page8!O52=0)))</f>
        <v>0</v>
      </c>
      <c r="D2617" s="1445" t="b">
        <f>Page8!O52&lt;0</f>
        <v>0</v>
      </c>
      <c r="G2617" s="1444" t="str">
        <f t="shared" si="342"/>
        <v/>
      </c>
      <c r="H2617" s="1446" t="str">
        <f>IF(C2617=TRUE,Comments!$B$21,"")</f>
        <v/>
      </c>
      <c r="I2617" s="1446" t="str">
        <f>IF(D2617=TRUE,Comments!$B$23,"")</f>
        <v/>
      </c>
      <c r="N2617" s="611" t="s">
        <v>1856</v>
      </c>
      <c r="O2617" s="611" t="str">
        <f t="shared" si="349"/>
        <v/>
      </c>
      <c r="P2617" s="611" t="str">
        <f t="shared" si="343"/>
        <v>Page8!O</v>
      </c>
      <c r="Q2617" s="611">
        <f t="shared" si="344"/>
        <v>52</v>
      </c>
      <c r="R2617" s="1447">
        <f t="shared" ca="1" si="345"/>
        <v>0</v>
      </c>
      <c r="S2617" s="1447">
        <f t="shared" ca="1" si="346"/>
        <v>0</v>
      </c>
      <c r="V2617" s="2557" t="str">
        <f t="shared" ca="1" si="348"/>
        <v/>
      </c>
      <c r="W2617" s="611" t="str">
        <f t="shared" ca="1" si="347"/>
        <v>Page8, Ligne 49 [Page8!O52]  -</v>
      </c>
    </row>
    <row r="2618" spans="1:23">
      <c r="A2618" s="1443" t="str">
        <f>celladdr(Page8!P14)</f>
        <v>Page8!P14</v>
      </c>
      <c r="B2618" s="1464" t="s">
        <v>1086</v>
      </c>
      <c r="E2618" s="1451"/>
      <c r="G2618" s="1444" t="str">
        <f t="shared" si="342"/>
        <v/>
      </c>
      <c r="H2618" s="1446"/>
      <c r="I2618" s="1446"/>
      <c r="N2618" s="611" t="s">
        <v>1857</v>
      </c>
      <c r="O2618" s="611" t="str">
        <f t="shared" si="349"/>
        <v/>
      </c>
      <c r="P2618" s="611" t="str">
        <f t="shared" si="343"/>
        <v>Page8!P</v>
      </c>
      <c r="Q2618" s="611">
        <f t="shared" si="344"/>
        <v>14</v>
      </c>
      <c r="R2618" s="1447">
        <f t="shared" ca="1" si="345"/>
        <v>0</v>
      </c>
      <c r="S2618" s="1447">
        <f t="shared" ca="1" si="346"/>
        <v>0</v>
      </c>
      <c r="V2618" s="2557" t="str">
        <f t="shared" ca="1" si="348"/>
        <v/>
      </c>
      <c r="W2618" s="611" t="str">
        <f t="shared" ca="1" si="347"/>
        <v>Page8, Ligne 11 [Page8!P14]  -</v>
      </c>
    </row>
    <row r="2619" spans="1:23">
      <c r="A2619" s="1443" t="str">
        <f>celladdr(Page8!P15)</f>
        <v>Page8!P15</v>
      </c>
      <c r="B2619" s="1464" t="s">
        <v>1086</v>
      </c>
      <c r="E2619" s="1451"/>
      <c r="G2619" s="1444" t="str">
        <f t="shared" si="342"/>
        <v/>
      </c>
      <c r="H2619" s="1446"/>
      <c r="I2619" s="1446"/>
      <c r="N2619" s="611" t="s">
        <v>1858</v>
      </c>
      <c r="O2619" s="611" t="str">
        <f t="shared" si="349"/>
        <v/>
      </c>
      <c r="P2619" s="611" t="str">
        <f t="shared" si="343"/>
        <v>Page8!P</v>
      </c>
      <c r="Q2619" s="611">
        <f t="shared" si="344"/>
        <v>15</v>
      </c>
      <c r="R2619" s="1447">
        <f t="shared" ca="1" si="345"/>
        <v>0</v>
      </c>
      <c r="S2619" s="1447">
        <f t="shared" ca="1" si="346"/>
        <v>0</v>
      </c>
      <c r="V2619" s="2557" t="str">
        <f t="shared" ca="1" si="348"/>
        <v/>
      </c>
      <c r="W2619" s="611" t="str">
        <f t="shared" ca="1" si="347"/>
        <v>Page8, Ligne 12 [Page8!P15]  -</v>
      </c>
    </row>
    <row r="2620" spans="1:23">
      <c r="A2620" s="1443" t="str">
        <f>celladdr(Page8!P16)</f>
        <v>Page8!P16</v>
      </c>
      <c r="B2620" s="1464" t="s">
        <v>1086</v>
      </c>
      <c r="E2620" s="1451"/>
      <c r="G2620" s="1444" t="str">
        <f t="shared" si="342"/>
        <v/>
      </c>
      <c r="H2620" s="1446"/>
      <c r="I2620" s="1446"/>
      <c r="N2620" s="611" t="s">
        <v>1859</v>
      </c>
      <c r="O2620" s="611" t="str">
        <f t="shared" si="349"/>
        <v/>
      </c>
      <c r="P2620" s="611" t="str">
        <f t="shared" si="343"/>
        <v>Page8!P</v>
      </c>
      <c r="Q2620" s="611">
        <f t="shared" si="344"/>
        <v>16</v>
      </c>
      <c r="R2620" s="1447">
        <f t="shared" ca="1" si="345"/>
        <v>0</v>
      </c>
      <c r="S2620" s="1447">
        <f t="shared" ca="1" si="346"/>
        <v>0</v>
      </c>
      <c r="V2620" s="2557" t="str">
        <f t="shared" ca="1" si="348"/>
        <v/>
      </c>
      <c r="W2620" s="611" t="str">
        <f t="shared" ca="1" si="347"/>
        <v>Page8, Ligne 13 [Page8!P16]  -</v>
      </c>
    </row>
    <row r="2621" spans="1:23">
      <c r="A2621" s="1443" t="str">
        <f>celladdr(Page8!P17)</f>
        <v>Page8!P17</v>
      </c>
      <c r="B2621" s="1464" t="s">
        <v>1086</v>
      </c>
      <c r="E2621" s="1451"/>
      <c r="G2621" s="1444" t="str">
        <f t="shared" si="342"/>
        <v/>
      </c>
      <c r="H2621" s="1446"/>
      <c r="I2621" s="1446"/>
      <c r="N2621" s="611" t="s">
        <v>1860</v>
      </c>
      <c r="O2621" s="611" t="str">
        <f t="shared" si="349"/>
        <v/>
      </c>
      <c r="P2621" s="611" t="str">
        <f t="shared" si="343"/>
        <v>Page8!P</v>
      </c>
      <c r="Q2621" s="611">
        <f t="shared" si="344"/>
        <v>17</v>
      </c>
      <c r="R2621" s="1447">
        <f t="shared" ca="1" si="345"/>
        <v>0</v>
      </c>
      <c r="S2621" s="1447">
        <f t="shared" ca="1" si="346"/>
        <v>0</v>
      </c>
      <c r="V2621" s="2557" t="str">
        <f t="shared" ca="1" si="348"/>
        <v/>
      </c>
      <c r="W2621" s="611" t="str">
        <f t="shared" ca="1" si="347"/>
        <v>Page8, Ligne 14 [Page8!P17]  -</v>
      </c>
    </row>
    <row r="2622" spans="1:23">
      <c r="A2622" s="1443" t="str">
        <f>celladdr(Page8!P18)</f>
        <v>Page8!P18</v>
      </c>
      <c r="B2622" s="1464" t="s">
        <v>1086</v>
      </c>
      <c r="E2622" s="1451"/>
      <c r="G2622" s="1444" t="str">
        <f t="shared" si="342"/>
        <v/>
      </c>
      <c r="H2622" s="1446"/>
      <c r="I2622" s="1446"/>
      <c r="N2622" s="611" t="s">
        <v>1861</v>
      </c>
      <c r="O2622" s="611" t="str">
        <f t="shared" si="349"/>
        <v/>
      </c>
      <c r="P2622" s="611" t="str">
        <f t="shared" si="343"/>
        <v>Page8!P</v>
      </c>
      <c r="Q2622" s="611">
        <f t="shared" si="344"/>
        <v>18</v>
      </c>
      <c r="R2622" s="1447">
        <f t="shared" ca="1" si="345"/>
        <v>0</v>
      </c>
      <c r="S2622" s="1447">
        <f t="shared" ca="1" si="346"/>
        <v>0</v>
      </c>
      <c r="V2622" s="2557" t="str">
        <f t="shared" ca="1" si="348"/>
        <v/>
      </c>
      <c r="W2622" s="611" t="str">
        <f t="shared" ca="1" si="347"/>
        <v>Page8, Ligne 15 [Page8!P18]  -</v>
      </c>
    </row>
    <row r="2623" spans="1:23">
      <c r="A2623" s="1443" t="str">
        <f>celladdr(Page8!P19)</f>
        <v>Page8!P19</v>
      </c>
      <c r="B2623" s="1464" t="s">
        <v>1086</v>
      </c>
      <c r="E2623" s="1451"/>
      <c r="G2623" s="1444" t="str">
        <f t="shared" si="342"/>
        <v/>
      </c>
      <c r="H2623" s="1446"/>
      <c r="I2623" s="1446"/>
      <c r="N2623" s="611" t="s">
        <v>1862</v>
      </c>
      <c r="O2623" s="611" t="str">
        <f t="shared" si="349"/>
        <v/>
      </c>
      <c r="P2623" s="611" t="str">
        <f t="shared" si="343"/>
        <v>Page8!P</v>
      </c>
      <c r="Q2623" s="611">
        <f t="shared" si="344"/>
        <v>19</v>
      </c>
      <c r="R2623" s="1447">
        <f t="shared" ca="1" si="345"/>
        <v>0</v>
      </c>
      <c r="S2623" s="1447">
        <f t="shared" ca="1" si="346"/>
        <v>0</v>
      </c>
      <c r="V2623" s="2557" t="str">
        <f t="shared" ca="1" si="348"/>
        <v/>
      </c>
      <c r="W2623" s="611" t="str">
        <f t="shared" ca="1" si="347"/>
        <v>Page8, Ligne 16 [Page8!P19]  -</v>
      </c>
    </row>
    <row r="2624" spans="1:23">
      <c r="A2624" s="1443" t="str">
        <f>celladdr(Page8!P20)</f>
        <v>Page8!P20</v>
      </c>
      <c r="B2624" s="1464" t="s">
        <v>1086</v>
      </c>
      <c r="E2624" s="1451"/>
      <c r="G2624" s="1444" t="str">
        <f t="shared" si="342"/>
        <v/>
      </c>
      <c r="H2624" s="1446"/>
      <c r="I2624" s="1446"/>
      <c r="N2624" s="611" t="s">
        <v>1863</v>
      </c>
      <c r="O2624" s="611" t="str">
        <f t="shared" si="349"/>
        <v/>
      </c>
      <c r="P2624" s="611" t="str">
        <f t="shared" si="343"/>
        <v>Page8!P</v>
      </c>
      <c r="Q2624" s="611">
        <f t="shared" si="344"/>
        <v>20</v>
      </c>
      <c r="R2624" s="1447">
        <f t="shared" ca="1" si="345"/>
        <v>0</v>
      </c>
      <c r="S2624" s="1447">
        <f t="shared" ca="1" si="346"/>
        <v>0</v>
      </c>
      <c r="V2624" s="2557" t="str">
        <f t="shared" ca="1" si="348"/>
        <v/>
      </c>
      <c r="W2624" s="611" t="str">
        <f t="shared" ca="1" si="347"/>
        <v>Page8, Ligne 17 [Page8!P20]  -</v>
      </c>
    </row>
    <row r="2625" spans="1:23">
      <c r="A2625" s="1443" t="str">
        <f>celladdr(Page8!P21)</f>
        <v>Page8!P21</v>
      </c>
      <c r="B2625" s="1464" t="s">
        <v>1086</v>
      </c>
      <c r="E2625" s="1451"/>
      <c r="G2625" s="1444" t="str">
        <f t="shared" si="342"/>
        <v/>
      </c>
      <c r="H2625" s="1446"/>
      <c r="I2625" s="1446"/>
      <c r="N2625" s="611" t="s">
        <v>1864</v>
      </c>
      <c r="O2625" s="611" t="str">
        <f t="shared" si="349"/>
        <v/>
      </c>
      <c r="P2625" s="611" t="str">
        <f t="shared" si="343"/>
        <v>Page8!P</v>
      </c>
      <c r="Q2625" s="611">
        <f t="shared" si="344"/>
        <v>21</v>
      </c>
      <c r="R2625" s="1447">
        <f t="shared" ca="1" si="345"/>
        <v>0</v>
      </c>
      <c r="S2625" s="1447">
        <f t="shared" ca="1" si="346"/>
        <v>0</v>
      </c>
      <c r="V2625" s="2557" t="str">
        <f t="shared" ca="1" si="348"/>
        <v/>
      </c>
      <c r="W2625" s="611" t="str">
        <f t="shared" ca="1" si="347"/>
        <v>Page8, Ligne 18 [Page8!P21]  -</v>
      </c>
    </row>
    <row r="2626" spans="1:23">
      <c r="A2626" s="1443" t="str">
        <f>celladdr(Page8!P24)</f>
        <v>Page8!P24</v>
      </c>
      <c r="B2626" s="1464" t="s">
        <v>1086</v>
      </c>
      <c r="E2626" s="1451"/>
      <c r="G2626" s="1444" t="str">
        <f t="shared" ref="G2626:G2655" si="350">IF(H2626&amp;I2626&amp;J2626&amp;K2626&lt;&gt;"","No.de ref. du commentaire.: "&amp;W2626&amp;" "&amp;N2626&amp;" "&amp;H2626&amp;I2626&amp;IF(OR(C2626=TRUE,D2626=TRUE),"",J2626&amp;K2626&amp;V2626),"")</f>
        <v/>
      </c>
      <c r="H2626" s="1446"/>
      <c r="I2626" s="1446"/>
      <c r="N2626" s="611" t="s">
        <v>1865</v>
      </c>
      <c r="O2626" s="611" t="str">
        <f t="shared" si="349"/>
        <v/>
      </c>
      <c r="P2626" s="611" t="str">
        <f t="shared" ref="P2626:P2655" si="351">LEFT(A2626,FIND("!",A2626)+1)</f>
        <v>Page8!P</v>
      </c>
      <c r="Q2626" s="611">
        <f t="shared" ref="Q2626:Q2655" si="352">VALUE(RIGHT(A2626,LEN(A2626)-FIND("!",A2626)-1))</f>
        <v>24</v>
      </c>
      <c r="R2626" s="1447">
        <f t="shared" ref="R2626:R2655" ca="1" si="353">IF(E2626=TRUE,INDIRECT("Comments!$D$"&amp;T2626),0)</f>
        <v>0</v>
      </c>
      <c r="S2626" s="1447">
        <f t="shared" ref="S2626:S2655" ca="1" si="354">IF(F2626=TRUE,INDIRECT("Comments!$D$"&amp;U2626),0)</f>
        <v>0</v>
      </c>
      <c r="V2626" s="2557" t="str">
        <f t="shared" ca="1" si="348"/>
        <v/>
      </c>
      <c r="W2626" s="611" t="str">
        <f t="shared" ref="W2626:W2655" ca="1" si="355">LEFT(A2626,FIND("!",A2626,1)-1)&amp;", Ligne "&amp;INDIRECT(ADDRESS(ROW(INDIRECT(A2626)),IF(INDIRECT(ADDRESS(ROW(INDIRECT(A2626)),1,,,LEFT(A2626,FIND("!",A2626,1)-1)))="",2,1),,,LEFT(A2626,FIND("!",A2626,1)-1)))&amp;" ["&amp;A2626&amp;"] "&amp;" -"</f>
        <v>Page8, Ligne 21 [Page8!P24]  -</v>
      </c>
    </row>
    <row r="2627" spans="1:23">
      <c r="A2627" s="1443" t="str">
        <f>celladdr(Page8!P25)</f>
        <v>Page8!P25</v>
      </c>
      <c r="B2627" s="1464" t="s">
        <v>1086</v>
      </c>
      <c r="E2627" s="1451"/>
      <c r="G2627" s="1444" t="str">
        <f t="shared" si="350"/>
        <v/>
      </c>
      <c r="H2627" s="1446"/>
      <c r="I2627" s="1446"/>
      <c r="N2627" s="611" t="s">
        <v>1866</v>
      </c>
      <c r="O2627" s="611" t="str">
        <f t="shared" si="349"/>
        <v/>
      </c>
      <c r="P2627" s="611" t="str">
        <f t="shared" si="351"/>
        <v>Page8!P</v>
      </c>
      <c r="Q2627" s="611">
        <f t="shared" si="352"/>
        <v>25</v>
      </c>
      <c r="R2627" s="1447">
        <f t="shared" ca="1" si="353"/>
        <v>0</v>
      </c>
      <c r="S2627" s="1447">
        <f t="shared" ca="1" si="354"/>
        <v>0</v>
      </c>
      <c r="V2627" s="2557" t="str">
        <f t="shared" ca="1" si="348"/>
        <v/>
      </c>
      <c r="W2627" s="611" t="str">
        <f t="shared" ca="1" si="355"/>
        <v>Page8, Ligne 22 [Page8!P25]  -</v>
      </c>
    </row>
    <row r="2628" spans="1:23">
      <c r="A2628" s="1443" t="str">
        <f>celladdr(Page8!P26)</f>
        <v>Page8!P26</v>
      </c>
      <c r="B2628" s="1464" t="s">
        <v>1086</v>
      </c>
      <c r="E2628" s="1451"/>
      <c r="G2628" s="1444" t="str">
        <f t="shared" si="350"/>
        <v/>
      </c>
      <c r="H2628" s="1446"/>
      <c r="I2628" s="1446"/>
      <c r="N2628" s="611" t="s">
        <v>1867</v>
      </c>
      <c r="O2628" s="611" t="str">
        <f t="shared" si="349"/>
        <v/>
      </c>
      <c r="P2628" s="611" t="str">
        <f t="shared" si="351"/>
        <v>Page8!P</v>
      </c>
      <c r="Q2628" s="611">
        <f t="shared" si="352"/>
        <v>26</v>
      </c>
      <c r="R2628" s="1447">
        <f t="shared" ca="1" si="353"/>
        <v>0</v>
      </c>
      <c r="S2628" s="1447">
        <f t="shared" ca="1" si="354"/>
        <v>0</v>
      </c>
      <c r="V2628" s="2557" t="str">
        <f t="shared" ca="1" si="348"/>
        <v/>
      </c>
      <c r="W2628" s="611" t="str">
        <f t="shared" ca="1" si="355"/>
        <v>Page8, Ligne 23 [Page8!P26]  -</v>
      </c>
    </row>
    <row r="2629" spans="1:23">
      <c r="A2629" s="1443" t="str">
        <f>celladdr(Page8!P33)</f>
        <v>Page8!P33</v>
      </c>
      <c r="B2629" s="1464" t="s">
        <v>1086</v>
      </c>
      <c r="C2629" s="1451" t="b">
        <f>Page8!$P$33&lt;0</f>
        <v>0</v>
      </c>
      <c r="G2629" s="1444" t="str">
        <f t="shared" si="350"/>
        <v/>
      </c>
      <c r="H2629" s="1447" t="str">
        <f>IF(C2629=TRUE,Comments!$B$26,"")</f>
        <v/>
      </c>
      <c r="J2629" s="1446"/>
      <c r="N2629" s="611" t="s">
        <v>1868</v>
      </c>
      <c r="O2629" s="611" t="str">
        <f t="shared" si="349"/>
        <v/>
      </c>
      <c r="P2629" s="611" t="str">
        <f t="shared" si="351"/>
        <v>Page8!P</v>
      </c>
      <c r="Q2629" s="611">
        <f t="shared" si="352"/>
        <v>33</v>
      </c>
      <c r="R2629" s="1447">
        <f t="shared" ca="1" si="353"/>
        <v>0</v>
      </c>
      <c r="S2629" s="1447">
        <f t="shared" ca="1" si="354"/>
        <v>0</v>
      </c>
      <c r="V2629" s="2557" t="str">
        <f t="shared" ca="1" si="348"/>
        <v/>
      </c>
      <c r="W2629" s="611" t="str">
        <f t="shared" ca="1" si="355"/>
        <v>Page8, Ligne 30 [Page8!P33]  -</v>
      </c>
    </row>
    <row r="2630" spans="1:23">
      <c r="A2630" s="1443" t="str">
        <f>celladdr(Page8!P34)</f>
        <v>Page8!P34</v>
      </c>
      <c r="B2630" s="1464" t="s">
        <v>1086</v>
      </c>
      <c r="C2630" s="1451" t="b">
        <f>Page8!P34&lt;0</f>
        <v>0</v>
      </c>
      <c r="G2630" s="1444" t="str">
        <f t="shared" si="350"/>
        <v/>
      </c>
      <c r="H2630" s="1447" t="str">
        <f>IF(C2630=TRUE,Comments!$B$26,"")</f>
        <v/>
      </c>
      <c r="J2630" s="1446"/>
      <c r="N2630" s="611" t="s">
        <v>1869</v>
      </c>
      <c r="O2630" s="611" t="str">
        <f t="shared" si="349"/>
        <v/>
      </c>
      <c r="P2630" s="611" t="str">
        <f t="shared" si="351"/>
        <v>Page8!P</v>
      </c>
      <c r="Q2630" s="611">
        <f t="shared" si="352"/>
        <v>34</v>
      </c>
      <c r="R2630" s="1447">
        <f t="shared" ca="1" si="353"/>
        <v>0</v>
      </c>
      <c r="S2630" s="1447">
        <f t="shared" ca="1" si="354"/>
        <v>0</v>
      </c>
      <c r="V2630" s="2557" t="str">
        <f t="shared" ca="1" si="348"/>
        <v/>
      </c>
      <c r="W2630" s="611" t="str">
        <f t="shared" ca="1" si="355"/>
        <v>Page8, Ligne 31 [Page8!P34]  -</v>
      </c>
    </row>
    <row r="2631" spans="1:23">
      <c r="A2631" s="1443" t="str">
        <f>celladdr(Page8!P38)</f>
        <v>Page8!P38</v>
      </c>
      <c r="B2631" s="1464" t="s">
        <v>1086</v>
      </c>
      <c r="E2631" s="1445" t="b">
        <f>Page8!P38&lt;0</f>
        <v>0</v>
      </c>
      <c r="G2631" s="1444" t="str">
        <f t="shared" si="350"/>
        <v/>
      </c>
      <c r="J2631" s="1447" t="str">
        <f>IF(E2631=TRUE,Comments!$B$30,"")</f>
        <v/>
      </c>
      <c r="N2631" s="611" t="s">
        <v>1870</v>
      </c>
      <c r="O2631" s="611" t="str">
        <f t="shared" si="349"/>
        <v/>
      </c>
      <c r="P2631" s="611" t="str">
        <f t="shared" si="351"/>
        <v>Page8!P</v>
      </c>
      <c r="Q2631" s="611">
        <f t="shared" si="352"/>
        <v>38</v>
      </c>
      <c r="R2631" s="1447">
        <f t="shared" ca="1" si="353"/>
        <v>0</v>
      </c>
      <c r="S2631" s="1447">
        <f t="shared" ca="1" si="354"/>
        <v>0</v>
      </c>
      <c r="T2631" s="611">
        <v>30</v>
      </c>
      <c r="V2631" s="2557" t="str">
        <f t="shared" ref="V2631:V2655" ca="1" si="356">IF(SUM(R2631+S2631)=0,"","
*** "&amp;TEXT(SUM(R2631+S2631),"0,0")&amp;" Points de précision seront déduits suite à cette(ces) erreur(s) !")</f>
        <v/>
      </c>
      <c r="W2631" s="611" t="str">
        <f t="shared" ca="1" si="355"/>
        <v>Page8, Ligne 35 [Page8!P38]  -</v>
      </c>
    </row>
    <row r="2632" spans="1:23">
      <c r="A2632" s="1443" t="str">
        <f>celladdr(Page8!P39)</f>
        <v>Page8!P39</v>
      </c>
      <c r="B2632" s="1464" t="s">
        <v>1086</v>
      </c>
      <c r="E2632" s="1445" t="b">
        <f>Page8!P39&lt;0</f>
        <v>0</v>
      </c>
      <c r="G2632" s="1444" t="str">
        <f t="shared" si="350"/>
        <v/>
      </c>
      <c r="J2632" s="1447" t="str">
        <f>IF(E2632=TRUE,Comments!$B$30,"")</f>
        <v/>
      </c>
      <c r="N2632" s="611" t="s">
        <v>1871</v>
      </c>
      <c r="O2632" s="611" t="str">
        <f t="shared" si="349"/>
        <v/>
      </c>
      <c r="P2632" s="611" t="str">
        <f t="shared" si="351"/>
        <v>Page8!P</v>
      </c>
      <c r="Q2632" s="611">
        <f t="shared" si="352"/>
        <v>39</v>
      </c>
      <c r="R2632" s="1447">
        <f t="shared" ca="1" si="353"/>
        <v>0</v>
      </c>
      <c r="S2632" s="1447">
        <f t="shared" ca="1" si="354"/>
        <v>0</v>
      </c>
      <c r="T2632" s="611">
        <v>30</v>
      </c>
      <c r="V2632" s="2557" t="str">
        <f t="shared" ca="1" si="356"/>
        <v/>
      </c>
      <c r="W2632" s="611" t="str">
        <f t="shared" ca="1" si="355"/>
        <v>Page8, Ligne 36 [Page8!P39]  -</v>
      </c>
    </row>
    <row r="2633" spans="1:23">
      <c r="A2633" s="1443" t="str">
        <f>celladdr(Page8!P49)</f>
        <v>Page8!P49</v>
      </c>
      <c r="B2633" s="1464" t="s">
        <v>1086</v>
      </c>
      <c r="C2633" s="1454"/>
      <c r="G2633" s="1444" t="str">
        <f t="shared" si="350"/>
        <v/>
      </c>
      <c r="N2633" s="611" t="s">
        <v>1872</v>
      </c>
      <c r="O2633" s="611" t="str">
        <f t="shared" si="349"/>
        <v/>
      </c>
      <c r="P2633" s="611" t="str">
        <f t="shared" si="351"/>
        <v>Page8!P</v>
      </c>
      <c r="Q2633" s="611">
        <f t="shared" si="352"/>
        <v>49</v>
      </c>
      <c r="R2633" s="1447">
        <f t="shared" ca="1" si="353"/>
        <v>0</v>
      </c>
      <c r="S2633" s="1447">
        <f t="shared" ca="1" si="354"/>
        <v>0</v>
      </c>
      <c r="V2633" s="2557" t="str">
        <f t="shared" ca="1" si="356"/>
        <v/>
      </c>
      <c r="W2633" s="611" t="str">
        <f t="shared" ca="1" si="355"/>
        <v>Page8, Ligne 46 [Page8!P49]  -</v>
      </c>
    </row>
    <row r="2634" spans="1:23">
      <c r="A2634" s="1443" t="str">
        <f>celladdr(Page8!P50)</f>
        <v>Page8!P50</v>
      </c>
      <c r="B2634" s="1464" t="s">
        <v>1086</v>
      </c>
      <c r="C2634" s="1454" t="b">
        <f>OR(AND(Page8!N50&gt;0,Page8!P50=0),AND(Page8!O50&lt;&gt;0,Page8!P50=0),AND(Page8!P50&lt;&gt;0,OR(Page8!N50=0,Page8!O50=0)))</f>
        <v>0</v>
      </c>
      <c r="G2634" s="1444" t="str">
        <f t="shared" si="350"/>
        <v/>
      </c>
      <c r="H2634" s="1446" t="str">
        <f>IF(C2634=TRUE,Comments!$B$21,"")</f>
        <v/>
      </c>
      <c r="N2634" s="611" t="s">
        <v>1873</v>
      </c>
      <c r="O2634" s="611" t="str">
        <f t="shared" si="349"/>
        <v/>
      </c>
      <c r="P2634" s="611" t="str">
        <f t="shared" si="351"/>
        <v>Page8!P</v>
      </c>
      <c r="Q2634" s="611">
        <f t="shared" si="352"/>
        <v>50</v>
      </c>
      <c r="R2634" s="1447">
        <f t="shared" ca="1" si="353"/>
        <v>0</v>
      </c>
      <c r="S2634" s="1447">
        <f t="shared" ca="1" si="354"/>
        <v>0</v>
      </c>
      <c r="V2634" s="2557" t="str">
        <f t="shared" ca="1" si="356"/>
        <v/>
      </c>
      <c r="W2634" s="611" t="str">
        <f t="shared" ca="1" si="355"/>
        <v>Page8, Ligne 47 [Page8!P50]  -</v>
      </c>
    </row>
    <row r="2635" spans="1:23">
      <c r="A2635" s="1443" t="str">
        <f>celladdr(Page8!P51)</f>
        <v>Page8!P51</v>
      </c>
      <c r="B2635" s="1464" t="s">
        <v>1086</v>
      </c>
      <c r="C2635" s="1454" t="b">
        <f>OR(AND(Page8!N51&gt;0,Page8!P51=0),AND(Page8!O51&lt;&gt;0,Page8!P51=0),AND(Page8!P51&lt;&gt;0,OR(Page8!N51=0,Page8!O51=0)))</f>
        <v>0</v>
      </c>
      <c r="G2635" s="1444" t="str">
        <f t="shared" si="350"/>
        <v/>
      </c>
      <c r="H2635" s="1446" t="str">
        <f>IF(C2635=TRUE,Comments!$B$21,"")</f>
        <v/>
      </c>
      <c r="N2635" s="611" t="s">
        <v>1874</v>
      </c>
      <c r="O2635" s="611" t="str">
        <f t="shared" si="349"/>
        <v/>
      </c>
      <c r="P2635" s="611" t="str">
        <f t="shared" si="351"/>
        <v>Page8!P</v>
      </c>
      <c r="Q2635" s="611">
        <f t="shared" si="352"/>
        <v>51</v>
      </c>
      <c r="R2635" s="1447">
        <f t="shared" ca="1" si="353"/>
        <v>0</v>
      </c>
      <c r="S2635" s="1447">
        <f t="shared" ca="1" si="354"/>
        <v>0</v>
      </c>
      <c r="V2635" s="2557" t="str">
        <f t="shared" ca="1" si="356"/>
        <v/>
      </c>
      <c r="W2635" s="611" t="str">
        <f t="shared" ca="1" si="355"/>
        <v>Page8, Ligne 48 [Page8!P51]  -</v>
      </c>
    </row>
    <row r="2636" spans="1:23">
      <c r="A2636" s="1443" t="str">
        <f>celladdr(Page8!P52)</f>
        <v>Page8!P52</v>
      </c>
      <c r="B2636" s="1464" t="s">
        <v>1086</v>
      </c>
      <c r="C2636" s="1454" t="b">
        <f>OR(AND(Page8!N52&gt;0,Page8!P52=0),AND(Page8!O52&lt;&gt;0,Page8!P52=0),AND(Page8!P52&lt;&gt;0,OR(Page8!N52=0,Page8!O52=0)))</f>
        <v>0</v>
      </c>
      <c r="G2636" s="1444" t="str">
        <f t="shared" si="350"/>
        <v/>
      </c>
      <c r="H2636" s="1446" t="str">
        <f>IF(C2636=TRUE,Comments!$B$21,"")</f>
        <v/>
      </c>
      <c r="N2636" s="611" t="s">
        <v>1875</v>
      </c>
      <c r="O2636" s="611" t="str">
        <f t="shared" si="349"/>
        <v/>
      </c>
      <c r="P2636" s="611" t="str">
        <f t="shared" si="351"/>
        <v>Page8!P</v>
      </c>
      <c r="Q2636" s="611">
        <f t="shared" si="352"/>
        <v>52</v>
      </c>
      <c r="R2636" s="1447">
        <f t="shared" ca="1" si="353"/>
        <v>0</v>
      </c>
      <c r="S2636" s="1447">
        <f t="shared" ca="1" si="354"/>
        <v>0</v>
      </c>
      <c r="V2636" s="2557" t="str">
        <f t="shared" ca="1" si="356"/>
        <v/>
      </c>
      <c r="W2636" s="611" t="str">
        <f t="shared" ca="1" si="355"/>
        <v>Page8, Ligne 49 [Page8!P52]  -</v>
      </c>
    </row>
    <row r="2637" spans="1:23">
      <c r="A2637" s="1443" t="str">
        <f>celladdr(Page8!Q12)</f>
        <v>Page8!Q12</v>
      </c>
      <c r="B2637" s="1444" t="s">
        <v>1086</v>
      </c>
      <c r="E2637" s="1451" t="b">
        <f>IF(Page8!$Q$32=0,FALSE,OR(Page8!$Q$12/Page8!$Q$32&lt;INDEX(Min_Table,L2637),Page8!$Q$12/Page8!$Q$32&gt;INDEX(Max_Table,L2637)))</f>
        <v>0</v>
      </c>
      <c r="G2637" s="1444" t="str">
        <f t="shared" si="350"/>
        <v/>
      </c>
      <c r="J2637" s="1447" t="str">
        <f>IF(E2637=TRUE,Comments!$B$33&amp;DOLLAR(INDEX(Min_Table,L2637),0)&amp;Comments!$B$18&amp;DOLLAR(INDEX(Max_Table,L2637),0)&amp;Comments!$B$19&amp;DOLLAR(Page8!$Q$12/Page8!$Q$32,0),"")</f>
        <v/>
      </c>
      <c r="L2637" s="611">
        <f>ROW(OR_VEH!$A$654)</f>
        <v>654</v>
      </c>
      <c r="N2637" s="611" t="s">
        <v>1876</v>
      </c>
      <c r="O2637" s="611" t="str">
        <f t="shared" si="349"/>
        <v/>
      </c>
      <c r="P2637" s="611" t="str">
        <f t="shared" si="351"/>
        <v>Page8!Q</v>
      </c>
      <c r="Q2637" s="611">
        <f t="shared" si="352"/>
        <v>12</v>
      </c>
      <c r="R2637" s="1447">
        <f t="shared" ca="1" si="353"/>
        <v>0</v>
      </c>
      <c r="S2637" s="1447">
        <f t="shared" ca="1" si="354"/>
        <v>0</v>
      </c>
      <c r="T2637" s="611">
        <v>33</v>
      </c>
      <c r="V2637" s="2557" t="str">
        <f t="shared" ca="1" si="356"/>
        <v/>
      </c>
      <c r="W2637" s="611" t="str">
        <f t="shared" ca="1" si="355"/>
        <v>Page8, Ligne 9 [Page8!Q12]  -</v>
      </c>
    </row>
    <row r="2638" spans="1:23">
      <c r="A2638" s="1443" t="str">
        <f>celladdr(Page8!Q38)</f>
        <v>Page8!Q38</v>
      </c>
      <c r="B2638" s="1464" t="s">
        <v>1086</v>
      </c>
      <c r="E2638" s="1445" t="b">
        <f>Page8!Q38&lt;0</f>
        <v>0</v>
      </c>
      <c r="G2638" s="1444" t="str">
        <f t="shared" si="350"/>
        <v/>
      </c>
      <c r="J2638" s="1447" t="str">
        <f>IF(E2638=TRUE,Comments!$B$30,"")</f>
        <v/>
      </c>
      <c r="N2638" s="611" t="s">
        <v>1877</v>
      </c>
      <c r="O2638" s="611" t="str">
        <f t="shared" si="349"/>
        <v/>
      </c>
      <c r="P2638" s="611" t="str">
        <f t="shared" si="351"/>
        <v>Page8!Q</v>
      </c>
      <c r="Q2638" s="611">
        <f t="shared" si="352"/>
        <v>38</v>
      </c>
      <c r="R2638" s="1447">
        <f t="shared" ca="1" si="353"/>
        <v>0</v>
      </c>
      <c r="S2638" s="1447">
        <f t="shared" ca="1" si="354"/>
        <v>0</v>
      </c>
      <c r="T2638" s="611">
        <v>30</v>
      </c>
      <c r="V2638" s="2557" t="str">
        <f t="shared" ca="1" si="356"/>
        <v/>
      </c>
      <c r="W2638" s="611" t="str">
        <f t="shared" ca="1" si="355"/>
        <v>Page8, Ligne 35 [Page8!Q38]  -</v>
      </c>
    </row>
    <row r="2639" spans="1:23">
      <c r="A2639" s="1443" t="str">
        <f>celladdr(Page8!Q39)</f>
        <v>Page8!Q39</v>
      </c>
      <c r="B2639" s="1464" t="s">
        <v>1086</v>
      </c>
      <c r="E2639" s="1445" t="b">
        <f>Page8!Q39&lt;0</f>
        <v>0</v>
      </c>
      <c r="G2639" s="1444" t="str">
        <f t="shared" si="350"/>
        <v/>
      </c>
      <c r="J2639" s="1447" t="str">
        <f>IF(E2639=TRUE,Comments!$B$30,"")</f>
        <v/>
      </c>
      <c r="N2639" s="611" t="s">
        <v>1878</v>
      </c>
      <c r="O2639" s="611" t="str">
        <f t="shared" si="349"/>
        <v/>
      </c>
      <c r="P2639" s="611" t="str">
        <f t="shared" si="351"/>
        <v>Page8!Q</v>
      </c>
      <c r="Q2639" s="611">
        <f t="shared" si="352"/>
        <v>39</v>
      </c>
      <c r="R2639" s="1447">
        <f t="shared" ca="1" si="353"/>
        <v>0</v>
      </c>
      <c r="S2639" s="1447">
        <f t="shared" ca="1" si="354"/>
        <v>0</v>
      </c>
      <c r="T2639" s="611">
        <v>30</v>
      </c>
      <c r="V2639" s="2557" t="str">
        <f t="shared" ca="1" si="356"/>
        <v/>
      </c>
      <c r="W2639" s="611" t="str">
        <f t="shared" ca="1" si="355"/>
        <v>Page8, Ligne 36 [Page8!Q39]  -</v>
      </c>
    </row>
    <row r="2640" spans="1:23">
      <c r="A2640" s="1443" t="str">
        <f>celladdr(Page8!Q53)</f>
        <v>Page8!Q53</v>
      </c>
      <c r="B2640" s="1456" t="s">
        <v>1086</v>
      </c>
      <c r="G2640" s="1444" t="str">
        <f t="shared" si="350"/>
        <v/>
      </c>
      <c r="N2640" s="611" t="s">
        <v>1879</v>
      </c>
      <c r="O2640" s="611" t="str">
        <f t="shared" si="349"/>
        <v/>
      </c>
      <c r="P2640" s="611" t="str">
        <f t="shared" si="351"/>
        <v>Page8!Q</v>
      </c>
      <c r="Q2640" s="611">
        <f t="shared" si="352"/>
        <v>53</v>
      </c>
      <c r="R2640" s="1447">
        <f t="shared" ca="1" si="353"/>
        <v>0</v>
      </c>
      <c r="S2640" s="1447">
        <f t="shared" ca="1" si="354"/>
        <v>0</v>
      </c>
      <c r="V2640" s="2557" t="str">
        <f t="shared" ca="1" si="356"/>
        <v/>
      </c>
      <c r="W2640" s="611" t="str">
        <f t="shared" ca="1" si="355"/>
        <v>Page8, Ligne 51 [Page8!Q53]  -</v>
      </c>
    </row>
    <row r="2641" spans="1:23">
      <c r="A2641" s="1443" t="str">
        <f>celladdr(Page8!Q54)</f>
        <v>Page8!Q54</v>
      </c>
      <c r="B2641" s="1457" t="s">
        <v>1086</v>
      </c>
      <c r="C2641" s="1445" t="b">
        <f>Page8!$Q$54&lt;&gt;SUM(Page8!$Q$48:$Q$53)</f>
        <v>0</v>
      </c>
      <c r="D2641" s="1466"/>
      <c r="E2641" s="1450"/>
      <c r="F2641" s="1450"/>
      <c r="G2641" s="1444" t="str">
        <f t="shared" si="350"/>
        <v/>
      </c>
      <c r="H2641" s="1446" t="str">
        <f>IF(C2641=TRUE,Comments!$B$47&amp;DOLLAR(Page8!$Q$54-SUM(Page8!$Q$48:$Q$53),0),"")</f>
        <v/>
      </c>
      <c r="I2641" s="1446"/>
      <c r="J2641" s="1452"/>
      <c r="K2641" s="1446"/>
      <c r="N2641" s="611" t="s">
        <v>1880</v>
      </c>
      <c r="O2641" s="611" t="str">
        <f t="shared" si="349"/>
        <v/>
      </c>
      <c r="P2641" s="611" t="str">
        <f t="shared" si="351"/>
        <v>Page8!Q</v>
      </c>
      <c r="Q2641" s="611">
        <f t="shared" si="352"/>
        <v>54</v>
      </c>
      <c r="R2641" s="1447">
        <f t="shared" ca="1" si="353"/>
        <v>0</v>
      </c>
      <c r="S2641" s="1447">
        <f t="shared" ca="1" si="354"/>
        <v>0</v>
      </c>
      <c r="V2641" s="2557" t="str">
        <f t="shared" ca="1" si="356"/>
        <v/>
      </c>
      <c r="W2641" s="611" t="str">
        <f t="shared" ca="1" si="355"/>
        <v>Page8, Ligne 52 [Page8!Q54]  -</v>
      </c>
    </row>
    <row r="2642" spans="1:23">
      <c r="A2642" s="1443" t="str">
        <f>celladdr(Page8!R14)</f>
        <v>Page8!R14</v>
      </c>
      <c r="B2642" s="1464" t="s">
        <v>1086</v>
      </c>
      <c r="E2642" s="1451"/>
      <c r="G2642" s="1444" t="str">
        <f t="shared" si="350"/>
        <v/>
      </c>
      <c r="H2642" s="1446"/>
      <c r="I2642" s="1446"/>
      <c r="N2642" s="611" t="s">
        <v>1881</v>
      </c>
      <c r="O2642" s="611" t="str">
        <f t="shared" si="349"/>
        <v/>
      </c>
      <c r="P2642" s="611" t="str">
        <f t="shared" si="351"/>
        <v>Page8!R</v>
      </c>
      <c r="Q2642" s="611">
        <f t="shared" si="352"/>
        <v>14</v>
      </c>
      <c r="R2642" s="1447">
        <f t="shared" ca="1" si="353"/>
        <v>0</v>
      </c>
      <c r="S2642" s="1447">
        <f t="shared" ca="1" si="354"/>
        <v>0</v>
      </c>
      <c r="V2642" s="2557" t="str">
        <f t="shared" ca="1" si="356"/>
        <v/>
      </c>
      <c r="W2642" s="611" t="str">
        <f t="shared" ca="1" si="355"/>
        <v>Page8, Ligne 11 [Page8!R14]  -</v>
      </c>
    </row>
    <row r="2643" spans="1:23">
      <c r="A2643" s="1443" t="str">
        <f>celladdr(Page8!R15)</f>
        <v>Page8!R15</v>
      </c>
      <c r="B2643" s="1464" t="s">
        <v>1086</v>
      </c>
      <c r="E2643" s="1451"/>
      <c r="G2643" s="1444" t="str">
        <f t="shared" si="350"/>
        <v/>
      </c>
      <c r="H2643" s="1446"/>
      <c r="I2643" s="1446"/>
      <c r="N2643" s="611" t="s">
        <v>1882</v>
      </c>
      <c r="O2643" s="611" t="str">
        <f t="shared" ref="O2643:O2655" si="357">IF(A2643=A2642,"TRUE","")</f>
        <v/>
      </c>
      <c r="P2643" s="611" t="str">
        <f t="shared" si="351"/>
        <v>Page8!R</v>
      </c>
      <c r="Q2643" s="611">
        <f t="shared" si="352"/>
        <v>15</v>
      </c>
      <c r="R2643" s="1447">
        <f t="shared" ca="1" si="353"/>
        <v>0</v>
      </c>
      <c r="S2643" s="1447">
        <f t="shared" ca="1" si="354"/>
        <v>0</v>
      </c>
      <c r="V2643" s="2557" t="str">
        <f t="shared" ca="1" si="356"/>
        <v/>
      </c>
      <c r="W2643" s="611" t="str">
        <f t="shared" ca="1" si="355"/>
        <v>Page8, Ligne 12 [Page8!R15]  -</v>
      </c>
    </row>
    <row r="2644" spans="1:23">
      <c r="A2644" s="1443" t="str">
        <f>celladdr(Page8!R16)</f>
        <v>Page8!R16</v>
      </c>
      <c r="B2644" s="1464" t="s">
        <v>1086</v>
      </c>
      <c r="E2644" s="1451"/>
      <c r="G2644" s="1444" t="str">
        <f t="shared" si="350"/>
        <v/>
      </c>
      <c r="H2644" s="1446"/>
      <c r="I2644" s="1446"/>
      <c r="N2644" s="611" t="s">
        <v>1883</v>
      </c>
      <c r="O2644" s="611" t="str">
        <f t="shared" si="357"/>
        <v/>
      </c>
      <c r="P2644" s="611" t="str">
        <f t="shared" si="351"/>
        <v>Page8!R</v>
      </c>
      <c r="Q2644" s="611">
        <f t="shared" si="352"/>
        <v>16</v>
      </c>
      <c r="R2644" s="1447">
        <f t="shared" ca="1" si="353"/>
        <v>0</v>
      </c>
      <c r="S2644" s="1447">
        <f t="shared" ca="1" si="354"/>
        <v>0</v>
      </c>
      <c r="V2644" s="2557" t="str">
        <f t="shared" ca="1" si="356"/>
        <v/>
      </c>
      <c r="W2644" s="611" t="str">
        <f t="shared" ca="1" si="355"/>
        <v>Page8, Ligne 13 [Page8!R16]  -</v>
      </c>
    </row>
    <row r="2645" spans="1:23">
      <c r="A2645" s="1443" t="str">
        <f>celladdr(Page8!R17)</f>
        <v>Page8!R17</v>
      </c>
      <c r="B2645" s="1464" t="s">
        <v>1086</v>
      </c>
      <c r="E2645" s="1451"/>
      <c r="G2645" s="1444" t="str">
        <f t="shared" si="350"/>
        <v/>
      </c>
      <c r="H2645" s="1446"/>
      <c r="I2645" s="1446"/>
      <c r="N2645" s="611" t="s">
        <v>1884</v>
      </c>
      <c r="O2645" s="611" t="str">
        <f t="shared" si="357"/>
        <v/>
      </c>
      <c r="P2645" s="611" t="str">
        <f t="shared" si="351"/>
        <v>Page8!R</v>
      </c>
      <c r="Q2645" s="611">
        <f t="shared" si="352"/>
        <v>17</v>
      </c>
      <c r="R2645" s="1447">
        <f t="shared" ca="1" si="353"/>
        <v>0</v>
      </c>
      <c r="S2645" s="1447">
        <f t="shared" ca="1" si="354"/>
        <v>0</v>
      </c>
      <c r="V2645" s="2557" t="str">
        <f t="shared" ca="1" si="356"/>
        <v/>
      </c>
      <c r="W2645" s="611" t="str">
        <f t="shared" ca="1" si="355"/>
        <v>Page8, Ligne 14 [Page8!R17]  -</v>
      </c>
    </row>
    <row r="2646" spans="1:23">
      <c r="A2646" s="1443" t="str">
        <f>celladdr(Page8!R18)</f>
        <v>Page8!R18</v>
      </c>
      <c r="B2646" s="1464" t="s">
        <v>1086</v>
      </c>
      <c r="E2646" s="1451"/>
      <c r="G2646" s="1444" t="str">
        <f t="shared" si="350"/>
        <v/>
      </c>
      <c r="H2646" s="1446"/>
      <c r="I2646" s="1446"/>
      <c r="N2646" s="611" t="s">
        <v>1885</v>
      </c>
      <c r="O2646" s="611" t="str">
        <f t="shared" si="357"/>
        <v/>
      </c>
      <c r="P2646" s="611" t="str">
        <f t="shared" si="351"/>
        <v>Page8!R</v>
      </c>
      <c r="Q2646" s="611">
        <f t="shared" si="352"/>
        <v>18</v>
      </c>
      <c r="R2646" s="1447">
        <f t="shared" ca="1" si="353"/>
        <v>0</v>
      </c>
      <c r="S2646" s="1447">
        <f t="shared" ca="1" si="354"/>
        <v>0</v>
      </c>
      <c r="V2646" s="2557" t="str">
        <f t="shared" ca="1" si="356"/>
        <v/>
      </c>
      <c r="W2646" s="611" t="str">
        <f t="shared" ca="1" si="355"/>
        <v>Page8, Ligne 15 [Page8!R18]  -</v>
      </c>
    </row>
    <row r="2647" spans="1:23">
      <c r="A2647" s="1443" t="str">
        <f>celladdr(Page8!R19)</f>
        <v>Page8!R19</v>
      </c>
      <c r="B2647" s="1464" t="s">
        <v>1086</v>
      </c>
      <c r="E2647" s="1451"/>
      <c r="G2647" s="1444" t="str">
        <f t="shared" si="350"/>
        <v/>
      </c>
      <c r="H2647" s="1446"/>
      <c r="I2647" s="1446"/>
      <c r="N2647" s="611" t="s">
        <v>1886</v>
      </c>
      <c r="O2647" s="611" t="str">
        <f t="shared" si="357"/>
        <v/>
      </c>
      <c r="P2647" s="611" t="str">
        <f t="shared" si="351"/>
        <v>Page8!R</v>
      </c>
      <c r="Q2647" s="611">
        <f t="shared" si="352"/>
        <v>19</v>
      </c>
      <c r="R2647" s="1447">
        <f t="shared" ca="1" si="353"/>
        <v>0</v>
      </c>
      <c r="S2647" s="1447">
        <f t="shared" ca="1" si="354"/>
        <v>0</v>
      </c>
      <c r="V2647" s="2557" t="str">
        <f t="shared" ca="1" si="356"/>
        <v/>
      </c>
      <c r="W2647" s="611" t="str">
        <f t="shared" ca="1" si="355"/>
        <v>Page8, Ligne 16 [Page8!R19]  -</v>
      </c>
    </row>
    <row r="2648" spans="1:23">
      <c r="A2648" s="1443" t="str">
        <f>celladdr(Page8!R20)</f>
        <v>Page8!R20</v>
      </c>
      <c r="B2648" s="1464" t="s">
        <v>1086</v>
      </c>
      <c r="E2648" s="1451"/>
      <c r="G2648" s="1444" t="str">
        <f t="shared" si="350"/>
        <v/>
      </c>
      <c r="H2648" s="1446"/>
      <c r="I2648" s="1446"/>
      <c r="N2648" s="611" t="s">
        <v>1887</v>
      </c>
      <c r="O2648" s="611" t="str">
        <f t="shared" si="357"/>
        <v/>
      </c>
      <c r="P2648" s="611" t="str">
        <f t="shared" si="351"/>
        <v>Page8!R</v>
      </c>
      <c r="Q2648" s="611">
        <f t="shared" si="352"/>
        <v>20</v>
      </c>
      <c r="R2648" s="1447">
        <f t="shared" ca="1" si="353"/>
        <v>0</v>
      </c>
      <c r="S2648" s="1447">
        <f t="shared" ca="1" si="354"/>
        <v>0</v>
      </c>
      <c r="V2648" s="2557" t="str">
        <f t="shared" ca="1" si="356"/>
        <v/>
      </c>
      <c r="W2648" s="611" t="str">
        <f t="shared" ca="1" si="355"/>
        <v>Page8, Ligne 17 [Page8!R20]  -</v>
      </c>
    </row>
    <row r="2649" spans="1:23">
      <c r="A2649" s="1443" t="str">
        <f>celladdr(Page8!R21)</f>
        <v>Page8!R21</v>
      </c>
      <c r="B2649" s="1464" t="s">
        <v>1086</v>
      </c>
      <c r="E2649" s="1451"/>
      <c r="G2649" s="1444" t="str">
        <f t="shared" si="350"/>
        <v/>
      </c>
      <c r="H2649" s="1446"/>
      <c r="I2649" s="1446"/>
      <c r="N2649" s="611" t="s">
        <v>1888</v>
      </c>
      <c r="O2649" s="611" t="str">
        <f t="shared" si="357"/>
        <v/>
      </c>
      <c r="P2649" s="611" t="str">
        <f t="shared" si="351"/>
        <v>Page8!R</v>
      </c>
      <c r="Q2649" s="611">
        <f t="shared" si="352"/>
        <v>21</v>
      </c>
      <c r="R2649" s="1447">
        <f t="shared" ca="1" si="353"/>
        <v>0</v>
      </c>
      <c r="S2649" s="1447">
        <f t="shared" ca="1" si="354"/>
        <v>0</v>
      </c>
      <c r="V2649" s="2557" t="str">
        <f t="shared" ca="1" si="356"/>
        <v/>
      </c>
      <c r="W2649" s="611" t="str">
        <f t="shared" ca="1" si="355"/>
        <v>Page8, Ligne 18 [Page8!R21]  -</v>
      </c>
    </row>
    <row r="2650" spans="1:23">
      <c r="A2650" s="1443" t="str">
        <f>celladdr(Page8!R24)</f>
        <v>Page8!R24</v>
      </c>
      <c r="B2650" s="1464" t="s">
        <v>1086</v>
      </c>
      <c r="E2650" s="1451"/>
      <c r="G2650" s="1444" t="str">
        <f t="shared" si="350"/>
        <v/>
      </c>
      <c r="H2650" s="1446"/>
      <c r="I2650" s="1446"/>
      <c r="N2650" s="611" t="s">
        <v>1889</v>
      </c>
      <c r="O2650" s="611" t="str">
        <f t="shared" si="357"/>
        <v/>
      </c>
      <c r="P2650" s="611" t="str">
        <f t="shared" si="351"/>
        <v>Page8!R</v>
      </c>
      <c r="Q2650" s="611">
        <f t="shared" si="352"/>
        <v>24</v>
      </c>
      <c r="R2650" s="1447">
        <f t="shared" ca="1" si="353"/>
        <v>0</v>
      </c>
      <c r="S2650" s="1447">
        <f t="shared" ca="1" si="354"/>
        <v>0</v>
      </c>
      <c r="V2650" s="2557" t="str">
        <f t="shared" ca="1" si="356"/>
        <v/>
      </c>
      <c r="W2650" s="611" t="str">
        <f t="shared" ca="1" si="355"/>
        <v>Page8, Ligne 21 [Page8!R24]  -</v>
      </c>
    </row>
    <row r="2651" spans="1:23">
      <c r="A2651" s="1443" t="str">
        <f>celladdr(Page8!R25)</f>
        <v>Page8!R25</v>
      </c>
      <c r="B2651" s="1464" t="s">
        <v>1086</v>
      </c>
      <c r="E2651" s="1451"/>
      <c r="G2651" s="1444" t="str">
        <f t="shared" si="350"/>
        <v/>
      </c>
      <c r="H2651" s="1446"/>
      <c r="I2651" s="1446"/>
      <c r="N2651" s="611" t="s">
        <v>1890</v>
      </c>
      <c r="O2651" s="611" t="str">
        <f t="shared" si="357"/>
        <v/>
      </c>
      <c r="P2651" s="611" t="str">
        <f t="shared" si="351"/>
        <v>Page8!R</v>
      </c>
      <c r="Q2651" s="611">
        <f t="shared" si="352"/>
        <v>25</v>
      </c>
      <c r="R2651" s="1447">
        <f t="shared" ca="1" si="353"/>
        <v>0</v>
      </c>
      <c r="S2651" s="1447">
        <f t="shared" ca="1" si="354"/>
        <v>0</v>
      </c>
      <c r="V2651" s="2557" t="str">
        <f t="shared" ca="1" si="356"/>
        <v/>
      </c>
      <c r="W2651" s="611" t="str">
        <f t="shared" ca="1" si="355"/>
        <v>Page8, Ligne 22 [Page8!R25]  -</v>
      </c>
    </row>
    <row r="2652" spans="1:23">
      <c r="A2652" s="1443" t="str">
        <f>celladdr(Page8!R26)</f>
        <v>Page8!R26</v>
      </c>
      <c r="B2652" s="1464" t="s">
        <v>1086</v>
      </c>
      <c r="E2652" s="1451"/>
      <c r="G2652" s="1444" t="str">
        <f t="shared" si="350"/>
        <v/>
      </c>
      <c r="H2652" s="1446"/>
      <c r="I2652" s="1446"/>
      <c r="N2652" s="611" t="s">
        <v>1891</v>
      </c>
      <c r="O2652" s="611" t="str">
        <f t="shared" si="357"/>
        <v/>
      </c>
      <c r="P2652" s="611" t="str">
        <f t="shared" si="351"/>
        <v>Page8!R</v>
      </c>
      <c r="Q2652" s="611">
        <f t="shared" si="352"/>
        <v>26</v>
      </c>
      <c r="R2652" s="1447">
        <f t="shared" ca="1" si="353"/>
        <v>0</v>
      </c>
      <c r="S2652" s="1447">
        <f t="shared" ca="1" si="354"/>
        <v>0</v>
      </c>
      <c r="V2652" s="2557" t="str">
        <f t="shared" ca="1" si="356"/>
        <v/>
      </c>
      <c r="W2652" s="611" t="str">
        <f t="shared" ca="1" si="355"/>
        <v>Page8, Ligne 23 [Page8!R26]  -</v>
      </c>
    </row>
    <row r="2653" spans="1:23">
      <c r="A2653" s="1443" t="str">
        <f>celladdr(Page8!R33)</f>
        <v>Page8!R33</v>
      </c>
      <c r="B2653" s="1464" t="s">
        <v>1086</v>
      </c>
      <c r="E2653" s="1451"/>
      <c r="G2653" s="1444" t="str">
        <f t="shared" si="350"/>
        <v/>
      </c>
      <c r="H2653" s="1446"/>
      <c r="I2653" s="1446"/>
      <c r="N2653" s="611" t="s">
        <v>1892</v>
      </c>
      <c r="O2653" s="611" t="str">
        <f t="shared" si="357"/>
        <v/>
      </c>
      <c r="P2653" s="611" t="str">
        <f t="shared" si="351"/>
        <v>Page8!R</v>
      </c>
      <c r="Q2653" s="611">
        <f t="shared" si="352"/>
        <v>33</v>
      </c>
      <c r="R2653" s="1447">
        <f t="shared" ca="1" si="353"/>
        <v>0</v>
      </c>
      <c r="S2653" s="1447">
        <f t="shared" ca="1" si="354"/>
        <v>0</v>
      </c>
      <c r="V2653" s="2557" t="str">
        <f t="shared" ca="1" si="356"/>
        <v/>
      </c>
      <c r="W2653" s="611" t="str">
        <f t="shared" ca="1" si="355"/>
        <v>Page8, Ligne 30 [Page8!R33]  -</v>
      </c>
    </row>
    <row r="2654" spans="1:23">
      <c r="A2654" s="1443" t="str">
        <f>celladdr(Page8!R38)</f>
        <v>Page8!R38</v>
      </c>
      <c r="B2654" s="1464" t="s">
        <v>1086</v>
      </c>
      <c r="E2654" s="1445" t="b">
        <f>Page8!R38&lt;0</f>
        <v>0</v>
      </c>
      <c r="G2654" s="1444" t="str">
        <f t="shared" si="350"/>
        <v/>
      </c>
      <c r="J2654" s="1447" t="str">
        <f>IF(E2654=TRUE,Comments!$B$30,"")</f>
        <v/>
      </c>
      <c r="N2654" s="611" t="s">
        <v>1893</v>
      </c>
      <c r="O2654" s="611" t="str">
        <f t="shared" si="357"/>
        <v/>
      </c>
      <c r="P2654" s="611" t="str">
        <f t="shared" si="351"/>
        <v>Page8!R</v>
      </c>
      <c r="Q2654" s="611">
        <f t="shared" si="352"/>
        <v>38</v>
      </c>
      <c r="R2654" s="1447">
        <f t="shared" ca="1" si="353"/>
        <v>0</v>
      </c>
      <c r="S2654" s="1447">
        <f t="shared" ca="1" si="354"/>
        <v>0</v>
      </c>
      <c r="T2654" s="611">
        <v>30</v>
      </c>
      <c r="V2654" s="2557" t="str">
        <f t="shared" ca="1" si="356"/>
        <v/>
      </c>
      <c r="W2654" s="611" t="str">
        <f t="shared" ca="1" si="355"/>
        <v>Page8, Ligne 35 [Page8!R38]  -</v>
      </c>
    </row>
    <row r="2655" spans="1:23">
      <c r="A2655" s="1443" t="str">
        <f>celladdr(Page8!R39)</f>
        <v>Page8!R39</v>
      </c>
      <c r="B2655" s="1464" t="s">
        <v>1086</v>
      </c>
      <c r="E2655" s="1445" t="b">
        <f>Page8!R39&lt;0</f>
        <v>0</v>
      </c>
      <c r="G2655" s="1444" t="str">
        <f t="shared" si="350"/>
        <v/>
      </c>
      <c r="J2655" s="1447" t="str">
        <f>IF(E2655=TRUE,Comments!$B$30,"")</f>
        <v/>
      </c>
      <c r="N2655" s="611" t="s">
        <v>1894</v>
      </c>
      <c r="O2655" s="611" t="str">
        <f t="shared" si="357"/>
        <v/>
      </c>
      <c r="P2655" s="611" t="str">
        <f t="shared" si="351"/>
        <v>Page8!R</v>
      </c>
      <c r="Q2655" s="611">
        <f t="shared" si="352"/>
        <v>39</v>
      </c>
      <c r="R2655" s="1447">
        <f t="shared" ca="1" si="353"/>
        <v>0</v>
      </c>
      <c r="S2655" s="1447">
        <f t="shared" ca="1" si="354"/>
        <v>0</v>
      </c>
      <c r="T2655" s="611">
        <v>30</v>
      </c>
      <c r="V2655" s="2557" t="str">
        <f t="shared" ca="1" si="356"/>
        <v/>
      </c>
      <c r="W2655" s="611" t="str">
        <f t="shared" ca="1" si="355"/>
        <v>Page8, Ligne 36 [Page8!R39]  -</v>
      </c>
    </row>
    <row r="2656" spans="1:23">
      <c r="A2656" s="1443"/>
      <c r="G2656" s="1444"/>
    </row>
    <row r="2657" spans="1:7">
      <c r="A2657" s="1443"/>
      <c r="G2657" s="1444"/>
    </row>
    <row r="2658" spans="1:7">
      <c r="A2658" s="1443"/>
      <c r="G2658" s="1444"/>
    </row>
    <row r="2659" spans="1:7">
      <c r="A2659" s="1443"/>
      <c r="G2659" s="1444"/>
    </row>
    <row r="2660" spans="1:7">
      <c r="A2660" s="1443"/>
      <c r="G2660" s="1444"/>
    </row>
    <row r="2661" spans="1:7">
      <c r="A2661" s="1443"/>
      <c r="G2661" s="1444"/>
    </row>
    <row r="2662" spans="1:7">
      <c r="A2662" s="1443"/>
      <c r="G2662" s="1444"/>
    </row>
    <row r="2663" spans="1:7">
      <c r="A2663" s="1443"/>
      <c r="G2663" s="1444"/>
    </row>
    <row r="2664" spans="1:7">
      <c r="A2664" s="1443"/>
      <c r="G2664" s="1444"/>
    </row>
    <row r="2665" spans="1:7">
      <c r="A2665" s="1443"/>
      <c r="G2665" s="1444"/>
    </row>
    <row r="2666" spans="1:7">
      <c r="A2666" s="1443"/>
      <c r="G2666" s="1444"/>
    </row>
    <row r="2667" spans="1:7">
      <c r="A2667" s="1443"/>
      <c r="G2667" s="1444"/>
    </row>
    <row r="2668" spans="1:7">
      <c r="A2668" s="1443"/>
      <c r="G2668" s="1444"/>
    </row>
    <row r="2669" spans="1:7">
      <c r="A2669" s="1443"/>
      <c r="G2669" s="1444"/>
    </row>
    <row r="2670" spans="1:7">
      <c r="A2670" s="1443"/>
      <c r="G2670" s="1444"/>
    </row>
    <row r="2671" spans="1:7">
      <c r="A2671" s="1443"/>
      <c r="G2671" s="1444"/>
    </row>
    <row r="2672" spans="1:7">
      <c r="A2672" s="1443"/>
      <c r="G2672" s="1444"/>
    </row>
    <row r="2673" spans="1:18">
      <c r="A2673" s="1443"/>
      <c r="G2673" s="1444"/>
    </row>
    <row r="2674" spans="1:18">
      <c r="A2674" s="1443"/>
      <c r="G2674" s="1444"/>
    </row>
    <row r="2675" spans="1:18">
      <c r="A2675" s="1443"/>
      <c r="G2675" s="1444"/>
    </row>
    <row r="2676" spans="1:18">
      <c r="A2676" s="1443"/>
      <c r="G2676" s="1444"/>
    </row>
    <row r="2677" spans="1:18">
      <c r="A2677" s="1443"/>
      <c r="G2677" s="1444"/>
    </row>
    <row r="2678" spans="1:18">
      <c r="A2678" s="1443"/>
      <c r="G2678" s="1444"/>
    </row>
    <row r="2679" spans="1:18">
      <c r="A2679" s="1443"/>
      <c r="G2679" s="1444"/>
    </row>
    <row r="2680" spans="1:18">
      <c r="A2680" s="1443"/>
      <c r="G2680" s="1444"/>
    </row>
    <row r="2681" spans="1:18">
      <c r="A2681" s="611" t="s">
        <v>1895</v>
      </c>
      <c r="C2681" s="1445">
        <f>COUNTIF(C2:C2680,VRAI)</f>
        <v>0</v>
      </c>
      <c r="D2681" s="1445">
        <f>COUNTIF(D2:D2680,VRAI)</f>
        <v>0</v>
      </c>
      <c r="E2681" s="1445">
        <f>COUNTIF(E2:E2680,VRAI)</f>
        <v>0</v>
      </c>
      <c r="F2681" s="1445">
        <f>COUNTIF(F2:F2680,VRAI)</f>
        <v>0</v>
      </c>
    </row>
    <row r="2682" spans="1:18">
      <c r="A2682" s="611" t="s">
        <v>1896</v>
      </c>
      <c r="C2682" s="1445">
        <f>COUNTIF(C2:C2681,TRUE)</f>
        <v>0</v>
      </c>
      <c r="D2682" s="1445">
        <f>COUNTIF(D2:D2681,TRUE)</f>
        <v>0</v>
      </c>
      <c r="E2682" s="1445">
        <f>COUNTIF(E2:E2681,TRUE)</f>
        <v>5</v>
      </c>
      <c r="F2682" s="1445">
        <f>COUNTIF(F2:F2681,TRUE)</f>
        <v>1</v>
      </c>
      <c r="R2682" s="611">
        <f ca="1">IF(SUM(R3:S2681)&gt;OR_VEH!$C$707,OR_VEH!$C$707,SUM(R3:S2681))</f>
        <v>1000</v>
      </c>
    </row>
    <row r="2683" spans="1:18">
      <c r="A2683" s="611" t="s">
        <v>1897</v>
      </c>
      <c r="C2683" s="1445">
        <f>SUM(C2681:D2682)</f>
        <v>0</v>
      </c>
      <c r="E2683" s="1445">
        <f>SUM(E2681:F2682)</f>
        <v>6</v>
      </c>
    </row>
    <row r="2684" spans="1:18">
      <c r="A2684" s="611" t="s">
        <v>1898</v>
      </c>
      <c r="D2684" s="1445">
        <f>Tot_Crit_Errors+Tot_NonCrit_Errors</f>
        <v>6</v>
      </c>
    </row>
    <row r="2685" spans="1:18" ht="50">
      <c r="A2685" s="1469" t="str">
        <f>"Vos données N'ONT PAS été transmises à General Motors parce que  
"&amp;Tot_Crit_Errors&amp;" des ERREUR(S) IRRÉCUPÉRABLE(S) exist(ent)!
Refer to cells hightlighted in Red."</f>
        <v>Vos données N'ONT PAS été transmises à General Motors parce que  
0 des ERREUR(S) IRRÉCUPÉRABLE(S) exist(ent)!
Refer to cells hightlighted in Red.</v>
      </c>
    </row>
    <row r="2686" spans="1:18" ht="50">
      <c r="A2686" s="1469" t="s">
        <v>1899</v>
      </c>
    </row>
    <row r="2687" spans="1:18">
      <c r="A2687" s="1468"/>
    </row>
    <row r="2690" spans="1:7">
      <c r="G2690" s="8"/>
    </row>
    <row r="2691" spans="1:7">
      <c r="A2691" s="611" t="s">
        <v>1900</v>
      </c>
      <c r="B2691" s="611">
        <v>0</v>
      </c>
      <c r="C2691" s="1445">
        <v>1</v>
      </c>
    </row>
    <row r="2692" spans="1:7">
      <c r="A2692" s="611" t="s">
        <v>1901</v>
      </c>
      <c r="B2692" s="611" t="b">
        <v>1</v>
      </c>
    </row>
  </sheetData>
  <autoFilter ref="A1:V2655" xr:uid="{00000000-0009-0000-0000-000014000000}"/>
  <phoneticPr fontId="7" type="noConversion"/>
  <conditionalFormatting sqref="E2656:F2695 C79:C169 C2:D78 C171:C282 C286:C325 C329:C383 C386:C425 D79:D282 C1963:D2695 C430:C1962 D286:D1962">
    <cfRule type="cellIs" dxfId="7" priority="2" stopIfTrue="1" operator="equal">
      <formula>TRUE</formula>
    </cfRule>
  </conditionalFormatting>
  <conditionalFormatting sqref="C170 C426:C429 C326:C328 C384:C385 C283:D285 E2:F2655">
    <cfRule type="cellIs" dxfId="6" priority="3" stopIfTrue="1" operator="equal">
      <formula>TRUE</formula>
    </cfRule>
  </conditionalFormatting>
  <conditionalFormatting sqref="C103">
    <cfRule type="cellIs" dxfId="5" priority="1" stopIfTrue="1" operator="equal">
      <formula>TRUE</formula>
    </cfRule>
  </conditionalFormatting>
  <pageMargins left="0" right="0" top="0" bottom="0" header="0.5" footer="0.5"/>
  <pageSetup scale="33" fitToHeight="15" orientation="landscape"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
    <pageSetUpPr autoPageBreaks="0"/>
  </sheetPr>
  <dimension ref="A1:AT2971"/>
  <sheetViews>
    <sheetView showRowColHeaders="0" workbookViewId="0">
      <selection activeCell="AH12" sqref="AH12"/>
    </sheetView>
  </sheetViews>
  <sheetFormatPr baseColWidth="10" defaultColWidth="9.1796875" defaultRowHeight="10"/>
  <cols>
    <col min="1" max="1" width="10.54296875" style="611" customWidth="1"/>
    <col min="2" max="2" width="38.453125" style="611" customWidth="1"/>
    <col min="3" max="3" width="11.81640625" style="611" customWidth="1"/>
    <col min="4" max="5" width="12.1796875" style="1117" customWidth="1"/>
    <col min="6" max="6" width="26.81640625" style="611" bestFit="1" customWidth="1"/>
    <col min="7" max="7" width="11" style="611" bestFit="1" customWidth="1"/>
    <col min="8" max="8" width="11.81640625" style="611" bestFit="1" customWidth="1"/>
    <col min="9" max="10" width="15.1796875" style="611" customWidth="1"/>
    <col min="11" max="11" width="11.54296875" style="611" bestFit="1" customWidth="1"/>
    <col min="12" max="12" width="26.81640625" style="611" bestFit="1" customWidth="1"/>
    <col min="13" max="13" width="6.54296875" style="611" bestFit="1" customWidth="1"/>
    <col min="14" max="14" width="5.1796875" style="611" bestFit="1" customWidth="1"/>
    <col min="15" max="17" width="9.1796875" style="611" customWidth="1"/>
    <col min="18" max="16384" width="9.1796875" style="611"/>
  </cols>
  <sheetData>
    <row r="1" spans="1:46" ht="12.5">
      <c r="A1" s="1339" t="s">
        <v>894</v>
      </c>
      <c r="G1" s="1367" t="b">
        <v>1</v>
      </c>
      <c r="H1" s="1117" t="b">
        <v>1</v>
      </c>
      <c r="I1" s="1117" t="b">
        <v>0</v>
      </c>
      <c r="AI1" t="s">
        <v>15491</v>
      </c>
      <c r="AJ1" t="s">
        <v>15492</v>
      </c>
      <c r="AK1" s="2140"/>
      <c r="AL1" s="2140"/>
      <c r="AM1" s="2140"/>
      <c r="AN1" s="2140"/>
      <c r="AO1" s="2140"/>
      <c r="AP1" s="2140"/>
    </row>
    <row r="2" spans="1:46" ht="12.5">
      <c r="C2" s="29" t="s">
        <v>1902</v>
      </c>
      <c r="D2" s="1340" t="s">
        <v>1903</v>
      </c>
      <c r="E2" s="1341" t="s">
        <v>1904</v>
      </c>
      <c r="F2" s="1369" t="s">
        <v>1905</v>
      </c>
      <c r="G2" s="1370" t="s">
        <v>1906</v>
      </c>
      <c r="H2" s="1371" t="s">
        <v>1903</v>
      </c>
      <c r="I2" s="1372" t="s">
        <v>1904</v>
      </c>
      <c r="K2" s="1369" t="s">
        <v>1906</v>
      </c>
      <c r="L2" s="1373" t="s">
        <v>1907</v>
      </c>
      <c r="M2" s="1374" t="s">
        <v>1903</v>
      </c>
      <c r="N2" s="1375" t="s">
        <v>1904</v>
      </c>
      <c r="AI2" t="s">
        <v>15491</v>
      </c>
      <c r="AJ2" t="s">
        <v>15498</v>
      </c>
      <c r="AK2" s="2140"/>
      <c r="AL2" s="2140"/>
      <c r="AM2" s="2140"/>
      <c r="AN2" s="2140"/>
      <c r="AO2" s="2140"/>
      <c r="AP2" s="2140"/>
    </row>
    <row r="3" spans="1:46" ht="12.5">
      <c r="B3" s="5" t="s">
        <v>1908</v>
      </c>
      <c r="C3" s="6" t="s">
        <v>1909</v>
      </c>
      <c r="D3" s="1343"/>
      <c r="E3" s="1344">
        <v>1</v>
      </c>
      <c r="F3" s="1376"/>
      <c r="G3" s="1377" t="s">
        <v>1910</v>
      </c>
      <c r="H3" s="1117"/>
      <c r="I3" s="1378"/>
      <c r="K3" s="1376" t="s">
        <v>1910</v>
      </c>
      <c r="L3" s="1379"/>
      <c r="M3" s="1380"/>
      <c r="N3" s="1381"/>
      <c r="AA3">
        <v>1</v>
      </c>
      <c r="AB3">
        <v>2.2200000000000002</v>
      </c>
      <c r="AC3">
        <v>2.2200000000000002</v>
      </c>
      <c r="AE3">
        <v>3471</v>
      </c>
      <c r="AF3">
        <v>0</v>
      </c>
      <c r="AG3">
        <v>1</v>
      </c>
      <c r="AI3" t="s">
        <v>15491</v>
      </c>
      <c r="AJ3" t="s">
        <v>15500</v>
      </c>
      <c r="AK3" s="2140"/>
      <c r="AL3" t="s">
        <v>15493</v>
      </c>
      <c r="AM3">
        <v>38</v>
      </c>
      <c r="AN3">
        <v>37</v>
      </c>
      <c r="AO3">
        <v>10</v>
      </c>
      <c r="AP3">
        <v>4585</v>
      </c>
      <c r="AS3">
        <v>11</v>
      </c>
      <c r="AT3">
        <v>844000</v>
      </c>
    </row>
    <row r="4" spans="1:46" ht="12.5">
      <c r="B4" s="5" t="s">
        <v>1911</v>
      </c>
      <c r="C4" s="6" t="s">
        <v>1912</v>
      </c>
      <c r="D4" s="1343"/>
      <c r="E4" s="1344">
        <v>1</v>
      </c>
      <c r="F4" s="1382"/>
      <c r="G4" s="1377" t="s">
        <v>1913</v>
      </c>
      <c r="H4" s="1117"/>
      <c r="I4" s="1378"/>
      <c r="K4" s="1383" t="s">
        <v>1914</v>
      </c>
      <c r="L4" s="1380"/>
      <c r="M4" s="1380"/>
      <c r="N4" s="1381"/>
      <c r="AA4">
        <v>2</v>
      </c>
      <c r="AB4">
        <v>319719</v>
      </c>
      <c r="AC4">
        <v>319719</v>
      </c>
      <c r="AE4">
        <v>3493</v>
      </c>
      <c r="AF4">
        <v>1</v>
      </c>
      <c r="AG4">
        <v>2</v>
      </c>
      <c r="AI4" t="s">
        <v>15491</v>
      </c>
      <c r="AJ4" t="s">
        <v>15502</v>
      </c>
      <c r="AK4" s="2140"/>
      <c r="AL4" t="s">
        <v>15499</v>
      </c>
      <c r="AM4">
        <v>53</v>
      </c>
      <c r="AN4">
        <v>39</v>
      </c>
      <c r="AO4">
        <v>9</v>
      </c>
      <c r="AP4">
        <v>103456</v>
      </c>
      <c r="AS4">
        <v>12</v>
      </c>
      <c r="AT4">
        <v>0</v>
      </c>
    </row>
    <row r="5" spans="1:46" ht="12.5">
      <c r="B5" s="5" t="s">
        <v>1915</v>
      </c>
      <c r="C5" s="6" t="s">
        <v>1916</v>
      </c>
      <c r="D5" s="1343"/>
      <c r="E5" s="1490">
        <f>E2461</f>
        <v>2025</v>
      </c>
      <c r="F5" s="1384"/>
      <c r="G5" s="1385"/>
      <c r="H5" s="1386"/>
      <c r="I5" s="1387"/>
      <c r="K5" s="1388"/>
      <c r="L5" s="1389"/>
      <c r="M5" s="1389"/>
      <c r="N5" s="1390"/>
      <c r="AA5">
        <v>3</v>
      </c>
      <c r="AB5">
        <v>1600</v>
      </c>
      <c r="AC5">
        <v>1600</v>
      </c>
      <c r="AE5">
        <v>3494</v>
      </c>
      <c r="AF5">
        <v>2</v>
      </c>
      <c r="AG5">
        <v>5</v>
      </c>
      <c r="AI5" t="s">
        <v>15491</v>
      </c>
      <c r="AJ5" t="s">
        <v>15494</v>
      </c>
      <c r="AK5" s="2140"/>
      <c r="AL5" t="s">
        <v>15501</v>
      </c>
      <c r="AM5">
        <v>65</v>
      </c>
      <c r="AN5">
        <v>56</v>
      </c>
      <c r="AO5">
        <v>17</v>
      </c>
      <c r="AP5">
        <v>232589</v>
      </c>
      <c r="AS5">
        <v>8446</v>
      </c>
      <c r="AT5">
        <v>998</v>
      </c>
    </row>
    <row r="6" spans="1:46" ht="12.5">
      <c r="B6" s="5" t="s">
        <v>1917</v>
      </c>
      <c r="C6" s="6" t="s">
        <v>1918</v>
      </c>
      <c r="D6" s="1345">
        <v>0</v>
      </c>
      <c r="E6" s="1346">
        <v>1</v>
      </c>
      <c r="F6" s="1342" t="s">
        <v>1919</v>
      </c>
      <c r="G6" s="1408">
        <v>332</v>
      </c>
      <c r="H6" s="1353">
        <f>M317</f>
        <v>0</v>
      </c>
      <c r="I6" s="1353">
        <f>N317</f>
        <v>0</v>
      </c>
      <c r="K6" s="1391">
        <v>1</v>
      </c>
      <c r="L6" s="1391" t="s">
        <v>1920</v>
      </c>
      <c r="AA6">
        <v>6</v>
      </c>
      <c r="AB6">
        <v>1</v>
      </c>
      <c r="AC6">
        <v>1</v>
      </c>
      <c r="AE6">
        <v>3495</v>
      </c>
      <c r="AF6">
        <v>0</v>
      </c>
      <c r="AG6">
        <v>3</v>
      </c>
      <c r="AI6" t="s">
        <v>15491</v>
      </c>
      <c r="AJ6" t="s">
        <v>15505</v>
      </c>
      <c r="AK6" s="2140"/>
      <c r="AL6" t="s">
        <v>15503</v>
      </c>
      <c r="AM6" t="s">
        <v>15494</v>
      </c>
      <c r="AN6" t="s">
        <v>15494</v>
      </c>
      <c r="AO6" t="s">
        <v>15494</v>
      </c>
      <c r="AP6" t="s">
        <v>15494</v>
      </c>
    </row>
    <row r="7" spans="1:46" ht="12.5">
      <c r="B7" s="5" t="s">
        <v>1921</v>
      </c>
      <c r="C7" s="6" t="s">
        <v>1922</v>
      </c>
      <c r="D7" s="1345">
        <v>0</v>
      </c>
      <c r="E7" s="1346">
        <v>3</v>
      </c>
      <c r="F7" s="1342" t="s">
        <v>1923</v>
      </c>
      <c r="G7" s="1408">
        <v>334</v>
      </c>
      <c r="H7" s="1353">
        <f>M319</f>
        <v>0</v>
      </c>
      <c r="I7" s="1353">
        <f>N319</f>
        <v>0</v>
      </c>
      <c r="K7" s="1391">
        <v>2</v>
      </c>
      <c r="L7" s="1391" t="s">
        <v>1924</v>
      </c>
      <c r="AA7">
        <v>7</v>
      </c>
      <c r="AB7">
        <v>1</v>
      </c>
      <c r="AC7">
        <v>1</v>
      </c>
      <c r="AE7">
        <v>3496</v>
      </c>
      <c r="AF7">
        <v>9</v>
      </c>
      <c r="AG7">
        <v>15</v>
      </c>
      <c r="AI7" t="s">
        <v>15491</v>
      </c>
      <c r="AJ7" t="s">
        <v>15507</v>
      </c>
      <c r="AK7" s="2140"/>
      <c r="AL7" t="s">
        <v>15504</v>
      </c>
      <c r="AM7" t="s">
        <v>15494</v>
      </c>
      <c r="AN7" t="s">
        <v>15494</v>
      </c>
      <c r="AO7" t="s">
        <v>15494</v>
      </c>
      <c r="AP7" t="s">
        <v>15494</v>
      </c>
    </row>
    <row r="8" spans="1:46" ht="12.5">
      <c r="B8" s="5" t="s">
        <v>1925</v>
      </c>
      <c r="C8" s="6" t="s">
        <v>1926</v>
      </c>
      <c r="D8" s="1345">
        <v>0</v>
      </c>
      <c r="E8" s="1346">
        <v>0</v>
      </c>
      <c r="F8" s="2223" t="s">
        <v>1927</v>
      </c>
      <c r="G8" s="1408">
        <v>100181</v>
      </c>
      <c r="H8" s="1353">
        <f>M2710</f>
        <v>0</v>
      </c>
      <c r="I8" s="1353">
        <f>N2710</f>
        <v>0</v>
      </c>
      <c r="K8" s="1391">
        <v>3</v>
      </c>
      <c r="L8" s="1391" t="s">
        <v>1928</v>
      </c>
      <c r="AA8">
        <v>9</v>
      </c>
      <c r="AB8">
        <v>422000</v>
      </c>
      <c r="AC8">
        <v>422000</v>
      </c>
      <c r="AE8">
        <v>3497</v>
      </c>
      <c r="AF8">
        <v>1</v>
      </c>
      <c r="AG8">
        <v>2</v>
      </c>
      <c r="AI8" t="s">
        <v>15491</v>
      </c>
      <c r="AJ8" t="s">
        <v>15509</v>
      </c>
      <c r="AK8" s="2140"/>
      <c r="AL8" t="s">
        <v>15506</v>
      </c>
      <c r="AM8" t="s">
        <v>15494</v>
      </c>
      <c r="AN8" t="s">
        <v>15494</v>
      </c>
      <c r="AO8" t="s">
        <v>15494</v>
      </c>
      <c r="AP8" t="s">
        <v>15494</v>
      </c>
    </row>
    <row r="9" spans="1:46" ht="12.5">
      <c r="B9" s="5" t="s">
        <v>1929</v>
      </c>
      <c r="C9" s="6" t="s">
        <v>1930</v>
      </c>
      <c r="D9" s="1345">
        <v>0</v>
      </c>
      <c r="E9" s="1346">
        <v>58</v>
      </c>
      <c r="F9" s="1342" t="s">
        <v>1931</v>
      </c>
      <c r="G9" s="1408">
        <v>336</v>
      </c>
      <c r="H9" s="1353">
        <f>M321</f>
        <v>0</v>
      </c>
      <c r="I9" s="1353">
        <f>N321</f>
        <v>0</v>
      </c>
      <c r="K9" s="1391">
        <v>4</v>
      </c>
      <c r="L9" s="1391" t="s">
        <v>1932</v>
      </c>
      <c r="AA9">
        <v>10</v>
      </c>
      <c r="AB9">
        <v>1338470</v>
      </c>
      <c r="AC9">
        <v>1338470</v>
      </c>
      <c r="AE9">
        <v>3499</v>
      </c>
      <c r="AF9">
        <v>2</v>
      </c>
      <c r="AG9">
        <v>3</v>
      </c>
      <c r="AI9" s="2140"/>
      <c r="AJ9" s="2140"/>
      <c r="AK9" s="2140"/>
      <c r="AL9" t="s">
        <v>15508</v>
      </c>
      <c r="AM9" t="s">
        <v>15494</v>
      </c>
      <c r="AN9" t="s">
        <v>15494</v>
      </c>
      <c r="AO9" t="s">
        <v>15494</v>
      </c>
      <c r="AP9" t="s">
        <v>15494</v>
      </c>
    </row>
    <row r="10" spans="1:46" ht="12.5">
      <c r="B10" s="5" t="s">
        <v>1933</v>
      </c>
      <c r="C10" s="6" t="s">
        <v>1934</v>
      </c>
      <c r="D10" s="1345">
        <v>0</v>
      </c>
      <c r="E10" s="1346">
        <v>0</v>
      </c>
      <c r="F10" s="2223" t="s">
        <v>1935</v>
      </c>
      <c r="G10" s="1408">
        <v>100189</v>
      </c>
      <c r="H10" s="1353">
        <f>M2718</f>
        <v>0</v>
      </c>
      <c r="I10" s="1353">
        <f>N2718</f>
        <v>0</v>
      </c>
      <c r="K10" s="1391">
        <v>5</v>
      </c>
      <c r="L10" s="1391" t="s">
        <v>1936</v>
      </c>
      <c r="AA10">
        <v>11</v>
      </c>
      <c r="AB10">
        <v>844000</v>
      </c>
      <c r="AC10">
        <v>844000</v>
      </c>
      <c r="AE10">
        <v>3526</v>
      </c>
      <c r="AF10">
        <v>0</v>
      </c>
      <c r="AG10">
        <v>1</v>
      </c>
      <c r="AH10">
        <v>202504</v>
      </c>
      <c r="AI10" t="s">
        <v>15494</v>
      </c>
      <c r="AJ10">
        <v>24593020</v>
      </c>
      <c r="AK10">
        <v>44724.833333333336</v>
      </c>
      <c r="AL10" t="s">
        <v>15510</v>
      </c>
      <c r="AM10" t="s">
        <v>15494</v>
      </c>
      <c r="AN10" t="s">
        <v>15494</v>
      </c>
      <c r="AO10" t="s">
        <v>15494</v>
      </c>
      <c r="AP10" t="s">
        <v>15494</v>
      </c>
    </row>
    <row r="11" spans="1:46" ht="12.5">
      <c r="B11" s="5" t="s">
        <v>1937</v>
      </c>
      <c r="C11" s="6" t="s">
        <v>1938</v>
      </c>
      <c r="D11" s="1345">
        <v>0</v>
      </c>
      <c r="E11" s="1346">
        <v>0</v>
      </c>
      <c r="F11" s="1342" t="s">
        <v>1939</v>
      </c>
      <c r="G11" s="1408">
        <v>338</v>
      </c>
      <c r="H11" s="1353">
        <f t="shared" ref="H11:I13" si="0">M323</f>
        <v>0</v>
      </c>
      <c r="I11" s="1353">
        <f t="shared" si="0"/>
        <v>0</v>
      </c>
      <c r="K11" s="1391">
        <v>6</v>
      </c>
      <c r="L11" s="1391" t="s">
        <v>1940</v>
      </c>
      <c r="AA11">
        <v>13</v>
      </c>
      <c r="AB11">
        <v>131.5</v>
      </c>
      <c r="AC11">
        <v>131.5</v>
      </c>
      <c r="AE11">
        <v>3527</v>
      </c>
      <c r="AF11">
        <v>1</v>
      </c>
      <c r="AG11">
        <v>4</v>
      </c>
      <c r="AL11" t="s">
        <v>15511</v>
      </c>
      <c r="AM11" t="s">
        <v>15494</v>
      </c>
      <c r="AN11" t="s">
        <v>15494</v>
      </c>
      <c r="AO11" t="s">
        <v>15494</v>
      </c>
      <c r="AP11" t="s">
        <v>15494</v>
      </c>
    </row>
    <row r="12" spans="1:46" ht="12.5">
      <c r="B12" s="5" t="s">
        <v>1941</v>
      </c>
      <c r="C12" s="6" t="s">
        <v>1942</v>
      </c>
      <c r="D12" s="1345">
        <v>0</v>
      </c>
      <c r="E12" s="1346">
        <v>0</v>
      </c>
      <c r="F12" s="1342" t="s">
        <v>1943</v>
      </c>
      <c r="G12" s="1408">
        <v>339</v>
      </c>
      <c r="H12" s="1353">
        <f t="shared" si="0"/>
        <v>0</v>
      </c>
      <c r="I12" s="1353">
        <f t="shared" si="0"/>
        <v>0</v>
      </c>
      <c r="K12" s="1391">
        <v>7</v>
      </c>
      <c r="L12" s="1391" t="s">
        <v>1944</v>
      </c>
      <c r="AA12">
        <v>14</v>
      </c>
      <c r="AB12">
        <v>131.5</v>
      </c>
      <c r="AC12">
        <v>131.5</v>
      </c>
      <c r="AE12">
        <v>3528</v>
      </c>
      <c r="AF12">
        <v>1</v>
      </c>
      <c r="AG12">
        <v>3</v>
      </c>
      <c r="AH12" t="s">
        <v>15495</v>
      </c>
      <c r="AL12" t="s">
        <v>15512</v>
      </c>
      <c r="AM12" t="s">
        <v>15494</v>
      </c>
      <c r="AN12" t="s">
        <v>15494</v>
      </c>
      <c r="AO12" t="s">
        <v>15494</v>
      </c>
      <c r="AP12" t="s">
        <v>15494</v>
      </c>
    </row>
    <row r="13" spans="1:46" ht="12.5">
      <c r="B13" s="5" t="s">
        <v>1921</v>
      </c>
      <c r="C13" s="6" t="s">
        <v>1945</v>
      </c>
      <c r="D13" s="1345">
        <v>0</v>
      </c>
      <c r="E13" s="1346">
        <v>101989</v>
      </c>
      <c r="F13" s="1342" t="s">
        <v>1946</v>
      </c>
      <c r="G13" s="1408">
        <v>340</v>
      </c>
      <c r="H13" s="1353">
        <f t="shared" si="0"/>
        <v>0</v>
      </c>
      <c r="I13" s="1353">
        <f t="shared" si="0"/>
        <v>0</v>
      </c>
      <c r="K13" s="1391">
        <v>8</v>
      </c>
      <c r="L13" s="1391" t="s">
        <v>1947</v>
      </c>
      <c r="AA13">
        <v>15</v>
      </c>
      <c r="AB13">
        <v>131.5</v>
      </c>
      <c r="AC13">
        <v>131.5</v>
      </c>
      <c r="AE13">
        <v>3595</v>
      </c>
      <c r="AF13">
        <v>1</v>
      </c>
      <c r="AG13">
        <v>1</v>
      </c>
      <c r="AL13" t="s">
        <v>15513</v>
      </c>
      <c r="AM13" t="s">
        <v>15494</v>
      </c>
      <c r="AN13" t="s">
        <v>15494</v>
      </c>
      <c r="AO13" t="s">
        <v>15494</v>
      </c>
      <c r="AP13" t="s">
        <v>15494</v>
      </c>
    </row>
    <row r="14" spans="1:46" ht="12.65" customHeight="1">
      <c r="B14" s="5" t="s">
        <v>1925</v>
      </c>
      <c r="C14" s="6" t="s">
        <v>1948</v>
      </c>
      <c r="D14" s="1345">
        <v>0</v>
      </c>
      <c r="E14" s="1346">
        <v>0</v>
      </c>
      <c r="F14" s="2223" t="s">
        <v>1949</v>
      </c>
      <c r="G14" s="1408">
        <v>100182</v>
      </c>
      <c r="H14" s="1353">
        <f>M2711</f>
        <v>0</v>
      </c>
      <c r="I14" s="1353">
        <f>N2711</f>
        <v>0</v>
      </c>
      <c r="K14" s="1391">
        <v>9</v>
      </c>
      <c r="L14" s="1391" t="s">
        <v>1950</v>
      </c>
      <c r="AA14">
        <v>19</v>
      </c>
      <c r="AB14">
        <v>94.4</v>
      </c>
      <c r="AC14">
        <v>94.4</v>
      </c>
      <c r="AE14">
        <v>3597</v>
      </c>
      <c r="AF14">
        <v>1</v>
      </c>
      <c r="AG14">
        <v>1</v>
      </c>
      <c r="AL14" t="s">
        <v>15514</v>
      </c>
      <c r="AM14" t="s">
        <v>15494</v>
      </c>
      <c r="AN14" t="s">
        <v>15494</v>
      </c>
      <c r="AO14" t="s">
        <v>15494</v>
      </c>
      <c r="AP14" t="s">
        <v>15494</v>
      </c>
    </row>
    <row r="15" spans="1:46" ht="12.65" customHeight="1">
      <c r="B15" s="5" t="s">
        <v>1929</v>
      </c>
      <c r="C15" s="6" t="s">
        <v>1951</v>
      </c>
      <c r="D15" s="1345">
        <v>0</v>
      </c>
      <c r="E15" s="1346">
        <v>10026181</v>
      </c>
      <c r="F15" s="1342" t="s">
        <v>1952</v>
      </c>
      <c r="G15" s="1408">
        <v>341</v>
      </c>
      <c r="H15" s="1353">
        <f>M326</f>
        <v>0</v>
      </c>
      <c r="I15" s="1353">
        <f>N326</f>
        <v>0</v>
      </c>
      <c r="K15" s="1391">
        <v>10</v>
      </c>
      <c r="L15" s="1391" t="s">
        <v>1953</v>
      </c>
      <c r="AA15">
        <v>20</v>
      </c>
      <c r="AB15">
        <v>131.5</v>
      </c>
      <c r="AC15">
        <v>131.5</v>
      </c>
      <c r="AE15">
        <v>3599</v>
      </c>
      <c r="AF15">
        <v>2</v>
      </c>
      <c r="AG15">
        <v>2</v>
      </c>
    </row>
    <row r="16" spans="1:46" ht="12.65" customHeight="1">
      <c r="B16" s="5" t="s">
        <v>1933</v>
      </c>
      <c r="C16" s="6" t="s">
        <v>1954</v>
      </c>
      <c r="D16" s="1345">
        <v>0</v>
      </c>
      <c r="E16" s="1346">
        <v>0</v>
      </c>
      <c r="F16" s="2223" t="s">
        <v>1955</v>
      </c>
      <c r="G16" s="1408">
        <v>100190</v>
      </c>
      <c r="H16" s="1353">
        <f>M2719</f>
        <v>0</v>
      </c>
      <c r="I16" s="1353">
        <f>N2719</f>
        <v>0</v>
      </c>
      <c r="K16" s="1391">
        <v>11</v>
      </c>
      <c r="L16" s="1391" t="s">
        <v>1956</v>
      </c>
      <c r="AA16">
        <v>22</v>
      </c>
      <c r="AB16">
        <v>75</v>
      </c>
      <c r="AC16">
        <v>75</v>
      </c>
      <c r="AE16">
        <v>3600</v>
      </c>
      <c r="AF16">
        <v>1</v>
      </c>
      <c r="AG16">
        <v>6</v>
      </c>
    </row>
    <row r="17" spans="2:42" ht="12.65" customHeight="1">
      <c r="B17" s="5" t="s">
        <v>1937</v>
      </c>
      <c r="C17" s="6" t="s">
        <v>1957</v>
      </c>
      <c r="D17" s="1345">
        <v>0</v>
      </c>
      <c r="E17" s="1346">
        <v>0</v>
      </c>
      <c r="F17" s="1342" t="s">
        <v>1958</v>
      </c>
      <c r="G17" s="1408">
        <v>342</v>
      </c>
      <c r="H17" s="1353">
        <f>M327</f>
        <v>0</v>
      </c>
      <c r="I17" s="1353">
        <f>N327</f>
        <v>0</v>
      </c>
      <c r="K17" s="1391">
        <v>12</v>
      </c>
      <c r="L17" s="1391" t="s">
        <v>1959</v>
      </c>
      <c r="AA17">
        <v>23</v>
      </c>
      <c r="AB17">
        <v>75</v>
      </c>
      <c r="AC17">
        <v>75</v>
      </c>
      <c r="AE17">
        <v>3631</v>
      </c>
      <c r="AF17">
        <v>4</v>
      </c>
      <c r="AG17">
        <v>13</v>
      </c>
    </row>
    <row r="18" spans="2:42" ht="12.5">
      <c r="B18" s="5" t="s">
        <v>1960</v>
      </c>
      <c r="C18" s="6" t="s">
        <v>1961</v>
      </c>
      <c r="D18" s="1345"/>
      <c r="E18" s="1346">
        <v>62</v>
      </c>
      <c r="F18" s="1342" t="s">
        <v>1962</v>
      </c>
      <c r="G18" s="1409"/>
      <c r="H18" s="1353"/>
      <c r="I18" s="1353"/>
      <c r="K18" s="1391">
        <v>13</v>
      </c>
      <c r="L18" s="1391" t="s">
        <v>1963</v>
      </c>
      <c r="AA18">
        <v>24</v>
      </c>
      <c r="AB18">
        <v>75</v>
      </c>
      <c r="AC18">
        <v>75</v>
      </c>
      <c r="AE18">
        <v>3636</v>
      </c>
      <c r="AF18">
        <v>1</v>
      </c>
      <c r="AG18">
        <v>10</v>
      </c>
      <c r="AJ18" s="14" t="s">
        <v>1964</v>
      </c>
      <c r="AK18" s="611" t="str">
        <f>TEXT(J2466,"00")</f>
        <v>04</v>
      </c>
      <c r="AL18" s="611" t="s">
        <v>1965</v>
      </c>
      <c r="AM18" s="611">
        <f>IF($AK$18="01",Page7!$E$81,AM3)</f>
        <v>38</v>
      </c>
      <c r="AN18" s="611">
        <f>IF($AK$18="01",Page7!$E$82,AN3)</f>
        <v>37</v>
      </c>
      <c r="AO18" s="611">
        <f>IF($AK$18="01",Page6!$F$10,AO3)</f>
        <v>10</v>
      </c>
      <c r="AP18" s="611">
        <f>IF($AK$18="01",Page2!$G$68,AP3)</f>
        <v>4585</v>
      </c>
    </row>
    <row r="19" spans="2:42" ht="12.5">
      <c r="B19" s="5" t="s">
        <v>1966</v>
      </c>
      <c r="C19" s="6" t="s">
        <v>1967</v>
      </c>
      <c r="D19" s="1345">
        <v>0</v>
      </c>
      <c r="E19" s="1346">
        <v>0</v>
      </c>
      <c r="F19" s="1342" t="s">
        <v>1968</v>
      </c>
      <c r="G19" s="1408">
        <v>359</v>
      </c>
      <c r="H19" s="1353">
        <f>M344</f>
        <v>0</v>
      </c>
      <c r="I19" s="1353">
        <f>N344</f>
        <v>0</v>
      </c>
      <c r="K19" s="1391">
        <v>14</v>
      </c>
      <c r="L19" s="1391" t="s">
        <v>1969</v>
      </c>
      <c r="AA19">
        <v>25</v>
      </c>
      <c r="AB19">
        <v>0</v>
      </c>
      <c r="AC19">
        <v>1</v>
      </c>
      <c r="AE19">
        <v>3637</v>
      </c>
      <c r="AF19">
        <v>4</v>
      </c>
      <c r="AG19">
        <v>6</v>
      </c>
      <c r="AL19" s="611" t="s">
        <v>1970</v>
      </c>
      <c r="AM19" s="611">
        <f>IF($AK$18="02",Page7!$E$81,AM4)</f>
        <v>53</v>
      </c>
      <c r="AN19" s="611">
        <f>IF($AK$18="02",Page7!$E$82,AN4)</f>
        <v>39</v>
      </c>
      <c r="AO19" s="611">
        <f>IF($AK$18="02",Page6!$F$10,AO4)</f>
        <v>9</v>
      </c>
      <c r="AP19" s="611">
        <f>IF($AK$18="02",Page2!$G$68,AP4)</f>
        <v>103456</v>
      </c>
    </row>
    <row r="20" spans="2:42" ht="12.5">
      <c r="B20" s="5" t="s">
        <v>1971</v>
      </c>
      <c r="C20" s="6" t="s">
        <v>1972</v>
      </c>
      <c r="D20" s="1345">
        <v>0</v>
      </c>
      <c r="E20" s="1346">
        <v>0</v>
      </c>
      <c r="F20" s="611" t="s">
        <v>1973</v>
      </c>
      <c r="G20" s="1408">
        <v>372</v>
      </c>
      <c r="H20" s="1353">
        <f>M357</f>
        <v>0</v>
      </c>
      <c r="I20" s="1353">
        <f>N357</f>
        <v>0</v>
      </c>
      <c r="K20" s="1391">
        <v>15</v>
      </c>
      <c r="L20" s="1391" t="s">
        <v>1974</v>
      </c>
      <c r="AA20">
        <v>29</v>
      </c>
      <c r="AB20">
        <v>0</v>
      </c>
      <c r="AC20">
        <v>1</v>
      </c>
      <c r="AE20">
        <v>3638</v>
      </c>
      <c r="AF20">
        <v>1</v>
      </c>
      <c r="AG20">
        <v>5</v>
      </c>
      <c r="AL20" s="611" t="s">
        <v>1975</v>
      </c>
      <c r="AM20" s="611">
        <f>IF($AK$18="03",Page7!$E$81,AM5)</f>
        <v>65</v>
      </c>
      <c r="AN20" s="611">
        <f>IF($AK$18="03",Page7!$E$82,AN5)</f>
        <v>56</v>
      </c>
      <c r="AO20" s="611">
        <f>IF($AK$18="03",Page6!$F$10,AO5)</f>
        <v>17</v>
      </c>
      <c r="AP20" s="611">
        <f>IF($AK$18="03",Page2!$G$68,AP5)</f>
        <v>232589</v>
      </c>
    </row>
    <row r="21" spans="2:42" ht="12.5">
      <c r="B21" s="5" t="s">
        <v>1976</v>
      </c>
      <c r="C21" s="6" t="s">
        <v>1977</v>
      </c>
      <c r="D21" s="1345">
        <v>0</v>
      </c>
      <c r="E21" s="1346">
        <v>0</v>
      </c>
      <c r="F21" s="611" t="s">
        <v>1978</v>
      </c>
      <c r="G21" s="1408">
        <v>373</v>
      </c>
      <c r="H21" s="1353">
        <f>M358</f>
        <v>0</v>
      </c>
      <c r="I21" s="1353">
        <f>N358</f>
        <v>0</v>
      </c>
      <c r="K21" s="1391">
        <v>16</v>
      </c>
      <c r="L21" s="1391" t="s">
        <v>1979</v>
      </c>
      <c r="AA21">
        <v>30</v>
      </c>
      <c r="AB21">
        <v>15</v>
      </c>
      <c r="AC21">
        <v>30</v>
      </c>
      <c r="AE21">
        <v>3664</v>
      </c>
      <c r="AF21">
        <v>1</v>
      </c>
      <c r="AG21">
        <v>2</v>
      </c>
      <c r="AL21" s="611" t="s">
        <v>1980</v>
      </c>
      <c r="AM21" s="611">
        <f>IF($AK$18="04",Page7!$E$81,AM6)</f>
        <v>64</v>
      </c>
      <c r="AN21" s="611">
        <f>IF($AK$18="04",Page7!$E$82,AN6)</f>
        <v>54</v>
      </c>
      <c r="AO21" s="611">
        <f>IF($AK$18="04",Page6!$F$10,AO6)</f>
        <v>10</v>
      </c>
      <c r="AP21" s="611">
        <f>IF($AK$18="04",Page2!$G$68,AP6)</f>
        <v>129671</v>
      </c>
    </row>
    <row r="22" spans="2:42" ht="12.5">
      <c r="B22" s="5" t="s">
        <v>1971</v>
      </c>
      <c r="C22" s="6" t="s">
        <v>1981</v>
      </c>
      <c r="D22" s="1345">
        <v>0</v>
      </c>
      <c r="E22" s="1346">
        <v>0</v>
      </c>
      <c r="F22" s="1342" t="s">
        <v>1982</v>
      </c>
      <c r="G22" s="1408">
        <v>376</v>
      </c>
      <c r="H22" s="1353">
        <f>M361</f>
        <v>0</v>
      </c>
      <c r="I22" s="1353">
        <f>N361</f>
        <v>0</v>
      </c>
      <c r="K22" s="1391">
        <v>17</v>
      </c>
      <c r="L22" s="1391" t="s">
        <v>1983</v>
      </c>
      <c r="AA22">
        <v>32</v>
      </c>
      <c r="AB22">
        <v>9</v>
      </c>
      <c r="AC22">
        <v>24</v>
      </c>
      <c r="AE22">
        <v>3665</v>
      </c>
      <c r="AF22">
        <v>2</v>
      </c>
      <c r="AG22">
        <v>2</v>
      </c>
      <c r="AL22" s="611" t="s">
        <v>1984</v>
      </c>
      <c r="AM22" s="611" t="str">
        <f>IF($AK$18="05",Page7!$E$81,AM7)</f>
        <v/>
      </c>
      <c r="AN22" s="611" t="str">
        <f>IF($AK$18="05",Page7!$E$82,AN7)</f>
        <v/>
      </c>
      <c r="AO22" s="611" t="str">
        <f>IF($AK$18="05",Page6!$F$10,AO7)</f>
        <v/>
      </c>
      <c r="AP22" s="611" t="str">
        <f>IF($AK$18="05",Page2!$G$68,AP7)</f>
        <v/>
      </c>
    </row>
    <row r="23" spans="2:42" ht="12.5">
      <c r="B23" s="5" t="s">
        <v>1976</v>
      </c>
      <c r="C23" s="6" t="s">
        <v>1985</v>
      </c>
      <c r="D23" s="1345">
        <v>0</v>
      </c>
      <c r="E23" s="1346">
        <v>0</v>
      </c>
      <c r="F23" s="1342" t="s">
        <v>1986</v>
      </c>
      <c r="G23" s="1408">
        <v>377</v>
      </c>
      <c r="H23" s="1353">
        <f>M362</f>
        <v>0</v>
      </c>
      <c r="I23" s="1353">
        <f>N362</f>
        <v>0</v>
      </c>
      <c r="K23" s="1391">
        <v>18</v>
      </c>
      <c r="L23" s="1391" t="s">
        <v>1987</v>
      </c>
      <c r="AA23">
        <v>34</v>
      </c>
      <c r="AB23">
        <v>24</v>
      </c>
      <c r="AC23">
        <v>54</v>
      </c>
      <c r="AE23">
        <v>3666</v>
      </c>
      <c r="AF23">
        <v>1</v>
      </c>
      <c r="AG23">
        <v>1</v>
      </c>
      <c r="AL23" s="611" t="s">
        <v>1988</v>
      </c>
      <c r="AM23" s="611" t="str">
        <f>IF($AK$18="06",Page7!$E$81,AM8)</f>
        <v/>
      </c>
      <c r="AN23" s="611" t="str">
        <f>IF($AK$18="06",Page7!$E$82,AN8)</f>
        <v/>
      </c>
      <c r="AO23" s="611" t="str">
        <f>IF($AK$18="06",Page6!$F$10,AO8)</f>
        <v/>
      </c>
      <c r="AP23" s="611" t="str">
        <f>IF($AK$18="06",Page2!$G$68,AP8)</f>
        <v/>
      </c>
    </row>
    <row r="24" spans="2:42" ht="12.5">
      <c r="B24" s="5" t="s">
        <v>1971</v>
      </c>
      <c r="C24" s="6" t="s">
        <v>1989</v>
      </c>
      <c r="D24" s="1345">
        <v>0</v>
      </c>
      <c r="E24" s="1346">
        <v>0</v>
      </c>
      <c r="F24" s="1342" t="s">
        <v>1990</v>
      </c>
      <c r="G24" s="1408">
        <v>370</v>
      </c>
      <c r="H24" s="1353">
        <f>M355</f>
        <v>0</v>
      </c>
      <c r="I24" s="1353">
        <f>N355</f>
        <v>0</v>
      </c>
      <c r="K24" s="1391">
        <v>19</v>
      </c>
      <c r="L24" s="1391" t="s">
        <v>1991</v>
      </c>
      <c r="AA24">
        <v>36</v>
      </c>
      <c r="AB24">
        <v>24</v>
      </c>
      <c r="AC24">
        <v>55</v>
      </c>
      <c r="AE24">
        <v>3700</v>
      </c>
      <c r="AF24">
        <v>0</v>
      </c>
      <c r="AG24">
        <v>5</v>
      </c>
      <c r="AL24" s="611" t="s">
        <v>1992</v>
      </c>
      <c r="AM24" s="611" t="str">
        <f>IF($AK$18="07",Page7!$E$81,AM9)</f>
        <v/>
      </c>
      <c r="AN24" s="611" t="str">
        <f>IF($AK$18="07",Page7!$E$82,AN9)</f>
        <v/>
      </c>
      <c r="AO24" s="611" t="str">
        <f>IF($AK$18="07",Page6!$F$10,AO9)</f>
        <v/>
      </c>
      <c r="AP24" s="611" t="str">
        <f>IF($AK$18="07",Page2!$G$68,AP9)</f>
        <v/>
      </c>
    </row>
    <row r="25" spans="2:42" ht="12.5">
      <c r="B25" s="5" t="s">
        <v>1976</v>
      </c>
      <c r="C25" s="6" t="s">
        <v>1993</v>
      </c>
      <c r="D25" s="1345">
        <v>0</v>
      </c>
      <c r="E25" s="1346">
        <v>0</v>
      </c>
      <c r="F25" s="1342" t="s">
        <v>1994</v>
      </c>
      <c r="G25" s="1408">
        <v>371</v>
      </c>
      <c r="H25" s="1353">
        <f>M356</f>
        <v>0</v>
      </c>
      <c r="I25" s="1353">
        <f>N356</f>
        <v>0</v>
      </c>
      <c r="K25" s="1391">
        <v>20</v>
      </c>
      <c r="L25" s="1391" t="s">
        <v>1995</v>
      </c>
      <c r="AA25">
        <v>42</v>
      </c>
      <c r="AB25">
        <v>2</v>
      </c>
      <c r="AC25">
        <v>8</v>
      </c>
      <c r="AE25">
        <v>3735</v>
      </c>
      <c r="AF25">
        <v>1</v>
      </c>
      <c r="AG25">
        <v>2</v>
      </c>
      <c r="AL25" s="611" t="s">
        <v>1996</v>
      </c>
      <c r="AM25" s="611" t="str">
        <f>IF($AK$18="08",Page7!$E$81,AM10)</f>
        <v/>
      </c>
      <c r="AN25" s="611" t="str">
        <f>IF($AK$18="08",Page7!$E$82,AN10)</f>
        <v/>
      </c>
      <c r="AO25" s="611" t="str">
        <f>IF($AK$18="08",Page6!$F$10,AO10)</f>
        <v/>
      </c>
      <c r="AP25" s="611" t="str">
        <f>IF($AK$18="08",Page2!$G$68,AP10)</f>
        <v/>
      </c>
    </row>
    <row r="26" spans="2:42" ht="12.5">
      <c r="B26" s="5" t="s">
        <v>1971</v>
      </c>
      <c r="C26" s="6" t="s">
        <v>1997</v>
      </c>
      <c r="D26" s="1345">
        <v>0</v>
      </c>
      <c r="E26" s="1346">
        <v>0</v>
      </c>
      <c r="F26" s="611" t="s">
        <v>1998</v>
      </c>
      <c r="G26" s="1408">
        <v>374</v>
      </c>
      <c r="H26" s="1353">
        <f>M359</f>
        <v>0</v>
      </c>
      <c r="I26" s="1353">
        <f>N359</f>
        <v>0</v>
      </c>
      <c r="K26" s="1391">
        <v>21</v>
      </c>
      <c r="L26" s="1391" t="s">
        <v>1999</v>
      </c>
      <c r="AA26">
        <v>46</v>
      </c>
      <c r="AB26">
        <v>2</v>
      </c>
      <c r="AC26">
        <v>8</v>
      </c>
      <c r="AE26">
        <v>3737</v>
      </c>
      <c r="AF26">
        <v>4</v>
      </c>
      <c r="AG26">
        <v>4</v>
      </c>
      <c r="AL26" s="611" t="s">
        <v>2000</v>
      </c>
      <c r="AM26" s="611" t="str">
        <f>IF($AK$18="09",Page7!$E$81,AM11)</f>
        <v/>
      </c>
      <c r="AN26" s="611" t="str">
        <f>IF($AK$18="09",Page7!$E$82,AN11)</f>
        <v/>
      </c>
      <c r="AO26" s="611" t="str">
        <f>IF($AK$18="09",Page6!$F$10,AO11)</f>
        <v/>
      </c>
      <c r="AP26" s="611" t="str">
        <f>IF($AK$18="09",Page2!$G$68,AP11)</f>
        <v/>
      </c>
    </row>
    <row r="27" spans="2:42" ht="12.5">
      <c r="B27" s="5" t="s">
        <v>1976</v>
      </c>
      <c r="C27" s="6" t="s">
        <v>2001</v>
      </c>
      <c r="D27" s="1345">
        <v>0</v>
      </c>
      <c r="E27" s="1346">
        <v>0</v>
      </c>
      <c r="F27" s="611" t="s">
        <v>2002</v>
      </c>
      <c r="G27" s="1408">
        <v>375</v>
      </c>
      <c r="H27" s="1353">
        <f>M360</f>
        <v>0</v>
      </c>
      <c r="I27" s="1353">
        <f>N360</f>
        <v>0</v>
      </c>
      <c r="K27" s="1391">
        <v>22</v>
      </c>
      <c r="L27" s="1391" t="s">
        <v>2003</v>
      </c>
      <c r="AA27">
        <v>48</v>
      </c>
      <c r="AB27">
        <v>2</v>
      </c>
      <c r="AC27">
        <v>8</v>
      </c>
      <c r="AE27">
        <v>3741</v>
      </c>
      <c r="AF27">
        <v>0</v>
      </c>
      <c r="AG27">
        <v>3</v>
      </c>
      <c r="AL27" s="611" t="s">
        <v>2004</v>
      </c>
      <c r="AM27" s="611" t="str">
        <f>IF($AK$18="10",Page7!$E$81,AM12)</f>
        <v/>
      </c>
      <c r="AN27" s="611" t="str">
        <f>IF($AK$18="10",Page7!$E$82,AN12)</f>
        <v/>
      </c>
      <c r="AO27" s="611" t="str">
        <f>IF($AK$18="10",Page6!$F$10,AO12)</f>
        <v/>
      </c>
      <c r="AP27" s="611" t="str">
        <f>IF($AK$18="10",Page2!$G$68,AP12)</f>
        <v/>
      </c>
    </row>
    <row r="28" spans="2:42" ht="12.5">
      <c r="B28" s="5" t="s">
        <v>2005</v>
      </c>
      <c r="C28" s="6" t="s">
        <v>2006</v>
      </c>
      <c r="D28" s="1345"/>
      <c r="E28" s="1346">
        <v>76</v>
      </c>
      <c r="F28" s="1342" t="s">
        <v>2007</v>
      </c>
      <c r="G28" s="1409"/>
      <c r="H28" s="1353"/>
      <c r="I28" s="1353"/>
      <c r="K28" s="1391">
        <v>23</v>
      </c>
      <c r="L28" s="1391" t="s">
        <v>2008</v>
      </c>
      <c r="AA28">
        <v>66</v>
      </c>
      <c r="AB28">
        <v>5</v>
      </c>
      <c r="AC28">
        <v>10</v>
      </c>
      <c r="AE28">
        <v>3742</v>
      </c>
      <c r="AF28">
        <v>11</v>
      </c>
      <c r="AG28">
        <v>22</v>
      </c>
      <c r="AL28" s="611" t="s">
        <v>2009</v>
      </c>
      <c r="AM28" s="611" t="str">
        <f>IF($AK$18="11",Page7!$E$81,AM13)</f>
        <v/>
      </c>
      <c r="AN28" s="611" t="str">
        <f>IF($AK$18="11",Page7!$E$82,AN13)</f>
        <v/>
      </c>
      <c r="AO28" s="611" t="str">
        <f>IF($AK$18="11",Page6!$F$10,AO13)</f>
        <v/>
      </c>
      <c r="AP28" s="611" t="str">
        <f>IF($AK$18="11",Page2!$G$68,AP13)</f>
        <v/>
      </c>
    </row>
    <row r="29" spans="2:42" ht="12.5">
      <c r="B29" s="5" t="s">
        <v>2010</v>
      </c>
      <c r="C29" s="6" t="s">
        <v>2011</v>
      </c>
      <c r="D29" s="1345">
        <v>0</v>
      </c>
      <c r="E29" s="1346">
        <v>396812</v>
      </c>
      <c r="F29" s="1342" t="s">
        <v>2012</v>
      </c>
      <c r="G29" s="1408">
        <v>386</v>
      </c>
      <c r="H29" s="1353">
        <f>M371</f>
        <v>0</v>
      </c>
      <c r="I29" s="1353">
        <f>N371</f>
        <v>0</v>
      </c>
      <c r="K29" s="1391">
        <v>24</v>
      </c>
      <c r="L29" s="1391" t="s">
        <v>2013</v>
      </c>
      <c r="AA29">
        <v>70</v>
      </c>
      <c r="AB29">
        <v>5</v>
      </c>
      <c r="AC29">
        <v>10</v>
      </c>
      <c r="AE29">
        <v>3743</v>
      </c>
      <c r="AF29">
        <v>4</v>
      </c>
      <c r="AG29">
        <v>7</v>
      </c>
      <c r="AL29" s="611" t="s">
        <v>2014</v>
      </c>
      <c r="AM29" s="611" t="str">
        <f>IF($AK$18="12",Page7!$E$81,AM14)</f>
        <v/>
      </c>
      <c r="AN29" s="611" t="str">
        <f>IF($AK$18="12",Page7!$E$82,AN14)</f>
        <v/>
      </c>
      <c r="AO29" s="611" t="str">
        <f>IF($AK$18="12",Page6!$F$10,AO14)</f>
        <v/>
      </c>
      <c r="AP29" s="611" t="str">
        <f>IF($AK$18="12",Page2!$G$68,AP14)</f>
        <v/>
      </c>
    </row>
    <row r="30" spans="2:42" ht="12.5">
      <c r="B30" s="5" t="s">
        <v>2015</v>
      </c>
      <c r="C30" s="6" t="s">
        <v>2016</v>
      </c>
      <c r="D30" s="1345">
        <v>0</v>
      </c>
      <c r="E30" s="1346">
        <v>-13833</v>
      </c>
      <c r="F30" s="1342" t="s">
        <v>2017</v>
      </c>
      <c r="G30" s="1408">
        <v>387</v>
      </c>
      <c r="H30" s="1353">
        <f>M372</f>
        <v>0</v>
      </c>
      <c r="I30" s="1353">
        <f>N372</f>
        <v>0</v>
      </c>
      <c r="K30" s="1391">
        <v>25</v>
      </c>
      <c r="L30" s="1391" t="s">
        <v>2018</v>
      </c>
      <c r="AA30">
        <v>72</v>
      </c>
      <c r="AB30">
        <v>5</v>
      </c>
      <c r="AC30">
        <v>10</v>
      </c>
      <c r="AE30">
        <v>3747</v>
      </c>
      <c r="AF30">
        <v>0</v>
      </c>
      <c r="AG30">
        <v>1</v>
      </c>
    </row>
    <row r="31" spans="2:42" ht="12.5">
      <c r="B31" s="5" t="s">
        <v>2019</v>
      </c>
      <c r="C31" s="6" t="s">
        <v>2020</v>
      </c>
      <c r="D31" s="1345"/>
      <c r="E31" s="1346">
        <v>25824</v>
      </c>
      <c r="F31" s="1342" t="s">
        <v>2021</v>
      </c>
      <c r="G31" s="1409"/>
      <c r="H31" s="1353"/>
      <c r="I31" s="1353"/>
      <c r="K31" s="1391">
        <v>26</v>
      </c>
      <c r="L31" s="1391" t="s">
        <v>2022</v>
      </c>
      <c r="AA31">
        <v>78</v>
      </c>
      <c r="AB31">
        <v>10</v>
      </c>
      <c r="AC31">
        <v>34</v>
      </c>
      <c r="AE31">
        <v>3961</v>
      </c>
      <c r="AF31">
        <v>0</v>
      </c>
      <c r="AG31">
        <v>33144</v>
      </c>
    </row>
    <row r="32" spans="2:42" ht="12.5">
      <c r="B32" s="5" t="s">
        <v>2023</v>
      </c>
      <c r="C32" s="6" t="s">
        <v>2024</v>
      </c>
      <c r="D32" s="1345"/>
      <c r="E32" s="1346">
        <v>37726</v>
      </c>
      <c r="F32" s="1342" t="s">
        <v>2025</v>
      </c>
      <c r="G32" s="1409"/>
      <c r="H32" s="1353"/>
      <c r="I32" s="1353"/>
      <c r="K32" s="1391">
        <v>27</v>
      </c>
      <c r="L32" s="1391" t="s">
        <v>2026</v>
      </c>
      <c r="AA32">
        <v>82</v>
      </c>
      <c r="AB32">
        <v>10</v>
      </c>
      <c r="AC32">
        <v>34</v>
      </c>
      <c r="AE32">
        <v>3983</v>
      </c>
      <c r="AF32">
        <v>66085</v>
      </c>
      <c r="AG32">
        <v>127215</v>
      </c>
    </row>
    <row r="33" spans="2:33" ht="12.5">
      <c r="B33" s="5" t="s">
        <v>2027</v>
      </c>
      <c r="C33" s="6" t="s">
        <v>2028</v>
      </c>
      <c r="D33" s="1345"/>
      <c r="E33" s="1346">
        <v>24835</v>
      </c>
      <c r="F33" s="1342" t="s">
        <v>2029</v>
      </c>
      <c r="G33" s="1409"/>
      <c r="H33" s="1353"/>
      <c r="I33" s="1353"/>
      <c r="K33" s="1391">
        <v>28</v>
      </c>
      <c r="L33" s="1391" t="s">
        <v>2030</v>
      </c>
      <c r="AA33">
        <v>84</v>
      </c>
      <c r="AB33">
        <v>10</v>
      </c>
      <c r="AC33">
        <v>34</v>
      </c>
      <c r="AE33">
        <v>3984</v>
      </c>
      <c r="AF33">
        <v>62099</v>
      </c>
      <c r="AG33">
        <v>152450</v>
      </c>
    </row>
    <row r="34" spans="2:33" ht="12.5">
      <c r="B34" s="5" t="s">
        <v>2031</v>
      </c>
      <c r="C34" s="6" t="s">
        <v>2032</v>
      </c>
      <c r="D34" s="1345"/>
      <c r="E34" s="1346">
        <v>0</v>
      </c>
      <c r="F34" s="1342" t="s">
        <v>2033</v>
      </c>
      <c r="G34" s="1409"/>
      <c r="H34" s="1353"/>
      <c r="I34" s="1353"/>
      <c r="K34" s="1391">
        <v>29</v>
      </c>
      <c r="L34" s="1391" t="s">
        <v>2034</v>
      </c>
      <c r="AA34">
        <v>90</v>
      </c>
      <c r="AB34">
        <v>4</v>
      </c>
      <c r="AC34">
        <v>5</v>
      </c>
      <c r="AE34">
        <v>3985</v>
      </c>
      <c r="AF34">
        <v>0</v>
      </c>
      <c r="AG34">
        <v>283459</v>
      </c>
    </row>
    <row r="35" spans="2:33" ht="12.5">
      <c r="B35" s="5" t="s">
        <v>2010</v>
      </c>
      <c r="C35" s="6" t="s">
        <v>2035</v>
      </c>
      <c r="D35" s="1345">
        <v>0</v>
      </c>
      <c r="E35" s="1346">
        <v>0</v>
      </c>
      <c r="F35" s="1342" t="s">
        <v>2036</v>
      </c>
      <c r="G35" s="1408">
        <v>393</v>
      </c>
      <c r="H35" s="1353">
        <f>M378</f>
        <v>0</v>
      </c>
      <c r="I35" s="1353">
        <f>N378</f>
        <v>0</v>
      </c>
      <c r="K35" s="1391">
        <v>30</v>
      </c>
      <c r="L35" s="1391" t="s">
        <v>2037</v>
      </c>
      <c r="AA35">
        <v>94</v>
      </c>
      <c r="AB35">
        <v>4</v>
      </c>
      <c r="AC35">
        <v>5</v>
      </c>
      <c r="AE35">
        <v>3986</v>
      </c>
      <c r="AF35">
        <v>634584</v>
      </c>
      <c r="AG35">
        <v>1069303</v>
      </c>
    </row>
    <row r="36" spans="2:33" ht="12.5">
      <c r="B36" s="5" t="s">
        <v>2015</v>
      </c>
      <c r="C36" s="6" t="s">
        <v>2038</v>
      </c>
      <c r="D36" s="1345">
        <v>0</v>
      </c>
      <c r="E36" s="1346">
        <v>0</v>
      </c>
      <c r="F36" s="1342" t="s">
        <v>2039</v>
      </c>
      <c r="G36" s="1408">
        <v>394</v>
      </c>
      <c r="H36" s="1353">
        <f>M379</f>
        <v>0</v>
      </c>
      <c r="I36" s="1353">
        <f>N379</f>
        <v>0</v>
      </c>
      <c r="K36" s="1391">
        <v>31</v>
      </c>
      <c r="L36" s="1391" t="s">
        <v>2040</v>
      </c>
      <c r="AA36">
        <v>96</v>
      </c>
      <c r="AB36">
        <v>4</v>
      </c>
      <c r="AC36">
        <v>5</v>
      </c>
      <c r="AE36">
        <v>3987</v>
      </c>
      <c r="AF36">
        <v>81915</v>
      </c>
      <c r="AG36">
        <v>155399</v>
      </c>
    </row>
    <row r="37" spans="2:33" ht="12.5">
      <c r="B37" s="5" t="s">
        <v>2019</v>
      </c>
      <c r="C37" s="6" t="s">
        <v>2041</v>
      </c>
      <c r="D37" s="1345"/>
      <c r="E37" s="1346">
        <v>0</v>
      </c>
      <c r="F37" s="1342" t="s">
        <v>2042</v>
      </c>
      <c r="G37" s="1409"/>
      <c r="H37" s="1353"/>
      <c r="I37" s="1353"/>
      <c r="K37" s="1391">
        <v>32</v>
      </c>
      <c r="L37" s="1391" t="s">
        <v>2043</v>
      </c>
      <c r="AA37">
        <v>102</v>
      </c>
      <c r="AB37">
        <v>0</v>
      </c>
      <c r="AC37">
        <v>5</v>
      </c>
      <c r="AE37">
        <v>3989</v>
      </c>
      <c r="AF37">
        <v>94993</v>
      </c>
      <c r="AG37">
        <v>140466</v>
      </c>
    </row>
    <row r="38" spans="2:33" ht="12.5">
      <c r="B38" s="5" t="s">
        <v>2023</v>
      </c>
      <c r="C38" s="6" t="s">
        <v>2044</v>
      </c>
      <c r="D38" s="1345"/>
      <c r="E38" s="1346">
        <v>0</v>
      </c>
      <c r="F38" s="1342" t="s">
        <v>2045</v>
      </c>
      <c r="G38" s="1409"/>
      <c r="H38" s="1353"/>
      <c r="I38" s="1353"/>
      <c r="K38" s="1391">
        <v>33</v>
      </c>
      <c r="L38" s="1391" t="s">
        <v>2046</v>
      </c>
      <c r="AA38">
        <v>106</v>
      </c>
      <c r="AB38">
        <v>0</v>
      </c>
      <c r="AC38">
        <v>5</v>
      </c>
      <c r="AE38">
        <v>3996</v>
      </c>
      <c r="AF38">
        <v>0</v>
      </c>
      <c r="AG38">
        <v>-1856</v>
      </c>
    </row>
    <row r="39" spans="2:33" ht="12.5">
      <c r="B39" s="5" t="s">
        <v>2027</v>
      </c>
      <c r="C39" s="6" t="s">
        <v>2047</v>
      </c>
      <c r="D39" s="1345"/>
      <c r="E39" s="1346">
        <v>0</v>
      </c>
      <c r="F39" s="1342" t="s">
        <v>2048</v>
      </c>
      <c r="G39" s="1409"/>
      <c r="H39" s="1353"/>
      <c r="I39" s="1353"/>
      <c r="K39" s="1391">
        <v>34</v>
      </c>
      <c r="L39" s="1391" t="s">
        <v>2049</v>
      </c>
      <c r="AA39">
        <v>108</v>
      </c>
      <c r="AB39">
        <v>0</v>
      </c>
      <c r="AC39">
        <v>5</v>
      </c>
      <c r="AE39">
        <v>4018</v>
      </c>
      <c r="AF39">
        <v>2877</v>
      </c>
      <c r="AG39">
        <v>4953</v>
      </c>
    </row>
    <row r="40" spans="2:33" ht="12.5">
      <c r="B40" s="5" t="s">
        <v>2031</v>
      </c>
      <c r="C40" s="6" t="s">
        <v>2050</v>
      </c>
      <c r="D40" s="1345"/>
      <c r="E40" s="1346">
        <v>0</v>
      </c>
      <c r="F40" s="1342" t="s">
        <v>2051</v>
      </c>
      <c r="G40" s="1410"/>
      <c r="H40" s="1353"/>
      <c r="I40" s="1353"/>
      <c r="K40" s="1391">
        <v>35</v>
      </c>
      <c r="L40" s="1391" t="s">
        <v>2052</v>
      </c>
      <c r="AA40">
        <v>114</v>
      </c>
      <c r="AB40">
        <v>20</v>
      </c>
      <c r="AC40">
        <v>39</v>
      </c>
      <c r="AE40">
        <v>4019</v>
      </c>
      <c r="AF40">
        <v>611</v>
      </c>
      <c r="AG40">
        <v>3607</v>
      </c>
    </row>
    <row r="41" spans="2:33" ht="12.5">
      <c r="B41" s="5" t="s">
        <v>2053</v>
      </c>
      <c r="C41" s="6" t="s">
        <v>855</v>
      </c>
      <c r="D41" s="1345">
        <v>0</v>
      </c>
      <c r="E41" s="1346">
        <v>11187</v>
      </c>
      <c r="F41" s="1342" t="s">
        <v>2054</v>
      </c>
      <c r="G41" s="1408">
        <v>400</v>
      </c>
      <c r="H41" s="1353">
        <f>M382</f>
        <v>0</v>
      </c>
      <c r="I41" s="1353">
        <f>N382</f>
        <v>0</v>
      </c>
      <c r="K41" s="1391">
        <v>36</v>
      </c>
      <c r="L41" s="1391" t="s">
        <v>2055</v>
      </c>
      <c r="AA41">
        <v>118</v>
      </c>
      <c r="AB41">
        <v>20</v>
      </c>
      <c r="AC41">
        <v>39</v>
      </c>
      <c r="AE41">
        <v>4020</v>
      </c>
      <c r="AF41">
        <v>-930</v>
      </c>
      <c r="AG41">
        <v>9863</v>
      </c>
    </row>
    <row r="42" spans="2:33" ht="12.5">
      <c r="B42" s="5" t="s">
        <v>2056</v>
      </c>
      <c r="C42" s="6" t="s">
        <v>857</v>
      </c>
      <c r="D42" s="1345">
        <v>0</v>
      </c>
      <c r="E42" s="1346">
        <v>6794</v>
      </c>
      <c r="F42" s="1342" t="s">
        <v>2057</v>
      </c>
      <c r="G42" s="1408">
        <v>401</v>
      </c>
      <c r="H42" s="1353">
        <f>M383</f>
        <v>0</v>
      </c>
      <c r="I42" s="1353">
        <f>N383</f>
        <v>0</v>
      </c>
      <c r="K42" s="1391">
        <v>37</v>
      </c>
      <c r="L42" s="1391" t="s">
        <v>2058</v>
      </c>
      <c r="AA42">
        <v>120</v>
      </c>
      <c r="AB42">
        <v>20</v>
      </c>
      <c r="AC42">
        <v>39</v>
      </c>
      <c r="AE42">
        <v>4021</v>
      </c>
      <c r="AF42">
        <v>18368</v>
      </c>
      <c r="AG42">
        <v>46793</v>
      </c>
    </row>
    <row r="43" spans="2:33" ht="12.5">
      <c r="B43" s="5" t="s">
        <v>2059</v>
      </c>
      <c r="C43" s="6" t="s">
        <v>2060</v>
      </c>
      <c r="D43" s="1345">
        <v>0</v>
      </c>
      <c r="E43" s="1346">
        <v>0</v>
      </c>
      <c r="F43" s="1342" t="s">
        <v>2061</v>
      </c>
      <c r="G43" s="1408">
        <v>478</v>
      </c>
      <c r="H43" s="1353">
        <f>M460</f>
        <v>0</v>
      </c>
      <c r="I43" s="1353">
        <f>N460</f>
        <v>0</v>
      </c>
      <c r="K43" s="1391">
        <v>38</v>
      </c>
      <c r="L43" s="1391" t="s">
        <v>2062</v>
      </c>
      <c r="AA43">
        <v>158</v>
      </c>
      <c r="AB43">
        <v>45848</v>
      </c>
      <c r="AC43">
        <v>45848</v>
      </c>
      <c r="AE43">
        <v>4022</v>
      </c>
      <c r="AF43">
        <v>2515</v>
      </c>
      <c r="AG43">
        <v>5751</v>
      </c>
    </row>
    <row r="44" spans="2:33" ht="12.5">
      <c r="B44" s="5" t="s">
        <v>2063</v>
      </c>
      <c r="C44" s="6" t="s">
        <v>2064</v>
      </c>
      <c r="D44" s="1345">
        <v>0</v>
      </c>
      <c r="E44" s="1346">
        <v>0</v>
      </c>
      <c r="F44" s="1342" t="s">
        <v>2065</v>
      </c>
      <c r="G44" s="1408">
        <v>483</v>
      </c>
      <c r="H44" s="1353">
        <f>M465</f>
        <v>0</v>
      </c>
      <c r="I44" s="1353">
        <f>N465</f>
        <v>0</v>
      </c>
      <c r="K44" s="1391">
        <v>39</v>
      </c>
      <c r="L44" s="1391" t="s">
        <v>2066</v>
      </c>
      <c r="AA44">
        <v>183</v>
      </c>
      <c r="AB44">
        <v>45848</v>
      </c>
      <c r="AC44">
        <v>45848</v>
      </c>
      <c r="AE44">
        <v>4024</v>
      </c>
      <c r="AF44">
        <v>3828</v>
      </c>
      <c r="AG44">
        <v>4749</v>
      </c>
    </row>
    <row r="45" spans="2:33" ht="12.5">
      <c r="B45" s="5" t="s">
        <v>2067</v>
      </c>
      <c r="C45" s="6" t="s">
        <v>2068</v>
      </c>
      <c r="D45" s="1345">
        <v>0</v>
      </c>
      <c r="E45" s="1346">
        <v>0</v>
      </c>
      <c r="F45" s="1342" t="s">
        <v>2069</v>
      </c>
      <c r="G45" s="1408">
        <v>488</v>
      </c>
      <c r="H45" s="1353">
        <f>M470</f>
        <v>0</v>
      </c>
      <c r="I45" s="1353">
        <f>N470</f>
        <v>0</v>
      </c>
      <c r="K45" s="1391">
        <v>40</v>
      </c>
      <c r="L45" s="1391" t="s">
        <v>2070</v>
      </c>
      <c r="AA45">
        <v>201</v>
      </c>
      <c r="AB45">
        <v>-712</v>
      </c>
      <c r="AC45">
        <v>-712</v>
      </c>
      <c r="AE45">
        <v>4051</v>
      </c>
      <c r="AF45">
        <v>0</v>
      </c>
      <c r="AG45">
        <v>64477</v>
      </c>
    </row>
    <row r="46" spans="2:33" ht="12.5">
      <c r="B46" s="5" t="s">
        <v>2071</v>
      </c>
      <c r="C46" s="6" t="s">
        <v>2072</v>
      </c>
      <c r="D46" s="1345">
        <v>0</v>
      </c>
      <c r="E46" s="1346">
        <v>0</v>
      </c>
      <c r="F46" s="1342" t="s">
        <v>2073</v>
      </c>
      <c r="G46" s="1408">
        <v>498</v>
      </c>
      <c r="H46" s="1353">
        <f>M480</f>
        <v>0</v>
      </c>
      <c r="I46" s="1353">
        <f>N480</f>
        <v>0</v>
      </c>
      <c r="K46" s="1391">
        <v>41</v>
      </c>
      <c r="L46" s="1391" t="s">
        <v>2074</v>
      </c>
      <c r="AA46">
        <v>226</v>
      </c>
      <c r="AB46">
        <v>-712</v>
      </c>
      <c r="AC46">
        <v>-712</v>
      </c>
      <c r="AE46">
        <v>4052</v>
      </c>
      <c r="AF46">
        <v>51099</v>
      </c>
      <c r="AG46">
        <v>223256</v>
      </c>
    </row>
    <row r="47" spans="2:33" ht="12.5">
      <c r="B47" s="5" t="s">
        <v>2075</v>
      </c>
      <c r="C47" s="6" t="s">
        <v>2076</v>
      </c>
      <c r="D47" s="1345">
        <v>0</v>
      </c>
      <c r="E47" s="1346">
        <v>0</v>
      </c>
      <c r="F47" s="1342" t="s">
        <v>2077</v>
      </c>
      <c r="G47" s="1408">
        <v>503</v>
      </c>
      <c r="H47" s="1353">
        <f>M485</f>
        <v>0</v>
      </c>
      <c r="I47" s="1353">
        <f>N485</f>
        <v>0</v>
      </c>
      <c r="K47" s="1391">
        <v>42</v>
      </c>
      <c r="L47" s="1391" t="s">
        <v>2078</v>
      </c>
      <c r="AA47">
        <v>246</v>
      </c>
      <c r="AB47">
        <v>3688</v>
      </c>
      <c r="AC47">
        <v>7293</v>
      </c>
      <c r="AE47">
        <v>4053</v>
      </c>
      <c r="AF47">
        <v>86859</v>
      </c>
      <c r="AG47">
        <v>288896</v>
      </c>
    </row>
    <row r="48" spans="2:33" ht="12.5">
      <c r="B48" s="5" t="s">
        <v>2079</v>
      </c>
      <c r="C48" s="6" t="s">
        <v>2080</v>
      </c>
      <c r="D48" s="1345">
        <v>0</v>
      </c>
      <c r="E48" s="1346">
        <v>0</v>
      </c>
      <c r="F48" s="1342" t="s">
        <v>2081</v>
      </c>
      <c r="G48" s="1408">
        <v>479</v>
      </c>
      <c r="H48" s="1353">
        <f>M461</f>
        <v>0</v>
      </c>
      <c r="I48" s="1353">
        <f>N461</f>
        <v>0</v>
      </c>
      <c r="K48" s="1391">
        <v>43</v>
      </c>
      <c r="L48" s="1391" t="s">
        <v>2082</v>
      </c>
      <c r="AA48">
        <v>262</v>
      </c>
      <c r="AB48">
        <v>1</v>
      </c>
      <c r="AC48">
        <v>1</v>
      </c>
      <c r="AE48">
        <v>4086</v>
      </c>
      <c r="AF48">
        <v>420</v>
      </c>
      <c r="AG48">
        <v>1146</v>
      </c>
    </row>
    <row r="49" spans="2:33" ht="12.5">
      <c r="B49" s="5" t="s">
        <v>2083</v>
      </c>
      <c r="C49" s="6" t="s">
        <v>2084</v>
      </c>
      <c r="D49" s="1345">
        <v>0</v>
      </c>
      <c r="E49" s="1346">
        <v>0</v>
      </c>
      <c r="F49" s="1342" t="s">
        <v>2085</v>
      </c>
      <c r="G49" s="1408">
        <v>484</v>
      </c>
      <c r="H49" s="1353">
        <f>M466</f>
        <v>0</v>
      </c>
      <c r="I49" s="1353">
        <f>N466</f>
        <v>0</v>
      </c>
      <c r="K49" s="1391">
        <v>44</v>
      </c>
      <c r="L49" s="1391" t="s">
        <v>2086</v>
      </c>
      <c r="AA49">
        <v>287</v>
      </c>
      <c r="AB49">
        <v>1</v>
      </c>
      <c r="AC49">
        <v>1</v>
      </c>
      <c r="AE49">
        <v>4087</v>
      </c>
      <c r="AF49">
        <v>1775</v>
      </c>
      <c r="AG49">
        <v>3652</v>
      </c>
    </row>
    <row r="50" spans="2:33" ht="12.5">
      <c r="B50" s="5" t="s">
        <v>2087</v>
      </c>
      <c r="C50" s="6" t="s">
        <v>2088</v>
      </c>
      <c r="D50" s="1345">
        <v>0</v>
      </c>
      <c r="E50" s="1346">
        <v>0</v>
      </c>
      <c r="F50" s="1342" t="s">
        <v>2089</v>
      </c>
      <c r="G50" s="1408">
        <v>489</v>
      </c>
      <c r="H50" s="1353">
        <f>M471</f>
        <v>0</v>
      </c>
      <c r="I50" s="1353">
        <f>N471</f>
        <v>0</v>
      </c>
      <c r="K50" s="1391">
        <v>45</v>
      </c>
      <c r="L50" s="1391" t="s">
        <v>2090</v>
      </c>
      <c r="AA50">
        <v>291</v>
      </c>
      <c r="AB50">
        <v>10</v>
      </c>
      <c r="AC50">
        <v>25</v>
      </c>
      <c r="AE50">
        <v>4088</v>
      </c>
      <c r="AF50">
        <v>3662</v>
      </c>
      <c r="AG50">
        <v>12551</v>
      </c>
    </row>
    <row r="51" spans="2:33" ht="12.5">
      <c r="B51" s="5" t="s">
        <v>2091</v>
      </c>
      <c r="C51" s="6" t="s">
        <v>2092</v>
      </c>
      <c r="D51" s="1345">
        <v>0</v>
      </c>
      <c r="E51" s="1346">
        <v>0</v>
      </c>
      <c r="F51" s="1342" t="s">
        <v>2093</v>
      </c>
      <c r="G51" s="1408">
        <v>499</v>
      </c>
      <c r="H51" s="1353">
        <f>M481</f>
        <v>0</v>
      </c>
      <c r="I51" s="1353">
        <f>N481</f>
        <v>0</v>
      </c>
      <c r="K51" s="1391">
        <v>46</v>
      </c>
      <c r="L51" s="1391" t="s">
        <v>2094</v>
      </c>
      <c r="AA51">
        <v>293</v>
      </c>
      <c r="AB51">
        <v>7</v>
      </c>
      <c r="AC51">
        <v>15</v>
      </c>
      <c r="AE51">
        <v>4190</v>
      </c>
      <c r="AF51">
        <v>31744</v>
      </c>
      <c r="AG51">
        <v>31744</v>
      </c>
    </row>
    <row r="52" spans="2:33" ht="12.5">
      <c r="B52" s="5" t="s">
        <v>2095</v>
      </c>
      <c r="C52" s="6" t="s">
        <v>2096</v>
      </c>
      <c r="D52" s="1345">
        <v>0</v>
      </c>
      <c r="E52" s="1346">
        <v>0</v>
      </c>
      <c r="F52" s="1342" t="s">
        <v>2097</v>
      </c>
      <c r="G52" s="1408">
        <v>504</v>
      </c>
      <c r="H52" s="1353">
        <f>M486</f>
        <v>0</v>
      </c>
      <c r="I52" s="1353">
        <f>N486</f>
        <v>0</v>
      </c>
      <c r="K52" s="1391">
        <v>47</v>
      </c>
      <c r="L52" s="1391" t="s">
        <v>2098</v>
      </c>
      <c r="AA52">
        <v>295</v>
      </c>
      <c r="AB52">
        <v>8806</v>
      </c>
      <c r="AC52">
        <v>19020</v>
      </c>
      <c r="AE52">
        <v>4192</v>
      </c>
      <c r="AF52">
        <v>59739</v>
      </c>
      <c r="AG52">
        <v>59739</v>
      </c>
    </row>
    <row r="53" spans="2:33" ht="12.5">
      <c r="B53" s="5" t="s">
        <v>2099</v>
      </c>
      <c r="C53" s="6" t="s">
        <v>2100</v>
      </c>
      <c r="D53" s="1345">
        <v>0</v>
      </c>
      <c r="E53" s="1346">
        <v>0</v>
      </c>
      <c r="F53" s="1342" t="s">
        <v>2101</v>
      </c>
      <c r="G53" s="1408">
        <v>480</v>
      </c>
      <c r="H53" s="1353">
        <f>M462</f>
        <v>0</v>
      </c>
      <c r="I53" s="1353">
        <f>N462</f>
        <v>0</v>
      </c>
      <c r="K53" s="1391">
        <v>48</v>
      </c>
      <c r="L53" s="1391" t="s">
        <v>2102</v>
      </c>
      <c r="AA53">
        <v>297</v>
      </c>
      <c r="AB53">
        <v>10</v>
      </c>
      <c r="AC53">
        <v>21</v>
      </c>
      <c r="AE53">
        <v>4194</v>
      </c>
      <c r="AF53">
        <v>72232</v>
      </c>
      <c r="AG53">
        <v>72232</v>
      </c>
    </row>
    <row r="54" spans="2:33" ht="12.5">
      <c r="B54" s="5" t="s">
        <v>2103</v>
      </c>
      <c r="C54" s="6" t="s">
        <v>2104</v>
      </c>
      <c r="D54" s="1345">
        <v>0</v>
      </c>
      <c r="E54" s="1346">
        <v>0</v>
      </c>
      <c r="F54" s="1342" t="s">
        <v>2105</v>
      </c>
      <c r="G54" s="1408">
        <v>485</v>
      </c>
      <c r="H54" s="1353">
        <f>M467</f>
        <v>0</v>
      </c>
      <c r="I54" s="1353">
        <f>N467</f>
        <v>0</v>
      </c>
      <c r="K54" s="1391">
        <v>49</v>
      </c>
      <c r="L54" s="1391" t="s">
        <v>2106</v>
      </c>
      <c r="AA54">
        <v>299</v>
      </c>
      <c r="AB54">
        <v>13160</v>
      </c>
      <c r="AC54">
        <v>26103</v>
      </c>
      <c r="AE54">
        <v>4195</v>
      </c>
      <c r="AF54">
        <v>45848</v>
      </c>
      <c r="AG54">
        <v>273275</v>
      </c>
    </row>
    <row r="55" spans="2:33" ht="12.5">
      <c r="B55" s="5" t="s">
        <v>2107</v>
      </c>
      <c r="C55" s="6" t="s">
        <v>2108</v>
      </c>
      <c r="D55" s="1345">
        <v>0</v>
      </c>
      <c r="E55" s="1346">
        <v>0</v>
      </c>
      <c r="F55" s="1342" t="s">
        <v>2109</v>
      </c>
      <c r="G55" s="1408">
        <v>490</v>
      </c>
      <c r="H55" s="1353">
        <f>M472</f>
        <v>0</v>
      </c>
      <c r="I55" s="1353">
        <f>N472</f>
        <v>0</v>
      </c>
      <c r="K55" s="1391">
        <v>50</v>
      </c>
      <c r="L55" s="1391" t="s">
        <v>2110</v>
      </c>
      <c r="AA55">
        <v>300</v>
      </c>
      <c r="AB55">
        <v>17</v>
      </c>
      <c r="AC55">
        <v>36</v>
      </c>
      <c r="AE55">
        <v>4225</v>
      </c>
      <c r="AF55">
        <v>1045</v>
      </c>
      <c r="AG55">
        <v>1045</v>
      </c>
    </row>
    <row r="56" spans="2:33" ht="12.5">
      <c r="B56" s="5" t="s">
        <v>2111</v>
      </c>
      <c r="C56" s="6" t="s">
        <v>2112</v>
      </c>
      <c r="D56" s="1345">
        <v>0</v>
      </c>
      <c r="E56" s="1346">
        <v>0</v>
      </c>
      <c r="F56" s="1342" t="s">
        <v>2113</v>
      </c>
      <c r="G56" s="1408">
        <v>500</v>
      </c>
      <c r="H56" s="1353">
        <f>M482</f>
        <v>0</v>
      </c>
      <c r="I56" s="1353">
        <f>N482</f>
        <v>0</v>
      </c>
      <c r="K56" s="1391">
        <v>51</v>
      </c>
      <c r="L56" s="1391" t="s">
        <v>2114</v>
      </c>
      <c r="AA56">
        <v>301</v>
      </c>
      <c r="AB56">
        <v>68</v>
      </c>
      <c r="AC56">
        <v>201</v>
      </c>
      <c r="AE56">
        <v>4227</v>
      </c>
      <c r="AF56">
        <v>687</v>
      </c>
      <c r="AG56">
        <v>687</v>
      </c>
    </row>
    <row r="57" spans="2:33" ht="12.5">
      <c r="B57" s="5" t="s">
        <v>2115</v>
      </c>
      <c r="C57" s="6" t="s">
        <v>2116</v>
      </c>
      <c r="D57" s="1345">
        <v>0</v>
      </c>
      <c r="E57" s="1346">
        <v>0</v>
      </c>
      <c r="F57" s="1342" t="s">
        <v>2117</v>
      </c>
      <c r="G57" s="1408">
        <v>505</v>
      </c>
      <c r="H57" s="1353">
        <f>M487</f>
        <v>0</v>
      </c>
      <c r="I57" s="1353">
        <f>N487</f>
        <v>0</v>
      </c>
      <c r="K57" s="1391">
        <v>52</v>
      </c>
      <c r="L57" s="1391" t="s">
        <v>2118</v>
      </c>
      <c r="AA57">
        <v>302</v>
      </c>
      <c r="AB57">
        <v>0</v>
      </c>
      <c r="AC57">
        <v>15</v>
      </c>
      <c r="AE57">
        <v>4229</v>
      </c>
      <c r="AF57">
        <v>3564</v>
      </c>
      <c r="AG57">
        <v>3564</v>
      </c>
    </row>
    <row r="58" spans="2:33" ht="12.5">
      <c r="B58" s="5" t="s">
        <v>2119</v>
      </c>
      <c r="C58" s="6" t="s">
        <v>2119</v>
      </c>
      <c r="D58" s="1347">
        <v>0</v>
      </c>
      <c r="E58" s="1346">
        <v>0</v>
      </c>
      <c r="F58" s="1342" t="s">
        <v>2120</v>
      </c>
      <c r="G58" s="1408">
        <v>514</v>
      </c>
      <c r="H58" s="1353">
        <f>M496</f>
        <v>0</v>
      </c>
      <c r="I58" s="1353">
        <f>N496</f>
        <v>0</v>
      </c>
      <c r="K58" s="1391">
        <v>53</v>
      </c>
      <c r="L58" s="1391" t="s">
        <v>2121</v>
      </c>
      <c r="AA58">
        <v>303</v>
      </c>
      <c r="AB58">
        <v>2</v>
      </c>
      <c r="AC58">
        <v>7</v>
      </c>
      <c r="AE58">
        <v>4230</v>
      </c>
      <c r="AF58">
        <v>-712</v>
      </c>
      <c r="AG58">
        <v>3452</v>
      </c>
    </row>
    <row r="59" spans="2:33" ht="12.5">
      <c r="B59" s="5" t="s">
        <v>2122</v>
      </c>
      <c r="C59" s="6" t="s">
        <v>2123</v>
      </c>
      <c r="D59" s="1345">
        <v>0</v>
      </c>
      <c r="E59" s="1348">
        <v>0.3</v>
      </c>
      <c r="F59" s="1342" t="s">
        <v>2124</v>
      </c>
      <c r="G59" s="1408">
        <v>402</v>
      </c>
      <c r="H59" s="1353">
        <f t="shared" ref="H59:I61" si="1">M384</f>
        <v>0</v>
      </c>
      <c r="I59" s="1411">
        <f t="shared" si="1"/>
        <v>0</v>
      </c>
      <c r="K59" s="1391">
        <v>54</v>
      </c>
      <c r="L59" s="1391" t="s">
        <v>2125</v>
      </c>
      <c r="AA59">
        <v>304</v>
      </c>
      <c r="AB59">
        <v>0.2</v>
      </c>
      <c r="AC59">
        <v>0.2</v>
      </c>
      <c r="AE59">
        <v>4261</v>
      </c>
      <c r="AF59">
        <v>660164</v>
      </c>
      <c r="AG59">
        <v>1938624</v>
      </c>
    </row>
    <row r="60" spans="2:33" ht="12.5">
      <c r="B60" s="5" t="s">
        <v>2126</v>
      </c>
      <c r="C60" s="6" t="s">
        <v>2127</v>
      </c>
      <c r="D60" s="1345">
        <v>0</v>
      </c>
      <c r="E60" s="1348">
        <v>1</v>
      </c>
      <c r="F60" s="1342" t="s">
        <v>2128</v>
      </c>
      <c r="G60" s="1408">
        <v>403</v>
      </c>
      <c r="H60" s="1353">
        <f t="shared" si="1"/>
        <v>0</v>
      </c>
      <c r="I60" s="1411">
        <f t="shared" si="1"/>
        <v>0</v>
      </c>
      <c r="K60" s="1391">
        <v>55</v>
      </c>
      <c r="L60" s="1391" t="s">
        <v>2129</v>
      </c>
      <c r="AA60">
        <v>305</v>
      </c>
      <c r="AB60">
        <v>70</v>
      </c>
      <c r="AC60">
        <v>208</v>
      </c>
      <c r="AE60">
        <v>4266</v>
      </c>
      <c r="AF60">
        <v>58429</v>
      </c>
      <c r="AG60">
        <v>553822</v>
      </c>
    </row>
    <row r="61" spans="2:33" ht="12.5">
      <c r="B61" s="5" t="s">
        <v>2130</v>
      </c>
      <c r="C61" s="6" t="s">
        <v>2131</v>
      </c>
      <c r="D61" s="1345">
        <v>0</v>
      </c>
      <c r="E61" s="1348">
        <v>5</v>
      </c>
      <c r="F61" s="1342" t="s">
        <v>2132</v>
      </c>
      <c r="G61" s="1408">
        <v>404</v>
      </c>
      <c r="H61" s="1353">
        <f t="shared" si="1"/>
        <v>0</v>
      </c>
      <c r="I61" s="1411">
        <f t="shared" si="1"/>
        <v>0</v>
      </c>
      <c r="K61" s="1391">
        <v>56</v>
      </c>
      <c r="L61" s="1391" t="s">
        <v>2133</v>
      </c>
      <c r="AA61">
        <v>306</v>
      </c>
      <c r="AB61">
        <v>87</v>
      </c>
      <c r="AC61">
        <v>244</v>
      </c>
      <c r="AE61">
        <v>4267</v>
      </c>
      <c r="AF61">
        <v>262603</v>
      </c>
      <c r="AG61">
        <v>394867</v>
      </c>
    </row>
    <row r="62" spans="2:33" ht="12.5">
      <c r="B62" s="5" t="s">
        <v>2134</v>
      </c>
      <c r="C62" s="6"/>
      <c r="D62" s="1345">
        <v>0</v>
      </c>
      <c r="E62" s="1348">
        <v>0</v>
      </c>
      <c r="F62" s="2223" t="s">
        <v>2135</v>
      </c>
      <c r="G62" s="1408">
        <v>100205</v>
      </c>
      <c r="H62" s="1353">
        <f>M2732</f>
        <v>0</v>
      </c>
      <c r="I62" s="1411">
        <f>N2732</f>
        <v>0</v>
      </c>
      <c r="K62" s="1391">
        <v>57</v>
      </c>
      <c r="L62" s="1391" t="s">
        <v>2136</v>
      </c>
      <c r="AA62">
        <v>307</v>
      </c>
      <c r="AB62">
        <v>152</v>
      </c>
      <c r="AC62">
        <v>400</v>
      </c>
      <c r="AE62">
        <v>4268</v>
      </c>
      <c r="AF62">
        <v>55628</v>
      </c>
      <c r="AG62">
        <v>341001</v>
      </c>
    </row>
    <row r="63" spans="2:33" ht="12.5">
      <c r="B63" s="5" t="s">
        <v>2137</v>
      </c>
      <c r="C63" s="6" t="s">
        <v>2138</v>
      </c>
      <c r="D63" s="1345">
        <v>0</v>
      </c>
      <c r="E63" s="1348">
        <v>1</v>
      </c>
      <c r="F63" s="1342" t="s">
        <v>2139</v>
      </c>
      <c r="G63" s="1408">
        <v>405</v>
      </c>
      <c r="H63" s="1353">
        <f>M387</f>
        <v>0</v>
      </c>
      <c r="I63" s="1411">
        <f>N387</f>
        <v>0</v>
      </c>
      <c r="K63" s="1391">
        <v>58</v>
      </c>
      <c r="L63" s="1391" t="s">
        <v>2140</v>
      </c>
      <c r="AA63">
        <v>308</v>
      </c>
      <c r="AB63">
        <v>201</v>
      </c>
      <c r="AC63">
        <v>527</v>
      </c>
      <c r="AE63">
        <v>4296</v>
      </c>
      <c r="AF63">
        <v>25609</v>
      </c>
      <c r="AG63">
        <v>81495</v>
      </c>
    </row>
    <row r="64" spans="2:33" ht="12.5">
      <c r="B64" s="5" t="s">
        <v>2141</v>
      </c>
      <c r="C64" s="6" t="s">
        <v>2142</v>
      </c>
      <c r="D64" s="1345">
        <v>0</v>
      </c>
      <c r="E64" s="1348">
        <v>0</v>
      </c>
      <c r="F64" s="1342" t="s">
        <v>2143</v>
      </c>
      <c r="G64" s="1408">
        <v>406</v>
      </c>
      <c r="H64" s="1353">
        <f>M388</f>
        <v>0</v>
      </c>
      <c r="I64" s="1411">
        <f>N388</f>
        <v>0</v>
      </c>
      <c r="K64" s="1391">
        <v>59</v>
      </c>
      <c r="L64" s="1391" t="s">
        <v>2144</v>
      </c>
      <c r="AA64">
        <v>317</v>
      </c>
      <c r="AB64">
        <v>30</v>
      </c>
      <c r="AC64">
        <v>78</v>
      </c>
      <c r="AE64">
        <v>4301</v>
      </c>
      <c r="AF64">
        <v>1129</v>
      </c>
      <c r="AG64">
        <v>17238</v>
      </c>
    </row>
    <row r="65" spans="2:33" ht="12.5">
      <c r="B65" s="5" t="s">
        <v>2145</v>
      </c>
      <c r="C65" s="6" t="s">
        <v>2146</v>
      </c>
      <c r="D65" s="1345">
        <v>0</v>
      </c>
      <c r="E65" s="1348">
        <v>0</v>
      </c>
      <c r="F65" s="1342" t="s">
        <v>2147</v>
      </c>
      <c r="G65" s="1408">
        <v>408</v>
      </c>
      <c r="H65" s="1353">
        <f t="shared" ref="H65:I69" si="2">M390</f>
        <v>0</v>
      </c>
      <c r="I65" s="1411">
        <f t="shared" si="2"/>
        <v>0</v>
      </c>
      <c r="K65" s="1391">
        <v>60</v>
      </c>
      <c r="L65" s="1391" t="s">
        <v>2148</v>
      </c>
      <c r="AA65">
        <v>319</v>
      </c>
      <c r="AB65">
        <v>4</v>
      </c>
      <c r="AC65">
        <v>23</v>
      </c>
      <c r="AE65">
        <v>4302</v>
      </c>
      <c r="AF65">
        <v>6353</v>
      </c>
      <c r="AG65">
        <v>9177</v>
      </c>
    </row>
    <row r="66" spans="2:33" ht="12.5">
      <c r="B66" s="5" t="s">
        <v>2149</v>
      </c>
      <c r="C66" s="6" t="s">
        <v>2150</v>
      </c>
      <c r="D66" s="1345">
        <v>0</v>
      </c>
      <c r="E66" s="1348">
        <v>0</v>
      </c>
      <c r="F66" s="1342" t="s">
        <v>2151</v>
      </c>
      <c r="G66" s="1408">
        <v>409</v>
      </c>
      <c r="H66" s="1353">
        <f t="shared" si="2"/>
        <v>0</v>
      </c>
      <c r="I66" s="1411">
        <f t="shared" si="2"/>
        <v>0</v>
      </c>
      <c r="K66" s="1391">
        <v>61</v>
      </c>
      <c r="L66" s="1391" t="s">
        <v>2152</v>
      </c>
      <c r="AA66">
        <v>320</v>
      </c>
      <c r="AB66">
        <v>0.38500000000000001</v>
      </c>
      <c r="AC66">
        <v>0.3755</v>
      </c>
      <c r="AE66">
        <v>4303</v>
      </c>
      <c r="AF66">
        <v>6689</v>
      </c>
      <c r="AG66">
        <v>16947</v>
      </c>
    </row>
    <row r="67" spans="2:33" ht="12.5">
      <c r="B67" s="5" t="s">
        <v>2153</v>
      </c>
      <c r="C67" s="6" t="s">
        <v>2154</v>
      </c>
      <c r="D67" s="1345">
        <v>0</v>
      </c>
      <c r="E67" s="1348">
        <v>0.2</v>
      </c>
      <c r="F67" s="1342" t="s">
        <v>2155</v>
      </c>
      <c r="G67" s="1408">
        <v>410</v>
      </c>
      <c r="H67" s="1353">
        <f t="shared" si="2"/>
        <v>0</v>
      </c>
      <c r="I67" s="1411">
        <f t="shared" si="2"/>
        <v>0</v>
      </c>
      <c r="K67" s="1391">
        <v>62</v>
      </c>
      <c r="L67" s="1391" t="s">
        <v>2156</v>
      </c>
      <c r="AA67">
        <v>322</v>
      </c>
      <c r="AB67">
        <v>0</v>
      </c>
      <c r="AC67">
        <v>1</v>
      </c>
      <c r="AE67">
        <v>4329</v>
      </c>
      <c r="AF67">
        <v>67073</v>
      </c>
      <c r="AG67">
        <v>142734</v>
      </c>
    </row>
    <row r="68" spans="2:33" ht="12.5">
      <c r="B68" s="5" t="s">
        <v>2157</v>
      </c>
      <c r="C68" s="6" t="s">
        <v>2158</v>
      </c>
      <c r="D68" s="1345">
        <v>0</v>
      </c>
      <c r="E68" s="1348">
        <v>1</v>
      </c>
      <c r="F68" s="1342" t="s">
        <v>2159</v>
      </c>
      <c r="G68" s="1408">
        <v>411</v>
      </c>
      <c r="H68" s="1353">
        <f t="shared" si="2"/>
        <v>0</v>
      </c>
      <c r="I68" s="1411">
        <f t="shared" si="2"/>
        <v>0</v>
      </c>
      <c r="K68" s="1391">
        <v>63</v>
      </c>
      <c r="L68" s="1391" t="s">
        <v>2160</v>
      </c>
      <c r="AA68">
        <v>324</v>
      </c>
      <c r="AB68">
        <v>11</v>
      </c>
      <c r="AC68">
        <v>24</v>
      </c>
      <c r="AE68">
        <v>4330</v>
      </c>
      <c r="AF68">
        <v>127699</v>
      </c>
      <c r="AG68">
        <v>127699</v>
      </c>
    </row>
    <row r="69" spans="2:33" ht="12.5">
      <c r="B69" s="5" t="s">
        <v>2161</v>
      </c>
      <c r="C69" s="6" t="s">
        <v>2162</v>
      </c>
      <c r="D69" s="1345">
        <v>0</v>
      </c>
      <c r="E69" s="1348">
        <v>1</v>
      </c>
      <c r="F69" s="1342" t="s">
        <v>2163</v>
      </c>
      <c r="G69" s="1408">
        <v>412</v>
      </c>
      <c r="H69" s="1353">
        <f t="shared" si="2"/>
        <v>0</v>
      </c>
      <c r="I69" s="1411">
        <f t="shared" si="2"/>
        <v>0</v>
      </c>
      <c r="K69" s="1391">
        <v>64</v>
      </c>
      <c r="L69" s="1391" t="s">
        <v>2164</v>
      </c>
      <c r="AA69">
        <v>325</v>
      </c>
      <c r="AB69">
        <v>10</v>
      </c>
      <c r="AC69">
        <v>17</v>
      </c>
      <c r="AE69">
        <v>4331</v>
      </c>
      <c r="AF69">
        <v>161228</v>
      </c>
      <c r="AG69">
        <v>161228</v>
      </c>
    </row>
    <row r="70" spans="2:33" ht="12.5">
      <c r="B70" s="5" t="s">
        <v>2165</v>
      </c>
      <c r="C70" s="6"/>
      <c r="D70" s="1345">
        <v>0</v>
      </c>
      <c r="E70" s="1348">
        <v>0</v>
      </c>
      <c r="F70" s="2223" t="s">
        <v>2166</v>
      </c>
      <c r="G70" s="1408">
        <v>100206</v>
      </c>
      <c r="H70" s="1353">
        <f>M2733</f>
        <v>0</v>
      </c>
      <c r="I70" s="1411">
        <f>N2733</f>
        <v>0</v>
      </c>
      <c r="K70" s="1391">
        <v>65</v>
      </c>
      <c r="L70" s="1391" t="s">
        <v>2167</v>
      </c>
      <c r="AA70">
        <v>326</v>
      </c>
      <c r="AB70">
        <v>3</v>
      </c>
      <c r="AC70">
        <v>4</v>
      </c>
      <c r="AE70">
        <v>4364</v>
      </c>
      <c r="AF70">
        <v>1798</v>
      </c>
      <c r="AG70">
        <v>5208</v>
      </c>
    </row>
    <row r="71" spans="2:33" ht="12.5">
      <c r="B71" s="5" t="s">
        <v>2168</v>
      </c>
      <c r="C71" s="6" t="s">
        <v>2169</v>
      </c>
      <c r="D71" s="1345">
        <v>0</v>
      </c>
      <c r="E71" s="1348">
        <v>1</v>
      </c>
      <c r="F71" s="1342" t="s">
        <v>2170</v>
      </c>
      <c r="G71" s="1408">
        <v>413</v>
      </c>
      <c r="H71" s="1353">
        <f>M395</f>
        <v>0</v>
      </c>
      <c r="I71" s="1411">
        <f>N395</f>
        <v>0</v>
      </c>
      <c r="K71" s="1391">
        <v>66</v>
      </c>
      <c r="L71" s="1391" t="s">
        <v>2171</v>
      </c>
      <c r="AA71">
        <v>329</v>
      </c>
      <c r="AB71">
        <v>2</v>
      </c>
      <c r="AC71">
        <v>7</v>
      </c>
      <c r="AE71">
        <v>4365</v>
      </c>
      <c r="AF71">
        <v>4894</v>
      </c>
      <c r="AG71">
        <v>4894</v>
      </c>
    </row>
    <row r="72" spans="2:33" ht="12.5">
      <c r="B72" s="5" t="s">
        <v>2172</v>
      </c>
      <c r="C72" s="6" t="s">
        <v>2173</v>
      </c>
      <c r="D72" s="1345">
        <v>0</v>
      </c>
      <c r="E72" s="1348">
        <v>2</v>
      </c>
      <c r="F72" s="1342" t="s">
        <v>2174</v>
      </c>
      <c r="G72" s="1408">
        <v>414</v>
      </c>
      <c r="H72" s="1353">
        <f>M396</f>
        <v>0</v>
      </c>
      <c r="I72" s="1411">
        <f>N396</f>
        <v>0</v>
      </c>
      <c r="K72" s="1391">
        <v>67</v>
      </c>
      <c r="L72" s="1391" t="s">
        <v>2175</v>
      </c>
      <c r="AA72">
        <v>333</v>
      </c>
      <c r="AB72">
        <v>3</v>
      </c>
      <c r="AC72">
        <v>3</v>
      </c>
      <c r="AE72">
        <v>4366</v>
      </c>
      <c r="AF72">
        <v>7723</v>
      </c>
      <c r="AG72">
        <v>7723</v>
      </c>
    </row>
    <row r="73" spans="2:33" ht="12.5">
      <c r="B73" s="5" t="s">
        <v>2176</v>
      </c>
      <c r="C73" s="6" t="s">
        <v>2177</v>
      </c>
      <c r="D73" s="1345">
        <v>0</v>
      </c>
      <c r="E73" s="1348">
        <v>0</v>
      </c>
      <c r="F73" s="1342" t="s">
        <v>2178</v>
      </c>
      <c r="G73" s="1408">
        <v>416</v>
      </c>
      <c r="H73" s="1353">
        <f t="shared" ref="H73:I77" si="3">M398</f>
        <v>0</v>
      </c>
      <c r="I73" s="1411">
        <f t="shared" si="3"/>
        <v>0</v>
      </c>
      <c r="K73" s="1391">
        <v>68</v>
      </c>
      <c r="L73" s="1391" t="s">
        <v>2179</v>
      </c>
      <c r="AA73">
        <v>334</v>
      </c>
      <c r="AB73">
        <v>3</v>
      </c>
      <c r="AC73">
        <v>3</v>
      </c>
      <c r="AE73">
        <v>4400</v>
      </c>
      <c r="AF73">
        <v>0</v>
      </c>
      <c r="AG73">
        <v>613353</v>
      </c>
    </row>
    <row r="74" spans="2:33" ht="12.5">
      <c r="B74" s="5" t="s">
        <v>2180</v>
      </c>
      <c r="C74" s="6" t="s">
        <v>2181</v>
      </c>
      <c r="D74" s="1345">
        <v>0</v>
      </c>
      <c r="E74" s="1348">
        <v>0</v>
      </c>
      <c r="F74" s="1342" t="s">
        <v>2182</v>
      </c>
      <c r="G74" s="1408">
        <v>417</v>
      </c>
      <c r="H74" s="1353">
        <f t="shared" si="3"/>
        <v>0</v>
      </c>
      <c r="I74" s="1411">
        <f t="shared" si="3"/>
        <v>0</v>
      </c>
      <c r="K74" s="1391">
        <v>69</v>
      </c>
      <c r="L74" s="1391" t="s">
        <v>2183</v>
      </c>
      <c r="AA74">
        <v>335</v>
      </c>
      <c r="AB74">
        <v>145</v>
      </c>
      <c r="AC74">
        <v>145</v>
      </c>
      <c r="AE74">
        <v>4435</v>
      </c>
      <c r="AF74">
        <v>184</v>
      </c>
      <c r="AG74">
        <v>37306</v>
      </c>
    </row>
    <row r="75" spans="2:33" ht="12.5">
      <c r="B75" s="5" t="s">
        <v>2184</v>
      </c>
      <c r="C75" s="6" t="s">
        <v>2185</v>
      </c>
      <c r="D75" s="1345">
        <v>0</v>
      </c>
      <c r="E75" s="1348">
        <v>0.3</v>
      </c>
      <c r="F75" s="1342" t="s">
        <v>2186</v>
      </c>
      <c r="G75" s="1408">
        <v>418</v>
      </c>
      <c r="H75" s="1353">
        <f t="shared" si="3"/>
        <v>0</v>
      </c>
      <c r="I75" s="1411">
        <f t="shared" si="3"/>
        <v>0</v>
      </c>
      <c r="K75" s="1391">
        <v>70</v>
      </c>
      <c r="L75" s="1391" t="s">
        <v>2187</v>
      </c>
      <c r="AA75">
        <v>336</v>
      </c>
      <c r="AB75">
        <v>145</v>
      </c>
      <c r="AC75">
        <v>145</v>
      </c>
      <c r="AE75">
        <v>4470</v>
      </c>
      <c r="AF75">
        <v>40750</v>
      </c>
      <c r="AG75">
        <v>81094</v>
      </c>
    </row>
    <row r="76" spans="2:33" ht="12.5">
      <c r="B76" s="5" t="s">
        <v>2188</v>
      </c>
      <c r="C76" s="6" t="s">
        <v>2189</v>
      </c>
      <c r="D76" s="1345">
        <v>0</v>
      </c>
      <c r="E76" s="1348">
        <v>0</v>
      </c>
      <c r="F76" s="1342" t="s">
        <v>2190</v>
      </c>
      <c r="G76" s="1408">
        <v>419</v>
      </c>
      <c r="H76" s="1353">
        <f t="shared" si="3"/>
        <v>0</v>
      </c>
      <c r="I76" s="1411">
        <f t="shared" si="3"/>
        <v>0</v>
      </c>
      <c r="K76" s="1391">
        <v>71</v>
      </c>
      <c r="L76" s="1391" t="s">
        <v>2191</v>
      </c>
      <c r="AA76">
        <v>340</v>
      </c>
      <c r="AB76">
        <v>101989</v>
      </c>
      <c r="AC76">
        <v>101989</v>
      </c>
      <c r="AE76">
        <v>4472</v>
      </c>
      <c r="AF76">
        <v>252288</v>
      </c>
      <c r="AG76">
        <v>252288</v>
      </c>
    </row>
    <row r="77" spans="2:33" ht="12.5">
      <c r="B77" s="5" t="s">
        <v>2192</v>
      </c>
      <c r="C77" s="6" t="s">
        <v>2193</v>
      </c>
      <c r="D77" s="1345">
        <v>0</v>
      </c>
      <c r="E77" s="1348">
        <v>0</v>
      </c>
      <c r="F77" s="1342" t="s">
        <v>2194</v>
      </c>
      <c r="G77" s="1408">
        <v>420</v>
      </c>
      <c r="H77" s="1353">
        <f t="shared" si="3"/>
        <v>0</v>
      </c>
      <c r="I77" s="1411">
        <f t="shared" si="3"/>
        <v>0</v>
      </c>
      <c r="K77" s="1391">
        <v>72</v>
      </c>
      <c r="L77" s="1391" t="s">
        <v>2195</v>
      </c>
      <c r="AA77">
        <v>341</v>
      </c>
      <c r="AB77">
        <v>9763842</v>
      </c>
      <c r="AC77">
        <v>9763842</v>
      </c>
      <c r="AE77">
        <v>4476</v>
      </c>
      <c r="AF77">
        <v>0</v>
      </c>
      <c r="AG77">
        <v>312976</v>
      </c>
    </row>
    <row r="78" spans="2:33" ht="12.5">
      <c r="B78" s="5" t="s">
        <v>2196</v>
      </c>
      <c r="C78" s="6"/>
      <c r="D78" s="1345">
        <v>0</v>
      </c>
      <c r="E78" s="1348">
        <v>0</v>
      </c>
      <c r="F78" s="2223" t="s">
        <v>2197</v>
      </c>
      <c r="G78" s="1408">
        <v>100207</v>
      </c>
      <c r="H78" s="1353">
        <f>M2734</f>
        <v>0</v>
      </c>
      <c r="I78" s="1411">
        <f>N2734</f>
        <v>0</v>
      </c>
      <c r="K78" s="1391">
        <v>73</v>
      </c>
      <c r="L78" s="1391" t="s">
        <v>2198</v>
      </c>
      <c r="AA78">
        <v>370</v>
      </c>
      <c r="AB78">
        <v>42</v>
      </c>
      <c r="AC78">
        <v>42</v>
      </c>
      <c r="AE78">
        <v>4477</v>
      </c>
      <c r="AF78">
        <v>873247</v>
      </c>
      <c r="AG78">
        <v>1764279</v>
      </c>
    </row>
    <row r="79" spans="2:33" ht="12.5">
      <c r="B79" s="5" t="s">
        <v>2199</v>
      </c>
      <c r="C79" s="6" t="s">
        <v>2200</v>
      </c>
      <c r="D79" s="1345">
        <v>0</v>
      </c>
      <c r="E79" s="1348">
        <v>0</v>
      </c>
      <c r="F79" s="1342" t="s">
        <v>2201</v>
      </c>
      <c r="G79" s="1408">
        <v>421</v>
      </c>
      <c r="H79" s="1353">
        <f>M403</f>
        <v>0</v>
      </c>
      <c r="I79" s="1411">
        <f>N403</f>
        <v>0</v>
      </c>
      <c r="K79" s="1391">
        <v>74</v>
      </c>
      <c r="L79" s="1391" t="s">
        <v>2202</v>
      </c>
      <c r="AA79">
        <v>371</v>
      </c>
      <c r="AB79">
        <v>106</v>
      </c>
      <c r="AC79">
        <v>106</v>
      </c>
      <c r="AE79">
        <v>4478</v>
      </c>
      <c r="AF79">
        <v>426655</v>
      </c>
      <c r="AG79">
        <v>749601</v>
      </c>
    </row>
    <row r="80" spans="2:33" ht="12.5">
      <c r="B80" s="5" t="s">
        <v>2203</v>
      </c>
      <c r="C80" s="6" t="s">
        <v>2204</v>
      </c>
      <c r="D80" s="1345">
        <v>0</v>
      </c>
      <c r="E80" s="1348">
        <v>0</v>
      </c>
      <c r="F80" s="1342" t="s">
        <v>2205</v>
      </c>
      <c r="G80" s="1408">
        <v>422</v>
      </c>
      <c r="H80" s="1353">
        <f>M404</f>
        <v>0</v>
      </c>
      <c r="I80" s="1411">
        <f>N404</f>
        <v>0</v>
      </c>
      <c r="K80" s="1391">
        <v>75</v>
      </c>
      <c r="L80" s="1391" t="s">
        <v>2206</v>
      </c>
      <c r="AA80">
        <v>372</v>
      </c>
      <c r="AB80">
        <v>917443</v>
      </c>
      <c r="AC80">
        <v>917443</v>
      </c>
      <c r="AE80">
        <v>4482</v>
      </c>
      <c r="AF80">
        <v>0</v>
      </c>
      <c r="AG80">
        <v>53900</v>
      </c>
    </row>
    <row r="81" spans="2:33" ht="12.5">
      <c r="B81" s="5" t="s">
        <v>2207</v>
      </c>
      <c r="C81" s="6" t="s">
        <v>2208</v>
      </c>
      <c r="D81" s="1345">
        <v>0</v>
      </c>
      <c r="E81" s="1348">
        <v>0</v>
      </c>
      <c r="F81" s="1342" t="s">
        <v>2209</v>
      </c>
      <c r="G81" s="1408">
        <v>424</v>
      </c>
      <c r="H81" s="1353">
        <f t="shared" ref="H81:I85" si="4">M406</f>
        <v>0</v>
      </c>
      <c r="I81" s="1411">
        <f t="shared" si="4"/>
        <v>0</v>
      </c>
      <c r="K81" s="1391">
        <v>76</v>
      </c>
      <c r="L81" s="1391" t="s">
        <v>2210</v>
      </c>
      <c r="AA81">
        <v>373</v>
      </c>
      <c r="AB81">
        <v>4215202</v>
      </c>
      <c r="AC81">
        <v>4215202</v>
      </c>
      <c r="AE81">
        <v>4505</v>
      </c>
      <c r="AF81">
        <v>1766</v>
      </c>
      <c r="AG81">
        <v>3029</v>
      </c>
    </row>
    <row r="82" spans="2:33" ht="12.5">
      <c r="B82" s="5" t="s">
        <v>2211</v>
      </c>
      <c r="C82" s="6" t="s">
        <v>2212</v>
      </c>
      <c r="D82" s="1345">
        <v>0</v>
      </c>
      <c r="E82" s="1348">
        <v>0</v>
      </c>
      <c r="F82" s="1342" t="s">
        <v>2213</v>
      </c>
      <c r="G82" s="1408">
        <v>425</v>
      </c>
      <c r="H82" s="1353">
        <f t="shared" si="4"/>
        <v>0</v>
      </c>
      <c r="I82" s="1411">
        <f t="shared" si="4"/>
        <v>0</v>
      </c>
      <c r="K82" s="1391">
        <v>77</v>
      </c>
      <c r="L82" s="1391" t="s">
        <v>2214</v>
      </c>
      <c r="AA82">
        <v>374</v>
      </c>
      <c r="AB82">
        <v>14</v>
      </c>
      <c r="AC82">
        <v>14</v>
      </c>
      <c r="AE82">
        <v>4507</v>
      </c>
      <c r="AF82">
        <v>11985</v>
      </c>
      <c r="AG82">
        <v>11985</v>
      </c>
    </row>
    <row r="83" spans="2:33" ht="12.5">
      <c r="B83" s="5" t="s">
        <v>2215</v>
      </c>
      <c r="C83" s="6" t="s">
        <v>2216</v>
      </c>
      <c r="D83" s="1345">
        <v>0</v>
      </c>
      <c r="E83" s="1348">
        <v>0</v>
      </c>
      <c r="F83" s="1342" t="s">
        <v>2217</v>
      </c>
      <c r="G83" s="1408">
        <v>426</v>
      </c>
      <c r="H83" s="1353">
        <f t="shared" si="4"/>
        <v>0</v>
      </c>
      <c r="I83" s="1411">
        <f t="shared" si="4"/>
        <v>0</v>
      </c>
      <c r="K83" s="1391">
        <v>78</v>
      </c>
      <c r="L83" s="1391" t="s">
        <v>2218</v>
      </c>
      <c r="AA83">
        <v>375</v>
      </c>
      <c r="AB83">
        <v>120</v>
      </c>
      <c r="AC83">
        <v>120</v>
      </c>
      <c r="AE83">
        <v>4511</v>
      </c>
      <c r="AF83">
        <v>0</v>
      </c>
      <c r="AG83">
        <v>7595</v>
      </c>
    </row>
    <row r="84" spans="2:33" ht="12.5">
      <c r="B84" s="5" t="s">
        <v>2219</v>
      </c>
      <c r="C84" s="6" t="s">
        <v>2220</v>
      </c>
      <c r="D84" s="1345">
        <v>0</v>
      </c>
      <c r="E84" s="1348">
        <v>0</v>
      </c>
      <c r="F84" s="1342" t="s">
        <v>2221</v>
      </c>
      <c r="G84" s="1408">
        <v>427</v>
      </c>
      <c r="H84" s="1353">
        <f t="shared" si="4"/>
        <v>0</v>
      </c>
      <c r="I84" s="1411">
        <f t="shared" si="4"/>
        <v>0</v>
      </c>
      <c r="K84" s="1391">
        <v>79</v>
      </c>
      <c r="L84" s="1391" t="s">
        <v>2222</v>
      </c>
      <c r="AA84">
        <v>376</v>
      </c>
      <c r="AB84">
        <v>372484</v>
      </c>
      <c r="AC84">
        <v>372484</v>
      </c>
      <c r="AE84">
        <v>4512</v>
      </c>
      <c r="AF84">
        <v>38009</v>
      </c>
      <c r="AG84">
        <v>75042</v>
      </c>
    </row>
    <row r="85" spans="2:33" ht="12.5">
      <c r="B85" s="5" t="s">
        <v>2223</v>
      </c>
      <c r="C85" s="6" t="s">
        <v>2224</v>
      </c>
      <c r="D85" s="1345">
        <v>0</v>
      </c>
      <c r="E85" s="1348">
        <v>0</v>
      </c>
      <c r="F85" s="1342" t="s">
        <v>2225</v>
      </c>
      <c r="G85" s="1408">
        <v>428</v>
      </c>
      <c r="H85" s="1353">
        <f t="shared" si="4"/>
        <v>0</v>
      </c>
      <c r="I85" s="1411">
        <f t="shared" si="4"/>
        <v>0</v>
      </c>
      <c r="K85" s="1391">
        <v>80</v>
      </c>
      <c r="L85" s="1391" t="s">
        <v>2226</v>
      </c>
      <c r="AA85">
        <v>377</v>
      </c>
      <c r="AB85">
        <v>5538887</v>
      </c>
      <c r="AC85">
        <v>5538887</v>
      </c>
      <c r="AE85">
        <v>4513</v>
      </c>
      <c r="AF85">
        <v>19480</v>
      </c>
      <c r="AG85">
        <v>33623</v>
      </c>
    </row>
    <row r="86" spans="2:33" ht="12.5">
      <c r="B86" s="5" t="s">
        <v>2227</v>
      </c>
      <c r="C86" s="6" t="s">
        <v>2228</v>
      </c>
      <c r="D86" s="1345">
        <v>0</v>
      </c>
      <c r="E86" s="1348">
        <v>0</v>
      </c>
      <c r="F86" s="1342" t="s">
        <v>2229</v>
      </c>
      <c r="G86" s="1408">
        <v>430</v>
      </c>
      <c r="H86" s="1353">
        <f t="shared" ref="H86:I90" si="5">M412</f>
        <v>0</v>
      </c>
      <c r="I86" s="1411">
        <f t="shared" si="5"/>
        <v>0</v>
      </c>
      <c r="K86" s="1391">
        <v>81</v>
      </c>
      <c r="L86" s="1391" t="s">
        <v>2230</v>
      </c>
      <c r="AA86">
        <v>378</v>
      </c>
      <c r="AB86">
        <v>56</v>
      </c>
      <c r="AC86">
        <v>56</v>
      </c>
      <c r="AE86">
        <v>4517</v>
      </c>
      <c r="AF86">
        <v>0</v>
      </c>
      <c r="AG86">
        <v>-416</v>
      </c>
    </row>
    <row r="87" spans="2:33" ht="12.5">
      <c r="B87" s="5" t="s">
        <v>2231</v>
      </c>
      <c r="C87" s="6" t="s">
        <v>2232</v>
      </c>
      <c r="D87" s="1345">
        <v>0</v>
      </c>
      <c r="E87" s="1348">
        <v>0</v>
      </c>
      <c r="F87" s="1342" t="s">
        <v>2233</v>
      </c>
      <c r="G87" s="1408">
        <v>431</v>
      </c>
      <c r="H87" s="1353">
        <f t="shared" si="5"/>
        <v>0</v>
      </c>
      <c r="I87" s="1411">
        <f t="shared" si="5"/>
        <v>0</v>
      </c>
      <c r="K87" s="1391">
        <v>82</v>
      </c>
      <c r="L87" s="1391" t="s">
        <v>2234</v>
      </c>
      <c r="AA87">
        <v>379</v>
      </c>
      <c r="AB87">
        <v>226</v>
      </c>
      <c r="AC87">
        <v>226</v>
      </c>
    </row>
    <row r="88" spans="2:33" ht="12.5">
      <c r="B88" s="5" t="s">
        <v>2235</v>
      </c>
      <c r="C88" s="6" t="s">
        <v>2236</v>
      </c>
      <c r="D88" s="1345">
        <v>0</v>
      </c>
      <c r="E88" s="1348">
        <v>0</v>
      </c>
      <c r="F88" s="1342" t="s">
        <v>2237</v>
      </c>
      <c r="G88" s="1408">
        <v>432</v>
      </c>
      <c r="H88" s="1353">
        <f t="shared" si="5"/>
        <v>0</v>
      </c>
      <c r="I88" s="1411">
        <f t="shared" si="5"/>
        <v>0</v>
      </c>
      <c r="K88" s="1391">
        <v>83</v>
      </c>
      <c r="L88" s="1391" t="s">
        <v>2238</v>
      </c>
      <c r="AA88">
        <v>380</v>
      </c>
      <c r="AB88">
        <v>1289927</v>
      </c>
      <c r="AC88">
        <v>1289927</v>
      </c>
    </row>
    <row r="89" spans="2:33" ht="12.5">
      <c r="B89" s="5" t="s">
        <v>2239</v>
      </c>
      <c r="C89" s="6" t="s">
        <v>2240</v>
      </c>
      <c r="D89" s="1345">
        <v>0</v>
      </c>
      <c r="E89" s="1348">
        <v>1</v>
      </c>
      <c r="F89" s="1342" t="s">
        <v>2241</v>
      </c>
      <c r="G89" s="1408">
        <v>433</v>
      </c>
      <c r="H89" s="1353">
        <f t="shared" si="5"/>
        <v>0</v>
      </c>
      <c r="I89" s="1411">
        <f t="shared" si="5"/>
        <v>0</v>
      </c>
      <c r="K89" s="1391">
        <v>84</v>
      </c>
      <c r="L89" s="1391" t="s">
        <v>2242</v>
      </c>
      <c r="AA89">
        <v>381</v>
      </c>
      <c r="AB89">
        <v>9754089</v>
      </c>
      <c r="AC89">
        <v>9754089</v>
      </c>
    </row>
    <row r="90" spans="2:33" ht="12.5">
      <c r="B90" s="5" t="s">
        <v>2243</v>
      </c>
      <c r="C90" s="6" t="s">
        <v>2244</v>
      </c>
      <c r="D90" s="1345">
        <v>0</v>
      </c>
      <c r="E90" s="1348">
        <v>3</v>
      </c>
      <c r="F90" s="1342" t="s">
        <v>2245</v>
      </c>
      <c r="G90" s="1408">
        <v>434</v>
      </c>
      <c r="H90" s="1353">
        <f t="shared" si="5"/>
        <v>0</v>
      </c>
      <c r="I90" s="1411">
        <f t="shared" si="5"/>
        <v>0</v>
      </c>
      <c r="K90" s="1391">
        <v>85</v>
      </c>
      <c r="L90" s="1391" t="s">
        <v>2246</v>
      </c>
      <c r="AA90">
        <v>386</v>
      </c>
      <c r="AB90">
        <v>377273</v>
      </c>
      <c r="AC90">
        <v>377273</v>
      </c>
    </row>
    <row r="91" spans="2:33" ht="12.5">
      <c r="B91" s="5" t="s">
        <v>2247</v>
      </c>
      <c r="C91" s="6"/>
      <c r="D91" s="1345">
        <v>0</v>
      </c>
      <c r="E91" s="1348">
        <v>0</v>
      </c>
      <c r="F91" s="2223" t="s">
        <v>2248</v>
      </c>
      <c r="G91" s="1408">
        <v>100208</v>
      </c>
      <c r="H91" s="1353">
        <f>M2735</f>
        <v>0</v>
      </c>
      <c r="I91" s="1411">
        <f>N2735</f>
        <v>0</v>
      </c>
      <c r="K91" s="1391">
        <v>86</v>
      </c>
      <c r="L91" s="1391" t="s">
        <v>2249</v>
      </c>
      <c r="AA91">
        <v>387</v>
      </c>
      <c r="AB91">
        <v>-12714</v>
      </c>
      <c r="AC91">
        <v>-12714</v>
      </c>
    </row>
    <row r="92" spans="2:33" ht="12.5">
      <c r="B92" s="5" t="s">
        <v>2250</v>
      </c>
      <c r="C92" s="6" t="s">
        <v>2251</v>
      </c>
      <c r="D92" s="1345">
        <v>0</v>
      </c>
      <c r="E92" s="1348">
        <v>13</v>
      </c>
      <c r="F92" s="1342" t="s">
        <v>2252</v>
      </c>
      <c r="G92" s="1408">
        <v>435</v>
      </c>
      <c r="H92" s="1353">
        <f t="shared" ref="H92:I94" si="6">M417</f>
        <v>0</v>
      </c>
      <c r="I92" s="1411">
        <f t="shared" si="6"/>
        <v>0</v>
      </c>
      <c r="K92" s="1391">
        <v>87</v>
      </c>
      <c r="L92" s="1391" t="s">
        <v>2253</v>
      </c>
      <c r="AA92">
        <v>388</v>
      </c>
      <c r="AB92">
        <v>103087</v>
      </c>
      <c r="AC92">
        <v>103087</v>
      </c>
    </row>
    <row r="93" spans="2:33" ht="12.5">
      <c r="B93" s="5" t="s">
        <v>2254</v>
      </c>
      <c r="C93" s="6" t="s">
        <v>2255</v>
      </c>
      <c r="D93" s="1345">
        <v>0</v>
      </c>
      <c r="E93" s="1348">
        <v>1</v>
      </c>
      <c r="F93" s="1342" t="s">
        <v>2256</v>
      </c>
      <c r="G93" s="1408">
        <v>436</v>
      </c>
      <c r="H93" s="1353">
        <f t="shared" si="6"/>
        <v>0</v>
      </c>
      <c r="I93" s="1411">
        <f t="shared" si="6"/>
        <v>0</v>
      </c>
      <c r="K93" s="1391">
        <v>88</v>
      </c>
      <c r="L93" s="1391" t="s">
        <v>2257</v>
      </c>
      <c r="AA93">
        <v>400</v>
      </c>
      <c r="AB93">
        <v>11695</v>
      </c>
      <c r="AC93">
        <v>11695</v>
      </c>
    </row>
    <row r="94" spans="2:33" ht="12.5">
      <c r="B94" s="5" t="s">
        <v>2258</v>
      </c>
      <c r="C94" s="6" t="s">
        <v>2259</v>
      </c>
      <c r="D94" s="1345">
        <v>0</v>
      </c>
      <c r="E94" s="1348">
        <v>1</v>
      </c>
      <c r="F94" s="1342" t="s">
        <v>2260</v>
      </c>
      <c r="G94" s="1408">
        <v>437</v>
      </c>
      <c r="H94" s="1353">
        <f t="shared" si="6"/>
        <v>0</v>
      </c>
      <c r="I94" s="1411">
        <f t="shared" si="6"/>
        <v>0</v>
      </c>
      <c r="K94" s="1391">
        <v>89</v>
      </c>
      <c r="L94" s="1391" t="s">
        <v>2261</v>
      </c>
      <c r="AA94">
        <v>401</v>
      </c>
      <c r="AB94">
        <v>7543</v>
      </c>
      <c r="AC94">
        <v>7543</v>
      </c>
    </row>
    <row r="95" spans="2:33" ht="12.5">
      <c r="B95" s="5" t="s">
        <v>2262</v>
      </c>
      <c r="C95" s="6" t="s">
        <v>2263</v>
      </c>
      <c r="D95" s="1345">
        <v>0</v>
      </c>
      <c r="E95" s="1348">
        <v>0</v>
      </c>
      <c r="F95" s="1342" t="s">
        <v>2264</v>
      </c>
      <c r="G95" s="1408">
        <v>439</v>
      </c>
      <c r="H95" s="1353">
        <f t="shared" ref="H95:I99" si="7">M421</f>
        <v>0</v>
      </c>
      <c r="I95" s="1411">
        <f t="shared" si="7"/>
        <v>0</v>
      </c>
      <c r="K95" s="1391">
        <v>90</v>
      </c>
      <c r="L95" s="1391" t="s">
        <v>2265</v>
      </c>
      <c r="AA95">
        <v>402</v>
      </c>
      <c r="AB95">
        <v>0.3</v>
      </c>
      <c r="AC95">
        <v>0.3</v>
      </c>
    </row>
    <row r="96" spans="2:33" ht="12.5">
      <c r="B96" s="5" t="s">
        <v>2266</v>
      </c>
      <c r="C96" s="6" t="s">
        <v>2267</v>
      </c>
      <c r="D96" s="1345">
        <v>0</v>
      </c>
      <c r="E96" s="1348">
        <v>0</v>
      </c>
      <c r="F96" s="1342" t="s">
        <v>2268</v>
      </c>
      <c r="G96" s="1408">
        <v>440</v>
      </c>
      <c r="H96" s="1353">
        <f t="shared" si="7"/>
        <v>0</v>
      </c>
      <c r="I96" s="1411">
        <f t="shared" si="7"/>
        <v>0</v>
      </c>
      <c r="K96" s="1391">
        <v>91</v>
      </c>
      <c r="L96" s="1391" t="s">
        <v>2269</v>
      </c>
      <c r="AA96">
        <v>403</v>
      </c>
      <c r="AB96">
        <v>1</v>
      </c>
      <c r="AC96">
        <v>1</v>
      </c>
    </row>
    <row r="97" spans="2:29" ht="12.5">
      <c r="B97" s="5" t="s">
        <v>2270</v>
      </c>
      <c r="C97" s="6" t="s">
        <v>2271</v>
      </c>
      <c r="D97" s="1345">
        <v>0</v>
      </c>
      <c r="E97" s="1348">
        <v>0.1</v>
      </c>
      <c r="F97" s="1342" t="s">
        <v>2272</v>
      </c>
      <c r="G97" s="1408">
        <v>441</v>
      </c>
      <c r="H97" s="1353">
        <f t="shared" si="7"/>
        <v>0</v>
      </c>
      <c r="I97" s="1411">
        <f t="shared" si="7"/>
        <v>0</v>
      </c>
      <c r="K97" s="1391">
        <v>92</v>
      </c>
      <c r="L97" s="1391" t="s">
        <v>2273</v>
      </c>
      <c r="AA97">
        <v>404</v>
      </c>
      <c r="AB97">
        <v>5</v>
      </c>
      <c r="AC97">
        <v>5</v>
      </c>
    </row>
    <row r="98" spans="2:29" ht="12.5">
      <c r="B98" s="5" t="s">
        <v>2274</v>
      </c>
      <c r="C98" s="6" t="s">
        <v>2275</v>
      </c>
      <c r="D98" s="1345">
        <v>0</v>
      </c>
      <c r="E98" s="1348">
        <v>1</v>
      </c>
      <c r="F98" s="1342" t="s">
        <v>2276</v>
      </c>
      <c r="G98" s="1408">
        <v>442</v>
      </c>
      <c r="H98" s="1353">
        <f t="shared" si="7"/>
        <v>0</v>
      </c>
      <c r="I98" s="1411">
        <f t="shared" si="7"/>
        <v>0</v>
      </c>
      <c r="K98" s="1391">
        <v>93</v>
      </c>
      <c r="L98" s="1391" t="s">
        <v>2277</v>
      </c>
      <c r="AA98">
        <v>405</v>
      </c>
      <c r="AB98">
        <v>1</v>
      </c>
      <c r="AC98">
        <v>1</v>
      </c>
    </row>
    <row r="99" spans="2:29" ht="12.5">
      <c r="B99" s="5" t="s">
        <v>2278</v>
      </c>
      <c r="C99" s="6" t="s">
        <v>2279</v>
      </c>
      <c r="D99" s="1345">
        <v>0</v>
      </c>
      <c r="E99" s="1348">
        <v>1</v>
      </c>
      <c r="F99" s="1342" t="s">
        <v>2280</v>
      </c>
      <c r="G99" s="1408">
        <v>443</v>
      </c>
      <c r="H99" s="1353">
        <f t="shared" si="7"/>
        <v>0</v>
      </c>
      <c r="I99" s="1411">
        <f t="shared" si="7"/>
        <v>0</v>
      </c>
      <c r="K99" s="1391">
        <v>94</v>
      </c>
      <c r="L99" s="1391" t="s">
        <v>2281</v>
      </c>
      <c r="AA99">
        <v>406</v>
      </c>
      <c r="AB99">
        <v>0.5</v>
      </c>
      <c r="AC99">
        <v>0.5</v>
      </c>
    </row>
    <row r="100" spans="2:29" ht="12.5">
      <c r="B100" s="5" t="s">
        <v>2282</v>
      </c>
      <c r="C100" s="6"/>
      <c r="D100" s="1345">
        <v>0</v>
      </c>
      <c r="E100" s="1348">
        <v>0</v>
      </c>
      <c r="F100" s="2223" t="s">
        <v>2283</v>
      </c>
      <c r="G100" s="1408">
        <v>100209</v>
      </c>
      <c r="H100" s="1353">
        <f>M2736</f>
        <v>0</v>
      </c>
      <c r="I100" s="1411">
        <f>N2736</f>
        <v>0</v>
      </c>
      <c r="K100" s="1391">
        <v>95</v>
      </c>
      <c r="L100" s="1391" t="s">
        <v>2284</v>
      </c>
      <c r="AA100">
        <v>407</v>
      </c>
      <c r="AB100">
        <v>7.8</v>
      </c>
      <c r="AC100">
        <v>7.8</v>
      </c>
    </row>
    <row r="101" spans="2:29" ht="12.5">
      <c r="B101" s="5" t="s">
        <v>2285</v>
      </c>
      <c r="C101" s="6" t="s">
        <v>2286</v>
      </c>
      <c r="D101" s="1345">
        <v>0</v>
      </c>
      <c r="E101" s="1348">
        <v>4</v>
      </c>
      <c r="F101" s="1342" t="s">
        <v>2287</v>
      </c>
      <c r="G101" s="1408">
        <v>444</v>
      </c>
      <c r="H101" s="1353">
        <f t="shared" ref="H101:I103" si="8">M426</f>
        <v>0</v>
      </c>
      <c r="I101" s="1411">
        <f t="shared" si="8"/>
        <v>0</v>
      </c>
      <c r="K101" s="1391">
        <v>96</v>
      </c>
      <c r="L101" s="1391" t="s">
        <v>2288</v>
      </c>
      <c r="AA101">
        <v>410</v>
      </c>
      <c r="AB101">
        <v>0.2</v>
      </c>
      <c r="AC101">
        <v>0.2</v>
      </c>
    </row>
    <row r="102" spans="2:29" ht="12.5">
      <c r="B102" s="5" t="s">
        <v>2289</v>
      </c>
      <c r="C102" s="6" t="s">
        <v>2290</v>
      </c>
      <c r="D102" s="1345">
        <v>0</v>
      </c>
      <c r="E102" s="1348">
        <v>0.5</v>
      </c>
      <c r="F102" s="1342" t="s">
        <v>2291</v>
      </c>
      <c r="G102" s="1408">
        <v>445</v>
      </c>
      <c r="H102" s="1353">
        <f t="shared" si="8"/>
        <v>0</v>
      </c>
      <c r="I102" s="1411">
        <f t="shared" si="8"/>
        <v>0</v>
      </c>
      <c r="K102" s="1391">
        <v>97</v>
      </c>
      <c r="L102" s="1391" t="s">
        <v>2292</v>
      </c>
      <c r="AA102">
        <v>411</v>
      </c>
      <c r="AB102">
        <v>1</v>
      </c>
      <c r="AC102">
        <v>1</v>
      </c>
    </row>
    <row r="103" spans="2:29" ht="12.5">
      <c r="B103" s="5" t="s">
        <v>2293</v>
      </c>
      <c r="C103" s="6" t="s">
        <v>2294</v>
      </c>
      <c r="D103" s="1345">
        <v>0</v>
      </c>
      <c r="E103" s="1348">
        <v>0</v>
      </c>
      <c r="F103" s="1342" t="s">
        <v>2295</v>
      </c>
      <c r="G103" s="1408">
        <v>446</v>
      </c>
      <c r="H103" s="1353">
        <f t="shared" si="8"/>
        <v>0</v>
      </c>
      <c r="I103" s="1411">
        <f t="shared" si="8"/>
        <v>0</v>
      </c>
      <c r="K103" s="1391">
        <v>98</v>
      </c>
      <c r="L103" s="1391" t="s">
        <v>2296</v>
      </c>
      <c r="AA103">
        <v>412</v>
      </c>
      <c r="AB103">
        <v>1</v>
      </c>
      <c r="AC103">
        <v>1</v>
      </c>
    </row>
    <row r="104" spans="2:29" ht="12.5">
      <c r="B104" s="5" t="s">
        <v>2297</v>
      </c>
      <c r="C104" s="6" t="s">
        <v>2298</v>
      </c>
      <c r="D104" s="1345">
        <v>0</v>
      </c>
      <c r="E104" s="1348">
        <v>0</v>
      </c>
      <c r="F104" s="1342" t="s">
        <v>2299</v>
      </c>
      <c r="G104" s="1408">
        <v>448</v>
      </c>
      <c r="H104" s="1353">
        <f t="shared" ref="H104:I108" si="9">M430</f>
        <v>0</v>
      </c>
      <c r="I104" s="1411">
        <f t="shared" si="9"/>
        <v>0</v>
      </c>
      <c r="K104" s="1391">
        <v>99</v>
      </c>
      <c r="L104" s="1391" t="s">
        <v>2300</v>
      </c>
      <c r="AA104">
        <v>413</v>
      </c>
      <c r="AB104">
        <v>3</v>
      </c>
      <c r="AC104">
        <v>3</v>
      </c>
    </row>
    <row r="105" spans="2:29" ht="12.5">
      <c r="B105" s="5" t="s">
        <v>2301</v>
      </c>
      <c r="C105" s="6" t="s">
        <v>2302</v>
      </c>
      <c r="D105" s="1345">
        <v>0</v>
      </c>
      <c r="E105" s="1348">
        <v>0</v>
      </c>
      <c r="F105" s="1342" t="s">
        <v>2303</v>
      </c>
      <c r="G105" s="1408">
        <v>449</v>
      </c>
      <c r="H105" s="1353">
        <f t="shared" si="9"/>
        <v>0</v>
      </c>
      <c r="I105" s="1411">
        <f t="shared" si="9"/>
        <v>0</v>
      </c>
      <c r="K105" s="1391">
        <v>100</v>
      </c>
      <c r="L105" s="1391" t="s">
        <v>2304</v>
      </c>
      <c r="AA105">
        <v>415</v>
      </c>
      <c r="AB105">
        <v>5.2</v>
      </c>
      <c r="AC105">
        <v>5.2</v>
      </c>
    </row>
    <row r="106" spans="2:29" ht="12.5">
      <c r="B106" s="5" t="s">
        <v>2305</v>
      </c>
      <c r="C106" s="6" t="s">
        <v>2306</v>
      </c>
      <c r="D106" s="1345">
        <v>0</v>
      </c>
      <c r="E106" s="1348">
        <v>0.1</v>
      </c>
      <c r="F106" s="1342" t="s">
        <v>2307</v>
      </c>
      <c r="G106" s="1408">
        <v>450</v>
      </c>
      <c r="H106" s="1353">
        <f t="shared" si="9"/>
        <v>0</v>
      </c>
      <c r="I106" s="1411">
        <f t="shared" si="9"/>
        <v>0</v>
      </c>
      <c r="K106" s="1391">
        <v>101</v>
      </c>
      <c r="L106" s="1391" t="s">
        <v>2308</v>
      </c>
      <c r="AA106">
        <v>432</v>
      </c>
      <c r="AB106">
        <v>0.3</v>
      </c>
      <c r="AC106">
        <v>0.3</v>
      </c>
    </row>
    <row r="107" spans="2:29" ht="12.5">
      <c r="B107" s="5" t="s">
        <v>2309</v>
      </c>
      <c r="C107" s="6" t="s">
        <v>2310</v>
      </c>
      <c r="D107" s="1345">
        <v>0</v>
      </c>
      <c r="E107" s="1348">
        <v>0.5</v>
      </c>
      <c r="F107" s="1342" t="s">
        <v>2311</v>
      </c>
      <c r="G107" s="1408">
        <v>451</v>
      </c>
      <c r="H107" s="1353">
        <f t="shared" si="9"/>
        <v>0</v>
      </c>
      <c r="I107" s="1411">
        <f t="shared" si="9"/>
        <v>0</v>
      </c>
      <c r="K107" s="1391">
        <v>102</v>
      </c>
      <c r="L107" s="1391" t="s">
        <v>2312</v>
      </c>
      <c r="AA107">
        <v>433</v>
      </c>
      <c r="AB107">
        <v>1</v>
      </c>
      <c r="AC107">
        <v>1</v>
      </c>
    </row>
    <row r="108" spans="2:29" ht="12.5">
      <c r="B108" s="5" t="s">
        <v>2313</v>
      </c>
      <c r="C108" s="6" t="s">
        <v>2314</v>
      </c>
      <c r="D108" s="1345">
        <v>0</v>
      </c>
      <c r="E108" s="1348">
        <v>1</v>
      </c>
      <c r="F108" s="1342" t="s">
        <v>2315</v>
      </c>
      <c r="G108" s="1408">
        <v>452</v>
      </c>
      <c r="H108" s="1353">
        <f t="shared" si="9"/>
        <v>0</v>
      </c>
      <c r="I108" s="1411">
        <f t="shared" si="9"/>
        <v>0</v>
      </c>
      <c r="K108" s="1391">
        <v>103</v>
      </c>
      <c r="L108" s="1391" t="s">
        <v>2316</v>
      </c>
      <c r="AA108">
        <v>434</v>
      </c>
      <c r="AB108">
        <v>3</v>
      </c>
      <c r="AC108">
        <v>3</v>
      </c>
    </row>
    <row r="109" spans="2:29" ht="12.5">
      <c r="B109" s="5" t="s">
        <v>2317</v>
      </c>
      <c r="C109" s="6"/>
      <c r="D109" s="1345">
        <v>0</v>
      </c>
      <c r="E109" s="1348">
        <v>0</v>
      </c>
      <c r="F109" s="2223" t="s">
        <v>2318</v>
      </c>
      <c r="G109" s="1408">
        <v>100210</v>
      </c>
      <c r="H109" s="1353">
        <f>M2737</f>
        <v>0</v>
      </c>
      <c r="I109" s="1411">
        <f>N2737</f>
        <v>0</v>
      </c>
      <c r="K109" s="1391">
        <v>104</v>
      </c>
      <c r="L109" s="1391" t="s">
        <v>2319</v>
      </c>
      <c r="AA109">
        <v>435</v>
      </c>
      <c r="AB109">
        <v>13</v>
      </c>
      <c r="AC109">
        <v>13</v>
      </c>
    </row>
    <row r="110" spans="2:29" ht="12.5">
      <c r="B110" s="5" t="s">
        <v>2320</v>
      </c>
      <c r="C110" s="6" t="s">
        <v>2321</v>
      </c>
      <c r="D110" s="1345">
        <v>0</v>
      </c>
      <c r="E110" s="1348">
        <v>0.5</v>
      </c>
      <c r="F110" s="1342" t="s">
        <v>2322</v>
      </c>
      <c r="G110" s="1408">
        <v>453</v>
      </c>
      <c r="H110" s="1353">
        <f>M435</f>
        <v>0</v>
      </c>
      <c r="I110" s="1411">
        <f>N435</f>
        <v>0</v>
      </c>
      <c r="K110" s="1391">
        <v>105</v>
      </c>
      <c r="L110" s="1391" t="s">
        <v>2323</v>
      </c>
      <c r="AA110">
        <v>436</v>
      </c>
      <c r="AB110">
        <v>1</v>
      </c>
      <c r="AC110">
        <v>1</v>
      </c>
    </row>
    <row r="111" spans="2:29" ht="12.5">
      <c r="B111" s="5" t="s">
        <v>2324</v>
      </c>
      <c r="C111" s="6" t="s">
        <v>2325</v>
      </c>
      <c r="D111" s="1345">
        <v>0</v>
      </c>
      <c r="E111" s="1348">
        <v>0</v>
      </c>
      <c r="F111" s="1342" t="s">
        <v>2326</v>
      </c>
      <c r="G111" s="1408">
        <v>454</v>
      </c>
      <c r="H111" s="1353">
        <f>M436</f>
        <v>0</v>
      </c>
      <c r="I111" s="1411">
        <f>N436</f>
        <v>0</v>
      </c>
      <c r="K111" s="1391">
        <v>106</v>
      </c>
      <c r="L111" s="1391" t="s">
        <v>2327</v>
      </c>
      <c r="AA111">
        <v>437</v>
      </c>
      <c r="AB111">
        <v>1</v>
      </c>
      <c r="AC111">
        <v>1</v>
      </c>
    </row>
    <row r="112" spans="2:29" ht="12.5">
      <c r="B112" s="5" t="s">
        <v>2328</v>
      </c>
      <c r="C112" s="6" t="s">
        <v>2329</v>
      </c>
      <c r="D112" s="1345">
        <v>0</v>
      </c>
      <c r="E112" s="1348">
        <v>0</v>
      </c>
      <c r="F112" s="1342" t="s">
        <v>2330</v>
      </c>
      <c r="G112" s="1408">
        <v>456</v>
      </c>
      <c r="H112" s="1353">
        <f t="shared" ref="H112:I116" si="10">M438</f>
        <v>0</v>
      </c>
      <c r="I112" s="1411">
        <f t="shared" si="10"/>
        <v>0</v>
      </c>
      <c r="K112" s="1391">
        <v>107</v>
      </c>
      <c r="L112" s="1391" t="s">
        <v>2331</v>
      </c>
      <c r="AA112">
        <v>438</v>
      </c>
      <c r="AB112">
        <v>19.3</v>
      </c>
      <c r="AC112">
        <v>19.3</v>
      </c>
    </row>
    <row r="113" spans="2:29" ht="12.5">
      <c r="B113" s="5" t="s">
        <v>2332</v>
      </c>
      <c r="C113" s="6" t="s">
        <v>2333</v>
      </c>
      <c r="D113" s="1345">
        <v>0</v>
      </c>
      <c r="E113" s="1348">
        <v>0</v>
      </c>
      <c r="F113" s="1342" t="s">
        <v>2334</v>
      </c>
      <c r="G113" s="1408">
        <v>457</v>
      </c>
      <c r="H113" s="1353">
        <f t="shared" si="10"/>
        <v>0</v>
      </c>
      <c r="I113" s="1411">
        <f t="shared" si="10"/>
        <v>0</v>
      </c>
      <c r="K113" s="1391">
        <v>108</v>
      </c>
      <c r="L113" s="1391" t="s">
        <v>2335</v>
      </c>
      <c r="AA113">
        <v>441</v>
      </c>
      <c r="AB113">
        <v>0.1</v>
      </c>
      <c r="AC113">
        <v>0.1</v>
      </c>
    </row>
    <row r="114" spans="2:29" ht="12.5">
      <c r="B114" s="5" t="s">
        <v>2336</v>
      </c>
      <c r="C114" s="6" t="s">
        <v>2337</v>
      </c>
      <c r="D114" s="1345">
        <v>0</v>
      </c>
      <c r="E114" s="1348">
        <v>0</v>
      </c>
      <c r="F114" s="1342" t="s">
        <v>2338</v>
      </c>
      <c r="G114" s="1408">
        <v>458</v>
      </c>
      <c r="H114" s="1353">
        <f t="shared" si="10"/>
        <v>0</v>
      </c>
      <c r="I114" s="1411">
        <f t="shared" si="10"/>
        <v>0</v>
      </c>
      <c r="K114" s="1391">
        <v>109</v>
      </c>
      <c r="L114" s="1391" t="s">
        <v>2339</v>
      </c>
      <c r="AA114">
        <v>442</v>
      </c>
      <c r="AB114">
        <v>1</v>
      </c>
      <c r="AC114">
        <v>1</v>
      </c>
    </row>
    <row r="115" spans="2:29" ht="12.5">
      <c r="B115" s="5" t="s">
        <v>2340</v>
      </c>
      <c r="C115" s="6" t="s">
        <v>2341</v>
      </c>
      <c r="D115" s="1345">
        <v>0</v>
      </c>
      <c r="E115" s="1348">
        <v>0</v>
      </c>
      <c r="F115" s="1342" t="s">
        <v>2342</v>
      </c>
      <c r="G115" s="1408">
        <v>459</v>
      </c>
      <c r="H115" s="1353">
        <f t="shared" si="10"/>
        <v>0</v>
      </c>
      <c r="I115" s="1411">
        <f t="shared" si="10"/>
        <v>0</v>
      </c>
      <c r="K115" s="1391">
        <v>110</v>
      </c>
      <c r="L115" s="1391" t="s">
        <v>2343</v>
      </c>
      <c r="AA115">
        <v>443</v>
      </c>
      <c r="AB115">
        <v>1</v>
      </c>
      <c r="AC115">
        <v>1</v>
      </c>
    </row>
    <row r="116" spans="2:29" ht="12.5">
      <c r="B116" s="5" t="s">
        <v>2344</v>
      </c>
      <c r="C116" s="6" t="s">
        <v>2345</v>
      </c>
      <c r="D116" s="1345">
        <v>0</v>
      </c>
      <c r="E116" s="1348">
        <v>0</v>
      </c>
      <c r="F116" s="1342" t="s">
        <v>2346</v>
      </c>
      <c r="G116" s="1408">
        <v>460</v>
      </c>
      <c r="H116" s="1353">
        <f t="shared" si="10"/>
        <v>0</v>
      </c>
      <c r="I116" s="1411">
        <f t="shared" si="10"/>
        <v>0</v>
      </c>
      <c r="K116" s="1391">
        <v>111</v>
      </c>
      <c r="L116" s="1391" t="s">
        <v>2347</v>
      </c>
      <c r="AA116">
        <v>444</v>
      </c>
      <c r="AB116">
        <v>4</v>
      </c>
      <c r="AC116">
        <v>4</v>
      </c>
    </row>
    <row r="117" spans="2:29" ht="12.5">
      <c r="B117" s="5" t="s">
        <v>2348</v>
      </c>
      <c r="C117" s="6"/>
      <c r="D117" s="1345">
        <v>0</v>
      </c>
      <c r="E117" s="1348">
        <v>0</v>
      </c>
      <c r="F117" s="2223" t="s">
        <v>2349</v>
      </c>
      <c r="G117" s="1408">
        <v>100211</v>
      </c>
      <c r="H117" s="1353">
        <f>M2738</f>
        <v>0</v>
      </c>
      <c r="I117" s="1411">
        <f>N2738</f>
        <v>0</v>
      </c>
      <c r="K117" s="1391">
        <v>112</v>
      </c>
      <c r="L117" s="1391" t="s">
        <v>2350</v>
      </c>
      <c r="AA117">
        <v>445</v>
      </c>
      <c r="AB117">
        <v>0.5</v>
      </c>
      <c r="AC117">
        <v>0.5</v>
      </c>
    </row>
    <row r="118" spans="2:29" ht="12.5">
      <c r="B118" s="5" t="s">
        <v>2351</v>
      </c>
      <c r="C118" s="6" t="s">
        <v>2352</v>
      </c>
      <c r="D118" s="1345">
        <v>0</v>
      </c>
      <c r="E118" s="1348">
        <v>0</v>
      </c>
      <c r="F118" s="1342" t="s">
        <v>2353</v>
      </c>
      <c r="G118" s="1408">
        <v>461</v>
      </c>
      <c r="H118" s="1353">
        <f t="shared" ref="H118:I120" si="11">M443</f>
        <v>0</v>
      </c>
      <c r="I118" s="1411">
        <f t="shared" si="11"/>
        <v>0</v>
      </c>
      <c r="K118" s="1391">
        <v>113</v>
      </c>
      <c r="L118" s="1391" t="s">
        <v>2354</v>
      </c>
      <c r="AA118">
        <v>447</v>
      </c>
      <c r="AB118">
        <v>6.6</v>
      </c>
      <c r="AC118">
        <v>6.6</v>
      </c>
    </row>
    <row r="119" spans="2:29" ht="12.5">
      <c r="B119" s="5" t="s">
        <v>2355</v>
      </c>
      <c r="C119" s="6" t="s">
        <v>2356</v>
      </c>
      <c r="D119" s="1345">
        <v>0</v>
      </c>
      <c r="E119" s="1348">
        <v>0</v>
      </c>
      <c r="F119" s="1342" t="s">
        <v>2357</v>
      </c>
      <c r="G119" s="1408">
        <v>462</v>
      </c>
      <c r="H119" s="1353">
        <f t="shared" si="11"/>
        <v>0</v>
      </c>
      <c r="I119" s="1411">
        <f t="shared" si="11"/>
        <v>0</v>
      </c>
      <c r="K119" s="1391">
        <v>114</v>
      </c>
      <c r="L119" s="1391" t="s">
        <v>2358</v>
      </c>
      <c r="AA119">
        <v>450</v>
      </c>
      <c r="AB119">
        <v>0.1</v>
      </c>
      <c r="AC119">
        <v>0.1</v>
      </c>
    </row>
    <row r="120" spans="2:29" ht="12.5">
      <c r="B120" s="5" t="s">
        <v>2359</v>
      </c>
      <c r="C120" s="6" t="s">
        <v>2360</v>
      </c>
      <c r="D120" s="1345">
        <v>0</v>
      </c>
      <c r="E120" s="1348">
        <v>0</v>
      </c>
      <c r="F120" s="1342" t="s">
        <v>2361</v>
      </c>
      <c r="G120" s="1408">
        <v>463</v>
      </c>
      <c r="H120" s="1353">
        <f t="shared" si="11"/>
        <v>0</v>
      </c>
      <c r="I120" s="1411">
        <f t="shared" si="11"/>
        <v>0</v>
      </c>
      <c r="K120" s="1391">
        <v>115</v>
      </c>
      <c r="L120" s="1391" t="s">
        <v>2362</v>
      </c>
      <c r="AA120">
        <v>451</v>
      </c>
      <c r="AB120">
        <v>0.5</v>
      </c>
      <c r="AC120">
        <v>0.5</v>
      </c>
    </row>
    <row r="121" spans="2:29" ht="12.5">
      <c r="B121" s="5" t="s">
        <v>2363</v>
      </c>
      <c r="C121" s="6" t="s">
        <v>2364</v>
      </c>
      <c r="D121" s="1345">
        <v>0</v>
      </c>
      <c r="E121" s="1348">
        <v>0</v>
      </c>
      <c r="F121" s="1342" t="s">
        <v>2365</v>
      </c>
      <c r="G121" s="1408">
        <v>465</v>
      </c>
      <c r="H121" s="1353">
        <f>M447</f>
        <v>0</v>
      </c>
      <c r="I121" s="1411">
        <f>N447</f>
        <v>0</v>
      </c>
      <c r="K121" s="1391">
        <v>116</v>
      </c>
      <c r="L121" s="1391" t="s">
        <v>2366</v>
      </c>
      <c r="AA121">
        <v>452</v>
      </c>
      <c r="AB121">
        <v>1</v>
      </c>
      <c r="AC121">
        <v>1</v>
      </c>
    </row>
    <row r="122" spans="2:29" ht="12.5">
      <c r="B122" s="5" t="s">
        <v>2367</v>
      </c>
      <c r="C122" s="6" t="s">
        <v>2368</v>
      </c>
      <c r="D122" s="1345">
        <v>0</v>
      </c>
      <c r="E122" s="1348">
        <v>0</v>
      </c>
      <c r="F122" s="1342" t="s">
        <v>2369</v>
      </c>
      <c r="G122" s="1408">
        <v>466</v>
      </c>
      <c r="H122" s="1353">
        <f>M448</f>
        <v>0</v>
      </c>
      <c r="I122" s="1411">
        <f>N448</f>
        <v>0</v>
      </c>
      <c r="K122" s="1391">
        <v>117</v>
      </c>
      <c r="L122" s="1391" t="s">
        <v>2370</v>
      </c>
      <c r="AA122">
        <v>453</v>
      </c>
      <c r="AB122">
        <v>0.5</v>
      </c>
      <c r="AC122">
        <v>0.5</v>
      </c>
    </row>
    <row r="123" spans="2:29" ht="12.5">
      <c r="B123" s="5" t="s">
        <v>2371</v>
      </c>
      <c r="C123" s="6" t="s">
        <v>2372</v>
      </c>
      <c r="D123" s="1345">
        <v>0</v>
      </c>
      <c r="E123" s="1348">
        <v>40.5</v>
      </c>
      <c r="F123" s="1342" t="s">
        <v>2373</v>
      </c>
      <c r="G123" s="1408">
        <v>473</v>
      </c>
      <c r="H123" s="1353">
        <f t="shared" ref="H123:I125" si="12">M455</f>
        <v>0</v>
      </c>
      <c r="I123" s="1411">
        <f t="shared" si="12"/>
        <v>0</v>
      </c>
      <c r="K123" s="1391">
        <v>118</v>
      </c>
      <c r="L123" s="1391" t="s">
        <v>2374</v>
      </c>
      <c r="AA123">
        <v>455</v>
      </c>
      <c r="AB123">
        <v>2.1</v>
      </c>
      <c r="AC123">
        <v>2.1</v>
      </c>
    </row>
    <row r="124" spans="2:29" ht="12.5">
      <c r="B124" s="5" t="s">
        <v>2375</v>
      </c>
      <c r="C124" s="6" t="s">
        <v>2376</v>
      </c>
      <c r="D124" s="1345">
        <v>0</v>
      </c>
      <c r="E124" s="1348">
        <v>0</v>
      </c>
      <c r="F124" s="1342" t="s">
        <v>2377</v>
      </c>
      <c r="G124" s="1408">
        <v>474</v>
      </c>
      <c r="H124" s="1353">
        <f t="shared" si="12"/>
        <v>0</v>
      </c>
      <c r="I124" s="1411">
        <f t="shared" si="12"/>
        <v>0</v>
      </c>
      <c r="K124" s="1391">
        <v>119</v>
      </c>
      <c r="L124" s="1391" t="s">
        <v>2378</v>
      </c>
      <c r="AA124">
        <v>467</v>
      </c>
      <c r="AB124">
        <v>1</v>
      </c>
      <c r="AC124">
        <v>1</v>
      </c>
    </row>
    <row r="125" spans="2:29" ht="12.5">
      <c r="B125" s="5" t="s">
        <v>2379</v>
      </c>
      <c r="C125" s="6" t="s">
        <v>2380</v>
      </c>
      <c r="D125" s="1345">
        <v>0</v>
      </c>
      <c r="E125" s="1348">
        <v>0</v>
      </c>
      <c r="F125" s="1342" t="s">
        <v>2381</v>
      </c>
      <c r="G125" s="1408">
        <v>475</v>
      </c>
      <c r="H125" s="1353">
        <f t="shared" si="12"/>
        <v>0</v>
      </c>
      <c r="I125" s="1411">
        <f t="shared" si="12"/>
        <v>0</v>
      </c>
      <c r="K125" s="1391">
        <v>120</v>
      </c>
      <c r="L125" s="1391" t="s">
        <v>2382</v>
      </c>
      <c r="AA125">
        <v>468</v>
      </c>
      <c r="AB125">
        <v>4.5</v>
      </c>
      <c r="AC125">
        <v>4.5</v>
      </c>
    </row>
    <row r="126" spans="2:29" ht="12.5">
      <c r="B126" s="5" t="s">
        <v>2383</v>
      </c>
      <c r="C126" s="6" t="s">
        <v>2384</v>
      </c>
      <c r="D126" s="1345">
        <v>0</v>
      </c>
      <c r="E126" s="1346">
        <v>0</v>
      </c>
      <c r="F126" s="1342" t="s">
        <v>1932</v>
      </c>
      <c r="G126" s="1408">
        <v>4</v>
      </c>
      <c r="H126" s="1353">
        <f t="shared" ref="H126:H131" si="13">M9</f>
        <v>0</v>
      </c>
      <c r="I126" s="1353">
        <f>M9</f>
        <v>0</v>
      </c>
      <c r="K126" s="1391">
        <v>121</v>
      </c>
      <c r="L126" s="1391" t="s">
        <v>2385</v>
      </c>
      <c r="AA126">
        <v>469</v>
      </c>
      <c r="AB126">
        <v>11</v>
      </c>
      <c r="AC126">
        <v>11</v>
      </c>
    </row>
    <row r="127" spans="2:29" ht="12.5">
      <c r="B127" s="5" t="s">
        <v>2386</v>
      </c>
      <c r="C127" s="6" t="s">
        <v>2387</v>
      </c>
      <c r="D127" s="1345">
        <v>0</v>
      </c>
      <c r="E127" s="1346">
        <v>0</v>
      </c>
      <c r="F127" s="1342" t="s">
        <v>1936</v>
      </c>
      <c r="G127" s="1408">
        <v>5</v>
      </c>
      <c r="H127" s="1353">
        <f t="shared" si="13"/>
        <v>0</v>
      </c>
      <c r="I127" s="1353">
        <f>N10</f>
        <v>0</v>
      </c>
      <c r="K127" s="1391">
        <v>122</v>
      </c>
      <c r="L127" s="1391" t="s">
        <v>2388</v>
      </c>
      <c r="AA127">
        <v>470</v>
      </c>
      <c r="AB127">
        <v>17</v>
      </c>
      <c r="AC127">
        <v>17</v>
      </c>
    </row>
    <row r="128" spans="2:29" ht="12.5">
      <c r="B128" s="5" t="s">
        <v>2389</v>
      </c>
      <c r="C128" s="6" t="s">
        <v>2390</v>
      </c>
      <c r="D128" s="1345">
        <v>0</v>
      </c>
      <c r="E128" s="1346">
        <v>0</v>
      </c>
      <c r="F128" s="1342" t="s">
        <v>1940</v>
      </c>
      <c r="G128" s="1408">
        <v>6</v>
      </c>
      <c r="H128" s="1353">
        <f t="shared" si="13"/>
        <v>0</v>
      </c>
      <c r="I128" s="1353">
        <f>N11</f>
        <v>0</v>
      </c>
      <c r="K128" s="1391">
        <v>123</v>
      </c>
      <c r="L128" s="1391" t="s">
        <v>2391</v>
      </c>
      <c r="AA128">
        <v>471</v>
      </c>
      <c r="AB128">
        <v>6</v>
      </c>
      <c r="AC128">
        <v>6</v>
      </c>
    </row>
    <row r="129" spans="2:29" ht="12.5">
      <c r="B129" s="5" t="s">
        <v>2392</v>
      </c>
      <c r="C129" s="6" t="s">
        <v>2393</v>
      </c>
      <c r="D129" s="1345">
        <v>0</v>
      </c>
      <c r="E129" s="1346">
        <v>0</v>
      </c>
      <c r="F129" s="1342" t="s">
        <v>1944</v>
      </c>
      <c r="G129" s="1408">
        <v>7</v>
      </c>
      <c r="H129" s="1353">
        <f t="shared" si="13"/>
        <v>0</v>
      </c>
      <c r="I129" s="1353">
        <f>N12</f>
        <v>0</v>
      </c>
      <c r="K129" s="1391">
        <v>124</v>
      </c>
      <c r="L129" s="1391" t="s">
        <v>2394</v>
      </c>
      <c r="AA129">
        <v>472</v>
      </c>
      <c r="AB129">
        <v>1.5</v>
      </c>
      <c r="AC129">
        <v>1.5</v>
      </c>
    </row>
    <row r="130" spans="2:29" ht="12.5">
      <c r="B130" s="5" t="s">
        <v>2395</v>
      </c>
      <c r="C130" s="6" t="s">
        <v>2396</v>
      </c>
      <c r="D130" s="1345">
        <v>0</v>
      </c>
      <c r="E130" s="1346">
        <v>0</v>
      </c>
      <c r="F130" s="1342" t="s">
        <v>1947</v>
      </c>
      <c r="G130" s="1408">
        <v>8</v>
      </c>
      <c r="H130" s="1353">
        <f t="shared" si="13"/>
        <v>0</v>
      </c>
      <c r="I130" s="1353">
        <f>N13</f>
        <v>0</v>
      </c>
      <c r="K130" s="1391">
        <v>125</v>
      </c>
      <c r="L130" s="1391" t="s">
        <v>2397</v>
      </c>
      <c r="AA130">
        <v>473</v>
      </c>
      <c r="AB130">
        <v>41</v>
      </c>
      <c r="AC130">
        <v>41</v>
      </c>
    </row>
    <row r="131" spans="2:29" ht="12.5">
      <c r="B131" s="84" t="s">
        <v>2398</v>
      </c>
      <c r="C131" s="6" t="s">
        <v>2399</v>
      </c>
      <c r="D131" s="1345">
        <v>0</v>
      </c>
      <c r="E131" s="1346">
        <v>422000</v>
      </c>
      <c r="F131" s="1342" t="s">
        <v>1950</v>
      </c>
      <c r="G131" s="1408">
        <v>9</v>
      </c>
      <c r="H131" s="1353">
        <f t="shared" si="13"/>
        <v>0</v>
      </c>
      <c r="I131" s="1353">
        <f>N14</f>
        <v>0</v>
      </c>
      <c r="K131" s="1391">
        <v>126</v>
      </c>
      <c r="L131" s="1391" t="s">
        <v>2400</v>
      </c>
      <c r="AA131">
        <v>486</v>
      </c>
      <c r="AB131">
        <v>3463702</v>
      </c>
      <c r="AC131">
        <v>3463702</v>
      </c>
    </row>
    <row r="132" spans="2:29" ht="12.5">
      <c r="B132" s="84" t="s">
        <v>2401</v>
      </c>
      <c r="C132" s="6" t="s">
        <v>2402</v>
      </c>
      <c r="D132" s="1345">
        <v>0</v>
      </c>
      <c r="E132" s="1346">
        <v>844000</v>
      </c>
      <c r="F132" s="1342" t="s">
        <v>1956</v>
      </c>
      <c r="G132" s="1408">
        <v>16</v>
      </c>
      <c r="H132" s="1353">
        <f>M16</f>
        <v>0</v>
      </c>
      <c r="I132" s="1353">
        <f>N16</f>
        <v>0</v>
      </c>
      <c r="K132" s="1391">
        <v>127</v>
      </c>
      <c r="L132" s="1391" t="s">
        <v>2403</v>
      </c>
      <c r="AA132">
        <v>487</v>
      </c>
      <c r="AB132">
        <v>2393404</v>
      </c>
      <c r="AC132">
        <v>2393404</v>
      </c>
    </row>
    <row r="133" spans="2:29" ht="12.5">
      <c r="B133" s="5" t="s">
        <v>2404</v>
      </c>
      <c r="C133" s="6" t="s">
        <v>2405</v>
      </c>
      <c r="D133" s="1345">
        <v>0</v>
      </c>
      <c r="E133" s="1349">
        <v>0</v>
      </c>
      <c r="F133" s="1342" t="s">
        <v>1963</v>
      </c>
      <c r="G133" s="1408">
        <v>13</v>
      </c>
      <c r="H133" s="1353">
        <f t="shared" ref="H133:H144" si="14">M18</f>
        <v>0</v>
      </c>
      <c r="I133" s="1412">
        <f t="shared" ref="I133:I144" si="15">N18</f>
        <v>0</v>
      </c>
      <c r="K133" s="1391">
        <v>128</v>
      </c>
      <c r="L133" s="1391" t="s">
        <v>2406</v>
      </c>
      <c r="AA133">
        <v>488</v>
      </c>
      <c r="AB133">
        <v>739658</v>
      </c>
      <c r="AC133">
        <v>739658</v>
      </c>
    </row>
    <row r="134" spans="2:29" ht="12.5">
      <c r="B134" s="5" t="s">
        <v>2407</v>
      </c>
      <c r="C134" s="6" t="s">
        <v>2408</v>
      </c>
      <c r="D134" s="1345">
        <v>0</v>
      </c>
      <c r="E134" s="1349">
        <v>0</v>
      </c>
      <c r="F134" s="1342" t="s">
        <v>1969</v>
      </c>
      <c r="G134" s="1408">
        <v>14</v>
      </c>
      <c r="H134" s="1353">
        <f t="shared" si="14"/>
        <v>0</v>
      </c>
      <c r="I134" s="1412">
        <f t="shared" si="15"/>
        <v>0</v>
      </c>
      <c r="K134" s="1391">
        <v>129</v>
      </c>
      <c r="L134" s="1391" t="s">
        <v>2409</v>
      </c>
      <c r="AA134">
        <v>489</v>
      </c>
      <c r="AB134">
        <v>33779</v>
      </c>
      <c r="AC134">
        <v>33779</v>
      </c>
    </row>
    <row r="135" spans="2:29" ht="12.5">
      <c r="B135" s="5" t="s">
        <v>2410</v>
      </c>
      <c r="C135" s="6" t="s">
        <v>2411</v>
      </c>
      <c r="D135" s="1345">
        <v>0</v>
      </c>
      <c r="E135" s="1349">
        <v>0</v>
      </c>
      <c r="F135" s="1342" t="s">
        <v>1974</v>
      </c>
      <c r="G135" s="1408">
        <v>15</v>
      </c>
      <c r="H135" s="1353">
        <f t="shared" si="14"/>
        <v>0</v>
      </c>
      <c r="I135" s="1412">
        <f t="shared" si="15"/>
        <v>0</v>
      </c>
      <c r="K135" s="1391">
        <v>130</v>
      </c>
      <c r="L135" s="1391" t="s">
        <v>2412</v>
      </c>
      <c r="AA135">
        <v>490</v>
      </c>
      <c r="AB135">
        <v>296861</v>
      </c>
      <c r="AC135">
        <v>296861</v>
      </c>
    </row>
    <row r="136" spans="2:29" ht="12.5">
      <c r="B136" s="5" t="s">
        <v>2413</v>
      </c>
      <c r="C136" s="6" t="s">
        <v>2414</v>
      </c>
      <c r="D136" s="1345">
        <v>0</v>
      </c>
      <c r="E136" s="1349">
        <v>0</v>
      </c>
      <c r="F136" s="1342" t="s">
        <v>1979</v>
      </c>
      <c r="G136" s="1408">
        <v>16</v>
      </c>
      <c r="H136" s="1353">
        <f t="shared" si="14"/>
        <v>0</v>
      </c>
      <c r="I136" s="1412">
        <f t="shared" si="15"/>
        <v>0</v>
      </c>
      <c r="K136" s="1391">
        <v>131</v>
      </c>
      <c r="L136" s="1391" t="s">
        <v>2415</v>
      </c>
      <c r="AA136">
        <v>496</v>
      </c>
      <c r="AB136">
        <v>281900</v>
      </c>
      <c r="AC136">
        <v>281900</v>
      </c>
    </row>
    <row r="137" spans="2:29" ht="12.5">
      <c r="B137" s="5" t="s">
        <v>2416</v>
      </c>
      <c r="C137" s="6" t="s">
        <v>2417</v>
      </c>
      <c r="D137" s="1345">
        <v>0</v>
      </c>
      <c r="E137" s="1349">
        <v>0</v>
      </c>
      <c r="F137" s="1342" t="s">
        <v>1983</v>
      </c>
      <c r="G137" s="1408">
        <v>17</v>
      </c>
      <c r="H137" s="1353">
        <f t="shared" si="14"/>
        <v>0</v>
      </c>
      <c r="I137" s="1412">
        <f t="shared" si="15"/>
        <v>0</v>
      </c>
      <c r="K137" s="1391">
        <v>132</v>
      </c>
      <c r="L137" s="1391" t="s">
        <v>2418</v>
      </c>
      <c r="AA137">
        <v>497</v>
      </c>
      <c r="AB137">
        <v>86613</v>
      </c>
      <c r="AC137">
        <v>86613</v>
      </c>
    </row>
    <row r="138" spans="2:29" ht="12.5">
      <c r="B138" s="5" t="s">
        <v>2419</v>
      </c>
      <c r="C138" s="6" t="s">
        <v>2420</v>
      </c>
      <c r="D138" s="1345">
        <v>0</v>
      </c>
      <c r="E138" s="1349">
        <v>0</v>
      </c>
      <c r="F138" s="1342" t="s">
        <v>1987</v>
      </c>
      <c r="G138" s="1408">
        <v>18</v>
      </c>
      <c r="H138" s="1353">
        <f t="shared" si="14"/>
        <v>0</v>
      </c>
      <c r="I138" s="1412">
        <f t="shared" si="15"/>
        <v>0</v>
      </c>
      <c r="K138" s="1391">
        <v>133</v>
      </c>
      <c r="L138" s="1391" t="s">
        <v>2421</v>
      </c>
      <c r="AA138">
        <v>498</v>
      </c>
      <c r="AB138">
        <v>34976</v>
      </c>
      <c r="AC138">
        <v>34976</v>
      </c>
    </row>
    <row r="139" spans="2:29" ht="12.5">
      <c r="B139" s="5" t="s">
        <v>2422</v>
      </c>
      <c r="C139" s="6" t="s">
        <v>2423</v>
      </c>
      <c r="D139" s="1345">
        <v>0</v>
      </c>
      <c r="E139" s="1349">
        <v>0</v>
      </c>
      <c r="F139" s="1342" t="s">
        <v>1991</v>
      </c>
      <c r="G139" s="1408">
        <v>19</v>
      </c>
      <c r="H139" s="1353">
        <f t="shared" si="14"/>
        <v>0</v>
      </c>
      <c r="I139" s="1412">
        <f t="shared" si="15"/>
        <v>0</v>
      </c>
      <c r="K139" s="1391">
        <v>134</v>
      </c>
      <c r="L139" s="1391" t="s">
        <v>2424</v>
      </c>
      <c r="AA139">
        <v>499</v>
      </c>
      <c r="AB139">
        <v>38427</v>
      </c>
      <c r="AC139">
        <v>38427</v>
      </c>
    </row>
    <row r="140" spans="2:29" ht="12.5">
      <c r="B140" s="5" t="s">
        <v>2425</v>
      </c>
      <c r="C140" s="6" t="s">
        <v>2426</v>
      </c>
      <c r="D140" s="1345">
        <v>0</v>
      </c>
      <c r="E140" s="1349">
        <v>0</v>
      </c>
      <c r="F140" s="1342" t="s">
        <v>1995</v>
      </c>
      <c r="G140" s="1408">
        <v>20</v>
      </c>
      <c r="H140" s="1353">
        <f t="shared" si="14"/>
        <v>0</v>
      </c>
      <c r="I140" s="1412">
        <f t="shared" si="15"/>
        <v>0</v>
      </c>
      <c r="K140" s="1391">
        <v>135</v>
      </c>
      <c r="L140" s="1391" t="s">
        <v>2427</v>
      </c>
      <c r="AA140">
        <v>500</v>
      </c>
      <c r="AB140">
        <v>121884</v>
      </c>
      <c r="AC140">
        <v>121884</v>
      </c>
    </row>
    <row r="141" spans="2:29" ht="12.5">
      <c r="B141" s="5" t="s">
        <v>2428</v>
      </c>
      <c r="C141" s="6" t="s">
        <v>2429</v>
      </c>
      <c r="D141" s="1345">
        <v>0</v>
      </c>
      <c r="E141" s="1349">
        <v>0</v>
      </c>
      <c r="F141" s="1342" t="s">
        <v>1999</v>
      </c>
      <c r="G141" s="1408">
        <v>21</v>
      </c>
      <c r="H141" s="1353">
        <f t="shared" si="14"/>
        <v>0</v>
      </c>
      <c r="I141" s="1412">
        <f t="shared" si="15"/>
        <v>0</v>
      </c>
      <c r="K141" s="1391">
        <v>136</v>
      </c>
      <c r="L141" s="1391" t="s">
        <v>2430</v>
      </c>
      <c r="AA141">
        <v>501</v>
      </c>
      <c r="AB141">
        <v>15020</v>
      </c>
      <c r="AC141">
        <v>15020</v>
      </c>
    </row>
    <row r="142" spans="2:29" ht="12.5">
      <c r="B142" s="5" t="s">
        <v>2431</v>
      </c>
      <c r="C142" s="6" t="s">
        <v>2432</v>
      </c>
      <c r="D142" s="1345">
        <v>0</v>
      </c>
      <c r="E142" s="1349">
        <v>0</v>
      </c>
      <c r="F142" s="1342" t="s">
        <v>2003</v>
      </c>
      <c r="G142" s="1408">
        <v>22</v>
      </c>
      <c r="H142" s="1353">
        <f t="shared" si="14"/>
        <v>0</v>
      </c>
      <c r="I142" s="1412">
        <f t="shared" si="15"/>
        <v>0</v>
      </c>
      <c r="K142" s="1391">
        <v>137</v>
      </c>
      <c r="L142" s="1391" t="s">
        <v>2433</v>
      </c>
      <c r="AA142">
        <v>505</v>
      </c>
      <c r="AB142">
        <v>15020</v>
      </c>
      <c r="AC142">
        <v>15020</v>
      </c>
    </row>
    <row r="143" spans="2:29" ht="12.5">
      <c r="B143" s="5" t="s">
        <v>2434</v>
      </c>
      <c r="C143" s="6" t="s">
        <v>2435</v>
      </c>
      <c r="D143" s="1345">
        <v>0</v>
      </c>
      <c r="E143" s="1349">
        <v>0</v>
      </c>
      <c r="F143" s="1342" t="s">
        <v>2008</v>
      </c>
      <c r="G143" s="1408">
        <v>23</v>
      </c>
      <c r="H143" s="1353">
        <f t="shared" si="14"/>
        <v>0</v>
      </c>
      <c r="I143" s="1412">
        <f t="shared" si="15"/>
        <v>0</v>
      </c>
      <c r="K143" s="1391">
        <v>138</v>
      </c>
      <c r="L143" s="1391" t="s">
        <v>2436</v>
      </c>
      <c r="AA143">
        <v>506</v>
      </c>
      <c r="AB143">
        <v>3760622</v>
      </c>
      <c r="AC143">
        <v>3760622</v>
      </c>
    </row>
    <row r="144" spans="2:29" ht="12.5">
      <c r="B144" s="5" t="s">
        <v>2437</v>
      </c>
      <c r="C144" s="6" t="s">
        <v>2438</v>
      </c>
      <c r="D144" s="1345">
        <v>0</v>
      </c>
      <c r="E144" s="1349">
        <v>0</v>
      </c>
      <c r="F144" s="1342" t="s">
        <v>2013</v>
      </c>
      <c r="G144" s="1408">
        <v>24</v>
      </c>
      <c r="H144" s="1353">
        <f t="shared" si="14"/>
        <v>0</v>
      </c>
      <c r="I144" s="1412">
        <f t="shared" si="15"/>
        <v>0</v>
      </c>
      <c r="K144" s="1391">
        <v>139</v>
      </c>
      <c r="L144" s="1391" t="s">
        <v>2439</v>
      </c>
      <c r="AA144">
        <v>507</v>
      </c>
      <c r="AB144">
        <v>2480017</v>
      </c>
      <c r="AC144">
        <v>2480017</v>
      </c>
    </row>
    <row r="145" spans="1:29" ht="12.5">
      <c r="A145" s="611" t="s">
        <v>2440</v>
      </c>
      <c r="B145" s="5" t="s">
        <v>2441</v>
      </c>
      <c r="C145" s="6" t="s">
        <v>138</v>
      </c>
      <c r="D145" s="1347">
        <v>0</v>
      </c>
      <c r="E145" s="1346">
        <v>0</v>
      </c>
      <c r="F145" s="1342" t="s">
        <v>2442</v>
      </c>
      <c r="G145" s="1408">
        <v>1306</v>
      </c>
      <c r="H145" s="1353">
        <f>M1281</f>
        <v>0</v>
      </c>
      <c r="I145" s="1353">
        <f>N1281</f>
        <v>0</v>
      </c>
      <c r="K145" s="1391">
        <v>140</v>
      </c>
      <c r="L145" s="1391" t="s">
        <v>2443</v>
      </c>
      <c r="AA145">
        <v>508</v>
      </c>
      <c r="AB145">
        <v>774634</v>
      </c>
      <c r="AC145">
        <v>774634</v>
      </c>
    </row>
    <row r="146" spans="1:29" ht="12.5">
      <c r="B146" s="5" t="s">
        <v>2444</v>
      </c>
      <c r="C146" s="6" t="s">
        <v>194</v>
      </c>
      <c r="D146" s="1347">
        <v>0</v>
      </c>
      <c r="E146" s="1346">
        <v>0</v>
      </c>
      <c r="F146" s="1342" t="s">
        <v>2445</v>
      </c>
      <c r="G146" s="1408">
        <v>1330</v>
      </c>
      <c r="H146" s="1353">
        <f>M1305</f>
        <v>0</v>
      </c>
      <c r="I146" s="1353">
        <f>N1305</f>
        <v>0</v>
      </c>
      <c r="K146" s="1391">
        <v>141</v>
      </c>
      <c r="L146" s="1391" t="s">
        <v>2446</v>
      </c>
      <c r="AA146">
        <v>509</v>
      </c>
      <c r="AB146">
        <v>72206</v>
      </c>
      <c r="AC146">
        <v>72206</v>
      </c>
    </row>
    <row r="147" spans="1:29" ht="12.5">
      <c r="B147" s="5" t="s">
        <v>2447</v>
      </c>
      <c r="C147" s="6" t="s">
        <v>274</v>
      </c>
      <c r="D147" s="1347">
        <v>0</v>
      </c>
      <c r="E147" s="1346">
        <v>0</v>
      </c>
      <c r="F147" s="1342" t="s">
        <v>2448</v>
      </c>
      <c r="G147" s="1408">
        <v>1354</v>
      </c>
      <c r="H147" s="1353">
        <f>M1329</f>
        <v>0</v>
      </c>
      <c r="I147" s="1353">
        <f>N1329</f>
        <v>0</v>
      </c>
      <c r="K147" s="1391">
        <v>142</v>
      </c>
      <c r="L147" s="1391" t="s">
        <v>2449</v>
      </c>
      <c r="AA147">
        <v>510</v>
      </c>
      <c r="AB147">
        <v>433765</v>
      </c>
      <c r="AC147">
        <v>433765</v>
      </c>
    </row>
    <row r="148" spans="1:29" ht="12.5">
      <c r="B148" s="5" t="s">
        <v>2450</v>
      </c>
      <c r="C148" s="6" t="s">
        <v>234</v>
      </c>
      <c r="D148" s="1347">
        <v>0</v>
      </c>
      <c r="E148" s="1346">
        <v>0</v>
      </c>
      <c r="F148" s="1342" t="s">
        <v>2451</v>
      </c>
      <c r="G148" s="1408">
        <v>1378</v>
      </c>
      <c r="H148" s="1353">
        <f>M1353</f>
        <v>0</v>
      </c>
      <c r="I148" s="1353">
        <f>N1353</f>
        <v>0</v>
      </c>
      <c r="K148" s="1391">
        <v>143</v>
      </c>
      <c r="L148" s="1391" t="s">
        <v>2452</v>
      </c>
      <c r="AA148">
        <v>513</v>
      </c>
      <c r="AB148">
        <v>3760622</v>
      </c>
      <c r="AC148">
        <v>3760622</v>
      </c>
    </row>
    <row r="149" spans="1:29" ht="12.5">
      <c r="B149" s="5" t="s">
        <v>2453</v>
      </c>
      <c r="C149" s="6" t="s">
        <v>394</v>
      </c>
      <c r="D149" s="1347">
        <v>0</v>
      </c>
      <c r="E149" s="1346">
        <v>0</v>
      </c>
      <c r="F149" s="1342" t="s">
        <v>2454</v>
      </c>
      <c r="G149" s="1408">
        <v>1402</v>
      </c>
      <c r="H149" s="1353">
        <f>M1377</f>
        <v>0</v>
      </c>
      <c r="I149" s="1353">
        <f>N1377</f>
        <v>0</v>
      </c>
      <c r="K149" s="1391">
        <v>144</v>
      </c>
      <c r="L149" s="1391" t="s">
        <v>2455</v>
      </c>
      <c r="AA149">
        <v>514</v>
      </c>
      <c r="AB149">
        <v>106446</v>
      </c>
      <c r="AC149">
        <v>180658</v>
      </c>
    </row>
    <row r="150" spans="1:29" ht="12.5">
      <c r="B150" s="5" t="s">
        <v>2456</v>
      </c>
      <c r="C150" s="6" t="s">
        <v>314</v>
      </c>
      <c r="D150" s="1347">
        <v>0</v>
      </c>
      <c r="E150" s="1346">
        <v>0</v>
      </c>
      <c r="F150" s="1342" t="s">
        <v>2457</v>
      </c>
      <c r="G150" s="1408">
        <v>1474</v>
      </c>
      <c r="H150" s="1353">
        <f>M1449</f>
        <v>0</v>
      </c>
      <c r="I150" s="1353">
        <f>N1449</f>
        <v>0</v>
      </c>
      <c r="K150" s="1391">
        <v>145</v>
      </c>
      <c r="L150" s="1391" t="s">
        <v>2458</v>
      </c>
      <c r="AA150">
        <v>515</v>
      </c>
      <c r="AB150">
        <v>5.6500000000000002E-2</v>
      </c>
      <c r="AC150">
        <v>5.6500000000000002E-2</v>
      </c>
    </row>
    <row r="151" spans="1:29" ht="12.5">
      <c r="B151" s="5" t="s">
        <v>2459</v>
      </c>
      <c r="C151" s="6" t="s">
        <v>434</v>
      </c>
      <c r="D151" s="1347">
        <v>0</v>
      </c>
      <c r="E151" s="1346">
        <v>0</v>
      </c>
      <c r="F151" s="1342" t="s">
        <v>2460</v>
      </c>
      <c r="G151" s="1408">
        <v>1426</v>
      </c>
      <c r="H151" s="1353">
        <f>M1401</f>
        <v>0</v>
      </c>
      <c r="I151" s="1353">
        <f>N1401</f>
        <v>0</v>
      </c>
      <c r="K151" s="1391">
        <v>146</v>
      </c>
      <c r="L151" s="1391" t="s">
        <v>2461</v>
      </c>
      <c r="AA151">
        <v>516</v>
      </c>
      <c r="AB151">
        <v>0.314</v>
      </c>
      <c r="AC151">
        <v>0.314</v>
      </c>
    </row>
    <row r="152" spans="1:29" ht="12.5">
      <c r="B152" s="5" t="s">
        <v>2462</v>
      </c>
      <c r="C152" s="6" t="s">
        <v>354</v>
      </c>
      <c r="D152" s="1347">
        <v>0</v>
      </c>
      <c r="E152" s="1346">
        <v>0</v>
      </c>
      <c r="F152" s="1342" t="s">
        <v>2463</v>
      </c>
      <c r="G152" s="1408">
        <v>1450</v>
      </c>
      <c r="H152" s="1353">
        <f>M1425</f>
        <v>0</v>
      </c>
      <c r="I152" s="1353">
        <f>N1425</f>
        <v>0</v>
      </c>
      <c r="K152" s="1391">
        <v>147</v>
      </c>
      <c r="L152" s="1391" t="s">
        <v>2464</v>
      </c>
      <c r="AA152">
        <v>517</v>
      </c>
      <c r="AB152">
        <v>0</v>
      </c>
      <c r="AC152">
        <v>1</v>
      </c>
    </row>
    <row r="153" spans="1:29" ht="12.5">
      <c r="B153" s="5" t="s">
        <v>2465</v>
      </c>
      <c r="C153" s="6" t="s">
        <v>615</v>
      </c>
      <c r="D153" s="1347">
        <v>0</v>
      </c>
      <c r="E153" s="1346">
        <v>0</v>
      </c>
      <c r="F153" s="1342" t="s">
        <v>2466</v>
      </c>
      <c r="G153" s="1408">
        <v>1498</v>
      </c>
      <c r="H153" s="1353">
        <f>M1473</f>
        <v>0</v>
      </c>
      <c r="I153" s="1353">
        <f>N1473</f>
        <v>0</v>
      </c>
      <c r="K153" s="1391">
        <v>148</v>
      </c>
      <c r="L153" s="1391" t="s">
        <v>2467</v>
      </c>
      <c r="AA153">
        <v>519</v>
      </c>
      <c r="AB153">
        <v>0</v>
      </c>
      <c r="AC153">
        <v>1</v>
      </c>
    </row>
    <row r="154" spans="1:29" ht="12.5">
      <c r="B154" s="5" t="s">
        <v>2468</v>
      </c>
      <c r="C154" s="6" t="s">
        <v>658</v>
      </c>
      <c r="D154" s="1347">
        <v>0</v>
      </c>
      <c r="E154" s="1346">
        <v>0</v>
      </c>
      <c r="F154" s="1342" t="s">
        <v>2469</v>
      </c>
      <c r="G154" s="1408">
        <v>1522</v>
      </c>
      <c r="H154" s="1353">
        <f>M1497</f>
        <v>0</v>
      </c>
      <c r="I154" s="1353">
        <f>N1497</f>
        <v>0</v>
      </c>
      <c r="K154" s="1391">
        <v>149</v>
      </c>
      <c r="L154" s="1391" t="s">
        <v>2470</v>
      </c>
      <c r="AA154">
        <v>520</v>
      </c>
      <c r="AB154">
        <v>50</v>
      </c>
      <c r="AC154">
        <v>113</v>
      </c>
    </row>
    <row r="155" spans="1:29" ht="12.5">
      <c r="B155" s="5" t="s">
        <v>2471</v>
      </c>
      <c r="C155" s="6" t="s">
        <v>163</v>
      </c>
      <c r="D155" s="1347">
        <v>0</v>
      </c>
      <c r="E155" s="1346">
        <v>0</v>
      </c>
      <c r="F155" s="1342" t="s">
        <v>2472</v>
      </c>
      <c r="G155" s="1408">
        <v>1311</v>
      </c>
      <c r="H155" s="1353">
        <f>M1286</f>
        <v>0</v>
      </c>
      <c r="I155" s="1353">
        <f>N1286</f>
        <v>0</v>
      </c>
      <c r="K155" s="1391">
        <v>150</v>
      </c>
      <c r="L155" s="1391" t="s">
        <v>2473</v>
      </c>
      <c r="AA155">
        <v>521</v>
      </c>
      <c r="AB155">
        <v>9</v>
      </c>
      <c r="AC155">
        <v>24</v>
      </c>
    </row>
    <row r="156" spans="1:29" ht="12.5">
      <c r="B156" s="5" t="s">
        <v>2474</v>
      </c>
      <c r="C156" s="6" t="s">
        <v>212</v>
      </c>
      <c r="D156" s="1347">
        <v>0</v>
      </c>
      <c r="E156" s="1346">
        <v>0</v>
      </c>
      <c r="F156" s="1342" t="s">
        <v>2475</v>
      </c>
      <c r="G156" s="1408">
        <v>1335</v>
      </c>
      <c r="H156" s="1353">
        <f>M1310</f>
        <v>0</v>
      </c>
      <c r="I156" s="1353">
        <f>N1310</f>
        <v>0</v>
      </c>
      <c r="K156" s="1391">
        <v>151</v>
      </c>
      <c r="L156" s="1391" t="s">
        <v>2476</v>
      </c>
      <c r="AA156">
        <v>522</v>
      </c>
      <c r="AB156">
        <v>65</v>
      </c>
      <c r="AC156">
        <v>155</v>
      </c>
    </row>
    <row r="157" spans="1:29" ht="12.5">
      <c r="B157" s="5" t="s">
        <v>2477</v>
      </c>
      <c r="C157" s="6" t="s">
        <v>292</v>
      </c>
      <c r="D157" s="1347">
        <v>0</v>
      </c>
      <c r="E157" s="1346">
        <v>0</v>
      </c>
      <c r="F157" s="1342" t="s">
        <v>2478</v>
      </c>
      <c r="G157" s="1408">
        <v>1359</v>
      </c>
      <c r="H157" s="1353">
        <f>M1334</f>
        <v>0</v>
      </c>
      <c r="I157" s="1353">
        <f>N1334</f>
        <v>0</v>
      </c>
      <c r="K157" s="1391">
        <v>152</v>
      </c>
      <c r="L157" s="1391" t="s">
        <v>2479</v>
      </c>
      <c r="AA157">
        <v>524</v>
      </c>
      <c r="AB157">
        <v>65</v>
      </c>
      <c r="AC157">
        <v>156</v>
      </c>
    </row>
    <row r="158" spans="1:29" ht="12.5">
      <c r="B158" s="5" t="s">
        <v>2480</v>
      </c>
      <c r="C158" s="6" t="s">
        <v>252</v>
      </c>
      <c r="D158" s="1347">
        <v>0</v>
      </c>
      <c r="E158" s="1346">
        <v>0</v>
      </c>
      <c r="F158" s="1342" t="s">
        <v>2481</v>
      </c>
      <c r="G158" s="1408">
        <v>1383</v>
      </c>
      <c r="H158" s="1353">
        <f>M1358</f>
        <v>0</v>
      </c>
      <c r="I158" s="1353">
        <f>N1358</f>
        <v>0</v>
      </c>
      <c r="K158" s="1391">
        <v>153</v>
      </c>
      <c r="L158" s="1391" t="s">
        <v>2482</v>
      </c>
      <c r="AA158">
        <v>525</v>
      </c>
      <c r="AB158">
        <v>56</v>
      </c>
      <c r="AC158">
        <v>132</v>
      </c>
    </row>
    <row r="159" spans="1:29" ht="12.5">
      <c r="B159" s="5" t="s">
        <v>2483</v>
      </c>
      <c r="C159" s="6" t="s">
        <v>412</v>
      </c>
      <c r="D159" s="1347">
        <v>0</v>
      </c>
      <c r="E159" s="1346">
        <v>0</v>
      </c>
      <c r="F159" s="1342" t="s">
        <v>2484</v>
      </c>
      <c r="G159" s="1408">
        <v>1407</v>
      </c>
      <c r="H159" s="1353">
        <f>M1382</f>
        <v>0</v>
      </c>
      <c r="I159" s="1353">
        <f>N1382</f>
        <v>0</v>
      </c>
      <c r="K159" s="1391">
        <v>154</v>
      </c>
      <c r="L159" s="1391" t="s">
        <v>2485</v>
      </c>
      <c r="AA159">
        <v>526</v>
      </c>
      <c r="AB159">
        <v>0</v>
      </c>
      <c r="AC159">
        <v>33144</v>
      </c>
    </row>
    <row r="160" spans="1:29" ht="12.5">
      <c r="B160" s="5" t="s">
        <v>2486</v>
      </c>
      <c r="C160" s="6" t="s">
        <v>332</v>
      </c>
      <c r="D160" s="1347">
        <v>0</v>
      </c>
      <c r="E160" s="1346">
        <v>0</v>
      </c>
      <c r="F160" s="1342" t="s">
        <v>2487</v>
      </c>
      <c r="G160" s="1408">
        <v>1479</v>
      </c>
      <c r="H160" s="1353">
        <f>M1454</f>
        <v>0</v>
      </c>
      <c r="I160" s="1353">
        <f>N1454</f>
        <v>0</v>
      </c>
      <c r="K160" s="1391">
        <v>155</v>
      </c>
      <c r="L160" s="1391" t="s">
        <v>2488</v>
      </c>
      <c r="AA160">
        <v>528</v>
      </c>
      <c r="AB160">
        <v>0</v>
      </c>
      <c r="AC160">
        <v>33144</v>
      </c>
    </row>
    <row r="161" spans="2:29" ht="12.5">
      <c r="B161" s="5" t="s">
        <v>2489</v>
      </c>
      <c r="C161" s="6" t="s">
        <v>452</v>
      </c>
      <c r="D161" s="1347">
        <v>0</v>
      </c>
      <c r="E161" s="1346">
        <v>0</v>
      </c>
      <c r="F161" s="1342" t="s">
        <v>2490</v>
      </c>
      <c r="G161" s="1408">
        <v>1431</v>
      </c>
      <c r="H161" s="1353">
        <f>M1406</f>
        <v>0</v>
      </c>
      <c r="I161" s="1353">
        <f>N1406</f>
        <v>0</v>
      </c>
      <c r="K161" s="1391">
        <v>156</v>
      </c>
      <c r="L161" s="1391" t="s">
        <v>2491</v>
      </c>
      <c r="AA161">
        <v>529</v>
      </c>
      <c r="AB161">
        <v>3779003</v>
      </c>
      <c r="AC161">
        <v>8807734</v>
      </c>
    </row>
    <row r="162" spans="2:29" ht="12.5">
      <c r="B162" s="5" t="s">
        <v>2492</v>
      </c>
      <c r="C162" s="6" t="s">
        <v>372</v>
      </c>
      <c r="D162" s="1347">
        <v>0</v>
      </c>
      <c r="E162" s="1346">
        <v>0</v>
      </c>
      <c r="F162" s="1342" t="s">
        <v>2493</v>
      </c>
      <c r="G162" s="1408">
        <v>1455</v>
      </c>
      <c r="H162" s="1353">
        <f>M1430</f>
        <v>0</v>
      </c>
      <c r="I162" s="1353">
        <f>N1430</f>
        <v>0</v>
      </c>
      <c r="K162" s="1391">
        <v>157</v>
      </c>
      <c r="L162" s="1391" t="s">
        <v>2494</v>
      </c>
      <c r="AA162">
        <v>530</v>
      </c>
      <c r="AB162">
        <v>835717</v>
      </c>
      <c r="AC162">
        <v>1707178</v>
      </c>
    </row>
    <row r="163" spans="2:29" ht="12.5">
      <c r="B163" s="5" t="s">
        <v>2495</v>
      </c>
      <c r="C163" s="6" t="s">
        <v>634</v>
      </c>
      <c r="D163" s="1347">
        <v>0</v>
      </c>
      <c r="E163" s="1346">
        <v>0</v>
      </c>
      <c r="F163" s="1342" t="s">
        <v>2496</v>
      </c>
      <c r="G163" s="1408">
        <v>1503</v>
      </c>
      <c r="H163" s="1353">
        <f>M1478</f>
        <v>0</v>
      </c>
      <c r="I163" s="1353">
        <f>N1478</f>
        <v>0</v>
      </c>
      <c r="K163" s="1391">
        <v>158</v>
      </c>
      <c r="L163" s="1391" t="s">
        <v>2497</v>
      </c>
      <c r="AA163">
        <v>531</v>
      </c>
      <c r="AB163">
        <v>5108678</v>
      </c>
      <c r="AC163">
        <v>12136555</v>
      </c>
    </row>
    <row r="164" spans="2:29" ht="12.5">
      <c r="B164" s="5" t="s">
        <v>2498</v>
      </c>
      <c r="C164" s="6" t="s">
        <v>677</v>
      </c>
      <c r="D164" s="1347">
        <v>0</v>
      </c>
      <c r="E164" s="1346">
        <v>0</v>
      </c>
      <c r="F164" s="1342" t="s">
        <v>2499</v>
      </c>
      <c r="G164" s="1408">
        <v>1527</v>
      </c>
      <c r="H164" s="1353">
        <f>M1502</f>
        <v>0</v>
      </c>
      <c r="I164" s="1353">
        <f>N1502</f>
        <v>0</v>
      </c>
      <c r="K164" s="1391">
        <v>159</v>
      </c>
      <c r="L164" s="1391" t="s">
        <v>2500</v>
      </c>
      <c r="AA164">
        <v>534</v>
      </c>
      <c r="AB164">
        <v>5108678</v>
      </c>
      <c r="AC164">
        <v>12169699</v>
      </c>
    </row>
    <row r="165" spans="2:29" ht="12.5">
      <c r="B165" s="5" t="s">
        <v>2501</v>
      </c>
      <c r="C165" s="6" t="s">
        <v>2502</v>
      </c>
      <c r="D165" s="1347">
        <v>0</v>
      </c>
      <c r="E165" s="1346">
        <v>0</v>
      </c>
      <c r="F165" s="1342" t="s">
        <v>2503</v>
      </c>
      <c r="G165" s="1413" t="s">
        <v>2504</v>
      </c>
      <c r="H165" s="1353">
        <f>M1281-M1293</f>
        <v>0</v>
      </c>
      <c r="I165" s="1353">
        <f>N1281-N1293</f>
        <v>0</v>
      </c>
      <c r="K165" s="1391">
        <v>160</v>
      </c>
      <c r="L165" s="1391" t="s">
        <v>2505</v>
      </c>
      <c r="AA165">
        <v>535</v>
      </c>
      <c r="AB165">
        <v>4272961</v>
      </c>
      <c r="AC165">
        <v>10462521</v>
      </c>
    </row>
    <row r="166" spans="2:29" ht="12.5">
      <c r="B166" s="5" t="s">
        <v>2506</v>
      </c>
      <c r="C166" s="6" t="s">
        <v>2507</v>
      </c>
      <c r="D166" s="1347">
        <v>0</v>
      </c>
      <c r="E166" s="1346">
        <v>0</v>
      </c>
      <c r="F166" s="1342" t="s">
        <v>2508</v>
      </c>
      <c r="G166" s="1413" t="s">
        <v>2504</v>
      </c>
      <c r="H166" s="1353">
        <f>M1305-M1317</f>
        <v>0</v>
      </c>
      <c r="I166" s="1353">
        <f>N1305-N1317</f>
        <v>0</v>
      </c>
      <c r="K166" s="1391">
        <v>161</v>
      </c>
      <c r="L166" s="1391" t="s">
        <v>2509</v>
      </c>
      <c r="AA166">
        <v>536</v>
      </c>
      <c r="AB166">
        <v>0</v>
      </c>
      <c r="AC166">
        <v>-1856</v>
      </c>
    </row>
    <row r="167" spans="2:29" ht="12.5">
      <c r="B167" s="5" t="s">
        <v>2510</v>
      </c>
      <c r="C167" s="6" t="s">
        <v>2511</v>
      </c>
      <c r="D167" s="1347">
        <v>0</v>
      </c>
      <c r="E167" s="1346">
        <v>0</v>
      </c>
      <c r="F167" s="1342" t="s">
        <v>2512</v>
      </c>
      <c r="G167" s="1413" t="s">
        <v>2504</v>
      </c>
      <c r="H167" s="1353">
        <f>M1329-M1341</f>
        <v>0</v>
      </c>
      <c r="I167" s="1353">
        <f>N1329-N1341</f>
        <v>0</v>
      </c>
      <c r="K167" s="1391">
        <v>162</v>
      </c>
      <c r="L167" s="1391" t="s">
        <v>2513</v>
      </c>
      <c r="AA167">
        <v>538</v>
      </c>
      <c r="AB167">
        <v>0</v>
      </c>
      <c r="AC167">
        <v>-1856</v>
      </c>
    </row>
    <row r="168" spans="2:29" ht="12.5">
      <c r="B168" s="5" t="s">
        <v>2514</v>
      </c>
      <c r="C168" s="6" t="s">
        <v>2515</v>
      </c>
      <c r="D168" s="1347">
        <v>0</v>
      </c>
      <c r="E168" s="1346">
        <v>0</v>
      </c>
      <c r="F168" s="1342" t="s">
        <v>2516</v>
      </c>
      <c r="G168" s="1413" t="s">
        <v>2504</v>
      </c>
      <c r="H168" s="1353">
        <f>M1353-M1365</f>
        <v>0</v>
      </c>
      <c r="I168" s="1353">
        <f>N1353-N1365</f>
        <v>0</v>
      </c>
      <c r="K168" s="1391">
        <v>163</v>
      </c>
      <c r="L168" s="1391" t="s">
        <v>2517</v>
      </c>
      <c r="AA168">
        <v>539</v>
      </c>
      <c r="AB168">
        <v>142873</v>
      </c>
      <c r="AC168">
        <v>340179</v>
      </c>
    </row>
    <row r="169" spans="2:29" ht="12.5">
      <c r="B169" s="5" t="s">
        <v>2518</v>
      </c>
      <c r="C169" s="6" t="s">
        <v>2519</v>
      </c>
      <c r="D169" s="1347">
        <v>0</v>
      </c>
      <c r="E169" s="1346">
        <v>0</v>
      </c>
      <c r="F169" s="1342" t="s">
        <v>2520</v>
      </c>
      <c r="G169" s="1413" t="s">
        <v>2504</v>
      </c>
      <c r="H169" s="1353">
        <f>M1377-M1389</f>
        <v>0</v>
      </c>
      <c r="I169" s="1353">
        <f>N1377-N1389</f>
        <v>0</v>
      </c>
      <c r="K169" s="1391">
        <v>165</v>
      </c>
      <c r="L169" s="1391" t="s">
        <v>2521</v>
      </c>
      <c r="AA169">
        <v>540</v>
      </c>
      <c r="AB169">
        <v>4400</v>
      </c>
      <c r="AC169">
        <v>8005</v>
      </c>
    </row>
    <row r="170" spans="2:29" ht="12.5">
      <c r="B170" s="5" t="s">
        <v>2522</v>
      </c>
      <c r="C170" s="6" t="s">
        <v>2523</v>
      </c>
      <c r="D170" s="1347">
        <v>0</v>
      </c>
      <c r="E170" s="1346">
        <v>0</v>
      </c>
      <c r="F170" s="1342" t="s">
        <v>2524</v>
      </c>
      <c r="G170" s="1413" t="s">
        <v>2504</v>
      </c>
      <c r="H170" s="1353">
        <f>M1449-M1461</f>
        <v>0</v>
      </c>
      <c r="I170" s="1353">
        <f>N1449-N1461</f>
        <v>0</v>
      </c>
      <c r="K170" s="1391">
        <v>166</v>
      </c>
      <c r="L170" s="1391" t="s">
        <v>2525</v>
      </c>
      <c r="AA170">
        <v>541</v>
      </c>
      <c r="AB170">
        <v>167729</v>
      </c>
      <c r="AC170">
        <v>420664</v>
      </c>
    </row>
    <row r="171" spans="2:29" ht="12.5">
      <c r="B171" s="5" t="s">
        <v>2526</v>
      </c>
      <c r="C171" s="6" t="s">
        <v>2527</v>
      </c>
      <c r="D171" s="1347">
        <v>0</v>
      </c>
      <c r="E171" s="1346">
        <v>0</v>
      </c>
      <c r="F171" s="1342" t="s">
        <v>2528</v>
      </c>
      <c r="G171" s="1413" t="s">
        <v>2504</v>
      </c>
      <c r="H171" s="1353">
        <f>M1401-M1413</f>
        <v>0</v>
      </c>
      <c r="I171" s="1353">
        <f>N1401-N1413</f>
        <v>0</v>
      </c>
      <c r="K171" s="1391">
        <v>167</v>
      </c>
      <c r="L171" s="1391" t="s">
        <v>2529</v>
      </c>
      <c r="AA171">
        <v>544</v>
      </c>
      <c r="AB171">
        <v>167729</v>
      </c>
      <c r="AC171">
        <v>418808</v>
      </c>
    </row>
    <row r="172" spans="2:29" ht="12.5">
      <c r="B172" s="5" t="s">
        <v>2530</v>
      </c>
      <c r="C172" s="6" t="s">
        <v>2531</v>
      </c>
      <c r="D172" s="1347">
        <v>0</v>
      </c>
      <c r="E172" s="1346">
        <v>0</v>
      </c>
      <c r="F172" s="1342" t="s">
        <v>2532</v>
      </c>
      <c r="G172" s="1413" t="s">
        <v>2504</v>
      </c>
      <c r="H172" s="1353">
        <f>M1425-M1437</f>
        <v>0</v>
      </c>
      <c r="I172" s="1353">
        <f>N1425-N1437</f>
        <v>0</v>
      </c>
      <c r="K172" s="1391">
        <v>168</v>
      </c>
      <c r="L172" s="1391" t="s">
        <v>2533</v>
      </c>
      <c r="AA172">
        <v>545</v>
      </c>
      <c r="AB172">
        <v>163329</v>
      </c>
      <c r="AC172">
        <v>410803</v>
      </c>
    </row>
    <row r="173" spans="2:29" ht="12.5">
      <c r="B173" s="5" t="s">
        <v>2534</v>
      </c>
      <c r="C173" s="6" t="s">
        <v>2535</v>
      </c>
      <c r="D173" s="1347">
        <v>0</v>
      </c>
      <c r="E173" s="1346">
        <v>0</v>
      </c>
      <c r="F173" s="1342" t="s">
        <v>2536</v>
      </c>
      <c r="G173" s="1413" t="s">
        <v>2504</v>
      </c>
      <c r="H173" s="1353">
        <f>M1473-M1485</f>
        <v>0</v>
      </c>
      <c r="I173" s="1353">
        <f>N1473-N1485</f>
        <v>0</v>
      </c>
      <c r="K173" s="1391">
        <v>169</v>
      </c>
      <c r="L173" s="1391" t="s">
        <v>2537</v>
      </c>
      <c r="AA173">
        <v>632</v>
      </c>
      <c r="AB173">
        <v>2400</v>
      </c>
      <c r="AC173">
        <v>2400</v>
      </c>
    </row>
    <row r="174" spans="2:29" ht="12.5">
      <c r="B174" s="5" t="s">
        <v>2538</v>
      </c>
      <c r="C174" s="6" t="s">
        <v>2539</v>
      </c>
      <c r="D174" s="1347">
        <v>0</v>
      </c>
      <c r="E174" s="1346">
        <v>0</v>
      </c>
      <c r="F174" s="1342" t="s">
        <v>2540</v>
      </c>
      <c r="G174" s="1413" t="s">
        <v>2504</v>
      </c>
      <c r="H174" s="1353">
        <f>M1497-M1509</f>
        <v>0</v>
      </c>
      <c r="I174" s="1353">
        <f>N1497-N1509</f>
        <v>0</v>
      </c>
      <c r="K174" s="1391">
        <v>170</v>
      </c>
      <c r="L174" s="1391" t="s">
        <v>2541</v>
      </c>
      <c r="AA174">
        <v>633</v>
      </c>
      <c r="AB174">
        <v>-1435599</v>
      </c>
      <c r="AC174">
        <v>-1435599</v>
      </c>
    </row>
    <row r="175" spans="2:29" ht="12.5">
      <c r="B175" s="5" t="s">
        <v>2542</v>
      </c>
      <c r="C175" s="6" t="s">
        <v>2543</v>
      </c>
      <c r="D175" s="1347">
        <v>0</v>
      </c>
      <c r="E175" s="1346">
        <v>0</v>
      </c>
      <c r="F175" s="1342" t="s">
        <v>2544</v>
      </c>
      <c r="G175" s="1413" t="s">
        <v>2504</v>
      </c>
      <c r="H175" s="1353">
        <f>M1286-M1298</f>
        <v>0</v>
      </c>
      <c r="I175" s="1353">
        <f>N1286-N1298</f>
        <v>0</v>
      </c>
      <c r="K175" s="1391">
        <v>171</v>
      </c>
      <c r="L175" s="1391" t="s">
        <v>2545</v>
      </c>
      <c r="AA175">
        <v>634</v>
      </c>
      <c r="AB175">
        <v>1193273</v>
      </c>
      <c r="AC175">
        <v>1193273</v>
      </c>
    </row>
    <row r="176" spans="2:29" ht="12.5">
      <c r="B176" s="5" t="s">
        <v>2546</v>
      </c>
      <c r="C176" s="6" t="s">
        <v>2547</v>
      </c>
      <c r="D176" s="1347">
        <v>0</v>
      </c>
      <c r="E176" s="1346">
        <v>0</v>
      </c>
      <c r="F176" s="1342" t="s">
        <v>2548</v>
      </c>
      <c r="G176" s="1413" t="s">
        <v>2504</v>
      </c>
      <c r="H176" s="1353">
        <f>M1310-M1322</f>
        <v>0</v>
      </c>
      <c r="I176" s="1353">
        <f>N1310-N1322</f>
        <v>0</v>
      </c>
      <c r="K176" s="1391">
        <v>172</v>
      </c>
      <c r="L176" s="1391" t="s">
        <v>2549</v>
      </c>
      <c r="AA176">
        <v>636</v>
      </c>
      <c r="AB176">
        <v>-239926</v>
      </c>
      <c r="AC176">
        <v>-239926</v>
      </c>
    </row>
    <row r="177" spans="1:29" ht="12.5">
      <c r="B177" s="5" t="s">
        <v>2550</v>
      </c>
      <c r="C177" s="6" t="s">
        <v>2551</v>
      </c>
      <c r="D177" s="1347">
        <v>0</v>
      </c>
      <c r="E177" s="1346">
        <v>0</v>
      </c>
      <c r="F177" s="1342" t="s">
        <v>2552</v>
      </c>
      <c r="G177" s="1413" t="s">
        <v>2504</v>
      </c>
      <c r="H177" s="1353">
        <f>M1334-M1346</f>
        <v>0</v>
      </c>
      <c r="I177" s="1353">
        <f>N1334-N1346</f>
        <v>0</v>
      </c>
      <c r="K177" s="1391">
        <v>173</v>
      </c>
      <c r="L177" s="1391" t="s">
        <v>2553</v>
      </c>
      <c r="AA177">
        <v>638</v>
      </c>
      <c r="AB177">
        <v>350471</v>
      </c>
      <c r="AC177">
        <v>350471</v>
      </c>
    </row>
    <row r="178" spans="1:29" ht="12.5">
      <c r="B178" s="5" t="s">
        <v>2554</v>
      </c>
      <c r="C178" s="6" t="s">
        <v>2555</v>
      </c>
      <c r="D178" s="1347">
        <v>0</v>
      </c>
      <c r="E178" s="1346">
        <v>0</v>
      </c>
      <c r="F178" s="1342" t="s">
        <v>2556</v>
      </c>
      <c r="G178" s="1413" t="s">
        <v>2504</v>
      </c>
      <c r="H178" s="1353">
        <f>M1358-M1370</f>
        <v>0</v>
      </c>
      <c r="I178" s="1353">
        <f>N1358-N1370</f>
        <v>0</v>
      </c>
      <c r="K178" s="1391">
        <v>174</v>
      </c>
      <c r="L178" s="1391" t="s">
        <v>2557</v>
      </c>
      <c r="AA178">
        <v>640</v>
      </c>
      <c r="AB178">
        <v>8733</v>
      </c>
      <c r="AC178">
        <v>8733</v>
      </c>
    </row>
    <row r="179" spans="1:29" ht="12.5">
      <c r="B179" s="5" t="s">
        <v>2558</v>
      </c>
      <c r="C179" s="6" t="s">
        <v>2559</v>
      </c>
      <c r="D179" s="1347">
        <v>0</v>
      </c>
      <c r="E179" s="1346">
        <v>0</v>
      </c>
      <c r="F179" s="1342" t="s">
        <v>2560</v>
      </c>
      <c r="G179" s="1413" t="s">
        <v>2504</v>
      </c>
      <c r="H179" s="1353">
        <f>M1382-M1394</f>
        <v>0</v>
      </c>
      <c r="I179" s="1353">
        <f>N1382-N1394</f>
        <v>0</v>
      </c>
      <c r="K179" s="1391">
        <v>175</v>
      </c>
      <c r="L179" s="1391" t="s">
        <v>2561</v>
      </c>
      <c r="AA179">
        <v>641</v>
      </c>
      <c r="AB179">
        <v>132</v>
      </c>
      <c r="AC179">
        <v>132</v>
      </c>
    </row>
    <row r="180" spans="1:29" ht="12.5">
      <c r="B180" s="5" t="s">
        <v>2562</v>
      </c>
      <c r="C180" s="6" t="s">
        <v>2563</v>
      </c>
      <c r="D180" s="1347">
        <v>0</v>
      </c>
      <c r="E180" s="1346">
        <v>0</v>
      </c>
      <c r="F180" s="1342" t="s">
        <v>2564</v>
      </c>
      <c r="G180" s="1413" t="s">
        <v>2504</v>
      </c>
      <c r="H180" s="1353">
        <f>M1454-M1466</f>
        <v>0</v>
      </c>
      <c r="I180" s="1353">
        <f>N1454-N1466</f>
        <v>0</v>
      </c>
      <c r="K180" s="1391">
        <v>176</v>
      </c>
      <c r="L180" s="1391" t="s">
        <v>2565</v>
      </c>
      <c r="AA180">
        <v>642</v>
      </c>
      <c r="AB180">
        <v>5141820</v>
      </c>
      <c r="AC180">
        <v>5141820</v>
      </c>
    </row>
    <row r="181" spans="1:29" ht="12.5">
      <c r="B181" s="5" t="s">
        <v>2566</v>
      </c>
      <c r="C181" s="6" t="s">
        <v>2567</v>
      </c>
      <c r="D181" s="1347">
        <v>0</v>
      </c>
      <c r="E181" s="1346">
        <v>0</v>
      </c>
      <c r="F181" s="1342" t="s">
        <v>2568</v>
      </c>
      <c r="G181" s="1413" t="s">
        <v>2504</v>
      </c>
      <c r="H181" s="1353">
        <f>M1406-M1418</f>
        <v>0</v>
      </c>
      <c r="I181" s="1353">
        <f>N1406-N1418</f>
        <v>0</v>
      </c>
      <c r="K181" s="1391">
        <v>177</v>
      </c>
      <c r="L181" s="1391" t="s">
        <v>2569</v>
      </c>
      <c r="AA181">
        <v>644</v>
      </c>
      <c r="AB181">
        <v>101989</v>
      </c>
      <c r="AC181">
        <v>101989</v>
      </c>
    </row>
    <row r="182" spans="1:29" ht="12.5">
      <c r="B182" s="5" t="s">
        <v>2570</v>
      </c>
      <c r="C182" s="6" t="s">
        <v>2571</v>
      </c>
      <c r="D182" s="1347">
        <v>0</v>
      </c>
      <c r="E182" s="1346">
        <v>0</v>
      </c>
      <c r="F182" s="1342" t="s">
        <v>2572</v>
      </c>
      <c r="G182" s="1413" t="s">
        <v>2504</v>
      </c>
      <c r="H182" s="1353">
        <f>M1430-M1442</f>
        <v>0</v>
      </c>
      <c r="I182" s="1353">
        <f>N1430-N1442</f>
        <v>0</v>
      </c>
      <c r="K182" s="1391">
        <v>178</v>
      </c>
      <c r="L182" s="1391" t="s">
        <v>2573</v>
      </c>
      <c r="AA182">
        <v>645</v>
      </c>
      <c r="AB182">
        <v>9763842</v>
      </c>
      <c r="AC182">
        <v>9763842</v>
      </c>
    </row>
    <row r="183" spans="1:29" ht="12.5">
      <c r="B183" s="5" t="s">
        <v>2574</v>
      </c>
      <c r="C183" s="6" t="s">
        <v>2575</v>
      </c>
      <c r="D183" s="1347">
        <v>0</v>
      </c>
      <c r="E183" s="1346">
        <v>0</v>
      </c>
      <c r="F183" s="1342" t="s">
        <v>2576</v>
      </c>
      <c r="G183" s="1413" t="s">
        <v>2504</v>
      </c>
      <c r="H183" s="1353">
        <f>M1478-M1490</f>
        <v>0</v>
      </c>
      <c r="I183" s="1353">
        <f>N1478-N1490</f>
        <v>0</v>
      </c>
      <c r="K183" s="1391">
        <v>179</v>
      </c>
      <c r="L183" s="1391" t="s">
        <v>2577</v>
      </c>
      <c r="AA183">
        <v>648</v>
      </c>
      <c r="AB183">
        <v>1289927</v>
      </c>
      <c r="AC183">
        <v>1289927</v>
      </c>
    </row>
    <row r="184" spans="1:29" ht="12.5">
      <c r="B184" s="5" t="s">
        <v>2578</v>
      </c>
      <c r="C184" s="6" t="s">
        <v>2579</v>
      </c>
      <c r="D184" s="1347">
        <v>0</v>
      </c>
      <c r="E184" s="1346">
        <v>0</v>
      </c>
      <c r="F184" s="1342" t="s">
        <v>2580</v>
      </c>
      <c r="G184" s="1413" t="s">
        <v>2504</v>
      </c>
      <c r="H184" s="1353">
        <f>M1502-M1514</f>
        <v>0</v>
      </c>
      <c r="I184" s="1353">
        <f>N1502-N1514</f>
        <v>0</v>
      </c>
      <c r="K184" s="1391">
        <v>180</v>
      </c>
      <c r="L184" s="1391" t="s">
        <v>2581</v>
      </c>
      <c r="AA184">
        <v>649</v>
      </c>
      <c r="AB184">
        <v>9754089</v>
      </c>
      <c r="AC184">
        <v>9754089</v>
      </c>
    </row>
    <row r="185" spans="1:29" ht="12.5">
      <c r="A185" s="611" t="s">
        <v>2582</v>
      </c>
      <c r="B185" s="5" t="s">
        <v>2583</v>
      </c>
      <c r="C185" s="6" t="s">
        <v>2584</v>
      </c>
      <c r="D185" s="1347">
        <v>0</v>
      </c>
      <c r="E185" s="1346">
        <v>0</v>
      </c>
      <c r="F185" s="1342" t="s">
        <v>2585</v>
      </c>
      <c r="G185" s="1414">
        <v>3470</v>
      </c>
      <c r="H185" s="1353">
        <f t="shared" ref="H185:H203" si="16">M1730</f>
        <v>0</v>
      </c>
      <c r="I185" s="1353">
        <f t="shared" ref="I185:I203" si="17">N1730</f>
        <v>0</v>
      </c>
      <c r="K185" s="1391">
        <v>181</v>
      </c>
      <c r="L185" s="1391" t="s">
        <v>2586</v>
      </c>
      <c r="AA185">
        <v>650</v>
      </c>
      <c r="AB185">
        <v>364559</v>
      </c>
      <c r="AC185">
        <v>364559</v>
      </c>
    </row>
    <row r="186" spans="1:29" ht="12.5">
      <c r="B186" s="5" t="s">
        <v>2587</v>
      </c>
      <c r="C186" s="6" t="s">
        <v>2588</v>
      </c>
      <c r="D186" s="1347">
        <v>0</v>
      </c>
      <c r="E186" s="1346">
        <v>1</v>
      </c>
      <c r="F186" s="1342" t="s">
        <v>2589</v>
      </c>
      <c r="G186" s="1414">
        <v>3471</v>
      </c>
      <c r="H186" s="1353">
        <f t="shared" si="16"/>
        <v>0</v>
      </c>
      <c r="I186" s="1353">
        <f t="shared" si="17"/>
        <v>0</v>
      </c>
      <c r="K186" s="1391">
        <v>182</v>
      </c>
      <c r="L186" s="1391" t="s">
        <v>2590</v>
      </c>
      <c r="AA186">
        <v>651</v>
      </c>
      <c r="AB186">
        <v>30864</v>
      </c>
      <c r="AC186">
        <v>30864</v>
      </c>
    </row>
    <row r="187" spans="1:29" ht="12.5">
      <c r="B187" s="5" t="s">
        <v>2591</v>
      </c>
      <c r="C187" s="6" t="s">
        <v>2592</v>
      </c>
      <c r="D187" s="1347">
        <v>0</v>
      </c>
      <c r="E187" s="1346">
        <v>0</v>
      </c>
      <c r="F187" s="1342" t="s">
        <v>2593</v>
      </c>
      <c r="G187" s="1414">
        <v>3472</v>
      </c>
      <c r="H187" s="1353">
        <f t="shared" si="16"/>
        <v>0</v>
      </c>
      <c r="I187" s="1353">
        <f t="shared" si="17"/>
        <v>0</v>
      </c>
      <c r="K187" s="1391">
        <v>185</v>
      </c>
      <c r="L187" s="1391" t="s">
        <v>2594</v>
      </c>
      <c r="AA187">
        <v>652</v>
      </c>
      <c r="AB187">
        <v>37726</v>
      </c>
      <c r="AC187">
        <v>37726</v>
      </c>
    </row>
    <row r="188" spans="1:29" ht="12.5">
      <c r="B188" s="5" t="s">
        <v>2595</v>
      </c>
      <c r="C188" s="6" t="s">
        <v>2596</v>
      </c>
      <c r="D188" s="1347">
        <v>0</v>
      </c>
      <c r="E188" s="1346">
        <v>0</v>
      </c>
      <c r="F188" s="1342" t="s">
        <v>2597</v>
      </c>
      <c r="G188" s="1414">
        <v>3473</v>
      </c>
      <c r="H188" s="1353">
        <f t="shared" si="16"/>
        <v>0</v>
      </c>
      <c r="I188" s="1353">
        <f t="shared" si="17"/>
        <v>0</v>
      </c>
      <c r="K188" s="1391">
        <v>186</v>
      </c>
      <c r="L188" s="1391" t="s">
        <v>2598</v>
      </c>
      <c r="AA188">
        <v>653</v>
      </c>
      <c r="AB188">
        <v>34497</v>
      </c>
      <c r="AC188">
        <v>34497</v>
      </c>
    </row>
    <row r="189" spans="1:29" ht="12.5">
      <c r="B189" s="5" t="s">
        <v>2599</v>
      </c>
      <c r="C189" s="6" t="s">
        <v>2600</v>
      </c>
      <c r="D189" s="1347">
        <v>0</v>
      </c>
      <c r="E189" s="1346">
        <v>0</v>
      </c>
      <c r="F189" s="1342" t="s">
        <v>2601</v>
      </c>
      <c r="G189" s="1414">
        <v>3474</v>
      </c>
      <c r="H189" s="1353">
        <f t="shared" si="16"/>
        <v>0</v>
      </c>
      <c r="I189" s="1353">
        <f t="shared" si="17"/>
        <v>0</v>
      </c>
      <c r="K189" s="1391">
        <v>187</v>
      </c>
      <c r="L189" s="1391" t="s">
        <v>2602</v>
      </c>
      <c r="AA189">
        <v>654</v>
      </c>
      <c r="AB189">
        <v>70236</v>
      </c>
      <c r="AC189">
        <v>70236</v>
      </c>
    </row>
    <row r="190" spans="1:29" ht="12.5">
      <c r="B190" s="5" t="s">
        <v>2603</v>
      </c>
      <c r="C190" s="6" t="s">
        <v>2604</v>
      </c>
      <c r="D190" s="1347">
        <v>0</v>
      </c>
      <c r="E190" s="1346">
        <v>0</v>
      </c>
      <c r="F190" s="1342" t="s">
        <v>2605</v>
      </c>
      <c r="G190" s="1414">
        <v>3475</v>
      </c>
      <c r="H190" s="1353">
        <f t="shared" si="16"/>
        <v>0</v>
      </c>
      <c r="I190" s="1353">
        <f t="shared" si="17"/>
        <v>0</v>
      </c>
      <c r="K190" s="1391">
        <v>188</v>
      </c>
      <c r="L190" s="1391" t="s">
        <v>2606</v>
      </c>
      <c r="AA190">
        <v>655</v>
      </c>
      <c r="AB190">
        <v>19238</v>
      </c>
      <c r="AC190">
        <v>19238</v>
      </c>
    </row>
    <row r="191" spans="1:29" ht="12.5">
      <c r="B191" s="5" t="s">
        <v>2607</v>
      </c>
      <c r="C191" s="6" t="s">
        <v>2608</v>
      </c>
      <c r="D191" s="1347">
        <v>0</v>
      </c>
      <c r="E191" s="1346">
        <v>0</v>
      </c>
      <c r="F191" s="1342" t="s">
        <v>2609</v>
      </c>
      <c r="G191" s="1414">
        <v>3476</v>
      </c>
      <c r="H191" s="1353">
        <f t="shared" si="16"/>
        <v>0</v>
      </c>
      <c r="I191" s="1353">
        <f t="shared" si="17"/>
        <v>0</v>
      </c>
      <c r="K191" s="1391">
        <v>189</v>
      </c>
      <c r="L191" s="1391" t="s">
        <v>2610</v>
      </c>
      <c r="AA191">
        <v>659</v>
      </c>
      <c r="AB191">
        <v>21466967</v>
      </c>
      <c r="AC191">
        <v>21466967</v>
      </c>
    </row>
    <row r="192" spans="1:29" ht="12.5">
      <c r="B192" s="5" t="s">
        <v>2611</v>
      </c>
      <c r="C192" s="6" t="s">
        <v>2612</v>
      </c>
      <c r="D192" s="1347">
        <v>0</v>
      </c>
      <c r="E192" s="1346">
        <v>0</v>
      </c>
      <c r="F192" s="1342" t="s">
        <v>2613</v>
      </c>
      <c r="G192" s="1414">
        <v>3477</v>
      </c>
      <c r="H192" s="1353">
        <f t="shared" si="16"/>
        <v>0</v>
      </c>
      <c r="I192" s="1353">
        <f t="shared" si="17"/>
        <v>0</v>
      </c>
      <c r="K192" s="1391">
        <v>190</v>
      </c>
      <c r="L192" s="1391" t="s">
        <v>2614</v>
      </c>
      <c r="AA192">
        <v>660</v>
      </c>
      <c r="AB192">
        <v>110420</v>
      </c>
      <c r="AC192">
        <v>110420</v>
      </c>
    </row>
    <row r="193" spans="2:29" ht="12.5">
      <c r="B193" s="5" t="s">
        <v>2615</v>
      </c>
      <c r="C193" s="6" t="s">
        <v>2616</v>
      </c>
      <c r="D193" s="1347">
        <v>0</v>
      </c>
      <c r="E193" s="1346">
        <v>0</v>
      </c>
      <c r="F193" s="1342" t="s">
        <v>2617</v>
      </c>
      <c r="G193" s="1414">
        <v>3478</v>
      </c>
      <c r="H193" s="1353">
        <f t="shared" si="16"/>
        <v>0</v>
      </c>
      <c r="I193" s="1353">
        <f t="shared" si="17"/>
        <v>0</v>
      </c>
      <c r="K193" s="1391">
        <v>191</v>
      </c>
      <c r="L193" s="1391" t="s">
        <v>2618</v>
      </c>
      <c r="AA193">
        <v>662</v>
      </c>
      <c r="AB193">
        <v>-33569</v>
      </c>
      <c r="AC193">
        <v>-33569</v>
      </c>
    </row>
    <row r="194" spans="2:29" ht="12.5">
      <c r="B194" s="5" t="s">
        <v>2619</v>
      </c>
      <c r="C194" s="6" t="s">
        <v>2620</v>
      </c>
      <c r="D194" s="1347">
        <v>0</v>
      </c>
      <c r="E194" s="1346">
        <v>0</v>
      </c>
      <c r="F194" s="1342" t="s">
        <v>2621</v>
      </c>
      <c r="G194" s="1414">
        <v>3479</v>
      </c>
      <c r="H194" s="1353">
        <f t="shared" si="16"/>
        <v>0</v>
      </c>
      <c r="I194" s="1353">
        <f t="shared" si="17"/>
        <v>0</v>
      </c>
      <c r="K194" s="1391">
        <v>192</v>
      </c>
      <c r="L194" s="1391" t="s">
        <v>2622</v>
      </c>
      <c r="AA194">
        <v>663</v>
      </c>
      <c r="AB194">
        <v>26445712</v>
      </c>
      <c r="AC194">
        <v>26445712</v>
      </c>
    </row>
    <row r="195" spans="2:29" ht="12.5">
      <c r="B195" s="5" t="s">
        <v>2623</v>
      </c>
      <c r="C195" s="6" t="s">
        <v>2624</v>
      </c>
      <c r="D195" s="1347">
        <v>0</v>
      </c>
      <c r="E195" s="1346">
        <v>0</v>
      </c>
      <c r="F195" s="1342" t="s">
        <v>2625</v>
      </c>
      <c r="G195" s="1414">
        <v>3480</v>
      </c>
      <c r="H195" s="1353">
        <f t="shared" si="16"/>
        <v>0</v>
      </c>
      <c r="I195" s="1353">
        <f t="shared" si="17"/>
        <v>0</v>
      </c>
      <c r="K195" s="1391">
        <v>193</v>
      </c>
      <c r="L195" s="1391" t="s">
        <v>2626</v>
      </c>
      <c r="AA195">
        <v>667</v>
      </c>
      <c r="AB195">
        <v>26445712</v>
      </c>
      <c r="AC195">
        <v>26445712</v>
      </c>
    </row>
    <row r="196" spans="2:29" ht="12.5">
      <c r="B196" s="5" t="s">
        <v>2627</v>
      </c>
      <c r="C196" s="6" t="s">
        <v>2628</v>
      </c>
      <c r="D196" s="1347">
        <v>0</v>
      </c>
      <c r="E196" s="1346">
        <v>0</v>
      </c>
      <c r="F196" s="1342" t="s">
        <v>2629</v>
      </c>
      <c r="G196" s="1414">
        <v>3481</v>
      </c>
      <c r="H196" s="1353">
        <f t="shared" si="16"/>
        <v>0</v>
      </c>
      <c r="I196" s="1353">
        <f t="shared" si="17"/>
        <v>0</v>
      </c>
      <c r="K196" s="1391">
        <v>194</v>
      </c>
      <c r="L196" s="1391" t="s">
        <v>2630</v>
      </c>
      <c r="AA196">
        <v>669</v>
      </c>
      <c r="AB196">
        <v>233357</v>
      </c>
      <c r="AC196">
        <v>233357</v>
      </c>
    </row>
    <row r="197" spans="2:29" ht="12.5">
      <c r="B197" s="5" t="s">
        <v>2631</v>
      </c>
      <c r="C197" s="6" t="s">
        <v>2632</v>
      </c>
      <c r="D197" s="1347">
        <v>0</v>
      </c>
      <c r="E197" s="1346">
        <v>0</v>
      </c>
      <c r="F197" s="1342" t="s">
        <v>2633</v>
      </c>
      <c r="G197" s="1414">
        <v>3482</v>
      </c>
      <c r="H197" s="1353">
        <f t="shared" si="16"/>
        <v>0</v>
      </c>
      <c r="I197" s="1353">
        <f t="shared" si="17"/>
        <v>0</v>
      </c>
      <c r="K197" s="1391">
        <v>195</v>
      </c>
      <c r="L197" s="1391" t="s">
        <v>2634</v>
      </c>
      <c r="AA197">
        <v>671</v>
      </c>
      <c r="AB197">
        <v>57545</v>
      </c>
      <c r="AC197">
        <v>57545</v>
      </c>
    </row>
    <row r="198" spans="2:29" ht="12.5">
      <c r="B198" s="5" t="s">
        <v>2635</v>
      </c>
      <c r="C198" s="6" t="s">
        <v>2636</v>
      </c>
      <c r="D198" s="1347">
        <v>0</v>
      </c>
      <c r="E198" s="1346">
        <v>0</v>
      </c>
      <c r="F198" s="1342" t="s">
        <v>2637</v>
      </c>
      <c r="G198" s="1414">
        <v>3483</v>
      </c>
      <c r="H198" s="1353">
        <f t="shared" si="16"/>
        <v>0</v>
      </c>
      <c r="I198" s="1353">
        <f t="shared" si="17"/>
        <v>0</v>
      </c>
      <c r="K198" s="1391">
        <v>196</v>
      </c>
      <c r="L198" s="1391" t="s">
        <v>2638</v>
      </c>
      <c r="AA198">
        <v>672</v>
      </c>
      <c r="AB198">
        <v>7207</v>
      </c>
      <c r="AC198">
        <v>7207</v>
      </c>
    </row>
    <row r="199" spans="2:29" ht="12.5">
      <c r="B199" s="5" t="s">
        <v>2639</v>
      </c>
      <c r="C199" s="6" t="s">
        <v>2640</v>
      </c>
      <c r="D199" s="1347">
        <v>0</v>
      </c>
      <c r="E199" s="1346">
        <v>0</v>
      </c>
      <c r="F199" s="1342" t="s">
        <v>2641</v>
      </c>
      <c r="G199" s="1414">
        <v>3484</v>
      </c>
      <c r="H199" s="1353">
        <f t="shared" si="16"/>
        <v>0</v>
      </c>
      <c r="I199" s="1353">
        <f t="shared" si="17"/>
        <v>0</v>
      </c>
      <c r="K199" s="1391">
        <v>197</v>
      </c>
      <c r="L199" s="1391" t="s">
        <v>2642</v>
      </c>
      <c r="AA199">
        <v>673</v>
      </c>
      <c r="AB199">
        <v>698014</v>
      </c>
      <c r="AC199">
        <v>698014</v>
      </c>
    </row>
    <row r="200" spans="2:29" ht="12.5">
      <c r="B200" s="5" t="s">
        <v>2643</v>
      </c>
      <c r="C200" s="6" t="s">
        <v>2644</v>
      </c>
      <c r="D200" s="1347">
        <v>0</v>
      </c>
      <c r="E200" s="1346">
        <v>0</v>
      </c>
      <c r="F200" s="1342" t="s">
        <v>2645</v>
      </c>
      <c r="G200" s="1414">
        <v>3485</v>
      </c>
      <c r="H200" s="1353">
        <f t="shared" si="16"/>
        <v>0</v>
      </c>
      <c r="I200" s="1353">
        <f t="shared" si="17"/>
        <v>0</v>
      </c>
      <c r="K200" s="1391">
        <v>198</v>
      </c>
      <c r="L200" s="1391" t="s">
        <v>2646</v>
      </c>
      <c r="AA200">
        <v>675</v>
      </c>
      <c r="AB200">
        <v>49360</v>
      </c>
      <c r="AC200">
        <v>49360</v>
      </c>
    </row>
    <row r="201" spans="2:29" ht="12.5">
      <c r="B201" s="5" t="s">
        <v>2647</v>
      </c>
      <c r="C201" s="6" t="s">
        <v>2648</v>
      </c>
      <c r="D201" s="1347">
        <v>0</v>
      </c>
      <c r="E201" s="1346">
        <v>0</v>
      </c>
      <c r="F201" s="1342" t="s">
        <v>2649</v>
      </c>
      <c r="G201" s="1414">
        <v>3486</v>
      </c>
      <c r="H201" s="1353">
        <f t="shared" si="16"/>
        <v>0</v>
      </c>
      <c r="I201" s="1353">
        <f t="shared" si="17"/>
        <v>0</v>
      </c>
      <c r="K201" s="1391">
        <v>199</v>
      </c>
      <c r="L201" s="1391" t="s">
        <v>2650</v>
      </c>
      <c r="AA201">
        <v>676</v>
      </c>
      <c r="AB201">
        <v>73638</v>
      </c>
      <c r="AC201">
        <v>73638</v>
      </c>
    </row>
    <row r="202" spans="2:29" ht="12.5">
      <c r="B202" s="5" t="s">
        <v>2651</v>
      </c>
      <c r="C202" s="6" t="s">
        <v>2652</v>
      </c>
      <c r="D202" s="1347">
        <v>0</v>
      </c>
      <c r="E202" s="1346">
        <v>0</v>
      </c>
      <c r="F202" s="1342" t="s">
        <v>2653</v>
      </c>
      <c r="G202" s="1414">
        <v>3487</v>
      </c>
      <c r="H202" s="1353">
        <f t="shared" si="16"/>
        <v>0</v>
      </c>
      <c r="I202" s="1353">
        <f t="shared" si="17"/>
        <v>0</v>
      </c>
      <c r="K202" s="1391">
        <v>200</v>
      </c>
      <c r="L202" s="1391" t="s">
        <v>2654</v>
      </c>
      <c r="AA202">
        <v>677</v>
      </c>
      <c r="AB202">
        <v>27949</v>
      </c>
      <c r="AC202">
        <v>27949</v>
      </c>
    </row>
    <row r="203" spans="2:29" ht="12.5">
      <c r="B203" s="5" t="s">
        <v>2655</v>
      </c>
      <c r="C203" s="6" t="s">
        <v>2656</v>
      </c>
      <c r="D203" s="1347">
        <v>0</v>
      </c>
      <c r="E203" s="1346">
        <v>0</v>
      </c>
      <c r="F203" s="1342" t="s">
        <v>2657</v>
      </c>
      <c r="G203" s="1414">
        <v>3488</v>
      </c>
      <c r="H203" s="1353">
        <f t="shared" si="16"/>
        <v>0</v>
      </c>
      <c r="I203" s="1353">
        <f t="shared" si="17"/>
        <v>0</v>
      </c>
      <c r="K203" s="1391">
        <v>201</v>
      </c>
      <c r="L203" s="1391" t="s">
        <v>2658</v>
      </c>
      <c r="AA203">
        <v>678</v>
      </c>
      <c r="AB203">
        <v>1147070</v>
      </c>
      <c r="AC203">
        <v>1147070</v>
      </c>
    </row>
    <row r="204" spans="2:29" ht="12.5">
      <c r="B204" s="5" t="s">
        <v>2659</v>
      </c>
      <c r="C204" s="6" t="s">
        <v>2660</v>
      </c>
      <c r="D204" s="1347">
        <v>0</v>
      </c>
      <c r="E204" s="1346">
        <v>0</v>
      </c>
      <c r="F204" s="1342" t="s">
        <v>2661</v>
      </c>
      <c r="G204" s="1408">
        <v>26</v>
      </c>
      <c r="H204" s="1353">
        <f t="shared" ref="H204:I206" si="18">M31</f>
        <v>0</v>
      </c>
      <c r="I204" s="1353">
        <f t="shared" si="18"/>
        <v>0</v>
      </c>
      <c r="K204" s="1391">
        <v>202</v>
      </c>
      <c r="L204" s="1391" t="s">
        <v>2662</v>
      </c>
      <c r="AA204">
        <v>679</v>
      </c>
      <c r="AB204">
        <v>53924</v>
      </c>
      <c r="AC204">
        <v>53924</v>
      </c>
    </row>
    <row r="205" spans="2:29" ht="12.5">
      <c r="B205" s="5" t="s">
        <v>2663</v>
      </c>
      <c r="C205" s="6" t="s">
        <v>2664</v>
      </c>
      <c r="D205" s="1347">
        <v>0</v>
      </c>
      <c r="E205" s="1346">
        <v>0</v>
      </c>
      <c r="F205" s="1342" t="s">
        <v>2665</v>
      </c>
      <c r="G205" s="1408">
        <v>27</v>
      </c>
      <c r="H205" s="1353">
        <f t="shared" si="18"/>
        <v>0</v>
      </c>
      <c r="I205" s="1353">
        <f t="shared" si="18"/>
        <v>0</v>
      </c>
      <c r="K205" s="1391">
        <v>203</v>
      </c>
      <c r="L205" s="1391" t="s">
        <v>2666</v>
      </c>
      <c r="AA205">
        <v>681</v>
      </c>
      <c r="AB205">
        <v>20464</v>
      </c>
      <c r="AC205">
        <v>20464</v>
      </c>
    </row>
    <row r="206" spans="2:29" ht="12.5">
      <c r="B206" s="5" t="s">
        <v>2667</v>
      </c>
      <c r="C206" s="6" t="s">
        <v>2668</v>
      </c>
      <c r="D206" s="1347">
        <v>0</v>
      </c>
      <c r="E206" s="1346">
        <v>0</v>
      </c>
      <c r="F206" s="1342" t="s">
        <v>2669</v>
      </c>
      <c r="G206" s="1408">
        <v>28</v>
      </c>
      <c r="H206" s="1353">
        <f t="shared" si="18"/>
        <v>0</v>
      </c>
      <c r="I206" s="1353">
        <f t="shared" si="18"/>
        <v>0</v>
      </c>
      <c r="K206" s="1391">
        <v>204</v>
      </c>
      <c r="L206" s="1391" t="s">
        <v>2670</v>
      </c>
      <c r="AA206">
        <v>682</v>
      </c>
      <c r="AB206">
        <v>2825</v>
      </c>
      <c r="AC206">
        <v>2825</v>
      </c>
    </row>
    <row r="207" spans="2:29" ht="12.5">
      <c r="B207" s="5" t="s">
        <v>2671</v>
      </c>
      <c r="C207" s="6" t="s">
        <v>2672</v>
      </c>
      <c r="D207" s="1347">
        <v>0</v>
      </c>
      <c r="E207" s="1346">
        <v>0</v>
      </c>
      <c r="F207" s="1342" t="s">
        <v>2673</v>
      </c>
      <c r="G207" s="1414">
        <v>3489</v>
      </c>
      <c r="H207" s="1353">
        <f t="shared" ref="H207:H222" si="19">M1749</f>
        <v>0</v>
      </c>
      <c r="I207" s="1353">
        <f t="shared" ref="I207:I222" si="20">N1749</f>
        <v>0</v>
      </c>
      <c r="K207" s="1391">
        <v>205</v>
      </c>
      <c r="L207" s="1391" t="s">
        <v>2674</v>
      </c>
      <c r="AA207">
        <v>683</v>
      </c>
      <c r="AB207">
        <v>229706</v>
      </c>
      <c r="AC207">
        <v>229706</v>
      </c>
    </row>
    <row r="208" spans="2:29" ht="12.5">
      <c r="B208" s="5" t="s">
        <v>2675</v>
      </c>
      <c r="C208" s="6" t="s">
        <v>2676</v>
      </c>
      <c r="D208" s="1347">
        <v>0</v>
      </c>
      <c r="E208" s="1346">
        <v>0</v>
      </c>
      <c r="F208" s="1342" t="s">
        <v>2677</v>
      </c>
      <c r="G208" s="1414">
        <v>3490</v>
      </c>
      <c r="H208" s="1353">
        <f t="shared" si="19"/>
        <v>0</v>
      </c>
      <c r="I208" s="1353">
        <f t="shared" si="20"/>
        <v>0</v>
      </c>
      <c r="K208" s="1391">
        <v>206</v>
      </c>
      <c r="L208" s="1391" t="s">
        <v>2678</v>
      </c>
      <c r="AA208">
        <v>685</v>
      </c>
      <c r="AB208">
        <v>12946</v>
      </c>
      <c r="AC208">
        <v>12946</v>
      </c>
    </row>
    <row r="209" spans="2:29" ht="12.5">
      <c r="B209" s="5" t="s">
        <v>2679</v>
      </c>
      <c r="C209" s="6" t="s">
        <v>2680</v>
      </c>
      <c r="D209" s="1347">
        <v>1</v>
      </c>
      <c r="E209" s="1346">
        <v>1</v>
      </c>
      <c r="F209" s="1342" t="s">
        <v>2681</v>
      </c>
      <c r="G209" s="1414">
        <v>3491</v>
      </c>
      <c r="H209" s="1353">
        <f t="shared" si="19"/>
        <v>0</v>
      </c>
      <c r="I209" s="1353">
        <f t="shared" si="20"/>
        <v>0</v>
      </c>
      <c r="K209" s="1391">
        <v>208</v>
      </c>
      <c r="L209" s="1391" t="s">
        <v>2682</v>
      </c>
      <c r="AA209">
        <v>686</v>
      </c>
      <c r="AB209">
        <v>35694</v>
      </c>
      <c r="AC209">
        <v>35694</v>
      </c>
    </row>
    <row r="210" spans="2:29" ht="12.5">
      <c r="B210" s="5" t="s">
        <v>2683</v>
      </c>
      <c r="C210" s="6" t="s">
        <v>2684</v>
      </c>
      <c r="D210" s="1347">
        <v>1</v>
      </c>
      <c r="E210" s="1346">
        <v>1</v>
      </c>
      <c r="F210" s="1342" t="s">
        <v>2685</v>
      </c>
      <c r="G210" s="1414">
        <v>3492</v>
      </c>
      <c r="H210" s="1353">
        <f t="shared" si="19"/>
        <v>0</v>
      </c>
      <c r="I210" s="1353">
        <f t="shared" si="20"/>
        <v>0</v>
      </c>
      <c r="K210" s="1391">
        <v>209</v>
      </c>
      <c r="L210" s="1391" t="s">
        <v>2686</v>
      </c>
      <c r="AA210">
        <v>687</v>
      </c>
      <c r="AB210">
        <v>2333</v>
      </c>
      <c r="AC210">
        <v>2333</v>
      </c>
    </row>
    <row r="211" spans="2:29" ht="12.5">
      <c r="B211" s="5" t="s">
        <v>2687</v>
      </c>
      <c r="C211" s="6" t="s">
        <v>2688</v>
      </c>
      <c r="D211" s="1347">
        <v>0</v>
      </c>
      <c r="E211" s="1346">
        <v>2</v>
      </c>
      <c r="F211" s="1342" t="s">
        <v>2689</v>
      </c>
      <c r="G211" s="1414">
        <v>3493</v>
      </c>
      <c r="H211" s="1353">
        <f t="shared" si="19"/>
        <v>0</v>
      </c>
      <c r="I211" s="1353">
        <f t="shared" si="20"/>
        <v>0</v>
      </c>
      <c r="K211" s="1391">
        <v>210</v>
      </c>
      <c r="L211" s="1391" t="s">
        <v>2690</v>
      </c>
      <c r="AA211">
        <v>688</v>
      </c>
      <c r="AB211">
        <v>357892</v>
      </c>
      <c r="AC211">
        <v>357892</v>
      </c>
    </row>
    <row r="212" spans="2:29" ht="12.5">
      <c r="B212" s="5" t="s">
        <v>2691</v>
      </c>
      <c r="C212" s="6" t="s">
        <v>2692</v>
      </c>
      <c r="D212" s="1347">
        <v>5</v>
      </c>
      <c r="E212" s="1346">
        <v>10</v>
      </c>
      <c r="F212" s="1342" t="s">
        <v>2693</v>
      </c>
      <c r="G212" s="1414">
        <v>3494</v>
      </c>
      <c r="H212" s="1353">
        <f t="shared" si="19"/>
        <v>0</v>
      </c>
      <c r="I212" s="1353">
        <f t="shared" si="20"/>
        <v>0</v>
      </c>
      <c r="K212" s="1391">
        <v>211</v>
      </c>
      <c r="L212" s="1391" t="s">
        <v>2694</v>
      </c>
      <c r="AA212">
        <v>690</v>
      </c>
      <c r="AB212">
        <v>179433</v>
      </c>
      <c r="AC212">
        <v>179433</v>
      </c>
    </row>
    <row r="213" spans="2:29" ht="12.5">
      <c r="B213" s="5" t="s">
        <v>2695</v>
      </c>
      <c r="C213" s="6" t="s">
        <v>2696</v>
      </c>
      <c r="D213" s="1347">
        <v>1</v>
      </c>
      <c r="E213" s="1346">
        <v>4</v>
      </c>
      <c r="F213" s="1342" t="s">
        <v>2697</v>
      </c>
      <c r="G213" s="1414">
        <v>3495</v>
      </c>
      <c r="H213" s="1353">
        <f t="shared" si="19"/>
        <v>0</v>
      </c>
      <c r="I213" s="1353">
        <f t="shared" si="20"/>
        <v>0</v>
      </c>
      <c r="K213" s="1391">
        <v>212</v>
      </c>
      <c r="L213" s="1391" t="s">
        <v>2698</v>
      </c>
      <c r="AA213">
        <v>692</v>
      </c>
      <c r="AB213">
        <v>37081</v>
      </c>
      <c r="AC213">
        <v>37081</v>
      </c>
    </row>
    <row r="214" spans="2:29" ht="12.5">
      <c r="B214" s="5" t="s">
        <v>2699</v>
      </c>
      <c r="C214" s="6" t="s">
        <v>2700</v>
      </c>
      <c r="D214" s="1347">
        <v>9</v>
      </c>
      <c r="E214" s="1346">
        <v>24</v>
      </c>
      <c r="F214" s="1342" t="s">
        <v>2701</v>
      </c>
      <c r="G214" s="1414">
        <v>3496</v>
      </c>
      <c r="H214" s="1353">
        <f t="shared" si="19"/>
        <v>0</v>
      </c>
      <c r="I214" s="1353">
        <f t="shared" si="20"/>
        <v>0</v>
      </c>
      <c r="K214" s="1391">
        <v>213</v>
      </c>
      <c r="L214" s="1391" t="s">
        <v>2702</v>
      </c>
      <c r="AA214">
        <v>693</v>
      </c>
      <c r="AB214">
        <v>4382</v>
      </c>
      <c r="AC214">
        <v>4382</v>
      </c>
    </row>
    <row r="215" spans="2:29" ht="12.5">
      <c r="B215" s="5" t="s">
        <v>2703</v>
      </c>
      <c r="C215" s="6" t="s">
        <v>2704</v>
      </c>
      <c r="D215" s="1347">
        <v>0</v>
      </c>
      <c r="E215" s="1346">
        <v>2</v>
      </c>
      <c r="F215" s="1342" t="s">
        <v>2705</v>
      </c>
      <c r="G215" s="1414">
        <v>3497</v>
      </c>
      <c r="H215" s="1353">
        <f t="shared" si="19"/>
        <v>0</v>
      </c>
      <c r="I215" s="1353">
        <f t="shared" si="20"/>
        <v>0</v>
      </c>
      <c r="K215" s="1391">
        <v>214</v>
      </c>
      <c r="L215" s="1391" t="s">
        <v>2706</v>
      </c>
      <c r="AA215">
        <v>694</v>
      </c>
      <c r="AB215">
        <v>468308</v>
      </c>
      <c r="AC215">
        <v>468308</v>
      </c>
    </row>
    <row r="216" spans="2:29" ht="12.5">
      <c r="B216" s="5" t="s">
        <v>2707</v>
      </c>
      <c r="C216" s="6" t="s">
        <v>2708</v>
      </c>
      <c r="D216" s="1347">
        <v>0</v>
      </c>
      <c r="E216" s="1346">
        <v>0</v>
      </c>
      <c r="F216" s="1342" t="s">
        <v>2709</v>
      </c>
      <c r="G216" s="1414">
        <v>3498</v>
      </c>
      <c r="H216" s="1353">
        <f t="shared" si="19"/>
        <v>0</v>
      </c>
      <c r="I216" s="1353">
        <f t="shared" si="20"/>
        <v>0</v>
      </c>
      <c r="K216" s="1391">
        <v>215</v>
      </c>
      <c r="L216" s="1391" t="s">
        <v>2710</v>
      </c>
      <c r="AA216">
        <v>696</v>
      </c>
      <c r="AB216">
        <v>36414</v>
      </c>
      <c r="AC216">
        <v>36414</v>
      </c>
    </row>
    <row r="217" spans="2:29" ht="12.5">
      <c r="B217" s="5" t="s">
        <v>2711</v>
      </c>
      <c r="C217" s="6" t="s">
        <v>2712</v>
      </c>
      <c r="D217" s="1347">
        <v>0</v>
      </c>
      <c r="E217" s="1346">
        <v>3</v>
      </c>
      <c r="F217" s="1342" t="s">
        <v>2713</v>
      </c>
      <c r="G217" s="1414">
        <v>3499</v>
      </c>
      <c r="H217" s="1353">
        <f t="shared" si="19"/>
        <v>0</v>
      </c>
      <c r="I217" s="1353">
        <f t="shared" si="20"/>
        <v>0</v>
      </c>
      <c r="K217" s="1391">
        <v>216</v>
      </c>
      <c r="L217" s="1391" t="s">
        <v>2714</v>
      </c>
      <c r="AA217">
        <v>697</v>
      </c>
      <c r="AB217">
        <v>37944</v>
      </c>
      <c r="AC217">
        <v>37944</v>
      </c>
    </row>
    <row r="218" spans="2:29" ht="12.5">
      <c r="B218" s="5" t="s">
        <v>2715</v>
      </c>
      <c r="C218" s="6" t="s">
        <v>2716</v>
      </c>
      <c r="D218" s="1347">
        <v>0</v>
      </c>
      <c r="E218" s="1346">
        <v>0</v>
      </c>
      <c r="F218" s="1342" t="s">
        <v>2717</v>
      </c>
      <c r="G218" s="1414">
        <v>3500</v>
      </c>
      <c r="H218" s="1353">
        <f t="shared" si="19"/>
        <v>0</v>
      </c>
      <c r="I218" s="1353">
        <f t="shared" si="20"/>
        <v>0</v>
      </c>
      <c r="K218" s="1391">
        <v>217</v>
      </c>
      <c r="L218" s="1391" t="s">
        <v>2718</v>
      </c>
      <c r="AA218">
        <v>698</v>
      </c>
      <c r="AB218">
        <v>25616</v>
      </c>
      <c r="AC218">
        <v>25616</v>
      </c>
    </row>
    <row r="219" spans="2:29" ht="12.5">
      <c r="B219" s="5" t="s">
        <v>2719</v>
      </c>
      <c r="C219" s="6" t="s">
        <v>2720</v>
      </c>
      <c r="D219" s="1347">
        <v>0</v>
      </c>
      <c r="E219" s="1346">
        <v>0</v>
      </c>
      <c r="F219" s="1342" t="s">
        <v>2721</v>
      </c>
      <c r="G219" s="1414">
        <v>3501</v>
      </c>
      <c r="H219" s="1353">
        <f t="shared" si="19"/>
        <v>0</v>
      </c>
      <c r="I219" s="1353">
        <f t="shared" si="20"/>
        <v>0</v>
      </c>
      <c r="K219" s="1391">
        <v>218</v>
      </c>
      <c r="L219" s="1391" t="s">
        <v>2722</v>
      </c>
      <c r="AA219">
        <v>699</v>
      </c>
      <c r="AB219">
        <v>789178</v>
      </c>
      <c r="AC219">
        <v>789178</v>
      </c>
    </row>
    <row r="220" spans="2:29" ht="12.5">
      <c r="B220" s="5" t="s">
        <v>2723</v>
      </c>
      <c r="C220" s="6" t="s">
        <v>2724</v>
      </c>
      <c r="D220" s="1347">
        <v>1</v>
      </c>
      <c r="E220" s="1346">
        <v>1</v>
      </c>
      <c r="F220" s="1342" t="s">
        <v>2725</v>
      </c>
      <c r="G220" s="1414">
        <v>3502</v>
      </c>
      <c r="H220" s="1353">
        <f t="shared" si="19"/>
        <v>0</v>
      </c>
      <c r="I220" s="1353">
        <f t="shared" si="20"/>
        <v>0</v>
      </c>
      <c r="K220" s="1391">
        <v>219</v>
      </c>
      <c r="L220" s="1391" t="s">
        <v>2726</v>
      </c>
      <c r="AA220">
        <v>703</v>
      </c>
      <c r="AB220">
        <v>2974795</v>
      </c>
      <c r="AC220">
        <v>2974795</v>
      </c>
    </row>
    <row r="221" spans="2:29" ht="12.5">
      <c r="B221" s="5" t="s">
        <v>2727</v>
      </c>
      <c r="C221" s="6" t="s">
        <v>2728</v>
      </c>
      <c r="D221" s="1347">
        <v>0</v>
      </c>
      <c r="E221" s="1346">
        <v>0</v>
      </c>
      <c r="F221" s="1342" t="s">
        <v>2729</v>
      </c>
      <c r="G221" s="1414">
        <v>3503</v>
      </c>
      <c r="H221" s="1353">
        <f t="shared" si="19"/>
        <v>0</v>
      </c>
      <c r="I221" s="1353">
        <f t="shared" si="20"/>
        <v>0</v>
      </c>
      <c r="K221" s="1391">
        <v>220</v>
      </c>
      <c r="L221" s="1391" t="s">
        <v>2730</v>
      </c>
      <c r="AA221">
        <v>704</v>
      </c>
      <c r="AB221">
        <v>2974795</v>
      </c>
      <c r="AC221">
        <v>2974795</v>
      </c>
    </row>
    <row r="222" spans="2:29" ht="12.5">
      <c r="B222" s="5" t="s">
        <v>2731</v>
      </c>
      <c r="C222" s="6" t="s">
        <v>2732</v>
      </c>
      <c r="D222" s="1347">
        <v>0</v>
      </c>
      <c r="E222" s="1346">
        <v>0</v>
      </c>
      <c r="F222" s="1342" t="s">
        <v>2733</v>
      </c>
      <c r="G222" s="1414">
        <v>3504</v>
      </c>
      <c r="H222" s="1353">
        <f t="shared" si="19"/>
        <v>0</v>
      </c>
      <c r="I222" s="1353">
        <f t="shared" si="20"/>
        <v>0</v>
      </c>
      <c r="K222" s="1391">
        <v>221</v>
      </c>
      <c r="L222" s="1391" t="s">
        <v>2734</v>
      </c>
      <c r="AA222">
        <v>705</v>
      </c>
      <c r="AB222">
        <v>30209685</v>
      </c>
      <c r="AC222">
        <v>30209685</v>
      </c>
    </row>
    <row r="223" spans="2:29" ht="12.5">
      <c r="B223" s="5" t="s">
        <v>2735</v>
      </c>
      <c r="C223" s="6" t="s">
        <v>2736</v>
      </c>
      <c r="D223" s="1347">
        <v>0</v>
      </c>
      <c r="E223" s="1346">
        <v>0</v>
      </c>
      <c r="F223" s="1342" t="s">
        <v>2737</v>
      </c>
      <c r="G223" s="1408">
        <v>31</v>
      </c>
      <c r="H223" s="1353">
        <f t="shared" ref="H223:I225" si="21">M36</f>
        <v>0</v>
      </c>
      <c r="I223" s="1353">
        <f t="shared" si="21"/>
        <v>0</v>
      </c>
      <c r="K223" s="1391">
        <v>222</v>
      </c>
      <c r="L223" s="1391" t="s">
        <v>2738</v>
      </c>
      <c r="AA223">
        <v>707</v>
      </c>
      <c r="AB223">
        <v>72142</v>
      </c>
      <c r="AC223">
        <v>72142</v>
      </c>
    </row>
    <row r="224" spans="2:29" ht="12.5">
      <c r="B224" s="5" t="s">
        <v>2739</v>
      </c>
      <c r="C224" s="6" t="s">
        <v>2740</v>
      </c>
      <c r="D224" s="1347">
        <v>10</v>
      </c>
      <c r="E224" s="1346">
        <v>34</v>
      </c>
      <c r="F224" s="1342" t="s">
        <v>2741</v>
      </c>
      <c r="G224" s="1408">
        <v>32</v>
      </c>
      <c r="H224" s="1353">
        <f t="shared" si="21"/>
        <v>0</v>
      </c>
      <c r="I224" s="1353">
        <f t="shared" si="21"/>
        <v>0</v>
      </c>
      <c r="K224" s="1391">
        <v>223</v>
      </c>
      <c r="L224" s="1391" t="s">
        <v>2742</v>
      </c>
      <c r="AA224">
        <v>711</v>
      </c>
      <c r="AB224">
        <v>14251453</v>
      </c>
      <c r="AC224">
        <v>14251453</v>
      </c>
    </row>
    <row r="225" spans="1:29" ht="12.5">
      <c r="B225" s="5" t="s">
        <v>2743</v>
      </c>
      <c r="C225" s="6" t="s">
        <v>2744</v>
      </c>
      <c r="D225" s="1347">
        <v>0</v>
      </c>
      <c r="E225" s="1346">
        <v>0</v>
      </c>
      <c r="F225" s="1342" t="s">
        <v>2745</v>
      </c>
      <c r="G225" s="1408">
        <v>33</v>
      </c>
      <c r="H225" s="1353">
        <f t="shared" si="21"/>
        <v>0</v>
      </c>
      <c r="I225" s="1353">
        <f t="shared" si="21"/>
        <v>0</v>
      </c>
      <c r="K225" s="1391">
        <v>224</v>
      </c>
      <c r="L225" s="1391" t="s">
        <v>2746</v>
      </c>
      <c r="AA225">
        <v>712</v>
      </c>
      <c r="AB225">
        <v>10664210</v>
      </c>
      <c r="AC225">
        <v>10664210</v>
      </c>
    </row>
    <row r="226" spans="1:29" ht="12.5">
      <c r="B226" s="5" t="s">
        <v>2747</v>
      </c>
      <c r="C226" s="6" t="s">
        <v>2748</v>
      </c>
      <c r="D226" s="1347">
        <v>0</v>
      </c>
      <c r="E226" s="1346">
        <v>0</v>
      </c>
      <c r="F226" s="1342" t="s">
        <v>2749</v>
      </c>
      <c r="G226" s="1408">
        <v>35</v>
      </c>
      <c r="H226" s="1353">
        <f>M40</f>
        <v>0</v>
      </c>
      <c r="I226" s="1353">
        <f>N40</f>
        <v>0</v>
      </c>
      <c r="K226" s="1391">
        <v>225</v>
      </c>
      <c r="L226" s="1391" t="s">
        <v>2750</v>
      </c>
      <c r="AA226">
        <v>716</v>
      </c>
      <c r="AB226">
        <v>95321</v>
      </c>
      <c r="AC226">
        <v>95321</v>
      </c>
    </row>
    <row r="227" spans="1:29" ht="12.5">
      <c r="B227" s="5" t="s">
        <v>2751</v>
      </c>
      <c r="C227" s="6" t="s">
        <v>2752</v>
      </c>
      <c r="D227" s="1347">
        <v>28</v>
      </c>
      <c r="E227" s="1346">
        <v>83</v>
      </c>
      <c r="F227" s="1342" t="s">
        <v>2753</v>
      </c>
      <c r="G227" s="1409"/>
      <c r="H227" s="1353"/>
      <c r="I227" s="1353"/>
      <c r="K227" s="1391">
        <v>228</v>
      </c>
      <c r="L227" s="1391" t="s">
        <v>2754</v>
      </c>
      <c r="AA227">
        <v>718</v>
      </c>
      <c r="AB227">
        <v>6979</v>
      </c>
      <c r="AC227">
        <v>6979</v>
      </c>
    </row>
    <row r="228" spans="1:29" ht="12.5">
      <c r="A228" s="611" t="s">
        <v>2755</v>
      </c>
      <c r="B228" s="5" t="s">
        <v>2756</v>
      </c>
      <c r="C228" s="6" t="s">
        <v>2757</v>
      </c>
      <c r="D228" s="1347">
        <v>0</v>
      </c>
      <c r="E228" s="1346">
        <v>0</v>
      </c>
      <c r="F228" s="1342" t="s">
        <v>2758</v>
      </c>
      <c r="G228" s="1414">
        <v>3505</v>
      </c>
      <c r="H228" s="1353">
        <f t="shared" ref="H228:H246" si="22">M1765</f>
        <v>0</v>
      </c>
      <c r="I228" s="1353">
        <f t="shared" ref="I228:I246" si="23">N1765</f>
        <v>0</v>
      </c>
      <c r="K228" s="1391">
        <v>229</v>
      </c>
      <c r="L228" s="1391" t="s">
        <v>2759</v>
      </c>
      <c r="AA228">
        <v>719</v>
      </c>
      <c r="AB228">
        <v>837</v>
      </c>
      <c r="AC228">
        <v>837</v>
      </c>
    </row>
    <row r="229" spans="1:29" ht="12.5">
      <c r="B229" s="5" t="s">
        <v>2760</v>
      </c>
      <c r="C229" s="6" t="s">
        <v>2761</v>
      </c>
      <c r="D229" s="1347">
        <v>0</v>
      </c>
      <c r="E229" s="1346">
        <v>0</v>
      </c>
      <c r="F229" s="1342" t="s">
        <v>2762</v>
      </c>
      <c r="G229" s="1414">
        <v>3506</v>
      </c>
      <c r="H229" s="1353">
        <f t="shared" si="22"/>
        <v>0</v>
      </c>
      <c r="I229" s="1353">
        <f t="shared" si="23"/>
        <v>0</v>
      </c>
      <c r="K229" s="1391">
        <v>230</v>
      </c>
      <c r="L229" s="1391" t="s">
        <v>2763</v>
      </c>
      <c r="AA229">
        <v>720</v>
      </c>
      <c r="AB229">
        <v>75222</v>
      </c>
      <c r="AC229">
        <v>75222</v>
      </c>
    </row>
    <row r="230" spans="1:29" ht="12.5">
      <c r="B230" s="5" t="s">
        <v>2764</v>
      </c>
      <c r="C230" s="6" t="s">
        <v>2765</v>
      </c>
      <c r="D230" s="1347">
        <v>0</v>
      </c>
      <c r="E230" s="1346">
        <v>0</v>
      </c>
      <c r="F230" s="1342" t="s">
        <v>2766</v>
      </c>
      <c r="G230" s="1414">
        <v>3507</v>
      </c>
      <c r="H230" s="1353">
        <f t="shared" si="22"/>
        <v>0</v>
      </c>
      <c r="I230" s="1353">
        <f t="shared" si="23"/>
        <v>0</v>
      </c>
      <c r="K230" s="1391">
        <v>231</v>
      </c>
      <c r="L230" s="1391" t="s">
        <v>2767</v>
      </c>
      <c r="AA230">
        <v>725</v>
      </c>
      <c r="AB230">
        <v>225433</v>
      </c>
      <c r="AC230">
        <v>225433</v>
      </c>
    </row>
    <row r="231" spans="1:29" ht="12.5">
      <c r="B231" s="5" t="s">
        <v>2768</v>
      </c>
      <c r="C231" s="6" t="s">
        <v>2769</v>
      </c>
      <c r="D231" s="1347">
        <v>0</v>
      </c>
      <c r="E231" s="1346">
        <v>0</v>
      </c>
      <c r="F231" s="1342" t="s">
        <v>2770</v>
      </c>
      <c r="G231" s="1414">
        <v>3508</v>
      </c>
      <c r="H231" s="1353">
        <f t="shared" si="22"/>
        <v>0</v>
      </c>
      <c r="I231" s="1353">
        <f t="shared" si="23"/>
        <v>0</v>
      </c>
      <c r="K231" s="1391">
        <v>239</v>
      </c>
      <c r="L231" s="1391" t="s">
        <v>2771</v>
      </c>
      <c r="AA231">
        <v>726</v>
      </c>
      <c r="AB231">
        <v>25050535</v>
      </c>
      <c r="AC231">
        <v>25050535</v>
      </c>
    </row>
    <row r="232" spans="1:29" ht="12.5">
      <c r="B232" s="5" t="s">
        <v>2772</v>
      </c>
      <c r="C232" s="6" t="s">
        <v>2773</v>
      </c>
      <c r="D232" s="1347">
        <v>0</v>
      </c>
      <c r="E232" s="1346">
        <v>0</v>
      </c>
      <c r="F232" s="1342" t="s">
        <v>2774</v>
      </c>
      <c r="G232" s="1414">
        <v>3509</v>
      </c>
      <c r="H232" s="1353">
        <f t="shared" si="22"/>
        <v>0</v>
      </c>
      <c r="I232" s="1353">
        <f t="shared" si="23"/>
        <v>0</v>
      </c>
      <c r="K232" s="1391">
        <v>240</v>
      </c>
      <c r="L232" s="1391" t="s">
        <v>2775</v>
      </c>
      <c r="AA232">
        <v>727</v>
      </c>
      <c r="AB232">
        <v>500000</v>
      </c>
      <c r="AC232">
        <v>500000</v>
      </c>
    </row>
    <row r="233" spans="1:29" ht="12.5">
      <c r="B233" s="5" t="s">
        <v>2776</v>
      </c>
      <c r="C233" s="6" t="s">
        <v>2777</v>
      </c>
      <c r="D233" s="1347">
        <v>0</v>
      </c>
      <c r="E233" s="1346">
        <v>0</v>
      </c>
      <c r="F233" s="1342" t="s">
        <v>2778</v>
      </c>
      <c r="G233" s="1414">
        <v>3510</v>
      </c>
      <c r="H233" s="1353">
        <f t="shared" si="22"/>
        <v>0</v>
      </c>
      <c r="I233" s="1353">
        <f t="shared" si="23"/>
        <v>0</v>
      </c>
      <c r="K233" s="1391">
        <v>241</v>
      </c>
      <c r="L233" s="1391" t="s">
        <v>2779</v>
      </c>
      <c r="AA233">
        <v>728</v>
      </c>
      <c r="AB233">
        <v>-21293</v>
      </c>
      <c r="AC233">
        <v>-21293</v>
      </c>
    </row>
    <row r="234" spans="1:29" ht="12.5">
      <c r="B234" s="5" t="s">
        <v>2780</v>
      </c>
      <c r="C234" s="6" t="s">
        <v>2781</v>
      </c>
      <c r="D234" s="1347">
        <v>0</v>
      </c>
      <c r="E234" s="1346">
        <v>0</v>
      </c>
      <c r="F234" s="1342" t="s">
        <v>2782</v>
      </c>
      <c r="G234" s="1414">
        <v>3511</v>
      </c>
      <c r="H234" s="1353">
        <f t="shared" si="22"/>
        <v>0</v>
      </c>
      <c r="I234" s="1353">
        <f t="shared" si="23"/>
        <v>0</v>
      </c>
      <c r="K234" s="1391">
        <v>242</v>
      </c>
      <c r="L234" s="1391" t="s">
        <v>2783</v>
      </c>
      <c r="AA234">
        <v>729</v>
      </c>
      <c r="AB234">
        <v>25529242</v>
      </c>
      <c r="AC234">
        <v>25529242</v>
      </c>
    </row>
    <row r="235" spans="1:29" ht="12.5">
      <c r="B235" s="5" t="s">
        <v>2784</v>
      </c>
      <c r="C235" s="6" t="s">
        <v>2785</v>
      </c>
      <c r="D235" s="1347">
        <v>0</v>
      </c>
      <c r="E235" s="1346">
        <v>0</v>
      </c>
      <c r="F235" s="1342" t="s">
        <v>2786</v>
      </c>
      <c r="G235" s="1414">
        <v>3512</v>
      </c>
      <c r="H235" s="1353">
        <f t="shared" si="22"/>
        <v>0</v>
      </c>
      <c r="I235" s="1353">
        <f t="shared" si="23"/>
        <v>0</v>
      </c>
      <c r="K235" s="1391">
        <v>243</v>
      </c>
      <c r="L235" s="1391" t="s">
        <v>2787</v>
      </c>
      <c r="AA235">
        <v>731</v>
      </c>
      <c r="AB235">
        <v>25529242</v>
      </c>
      <c r="AC235">
        <v>25529242</v>
      </c>
    </row>
    <row r="236" spans="1:29" ht="12.5">
      <c r="B236" s="5" t="s">
        <v>2788</v>
      </c>
      <c r="C236" s="6" t="s">
        <v>2789</v>
      </c>
      <c r="D236" s="1347">
        <v>0</v>
      </c>
      <c r="E236" s="1346">
        <v>0</v>
      </c>
      <c r="F236" s="1342" t="s">
        <v>2790</v>
      </c>
      <c r="G236" s="1414">
        <v>3513</v>
      </c>
      <c r="H236" s="1353">
        <f t="shared" si="22"/>
        <v>0</v>
      </c>
      <c r="I236" s="1353">
        <f t="shared" si="23"/>
        <v>0</v>
      </c>
      <c r="K236" s="1391">
        <v>244</v>
      </c>
      <c r="L236" s="1391" t="s">
        <v>2791</v>
      </c>
      <c r="AA236">
        <v>732</v>
      </c>
      <c r="AB236">
        <v>3100020</v>
      </c>
      <c r="AC236">
        <v>3100020</v>
      </c>
    </row>
    <row r="237" spans="1:29" ht="12.5">
      <c r="B237" s="5" t="s">
        <v>2792</v>
      </c>
      <c r="C237" s="6" t="s">
        <v>2793</v>
      </c>
      <c r="D237" s="1347">
        <v>0</v>
      </c>
      <c r="E237" s="1346">
        <v>0</v>
      </c>
      <c r="F237" s="1342" t="s">
        <v>2794</v>
      </c>
      <c r="G237" s="1414">
        <v>3514</v>
      </c>
      <c r="H237" s="1353">
        <f t="shared" si="22"/>
        <v>0</v>
      </c>
      <c r="I237" s="1353">
        <f t="shared" si="23"/>
        <v>0</v>
      </c>
      <c r="K237" s="1391">
        <v>247</v>
      </c>
      <c r="L237" s="1391" t="s">
        <v>2795</v>
      </c>
      <c r="AA237">
        <v>733</v>
      </c>
      <c r="AB237">
        <v>1239791</v>
      </c>
      <c r="AC237">
        <v>1239791</v>
      </c>
    </row>
    <row r="238" spans="1:29" ht="12.5">
      <c r="B238" s="5" t="s">
        <v>2796</v>
      </c>
      <c r="C238" s="6" t="s">
        <v>2797</v>
      </c>
      <c r="D238" s="1347">
        <v>0</v>
      </c>
      <c r="E238" s="1346">
        <v>0</v>
      </c>
      <c r="F238" s="1342" t="s">
        <v>2798</v>
      </c>
      <c r="G238" s="1414">
        <v>3515</v>
      </c>
      <c r="H238" s="1353">
        <f t="shared" si="22"/>
        <v>0</v>
      </c>
      <c r="I238" s="1353">
        <f t="shared" si="23"/>
        <v>0</v>
      </c>
      <c r="K238" s="1391">
        <v>248</v>
      </c>
      <c r="L238" s="1391" t="s">
        <v>2799</v>
      </c>
      <c r="AA238">
        <v>737</v>
      </c>
      <c r="AB238">
        <v>3</v>
      </c>
      <c r="AC238">
        <v>3</v>
      </c>
    </row>
    <row r="239" spans="1:29" ht="12.5">
      <c r="B239" s="5" t="s">
        <v>2800</v>
      </c>
      <c r="C239" s="6" t="s">
        <v>2801</v>
      </c>
      <c r="D239" s="1347">
        <v>0</v>
      </c>
      <c r="E239" s="1346">
        <v>0</v>
      </c>
      <c r="F239" s="1342" t="s">
        <v>2802</v>
      </c>
      <c r="G239" s="1414">
        <v>3516</v>
      </c>
      <c r="H239" s="1353">
        <f t="shared" si="22"/>
        <v>0</v>
      </c>
      <c r="I239" s="1353">
        <f t="shared" si="23"/>
        <v>0</v>
      </c>
      <c r="K239" s="1391">
        <v>249</v>
      </c>
      <c r="L239" s="1391" t="s">
        <v>2803</v>
      </c>
      <c r="AA239">
        <v>738</v>
      </c>
      <c r="AB239">
        <v>340629</v>
      </c>
      <c r="AC239">
        <v>340629</v>
      </c>
    </row>
    <row r="240" spans="1:29" ht="12.5">
      <c r="B240" s="5" t="s">
        <v>2804</v>
      </c>
      <c r="C240" s="6" t="s">
        <v>2805</v>
      </c>
      <c r="D240" s="1347">
        <v>0</v>
      </c>
      <c r="E240" s="1346">
        <v>0</v>
      </c>
      <c r="F240" s="1342" t="s">
        <v>2806</v>
      </c>
      <c r="G240" s="1414">
        <v>3517</v>
      </c>
      <c r="H240" s="1353">
        <f t="shared" si="22"/>
        <v>0</v>
      </c>
      <c r="I240" s="1353">
        <f t="shared" si="23"/>
        <v>0</v>
      </c>
      <c r="K240" s="1391">
        <v>250</v>
      </c>
      <c r="L240" s="1391" t="s">
        <v>2807</v>
      </c>
      <c r="AA240">
        <v>739</v>
      </c>
      <c r="AB240">
        <v>4680443</v>
      </c>
      <c r="AC240">
        <v>4680443</v>
      </c>
    </row>
    <row r="241" spans="2:29" ht="12.5">
      <c r="B241" s="5" t="s">
        <v>2808</v>
      </c>
      <c r="C241" s="6" t="s">
        <v>2809</v>
      </c>
      <c r="D241" s="1347">
        <v>0</v>
      </c>
      <c r="E241" s="1346">
        <v>0</v>
      </c>
      <c r="F241" s="1342" t="s">
        <v>2810</v>
      </c>
      <c r="G241" s="1414">
        <v>3518</v>
      </c>
      <c r="H241" s="1353">
        <f t="shared" si="22"/>
        <v>0</v>
      </c>
      <c r="I241" s="1353">
        <f t="shared" si="23"/>
        <v>0</v>
      </c>
      <c r="K241" s="1391">
        <v>251</v>
      </c>
      <c r="L241" s="1391" t="s">
        <v>2811</v>
      </c>
      <c r="AA241">
        <v>740</v>
      </c>
      <c r="AB241">
        <v>30209685</v>
      </c>
      <c r="AC241">
        <v>30209685</v>
      </c>
    </row>
    <row r="242" spans="2:29" ht="12.5">
      <c r="B242" s="5" t="s">
        <v>2812</v>
      </c>
      <c r="C242" s="6" t="s">
        <v>2813</v>
      </c>
      <c r="D242" s="1347">
        <v>0</v>
      </c>
      <c r="E242" s="1346">
        <v>0</v>
      </c>
      <c r="F242" s="1342" t="s">
        <v>2814</v>
      </c>
      <c r="G242" s="1414">
        <v>3519</v>
      </c>
      <c r="H242" s="1353">
        <f t="shared" si="22"/>
        <v>0</v>
      </c>
      <c r="I242" s="1353">
        <f t="shared" si="23"/>
        <v>0</v>
      </c>
      <c r="K242" s="1391">
        <v>252</v>
      </c>
      <c r="L242" s="1391" t="s">
        <v>2815</v>
      </c>
      <c r="AA242">
        <v>741</v>
      </c>
      <c r="AB242">
        <v>11154076</v>
      </c>
      <c r="AC242">
        <v>24593020</v>
      </c>
    </row>
    <row r="243" spans="2:29" ht="12.5">
      <c r="B243" s="5" t="s">
        <v>2816</v>
      </c>
      <c r="C243" s="6" t="s">
        <v>2817</v>
      </c>
      <c r="D243" s="1347">
        <v>0</v>
      </c>
      <c r="E243" s="1346">
        <v>0</v>
      </c>
      <c r="F243" s="1342" t="s">
        <v>2818</v>
      </c>
      <c r="G243" s="1414">
        <v>3520</v>
      </c>
      <c r="H243" s="1353">
        <f t="shared" si="22"/>
        <v>0</v>
      </c>
      <c r="I243" s="1353">
        <f t="shared" si="23"/>
        <v>0</v>
      </c>
      <c r="K243" s="1391">
        <v>253</v>
      </c>
      <c r="L243" s="1391" t="s">
        <v>2819</v>
      </c>
      <c r="AA243">
        <v>742</v>
      </c>
      <c r="AB243">
        <v>642469</v>
      </c>
      <c r="AC243">
        <v>1510797</v>
      </c>
    </row>
    <row r="244" spans="2:29" ht="12.5">
      <c r="B244" s="5" t="s">
        <v>2820</v>
      </c>
      <c r="C244" s="6" t="s">
        <v>2821</v>
      </c>
      <c r="D244" s="1347">
        <v>0</v>
      </c>
      <c r="E244" s="1346">
        <v>0</v>
      </c>
      <c r="F244" s="1342" t="s">
        <v>2822</v>
      </c>
      <c r="G244" s="1414">
        <v>3521</v>
      </c>
      <c r="H244" s="1353">
        <f t="shared" si="22"/>
        <v>0</v>
      </c>
      <c r="I244" s="1353">
        <f t="shared" si="23"/>
        <v>0</v>
      </c>
      <c r="K244" s="1391">
        <v>254</v>
      </c>
      <c r="L244" s="1391" t="s">
        <v>2823</v>
      </c>
      <c r="AA244">
        <v>743</v>
      </c>
      <c r="AB244">
        <v>48625</v>
      </c>
      <c r="AC244">
        <v>111695</v>
      </c>
    </row>
    <row r="245" spans="2:29" ht="12.5">
      <c r="B245" s="5" t="s">
        <v>2824</v>
      </c>
      <c r="C245" s="6" t="s">
        <v>2825</v>
      </c>
      <c r="D245" s="1347">
        <v>0</v>
      </c>
      <c r="E245" s="1346">
        <v>0</v>
      </c>
      <c r="F245" s="1342" t="s">
        <v>2826</v>
      </c>
      <c r="G245" s="1414">
        <v>3522</v>
      </c>
      <c r="H245" s="1353">
        <f t="shared" si="22"/>
        <v>0</v>
      </c>
      <c r="I245" s="1353">
        <f t="shared" si="23"/>
        <v>0</v>
      </c>
      <c r="K245" s="1391">
        <v>255</v>
      </c>
      <c r="L245" s="1391" t="s">
        <v>2827</v>
      </c>
      <c r="AA245">
        <v>744</v>
      </c>
      <c r="AB245">
        <v>-3684</v>
      </c>
      <c r="AC245">
        <v>1462</v>
      </c>
    </row>
    <row r="246" spans="2:29" ht="12.5">
      <c r="B246" s="5" t="s">
        <v>2828</v>
      </c>
      <c r="C246" s="6" t="s">
        <v>2829</v>
      </c>
      <c r="D246" s="1347">
        <v>0</v>
      </c>
      <c r="E246" s="1346">
        <v>0</v>
      </c>
      <c r="F246" s="1342" t="s">
        <v>2830</v>
      </c>
      <c r="G246" s="1414">
        <v>3523</v>
      </c>
      <c r="H246" s="1353">
        <f t="shared" si="22"/>
        <v>0</v>
      </c>
      <c r="I246" s="1353">
        <f t="shared" si="23"/>
        <v>0</v>
      </c>
      <c r="K246" s="1391">
        <v>256</v>
      </c>
      <c r="L246" s="1391" t="s">
        <v>2831</v>
      </c>
      <c r="AA246">
        <v>745</v>
      </c>
      <c r="AB246">
        <v>2538</v>
      </c>
      <c r="AC246">
        <v>17716</v>
      </c>
    </row>
    <row r="247" spans="2:29" ht="12.5">
      <c r="B247" s="5" t="s">
        <v>2832</v>
      </c>
      <c r="C247" s="6" t="s">
        <v>2833</v>
      </c>
      <c r="D247" s="1347">
        <v>0</v>
      </c>
      <c r="E247" s="1346">
        <v>0</v>
      </c>
      <c r="F247" s="1342" t="s">
        <v>2834</v>
      </c>
      <c r="G247" s="1408">
        <v>38</v>
      </c>
      <c r="H247" s="1353">
        <f t="shared" ref="H247:I249" si="24">M43</f>
        <v>0</v>
      </c>
      <c r="I247" s="1353">
        <f t="shared" si="24"/>
        <v>0</v>
      </c>
      <c r="K247" s="1391">
        <v>257</v>
      </c>
      <c r="L247" s="1391" t="s">
        <v>2835</v>
      </c>
      <c r="AA247">
        <v>746</v>
      </c>
      <c r="AB247">
        <v>47479</v>
      </c>
      <c r="AC247">
        <v>130873</v>
      </c>
    </row>
    <row r="248" spans="2:29" ht="12.5">
      <c r="B248" s="5" t="s">
        <v>2836</v>
      </c>
      <c r="C248" s="6" t="s">
        <v>2837</v>
      </c>
      <c r="D248" s="1347">
        <v>0</v>
      </c>
      <c r="E248" s="1346">
        <v>0</v>
      </c>
      <c r="F248" s="1342" t="s">
        <v>2838</v>
      </c>
      <c r="G248" s="1408">
        <v>39</v>
      </c>
      <c r="H248" s="1353">
        <f t="shared" si="24"/>
        <v>0</v>
      </c>
      <c r="I248" s="1353">
        <f t="shared" si="24"/>
        <v>0</v>
      </c>
      <c r="K248" s="1391">
        <v>258</v>
      </c>
      <c r="L248" s="1391" t="s">
        <v>2839</v>
      </c>
      <c r="AA248">
        <v>747</v>
      </c>
      <c r="AB248">
        <v>32417</v>
      </c>
      <c r="AC248">
        <v>99717</v>
      </c>
    </row>
    <row r="249" spans="2:29" ht="12.5">
      <c r="B249" s="5" t="s">
        <v>2840</v>
      </c>
      <c r="C249" s="6" t="s">
        <v>2841</v>
      </c>
      <c r="D249" s="1347">
        <v>0</v>
      </c>
      <c r="E249" s="1346">
        <v>0</v>
      </c>
      <c r="F249" s="1342" t="s">
        <v>2842</v>
      </c>
      <c r="G249" s="1408">
        <v>40</v>
      </c>
      <c r="H249" s="1353">
        <f t="shared" si="24"/>
        <v>0</v>
      </c>
      <c r="I249" s="1353">
        <f t="shared" si="24"/>
        <v>0</v>
      </c>
      <c r="K249" s="1391">
        <v>259</v>
      </c>
      <c r="L249" s="1391" t="s">
        <v>2843</v>
      </c>
      <c r="AA249">
        <v>748</v>
      </c>
      <c r="AB249">
        <v>46360</v>
      </c>
      <c r="AC249">
        <v>130398</v>
      </c>
    </row>
    <row r="250" spans="2:29" ht="12.5">
      <c r="B250" s="5" t="s">
        <v>2844</v>
      </c>
      <c r="C250" s="6" t="s">
        <v>2845</v>
      </c>
      <c r="D250" s="1347">
        <v>0</v>
      </c>
      <c r="E250" s="1346">
        <v>0</v>
      </c>
      <c r="F250" s="1342" t="s">
        <v>2846</v>
      </c>
      <c r="G250" s="1414">
        <v>3524</v>
      </c>
      <c r="H250" s="1353">
        <f t="shared" ref="H250:H265" si="25">M1784</f>
        <v>0</v>
      </c>
      <c r="I250" s="1353">
        <f t="shared" ref="I250:I265" si="26">N1784</f>
        <v>0</v>
      </c>
      <c r="K250" s="1391">
        <v>260</v>
      </c>
      <c r="L250" s="1391" t="s">
        <v>2847</v>
      </c>
      <c r="AA250">
        <v>749</v>
      </c>
      <c r="AB250">
        <v>65922</v>
      </c>
      <c r="AC250">
        <v>182606</v>
      </c>
    </row>
    <row r="251" spans="2:29" ht="12.5">
      <c r="B251" s="5" t="s">
        <v>2848</v>
      </c>
      <c r="C251" s="6" t="s">
        <v>2849</v>
      </c>
      <c r="D251" s="1347">
        <v>0</v>
      </c>
      <c r="E251" s="1346">
        <v>0</v>
      </c>
      <c r="F251" s="1342" t="s">
        <v>2850</v>
      </c>
      <c r="G251" s="1414">
        <v>3525</v>
      </c>
      <c r="H251" s="1353">
        <f t="shared" si="25"/>
        <v>0</v>
      </c>
      <c r="I251" s="1353">
        <f t="shared" si="26"/>
        <v>0</v>
      </c>
      <c r="K251" s="1391">
        <v>261</v>
      </c>
      <c r="L251" s="1391" t="s">
        <v>2851</v>
      </c>
      <c r="AA251">
        <v>750</v>
      </c>
      <c r="AB251">
        <v>36756</v>
      </c>
      <c r="AC251">
        <v>80158</v>
      </c>
    </row>
    <row r="252" spans="2:29" ht="12.5">
      <c r="B252" s="5" t="s">
        <v>2852</v>
      </c>
      <c r="C252" s="6" t="s">
        <v>2853</v>
      </c>
      <c r="D252" s="1347">
        <v>0</v>
      </c>
      <c r="E252" s="1346">
        <v>1</v>
      </c>
      <c r="F252" s="1342" t="s">
        <v>2854</v>
      </c>
      <c r="G252" s="1414">
        <v>3526</v>
      </c>
      <c r="H252" s="1353">
        <f t="shared" si="25"/>
        <v>0</v>
      </c>
      <c r="I252" s="1353">
        <f t="shared" si="26"/>
        <v>0</v>
      </c>
      <c r="K252" s="1391">
        <v>262</v>
      </c>
      <c r="L252" s="1391" t="s">
        <v>2855</v>
      </c>
      <c r="AA252">
        <v>751</v>
      </c>
      <c r="AB252">
        <v>16434</v>
      </c>
      <c r="AC252">
        <v>66280</v>
      </c>
    </row>
    <row r="253" spans="2:29" ht="12.5">
      <c r="B253" s="5" t="s">
        <v>2856</v>
      </c>
      <c r="C253" s="6" t="s">
        <v>2857</v>
      </c>
      <c r="D253" s="1347">
        <v>3</v>
      </c>
      <c r="E253" s="1346">
        <v>7</v>
      </c>
      <c r="F253" s="1342" t="s">
        <v>2858</v>
      </c>
      <c r="G253" s="1414">
        <v>3527</v>
      </c>
      <c r="H253" s="1353">
        <f t="shared" si="25"/>
        <v>0</v>
      </c>
      <c r="I253" s="1353">
        <f t="shared" si="26"/>
        <v>0</v>
      </c>
      <c r="K253" s="1391">
        <v>263</v>
      </c>
      <c r="L253" s="1391" t="s">
        <v>2859</v>
      </c>
      <c r="AA253">
        <v>753</v>
      </c>
      <c r="AB253">
        <v>8524</v>
      </c>
      <c r="AC253">
        <v>28423</v>
      </c>
    </row>
    <row r="254" spans="2:29" ht="12.5">
      <c r="B254" s="5" t="s">
        <v>2860</v>
      </c>
      <c r="C254" s="6" t="s">
        <v>2861</v>
      </c>
      <c r="D254" s="1347">
        <v>0</v>
      </c>
      <c r="E254" s="1346">
        <v>3</v>
      </c>
      <c r="F254" s="1342" t="s">
        <v>2862</v>
      </c>
      <c r="G254" s="1414">
        <v>3528</v>
      </c>
      <c r="H254" s="1353">
        <f t="shared" si="25"/>
        <v>0</v>
      </c>
      <c r="I254" s="1353">
        <f t="shared" si="26"/>
        <v>0</v>
      </c>
      <c r="K254" s="1391">
        <v>264</v>
      </c>
      <c r="L254" s="1391" t="s">
        <v>2863</v>
      </c>
      <c r="AA254">
        <v>754</v>
      </c>
      <c r="AB254">
        <v>20991</v>
      </c>
      <c r="AC254">
        <v>73719</v>
      </c>
    </row>
    <row r="255" spans="2:29" ht="12.5">
      <c r="B255" s="5" t="s">
        <v>2864</v>
      </c>
      <c r="C255" s="6" t="s">
        <v>2865</v>
      </c>
      <c r="D255" s="1347">
        <v>0</v>
      </c>
      <c r="E255" s="1346">
        <v>0</v>
      </c>
      <c r="F255" s="1342" t="s">
        <v>2866</v>
      </c>
      <c r="G255" s="1414">
        <v>3529</v>
      </c>
      <c r="H255" s="1353">
        <f t="shared" si="25"/>
        <v>0</v>
      </c>
      <c r="I255" s="1353">
        <f t="shared" si="26"/>
        <v>0</v>
      </c>
      <c r="K255" s="1391">
        <v>265</v>
      </c>
      <c r="L255" s="1391" t="s">
        <v>2867</v>
      </c>
      <c r="AA255">
        <v>756</v>
      </c>
      <c r="AB255">
        <v>227404</v>
      </c>
      <c r="AC255">
        <v>661301</v>
      </c>
    </row>
    <row r="256" spans="2:29" ht="12.5">
      <c r="B256" s="5" t="s">
        <v>2868</v>
      </c>
      <c r="C256" s="6" t="s">
        <v>2869</v>
      </c>
      <c r="D256" s="1347">
        <v>0</v>
      </c>
      <c r="E256" s="1346">
        <v>0</v>
      </c>
      <c r="F256" s="1342" t="s">
        <v>2870</v>
      </c>
      <c r="G256" s="1414">
        <v>3530</v>
      </c>
      <c r="H256" s="1353">
        <f t="shared" si="25"/>
        <v>0</v>
      </c>
      <c r="I256" s="1353">
        <f t="shared" si="26"/>
        <v>0</v>
      </c>
      <c r="K256" s="1391">
        <v>266</v>
      </c>
      <c r="L256" s="1391" t="s">
        <v>2871</v>
      </c>
      <c r="AA256">
        <v>757</v>
      </c>
      <c r="AB256">
        <v>17894</v>
      </c>
      <c r="AC256">
        <v>31503</v>
      </c>
    </row>
    <row r="257" spans="1:29" ht="12.5">
      <c r="B257" s="5" t="s">
        <v>2872</v>
      </c>
      <c r="C257" s="6" t="s">
        <v>2873</v>
      </c>
      <c r="D257" s="1347">
        <v>0</v>
      </c>
      <c r="E257" s="1346">
        <v>0</v>
      </c>
      <c r="F257" s="1342" t="s">
        <v>2874</v>
      </c>
      <c r="G257" s="1414">
        <v>3531</v>
      </c>
      <c r="H257" s="1353">
        <f t="shared" si="25"/>
        <v>0</v>
      </c>
      <c r="I257" s="1353">
        <f t="shared" si="26"/>
        <v>0</v>
      </c>
      <c r="K257" s="1391">
        <v>267</v>
      </c>
      <c r="L257" s="1391" t="s">
        <v>2875</v>
      </c>
      <c r="AA257">
        <v>758</v>
      </c>
      <c r="AB257">
        <v>4832</v>
      </c>
      <c r="AC257">
        <v>10215</v>
      </c>
    </row>
    <row r="258" spans="1:29" ht="12.5">
      <c r="B258" s="5" t="s">
        <v>2876</v>
      </c>
      <c r="C258" s="6" t="s">
        <v>2877</v>
      </c>
      <c r="D258" s="1347">
        <v>0</v>
      </c>
      <c r="E258" s="1346">
        <v>0</v>
      </c>
      <c r="F258" s="1342" t="s">
        <v>2878</v>
      </c>
      <c r="G258" s="1414">
        <v>3532</v>
      </c>
      <c r="H258" s="1353">
        <f t="shared" si="25"/>
        <v>0</v>
      </c>
      <c r="I258" s="1353">
        <f t="shared" si="26"/>
        <v>0</v>
      </c>
      <c r="K258" s="1391">
        <v>269</v>
      </c>
      <c r="L258" s="1391" t="s">
        <v>2879</v>
      </c>
      <c r="AA258">
        <v>759</v>
      </c>
      <c r="AB258">
        <v>6717</v>
      </c>
      <c r="AC258">
        <v>22228</v>
      </c>
    </row>
    <row r="259" spans="1:29" ht="12.5">
      <c r="B259" s="5" t="s">
        <v>2880</v>
      </c>
      <c r="C259" s="6" t="s">
        <v>2881</v>
      </c>
      <c r="D259" s="1347">
        <v>0</v>
      </c>
      <c r="E259" s="1346">
        <v>0</v>
      </c>
      <c r="F259" s="1342" t="s">
        <v>2882</v>
      </c>
      <c r="G259" s="1414">
        <v>3533</v>
      </c>
      <c r="H259" s="1353">
        <f t="shared" si="25"/>
        <v>0</v>
      </c>
      <c r="I259" s="1353">
        <f t="shared" si="26"/>
        <v>0</v>
      </c>
      <c r="K259" s="1391">
        <v>270</v>
      </c>
      <c r="L259" s="1391" t="s">
        <v>2883</v>
      </c>
      <c r="AA259">
        <v>761</v>
      </c>
      <c r="AB259">
        <v>19948</v>
      </c>
      <c r="AC259">
        <v>53525</v>
      </c>
    </row>
    <row r="260" spans="1:29" ht="12.5">
      <c r="B260" s="5" t="s">
        <v>2884</v>
      </c>
      <c r="C260" s="6" t="s">
        <v>2885</v>
      </c>
      <c r="D260" s="1347">
        <v>0</v>
      </c>
      <c r="E260" s="1346">
        <v>0</v>
      </c>
      <c r="F260" s="1342" t="s">
        <v>2886</v>
      </c>
      <c r="G260" s="1414">
        <v>3534</v>
      </c>
      <c r="H260" s="1353">
        <f t="shared" si="25"/>
        <v>0</v>
      </c>
      <c r="I260" s="1353">
        <f t="shared" si="26"/>
        <v>0</v>
      </c>
      <c r="K260" s="1391">
        <v>271</v>
      </c>
      <c r="L260" s="1391" t="s">
        <v>2887</v>
      </c>
      <c r="AA260">
        <v>762</v>
      </c>
      <c r="AB260">
        <v>-45212</v>
      </c>
      <c r="AC260">
        <v>-45212</v>
      </c>
    </row>
    <row r="261" spans="1:29" ht="12.5">
      <c r="B261" s="5" t="s">
        <v>2888</v>
      </c>
      <c r="C261" s="6" t="s">
        <v>2889</v>
      </c>
      <c r="D261" s="1347">
        <v>0</v>
      </c>
      <c r="E261" s="1346">
        <v>0</v>
      </c>
      <c r="F261" s="1342" t="s">
        <v>2890</v>
      </c>
      <c r="G261" s="1414">
        <v>3535</v>
      </c>
      <c r="H261" s="1353">
        <f t="shared" si="25"/>
        <v>0</v>
      </c>
      <c r="I261" s="1353">
        <f t="shared" si="26"/>
        <v>0</v>
      </c>
      <c r="K261" s="1391">
        <v>272</v>
      </c>
      <c r="L261" s="1391" t="s">
        <v>2891</v>
      </c>
      <c r="AA261">
        <v>764</v>
      </c>
      <c r="AB261">
        <v>5111</v>
      </c>
      <c r="AC261">
        <v>9130</v>
      </c>
    </row>
    <row r="262" spans="1:29" ht="12.5">
      <c r="B262" s="5" t="s">
        <v>2892</v>
      </c>
      <c r="C262" s="6" t="s">
        <v>2893</v>
      </c>
      <c r="D262" s="1347">
        <v>0</v>
      </c>
      <c r="E262" s="1346">
        <v>0</v>
      </c>
      <c r="F262" s="1342" t="s">
        <v>2894</v>
      </c>
      <c r="G262" s="1414">
        <v>3536</v>
      </c>
      <c r="H262" s="1353">
        <f t="shared" si="25"/>
        <v>0</v>
      </c>
      <c r="I262" s="1353">
        <f t="shared" si="26"/>
        <v>0</v>
      </c>
      <c r="K262" s="1391">
        <v>273</v>
      </c>
      <c r="L262" s="1391" t="s">
        <v>2895</v>
      </c>
      <c r="AA262">
        <v>765</v>
      </c>
      <c r="AB262">
        <v>19781</v>
      </c>
      <c r="AC262">
        <v>54392</v>
      </c>
    </row>
    <row r="263" spans="1:29" ht="12.5">
      <c r="B263" s="5" t="s">
        <v>2896</v>
      </c>
      <c r="C263" s="6" t="s">
        <v>2897</v>
      </c>
      <c r="D263" s="1347">
        <v>0</v>
      </c>
      <c r="E263" s="1346">
        <v>0</v>
      </c>
      <c r="F263" s="1342" t="s">
        <v>2898</v>
      </c>
      <c r="G263" s="1414">
        <v>3537</v>
      </c>
      <c r="H263" s="1353">
        <f t="shared" si="25"/>
        <v>0</v>
      </c>
      <c r="I263" s="1353">
        <f t="shared" si="26"/>
        <v>0</v>
      </c>
      <c r="K263" s="1391">
        <v>274</v>
      </c>
      <c r="L263" s="1391" t="s">
        <v>2899</v>
      </c>
      <c r="AA263">
        <v>766</v>
      </c>
      <c r="AB263">
        <v>7922</v>
      </c>
      <c r="AC263">
        <v>14429</v>
      </c>
    </row>
    <row r="264" spans="1:29" ht="12.5">
      <c r="B264" s="5" t="s">
        <v>2900</v>
      </c>
      <c r="C264" s="6" t="s">
        <v>2901</v>
      </c>
      <c r="D264" s="1347">
        <v>0</v>
      </c>
      <c r="E264" s="1346">
        <v>0</v>
      </c>
      <c r="F264" s="1342" t="s">
        <v>2902</v>
      </c>
      <c r="G264" s="1414">
        <v>3538</v>
      </c>
      <c r="H264" s="1353">
        <f t="shared" si="25"/>
        <v>0</v>
      </c>
      <c r="I264" s="1353">
        <f t="shared" si="26"/>
        <v>0</v>
      </c>
      <c r="K264" s="1391">
        <v>275</v>
      </c>
      <c r="L264" s="1391" t="s">
        <v>2903</v>
      </c>
      <c r="AA264">
        <v>767</v>
      </c>
      <c r="AB264">
        <v>1574</v>
      </c>
      <c r="AC264">
        <v>5061</v>
      </c>
    </row>
    <row r="265" spans="1:29" ht="12.5">
      <c r="B265" s="5" t="s">
        <v>2904</v>
      </c>
      <c r="C265" s="6" t="s">
        <v>2905</v>
      </c>
      <c r="D265" s="1347">
        <v>0</v>
      </c>
      <c r="E265" s="1346">
        <v>0</v>
      </c>
      <c r="F265" s="1342" t="s">
        <v>2906</v>
      </c>
      <c r="G265" s="1414">
        <v>3539</v>
      </c>
      <c r="H265" s="1353">
        <f t="shared" si="25"/>
        <v>0</v>
      </c>
      <c r="I265" s="1353">
        <f t="shared" si="26"/>
        <v>0</v>
      </c>
      <c r="K265" s="1391">
        <v>276</v>
      </c>
      <c r="L265" s="1391" t="s">
        <v>2907</v>
      </c>
      <c r="AA265">
        <v>768</v>
      </c>
      <c r="AB265">
        <v>1962</v>
      </c>
      <c r="AC265">
        <v>2114</v>
      </c>
    </row>
    <row r="266" spans="1:29" ht="12.5">
      <c r="B266" s="5" t="s">
        <v>2908</v>
      </c>
      <c r="C266" s="6" t="s">
        <v>2909</v>
      </c>
      <c r="D266" s="1347">
        <v>0</v>
      </c>
      <c r="E266" s="1346">
        <v>0</v>
      </c>
      <c r="F266" s="1342" t="s">
        <v>2910</v>
      </c>
      <c r="G266" s="1408">
        <v>43</v>
      </c>
      <c r="H266" s="1353">
        <f t="shared" ref="H266:I268" si="27">M48</f>
        <v>0</v>
      </c>
      <c r="I266" s="1353">
        <f t="shared" si="27"/>
        <v>0</v>
      </c>
      <c r="K266" s="1391">
        <v>277</v>
      </c>
      <c r="L266" s="1391" t="s">
        <v>2911</v>
      </c>
      <c r="AA266">
        <v>769</v>
      </c>
      <c r="AB266">
        <v>1000</v>
      </c>
      <c r="AC266">
        <v>1000</v>
      </c>
    </row>
    <row r="267" spans="1:29" ht="12.5">
      <c r="B267" s="5" t="s">
        <v>2912</v>
      </c>
      <c r="C267" s="6" t="s">
        <v>2913</v>
      </c>
      <c r="D267" s="1347">
        <v>0</v>
      </c>
      <c r="E267" s="1346">
        <v>0</v>
      </c>
      <c r="F267" s="1342" t="s">
        <v>2914</v>
      </c>
      <c r="G267" s="1408">
        <v>44</v>
      </c>
      <c r="H267" s="1353">
        <f t="shared" si="27"/>
        <v>0</v>
      </c>
      <c r="I267" s="1353">
        <f t="shared" si="27"/>
        <v>0</v>
      </c>
      <c r="K267" s="1391">
        <v>278</v>
      </c>
      <c r="L267" s="1391" t="s">
        <v>2915</v>
      </c>
      <c r="AA267">
        <v>770</v>
      </c>
      <c r="AB267">
        <v>709</v>
      </c>
      <c r="AC267">
        <v>1965</v>
      </c>
    </row>
    <row r="268" spans="1:29" ht="12.5">
      <c r="B268" s="5" t="s">
        <v>2916</v>
      </c>
      <c r="C268" s="6" t="s">
        <v>2917</v>
      </c>
      <c r="D268" s="1347">
        <v>0</v>
      </c>
      <c r="E268" s="1346">
        <v>0</v>
      </c>
      <c r="F268" s="1342" t="s">
        <v>2918</v>
      </c>
      <c r="G268" s="1408">
        <v>45</v>
      </c>
      <c r="H268" s="1353">
        <f t="shared" si="27"/>
        <v>0</v>
      </c>
      <c r="I268" s="1353">
        <f t="shared" si="27"/>
        <v>0</v>
      </c>
      <c r="K268" s="1391">
        <v>279</v>
      </c>
      <c r="L268" s="1391" t="s">
        <v>2919</v>
      </c>
      <c r="AA268">
        <v>771</v>
      </c>
      <c r="AB268">
        <v>3150</v>
      </c>
      <c r="AC268">
        <v>12998</v>
      </c>
    </row>
    <row r="269" spans="1:29" ht="12.5">
      <c r="B269" s="5" t="s">
        <v>2920</v>
      </c>
      <c r="C269" s="6" t="s">
        <v>2921</v>
      </c>
      <c r="D269" s="1347">
        <v>0</v>
      </c>
      <c r="E269" s="1346">
        <v>0</v>
      </c>
      <c r="F269" s="1342" t="s">
        <v>2922</v>
      </c>
      <c r="G269" s="1408">
        <v>47</v>
      </c>
      <c r="H269" s="1353">
        <f>M52</f>
        <v>0</v>
      </c>
      <c r="I269" s="1353">
        <f>N52</f>
        <v>0</v>
      </c>
      <c r="K269" s="1391">
        <v>280</v>
      </c>
      <c r="L269" s="1391" t="s">
        <v>2923</v>
      </c>
      <c r="AA269">
        <v>772</v>
      </c>
      <c r="AB269">
        <v>153786</v>
      </c>
      <c r="AC269">
        <v>322326</v>
      </c>
    </row>
    <row r="270" spans="1:29" ht="12.5">
      <c r="B270" s="5" t="s">
        <v>2924</v>
      </c>
      <c r="C270" s="6" t="s">
        <v>2925</v>
      </c>
      <c r="D270" s="1347">
        <v>3</v>
      </c>
      <c r="E270" s="1346">
        <v>11</v>
      </c>
      <c r="F270" s="1342" t="s">
        <v>2926</v>
      </c>
      <c r="G270" s="1409"/>
      <c r="H270" s="1353"/>
      <c r="I270" s="1353"/>
      <c r="K270" s="1391">
        <v>281</v>
      </c>
      <c r="L270" s="1391" t="s">
        <v>2927</v>
      </c>
      <c r="AA270">
        <v>773</v>
      </c>
      <c r="AB270">
        <v>-67795</v>
      </c>
      <c r="AC270">
        <v>-193834</v>
      </c>
    </row>
    <row r="271" spans="1:29" ht="12.5">
      <c r="A271" s="611" t="s">
        <v>2928</v>
      </c>
      <c r="B271" s="5" t="s">
        <v>2929</v>
      </c>
      <c r="C271" s="6" t="s">
        <v>2930</v>
      </c>
      <c r="D271" s="1347">
        <v>0</v>
      </c>
      <c r="E271" s="1346">
        <v>0</v>
      </c>
      <c r="F271" s="1342" t="s">
        <v>2931</v>
      </c>
      <c r="G271" s="1414">
        <v>3540</v>
      </c>
      <c r="H271" s="1353">
        <f t="shared" ref="H271:H289" si="28">M1800</f>
        <v>0</v>
      </c>
      <c r="I271" s="1353">
        <f t="shared" ref="I271:I289" si="29">N1800</f>
        <v>0</v>
      </c>
      <c r="K271" s="1391">
        <v>282</v>
      </c>
      <c r="L271" s="1391" t="s">
        <v>2932</v>
      </c>
      <c r="AA271">
        <v>774</v>
      </c>
      <c r="AB271">
        <v>2453</v>
      </c>
      <c r="AC271">
        <v>9120</v>
      </c>
    </row>
    <row r="272" spans="1:29" ht="12.5">
      <c r="B272" s="5" t="s">
        <v>2933</v>
      </c>
      <c r="C272" s="6" t="s">
        <v>2934</v>
      </c>
      <c r="D272" s="1347">
        <v>0</v>
      </c>
      <c r="E272" s="1346">
        <v>0</v>
      </c>
      <c r="F272" s="1342" t="s">
        <v>2935</v>
      </c>
      <c r="G272" s="1414">
        <v>3541</v>
      </c>
      <c r="H272" s="1353">
        <f t="shared" si="28"/>
        <v>0</v>
      </c>
      <c r="I272" s="1353">
        <f t="shared" si="29"/>
        <v>0</v>
      </c>
      <c r="K272" s="1391">
        <v>283</v>
      </c>
      <c r="L272" s="1391" t="s">
        <v>2936</v>
      </c>
      <c r="AA272">
        <v>777</v>
      </c>
      <c r="AB272">
        <v>753</v>
      </c>
      <c r="AC272">
        <v>2561</v>
      </c>
    </row>
    <row r="273" spans="2:29" ht="12.5">
      <c r="B273" s="5" t="s">
        <v>2937</v>
      </c>
      <c r="C273" s="6" t="s">
        <v>2938</v>
      </c>
      <c r="D273" s="1347">
        <v>0</v>
      </c>
      <c r="E273" s="1346">
        <v>0</v>
      </c>
      <c r="F273" s="1342" t="s">
        <v>2939</v>
      </c>
      <c r="G273" s="1414">
        <v>3542</v>
      </c>
      <c r="H273" s="1353">
        <f t="shared" si="28"/>
        <v>0</v>
      </c>
      <c r="I273" s="1353">
        <f t="shared" si="29"/>
        <v>0</v>
      </c>
      <c r="K273" s="1391">
        <v>284</v>
      </c>
      <c r="L273" s="1391" t="s">
        <v>2940</v>
      </c>
      <c r="AA273">
        <v>778</v>
      </c>
      <c r="AB273">
        <v>-726</v>
      </c>
      <c r="AC273">
        <v>1398</v>
      </c>
    </row>
    <row r="274" spans="2:29" ht="12.5">
      <c r="B274" s="5" t="s">
        <v>2941</v>
      </c>
      <c r="C274" s="6" t="s">
        <v>2942</v>
      </c>
      <c r="D274" s="1347">
        <v>0</v>
      </c>
      <c r="E274" s="1346">
        <v>0</v>
      </c>
      <c r="F274" s="1342" t="s">
        <v>2943</v>
      </c>
      <c r="G274" s="1414">
        <v>3543</v>
      </c>
      <c r="H274" s="1353">
        <f t="shared" si="28"/>
        <v>0</v>
      </c>
      <c r="I274" s="1353">
        <f t="shared" si="29"/>
        <v>0</v>
      </c>
      <c r="K274" s="1391">
        <v>285</v>
      </c>
      <c r="L274" s="1391" t="s">
        <v>2944</v>
      </c>
      <c r="AA274">
        <v>779</v>
      </c>
      <c r="AB274">
        <v>133859</v>
      </c>
      <c r="AC274">
        <v>314919</v>
      </c>
    </row>
    <row r="275" spans="2:29" ht="12.5">
      <c r="B275" s="5" t="s">
        <v>2945</v>
      </c>
      <c r="C275" s="6" t="s">
        <v>2946</v>
      </c>
      <c r="D275" s="1347">
        <v>0</v>
      </c>
      <c r="E275" s="1346">
        <v>0</v>
      </c>
      <c r="F275" s="1342" t="s">
        <v>2947</v>
      </c>
      <c r="G275" s="1414">
        <v>3544</v>
      </c>
      <c r="H275" s="1353">
        <f t="shared" si="28"/>
        <v>0</v>
      </c>
      <c r="I275" s="1353">
        <f t="shared" si="29"/>
        <v>0</v>
      </c>
      <c r="K275" s="1391">
        <v>286</v>
      </c>
      <c r="L275" s="1391" t="s">
        <v>2948</v>
      </c>
      <c r="AA275">
        <v>780</v>
      </c>
      <c r="AB275">
        <v>45900</v>
      </c>
      <c r="AC275">
        <v>137700</v>
      </c>
    </row>
    <row r="276" spans="2:29" ht="12.5">
      <c r="B276" s="5" t="s">
        <v>2949</v>
      </c>
      <c r="C276" s="6" t="s">
        <v>2950</v>
      </c>
      <c r="D276" s="1347">
        <v>0</v>
      </c>
      <c r="E276" s="1346">
        <v>0</v>
      </c>
      <c r="F276" s="1342" t="s">
        <v>2951</v>
      </c>
      <c r="G276" s="1414">
        <v>3545</v>
      </c>
      <c r="H276" s="1353">
        <f t="shared" si="28"/>
        <v>0</v>
      </c>
      <c r="I276" s="1353">
        <f t="shared" si="29"/>
        <v>0</v>
      </c>
      <c r="K276" s="1391">
        <v>289</v>
      </c>
      <c r="L276" s="1391" t="s">
        <v>2952</v>
      </c>
      <c r="AA276">
        <v>782</v>
      </c>
      <c r="AB276">
        <v>7925</v>
      </c>
      <c r="AC276">
        <v>31508</v>
      </c>
    </row>
    <row r="277" spans="2:29" ht="12.5">
      <c r="B277" s="5" t="s">
        <v>2953</v>
      </c>
      <c r="C277" s="6" t="s">
        <v>2954</v>
      </c>
      <c r="D277" s="1347">
        <v>0</v>
      </c>
      <c r="E277" s="1346">
        <v>0</v>
      </c>
      <c r="F277" s="1342" t="s">
        <v>2955</v>
      </c>
      <c r="G277" s="1414">
        <v>3546</v>
      </c>
      <c r="H277" s="1353">
        <f t="shared" si="28"/>
        <v>0</v>
      </c>
      <c r="I277" s="1353">
        <f t="shared" si="29"/>
        <v>0</v>
      </c>
      <c r="K277" s="1391">
        <v>290</v>
      </c>
      <c r="L277" s="1391" t="s">
        <v>2956</v>
      </c>
      <c r="AA277">
        <v>783</v>
      </c>
      <c r="AB277">
        <v>77</v>
      </c>
      <c r="AC277">
        <v>230</v>
      </c>
    </row>
    <row r="278" spans="2:29" ht="12.5">
      <c r="B278" s="5" t="s">
        <v>2957</v>
      </c>
      <c r="C278" s="6" t="s">
        <v>2958</v>
      </c>
      <c r="D278" s="1347">
        <v>0</v>
      </c>
      <c r="E278" s="1346">
        <v>0</v>
      </c>
      <c r="F278" s="1342" t="s">
        <v>2959</v>
      </c>
      <c r="G278" s="1414">
        <v>3547</v>
      </c>
      <c r="H278" s="1353">
        <f t="shared" si="28"/>
        <v>0</v>
      </c>
      <c r="I278" s="1353">
        <f t="shared" si="29"/>
        <v>0</v>
      </c>
      <c r="K278" s="1391">
        <v>291</v>
      </c>
      <c r="L278" s="1391" t="s">
        <v>2960</v>
      </c>
      <c r="AA278">
        <v>784</v>
      </c>
      <c r="AB278">
        <v>6000</v>
      </c>
      <c r="AC278">
        <v>18000</v>
      </c>
    </row>
    <row r="279" spans="2:29" ht="12.5">
      <c r="B279" s="5" t="s">
        <v>2961</v>
      </c>
      <c r="C279" s="6" t="s">
        <v>2962</v>
      </c>
      <c r="D279" s="1347">
        <v>0</v>
      </c>
      <c r="E279" s="1346">
        <v>0</v>
      </c>
      <c r="F279" s="1342" t="s">
        <v>2963</v>
      </c>
      <c r="G279" s="1414">
        <v>3548</v>
      </c>
      <c r="H279" s="1353">
        <f t="shared" si="28"/>
        <v>0</v>
      </c>
      <c r="I279" s="1353">
        <f t="shared" si="29"/>
        <v>0</v>
      </c>
      <c r="K279" s="1391">
        <v>292</v>
      </c>
      <c r="L279" s="1391" t="s">
        <v>2964</v>
      </c>
      <c r="AA279">
        <v>785</v>
      </c>
      <c r="AB279">
        <v>4080</v>
      </c>
      <c r="AC279">
        <v>12240</v>
      </c>
    </row>
    <row r="280" spans="2:29" ht="12.5">
      <c r="B280" s="5" t="s">
        <v>2965</v>
      </c>
      <c r="C280" s="6" t="s">
        <v>2966</v>
      </c>
      <c r="D280" s="1347">
        <v>0</v>
      </c>
      <c r="E280" s="1346">
        <v>0</v>
      </c>
      <c r="F280" s="1342" t="s">
        <v>2967</v>
      </c>
      <c r="G280" s="1414">
        <v>3549</v>
      </c>
      <c r="H280" s="1353">
        <f t="shared" si="28"/>
        <v>0</v>
      </c>
      <c r="I280" s="1353">
        <f t="shared" si="29"/>
        <v>0</v>
      </c>
      <c r="K280" s="1391">
        <v>293</v>
      </c>
      <c r="L280" s="1391" t="s">
        <v>2968</v>
      </c>
      <c r="AA280">
        <v>787</v>
      </c>
      <c r="AB280">
        <v>73722</v>
      </c>
      <c r="AC280">
        <v>229109</v>
      </c>
    </row>
    <row r="281" spans="2:29" ht="12.5">
      <c r="B281" s="5" t="s">
        <v>2969</v>
      </c>
      <c r="C281" s="6" t="s">
        <v>2970</v>
      </c>
      <c r="D281" s="1347">
        <v>0</v>
      </c>
      <c r="E281" s="1346">
        <v>0</v>
      </c>
      <c r="F281" s="1342" t="s">
        <v>2971</v>
      </c>
      <c r="G281" s="1414">
        <v>3550</v>
      </c>
      <c r="H281" s="1353">
        <f t="shared" si="28"/>
        <v>0</v>
      </c>
      <c r="I281" s="1353">
        <f t="shared" si="29"/>
        <v>0</v>
      </c>
      <c r="K281" s="1391">
        <v>294</v>
      </c>
      <c r="L281" s="1391" t="s">
        <v>2972</v>
      </c>
      <c r="AA281">
        <v>788</v>
      </c>
      <c r="AB281">
        <v>9740</v>
      </c>
      <c r="AC281">
        <v>29431</v>
      </c>
    </row>
    <row r="282" spans="2:29" ht="12.5">
      <c r="B282" s="5" t="s">
        <v>2973</v>
      </c>
      <c r="C282" s="6" t="s">
        <v>2974</v>
      </c>
      <c r="D282" s="1347">
        <v>0</v>
      </c>
      <c r="E282" s="1346">
        <v>0</v>
      </c>
      <c r="F282" s="1342" t="s">
        <v>2975</v>
      </c>
      <c r="G282" s="1414">
        <v>3551</v>
      </c>
      <c r="H282" s="1353">
        <f t="shared" si="28"/>
        <v>0</v>
      </c>
      <c r="I282" s="1353">
        <f t="shared" si="29"/>
        <v>0</v>
      </c>
      <c r="K282" s="1391">
        <v>295</v>
      </c>
      <c r="L282" s="1391" t="s">
        <v>2976</v>
      </c>
      <c r="AA282">
        <v>789</v>
      </c>
      <c r="AB282">
        <v>7938</v>
      </c>
      <c r="AC282">
        <v>21998</v>
      </c>
    </row>
    <row r="283" spans="2:29" ht="12.5">
      <c r="B283" s="5" t="s">
        <v>2977</v>
      </c>
      <c r="C283" s="6" t="s">
        <v>2978</v>
      </c>
      <c r="D283" s="1347">
        <v>0</v>
      </c>
      <c r="E283" s="1346">
        <v>0</v>
      </c>
      <c r="F283" s="1342" t="s">
        <v>2979</v>
      </c>
      <c r="G283" s="1414">
        <v>3552</v>
      </c>
      <c r="H283" s="1353">
        <f t="shared" si="28"/>
        <v>0</v>
      </c>
      <c r="I283" s="1353">
        <f t="shared" si="29"/>
        <v>0</v>
      </c>
      <c r="K283" s="1391">
        <v>296</v>
      </c>
      <c r="L283" s="1391" t="s">
        <v>2980</v>
      </c>
      <c r="AA283">
        <v>791</v>
      </c>
      <c r="AB283">
        <v>1200</v>
      </c>
      <c r="AC283">
        <v>2867</v>
      </c>
    </row>
    <row r="284" spans="2:29" ht="12.5">
      <c r="B284" s="5" t="s">
        <v>2981</v>
      </c>
      <c r="C284" s="6" t="s">
        <v>2982</v>
      </c>
      <c r="D284" s="1347">
        <v>0</v>
      </c>
      <c r="E284" s="1346">
        <v>0</v>
      </c>
      <c r="F284" s="1342" t="s">
        <v>2983</v>
      </c>
      <c r="G284" s="1414">
        <v>3553</v>
      </c>
      <c r="H284" s="1353">
        <f t="shared" si="28"/>
        <v>0</v>
      </c>
      <c r="I284" s="1353">
        <f t="shared" si="29"/>
        <v>0</v>
      </c>
      <c r="K284" s="1391">
        <v>297</v>
      </c>
      <c r="L284" s="1391" t="s">
        <v>2984</v>
      </c>
      <c r="AA284">
        <v>792</v>
      </c>
      <c r="AB284">
        <v>13510</v>
      </c>
      <c r="AC284">
        <v>40530</v>
      </c>
    </row>
    <row r="285" spans="2:29" ht="12.5">
      <c r="B285" s="5" t="s">
        <v>2985</v>
      </c>
      <c r="C285" s="6" t="s">
        <v>2986</v>
      </c>
      <c r="D285" s="1347">
        <v>0</v>
      </c>
      <c r="E285" s="1346">
        <v>0</v>
      </c>
      <c r="F285" s="1342" t="s">
        <v>2987</v>
      </c>
      <c r="G285" s="1414">
        <v>3554</v>
      </c>
      <c r="H285" s="1353">
        <f t="shared" si="28"/>
        <v>0</v>
      </c>
      <c r="I285" s="1353">
        <f t="shared" si="29"/>
        <v>0</v>
      </c>
      <c r="K285" s="1391">
        <v>298</v>
      </c>
      <c r="L285" s="1391" t="s">
        <v>2988</v>
      </c>
      <c r="AA285">
        <v>794</v>
      </c>
      <c r="AB285">
        <v>96370</v>
      </c>
      <c r="AC285">
        <v>294504</v>
      </c>
    </row>
    <row r="286" spans="2:29" ht="12.5">
      <c r="B286" s="5" t="s">
        <v>2989</v>
      </c>
      <c r="C286" s="6" t="s">
        <v>2990</v>
      </c>
      <c r="D286" s="1347">
        <v>0</v>
      </c>
      <c r="E286" s="1346">
        <v>0</v>
      </c>
      <c r="F286" s="1342" t="s">
        <v>2991</v>
      </c>
      <c r="G286" s="1414">
        <v>3555</v>
      </c>
      <c r="H286" s="1353">
        <f t="shared" si="28"/>
        <v>0</v>
      </c>
      <c r="I286" s="1353">
        <f t="shared" si="29"/>
        <v>0</v>
      </c>
      <c r="K286" s="1391">
        <v>299</v>
      </c>
      <c r="L286" s="1391" t="s">
        <v>2992</v>
      </c>
      <c r="AA286">
        <v>795</v>
      </c>
      <c r="AB286">
        <v>457633</v>
      </c>
      <c r="AC286">
        <v>1270724</v>
      </c>
    </row>
    <row r="287" spans="2:29" ht="12.5">
      <c r="B287" s="5" t="s">
        <v>2993</v>
      </c>
      <c r="C287" s="6" t="s">
        <v>2994</v>
      </c>
      <c r="D287" s="1347">
        <v>0</v>
      </c>
      <c r="E287" s="1346">
        <v>0</v>
      </c>
      <c r="F287" s="1342" t="s">
        <v>2995</v>
      </c>
      <c r="G287" s="1414">
        <v>3556</v>
      </c>
      <c r="H287" s="1353">
        <f t="shared" si="28"/>
        <v>0</v>
      </c>
      <c r="I287" s="1353">
        <f t="shared" si="29"/>
        <v>0</v>
      </c>
      <c r="K287" s="1391">
        <v>300</v>
      </c>
      <c r="L287" s="1391" t="s">
        <v>2996</v>
      </c>
      <c r="AA287">
        <v>796</v>
      </c>
      <c r="AB287">
        <v>505112</v>
      </c>
      <c r="AC287">
        <v>1401597</v>
      </c>
    </row>
    <row r="288" spans="2:29" ht="12.5">
      <c r="B288" s="5" t="s">
        <v>2997</v>
      </c>
      <c r="C288" s="6" t="s">
        <v>2998</v>
      </c>
      <c r="D288" s="1347">
        <v>0</v>
      </c>
      <c r="E288" s="1346">
        <v>0</v>
      </c>
      <c r="F288" s="1342" t="s">
        <v>2999</v>
      </c>
      <c r="G288" s="1414">
        <v>3557</v>
      </c>
      <c r="H288" s="1353">
        <f t="shared" si="28"/>
        <v>0</v>
      </c>
      <c r="I288" s="1353">
        <f t="shared" si="29"/>
        <v>0</v>
      </c>
      <c r="K288" s="1391">
        <v>301</v>
      </c>
      <c r="L288" s="1391" t="s">
        <v>3000</v>
      </c>
      <c r="AA288">
        <v>797</v>
      </c>
      <c r="AB288">
        <v>137357</v>
      </c>
      <c r="AC288">
        <v>109200</v>
      </c>
    </row>
    <row r="289" spans="2:29" ht="12.5">
      <c r="B289" s="5" t="s">
        <v>3001</v>
      </c>
      <c r="C289" s="6" t="s">
        <v>3002</v>
      </c>
      <c r="D289" s="1347">
        <v>0</v>
      </c>
      <c r="E289" s="1346">
        <v>0</v>
      </c>
      <c r="F289" s="1342" t="s">
        <v>3003</v>
      </c>
      <c r="G289" s="1414">
        <v>3558</v>
      </c>
      <c r="H289" s="1353">
        <f t="shared" si="28"/>
        <v>0</v>
      </c>
      <c r="I289" s="1353">
        <f t="shared" si="29"/>
        <v>0</v>
      </c>
      <c r="K289" s="1391">
        <v>302</v>
      </c>
      <c r="L289" s="1391" t="s">
        <v>3004</v>
      </c>
      <c r="AA289">
        <v>798</v>
      </c>
      <c r="AB289">
        <v>95232</v>
      </c>
      <c r="AC289">
        <v>231429</v>
      </c>
    </row>
    <row r="290" spans="2:29" ht="12.5">
      <c r="B290" s="5" t="s">
        <v>3005</v>
      </c>
      <c r="C290" s="6" t="s">
        <v>3006</v>
      </c>
      <c r="D290" s="1347">
        <v>0</v>
      </c>
      <c r="E290" s="1346">
        <v>0</v>
      </c>
      <c r="F290" s="1342" t="s">
        <v>3007</v>
      </c>
      <c r="G290" s="1408">
        <v>50</v>
      </c>
      <c r="H290" s="1353">
        <f t="shared" ref="H290:I292" si="30">M55</f>
        <v>0</v>
      </c>
      <c r="I290" s="1353">
        <f t="shared" si="30"/>
        <v>0</v>
      </c>
      <c r="K290" s="1391">
        <v>303</v>
      </c>
      <c r="L290" s="1391" t="s">
        <v>3008</v>
      </c>
      <c r="AA290">
        <v>799</v>
      </c>
      <c r="AB290">
        <v>232589</v>
      </c>
      <c r="AC290">
        <v>340629</v>
      </c>
    </row>
    <row r="291" spans="2:29" ht="12.5">
      <c r="B291" s="5" t="s">
        <v>3009</v>
      </c>
      <c r="C291" s="6" t="s">
        <v>3010</v>
      </c>
      <c r="D291" s="1347">
        <v>0</v>
      </c>
      <c r="E291" s="1346">
        <v>0</v>
      </c>
      <c r="F291" s="1342" t="s">
        <v>3011</v>
      </c>
      <c r="G291" s="1408">
        <v>51</v>
      </c>
      <c r="H291" s="1353">
        <f t="shared" si="30"/>
        <v>0</v>
      </c>
      <c r="I291" s="1353">
        <f t="shared" si="30"/>
        <v>0</v>
      </c>
      <c r="K291" s="1391">
        <v>304</v>
      </c>
      <c r="L291" s="1391" t="s">
        <v>3012</v>
      </c>
      <c r="AA291">
        <v>802</v>
      </c>
      <c r="AB291">
        <v>232589</v>
      </c>
      <c r="AC291">
        <v>340629</v>
      </c>
    </row>
    <row r="292" spans="2:29" ht="12.5">
      <c r="B292" s="5" t="s">
        <v>3013</v>
      </c>
      <c r="C292" s="6" t="s">
        <v>3014</v>
      </c>
      <c r="D292" s="1347">
        <v>0</v>
      </c>
      <c r="E292" s="1346">
        <v>0</v>
      </c>
      <c r="F292" s="1342" t="s">
        <v>3015</v>
      </c>
      <c r="G292" s="1408">
        <v>52</v>
      </c>
      <c r="H292" s="1353">
        <f t="shared" si="30"/>
        <v>0</v>
      </c>
      <c r="I292" s="1353">
        <f t="shared" si="30"/>
        <v>0</v>
      </c>
      <c r="K292" s="1391">
        <v>305</v>
      </c>
      <c r="L292" s="1391" t="s">
        <v>3016</v>
      </c>
      <c r="AA292">
        <v>804</v>
      </c>
      <c r="AB292">
        <v>232589</v>
      </c>
      <c r="AC292">
        <v>340629</v>
      </c>
    </row>
    <row r="293" spans="2:29" ht="12.5">
      <c r="B293" s="5" t="s">
        <v>3017</v>
      </c>
      <c r="C293" s="6" t="s">
        <v>3018</v>
      </c>
      <c r="D293" s="1347">
        <v>0</v>
      </c>
      <c r="E293" s="1346">
        <v>0</v>
      </c>
      <c r="F293" s="1342" t="s">
        <v>3019</v>
      </c>
      <c r="G293" s="1414">
        <v>3559</v>
      </c>
      <c r="H293" s="1353">
        <f t="shared" ref="H293:H308" si="31">M1819</f>
        <v>0</v>
      </c>
      <c r="I293" s="1353">
        <f t="shared" ref="I293:I308" si="32">N1819</f>
        <v>0</v>
      </c>
      <c r="K293" s="1391">
        <v>306</v>
      </c>
      <c r="L293" s="1391" t="s">
        <v>3020</v>
      </c>
      <c r="AA293">
        <v>805</v>
      </c>
      <c r="AB293">
        <v>10743777</v>
      </c>
      <c r="AC293">
        <v>23431209</v>
      </c>
    </row>
    <row r="294" spans="2:29" ht="12.5">
      <c r="B294" s="5" t="s">
        <v>3021</v>
      </c>
      <c r="C294" s="6" t="s">
        <v>3022</v>
      </c>
      <c r="D294" s="1347">
        <v>0</v>
      </c>
      <c r="E294" s="1346">
        <v>0</v>
      </c>
      <c r="F294" s="1342" t="s">
        <v>3023</v>
      </c>
      <c r="G294" s="1414">
        <v>3560</v>
      </c>
      <c r="H294" s="1353">
        <f t="shared" si="31"/>
        <v>0</v>
      </c>
      <c r="I294" s="1353">
        <f t="shared" si="32"/>
        <v>0</v>
      </c>
      <c r="K294" s="1391">
        <v>307</v>
      </c>
      <c r="L294" s="1391" t="s">
        <v>3024</v>
      </c>
      <c r="AA294">
        <v>806</v>
      </c>
      <c r="AB294">
        <v>466258</v>
      </c>
      <c r="AC294">
        <v>1033595</v>
      </c>
    </row>
    <row r="295" spans="2:29" ht="12.5">
      <c r="B295" s="5" t="s">
        <v>3025</v>
      </c>
      <c r="C295" s="6" t="s">
        <v>3026</v>
      </c>
      <c r="D295" s="1347">
        <v>0</v>
      </c>
      <c r="E295" s="1346">
        <v>0</v>
      </c>
      <c r="F295" s="1342" t="s">
        <v>3027</v>
      </c>
      <c r="G295" s="1414">
        <v>3561</v>
      </c>
      <c r="H295" s="1353">
        <f t="shared" si="31"/>
        <v>0</v>
      </c>
      <c r="I295" s="1353">
        <f t="shared" si="32"/>
        <v>0</v>
      </c>
      <c r="K295" s="1391">
        <v>308</v>
      </c>
      <c r="L295" s="1391" t="s">
        <v>3028</v>
      </c>
      <c r="AA295">
        <v>807</v>
      </c>
      <c r="AB295">
        <v>48625</v>
      </c>
      <c r="AC295">
        <v>111695</v>
      </c>
    </row>
    <row r="296" spans="2:29" ht="12.5">
      <c r="B296" s="5" t="s">
        <v>3029</v>
      </c>
      <c r="C296" s="6" t="s">
        <v>3030</v>
      </c>
      <c r="D296" s="1347">
        <v>0</v>
      </c>
      <c r="E296" s="1346">
        <v>0</v>
      </c>
      <c r="F296" s="1342" t="s">
        <v>3031</v>
      </c>
      <c r="G296" s="1414">
        <v>3562</v>
      </c>
      <c r="H296" s="1353">
        <f t="shared" si="31"/>
        <v>0</v>
      </c>
      <c r="I296" s="1353">
        <f t="shared" si="32"/>
        <v>0</v>
      </c>
      <c r="K296" s="1391">
        <v>309</v>
      </c>
      <c r="L296" s="1391" t="s">
        <v>3032</v>
      </c>
      <c r="AA296">
        <v>808</v>
      </c>
      <c r="AB296">
        <v>-3684</v>
      </c>
      <c r="AC296">
        <v>1462</v>
      </c>
    </row>
    <row r="297" spans="2:29" ht="12.5">
      <c r="B297" s="5" t="s">
        <v>3033</v>
      </c>
      <c r="C297" s="6" t="s">
        <v>3034</v>
      </c>
      <c r="D297" s="1347">
        <v>0</v>
      </c>
      <c r="E297" s="1346">
        <v>0</v>
      </c>
      <c r="F297" s="1342" t="s">
        <v>3035</v>
      </c>
      <c r="G297" s="1414">
        <v>3563</v>
      </c>
      <c r="H297" s="1353">
        <f t="shared" si="31"/>
        <v>0</v>
      </c>
      <c r="I297" s="1353">
        <f t="shared" si="32"/>
        <v>0</v>
      </c>
      <c r="K297" s="1391">
        <v>310</v>
      </c>
      <c r="L297" s="1391" t="s">
        <v>3036</v>
      </c>
      <c r="AA297">
        <v>809</v>
      </c>
      <c r="AB297">
        <v>2538</v>
      </c>
      <c r="AC297">
        <v>17716</v>
      </c>
    </row>
    <row r="298" spans="2:29" ht="12.5">
      <c r="B298" s="5" t="s">
        <v>3037</v>
      </c>
      <c r="C298" s="6" t="s">
        <v>3038</v>
      </c>
      <c r="D298" s="1347">
        <v>0</v>
      </c>
      <c r="E298" s="1346">
        <v>0</v>
      </c>
      <c r="F298" s="1342" t="s">
        <v>3039</v>
      </c>
      <c r="G298" s="1414">
        <v>3564</v>
      </c>
      <c r="H298" s="1353">
        <f t="shared" si="31"/>
        <v>0</v>
      </c>
      <c r="I298" s="1353">
        <f t="shared" si="32"/>
        <v>0</v>
      </c>
      <c r="K298" s="1391">
        <v>311</v>
      </c>
      <c r="L298" s="1391" t="s">
        <v>3040</v>
      </c>
      <c r="AA298">
        <v>810</v>
      </c>
      <c r="AB298">
        <v>47479</v>
      </c>
      <c r="AC298">
        <v>130873</v>
      </c>
    </row>
    <row r="299" spans="2:29" ht="12.5">
      <c r="B299" s="5" t="s">
        <v>3041</v>
      </c>
      <c r="C299" s="6" t="s">
        <v>3042</v>
      </c>
      <c r="D299" s="1347">
        <v>0</v>
      </c>
      <c r="E299" s="1346">
        <v>0</v>
      </c>
      <c r="F299" s="1342" t="s">
        <v>3043</v>
      </c>
      <c r="G299" s="1414">
        <v>3565</v>
      </c>
      <c r="H299" s="1353">
        <f t="shared" si="31"/>
        <v>0</v>
      </c>
      <c r="I299" s="1353">
        <f t="shared" si="32"/>
        <v>0</v>
      </c>
      <c r="K299" s="1391">
        <v>312</v>
      </c>
      <c r="L299" s="1391" t="s">
        <v>3044</v>
      </c>
      <c r="AA299">
        <v>811</v>
      </c>
      <c r="AB299">
        <v>16208</v>
      </c>
      <c r="AC299">
        <v>49830</v>
      </c>
    </row>
    <row r="300" spans="2:29" ht="12.5">
      <c r="B300" s="5" t="s">
        <v>3045</v>
      </c>
      <c r="C300" s="6" t="s">
        <v>3046</v>
      </c>
      <c r="D300" s="1347">
        <v>0</v>
      </c>
      <c r="E300" s="1346">
        <v>0</v>
      </c>
      <c r="F300" s="1342" t="s">
        <v>3047</v>
      </c>
      <c r="G300" s="1414">
        <v>3566</v>
      </c>
      <c r="H300" s="1353">
        <f t="shared" si="31"/>
        <v>0</v>
      </c>
      <c r="I300" s="1353">
        <f t="shared" si="32"/>
        <v>0</v>
      </c>
      <c r="K300" s="1391">
        <v>313</v>
      </c>
      <c r="L300" s="1391" t="s">
        <v>3048</v>
      </c>
      <c r="AA300">
        <v>812</v>
      </c>
      <c r="AB300">
        <v>32787</v>
      </c>
      <c r="AC300">
        <v>90019</v>
      </c>
    </row>
    <row r="301" spans="2:29" ht="12.5">
      <c r="B301" s="5" t="s">
        <v>3049</v>
      </c>
      <c r="C301" s="6" t="s">
        <v>3050</v>
      </c>
      <c r="D301" s="1347">
        <v>0</v>
      </c>
      <c r="E301" s="1346">
        <v>0</v>
      </c>
      <c r="F301" s="1342" t="s">
        <v>3051</v>
      </c>
      <c r="G301" s="1414">
        <v>3567</v>
      </c>
      <c r="H301" s="1353">
        <f t="shared" si="31"/>
        <v>0</v>
      </c>
      <c r="I301" s="1353">
        <f t="shared" si="32"/>
        <v>0</v>
      </c>
      <c r="K301" s="1391">
        <v>316</v>
      </c>
      <c r="L301" s="1391" t="s">
        <v>3052</v>
      </c>
      <c r="AA301">
        <v>813</v>
      </c>
      <c r="AB301">
        <v>41390</v>
      </c>
      <c r="AC301">
        <v>108695</v>
      </c>
    </row>
    <row r="302" spans="2:29" ht="12.5">
      <c r="B302" s="5" t="s">
        <v>3053</v>
      </c>
      <c r="C302" s="6" t="s">
        <v>3054</v>
      </c>
      <c r="D302" s="1347">
        <v>0</v>
      </c>
      <c r="E302" s="1346">
        <v>0</v>
      </c>
      <c r="F302" s="1342" t="s">
        <v>3055</v>
      </c>
      <c r="G302" s="1414">
        <v>3568</v>
      </c>
      <c r="H302" s="1353">
        <f t="shared" si="31"/>
        <v>0</v>
      </c>
      <c r="I302" s="1353">
        <f t="shared" si="32"/>
        <v>0</v>
      </c>
      <c r="K302" s="1391">
        <v>317</v>
      </c>
      <c r="L302" s="1391" t="s">
        <v>3056</v>
      </c>
      <c r="AA302">
        <v>814</v>
      </c>
      <c r="AB302">
        <v>6234</v>
      </c>
      <c r="AC302">
        <v>9740</v>
      </c>
    </row>
    <row r="303" spans="2:29" ht="12.5">
      <c r="B303" s="5" t="s">
        <v>3057</v>
      </c>
      <c r="C303" s="6" t="s">
        <v>3058</v>
      </c>
      <c r="D303" s="1347">
        <v>0</v>
      </c>
      <c r="E303" s="1346">
        <v>0</v>
      </c>
      <c r="F303" s="1342" t="s">
        <v>3059</v>
      </c>
      <c r="G303" s="1414">
        <v>3569</v>
      </c>
      <c r="H303" s="1353">
        <f t="shared" si="31"/>
        <v>0</v>
      </c>
      <c r="I303" s="1353">
        <f t="shared" si="32"/>
        <v>0</v>
      </c>
      <c r="K303" s="1391">
        <v>318</v>
      </c>
      <c r="L303" s="1391" t="s">
        <v>3060</v>
      </c>
      <c r="AA303">
        <v>815</v>
      </c>
      <c r="AB303">
        <v>8344</v>
      </c>
      <c r="AC303">
        <v>32453</v>
      </c>
    </row>
    <row r="304" spans="2:29" ht="12.5">
      <c r="B304" s="5" t="s">
        <v>3061</v>
      </c>
      <c r="C304" s="6" t="s">
        <v>3062</v>
      </c>
      <c r="D304" s="1347">
        <v>0</v>
      </c>
      <c r="E304" s="1346">
        <v>0</v>
      </c>
      <c r="F304" s="1342" t="s">
        <v>3063</v>
      </c>
      <c r="G304" s="1414">
        <v>3570</v>
      </c>
      <c r="H304" s="1353">
        <f t="shared" si="31"/>
        <v>0</v>
      </c>
      <c r="I304" s="1353">
        <f t="shared" si="32"/>
        <v>0</v>
      </c>
      <c r="K304" s="1391">
        <v>319</v>
      </c>
      <c r="L304" s="1391" t="s">
        <v>3064</v>
      </c>
      <c r="AA304">
        <v>817</v>
      </c>
      <c r="AB304">
        <v>3196</v>
      </c>
      <c r="AC304">
        <v>11268</v>
      </c>
    </row>
    <row r="305" spans="1:29" ht="12.5">
      <c r="B305" s="5" t="s">
        <v>3065</v>
      </c>
      <c r="C305" s="6" t="s">
        <v>3066</v>
      </c>
      <c r="D305" s="1347">
        <v>0</v>
      </c>
      <c r="E305" s="1346">
        <v>0</v>
      </c>
      <c r="F305" s="1342" t="s">
        <v>3067</v>
      </c>
      <c r="G305" s="1414">
        <v>3571</v>
      </c>
      <c r="H305" s="1353">
        <f t="shared" si="31"/>
        <v>0</v>
      </c>
      <c r="I305" s="1353">
        <f t="shared" si="32"/>
        <v>0</v>
      </c>
      <c r="K305" s="1391">
        <v>320</v>
      </c>
      <c r="L305" s="1391" t="s">
        <v>3068</v>
      </c>
      <c r="AA305">
        <v>818</v>
      </c>
      <c r="AB305">
        <v>8982</v>
      </c>
      <c r="AC305">
        <v>33418</v>
      </c>
    </row>
    <row r="306" spans="1:29" ht="12.5">
      <c r="B306" s="5" t="s">
        <v>3069</v>
      </c>
      <c r="C306" s="6" t="s">
        <v>3070</v>
      </c>
      <c r="D306" s="1347">
        <v>0</v>
      </c>
      <c r="E306" s="1346">
        <v>0</v>
      </c>
      <c r="F306" s="1342" t="s">
        <v>3071</v>
      </c>
      <c r="G306" s="1414">
        <v>3572</v>
      </c>
      <c r="H306" s="1353">
        <f t="shared" si="31"/>
        <v>0</v>
      </c>
      <c r="I306" s="1353">
        <f t="shared" si="32"/>
        <v>0</v>
      </c>
      <c r="K306" s="1391">
        <v>321</v>
      </c>
      <c r="L306" s="1391" t="s">
        <v>3072</v>
      </c>
      <c r="AA306">
        <v>820</v>
      </c>
      <c r="AB306">
        <v>117141</v>
      </c>
      <c r="AC306">
        <v>335423</v>
      </c>
    </row>
    <row r="307" spans="1:29" ht="12.5">
      <c r="B307" s="5" t="s">
        <v>3073</v>
      </c>
      <c r="C307" s="6" t="s">
        <v>3074</v>
      </c>
      <c r="D307" s="1347">
        <v>0</v>
      </c>
      <c r="E307" s="1346">
        <v>0</v>
      </c>
      <c r="F307" s="1342" t="s">
        <v>3075</v>
      </c>
      <c r="G307" s="1414">
        <v>3573</v>
      </c>
      <c r="H307" s="1353">
        <f t="shared" si="31"/>
        <v>0</v>
      </c>
      <c r="I307" s="1353">
        <f t="shared" si="32"/>
        <v>0</v>
      </c>
      <c r="K307" s="1391">
        <v>322</v>
      </c>
      <c r="L307" s="1391" t="s">
        <v>3076</v>
      </c>
      <c r="AA307">
        <v>821</v>
      </c>
      <c r="AB307">
        <v>21583</v>
      </c>
      <c r="AC307">
        <v>37060</v>
      </c>
    </row>
    <row r="308" spans="1:29" ht="12.5">
      <c r="B308" s="5" t="s">
        <v>3077</v>
      </c>
      <c r="C308" s="6" t="s">
        <v>3078</v>
      </c>
      <c r="D308" s="1347">
        <v>0</v>
      </c>
      <c r="E308" s="1346">
        <v>0</v>
      </c>
      <c r="F308" s="1342" t="s">
        <v>3079</v>
      </c>
      <c r="G308" s="1414">
        <v>3574</v>
      </c>
      <c r="H308" s="1353">
        <f t="shared" si="31"/>
        <v>0</v>
      </c>
      <c r="I308" s="1353">
        <f t="shared" si="32"/>
        <v>0</v>
      </c>
      <c r="K308" s="1391">
        <v>323</v>
      </c>
      <c r="L308" s="1391" t="s">
        <v>3080</v>
      </c>
      <c r="AA308">
        <v>822</v>
      </c>
      <c r="AB308">
        <v>2232</v>
      </c>
      <c r="AC308">
        <v>5528</v>
      </c>
    </row>
    <row r="309" spans="1:29" ht="12.5">
      <c r="B309" s="5" t="s">
        <v>3081</v>
      </c>
      <c r="C309" s="6" t="s">
        <v>3082</v>
      </c>
      <c r="D309" s="1347">
        <v>0</v>
      </c>
      <c r="E309" s="1346">
        <v>0</v>
      </c>
      <c r="F309" s="1342" t="s">
        <v>3083</v>
      </c>
      <c r="G309" s="1408">
        <v>55</v>
      </c>
      <c r="H309" s="1353">
        <f t="shared" ref="H309:I311" si="33">M60</f>
        <v>0</v>
      </c>
      <c r="I309" s="1353">
        <f t="shared" si="33"/>
        <v>0</v>
      </c>
      <c r="K309" s="1391">
        <v>324</v>
      </c>
      <c r="L309" s="1391" t="s">
        <v>3084</v>
      </c>
      <c r="AA309">
        <v>823</v>
      </c>
      <c r="AB309">
        <v>2114</v>
      </c>
      <c r="AC309">
        <v>8101</v>
      </c>
    </row>
    <row r="310" spans="1:29" ht="12.5">
      <c r="B310" s="5" t="s">
        <v>3085</v>
      </c>
      <c r="C310" s="6" t="s">
        <v>3086</v>
      </c>
      <c r="D310" s="1347">
        <v>0</v>
      </c>
      <c r="E310" s="1346">
        <v>0</v>
      </c>
      <c r="F310" s="1342" t="s">
        <v>3087</v>
      </c>
      <c r="G310" s="1408">
        <v>56</v>
      </c>
      <c r="H310" s="1353">
        <f t="shared" si="33"/>
        <v>0</v>
      </c>
      <c r="I310" s="1353">
        <f t="shared" si="33"/>
        <v>0</v>
      </c>
      <c r="K310" s="1391">
        <v>325</v>
      </c>
      <c r="L310" s="1391" t="s">
        <v>3088</v>
      </c>
      <c r="AA310">
        <v>825</v>
      </c>
      <c r="AB310">
        <v>17158</v>
      </c>
      <c r="AC310">
        <v>48042</v>
      </c>
    </row>
    <row r="311" spans="1:29" ht="12.5">
      <c r="B311" s="5" t="s">
        <v>3089</v>
      </c>
      <c r="C311" s="6" t="s">
        <v>3090</v>
      </c>
      <c r="D311" s="1347">
        <v>0</v>
      </c>
      <c r="E311" s="1346">
        <v>0</v>
      </c>
      <c r="F311" s="1342" t="s">
        <v>3091</v>
      </c>
      <c r="G311" s="1408">
        <v>57</v>
      </c>
      <c r="H311" s="1353">
        <f t="shared" si="33"/>
        <v>0</v>
      </c>
      <c r="I311" s="1353">
        <f t="shared" si="33"/>
        <v>0</v>
      </c>
      <c r="K311" s="1391">
        <v>326</v>
      </c>
      <c r="L311" s="1391" t="s">
        <v>3092</v>
      </c>
      <c r="AA311">
        <v>826</v>
      </c>
      <c r="AB311">
        <v>-45212</v>
      </c>
      <c r="AC311">
        <v>-45212</v>
      </c>
    </row>
    <row r="312" spans="1:29" ht="12.5">
      <c r="B312" s="5" t="s">
        <v>3093</v>
      </c>
      <c r="C312" s="6" t="s">
        <v>3094</v>
      </c>
      <c r="D312" s="1347">
        <v>0</v>
      </c>
      <c r="E312" s="1346">
        <v>0</v>
      </c>
      <c r="F312" s="1342" t="s">
        <v>3095</v>
      </c>
      <c r="G312" s="1408">
        <v>59</v>
      </c>
      <c r="H312" s="1353">
        <f>M64</f>
        <v>0</v>
      </c>
      <c r="I312" s="1353">
        <f>N64</f>
        <v>0</v>
      </c>
      <c r="K312" s="1391">
        <v>327</v>
      </c>
      <c r="L312" s="1391" t="s">
        <v>3096</v>
      </c>
      <c r="AA312">
        <v>828</v>
      </c>
      <c r="AB312">
        <v>9296</v>
      </c>
      <c r="AC312">
        <v>24202</v>
      </c>
    </row>
    <row r="313" spans="1:29" ht="12.5">
      <c r="B313" s="5" t="s">
        <v>3097</v>
      </c>
      <c r="C313" s="6" t="s">
        <v>3098</v>
      </c>
      <c r="D313" s="1347">
        <v>0</v>
      </c>
      <c r="E313" s="1346">
        <v>0</v>
      </c>
      <c r="F313" s="1342" t="s">
        <v>3099</v>
      </c>
      <c r="G313" s="1409"/>
      <c r="H313" s="1353"/>
      <c r="I313" s="1353"/>
      <c r="K313" s="1391">
        <v>328</v>
      </c>
      <c r="L313" s="1391" t="s">
        <v>3100</v>
      </c>
      <c r="AA313">
        <v>829</v>
      </c>
      <c r="AB313">
        <v>1052</v>
      </c>
      <c r="AC313">
        <v>2453</v>
      </c>
    </row>
    <row r="314" spans="1:29" ht="12.5">
      <c r="A314" s="611" t="s">
        <v>3101</v>
      </c>
      <c r="B314" s="5" t="s">
        <v>3102</v>
      </c>
      <c r="C314" s="6" t="s">
        <v>3103</v>
      </c>
      <c r="D314" s="1347">
        <v>0</v>
      </c>
      <c r="E314" s="1346">
        <v>0</v>
      </c>
      <c r="F314" s="1342" t="s">
        <v>3104</v>
      </c>
      <c r="G314" s="1414">
        <v>3575</v>
      </c>
      <c r="H314" s="1353">
        <f t="shared" ref="H314:H332" si="34">M1835</f>
        <v>0</v>
      </c>
      <c r="I314" s="1353">
        <f t="shared" ref="I314:I332" si="35">N1835</f>
        <v>0</v>
      </c>
      <c r="K314" s="1391">
        <v>329</v>
      </c>
      <c r="L314" s="1391" t="s">
        <v>3105</v>
      </c>
      <c r="AA314">
        <v>830</v>
      </c>
      <c r="AB314">
        <v>851</v>
      </c>
      <c r="AC314">
        <v>2871</v>
      </c>
    </row>
    <row r="315" spans="1:29" ht="12.5">
      <c r="B315" s="5" t="s">
        <v>3106</v>
      </c>
      <c r="C315" s="6" t="s">
        <v>3107</v>
      </c>
      <c r="D315" s="1347">
        <v>0</v>
      </c>
      <c r="E315" s="1346">
        <v>0</v>
      </c>
      <c r="F315" s="1342" t="s">
        <v>3108</v>
      </c>
      <c r="G315" s="1414">
        <v>3576</v>
      </c>
      <c r="H315" s="1353">
        <f t="shared" si="34"/>
        <v>0</v>
      </c>
      <c r="I315" s="1353">
        <f t="shared" si="35"/>
        <v>0</v>
      </c>
      <c r="K315" s="1391">
        <v>330</v>
      </c>
      <c r="L315" s="1391" t="s">
        <v>3109</v>
      </c>
      <c r="AA315">
        <v>831</v>
      </c>
      <c r="AB315">
        <v>1898</v>
      </c>
      <c r="AC315">
        <v>2050</v>
      </c>
    </row>
    <row r="316" spans="1:29" ht="12.5">
      <c r="B316" s="5" t="s">
        <v>3110</v>
      </c>
      <c r="C316" s="6" t="s">
        <v>3111</v>
      </c>
      <c r="D316" s="1347">
        <v>0</v>
      </c>
      <c r="E316" s="1346">
        <v>0</v>
      </c>
      <c r="F316" s="1342" t="s">
        <v>3112</v>
      </c>
      <c r="G316" s="1414">
        <v>3577</v>
      </c>
      <c r="H316" s="1353">
        <f t="shared" si="34"/>
        <v>0</v>
      </c>
      <c r="I316" s="1353">
        <f t="shared" si="35"/>
        <v>0</v>
      </c>
      <c r="K316" s="1391">
        <v>331</v>
      </c>
      <c r="L316" s="1391" t="s">
        <v>3113</v>
      </c>
      <c r="AA316">
        <v>832</v>
      </c>
      <c r="AB316">
        <v>500</v>
      </c>
      <c r="AC316">
        <v>500</v>
      </c>
    </row>
    <row r="317" spans="1:29" ht="12.5">
      <c r="B317" s="5" t="s">
        <v>3114</v>
      </c>
      <c r="C317" s="6" t="s">
        <v>3115</v>
      </c>
      <c r="D317" s="1347">
        <v>0</v>
      </c>
      <c r="E317" s="1346">
        <v>0</v>
      </c>
      <c r="F317" s="1342" t="s">
        <v>3116</v>
      </c>
      <c r="G317" s="1414">
        <v>3578</v>
      </c>
      <c r="H317" s="1353">
        <f t="shared" si="34"/>
        <v>0</v>
      </c>
      <c r="I317" s="1353">
        <f t="shared" si="35"/>
        <v>0</v>
      </c>
      <c r="K317" s="1391">
        <v>332</v>
      </c>
      <c r="L317" s="1391" t="s">
        <v>1919</v>
      </c>
      <c r="AA317">
        <v>833</v>
      </c>
      <c r="AB317">
        <v>245</v>
      </c>
      <c r="AC317">
        <v>785</v>
      </c>
    </row>
    <row r="318" spans="1:29" ht="12.5">
      <c r="B318" s="5" t="s">
        <v>3117</v>
      </c>
      <c r="C318" s="6" t="s">
        <v>3118</v>
      </c>
      <c r="D318" s="1347">
        <v>0</v>
      </c>
      <c r="E318" s="1346">
        <v>0</v>
      </c>
      <c r="F318" s="1342" t="s">
        <v>3119</v>
      </c>
      <c r="G318" s="1414">
        <v>3579</v>
      </c>
      <c r="H318" s="1353">
        <f t="shared" si="34"/>
        <v>0</v>
      </c>
      <c r="I318" s="1353">
        <f t="shared" si="35"/>
        <v>0</v>
      </c>
      <c r="K318" s="1391">
        <v>333</v>
      </c>
      <c r="L318" s="1391" t="s">
        <v>3120</v>
      </c>
      <c r="AA318">
        <v>834</v>
      </c>
      <c r="AB318">
        <v>475</v>
      </c>
      <c r="AC318">
        <v>1858</v>
      </c>
    </row>
    <row r="319" spans="1:29" ht="12.5">
      <c r="B319" s="5" t="s">
        <v>3121</v>
      </c>
      <c r="C319" s="6" t="s">
        <v>3122</v>
      </c>
      <c r="D319" s="1347">
        <v>0</v>
      </c>
      <c r="E319" s="1346">
        <v>0</v>
      </c>
      <c r="F319" s="1342" t="s">
        <v>3123</v>
      </c>
      <c r="G319" s="1414">
        <v>3580</v>
      </c>
      <c r="H319" s="1353">
        <f t="shared" si="34"/>
        <v>0</v>
      </c>
      <c r="I319" s="1353">
        <f t="shared" si="35"/>
        <v>0</v>
      </c>
      <c r="K319" s="1391">
        <v>334</v>
      </c>
      <c r="L319" s="1391" t="s">
        <v>1923</v>
      </c>
      <c r="AA319">
        <v>835</v>
      </c>
      <c r="AB319">
        <v>153786</v>
      </c>
      <c r="AC319">
        <v>322326</v>
      </c>
    </row>
    <row r="320" spans="1:29" ht="12.5">
      <c r="B320" s="5" t="s">
        <v>3124</v>
      </c>
      <c r="C320" s="6" t="s">
        <v>3125</v>
      </c>
      <c r="D320" s="1347">
        <v>0</v>
      </c>
      <c r="E320" s="1346">
        <v>0</v>
      </c>
      <c r="F320" s="1342" t="s">
        <v>3126</v>
      </c>
      <c r="G320" s="1414">
        <v>3581</v>
      </c>
      <c r="H320" s="1353">
        <f t="shared" si="34"/>
        <v>0</v>
      </c>
      <c r="I320" s="1353">
        <f t="shared" si="35"/>
        <v>0</v>
      </c>
      <c r="K320" s="1391">
        <v>335</v>
      </c>
      <c r="L320" s="1391" t="s">
        <v>3127</v>
      </c>
      <c r="AA320">
        <v>836</v>
      </c>
      <c r="AB320">
        <v>-67795</v>
      </c>
      <c r="AC320">
        <v>-193834</v>
      </c>
    </row>
    <row r="321" spans="2:29" ht="12.5">
      <c r="B321" s="5" t="s">
        <v>3128</v>
      </c>
      <c r="C321" s="6" t="s">
        <v>3129</v>
      </c>
      <c r="D321" s="1347">
        <v>0</v>
      </c>
      <c r="E321" s="1346">
        <v>0</v>
      </c>
      <c r="F321" s="1342" t="s">
        <v>3130</v>
      </c>
      <c r="G321" s="1414">
        <v>3582</v>
      </c>
      <c r="H321" s="1353">
        <f t="shared" si="34"/>
        <v>0</v>
      </c>
      <c r="I321" s="1353">
        <f t="shared" si="35"/>
        <v>0</v>
      </c>
      <c r="K321" s="1391">
        <v>336</v>
      </c>
      <c r="L321" s="1391" t="s">
        <v>1931</v>
      </c>
      <c r="AA321">
        <v>837</v>
      </c>
      <c r="AB321">
        <v>1227</v>
      </c>
      <c r="AC321">
        <v>4560</v>
      </c>
    </row>
    <row r="322" spans="2:29" ht="12.5">
      <c r="B322" s="5" t="s">
        <v>3131</v>
      </c>
      <c r="C322" s="6" t="s">
        <v>3132</v>
      </c>
      <c r="D322" s="1347">
        <v>0</v>
      </c>
      <c r="E322" s="1346">
        <v>0</v>
      </c>
      <c r="F322" s="1342" t="s">
        <v>3133</v>
      </c>
      <c r="G322" s="1414">
        <v>3583</v>
      </c>
      <c r="H322" s="1353">
        <f t="shared" si="34"/>
        <v>0</v>
      </c>
      <c r="I322" s="1353">
        <f t="shared" si="35"/>
        <v>0</v>
      </c>
      <c r="K322" s="1391">
        <v>337</v>
      </c>
      <c r="L322" s="1391" t="s">
        <v>3134</v>
      </c>
      <c r="AA322">
        <v>840</v>
      </c>
      <c r="AB322">
        <v>550</v>
      </c>
      <c r="AC322">
        <v>2185</v>
      </c>
    </row>
    <row r="323" spans="2:29" ht="12.5">
      <c r="B323" s="5" t="s">
        <v>3135</v>
      </c>
      <c r="C323" s="6" t="s">
        <v>3136</v>
      </c>
      <c r="D323" s="1347">
        <v>0</v>
      </c>
      <c r="E323" s="1346">
        <v>0</v>
      </c>
      <c r="F323" s="1342" t="s">
        <v>3137</v>
      </c>
      <c r="G323" s="1414">
        <v>3584</v>
      </c>
      <c r="H323" s="1353">
        <f t="shared" si="34"/>
        <v>0</v>
      </c>
      <c r="I323" s="1353">
        <f t="shared" si="35"/>
        <v>0</v>
      </c>
      <c r="K323" s="1391">
        <v>338</v>
      </c>
      <c r="L323" s="1391" t="s">
        <v>1939</v>
      </c>
      <c r="AA323">
        <v>841</v>
      </c>
      <c r="AB323">
        <v>0</v>
      </c>
      <c r="AC323">
        <v>390</v>
      </c>
    </row>
    <row r="324" spans="2:29" ht="12.5">
      <c r="B324" s="5" t="s">
        <v>3138</v>
      </c>
      <c r="C324" s="6" t="s">
        <v>3139</v>
      </c>
      <c r="D324" s="1347">
        <v>0</v>
      </c>
      <c r="E324" s="1346">
        <v>0</v>
      </c>
      <c r="F324" s="1342" t="s">
        <v>3140</v>
      </c>
      <c r="G324" s="1414">
        <v>3585</v>
      </c>
      <c r="H324" s="1353">
        <f t="shared" si="34"/>
        <v>0</v>
      </c>
      <c r="I324" s="1353">
        <f t="shared" si="35"/>
        <v>0</v>
      </c>
      <c r="K324" s="1391">
        <v>339</v>
      </c>
      <c r="L324" s="1391" t="s">
        <v>1943</v>
      </c>
      <c r="AA324">
        <v>842</v>
      </c>
      <c r="AB324">
        <v>99960</v>
      </c>
      <c r="AC324">
        <v>223865</v>
      </c>
    </row>
    <row r="325" spans="2:29" ht="12.5">
      <c r="B325" s="5" t="s">
        <v>3141</v>
      </c>
      <c r="C325" s="6" t="s">
        <v>3142</v>
      </c>
      <c r="D325" s="1347">
        <v>0</v>
      </c>
      <c r="E325" s="1346">
        <v>0</v>
      </c>
      <c r="F325" s="1342" t="s">
        <v>3143</v>
      </c>
      <c r="G325" s="1414">
        <v>3586</v>
      </c>
      <c r="H325" s="1353">
        <f t="shared" si="34"/>
        <v>0</v>
      </c>
      <c r="I325" s="1353">
        <f t="shared" si="35"/>
        <v>0</v>
      </c>
      <c r="K325" s="1391">
        <v>340</v>
      </c>
      <c r="L325" s="1391" t="s">
        <v>1946</v>
      </c>
      <c r="AA325">
        <v>843</v>
      </c>
      <c r="AB325">
        <v>22950</v>
      </c>
      <c r="AC325">
        <v>68850</v>
      </c>
    </row>
    <row r="326" spans="2:29" ht="12.5">
      <c r="B326" s="5" t="s">
        <v>3144</v>
      </c>
      <c r="C326" s="6" t="s">
        <v>3145</v>
      </c>
      <c r="D326" s="1347">
        <v>0</v>
      </c>
      <c r="E326" s="1346">
        <v>0</v>
      </c>
      <c r="F326" s="1342" t="s">
        <v>3146</v>
      </c>
      <c r="G326" s="1414">
        <v>3587</v>
      </c>
      <c r="H326" s="1353">
        <f t="shared" si="34"/>
        <v>0</v>
      </c>
      <c r="I326" s="1353">
        <f t="shared" si="35"/>
        <v>0</v>
      </c>
      <c r="K326" s="1391">
        <v>341</v>
      </c>
      <c r="L326" s="1391" t="s">
        <v>1952</v>
      </c>
      <c r="AA326">
        <v>845</v>
      </c>
      <c r="AB326">
        <v>4025</v>
      </c>
      <c r="AC326">
        <v>13918</v>
      </c>
    </row>
    <row r="327" spans="2:29" ht="12.5">
      <c r="B327" s="5" t="s">
        <v>3147</v>
      </c>
      <c r="C327" s="6" t="s">
        <v>3148</v>
      </c>
      <c r="D327" s="1347">
        <v>0</v>
      </c>
      <c r="E327" s="1346">
        <v>0</v>
      </c>
      <c r="F327" s="1342" t="s">
        <v>3149</v>
      </c>
      <c r="G327" s="1414">
        <v>3588</v>
      </c>
      <c r="H327" s="1353">
        <f t="shared" si="34"/>
        <v>0</v>
      </c>
      <c r="I327" s="1353">
        <f t="shared" si="35"/>
        <v>0</v>
      </c>
      <c r="K327" s="1391">
        <v>342</v>
      </c>
      <c r="L327" s="1391" t="s">
        <v>1958</v>
      </c>
      <c r="AA327">
        <v>846</v>
      </c>
      <c r="AB327">
        <v>38</v>
      </c>
      <c r="AC327">
        <v>115</v>
      </c>
    </row>
    <row r="328" spans="2:29" ht="12.5">
      <c r="B328" s="5" t="s">
        <v>3150</v>
      </c>
      <c r="C328" s="6" t="s">
        <v>3151</v>
      </c>
      <c r="D328" s="1347">
        <v>0</v>
      </c>
      <c r="E328" s="1346">
        <v>0</v>
      </c>
      <c r="F328" s="1342" t="s">
        <v>3152</v>
      </c>
      <c r="G328" s="1414">
        <v>3589</v>
      </c>
      <c r="H328" s="1353">
        <f t="shared" si="34"/>
        <v>0</v>
      </c>
      <c r="I328" s="1353">
        <f t="shared" si="35"/>
        <v>0</v>
      </c>
      <c r="K328" s="1391">
        <v>343</v>
      </c>
      <c r="L328" s="1391" t="s">
        <v>3153</v>
      </c>
      <c r="AA328">
        <v>847</v>
      </c>
      <c r="AB328">
        <v>3000</v>
      </c>
      <c r="AC328">
        <v>9000</v>
      </c>
    </row>
    <row r="329" spans="2:29" ht="12.5">
      <c r="B329" s="5" t="s">
        <v>3154</v>
      </c>
      <c r="C329" s="6" t="s">
        <v>3155</v>
      </c>
      <c r="D329" s="1347">
        <v>0</v>
      </c>
      <c r="E329" s="1346">
        <v>0</v>
      </c>
      <c r="F329" s="1342" t="s">
        <v>3156</v>
      </c>
      <c r="G329" s="1414">
        <v>3590</v>
      </c>
      <c r="H329" s="1353">
        <f t="shared" si="34"/>
        <v>0</v>
      </c>
      <c r="I329" s="1353">
        <f t="shared" si="35"/>
        <v>0</v>
      </c>
      <c r="K329" s="1391">
        <v>344</v>
      </c>
      <c r="L329" s="1391" t="s">
        <v>3157</v>
      </c>
      <c r="AA329">
        <v>848</v>
      </c>
      <c r="AB329">
        <v>2040</v>
      </c>
      <c r="AC329">
        <v>6120</v>
      </c>
    </row>
    <row r="330" spans="2:29" ht="12.5">
      <c r="B330" s="5" t="s">
        <v>3158</v>
      </c>
      <c r="C330" s="6" t="s">
        <v>3159</v>
      </c>
      <c r="D330" s="1347">
        <v>0</v>
      </c>
      <c r="E330" s="1346">
        <v>0</v>
      </c>
      <c r="F330" s="1342" t="s">
        <v>3160</v>
      </c>
      <c r="G330" s="1414">
        <v>3591</v>
      </c>
      <c r="H330" s="1353">
        <f t="shared" si="34"/>
        <v>0</v>
      </c>
      <c r="I330" s="1353">
        <f t="shared" si="35"/>
        <v>0</v>
      </c>
      <c r="K330" s="1391">
        <v>345</v>
      </c>
      <c r="L330" s="1391" t="s">
        <v>3161</v>
      </c>
      <c r="AA330">
        <v>850</v>
      </c>
      <c r="AB330">
        <v>36923</v>
      </c>
      <c r="AC330">
        <v>112718</v>
      </c>
    </row>
    <row r="331" spans="2:29" ht="12.5">
      <c r="B331" s="5" t="s">
        <v>3162</v>
      </c>
      <c r="C331" s="6" t="s">
        <v>3163</v>
      </c>
      <c r="D331" s="1347">
        <v>0</v>
      </c>
      <c r="E331" s="1346">
        <v>0</v>
      </c>
      <c r="F331" s="1342" t="s">
        <v>3164</v>
      </c>
      <c r="G331" s="1414">
        <v>3592</v>
      </c>
      <c r="H331" s="1353">
        <f t="shared" si="34"/>
        <v>0</v>
      </c>
      <c r="I331" s="1353">
        <f t="shared" si="35"/>
        <v>0</v>
      </c>
      <c r="K331" s="1391">
        <v>346</v>
      </c>
      <c r="L331" s="1391" t="s">
        <v>3165</v>
      </c>
      <c r="AA331">
        <v>851</v>
      </c>
      <c r="AB331">
        <v>4870</v>
      </c>
      <c r="AC331">
        <v>14715</v>
      </c>
    </row>
    <row r="332" spans="2:29" ht="12.5">
      <c r="B332" s="5" t="s">
        <v>3166</v>
      </c>
      <c r="C332" s="6" t="s">
        <v>3167</v>
      </c>
      <c r="D332" s="1347">
        <v>0</v>
      </c>
      <c r="E332" s="1346">
        <v>0</v>
      </c>
      <c r="F332" s="1342" t="s">
        <v>3168</v>
      </c>
      <c r="G332" s="1414">
        <v>3593</v>
      </c>
      <c r="H332" s="1353">
        <f t="shared" si="34"/>
        <v>0</v>
      </c>
      <c r="I332" s="1353">
        <f t="shared" si="35"/>
        <v>0</v>
      </c>
      <c r="K332" s="1391">
        <v>347</v>
      </c>
      <c r="L332" s="1391" t="s">
        <v>3169</v>
      </c>
      <c r="AA332">
        <v>852</v>
      </c>
      <c r="AB332">
        <v>7938</v>
      </c>
      <c r="AC332">
        <v>21998</v>
      </c>
    </row>
    <row r="333" spans="2:29" ht="12.5">
      <c r="B333" s="5" t="s">
        <v>3170</v>
      </c>
      <c r="C333" s="6" t="s">
        <v>3171</v>
      </c>
      <c r="D333" s="1347">
        <v>0</v>
      </c>
      <c r="E333" s="1346">
        <v>0</v>
      </c>
      <c r="F333" s="1342" t="s">
        <v>3172</v>
      </c>
      <c r="G333" s="1408">
        <v>62</v>
      </c>
      <c r="H333" s="1353">
        <f t="shared" ref="H333:I335" si="36">M67</f>
        <v>0</v>
      </c>
      <c r="I333" s="1353">
        <f t="shared" si="36"/>
        <v>0</v>
      </c>
      <c r="K333" s="1391">
        <v>348</v>
      </c>
      <c r="L333" s="1391" t="s">
        <v>3173</v>
      </c>
      <c r="AA333">
        <v>854</v>
      </c>
      <c r="AB333">
        <v>600</v>
      </c>
      <c r="AC333">
        <v>735</v>
      </c>
    </row>
    <row r="334" spans="2:29" ht="12.5">
      <c r="B334" s="5" t="s">
        <v>3174</v>
      </c>
      <c r="C334" s="6" t="s">
        <v>3175</v>
      </c>
      <c r="D334" s="1347">
        <v>0</v>
      </c>
      <c r="E334" s="1346">
        <v>0</v>
      </c>
      <c r="F334" s="1342" t="s">
        <v>3176</v>
      </c>
      <c r="G334" s="1408">
        <v>63</v>
      </c>
      <c r="H334" s="1353">
        <f t="shared" si="36"/>
        <v>0</v>
      </c>
      <c r="I334" s="1353">
        <f t="shared" si="36"/>
        <v>0</v>
      </c>
      <c r="K334" s="1391">
        <v>349</v>
      </c>
      <c r="L334" s="1391" t="s">
        <v>3177</v>
      </c>
      <c r="AA334">
        <v>855</v>
      </c>
      <c r="AB334">
        <v>6755</v>
      </c>
      <c r="AC334">
        <v>20265</v>
      </c>
    </row>
    <row r="335" spans="2:29" ht="12.5">
      <c r="B335" s="5" t="s">
        <v>3178</v>
      </c>
      <c r="C335" s="6" t="s">
        <v>3179</v>
      </c>
      <c r="D335" s="1347">
        <v>0</v>
      </c>
      <c r="E335" s="1346">
        <v>0</v>
      </c>
      <c r="F335" s="1342" t="s">
        <v>3180</v>
      </c>
      <c r="G335" s="1408">
        <v>64</v>
      </c>
      <c r="H335" s="1353">
        <f t="shared" si="36"/>
        <v>0</v>
      </c>
      <c r="I335" s="1353">
        <f t="shared" si="36"/>
        <v>0</v>
      </c>
      <c r="K335" s="1391">
        <v>350</v>
      </c>
      <c r="L335" s="1391" t="s">
        <v>3181</v>
      </c>
      <c r="AA335">
        <v>857</v>
      </c>
      <c r="AB335">
        <v>52216</v>
      </c>
      <c r="AC335">
        <v>155716</v>
      </c>
    </row>
    <row r="336" spans="2:29" ht="12.5">
      <c r="B336" s="5" t="s">
        <v>3182</v>
      </c>
      <c r="C336" s="6" t="s">
        <v>3183</v>
      </c>
      <c r="D336" s="1347">
        <v>0</v>
      </c>
      <c r="E336" s="1346">
        <v>0</v>
      </c>
      <c r="F336" s="1342" t="s">
        <v>3184</v>
      </c>
      <c r="G336" s="1414">
        <v>3594</v>
      </c>
      <c r="H336" s="1353">
        <f t="shared" ref="H336:H351" si="37">M1854</f>
        <v>0</v>
      </c>
      <c r="I336" s="1353">
        <f t="shared" ref="I336:I351" si="38">N1854</f>
        <v>0</v>
      </c>
      <c r="K336" s="1391">
        <v>351</v>
      </c>
      <c r="L336" s="1391" t="s">
        <v>3185</v>
      </c>
      <c r="AA336">
        <v>858</v>
      </c>
      <c r="AB336">
        <v>269317</v>
      </c>
      <c r="AC336">
        <v>715004</v>
      </c>
    </row>
    <row r="337" spans="2:29" ht="12.5">
      <c r="B337" s="5" t="s">
        <v>3186</v>
      </c>
      <c r="C337" s="6" t="s">
        <v>3187</v>
      </c>
      <c r="D337" s="1347">
        <v>5</v>
      </c>
      <c r="E337" s="1346">
        <v>6</v>
      </c>
      <c r="F337" s="1342" t="s">
        <v>3188</v>
      </c>
      <c r="G337" s="1414">
        <v>3595</v>
      </c>
      <c r="H337" s="1353">
        <f t="shared" si="37"/>
        <v>0</v>
      </c>
      <c r="I337" s="1353">
        <f t="shared" si="38"/>
        <v>0</v>
      </c>
      <c r="K337" s="1391">
        <v>352</v>
      </c>
      <c r="L337" s="1391" t="s">
        <v>3189</v>
      </c>
      <c r="AA337">
        <v>859</v>
      </c>
      <c r="AB337">
        <v>316796</v>
      </c>
      <c r="AC337">
        <v>845877</v>
      </c>
    </row>
    <row r="338" spans="2:29" ht="12.5">
      <c r="B338" s="5" t="s">
        <v>3190</v>
      </c>
      <c r="C338" s="6" t="s">
        <v>3191</v>
      </c>
      <c r="D338" s="1347">
        <v>0</v>
      </c>
      <c r="E338" s="1346">
        <v>0</v>
      </c>
      <c r="F338" s="1342" t="s">
        <v>3192</v>
      </c>
      <c r="G338" s="1414">
        <v>3596</v>
      </c>
      <c r="H338" s="1353">
        <f t="shared" si="37"/>
        <v>0</v>
      </c>
      <c r="I338" s="1353">
        <f t="shared" si="38"/>
        <v>0</v>
      </c>
      <c r="K338" s="1391">
        <v>353</v>
      </c>
      <c r="L338" s="1391" t="s">
        <v>3193</v>
      </c>
      <c r="AA338">
        <v>860</v>
      </c>
      <c r="AB338">
        <v>149462</v>
      </c>
      <c r="AC338">
        <v>187718</v>
      </c>
    </row>
    <row r="339" spans="2:29" ht="12.5">
      <c r="B339" s="5" t="s">
        <v>3194</v>
      </c>
      <c r="C339" s="6" t="s">
        <v>3195</v>
      </c>
      <c r="D339" s="1347">
        <v>0</v>
      </c>
      <c r="E339" s="1346">
        <v>1</v>
      </c>
      <c r="F339" s="1342" t="s">
        <v>3196</v>
      </c>
      <c r="G339" s="1414">
        <v>3597</v>
      </c>
      <c r="H339" s="1353">
        <f t="shared" si="37"/>
        <v>0</v>
      </c>
      <c r="I339" s="1353">
        <f t="shared" si="38"/>
        <v>0</v>
      </c>
      <c r="K339" s="1391">
        <v>354</v>
      </c>
      <c r="L339" s="1391" t="s">
        <v>3197</v>
      </c>
      <c r="AA339">
        <v>861</v>
      </c>
      <c r="AB339">
        <v>410299</v>
      </c>
      <c r="AC339">
        <v>1161811</v>
      </c>
    </row>
    <row r="340" spans="2:29" ht="12.5">
      <c r="B340" s="5" t="s">
        <v>3198</v>
      </c>
      <c r="C340" s="6" t="s">
        <v>3199</v>
      </c>
      <c r="D340" s="1347">
        <v>0</v>
      </c>
      <c r="E340" s="1346">
        <v>0</v>
      </c>
      <c r="F340" s="1342" t="s">
        <v>3200</v>
      </c>
      <c r="G340" s="1414">
        <v>3598</v>
      </c>
      <c r="H340" s="1353">
        <f t="shared" si="37"/>
        <v>0</v>
      </c>
      <c r="I340" s="1353">
        <f t="shared" si="38"/>
        <v>0</v>
      </c>
      <c r="K340" s="1391">
        <v>355</v>
      </c>
      <c r="L340" s="1391" t="s">
        <v>3201</v>
      </c>
      <c r="AA340">
        <v>862</v>
      </c>
      <c r="AB340">
        <v>176211</v>
      </c>
      <c r="AC340">
        <v>477202</v>
      </c>
    </row>
    <row r="341" spans="2:29" ht="12.5">
      <c r="B341" s="5" t="s">
        <v>3202</v>
      </c>
      <c r="C341" s="6" t="s">
        <v>3203</v>
      </c>
      <c r="D341" s="1347">
        <v>3</v>
      </c>
      <c r="E341" s="1346">
        <v>5</v>
      </c>
      <c r="F341" s="1342" t="s">
        <v>3204</v>
      </c>
      <c r="G341" s="1414">
        <v>3599</v>
      </c>
      <c r="H341" s="1353">
        <f t="shared" si="37"/>
        <v>0</v>
      </c>
      <c r="I341" s="1353">
        <f t="shared" si="38"/>
        <v>0</v>
      </c>
      <c r="K341" s="1391">
        <v>356</v>
      </c>
      <c r="L341" s="1391" t="s">
        <v>3205</v>
      </c>
      <c r="AA341">
        <v>863</v>
      </c>
      <c r="AB341">
        <v>16209</v>
      </c>
      <c r="AC341">
        <v>49887</v>
      </c>
    </row>
    <row r="342" spans="2:29" ht="12.5">
      <c r="B342" s="5" t="s">
        <v>3206</v>
      </c>
      <c r="C342" s="6" t="s">
        <v>3207</v>
      </c>
      <c r="D342" s="1347">
        <v>2</v>
      </c>
      <c r="E342" s="1346">
        <v>8</v>
      </c>
      <c r="F342" s="1342" t="s">
        <v>3208</v>
      </c>
      <c r="G342" s="1414">
        <v>3600</v>
      </c>
      <c r="H342" s="1353">
        <f t="shared" si="37"/>
        <v>0</v>
      </c>
      <c r="I342" s="1353">
        <f t="shared" si="38"/>
        <v>0</v>
      </c>
      <c r="K342" s="1391">
        <v>357</v>
      </c>
      <c r="L342" s="1391" t="s">
        <v>3209</v>
      </c>
      <c r="AA342">
        <v>864</v>
      </c>
      <c r="AB342">
        <v>13573</v>
      </c>
      <c r="AC342">
        <v>40379</v>
      </c>
    </row>
    <row r="343" spans="2:29" ht="12.5">
      <c r="B343" s="5" t="s">
        <v>3210</v>
      </c>
      <c r="C343" s="6" t="s">
        <v>3211</v>
      </c>
      <c r="D343" s="1347">
        <v>0</v>
      </c>
      <c r="E343" s="1346">
        <v>0</v>
      </c>
      <c r="F343" s="1342" t="s">
        <v>3212</v>
      </c>
      <c r="G343" s="1414">
        <v>3601</v>
      </c>
      <c r="H343" s="1353">
        <f t="shared" si="37"/>
        <v>0</v>
      </c>
      <c r="I343" s="1353">
        <f t="shared" si="38"/>
        <v>0</v>
      </c>
      <c r="K343" s="1391">
        <v>358</v>
      </c>
      <c r="L343" s="1391" t="s">
        <v>3213</v>
      </c>
      <c r="AA343">
        <v>865</v>
      </c>
      <c r="AB343">
        <v>24532</v>
      </c>
      <c r="AC343">
        <v>73911</v>
      </c>
    </row>
    <row r="344" spans="2:29" ht="12.5">
      <c r="B344" s="5" t="s">
        <v>3214</v>
      </c>
      <c r="C344" s="6" t="s">
        <v>3215</v>
      </c>
      <c r="D344" s="1347">
        <v>0</v>
      </c>
      <c r="E344" s="1346">
        <v>0</v>
      </c>
      <c r="F344" s="1342" t="s">
        <v>3216</v>
      </c>
      <c r="G344" s="1414">
        <v>3602</v>
      </c>
      <c r="H344" s="1353">
        <f t="shared" si="37"/>
        <v>0</v>
      </c>
      <c r="I344" s="1353">
        <f t="shared" si="38"/>
        <v>0</v>
      </c>
      <c r="K344" s="1391">
        <v>359</v>
      </c>
      <c r="L344" s="1391" t="s">
        <v>1968</v>
      </c>
      <c r="AA344">
        <v>866</v>
      </c>
      <c r="AB344">
        <v>30522</v>
      </c>
      <c r="AC344">
        <v>70418</v>
      </c>
    </row>
    <row r="345" spans="2:29" ht="12.5">
      <c r="B345" s="5" t="s">
        <v>3217</v>
      </c>
      <c r="C345" s="6" t="s">
        <v>3218</v>
      </c>
      <c r="D345" s="1347">
        <v>0</v>
      </c>
      <c r="E345" s="1346">
        <v>0</v>
      </c>
      <c r="F345" s="1342" t="s">
        <v>3219</v>
      </c>
      <c r="G345" s="1414">
        <v>3603</v>
      </c>
      <c r="H345" s="1353">
        <f t="shared" si="37"/>
        <v>0</v>
      </c>
      <c r="I345" s="1353">
        <f t="shared" si="38"/>
        <v>0</v>
      </c>
      <c r="K345" s="1391">
        <v>360</v>
      </c>
      <c r="L345" s="1391" t="s">
        <v>3220</v>
      </c>
      <c r="AA345">
        <v>867</v>
      </c>
      <c r="AB345">
        <v>8090</v>
      </c>
      <c r="AC345">
        <v>33827</v>
      </c>
    </row>
    <row r="346" spans="2:29" ht="12.5">
      <c r="B346" s="5" t="s">
        <v>3221</v>
      </c>
      <c r="C346" s="6" t="s">
        <v>3222</v>
      </c>
      <c r="D346" s="1347">
        <v>0</v>
      </c>
      <c r="E346" s="1346">
        <v>0</v>
      </c>
      <c r="F346" s="1342" t="s">
        <v>3223</v>
      </c>
      <c r="G346" s="1414">
        <v>3604</v>
      </c>
      <c r="H346" s="1353">
        <f t="shared" si="37"/>
        <v>0</v>
      </c>
      <c r="I346" s="1353">
        <f t="shared" si="38"/>
        <v>0</v>
      </c>
      <c r="K346" s="1391">
        <v>361</v>
      </c>
      <c r="L346" s="1391" t="s">
        <v>3224</v>
      </c>
      <c r="AA346">
        <v>869</v>
      </c>
      <c r="AB346">
        <v>5328</v>
      </c>
      <c r="AC346">
        <v>17155</v>
      </c>
    </row>
    <row r="347" spans="2:29" ht="12.5">
      <c r="B347" s="5" t="s">
        <v>3225</v>
      </c>
      <c r="C347" s="6" t="s">
        <v>3226</v>
      </c>
      <c r="D347" s="1347">
        <v>0</v>
      </c>
      <c r="E347" s="1346">
        <v>0</v>
      </c>
      <c r="F347" s="1342" t="s">
        <v>3227</v>
      </c>
      <c r="G347" s="1414">
        <v>3605</v>
      </c>
      <c r="H347" s="1353">
        <f t="shared" si="37"/>
        <v>0</v>
      </c>
      <c r="I347" s="1353">
        <f t="shared" si="38"/>
        <v>0</v>
      </c>
      <c r="K347" s="1391">
        <v>362</v>
      </c>
      <c r="L347" s="1391" t="s">
        <v>3228</v>
      </c>
      <c r="AA347">
        <v>870</v>
      </c>
      <c r="AB347">
        <v>12009</v>
      </c>
      <c r="AC347">
        <v>40301</v>
      </c>
    </row>
    <row r="348" spans="2:29" ht="12.5">
      <c r="B348" s="5" t="s">
        <v>3229</v>
      </c>
      <c r="C348" s="6" t="s">
        <v>3230</v>
      </c>
      <c r="D348" s="1347">
        <v>0</v>
      </c>
      <c r="E348" s="1346">
        <v>0</v>
      </c>
      <c r="F348" s="1342" t="s">
        <v>3231</v>
      </c>
      <c r="G348" s="1414">
        <v>3606</v>
      </c>
      <c r="H348" s="1353">
        <f t="shared" si="37"/>
        <v>0</v>
      </c>
      <c r="I348" s="1353">
        <f t="shared" si="38"/>
        <v>0</v>
      </c>
      <c r="K348" s="1391">
        <v>363</v>
      </c>
      <c r="L348" s="1391" t="s">
        <v>3232</v>
      </c>
      <c r="AA348">
        <v>872</v>
      </c>
      <c r="AB348">
        <v>110263</v>
      </c>
      <c r="AC348">
        <v>325878</v>
      </c>
    </row>
    <row r="349" spans="2:29" ht="12.5">
      <c r="B349" s="5" t="s">
        <v>3233</v>
      </c>
      <c r="C349" s="6" t="s">
        <v>3234</v>
      </c>
      <c r="D349" s="1347">
        <v>0</v>
      </c>
      <c r="E349" s="1346">
        <v>0</v>
      </c>
      <c r="F349" s="1342" t="s">
        <v>3235</v>
      </c>
      <c r="G349" s="1414">
        <v>3607</v>
      </c>
      <c r="H349" s="1353">
        <f t="shared" si="37"/>
        <v>0</v>
      </c>
      <c r="I349" s="1353">
        <f t="shared" si="38"/>
        <v>0</v>
      </c>
      <c r="K349" s="1391">
        <v>364</v>
      </c>
      <c r="L349" s="1391" t="s">
        <v>3236</v>
      </c>
      <c r="AA349">
        <v>873</v>
      </c>
      <c r="AB349">
        <v>-3689</v>
      </c>
      <c r="AC349">
        <v>-5557</v>
      </c>
    </row>
    <row r="350" spans="2:29" ht="12.5">
      <c r="B350" s="5" t="s">
        <v>3237</v>
      </c>
      <c r="C350" s="6" t="s">
        <v>3238</v>
      </c>
      <c r="D350" s="1347">
        <v>0</v>
      </c>
      <c r="E350" s="1346">
        <v>0</v>
      </c>
      <c r="F350" s="1342" t="s">
        <v>3239</v>
      </c>
      <c r="G350" s="1414">
        <v>3608</v>
      </c>
      <c r="H350" s="1353">
        <f t="shared" si="37"/>
        <v>0</v>
      </c>
      <c r="I350" s="1353">
        <f t="shared" si="38"/>
        <v>0</v>
      </c>
      <c r="K350" s="1391">
        <v>365</v>
      </c>
      <c r="L350" s="1391" t="s">
        <v>3240</v>
      </c>
      <c r="AA350">
        <v>874</v>
      </c>
      <c r="AB350">
        <v>2600</v>
      </c>
      <c r="AC350">
        <v>4687</v>
      </c>
    </row>
    <row r="351" spans="2:29" ht="12.5">
      <c r="B351" s="5" t="s">
        <v>3241</v>
      </c>
      <c r="C351" s="6" t="s">
        <v>3242</v>
      </c>
      <c r="D351" s="1347">
        <v>0</v>
      </c>
      <c r="E351" s="1346">
        <v>0</v>
      </c>
      <c r="F351" s="1342" t="s">
        <v>3243</v>
      </c>
      <c r="G351" s="1414">
        <v>3609</v>
      </c>
      <c r="H351" s="1353">
        <f t="shared" si="37"/>
        <v>0</v>
      </c>
      <c r="I351" s="1353">
        <f t="shared" si="38"/>
        <v>0</v>
      </c>
      <c r="K351" s="1391">
        <v>366</v>
      </c>
      <c r="L351" s="1391" t="s">
        <v>3244</v>
      </c>
      <c r="AA351">
        <v>875</v>
      </c>
      <c r="AB351">
        <v>4603</v>
      </c>
      <c r="AC351">
        <v>14127</v>
      </c>
    </row>
    <row r="352" spans="2:29" ht="12.5">
      <c r="B352" s="5" t="s">
        <v>3245</v>
      </c>
      <c r="C352" s="6" t="s">
        <v>3246</v>
      </c>
      <c r="D352" s="1347">
        <v>0</v>
      </c>
      <c r="E352" s="1346">
        <v>0</v>
      </c>
      <c r="F352" s="1342" t="s">
        <v>3247</v>
      </c>
      <c r="G352" s="1408">
        <v>67</v>
      </c>
      <c r="H352" s="1353">
        <f t="shared" ref="H352:I354" si="39">M72</f>
        <v>0</v>
      </c>
      <c r="I352" s="1353">
        <f t="shared" si="39"/>
        <v>0</v>
      </c>
      <c r="K352" s="1391">
        <v>367</v>
      </c>
      <c r="L352" s="1391" t="s">
        <v>3248</v>
      </c>
      <c r="AA352">
        <v>877</v>
      </c>
      <c r="AB352">
        <v>2790</v>
      </c>
      <c r="AC352">
        <v>5483</v>
      </c>
    </row>
    <row r="353" spans="1:29" ht="12.5">
      <c r="B353" s="5" t="s">
        <v>3249</v>
      </c>
      <c r="C353" s="6" t="s">
        <v>3250</v>
      </c>
      <c r="D353" s="1347">
        <v>0</v>
      </c>
      <c r="E353" s="1346">
        <v>0</v>
      </c>
      <c r="F353" s="1342" t="s">
        <v>3251</v>
      </c>
      <c r="G353" s="1408">
        <v>68</v>
      </c>
      <c r="H353" s="1353">
        <f t="shared" si="39"/>
        <v>0</v>
      </c>
      <c r="I353" s="1353">
        <f t="shared" si="39"/>
        <v>0</v>
      </c>
      <c r="K353" s="1391">
        <v>368</v>
      </c>
      <c r="L353" s="1391" t="s">
        <v>3252</v>
      </c>
      <c r="AA353">
        <v>880</v>
      </c>
      <c r="AB353">
        <v>5111</v>
      </c>
      <c r="AC353">
        <v>9130</v>
      </c>
    </row>
    <row r="354" spans="1:29" ht="12.5">
      <c r="B354" s="5" t="s">
        <v>3253</v>
      </c>
      <c r="C354" s="6" t="s">
        <v>3254</v>
      </c>
      <c r="D354" s="1347">
        <v>0</v>
      </c>
      <c r="E354" s="1346">
        <v>0</v>
      </c>
      <c r="F354" s="1342" t="s">
        <v>3255</v>
      </c>
      <c r="G354" s="1408">
        <v>69</v>
      </c>
      <c r="H354" s="1353">
        <f t="shared" si="39"/>
        <v>0</v>
      </c>
      <c r="I354" s="1353">
        <f t="shared" si="39"/>
        <v>0</v>
      </c>
      <c r="K354" s="1391">
        <v>369</v>
      </c>
      <c r="L354" s="1391" t="s">
        <v>3256</v>
      </c>
      <c r="AA354">
        <v>881</v>
      </c>
      <c r="AB354">
        <v>10485</v>
      </c>
      <c r="AC354">
        <v>30190</v>
      </c>
    </row>
    <row r="355" spans="1:29" ht="12.5">
      <c r="B355" s="5" t="s">
        <v>3257</v>
      </c>
      <c r="C355" s="6" t="s">
        <v>3258</v>
      </c>
      <c r="D355" s="1347">
        <v>0</v>
      </c>
      <c r="E355" s="1346">
        <v>0</v>
      </c>
      <c r="F355" s="1342" t="s">
        <v>3259</v>
      </c>
      <c r="G355" s="1408">
        <v>71</v>
      </c>
      <c r="H355" s="1353">
        <f>M76</f>
        <v>0</v>
      </c>
      <c r="I355" s="1353">
        <f>N76</f>
        <v>0</v>
      </c>
      <c r="K355" s="1391">
        <v>370</v>
      </c>
      <c r="L355" s="1391" t="s">
        <v>1990</v>
      </c>
      <c r="AA355">
        <v>882</v>
      </c>
      <c r="AB355">
        <v>6870</v>
      </c>
      <c r="AC355">
        <v>11976</v>
      </c>
    </row>
    <row r="356" spans="1:29" ht="12.5">
      <c r="B356" s="5" t="s">
        <v>3260</v>
      </c>
      <c r="C356" s="6" t="s">
        <v>3261</v>
      </c>
      <c r="D356" s="1347">
        <v>10</v>
      </c>
      <c r="E356" s="1346">
        <v>20</v>
      </c>
      <c r="F356" s="1342" t="s">
        <v>3262</v>
      </c>
      <c r="G356" s="1409"/>
      <c r="H356" s="1353"/>
      <c r="I356" s="1353"/>
      <c r="K356" s="1391">
        <v>371</v>
      </c>
      <c r="L356" s="1391" t="s">
        <v>1994</v>
      </c>
      <c r="AA356">
        <v>883</v>
      </c>
      <c r="AB356">
        <v>723</v>
      </c>
      <c r="AC356">
        <v>2190</v>
      </c>
    </row>
    <row r="357" spans="1:29" ht="12.5">
      <c r="A357" s="611" t="s">
        <v>3263</v>
      </c>
      <c r="B357" s="5" t="s">
        <v>3264</v>
      </c>
      <c r="C357" s="6" t="s">
        <v>3265</v>
      </c>
      <c r="D357" s="1347">
        <v>0</v>
      </c>
      <c r="E357" s="1346">
        <v>0</v>
      </c>
      <c r="F357" s="1342" t="s">
        <v>3266</v>
      </c>
      <c r="G357" s="1414">
        <v>3610</v>
      </c>
      <c r="H357" s="1353">
        <f t="shared" ref="H357:H375" si="40">M1870</f>
        <v>0</v>
      </c>
      <c r="I357" s="1353">
        <f t="shared" ref="I357:I375" si="41">N1870</f>
        <v>0</v>
      </c>
      <c r="K357" s="1391">
        <v>372</v>
      </c>
      <c r="L357" s="1391" t="s">
        <v>1973</v>
      </c>
      <c r="AA357">
        <v>884</v>
      </c>
      <c r="AB357">
        <v>64</v>
      </c>
      <c r="AC357">
        <v>64</v>
      </c>
    </row>
    <row r="358" spans="1:29" ht="12.5">
      <c r="B358" s="5" t="s">
        <v>3267</v>
      </c>
      <c r="C358" s="6" t="s">
        <v>3268</v>
      </c>
      <c r="D358" s="1347">
        <v>0</v>
      </c>
      <c r="E358" s="1346">
        <v>0</v>
      </c>
      <c r="F358" s="1342" t="s">
        <v>3269</v>
      </c>
      <c r="G358" s="1414">
        <v>3611</v>
      </c>
      <c r="H358" s="1353">
        <f t="shared" si="40"/>
        <v>0</v>
      </c>
      <c r="I358" s="1353">
        <f t="shared" si="41"/>
        <v>0</v>
      </c>
      <c r="K358" s="1391">
        <v>373</v>
      </c>
      <c r="L358" s="1391" t="s">
        <v>1978</v>
      </c>
      <c r="AA358">
        <v>885</v>
      </c>
      <c r="AB358">
        <v>500</v>
      </c>
      <c r="AC358">
        <v>500</v>
      </c>
    </row>
    <row r="359" spans="1:29" ht="12.5">
      <c r="B359" s="5" t="s">
        <v>3270</v>
      </c>
      <c r="C359" s="6" t="s">
        <v>3271</v>
      </c>
      <c r="D359" s="1347">
        <v>0</v>
      </c>
      <c r="E359" s="1346">
        <v>0</v>
      </c>
      <c r="F359" s="1342" t="s">
        <v>3272</v>
      </c>
      <c r="G359" s="1414">
        <v>3612</v>
      </c>
      <c r="H359" s="1353">
        <f t="shared" si="40"/>
        <v>0</v>
      </c>
      <c r="I359" s="1353">
        <f t="shared" si="41"/>
        <v>0</v>
      </c>
      <c r="K359" s="1391">
        <v>374</v>
      </c>
      <c r="L359" s="1391" t="s">
        <v>1998</v>
      </c>
      <c r="AA359">
        <v>886</v>
      </c>
      <c r="AB359">
        <v>464</v>
      </c>
      <c r="AC359">
        <v>1180</v>
      </c>
    </row>
    <row r="360" spans="1:29" ht="12.5">
      <c r="B360" s="5" t="s">
        <v>3273</v>
      </c>
      <c r="C360" s="6" t="s">
        <v>3274</v>
      </c>
      <c r="D360" s="1347">
        <v>0</v>
      </c>
      <c r="E360" s="1346">
        <v>0</v>
      </c>
      <c r="F360" s="1342" t="s">
        <v>3275</v>
      </c>
      <c r="G360" s="1414">
        <v>3613</v>
      </c>
      <c r="H360" s="1353">
        <f t="shared" si="40"/>
        <v>0</v>
      </c>
      <c r="I360" s="1353">
        <f t="shared" si="41"/>
        <v>0</v>
      </c>
      <c r="K360" s="1391">
        <v>375</v>
      </c>
      <c r="L360" s="1391" t="s">
        <v>2002</v>
      </c>
      <c r="AA360">
        <v>887</v>
      </c>
      <c r="AB360">
        <v>2675</v>
      </c>
      <c r="AC360">
        <v>11140</v>
      </c>
    </row>
    <row r="361" spans="1:29" ht="12.5">
      <c r="B361" s="5" t="s">
        <v>3276</v>
      </c>
      <c r="C361" s="6" t="s">
        <v>3277</v>
      </c>
      <c r="D361" s="1347">
        <v>0</v>
      </c>
      <c r="E361" s="1346">
        <v>0</v>
      </c>
      <c r="F361" s="1342" t="s">
        <v>3278</v>
      </c>
      <c r="G361" s="1414">
        <v>3614</v>
      </c>
      <c r="H361" s="1353">
        <f t="shared" si="40"/>
        <v>0</v>
      </c>
      <c r="I361" s="1353">
        <f t="shared" si="41"/>
        <v>0</v>
      </c>
      <c r="K361" s="1391">
        <v>376</v>
      </c>
      <c r="L361" s="1391" t="s">
        <v>1982</v>
      </c>
      <c r="AA361">
        <v>888</v>
      </c>
      <c r="AB361">
        <v>1226</v>
      </c>
      <c r="AC361">
        <v>4560</v>
      </c>
    </row>
    <row r="362" spans="1:29" ht="12.5">
      <c r="B362" s="5" t="s">
        <v>3279</v>
      </c>
      <c r="C362" s="6" t="s">
        <v>3280</v>
      </c>
      <c r="D362" s="1347">
        <v>0</v>
      </c>
      <c r="E362" s="1346">
        <v>0</v>
      </c>
      <c r="F362" s="1342" t="s">
        <v>3281</v>
      </c>
      <c r="G362" s="1414">
        <v>3615</v>
      </c>
      <c r="H362" s="1353">
        <f t="shared" si="40"/>
        <v>0</v>
      </c>
      <c r="I362" s="1353">
        <f t="shared" si="41"/>
        <v>0</v>
      </c>
      <c r="K362" s="1391">
        <v>377</v>
      </c>
      <c r="L362" s="1391" t="s">
        <v>1986</v>
      </c>
      <c r="AA362">
        <v>890</v>
      </c>
      <c r="AB362">
        <v>203</v>
      </c>
      <c r="AC362">
        <v>376</v>
      </c>
    </row>
    <row r="363" spans="1:29" ht="12.5">
      <c r="B363" s="5" t="s">
        <v>3282</v>
      </c>
      <c r="C363" s="6" t="s">
        <v>3283</v>
      </c>
      <c r="D363" s="1347">
        <v>0</v>
      </c>
      <c r="E363" s="1346">
        <v>0</v>
      </c>
      <c r="F363" s="1342" t="s">
        <v>3284</v>
      </c>
      <c r="G363" s="1414">
        <v>3616</v>
      </c>
      <c r="H363" s="1353">
        <f t="shared" si="40"/>
        <v>0</v>
      </c>
      <c r="I363" s="1353">
        <f t="shared" si="41"/>
        <v>0</v>
      </c>
      <c r="K363" s="1391">
        <v>378</v>
      </c>
      <c r="L363" s="1391" t="s">
        <v>3285</v>
      </c>
      <c r="AA363">
        <v>891</v>
      </c>
      <c r="AB363">
        <v>-726</v>
      </c>
      <c r="AC363">
        <v>1008</v>
      </c>
    </row>
    <row r="364" spans="1:29" ht="12.5">
      <c r="B364" s="5" t="s">
        <v>3286</v>
      </c>
      <c r="C364" s="6" t="s">
        <v>3287</v>
      </c>
      <c r="D364" s="1347">
        <v>0</v>
      </c>
      <c r="E364" s="1346">
        <v>0</v>
      </c>
      <c r="F364" s="1342" t="s">
        <v>3288</v>
      </c>
      <c r="G364" s="1414">
        <v>3617</v>
      </c>
      <c r="H364" s="1353">
        <f t="shared" si="40"/>
        <v>0</v>
      </c>
      <c r="I364" s="1353">
        <f t="shared" si="41"/>
        <v>0</v>
      </c>
      <c r="K364" s="1391">
        <v>379</v>
      </c>
      <c r="L364" s="1391" t="s">
        <v>3289</v>
      </c>
      <c r="AA364">
        <v>892</v>
      </c>
      <c r="AB364">
        <v>33899</v>
      </c>
      <c r="AC364">
        <v>91054</v>
      </c>
    </row>
    <row r="365" spans="1:29" ht="12.5">
      <c r="B365" s="5" t="s">
        <v>3290</v>
      </c>
      <c r="C365" s="6" t="s">
        <v>3291</v>
      </c>
      <c r="D365" s="1347">
        <v>0</v>
      </c>
      <c r="E365" s="1346">
        <v>0</v>
      </c>
      <c r="F365" s="1342" t="s">
        <v>3292</v>
      </c>
      <c r="G365" s="1414">
        <v>3618</v>
      </c>
      <c r="H365" s="1353">
        <f t="shared" si="40"/>
        <v>0</v>
      </c>
      <c r="I365" s="1353">
        <f t="shared" si="41"/>
        <v>0</v>
      </c>
      <c r="K365" s="1391">
        <v>380</v>
      </c>
      <c r="L365" s="1391" t="s">
        <v>3293</v>
      </c>
      <c r="AA365">
        <v>893</v>
      </c>
      <c r="AB365">
        <v>22950</v>
      </c>
      <c r="AC365">
        <v>68850</v>
      </c>
    </row>
    <row r="366" spans="1:29" ht="12.5">
      <c r="B366" s="5" t="s">
        <v>3294</v>
      </c>
      <c r="C366" s="6" t="s">
        <v>3295</v>
      </c>
      <c r="D366" s="1347">
        <v>0</v>
      </c>
      <c r="E366" s="1346">
        <v>0</v>
      </c>
      <c r="F366" s="1342" t="s">
        <v>3296</v>
      </c>
      <c r="G366" s="1414">
        <v>3619</v>
      </c>
      <c r="H366" s="1353">
        <f t="shared" si="40"/>
        <v>0</v>
      </c>
      <c r="I366" s="1353">
        <f t="shared" si="41"/>
        <v>0</v>
      </c>
      <c r="K366" s="1391">
        <v>381</v>
      </c>
      <c r="L366" s="1391" t="s">
        <v>3297</v>
      </c>
      <c r="AA366">
        <v>895</v>
      </c>
      <c r="AB366">
        <v>3900</v>
      </c>
      <c r="AC366">
        <v>17590</v>
      </c>
    </row>
    <row r="367" spans="1:29" ht="12.5">
      <c r="B367" s="5" t="s">
        <v>3298</v>
      </c>
      <c r="C367" s="6" t="s">
        <v>3299</v>
      </c>
      <c r="D367" s="1347">
        <v>0</v>
      </c>
      <c r="E367" s="1346">
        <v>0</v>
      </c>
      <c r="F367" s="1342" t="s">
        <v>3300</v>
      </c>
      <c r="G367" s="1414">
        <v>3620</v>
      </c>
      <c r="H367" s="1353">
        <f t="shared" si="40"/>
        <v>0</v>
      </c>
      <c r="I367" s="1353">
        <f t="shared" si="41"/>
        <v>0</v>
      </c>
      <c r="K367" s="1391">
        <v>382</v>
      </c>
      <c r="L367" s="1391" t="s">
        <v>3301</v>
      </c>
      <c r="AA367">
        <v>896</v>
      </c>
      <c r="AB367">
        <v>39</v>
      </c>
      <c r="AC367">
        <v>115</v>
      </c>
    </row>
    <row r="368" spans="1:29" ht="12.5">
      <c r="B368" s="5" t="s">
        <v>3302</v>
      </c>
      <c r="C368" s="6" t="s">
        <v>3303</v>
      </c>
      <c r="D368" s="1347">
        <v>0</v>
      </c>
      <c r="E368" s="1346">
        <v>0</v>
      </c>
      <c r="F368" s="1342" t="s">
        <v>3304</v>
      </c>
      <c r="G368" s="1414">
        <v>3621</v>
      </c>
      <c r="H368" s="1353">
        <f t="shared" si="40"/>
        <v>0</v>
      </c>
      <c r="I368" s="1353">
        <f t="shared" si="41"/>
        <v>0</v>
      </c>
      <c r="K368" s="1391">
        <v>383</v>
      </c>
      <c r="L368" s="1391" t="s">
        <v>3305</v>
      </c>
      <c r="AA368">
        <v>897</v>
      </c>
      <c r="AB368">
        <v>3000</v>
      </c>
      <c r="AC368">
        <v>9000</v>
      </c>
    </row>
    <row r="369" spans="2:29" ht="12.5">
      <c r="B369" s="5" t="s">
        <v>3306</v>
      </c>
      <c r="C369" s="6" t="s">
        <v>3307</v>
      </c>
      <c r="D369" s="1347">
        <v>0</v>
      </c>
      <c r="E369" s="1346">
        <v>0</v>
      </c>
      <c r="F369" s="1342" t="s">
        <v>3308</v>
      </c>
      <c r="G369" s="1414">
        <v>3622</v>
      </c>
      <c r="H369" s="1353">
        <f t="shared" si="40"/>
        <v>0</v>
      </c>
      <c r="I369" s="1353">
        <f t="shared" si="41"/>
        <v>0</v>
      </c>
      <c r="K369" s="1391">
        <v>384</v>
      </c>
      <c r="L369" s="1391" t="s">
        <v>3309</v>
      </c>
      <c r="AA369">
        <v>898</v>
      </c>
      <c r="AB369">
        <v>2040</v>
      </c>
      <c r="AC369">
        <v>6120</v>
      </c>
    </row>
    <row r="370" spans="2:29" ht="12.5">
      <c r="B370" s="5" t="s">
        <v>3310</v>
      </c>
      <c r="C370" s="6" t="s">
        <v>3311</v>
      </c>
      <c r="D370" s="1347">
        <v>0</v>
      </c>
      <c r="E370" s="1346">
        <v>0</v>
      </c>
      <c r="F370" s="1342" t="s">
        <v>3312</v>
      </c>
      <c r="G370" s="1414">
        <v>3623</v>
      </c>
      <c r="H370" s="1353">
        <f t="shared" si="40"/>
        <v>0</v>
      </c>
      <c r="I370" s="1353">
        <f t="shared" si="41"/>
        <v>0</v>
      </c>
      <c r="K370" s="1391">
        <v>385</v>
      </c>
      <c r="L370" s="1391" t="s">
        <v>3313</v>
      </c>
      <c r="AA370">
        <v>900</v>
      </c>
      <c r="AB370">
        <v>36799</v>
      </c>
      <c r="AC370">
        <v>116391</v>
      </c>
    </row>
    <row r="371" spans="2:29" ht="12.5">
      <c r="B371" s="5" t="s">
        <v>3314</v>
      </c>
      <c r="C371" s="6" t="s">
        <v>3315</v>
      </c>
      <c r="D371" s="1347">
        <v>0</v>
      </c>
      <c r="E371" s="1346">
        <v>0</v>
      </c>
      <c r="F371" s="1342" t="s">
        <v>3316</v>
      </c>
      <c r="G371" s="1414">
        <v>3624</v>
      </c>
      <c r="H371" s="1353">
        <f t="shared" si="40"/>
        <v>0</v>
      </c>
      <c r="I371" s="1353">
        <f t="shared" si="41"/>
        <v>0</v>
      </c>
      <c r="K371" s="1391">
        <v>386</v>
      </c>
      <c r="L371" s="1391" t="s">
        <v>2012</v>
      </c>
      <c r="AA371">
        <v>901</v>
      </c>
      <c r="AB371">
        <v>4870</v>
      </c>
      <c r="AC371">
        <v>14716</v>
      </c>
    </row>
    <row r="372" spans="2:29" ht="12.5">
      <c r="B372" s="5" t="s">
        <v>3317</v>
      </c>
      <c r="C372" s="6" t="s">
        <v>3318</v>
      </c>
      <c r="D372" s="1347">
        <v>0</v>
      </c>
      <c r="E372" s="1346">
        <v>0</v>
      </c>
      <c r="F372" s="1342" t="s">
        <v>3319</v>
      </c>
      <c r="G372" s="1414">
        <v>3625</v>
      </c>
      <c r="H372" s="1353">
        <f t="shared" si="40"/>
        <v>0</v>
      </c>
      <c r="I372" s="1353">
        <f t="shared" si="41"/>
        <v>0</v>
      </c>
      <c r="K372" s="1391">
        <v>387</v>
      </c>
      <c r="L372" s="1391" t="s">
        <v>2017</v>
      </c>
      <c r="AA372">
        <v>904</v>
      </c>
      <c r="AB372">
        <v>600</v>
      </c>
      <c r="AC372">
        <v>2132</v>
      </c>
    </row>
    <row r="373" spans="2:29" ht="12.5">
      <c r="B373" s="5" t="s">
        <v>3320</v>
      </c>
      <c r="C373" s="6" t="s">
        <v>3321</v>
      </c>
      <c r="D373" s="1347">
        <v>0</v>
      </c>
      <c r="E373" s="1346">
        <v>0</v>
      </c>
      <c r="F373" s="1342" t="s">
        <v>3322</v>
      </c>
      <c r="G373" s="1414">
        <v>3626</v>
      </c>
      <c r="H373" s="1353">
        <f t="shared" si="40"/>
        <v>0</v>
      </c>
      <c r="I373" s="1353">
        <f t="shared" si="41"/>
        <v>0</v>
      </c>
      <c r="K373" s="1391">
        <v>388</v>
      </c>
      <c r="L373" s="1391" t="s">
        <v>3323</v>
      </c>
      <c r="AA373">
        <v>905</v>
      </c>
      <c r="AB373">
        <v>6755</v>
      </c>
      <c r="AC373">
        <v>20265</v>
      </c>
    </row>
    <row r="374" spans="2:29" ht="12.5">
      <c r="B374" s="5" t="s">
        <v>3324</v>
      </c>
      <c r="C374" s="6" t="s">
        <v>3325</v>
      </c>
      <c r="D374" s="1347">
        <v>0</v>
      </c>
      <c r="E374" s="1346">
        <v>0</v>
      </c>
      <c r="F374" s="1342" t="s">
        <v>3326</v>
      </c>
      <c r="G374" s="1414">
        <v>3627</v>
      </c>
      <c r="H374" s="1353">
        <f t="shared" si="40"/>
        <v>0</v>
      </c>
      <c r="I374" s="1353">
        <f t="shared" si="41"/>
        <v>0</v>
      </c>
      <c r="K374" s="1391">
        <v>389</v>
      </c>
      <c r="L374" s="1391" t="s">
        <v>3327</v>
      </c>
      <c r="AA374">
        <v>907</v>
      </c>
      <c r="AB374">
        <v>44154</v>
      </c>
      <c r="AC374">
        <v>138788</v>
      </c>
    </row>
    <row r="375" spans="2:29" ht="12.5">
      <c r="B375" s="5" t="s">
        <v>3328</v>
      </c>
      <c r="C375" s="6" t="s">
        <v>3329</v>
      </c>
      <c r="D375" s="1347">
        <v>0</v>
      </c>
      <c r="E375" s="1346">
        <v>0</v>
      </c>
      <c r="F375" s="1342" t="s">
        <v>3330</v>
      </c>
      <c r="G375" s="1414">
        <v>3628</v>
      </c>
      <c r="H375" s="1353">
        <f t="shared" si="40"/>
        <v>0</v>
      </c>
      <c r="I375" s="1353">
        <f t="shared" si="41"/>
        <v>0</v>
      </c>
      <c r="K375" s="1391">
        <v>390</v>
      </c>
      <c r="L375" s="1391" t="s">
        <v>3331</v>
      </c>
      <c r="AA375">
        <v>908</v>
      </c>
      <c r="AB375">
        <v>188316</v>
      </c>
      <c r="AC375">
        <v>555720</v>
      </c>
    </row>
    <row r="376" spans="2:29" ht="12.5">
      <c r="B376" s="5" t="s">
        <v>3332</v>
      </c>
      <c r="C376" s="6" t="s">
        <v>3333</v>
      </c>
      <c r="D376" s="1347">
        <v>0</v>
      </c>
      <c r="E376" s="1346">
        <v>0</v>
      </c>
      <c r="F376" s="1342" t="s">
        <v>3334</v>
      </c>
      <c r="G376" s="1408">
        <v>74</v>
      </c>
      <c r="H376" s="1353">
        <f t="shared" ref="H376:I378" si="42">M79</f>
        <v>0</v>
      </c>
      <c r="I376" s="1353">
        <f t="shared" si="42"/>
        <v>0</v>
      </c>
      <c r="K376" s="1391">
        <v>391</v>
      </c>
      <c r="L376" s="1391" t="s">
        <v>3335</v>
      </c>
      <c r="AA376">
        <v>909</v>
      </c>
      <c r="AB376">
        <v>188316</v>
      </c>
      <c r="AC376">
        <v>555720</v>
      </c>
    </row>
    <row r="377" spans="2:29" ht="12.5">
      <c r="B377" s="5" t="s">
        <v>3336</v>
      </c>
      <c r="C377" s="6" t="s">
        <v>3337</v>
      </c>
      <c r="D377" s="1347">
        <v>0</v>
      </c>
      <c r="E377" s="1346">
        <v>0</v>
      </c>
      <c r="F377" s="1342" t="s">
        <v>3338</v>
      </c>
      <c r="G377" s="1408">
        <v>75</v>
      </c>
      <c r="H377" s="1353">
        <f t="shared" si="42"/>
        <v>0</v>
      </c>
      <c r="I377" s="1353">
        <f t="shared" si="42"/>
        <v>0</v>
      </c>
      <c r="K377" s="1391">
        <v>392</v>
      </c>
      <c r="L377" s="1391" t="s">
        <v>3339</v>
      </c>
      <c r="AA377">
        <v>910</v>
      </c>
      <c r="AB377">
        <v>-12105</v>
      </c>
      <c r="AC377">
        <v>-78518</v>
      </c>
    </row>
    <row r="378" spans="2:29" ht="12.5">
      <c r="B378" s="5" t="s">
        <v>3340</v>
      </c>
      <c r="C378" s="6" t="s">
        <v>3341</v>
      </c>
      <c r="D378" s="1347">
        <v>0</v>
      </c>
      <c r="E378" s="1346">
        <v>0</v>
      </c>
      <c r="F378" s="1342" t="s">
        <v>3342</v>
      </c>
      <c r="G378" s="1408">
        <v>76</v>
      </c>
      <c r="H378" s="1353">
        <f t="shared" si="42"/>
        <v>0</v>
      </c>
      <c r="I378" s="1353">
        <f t="shared" si="42"/>
        <v>0</v>
      </c>
      <c r="K378" s="1391">
        <v>393</v>
      </c>
      <c r="L378" s="1391" t="s">
        <v>2036</v>
      </c>
      <c r="AA378">
        <v>913</v>
      </c>
      <c r="AB378">
        <v>38732</v>
      </c>
      <c r="AC378">
        <v>90752</v>
      </c>
    </row>
    <row r="379" spans="2:29" ht="12.5">
      <c r="B379" s="5" t="s">
        <v>3343</v>
      </c>
      <c r="C379" s="6" t="s">
        <v>3344</v>
      </c>
      <c r="D379" s="1347">
        <v>0</v>
      </c>
      <c r="E379" s="1346">
        <v>0</v>
      </c>
      <c r="F379" s="1342" t="s">
        <v>3345</v>
      </c>
      <c r="G379" s="1414">
        <v>3629</v>
      </c>
      <c r="H379" s="1353">
        <f t="shared" ref="H379:H394" si="43">M1889</f>
        <v>0</v>
      </c>
      <c r="I379" s="1353">
        <f t="shared" ref="I379:I394" si="44">N1889</f>
        <v>0</v>
      </c>
      <c r="K379" s="1391">
        <v>394</v>
      </c>
      <c r="L379" s="1391" t="s">
        <v>2039</v>
      </c>
      <c r="AA379">
        <v>914</v>
      </c>
      <c r="AB379">
        <v>-14585</v>
      </c>
      <c r="AC379">
        <v>-29107</v>
      </c>
    </row>
    <row r="380" spans="2:29" ht="12.5">
      <c r="B380" s="5" t="s">
        <v>3346</v>
      </c>
      <c r="C380" s="6" t="s">
        <v>3347</v>
      </c>
      <c r="D380" s="1347">
        <v>0</v>
      </c>
      <c r="E380" s="1346">
        <v>0</v>
      </c>
      <c r="F380" s="1342" t="s">
        <v>3348</v>
      </c>
      <c r="G380" s="1414">
        <v>3630</v>
      </c>
      <c r="H380" s="1353">
        <f t="shared" si="43"/>
        <v>0</v>
      </c>
      <c r="I380" s="1353">
        <f t="shared" si="44"/>
        <v>0</v>
      </c>
      <c r="K380" s="1391">
        <v>396</v>
      </c>
      <c r="L380" s="1391" t="s">
        <v>3349</v>
      </c>
      <c r="AA380">
        <v>915</v>
      </c>
      <c r="AB380">
        <v>2389</v>
      </c>
      <c r="AC380">
        <v>16125</v>
      </c>
    </row>
    <row r="381" spans="2:29" ht="12.5">
      <c r="B381" s="5" t="s">
        <v>3350</v>
      </c>
      <c r="C381" s="6" t="s">
        <v>3351</v>
      </c>
      <c r="D381" s="1347">
        <v>4</v>
      </c>
      <c r="E381" s="1346">
        <v>17</v>
      </c>
      <c r="F381" s="1342" t="s">
        <v>3352</v>
      </c>
      <c r="G381" s="1414">
        <v>3631</v>
      </c>
      <c r="H381" s="1353">
        <f t="shared" si="43"/>
        <v>0</v>
      </c>
      <c r="I381" s="1353">
        <f t="shared" si="44"/>
        <v>0</v>
      </c>
      <c r="K381" s="1391">
        <v>398</v>
      </c>
      <c r="L381" s="1391" t="s">
        <v>3353</v>
      </c>
      <c r="AA381">
        <v>916</v>
      </c>
      <c r="AB381">
        <v>26536</v>
      </c>
      <c r="AC381">
        <v>77770</v>
      </c>
    </row>
    <row r="382" spans="2:29" ht="12.5">
      <c r="B382" s="5" t="s">
        <v>3354</v>
      </c>
      <c r="C382" s="6" t="s">
        <v>3355</v>
      </c>
      <c r="D382" s="1347">
        <v>0</v>
      </c>
      <c r="E382" s="1346">
        <v>0</v>
      </c>
      <c r="F382" s="1342" t="s">
        <v>3356</v>
      </c>
      <c r="G382" s="1414">
        <v>3632</v>
      </c>
      <c r="H382" s="1353">
        <f t="shared" si="43"/>
        <v>0</v>
      </c>
      <c r="I382" s="1353">
        <f t="shared" si="44"/>
        <v>0</v>
      </c>
      <c r="K382" s="1391">
        <v>400</v>
      </c>
      <c r="L382" s="1391" t="s">
        <v>2054</v>
      </c>
      <c r="AA382">
        <v>917</v>
      </c>
      <c r="AB382">
        <v>9725</v>
      </c>
      <c r="AC382">
        <v>29898</v>
      </c>
    </row>
    <row r="383" spans="2:29" ht="12.5">
      <c r="B383" s="5" t="s">
        <v>3357</v>
      </c>
      <c r="C383" s="6" t="s">
        <v>3358</v>
      </c>
      <c r="D383" s="1347">
        <v>0</v>
      </c>
      <c r="E383" s="1346">
        <v>0</v>
      </c>
      <c r="F383" s="1342" t="s">
        <v>3359</v>
      </c>
      <c r="G383" s="1414">
        <v>3633</v>
      </c>
      <c r="H383" s="1353">
        <f t="shared" si="43"/>
        <v>0</v>
      </c>
      <c r="I383" s="1353">
        <f t="shared" si="44"/>
        <v>0</v>
      </c>
      <c r="K383" s="1391">
        <v>401</v>
      </c>
      <c r="L383" s="1391" t="s">
        <v>2057</v>
      </c>
      <c r="AA383">
        <v>918</v>
      </c>
      <c r="AB383">
        <v>13930</v>
      </c>
      <c r="AC383">
        <v>41792</v>
      </c>
    </row>
    <row r="384" spans="2:29" ht="12.5">
      <c r="B384" s="5" t="s">
        <v>3360</v>
      </c>
      <c r="C384" s="6" t="s">
        <v>3361</v>
      </c>
      <c r="D384" s="1347">
        <v>0</v>
      </c>
      <c r="E384" s="1346">
        <v>0</v>
      </c>
      <c r="F384" s="1342" t="s">
        <v>3362</v>
      </c>
      <c r="G384" s="1414">
        <v>3634</v>
      </c>
      <c r="H384" s="1353">
        <f t="shared" si="43"/>
        <v>0</v>
      </c>
      <c r="I384" s="1353">
        <f t="shared" si="44"/>
        <v>0</v>
      </c>
      <c r="K384" s="1391">
        <v>402</v>
      </c>
      <c r="L384" s="1391" t="s">
        <v>2124</v>
      </c>
      <c r="AA384">
        <v>919</v>
      </c>
      <c r="AB384">
        <v>32372</v>
      </c>
      <c r="AC384">
        <v>83099</v>
      </c>
    </row>
    <row r="385" spans="1:29" ht="12.5">
      <c r="B385" s="5" t="s">
        <v>3363</v>
      </c>
      <c r="C385" s="6" t="s">
        <v>3364</v>
      </c>
      <c r="D385" s="1347">
        <v>0</v>
      </c>
      <c r="E385" s="1346">
        <v>0</v>
      </c>
      <c r="F385" s="1342" t="s">
        <v>3365</v>
      </c>
      <c r="G385" s="1414">
        <v>3635</v>
      </c>
      <c r="H385" s="1353">
        <f t="shared" si="43"/>
        <v>0</v>
      </c>
      <c r="I385" s="1353">
        <f t="shared" si="44"/>
        <v>0</v>
      </c>
      <c r="K385" s="1391">
        <v>403</v>
      </c>
      <c r="L385" s="1391" t="s">
        <v>2128</v>
      </c>
      <c r="AA385">
        <v>920</v>
      </c>
      <c r="AB385">
        <v>6234</v>
      </c>
      <c r="AC385">
        <v>9740</v>
      </c>
    </row>
    <row r="386" spans="1:29" ht="12.5">
      <c r="B386" s="5" t="s">
        <v>3366</v>
      </c>
      <c r="C386" s="6" t="s">
        <v>3367</v>
      </c>
      <c r="D386" s="1347">
        <v>1</v>
      </c>
      <c r="E386" s="1346">
        <v>11</v>
      </c>
      <c r="F386" s="1342" t="s">
        <v>3368</v>
      </c>
      <c r="G386" s="1414">
        <v>3636</v>
      </c>
      <c r="H386" s="1353">
        <f t="shared" si="43"/>
        <v>0</v>
      </c>
      <c r="I386" s="1353">
        <f t="shared" si="44"/>
        <v>0</v>
      </c>
      <c r="K386" s="1391">
        <v>404</v>
      </c>
      <c r="L386" s="1391" t="s">
        <v>2132</v>
      </c>
      <c r="AA386">
        <v>921</v>
      </c>
      <c r="AB386">
        <v>4911</v>
      </c>
      <c r="AC386">
        <v>20990</v>
      </c>
    </row>
    <row r="387" spans="1:29" ht="12.5">
      <c r="B387" s="5" t="s">
        <v>3369</v>
      </c>
      <c r="C387" s="6" t="s">
        <v>3370</v>
      </c>
      <c r="D387" s="1347">
        <v>1</v>
      </c>
      <c r="E387" s="1346">
        <v>7</v>
      </c>
      <c r="F387" s="1342" t="s">
        <v>3371</v>
      </c>
      <c r="G387" s="1414">
        <v>3637</v>
      </c>
      <c r="H387" s="1353">
        <f t="shared" si="43"/>
        <v>0</v>
      </c>
      <c r="I387" s="1353">
        <f t="shared" si="44"/>
        <v>0</v>
      </c>
      <c r="K387" s="1391">
        <v>405</v>
      </c>
      <c r="L387" s="1391" t="s">
        <v>2139</v>
      </c>
      <c r="AA387">
        <v>923</v>
      </c>
      <c r="AB387">
        <v>3255</v>
      </c>
      <c r="AC387">
        <v>9415</v>
      </c>
    </row>
    <row r="388" spans="1:29" ht="12.5">
      <c r="B388" s="5" t="s">
        <v>3372</v>
      </c>
      <c r="C388" s="6" t="s">
        <v>3373</v>
      </c>
      <c r="D388" s="1347">
        <v>0</v>
      </c>
      <c r="E388" s="1346">
        <v>5</v>
      </c>
      <c r="F388" s="1342" t="s">
        <v>3374</v>
      </c>
      <c r="G388" s="1414">
        <v>3638</v>
      </c>
      <c r="H388" s="1353">
        <f t="shared" si="43"/>
        <v>0</v>
      </c>
      <c r="I388" s="1353">
        <f t="shared" si="44"/>
        <v>0</v>
      </c>
      <c r="K388" s="1391">
        <v>406</v>
      </c>
      <c r="L388" s="1391" t="s">
        <v>2143</v>
      </c>
      <c r="AA388">
        <v>924</v>
      </c>
      <c r="AB388">
        <v>6254</v>
      </c>
      <c r="AC388">
        <v>20439</v>
      </c>
    </row>
    <row r="389" spans="1:29" ht="12.5">
      <c r="B389" s="5" t="s">
        <v>3375</v>
      </c>
      <c r="C389" s="6" t="s">
        <v>3376</v>
      </c>
      <c r="D389" s="1347">
        <v>0</v>
      </c>
      <c r="E389" s="1346">
        <v>0</v>
      </c>
      <c r="F389" s="1342" t="s">
        <v>3377</v>
      </c>
      <c r="G389" s="1414">
        <v>3639</v>
      </c>
      <c r="H389" s="1353">
        <f t="shared" si="43"/>
        <v>0</v>
      </c>
      <c r="I389" s="1353">
        <f t="shared" si="44"/>
        <v>0</v>
      </c>
      <c r="K389" s="1391">
        <v>407</v>
      </c>
      <c r="L389" s="1391" t="s">
        <v>3378</v>
      </c>
      <c r="AA389">
        <v>926</v>
      </c>
      <c r="AB389">
        <v>76681</v>
      </c>
      <c r="AC389">
        <v>215373</v>
      </c>
    </row>
    <row r="390" spans="1:29" ht="12.5">
      <c r="B390" s="5" t="s">
        <v>3379</v>
      </c>
      <c r="C390" s="6" t="s">
        <v>3380</v>
      </c>
      <c r="D390" s="1347">
        <v>0</v>
      </c>
      <c r="E390" s="1346">
        <v>0</v>
      </c>
      <c r="F390" s="1342" t="s">
        <v>3381</v>
      </c>
      <c r="G390" s="1414">
        <v>3640</v>
      </c>
      <c r="H390" s="1353">
        <f t="shared" si="43"/>
        <v>0</v>
      </c>
      <c r="I390" s="1353">
        <f t="shared" si="44"/>
        <v>0</v>
      </c>
      <c r="K390" s="1391">
        <v>408</v>
      </c>
      <c r="L390" s="1391" t="s">
        <v>2147</v>
      </c>
      <c r="AA390">
        <v>927</v>
      </c>
      <c r="AB390">
        <v>18484</v>
      </c>
      <c r="AC390">
        <v>31695</v>
      </c>
    </row>
    <row r="391" spans="1:29" ht="12.5">
      <c r="B391" s="5" t="s">
        <v>3382</v>
      </c>
      <c r="C391" s="6" t="s">
        <v>3383</v>
      </c>
      <c r="D391" s="1347">
        <v>0</v>
      </c>
      <c r="E391" s="1346">
        <v>0</v>
      </c>
      <c r="F391" s="1342" t="s">
        <v>3384</v>
      </c>
      <c r="G391" s="1414">
        <v>3641</v>
      </c>
      <c r="H391" s="1353">
        <f t="shared" si="43"/>
        <v>0</v>
      </c>
      <c r="I391" s="1353">
        <f t="shared" si="44"/>
        <v>0</v>
      </c>
      <c r="K391" s="1391">
        <v>409</v>
      </c>
      <c r="L391" s="1391" t="s">
        <v>2151</v>
      </c>
      <c r="AA391">
        <v>928</v>
      </c>
      <c r="AB391">
        <v>1325</v>
      </c>
      <c r="AC391">
        <v>2994</v>
      </c>
    </row>
    <row r="392" spans="1:29" ht="12.5">
      <c r="B392" s="5" t="s">
        <v>3385</v>
      </c>
      <c r="C392" s="6" t="s">
        <v>3386</v>
      </c>
      <c r="D392" s="1347">
        <v>0</v>
      </c>
      <c r="E392" s="1346">
        <v>0</v>
      </c>
      <c r="F392" s="1342" t="s">
        <v>3387</v>
      </c>
      <c r="G392" s="1414">
        <v>3642</v>
      </c>
      <c r="H392" s="1353">
        <f t="shared" si="43"/>
        <v>0</v>
      </c>
      <c r="I392" s="1353">
        <f t="shared" si="44"/>
        <v>0</v>
      </c>
      <c r="K392" s="1391">
        <v>410</v>
      </c>
      <c r="L392" s="1391" t="s">
        <v>2155</v>
      </c>
      <c r="AA392">
        <v>929</v>
      </c>
      <c r="AB392">
        <v>1300</v>
      </c>
      <c r="AC392">
        <v>5253</v>
      </c>
    </row>
    <row r="393" spans="1:29" ht="12.5">
      <c r="B393" s="5" t="s">
        <v>3388</v>
      </c>
      <c r="C393" s="6" t="s">
        <v>3389</v>
      </c>
      <c r="D393" s="1347">
        <v>0</v>
      </c>
      <c r="E393" s="1346">
        <v>0</v>
      </c>
      <c r="F393" s="1342" t="s">
        <v>3390</v>
      </c>
      <c r="G393" s="1414">
        <v>3643</v>
      </c>
      <c r="H393" s="1353">
        <f t="shared" si="43"/>
        <v>0</v>
      </c>
      <c r="I393" s="1353">
        <f t="shared" si="44"/>
        <v>0</v>
      </c>
      <c r="K393" s="1391">
        <v>411</v>
      </c>
      <c r="L393" s="1391" t="s">
        <v>2159</v>
      </c>
      <c r="AA393">
        <v>931</v>
      </c>
      <c r="AB393">
        <v>6026</v>
      </c>
      <c r="AC393">
        <v>14482</v>
      </c>
    </row>
    <row r="394" spans="1:29" ht="12.5">
      <c r="B394" s="5" t="s">
        <v>3391</v>
      </c>
      <c r="C394" s="6" t="s">
        <v>3392</v>
      </c>
      <c r="D394" s="1347">
        <v>0</v>
      </c>
      <c r="E394" s="1346">
        <v>0</v>
      </c>
      <c r="F394" s="1342" t="s">
        <v>3393</v>
      </c>
      <c r="G394" s="1414">
        <v>3644</v>
      </c>
      <c r="H394" s="1353">
        <f t="shared" si="43"/>
        <v>0</v>
      </c>
      <c r="I394" s="1353">
        <f t="shared" si="44"/>
        <v>0</v>
      </c>
      <c r="K394" s="1391">
        <v>412</v>
      </c>
      <c r="L394" s="1391" t="s">
        <v>2163</v>
      </c>
      <c r="AA394">
        <v>932</v>
      </c>
      <c r="AB394">
        <v>-45212</v>
      </c>
      <c r="AC394">
        <v>-45212</v>
      </c>
    </row>
    <row r="395" spans="1:29" ht="12.5">
      <c r="B395" s="5" t="s">
        <v>3394</v>
      </c>
      <c r="C395" s="6" t="s">
        <v>3395</v>
      </c>
      <c r="D395" s="1347">
        <v>0</v>
      </c>
      <c r="E395" s="1346">
        <v>0</v>
      </c>
      <c r="F395" s="1342" t="s">
        <v>3396</v>
      </c>
      <c r="G395" s="1408">
        <v>79</v>
      </c>
      <c r="H395" s="1353">
        <f t="shared" ref="H395:I397" si="45">M84</f>
        <v>0</v>
      </c>
      <c r="I395" s="1353">
        <f t="shared" si="45"/>
        <v>0</v>
      </c>
      <c r="K395" s="1391">
        <v>413</v>
      </c>
      <c r="L395" s="1391" t="s">
        <v>2170</v>
      </c>
      <c r="AA395">
        <v>934</v>
      </c>
      <c r="AB395">
        <v>5330</v>
      </c>
      <c r="AC395">
        <v>13693</v>
      </c>
    </row>
    <row r="396" spans="1:29" ht="12.5">
      <c r="B396" s="5" t="s">
        <v>3397</v>
      </c>
      <c r="C396" s="6" t="s">
        <v>3398</v>
      </c>
      <c r="D396" s="1347">
        <v>0</v>
      </c>
      <c r="E396" s="1346">
        <v>0</v>
      </c>
      <c r="F396" s="1342" t="s">
        <v>3399</v>
      </c>
      <c r="G396" s="1408">
        <v>80</v>
      </c>
      <c r="H396" s="1353">
        <f t="shared" si="45"/>
        <v>0</v>
      </c>
      <c r="I396" s="1353">
        <f t="shared" si="45"/>
        <v>0</v>
      </c>
      <c r="K396" s="1391">
        <v>414</v>
      </c>
      <c r="L396" s="1391" t="s">
        <v>2174</v>
      </c>
      <c r="AA396">
        <v>935</v>
      </c>
      <c r="AB396">
        <v>1052</v>
      </c>
      <c r="AC396">
        <v>2453</v>
      </c>
    </row>
    <row r="397" spans="1:29" ht="12.5">
      <c r="B397" s="5" t="s">
        <v>3400</v>
      </c>
      <c r="C397" s="6" t="s">
        <v>3401</v>
      </c>
      <c r="D397" s="1347">
        <v>0</v>
      </c>
      <c r="E397" s="1346">
        <v>0</v>
      </c>
      <c r="F397" s="1342" t="s">
        <v>3402</v>
      </c>
      <c r="G397" s="1408">
        <v>81</v>
      </c>
      <c r="H397" s="1353">
        <f t="shared" si="45"/>
        <v>0</v>
      </c>
      <c r="I397" s="1353">
        <f t="shared" si="45"/>
        <v>0</v>
      </c>
      <c r="K397" s="1391">
        <v>415</v>
      </c>
      <c r="L397" s="1391" t="s">
        <v>3403</v>
      </c>
      <c r="AA397">
        <v>936</v>
      </c>
      <c r="AB397">
        <v>410</v>
      </c>
      <c r="AC397">
        <v>1862</v>
      </c>
    </row>
    <row r="398" spans="1:29" ht="12.5">
      <c r="B398" s="5" t="s">
        <v>3404</v>
      </c>
      <c r="C398" s="6" t="s">
        <v>3405</v>
      </c>
      <c r="D398" s="1347">
        <v>0</v>
      </c>
      <c r="E398" s="1346">
        <v>0</v>
      </c>
      <c r="F398" s="1342" t="s">
        <v>3406</v>
      </c>
      <c r="G398" s="1408">
        <v>83</v>
      </c>
      <c r="H398" s="1353">
        <f>M88</f>
        <v>0</v>
      </c>
      <c r="I398" s="1353">
        <f>N88</f>
        <v>0</v>
      </c>
      <c r="K398" s="1391">
        <v>416</v>
      </c>
      <c r="L398" s="1391" t="s">
        <v>2178</v>
      </c>
      <c r="AA398">
        <v>937</v>
      </c>
      <c r="AB398">
        <v>373</v>
      </c>
      <c r="AC398">
        <v>373</v>
      </c>
    </row>
    <row r="399" spans="1:29" ht="12.5">
      <c r="B399" s="5" t="s">
        <v>3407</v>
      </c>
      <c r="C399" s="6" t="s">
        <v>3408</v>
      </c>
      <c r="D399" s="1347">
        <v>6</v>
      </c>
      <c r="E399" s="1346">
        <v>40</v>
      </c>
      <c r="F399" s="1342" t="s">
        <v>3409</v>
      </c>
      <c r="G399" s="1409"/>
      <c r="H399" s="1353"/>
      <c r="I399" s="1353"/>
      <c r="K399" s="1391">
        <v>417</v>
      </c>
      <c r="L399" s="1391" t="s">
        <v>2182</v>
      </c>
      <c r="AA399">
        <v>938</v>
      </c>
      <c r="AB399">
        <v>300</v>
      </c>
      <c r="AC399">
        <v>300</v>
      </c>
    </row>
    <row r="400" spans="1:29" ht="12.5">
      <c r="A400" s="611" t="s">
        <v>3410</v>
      </c>
      <c r="B400" s="5" t="s">
        <v>3411</v>
      </c>
      <c r="C400" s="6" t="s">
        <v>3412</v>
      </c>
      <c r="D400" s="1347">
        <v>0</v>
      </c>
      <c r="E400" s="1346">
        <v>0</v>
      </c>
      <c r="F400" s="1342" t="s">
        <v>3413</v>
      </c>
      <c r="G400" s="1414">
        <v>3715</v>
      </c>
      <c r="H400" s="1353">
        <f t="shared" ref="H400:H418" si="46">M1975</f>
        <v>0</v>
      </c>
      <c r="I400" s="1353">
        <f t="shared" ref="I400:I418" si="47">N1975</f>
        <v>0</v>
      </c>
      <c r="K400" s="1391">
        <v>418</v>
      </c>
      <c r="L400" s="1391" t="s">
        <v>2186</v>
      </c>
      <c r="AA400">
        <v>939</v>
      </c>
      <c r="AB400">
        <v>147</v>
      </c>
      <c r="AC400">
        <v>471</v>
      </c>
    </row>
    <row r="401" spans="2:29" ht="12.5">
      <c r="B401" s="5" t="s">
        <v>3414</v>
      </c>
      <c r="C401" s="6" t="s">
        <v>3415</v>
      </c>
      <c r="D401" s="1347">
        <v>0</v>
      </c>
      <c r="E401" s="1346">
        <v>0</v>
      </c>
      <c r="F401" s="1342" t="s">
        <v>3416</v>
      </c>
      <c r="G401" s="1414">
        <v>3716</v>
      </c>
      <c r="H401" s="1353">
        <f t="shared" si="46"/>
        <v>0</v>
      </c>
      <c r="I401" s="1353">
        <f t="shared" si="47"/>
        <v>0</v>
      </c>
      <c r="K401" s="1391">
        <v>419</v>
      </c>
      <c r="L401" s="1391" t="s">
        <v>2190</v>
      </c>
      <c r="AA401">
        <v>940</v>
      </c>
      <c r="AB401">
        <v>475</v>
      </c>
      <c r="AC401">
        <v>1832</v>
      </c>
    </row>
    <row r="402" spans="2:29" ht="12.5">
      <c r="B402" s="5" t="s">
        <v>3417</v>
      </c>
      <c r="C402" s="6" t="s">
        <v>3418</v>
      </c>
      <c r="D402" s="1347">
        <v>0</v>
      </c>
      <c r="E402" s="1346">
        <v>0</v>
      </c>
      <c r="F402" s="1342" t="s">
        <v>3419</v>
      </c>
      <c r="G402" s="1414">
        <v>3717</v>
      </c>
      <c r="H402" s="1353">
        <f t="shared" si="46"/>
        <v>0</v>
      </c>
      <c r="I402" s="1353">
        <f t="shared" si="47"/>
        <v>0</v>
      </c>
      <c r="K402" s="1391">
        <v>420</v>
      </c>
      <c r="L402" s="1391" t="s">
        <v>2194</v>
      </c>
      <c r="AA402">
        <v>941</v>
      </c>
      <c r="AB402">
        <v>63639</v>
      </c>
      <c r="AC402">
        <v>177676</v>
      </c>
    </row>
    <row r="403" spans="2:29" ht="12.5">
      <c r="B403" s="5" t="s">
        <v>3420</v>
      </c>
      <c r="C403" s="6" t="s">
        <v>3421</v>
      </c>
      <c r="D403" s="1347">
        <v>0</v>
      </c>
      <c r="E403" s="1346">
        <v>0</v>
      </c>
      <c r="F403" s="1342" t="s">
        <v>3422</v>
      </c>
      <c r="G403" s="1414">
        <v>3718</v>
      </c>
      <c r="H403" s="1353">
        <f t="shared" si="46"/>
        <v>0</v>
      </c>
      <c r="I403" s="1353">
        <f t="shared" si="47"/>
        <v>0</v>
      </c>
      <c r="K403" s="1391">
        <v>421</v>
      </c>
      <c r="L403" s="1391" t="s">
        <v>2201</v>
      </c>
      <c r="AA403">
        <v>942</v>
      </c>
      <c r="AB403">
        <v>-67795</v>
      </c>
      <c r="AC403">
        <v>-193834</v>
      </c>
    </row>
    <row r="404" spans="2:29" ht="12.5">
      <c r="B404" s="5" t="s">
        <v>3423</v>
      </c>
      <c r="C404" s="6" t="s">
        <v>3424</v>
      </c>
      <c r="D404" s="1347">
        <v>0</v>
      </c>
      <c r="E404" s="1346">
        <v>0</v>
      </c>
      <c r="F404" s="1342" t="s">
        <v>3425</v>
      </c>
      <c r="G404" s="1414">
        <v>3719</v>
      </c>
      <c r="H404" s="1353">
        <f t="shared" si="46"/>
        <v>0</v>
      </c>
      <c r="I404" s="1353">
        <f t="shared" si="47"/>
        <v>0</v>
      </c>
      <c r="K404" s="1391">
        <v>422</v>
      </c>
      <c r="L404" s="1391" t="s">
        <v>2205</v>
      </c>
      <c r="AA404">
        <v>943</v>
      </c>
      <c r="AB404">
        <v>736</v>
      </c>
      <c r="AC404">
        <v>2736</v>
      </c>
    </row>
    <row r="405" spans="2:29" ht="12.5">
      <c r="B405" s="5" t="s">
        <v>3426</v>
      </c>
      <c r="C405" s="6" t="s">
        <v>3427</v>
      </c>
      <c r="D405" s="1347">
        <v>0</v>
      </c>
      <c r="E405" s="1346">
        <v>0</v>
      </c>
      <c r="F405" s="1342" t="s">
        <v>3428</v>
      </c>
      <c r="G405" s="1414">
        <v>3720</v>
      </c>
      <c r="H405" s="1353">
        <f t="shared" si="46"/>
        <v>0</v>
      </c>
      <c r="I405" s="1353">
        <f t="shared" si="47"/>
        <v>0</v>
      </c>
      <c r="K405" s="1391">
        <v>423</v>
      </c>
      <c r="L405" s="1391" t="s">
        <v>3429</v>
      </c>
      <c r="AA405">
        <v>946</v>
      </c>
      <c r="AB405">
        <v>0</v>
      </c>
      <c r="AC405">
        <v>127</v>
      </c>
    </row>
    <row r="406" spans="2:29" ht="12.5">
      <c r="B406" s="5" t="s">
        <v>3430</v>
      </c>
      <c r="C406" s="6" t="s">
        <v>3431</v>
      </c>
      <c r="D406" s="1347">
        <v>0</v>
      </c>
      <c r="E406" s="1346">
        <v>0</v>
      </c>
      <c r="F406" s="1342" t="s">
        <v>3432</v>
      </c>
      <c r="G406" s="1414">
        <v>3721</v>
      </c>
      <c r="H406" s="1353">
        <f t="shared" si="46"/>
        <v>0</v>
      </c>
      <c r="I406" s="1353">
        <f t="shared" si="47"/>
        <v>0</v>
      </c>
      <c r="K406" s="1391">
        <v>424</v>
      </c>
      <c r="L406" s="1391" t="s">
        <v>2209</v>
      </c>
      <c r="AA406">
        <v>947</v>
      </c>
      <c r="AB406">
        <v>0</v>
      </c>
      <c r="AC406">
        <v>234</v>
      </c>
    </row>
    <row r="407" spans="2:29" ht="12.5">
      <c r="B407" s="5" t="s">
        <v>3433</v>
      </c>
      <c r="C407" s="6" t="s">
        <v>3434</v>
      </c>
      <c r="D407" s="1347">
        <v>0</v>
      </c>
      <c r="E407" s="1346">
        <v>0</v>
      </c>
      <c r="F407" s="1342" t="s">
        <v>3435</v>
      </c>
      <c r="G407" s="1414">
        <v>3722</v>
      </c>
      <c r="H407" s="1353">
        <f t="shared" si="46"/>
        <v>0</v>
      </c>
      <c r="I407" s="1353">
        <f t="shared" si="47"/>
        <v>0</v>
      </c>
      <c r="K407" s="1391">
        <v>425</v>
      </c>
      <c r="L407" s="1391" t="s">
        <v>2213</v>
      </c>
      <c r="AA407">
        <v>948</v>
      </c>
      <c r="AB407">
        <v>-13410</v>
      </c>
      <c r="AC407">
        <v>17135</v>
      </c>
    </row>
    <row r="408" spans="2:29" ht="12.5">
      <c r="B408" s="5" t="s">
        <v>3436</v>
      </c>
      <c r="C408" s="6" t="s">
        <v>3437</v>
      </c>
      <c r="D408" s="1347">
        <v>0</v>
      </c>
      <c r="E408" s="1346">
        <v>0</v>
      </c>
      <c r="F408" s="1342" t="s">
        <v>3438</v>
      </c>
      <c r="G408" s="1414">
        <v>3723</v>
      </c>
      <c r="H408" s="1353">
        <f t="shared" si="46"/>
        <v>0</v>
      </c>
      <c r="I408" s="1353">
        <f t="shared" si="47"/>
        <v>0</v>
      </c>
      <c r="K408" s="1391">
        <v>426</v>
      </c>
      <c r="L408" s="1391" t="s">
        <v>2217</v>
      </c>
      <c r="AA408">
        <v>949</v>
      </c>
      <c r="AB408">
        <v>13770</v>
      </c>
      <c r="AC408">
        <v>41310</v>
      </c>
    </row>
    <row r="409" spans="2:29" ht="12.5">
      <c r="B409" s="5" t="s">
        <v>3439</v>
      </c>
      <c r="C409" s="6" t="s">
        <v>3440</v>
      </c>
      <c r="D409" s="1347">
        <v>0</v>
      </c>
      <c r="E409" s="1346">
        <v>0</v>
      </c>
      <c r="F409" s="1342" t="s">
        <v>3441</v>
      </c>
      <c r="G409" s="1414">
        <v>3724</v>
      </c>
      <c r="H409" s="1353">
        <f t="shared" si="46"/>
        <v>0</v>
      </c>
      <c r="I409" s="1353">
        <f t="shared" si="47"/>
        <v>0</v>
      </c>
      <c r="K409" s="1391">
        <v>427</v>
      </c>
      <c r="L409" s="1391" t="s">
        <v>2221</v>
      </c>
      <c r="AA409">
        <v>951</v>
      </c>
      <c r="AB409">
        <v>2216</v>
      </c>
      <c r="AC409">
        <v>8152</v>
      </c>
    </row>
    <row r="410" spans="2:29" ht="12.5">
      <c r="B410" s="5" t="s">
        <v>3442</v>
      </c>
      <c r="C410" s="6" t="s">
        <v>3443</v>
      </c>
      <c r="D410" s="1347">
        <v>0</v>
      </c>
      <c r="E410" s="1346">
        <v>0</v>
      </c>
      <c r="F410" s="1342" t="s">
        <v>3444</v>
      </c>
      <c r="G410" s="1414">
        <v>3725</v>
      </c>
      <c r="H410" s="1353">
        <f t="shared" si="46"/>
        <v>0</v>
      </c>
      <c r="I410" s="1353">
        <f t="shared" si="47"/>
        <v>0</v>
      </c>
      <c r="K410" s="1391">
        <v>428</v>
      </c>
      <c r="L410" s="1391" t="s">
        <v>2225</v>
      </c>
      <c r="AA410">
        <v>952</v>
      </c>
      <c r="AB410">
        <v>23</v>
      </c>
      <c r="AC410">
        <v>69</v>
      </c>
    </row>
    <row r="411" spans="2:29" ht="12.5">
      <c r="B411" s="5" t="s">
        <v>3445</v>
      </c>
      <c r="C411" s="6" t="s">
        <v>3446</v>
      </c>
      <c r="D411" s="1347">
        <v>0</v>
      </c>
      <c r="E411" s="1346">
        <v>0</v>
      </c>
      <c r="F411" s="1342" t="s">
        <v>3447</v>
      </c>
      <c r="G411" s="1414">
        <v>3726</v>
      </c>
      <c r="H411" s="1353">
        <f t="shared" si="46"/>
        <v>0</v>
      </c>
      <c r="I411" s="1353">
        <f t="shared" si="47"/>
        <v>0</v>
      </c>
      <c r="K411" s="1391">
        <v>429</v>
      </c>
      <c r="L411" s="1391" t="s">
        <v>3448</v>
      </c>
      <c r="AA411">
        <v>953</v>
      </c>
      <c r="AB411">
        <v>1800</v>
      </c>
      <c r="AC411">
        <v>5400</v>
      </c>
    </row>
    <row r="412" spans="2:29" ht="12.5">
      <c r="B412" s="5" t="s">
        <v>3449</v>
      </c>
      <c r="C412" s="6" t="s">
        <v>3450</v>
      </c>
      <c r="D412" s="1347">
        <v>0</v>
      </c>
      <c r="E412" s="1346">
        <v>0</v>
      </c>
      <c r="F412" s="1342" t="s">
        <v>3451</v>
      </c>
      <c r="G412" s="1414">
        <v>3727</v>
      </c>
      <c r="H412" s="1353">
        <f t="shared" si="46"/>
        <v>0</v>
      </c>
      <c r="I412" s="1353">
        <f t="shared" si="47"/>
        <v>0</v>
      </c>
      <c r="K412" s="1391">
        <v>430</v>
      </c>
      <c r="L412" s="1391" t="s">
        <v>2229</v>
      </c>
      <c r="AA412">
        <v>954</v>
      </c>
      <c r="AB412">
        <v>1224</v>
      </c>
      <c r="AC412">
        <v>3672</v>
      </c>
    </row>
    <row r="413" spans="2:29" ht="12.5">
      <c r="B413" s="5" t="s">
        <v>3452</v>
      </c>
      <c r="C413" s="6" t="s">
        <v>3453</v>
      </c>
      <c r="D413" s="1347">
        <v>0</v>
      </c>
      <c r="E413" s="1346">
        <v>0</v>
      </c>
      <c r="F413" s="1342" t="s">
        <v>3454</v>
      </c>
      <c r="G413" s="1414">
        <v>3728</v>
      </c>
      <c r="H413" s="1353">
        <f t="shared" si="46"/>
        <v>0</v>
      </c>
      <c r="I413" s="1353">
        <f t="shared" si="47"/>
        <v>0</v>
      </c>
      <c r="K413" s="1391">
        <v>431</v>
      </c>
      <c r="L413" s="1391" t="s">
        <v>2233</v>
      </c>
      <c r="AA413">
        <v>956</v>
      </c>
      <c r="AB413">
        <v>21955</v>
      </c>
      <c r="AC413">
        <v>67432</v>
      </c>
    </row>
    <row r="414" spans="2:29" ht="12.5">
      <c r="B414" s="5" t="s">
        <v>3455</v>
      </c>
      <c r="C414" s="6" t="s">
        <v>3456</v>
      </c>
      <c r="D414" s="1347">
        <v>0</v>
      </c>
      <c r="E414" s="1346">
        <v>0</v>
      </c>
      <c r="F414" s="1342" t="s">
        <v>3457</v>
      </c>
      <c r="G414" s="1414">
        <v>3729</v>
      </c>
      <c r="H414" s="1353">
        <f t="shared" si="46"/>
        <v>0</v>
      </c>
      <c r="I414" s="1353">
        <f t="shared" si="47"/>
        <v>0</v>
      </c>
      <c r="K414" s="1391">
        <v>432</v>
      </c>
      <c r="L414" s="1391" t="s">
        <v>2237</v>
      </c>
      <c r="AA414">
        <v>957</v>
      </c>
      <c r="AB414">
        <v>2922</v>
      </c>
      <c r="AC414">
        <v>8829</v>
      </c>
    </row>
    <row r="415" spans="2:29" ht="12.5">
      <c r="B415" s="5" t="s">
        <v>3458</v>
      </c>
      <c r="C415" s="6" t="s">
        <v>3459</v>
      </c>
      <c r="D415" s="1347">
        <v>0</v>
      </c>
      <c r="E415" s="1346">
        <v>0</v>
      </c>
      <c r="F415" s="1342" t="s">
        <v>3460</v>
      </c>
      <c r="G415" s="1414">
        <v>3730</v>
      </c>
      <c r="H415" s="1353">
        <f t="shared" si="46"/>
        <v>0</v>
      </c>
      <c r="I415" s="1353">
        <f t="shared" si="47"/>
        <v>0</v>
      </c>
      <c r="K415" s="1391">
        <v>433</v>
      </c>
      <c r="L415" s="1391" t="s">
        <v>2241</v>
      </c>
      <c r="AA415">
        <v>958</v>
      </c>
      <c r="AB415">
        <v>4481</v>
      </c>
      <c r="AC415">
        <v>12348</v>
      </c>
    </row>
    <row r="416" spans="2:29" ht="12.5">
      <c r="B416" s="5" t="s">
        <v>3461</v>
      </c>
      <c r="C416" s="6" t="s">
        <v>3462</v>
      </c>
      <c r="D416" s="1347">
        <v>0</v>
      </c>
      <c r="E416" s="1346">
        <v>0</v>
      </c>
      <c r="F416" s="1342" t="s">
        <v>3463</v>
      </c>
      <c r="G416" s="1414">
        <v>3731</v>
      </c>
      <c r="H416" s="1353">
        <f t="shared" si="46"/>
        <v>0</v>
      </c>
      <c r="I416" s="1353">
        <f t="shared" si="47"/>
        <v>0</v>
      </c>
      <c r="K416" s="1391">
        <v>434</v>
      </c>
      <c r="L416" s="1391" t="s">
        <v>2245</v>
      </c>
      <c r="AA416">
        <v>960</v>
      </c>
      <c r="AB416">
        <v>360</v>
      </c>
      <c r="AC416">
        <v>441</v>
      </c>
    </row>
    <row r="417" spans="2:29" ht="12.5">
      <c r="B417" s="5" t="s">
        <v>3464</v>
      </c>
      <c r="C417" s="6" t="s">
        <v>3465</v>
      </c>
      <c r="D417" s="1347">
        <v>0</v>
      </c>
      <c r="E417" s="1346">
        <v>0</v>
      </c>
      <c r="F417" s="1342" t="s">
        <v>3466</v>
      </c>
      <c r="G417" s="1414">
        <v>3732</v>
      </c>
      <c r="H417" s="1353">
        <f t="shared" si="46"/>
        <v>0</v>
      </c>
      <c r="I417" s="1353">
        <f t="shared" si="47"/>
        <v>0</v>
      </c>
      <c r="K417" s="1391">
        <v>435</v>
      </c>
      <c r="L417" s="1391" t="s">
        <v>2252</v>
      </c>
      <c r="AA417">
        <v>961</v>
      </c>
      <c r="AB417">
        <v>4053</v>
      </c>
      <c r="AC417">
        <v>12159</v>
      </c>
    </row>
    <row r="418" spans="2:29" ht="12.5">
      <c r="B418" s="5" t="s">
        <v>3467</v>
      </c>
      <c r="C418" s="6" t="s">
        <v>3468</v>
      </c>
      <c r="D418" s="1347">
        <v>0</v>
      </c>
      <c r="E418" s="1346">
        <v>0</v>
      </c>
      <c r="F418" s="1342" t="s">
        <v>3469</v>
      </c>
      <c r="G418" s="1414">
        <v>3733</v>
      </c>
      <c r="H418" s="1353">
        <f t="shared" si="46"/>
        <v>0</v>
      </c>
      <c r="I418" s="1353">
        <f t="shared" si="47"/>
        <v>0</v>
      </c>
      <c r="K418" s="1391">
        <v>436</v>
      </c>
      <c r="L418" s="1391" t="s">
        <v>2256</v>
      </c>
      <c r="AA418">
        <v>963</v>
      </c>
      <c r="AB418">
        <v>30849</v>
      </c>
      <c r="AC418">
        <v>92380</v>
      </c>
    </row>
    <row r="419" spans="2:29" ht="12.5">
      <c r="B419" s="5" t="s">
        <v>3470</v>
      </c>
      <c r="C419" s="6" t="s">
        <v>3471</v>
      </c>
      <c r="D419" s="1347">
        <v>0</v>
      </c>
      <c r="E419" s="1346">
        <v>0</v>
      </c>
      <c r="F419" s="1342" t="s">
        <v>3472</v>
      </c>
      <c r="G419" s="1408">
        <v>110</v>
      </c>
      <c r="H419" s="1353">
        <f t="shared" ref="H419:I421" si="48">M115</f>
        <v>0</v>
      </c>
      <c r="I419" s="1353">
        <f t="shared" si="48"/>
        <v>0</v>
      </c>
      <c r="K419" s="1391">
        <v>437</v>
      </c>
      <c r="L419" s="1391" t="s">
        <v>2260</v>
      </c>
      <c r="AA419">
        <v>964</v>
      </c>
      <c r="AB419">
        <v>94120</v>
      </c>
      <c r="AC419">
        <v>324888</v>
      </c>
    </row>
    <row r="420" spans="2:29" ht="12.5">
      <c r="B420" s="5" t="s">
        <v>3473</v>
      </c>
      <c r="C420" s="6" t="s">
        <v>3474</v>
      </c>
      <c r="D420" s="1347">
        <v>0</v>
      </c>
      <c r="E420" s="1346">
        <v>0</v>
      </c>
      <c r="F420" s="1342" t="s">
        <v>3475</v>
      </c>
      <c r="G420" s="1408">
        <v>111</v>
      </c>
      <c r="H420" s="1353">
        <f t="shared" si="48"/>
        <v>0</v>
      </c>
      <c r="I420" s="1353">
        <f t="shared" si="48"/>
        <v>0</v>
      </c>
      <c r="K420" s="1391">
        <v>438</v>
      </c>
      <c r="L420" s="1391" t="s">
        <v>3476</v>
      </c>
      <c r="AA420">
        <v>965</v>
      </c>
      <c r="AB420">
        <v>120656</v>
      </c>
      <c r="AC420">
        <v>402658</v>
      </c>
    </row>
    <row r="421" spans="2:29" ht="12.5">
      <c r="B421" s="5" t="s">
        <v>3477</v>
      </c>
      <c r="C421" s="6" t="s">
        <v>3478</v>
      </c>
      <c r="D421" s="1347">
        <v>0</v>
      </c>
      <c r="E421" s="1346">
        <v>0</v>
      </c>
      <c r="F421" s="1342" t="s">
        <v>3479</v>
      </c>
      <c r="G421" s="1408">
        <v>112</v>
      </c>
      <c r="H421" s="1353">
        <f t="shared" si="48"/>
        <v>0</v>
      </c>
      <c r="I421" s="1353">
        <f t="shared" si="48"/>
        <v>0</v>
      </c>
      <c r="K421" s="1391">
        <v>439</v>
      </c>
      <c r="L421" s="1391" t="s">
        <v>2264</v>
      </c>
      <c r="AA421">
        <v>966</v>
      </c>
      <c r="AB421">
        <v>47073</v>
      </c>
      <c r="AC421">
        <v>16150</v>
      </c>
    </row>
    <row r="422" spans="2:29" ht="12.5">
      <c r="B422" s="5" t="s">
        <v>3480</v>
      </c>
      <c r="C422" s="6" t="s">
        <v>3481</v>
      </c>
      <c r="D422" s="1347">
        <v>0</v>
      </c>
      <c r="E422" s="1346">
        <v>0</v>
      </c>
      <c r="F422" s="1342" t="s">
        <v>3482</v>
      </c>
      <c r="G422" s="1414">
        <v>3734</v>
      </c>
      <c r="H422" s="1353">
        <f t="shared" ref="H422:H437" si="49">M1994</f>
        <v>0</v>
      </c>
      <c r="I422" s="1353">
        <f t="shared" ref="I422:I437" si="50">N1994</f>
        <v>0</v>
      </c>
      <c r="K422" s="1391">
        <v>440</v>
      </c>
      <c r="L422" s="1391" t="s">
        <v>2268</v>
      </c>
      <c r="AA422">
        <v>967</v>
      </c>
      <c r="AB422">
        <v>16281</v>
      </c>
      <c r="AC422">
        <v>34655</v>
      </c>
    </row>
    <row r="423" spans="2:29" ht="12.5">
      <c r="B423" s="5" t="s">
        <v>3483</v>
      </c>
      <c r="C423" s="6" t="s">
        <v>3484</v>
      </c>
      <c r="D423" s="1347">
        <v>0</v>
      </c>
      <c r="E423" s="1346">
        <v>2</v>
      </c>
      <c r="F423" s="1342" t="s">
        <v>3485</v>
      </c>
      <c r="G423" s="1414">
        <v>3735</v>
      </c>
      <c r="H423" s="1353">
        <f t="shared" si="49"/>
        <v>0</v>
      </c>
      <c r="I423" s="1353">
        <f t="shared" si="50"/>
        <v>0</v>
      </c>
      <c r="K423" s="1391">
        <v>441</v>
      </c>
      <c r="L423" s="1391" t="s">
        <v>2272</v>
      </c>
      <c r="AA423">
        <v>969</v>
      </c>
      <c r="AB423">
        <v>63354</v>
      </c>
      <c r="AC423">
        <v>50805</v>
      </c>
    </row>
    <row r="424" spans="2:29" ht="12.5">
      <c r="B424" s="5" t="s">
        <v>3486</v>
      </c>
      <c r="C424" s="6" t="s">
        <v>3487</v>
      </c>
      <c r="D424" s="1347">
        <v>0</v>
      </c>
      <c r="E424" s="1346">
        <v>0</v>
      </c>
      <c r="F424" s="1342" t="s">
        <v>3488</v>
      </c>
      <c r="G424" s="1414">
        <v>3736</v>
      </c>
      <c r="H424" s="1353">
        <f t="shared" si="49"/>
        <v>0</v>
      </c>
      <c r="I424" s="1353">
        <f t="shared" si="50"/>
        <v>0</v>
      </c>
      <c r="K424" s="1391">
        <v>442</v>
      </c>
      <c r="L424" s="1391" t="s">
        <v>2276</v>
      </c>
      <c r="AA424">
        <v>970</v>
      </c>
      <c r="AB424">
        <v>5581124</v>
      </c>
      <c r="AC424">
        <v>11135616</v>
      </c>
    </row>
    <row r="425" spans="2:29" ht="12.5">
      <c r="B425" s="5" t="s">
        <v>3489</v>
      </c>
      <c r="C425" s="6" t="s">
        <v>3490</v>
      </c>
      <c r="D425" s="1347">
        <v>0</v>
      </c>
      <c r="E425" s="1346">
        <v>4</v>
      </c>
      <c r="F425" s="1342" t="s">
        <v>3491</v>
      </c>
      <c r="G425" s="1414">
        <v>3737</v>
      </c>
      <c r="H425" s="1353">
        <f t="shared" si="49"/>
        <v>0</v>
      </c>
      <c r="I425" s="1353">
        <f t="shared" si="50"/>
        <v>0</v>
      </c>
      <c r="K425" s="1391">
        <v>443</v>
      </c>
      <c r="L425" s="1391" t="s">
        <v>2280</v>
      </c>
      <c r="AA425">
        <v>971</v>
      </c>
      <c r="AB425">
        <v>279041</v>
      </c>
      <c r="AC425">
        <v>570434</v>
      </c>
    </row>
    <row r="426" spans="2:29" ht="12.5">
      <c r="B426" s="5" t="s">
        <v>3492</v>
      </c>
      <c r="C426" s="6" t="s">
        <v>3493</v>
      </c>
      <c r="D426" s="1347">
        <v>0</v>
      </c>
      <c r="E426" s="1346">
        <v>0</v>
      </c>
      <c r="F426" s="1342" t="s">
        <v>3494</v>
      </c>
      <c r="G426" s="1414">
        <v>3738</v>
      </c>
      <c r="H426" s="1353">
        <f t="shared" si="49"/>
        <v>0</v>
      </c>
      <c r="I426" s="1353">
        <f t="shared" si="50"/>
        <v>0</v>
      </c>
      <c r="K426" s="1391">
        <v>444</v>
      </c>
      <c r="L426" s="1391" t="s">
        <v>2287</v>
      </c>
      <c r="AA426">
        <v>972</v>
      </c>
      <c r="AB426">
        <v>9893</v>
      </c>
      <c r="AC426">
        <v>20943</v>
      </c>
    </row>
    <row r="427" spans="2:29" ht="12.5">
      <c r="B427" s="5" t="s">
        <v>3495</v>
      </c>
      <c r="C427" s="6" t="s">
        <v>3496</v>
      </c>
      <c r="D427" s="1347">
        <v>0</v>
      </c>
      <c r="E427" s="1346">
        <v>0</v>
      </c>
      <c r="F427" s="1342" t="s">
        <v>3497</v>
      </c>
      <c r="G427" s="1414">
        <v>3739</v>
      </c>
      <c r="H427" s="1353">
        <f t="shared" si="49"/>
        <v>0</v>
      </c>
      <c r="I427" s="1353">
        <f t="shared" si="50"/>
        <v>0</v>
      </c>
      <c r="K427" s="1391">
        <v>445</v>
      </c>
      <c r="L427" s="1391" t="s">
        <v>2291</v>
      </c>
      <c r="AA427">
        <v>973</v>
      </c>
      <c r="AB427">
        <v>10901</v>
      </c>
      <c r="AC427">
        <v>30569</v>
      </c>
    </row>
    <row r="428" spans="2:29" ht="12.5">
      <c r="B428" s="5" t="s">
        <v>3498</v>
      </c>
      <c r="C428" s="6" t="s">
        <v>3499</v>
      </c>
      <c r="D428" s="1347">
        <v>0</v>
      </c>
      <c r="E428" s="1346">
        <v>0</v>
      </c>
      <c r="F428" s="1342" t="s">
        <v>3500</v>
      </c>
      <c r="G428" s="1414">
        <v>3740</v>
      </c>
      <c r="H428" s="1353">
        <f t="shared" si="49"/>
        <v>0</v>
      </c>
      <c r="I428" s="1353">
        <f t="shared" si="50"/>
        <v>0</v>
      </c>
      <c r="K428" s="1391">
        <v>446</v>
      </c>
      <c r="L428" s="1391" t="s">
        <v>2295</v>
      </c>
      <c r="AA428">
        <v>974</v>
      </c>
      <c r="AB428">
        <v>149</v>
      </c>
      <c r="AC428">
        <v>1591</v>
      </c>
    </row>
    <row r="429" spans="2:29" ht="12.5">
      <c r="B429" s="5" t="s">
        <v>3501</v>
      </c>
      <c r="C429" s="6" t="s">
        <v>3502</v>
      </c>
      <c r="D429" s="1347">
        <v>0</v>
      </c>
      <c r="E429" s="1346">
        <v>3</v>
      </c>
      <c r="F429" s="1342" t="s">
        <v>3503</v>
      </c>
      <c r="G429" s="1414">
        <v>3741</v>
      </c>
      <c r="H429" s="1353">
        <f t="shared" si="49"/>
        <v>0</v>
      </c>
      <c r="I429" s="1353">
        <f t="shared" si="50"/>
        <v>0</v>
      </c>
      <c r="K429" s="1391">
        <v>447</v>
      </c>
      <c r="L429" s="1391" t="s">
        <v>3504</v>
      </c>
      <c r="AA429">
        <v>975</v>
      </c>
      <c r="AB429">
        <v>20943</v>
      </c>
      <c r="AC429">
        <v>53103</v>
      </c>
    </row>
    <row r="430" spans="2:29" ht="12.5">
      <c r="B430" s="5" t="s">
        <v>3505</v>
      </c>
      <c r="C430" s="6" t="s">
        <v>3506</v>
      </c>
      <c r="D430" s="1347">
        <v>6</v>
      </c>
      <c r="E430" s="1346">
        <v>28</v>
      </c>
      <c r="F430" s="1342" t="s">
        <v>3507</v>
      </c>
      <c r="G430" s="1414">
        <v>3742</v>
      </c>
      <c r="H430" s="1353">
        <f t="shared" si="49"/>
        <v>0</v>
      </c>
      <c r="I430" s="1353">
        <f t="shared" si="50"/>
        <v>0</v>
      </c>
      <c r="K430" s="1391">
        <v>448</v>
      </c>
      <c r="L430" s="1391" t="s">
        <v>2299</v>
      </c>
      <c r="AA430">
        <v>976</v>
      </c>
      <c r="AB430">
        <v>6483</v>
      </c>
      <c r="AC430">
        <v>19932</v>
      </c>
    </row>
    <row r="431" spans="2:29" ht="12.5">
      <c r="B431" s="5" t="s">
        <v>3508</v>
      </c>
      <c r="C431" s="6" t="s">
        <v>3509</v>
      </c>
      <c r="D431" s="1347">
        <v>5</v>
      </c>
      <c r="E431" s="1346">
        <v>12</v>
      </c>
      <c r="F431" s="1342" t="s">
        <v>3510</v>
      </c>
      <c r="G431" s="1414">
        <v>3743</v>
      </c>
      <c r="H431" s="1353">
        <f t="shared" si="49"/>
        <v>0</v>
      </c>
      <c r="I431" s="1353">
        <f t="shared" si="50"/>
        <v>0</v>
      </c>
      <c r="K431" s="1391">
        <v>449</v>
      </c>
      <c r="L431" s="1391" t="s">
        <v>2303</v>
      </c>
      <c r="AA431">
        <v>977</v>
      </c>
      <c r="AB431">
        <v>18857</v>
      </c>
      <c r="AC431">
        <v>48227</v>
      </c>
    </row>
    <row r="432" spans="2:29" ht="12.5">
      <c r="B432" s="5" t="s">
        <v>3511</v>
      </c>
      <c r="C432" s="6" t="s">
        <v>3512</v>
      </c>
      <c r="D432" s="1347">
        <v>0</v>
      </c>
      <c r="E432" s="1346">
        <v>0</v>
      </c>
      <c r="F432" s="1342" t="s">
        <v>3513</v>
      </c>
      <c r="G432" s="1414">
        <v>3744</v>
      </c>
      <c r="H432" s="1353">
        <f t="shared" si="49"/>
        <v>0</v>
      </c>
      <c r="I432" s="1353">
        <f t="shared" si="50"/>
        <v>0</v>
      </c>
      <c r="K432" s="1391">
        <v>450</v>
      </c>
      <c r="L432" s="1391" t="s">
        <v>2307</v>
      </c>
      <c r="AA432">
        <v>978</v>
      </c>
      <c r="AB432">
        <v>9018</v>
      </c>
      <c r="AC432">
        <v>25596</v>
      </c>
    </row>
    <row r="433" spans="1:29" ht="12.5">
      <c r="B433" s="5" t="s">
        <v>3514</v>
      </c>
      <c r="C433" s="6" t="s">
        <v>3515</v>
      </c>
      <c r="D433" s="1347">
        <v>0</v>
      </c>
      <c r="E433" s="1346">
        <v>0</v>
      </c>
      <c r="F433" s="1342" t="s">
        <v>3516</v>
      </c>
      <c r="G433" s="1414">
        <v>3745</v>
      </c>
      <c r="H433" s="1353">
        <f t="shared" si="49"/>
        <v>0</v>
      </c>
      <c r="I433" s="1353">
        <f t="shared" si="50"/>
        <v>0</v>
      </c>
      <c r="K433" s="1391">
        <v>451</v>
      </c>
      <c r="L433" s="1391" t="s">
        <v>2311</v>
      </c>
      <c r="AA433">
        <v>980</v>
      </c>
      <c r="AB433">
        <v>3433</v>
      </c>
      <c r="AC433">
        <v>11463</v>
      </c>
    </row>
    <row r="434" spans="1:29" ht="12.5">
      <c r="B434" s="5" t="s">
        <v>3517</v>
      </c>
      <c r="C434" s="6" t="s">
        <v>3518</v>
      </c>
      <c r="D434" s="1347">
        <v>0</v>
      </c>
      <c r="E434" s="1346">
        <v>0</v>
      </c>
      <c r="F434" s="1342" t="s">
        <v>3519</v>
      </c>
      <c r="G434" s="1414">
        <v>3746</v>
      </c>
      <c r="H434" s="1353">
        <f t="shared" si="49"/>
        <v>0</v>
      </c>
      <c r="I434" s="1353">
        <f t="shared" si="50"/>
        <v>0</v>
      </c>
      <c r="K434" s="1391">
        <v>452</v>
      </c>
      <c r="L434" s="1391" t="s">
        <v>2315</v>
      </c>
      <c r="AA434">
        <v>982</v>
      </c>
      <c r="AB434">
        <v>-59</v>
      </c>
      <c r="AC434">
        <v>1853</v>
      </c>
    </row>
    <row r="435" spans="1:29" ht="12.5">
      <c r="B435" s="5" t="s">
        <v>3520</v>
      </c>
      <c r="C435" s="6" t="s">
        <v>3521</v>
      </c>
      <c r="D435" s="1347">
        <v>0</v>
      </c>
      <c r="E435" s="1346">
        <v>1</v>
      </c>
      <c r="F435" s="1342" t="s">
        <v>3522</v>
      </c>
      <c r="G435" s="1414">
        <v>3747</v>
      </c>
      <c r="H435" s="1353">
        <f t="shared" si="49"/>
        <v>0</v>
      </c>
      <c r="I435" s="1353">
        <f t="shared" si="50"/>
        <v>0</v>
      </c>
      <c r="K435" s="1391">
        <v>453</v>
      </c>
      <c r="L435" s="1391" t="s">
        <v>2322</v>
      </c>
      <c r="AA435">
        <v>983</v>
      </c>
      <c r="AB435">
        <v>2728</v>
      </c>
      <c r="AC435">
        <v>12979</v>
      </c>
    </row>
    <row r="436" spans="1:29" ht="12.5">
      <c r="B436" s="5" t="s">
        <v>3523</v>
      </c>
      <c r="C436" s="6" t="s">
        <v>3524</v>
      </c>
      <c r="D436" s="1347">
        <v>0</v>
      </c>
      <c r="E436" s="1346">
        <v>0</v>
      </c>
      <c r="F436" s="1342" t="s">
        <v>3525</v>
      </c>
      <c r="G436" s="1414">
        <v>3748</v>
      </c>
      <c r="H436" s="1353">
        <f t="shared" si="49"/>
        <v>0</v>
      </c>
      <c r="I436" s="1353">
        <f t="shared" si="50"/>
        <v>0</v>
      </c>
      <c r="K436" s="1391">
        <v>454</v>
      </c>
      <c r="L436" s="1391" t="s">
        <v>2326</v>
      </c>
      <c r="AA436">
        <v>985</v>
      </c>
      <c r="AB436">
        <v>40460</v>
      </c>
      <c r="AC436">
        <v>120050</v>
      </c>
    </row>
    <row r="437" spans="1:29" ht="12.5">
      <c r="B437" s="5" t="s">
        <v>3526</v>
      </c>
      <c r="C437" s="6" t="s">
        <v>3527</v>
      </c>
      <c r="D437" s="1347">
        <v>0</v>
      </c>
      <c r="E437" s="1346">
        <v>0</v>
      </c>
      <c r="F437" s="1342" t="s">
        <v>3528</v>
      </c>
      <c r="G437" s="1414">
        <v>3749</v>
      </c>
      <c r="H437" s="1353">
        <f t="shared" si="49"/>
        <v>0</v>
      </c>
      <c r="I437" s="1353">
        <f t="shared" si="50"/>
        <v>0</v>
      </c>
      <c r="K437" s="1391">
        <v>455</v>
      </c>
      <c r="L437" s="1391" t="s">
        <v>3529</v>
      </c>
      <c r="AA437">
        <v>986</v>
      </c>
      <c r="AB437">
        <v>3099</v>
      </c>
      <c r="AC437">
        <v>5365</v>
      </c>
    </row>
    <row r="438" spans="1:29" ht="12.5">
      <c r="B438" s="5" t="s">
        <v>3530</v>
      </c>
      <c r="C438" s="6" t="s">
        <v>3531</v>
      </c>
      <c r="D438" s="1347">
        <v>0</v>
      </c>
      <c r="E438" s="1346">
        <v>0</v>
      </c>
      <c r="F438" s="1342" t="s">
        <v>3532</v>
      </c>
      <c r="G438" s="1408">
        <v>115</v>
      </c>
      <c r="H438" s="1353">
        <f t="shared" ref="H438:I440" si="51">M120</f>
        <v>0</v>
      </c>
      <c r="I438" s="1353">
        <f t="shared" si="51"/>
        <v>0</v>
      </c>
      <c r="K438" s="1391">
        <v>456</v>
      </c>
      <c r="L438" s="1391" t="s">
        <v>2330</v>
      </c>
      <c r="AA438">
        <v>987</v>
      </c>
      <c r="AB438">
        <v>907</v>
      </c>
      <c r="AC438">
        <v>2534</v>
      </c>
    </row>
    <row r="439" spans="1:29" ht="12.5">
      <c r="B439" s="5" t="s">
        <v>3533</v>
      </c>
      <c r="C439" s="6" t="s">
        <v>3534</v>
      </c>
      <c r="D439" s="1347">
        <v>0</v>
      </c>
      <c r="E439" s="1346">
        <v>0</v>
      </c>
      <c r="F439" s="1342" t="s">
        <v>3535</v>
      </c>
      <c r="G439" s="1408">
        <v>116</v>
      </c>
      <c r="H439" s="1353">
        <f t="shared" si="51"/>
        <v>0</v>
      </c>
      <c r="I439" s="1353">
        <f t="shared" si="51"/>
        <v>0</v>
      </c>
      <c r="K439" s="1391">
        <v>457</v>
      </c>
      <c r="L439" s="1391" t="s">
        <v>2334</v>
      </c>
      <c r="AA439">
        <v>988</v>
      </c>
      <c r="AB439">
        <v>814</v>
      </c>
      <c r="AC439">
        <v>2848</v>
      </c>
    </row>
    <row r="440" spans="1:29" ht="12.5">
      <c r="B440" s="5" t="s">
        <v>3536</v>
      </c>
      <c r="C440" s="6" t="s">
        <v>3537</v>
      </c>
      <c r="D440" s="1347">
        <v>0</v>
      </c>
      <c r="E440" s="1346">
        <v>0</v>
      </c>
      <c r="F440" s="1342" t="s">
        <v>3538</v>
      </c>
      <c r="G440" s="1408">
        <v>117</v>
      </c>
      <c r="H440" s="1353">
        <f t="shared" si="51"/>
        <v>0</v>
      </c>
      <c r="I440" s="1353">
        <f t="shared" si="51"/>
        <v>0</v>
      </c>
      <c r="K440" s="1391">
        <v>458</v>
      </c>
      <c r="L440" s="1391" t="s">
        <v>2338</v>
      </c>
      <c r="AA440">
        <v>990</v>
      </c>
      <c r="AB440">
        <v>11132</v>
      </c>
      <c r="AC440">
        <v>33560</v>
      </c>
    </row>
    <row r="441" spans="1:29" ht="12.5">
      <c r="B441" s="5" t="s">
        <v>3539</v>
      </c>
      <c r="C441" s="6" t="s">
        <v>3540</v>
      </c>
      <c r="D441" s="1347">
        <v>0</v>
      </c>
      <c r="E441" s="1346">
        <v>0</v>
      </c>
      <c r="F441" s="1342" t="s">
        <v>3541</v>
      </c>
      <c r="G441" s="1408">
        <v>119</v>
      </c>
      <c r="H441" s="1353">
        <f>M124</f>
        <v>0</v>
      </c>
      <c r="I441" s="1353">
        <f>N124</f>
        <v>0</v>
      </c>
      <c r="K441" s="1391">
        <v>459</v>
      </c>
      <c r="L441" s="1391" t="s">
        <v>2342</v>
      </c>
      <c r="AA441">
        <v>993</v>
      </c>
      <c r="AB441">
        <v>3966</v>
      </c>
      <c r="AC441">
        <v>10509</v>
      </c>
    </row>
    <row r="442" spans="1:29" ht="12.5">
      <c r="B442" s="5" t="s">
        <v>3542</v>
      </c>
      <c r="C442" s="6" t="s">
        <v>3543</v>
      </c>
      <c r="D442" s="1347">
        <v>11</v>
      </c>
      <c r="E442" s="1346">
        <v>50</v>
      </c>
      <c r="F442" s="1342" t="s">
        <v>3544</v>
      </c>
      <c r="G442" s="1409"/>
      <c r="H442" s="1353"/>
      <c r="I442" s="1353"/>
      <c r="K442" s="1391">
        <v>460</v>
      </c>
      <c r="L442" s="1391" t="s">
        <v>2346</v>
      </c>
      <c r="AA442">
        <v>995</v>
      </c>
      <c r="AB442">
        <v>441</v>
      </c>
      <c r="AC442">
        <v>1009</v>
      </c>
    </row>
    <row r="443" spans="1:29" ht="12.5">
      <c r="A443" s="611" t="s">
        <v>3545</v>
      </c>
      <c r="B443" s="5" t="s">
        <v>3546</v>
      </c>
      <c r="C443" s="6" t="s">
        <v>3547</v>
      </c>
      <c r="D443" s="1347">
        <v>0</v>
      </c>
      <c r="E443" s="1346">
        <v>0</v>
      </c>
      <c r="F443" s="1342" t="s">
        <v>3548</v>
      </c>
      <c r="G443" s="1414">
        <v>3645</v>
      </c>
      <c r="H443" s="1353">
        <f t="shared" ref="H443:H461" si="52">M1905</f>
        <v>0</v>
      </c>
      <c r="I443" s="1353">
        <f t="shared" ref="I443:I461" si="53">N1905</f>
        <v>0</v>
      </c>
      <c r="K443" s="1391">
        <v>461</v>
      </c>
      <c r="L443" s="1391" t="s">
        <v>2353</v>
      </c>
      <c r="AA443">
        <v>996</v>
      </c>
      <c r="AB443">
        <v>1525</v>
      </c>
      <c r="AC443">
        <v>1677</v>
      </c>
    </row>
    <row r="444" spans="1:29" ht="12.5">
      <c r="B444" s="5" t="s">
        <v>3549</v>
      </c>
      <c r="C444" s="6" t="s">
        <v>3550</v>
      </c>
      <c r="D444" s="1347">
        <v>0</v>
      </c>
      <c r="E444" s="1346">
        <v>0</v>
      </c>
      <c r="F444" s="1342" t="s">
        <v>3551</v>
      </c>
      <c r="G444" s="1414">
        <v>3646</v>
      </c>
      <c r="H444" s="1353">
        <f t="shared" si="52"/>
        <v>0</v>
      </c>
      <c r="I444" s="1353">
        <f t="shared" si="53"/>
        <v>0</v>
      </c>
      <c r="K444" s="1391">
        <v>462</v>
      </c>
      <c r="L444" s="1391" t="s">
        <v>2357</v>
      </c>
      <c r="AA444">
        <v>997</v>
      </c>
      <c r="AB444">
        <v>200</v>
      </c>
      <c r="AC444">
        <v>200</v>
      </c>
    </row>
    <row r="445" spans="1:29" ht="12.5">
      <c r="B445" s="5" t="s">
        <v>3552</v>
      </c>
      <c r="C445" s="6" t="s">
        <v>3553</v>
      </c>
      <c r="D445" s="1347">
        <v>0</v>
      </c>
      <c r="E445" s="1346">
        <v>0</v>
      </c>
      <c r="F445" s="1342" t="s">
        <v>3554</v>
      </c>
      <c r="G445" s="1414">
        <v>3647</v>
      </c>
      <c r="H445" s="1353">
        <f t="shared" si="52"/>
        <v>0</v>
      </c>
      <c r="I445" s="1353">
        <f t="shared" si="53"/>
        <v>0</v>
      </c>
      <c r="K445" s="1391">
        <v>463</v>
      </c>
      <c r="L445" s="1391" t="s">
        <v>2361</v>
      </c>
      <c r="AA445">
        <v>998</v>
      </c>
      <c r="AB445">
        <v>98</v>
      </c>
      <c r="AC445">
        <v>314</v>
      </c>
    </row>
    <row r="446" spans="1:29" ht="12.5">
      <c r="B446" s="5" t="s">
        <v>3555</v>
      </c>
      <c r="C446" s="6" t="s">
        <v>3556</v>
      </c>
      <c r="D446" s="1347">
        <v>0</v>
      </c>
      <c r="E446" s="1346">
        <v>0</v>
      </c>
      <c r="F446" s="1342" t="s">
        <v>3557</v>
      </c>
      <c r="G446" s="1414">
        <v>3648</v>
      </c>
      <c r="H446" s="1353">
        <f t="shared" si="52"/>
        <v>0</v>
      </c>
      <c r="I446" s="1353">
        <f t="shared" si="53"/>
        <v>0</v>
      </c>
      <c r="K446" s="1391">
        <v>464</v>
      </c>
      <c r="L446" s="1391" t="s">
        <v>3558</v>
      </c>
      <c r="AA446">
        <v>999</v>
      </c>
      <c r="AB446">
        <v>0</v>
      </c>
      <c r="AC446">
        <v>26</v>
      </c>
    </row>
    <row r="447" spans="1:29" ht="12.5">
      <c r="B447" s="5" t="s">
        <v>3559</v>
      </c>
      <c r="C447" s="6" t="s">
        <v>3560</v>
      </c>
      <c r="D447" s="1347">
        <v>0</v>
      </c>
      <c r="E447" s="1346">
        <v>0</v>
      </c>
      <c r="F447" s="1342" t="s">
        <v>3561</v>
      </c>
      <c r="G447" s="1414">
        <v>3649</v>
      </c>
      <c r="H447" s="1353">
        <f t="shared" si="52"/>
        <v>0</v>
      </c>
      <c r="I447" s="1353">
        <f t="shared" si="53"/>
        <v>0</v>
      </c>
      <c r="K447" s="1391">
        <v>465</v>
      </c>
      <c r="L447" s="1391" t="s">
        <v>2365</v>
      </c>
      <c r="AA447">
        <v>1000</v>
      </c>
      <c r="AB447">
        <v>90147</v>
      </c>
      <c r="AC447">
        <v>144650</v>
      </c>
    </row>
    <row r="448" spans="1:29" ht="12.5">
      <c r="B448" s="5" t="s">
        <v>3562</v>
      </c>
      <c r="C448" s="6" t="s">
        <v>3563</v>
      </c>
      <c r="D448" s="1347">
        <v>0</v>
      </c>
      <c r="E448" s="1346">
        <v>0</v>
      </c>
      <c r="F448" s="1342" t="s">
        <v>3564</v>
      </c>
      <c r="G448" s="1414">
        <v>3650</v>
      </c>
      <c r="H448" s="1353">
        <f t="shared" si="52"/>
        <v>0</v>
      </c>
      <c r="I448" s="1353">
        <f t="shared" si="53"/>
        <v>0</v>
      </c>
      <c r="K448" s="1391">
        <v>466</v>
      </c>
      <c r="L448" s="1391" t="s">
        <v>2369</v>
      </c>
      <c r="AA448">
        <v>1002</v>
      </c>
      <c r="AB448">
        <v>491</v>
      </c>
      <c r="AC448">
        <v>1824</v>
      </c>
    </row>
    <row r="449" spans="2:29" ht="12.5">
      <c r="B449" s="5" t="s">
        <v>3565</v>
      </c>
      <c r="C449" s="6" t="s">
        <v>3566</v>
      </c>
      <c r="D449" s="1347">
        <v>0</v>
      </c>
      <c r="E449" s="1346">
        <v>0</v>
      </c>
      <c r="F449" s="1342" t="s">
        <v>3567</v>
      </c>
      <c r="G449" s="1414">
        <v>3651</v>
      </c>
      <c r="H449" s="1353">
        <f t="shared" si="52"/>
        <v>0</v>
      </c>
      <c r="I449" s="1353">
        <f t="shared" si="53"/>
        <v>0</v>
      </c>
      <c r="K449" s="1391">
        <v>467</v>
      </c>
      <c r="L449" s="1391" t="s">
        <v>3568</v>
      </c>
      <c r="AA449">
        <v>1005</v>
      </c>
      <c r="AB449">
        <v>550</v>
      </c>
      <c r="AC449">
        <v>2058</v>
      </c>
    </row>
    <row r="450" spans="2:29" ht="12.5">
      <c r="B450" s="5" t="s">
        <v>3569</v>
      </c>
      <c r="C450" s="6" t="s">
        <v>3570</v>
      </c>
      <c r="D450" s="1347">
        <v>0</v>
      </c>
      <c r="E450" s="1346">
        <v>0</v>
      </c>
      <c r="F450" s="1342" t="s">
        <v>3571</v>
      </c>
      <c r="G450" s="1414">
        <v>3652</v>
      </c>
      <c r="H450" s="1353">
        <f t="shared" si="52"/>
        <v>0</v>
      </c>
      <c r="I450" s="1353">
        <f t="shared" si="53"/>
        <v>0</v>
      </c>
      <c r="K450" s="1391">
        <v>468</v>
      </c>
      <c r="L450" s="1391" t="s">
        <v>3572</v>
      </c>
      <c r="AA450">
        <v>1006</v>
      </c>
      <c r="AB450">
        <v>0</v>
      </c>
      <c r="AC450">
        <v>156</v>
      </c>
    </row>
    <row r="451" spans="2:29" ht="12.5">
      <c r="B451" s="5" t="s">
        <v>3573</v>
      </c>
      <c r="C451" s="6" t="s">
        <v>3574</v>
      </c>
      <c r="D451" s="1347">
        <v>0</v>
      </c>
      <c r="E451" s="1346">
        <v>0</v>
      </c>
      <c r="F451" s="1342" t="s">
        <v>3575</v>
      </c>
      <c r="G451" s="1414">
        <v>3653</v>
      </c>
      <c r="H451" s="1353">
        <f t="shared" si="52"/>
        <v>0</v>
      </c>
      <c r="I451" s="1353">
        <f t="shared" si="53"/>
        <v>0</v>
      </c>
      <c r="K451" s="1391">
        <v>469</v>
      </c>
      <c r="L451" s="1391" t="s">
        <v>3576</v>
      </c>
      <c r="AA451">
        <v>1007</v>
      </c>
      <c r="AB451">
        <v>113370</v>
      </c>
      <c r="AC451">
        <v>206730</v>
      </c>
    </row>
    <row r="452" spans="2:29" ht="12.5">
      <c r="B452" s="5" t="s">
        <v>3577</v>
      </c>
      <c r="C452" s="6" t="s">
        <v>3578</v>
      </c>
      <c r="D452" s="1347">
        <v>0</v>
      </c>
      <c r="E452" s="1346">
        <v>0</v>
      </c>
      <c r="F452" s="1342" t="s">
        <v>3579</v>
      </c>
      <c r="G452" s="1414">
        <v>3654</v>
      </c>
      <c r="H452" s="1353">
        <f t="shared" si="52"/>
        <v>0</v>
      </c>
      <c r="I452" s="1353">
        <f t="shared" si="53"/>
        <v>0</v>
      </c>
      <c r="K452" s="1391">
        <v>470</v>
      </c>
      <c r="L452" s="1391" t="s">
        <v>3580</v>
      </c>
      <c r="AA452">
        <v>1008</v>
      </c>
      <c r="AB452">
        <v>9180</v>
      </c>
      <c r="AC452">
        <v>27540</v>
      </c>
    </row>
    <row r="453" spans="2:29" ht="12.5">
      <c r="B453" s="5" t="s">
        <v>3581</v>
      </c>
      <c r="C453" s="6" t="s">
        <v>3582</v>
      </c>
      <c r="D453" s="1347">
        <v>0</v>
      </c>
      <c r="E453" s="1346">
        <v>0</v>
      </c>
      <c r="F453" s="1342" t="s">
        <v>3583</v>
      </c>
      <c r="G453" s="1414">
        <v>3655</v>
      </c>
      <c r="H453" s="1353">
        <f t="shared" si="52"/>
        <v>0</v>
      </c>
      <c r="I453" s="1353">
        <f t="shared" si="53"/>
        <v>0</v>
      </c>
      <c r="K453" s="1391">
        <v>471</v>
      </c>
      <c r="L453" s="1391" t="s">
        <v>3584</v>
      </c>
      <c r="AA453">
        <v>1010</v>
      </c>
      <c r="AB453">
        <v>1809</v>
      </c>
      <c r="AC453">
        <v>5766</v>
      </c>
    </row>
    <row r="454" spans="2:29" ht="12.5">
      <c r="B454" s="5" t="s">
        <v>3585</v>
      </c>
      <c r="C454" s="6" t="s">
        <v>3586</v>
      </c>
      <c r="D454" s="1347">
        <v>0</v>
      </c>
      <c r="E454" s="1346">
        <v>0</v>
      </c>
      <c r="F454" s="1342" t="s">
        <v>3587</v>
      </c>
      <c r="G454" s="1414">
        <v>3656</v>
      </c>
      <c r="H454" s="1353">
        <f t="shared" si="52"/>
        <v>0</v>
      </c>
      <c r="I454" s="1353">
        <f t="shared" si="53"/>
        <v>0</v>
      </c>
      <c r="K454" s="1391">
        <v>472</v>
      </c>
      <c r="L454" s="1391" t="s">
        <v>3588</v>
      </c>
      <c r="AA454">
        <v>1011</v>
      </c>
      <c r="AB454">
        <v>15</v>
      </c>
      <c r="AC454">
        <v>46</v>
      </c>
    </row>
    <row r="455" spans="2:29" ht="12.5">
      <c r="B455" s="5" t="s">
        <v>3589</v>
      </c>
      <c r="C455" s="6" t="s">
        <v>3590</v>
      </c>
      <c r="D455" s="1347">
        <v>0</v>
      </c>
      <c r="E455" s="1346">
        <v>0</v>
      </c>
      <c r="F455" s="1342" t="s">
        <v>3591</v>
      </c>
      <c r="G455" s="1414">
        <v>3657</v>
      </c>
      <c r="H455" s="1353">
        <f t="shared" si="52"/>
        <v>0</v>
      </c>
      <c r="I455" s="1353">
        <f t="shared" si="53"/>
        <v>0</v>
      </c>
      <c r="K455" s="1391">
        <v>473</v>
      </c>
      <c r="L455" s="1391" t="s">
        <v>2373</v>
      </c>
      <c r="AA455">
        <v>1012</v>
      </c>
      <c r="AB455">
        <v>1200</v>
      </c>
      <c r="AC455">
        <v>3600</v>
      </c>
    </row>
    <row r="456" spans="2:29" ht="12.5">
      <c r="B456" s="5" t="s">
        <v>3592</v>
      </c>
      <c r="C456" s="6" t="s">
        <v>3593</v>
      </c>
      <c r="D456" s="1347">
        <v>0</v>
      </c>
      <c r="E456" s="1346">
        <v>0</v>
      </c>
      <c r="F456" s="1342" t="s">
        <v>3594</v>
      </c>
      <c r="G456" s="1414">
        <v>3658</v>
      </c>
      <c r="H456" s="1353">
        <f t="shared" si="52"/>
        <v>0</v>
      </c>
      <c r="I456" s="1353">
        <f t="shared" si="53"/>
        <v>0</v>
      </c>
      <c r="K456" s="1391">
        <v>474</v>
      </c>
      <c r="L456" s="1391" t="s">
        <v>2377</v>
      </c>
      <c r="AA456">
        <v>1013</v>
      </c>
      <c r="AB456">
        <v>816</v>
      </c>
      <c r="AC456">
        <v>2448</v>
      </c>
    </row>
    <row r="457" spans="2:29" ht="12.5">
      <c r="B457" s="5" t="s">
        <v>3595</v>
      </c>
      <c r="C457" s="6" t="s">
        <v>3596</v>
      </c>
      <c r="D457" s="1347">
        <v>0</v>
      </c>
      <c r="E457" s="1346">
        <v>0</v>
      </c>
      <c r="F457" s="1342" t="s">
        <v>3597</v>
      </c>
      <c r="G457" s="1414">
        <v>3659</v>
      </c>
      <c r="H457" s="1353">
        <f t="shared" si="52"/>
        <v>0</v>
      </c>
      <c r="I457" s="1353">
        <f t="shared" si="53"/>
        <v>0</v>
      </c>
      <c r="K457" s="1391">
        <v>475</v>
      </c>
      <c r="L457" s="1391" t="s">
        <v>2381</v>
      </c>
      <c r="AA457">
        <v>1015</v>
      </c>
      <c r="AB457">
        <v>14968</v>
      </c>
      <c r="AC457">
        <v>45286</v>
      </c>
    </row>
    <row r="458" spans="2:29" ht="12.5">
      <c r="B458" s="5" t="s">
        <v>3598</v>
      </c>
      <c r="C458" s="6" t="s">
        <v>3599</v>
      </c>
      <c r="D458" s="1347">
        <v>0</v>
      </c>
      <c r="E458" s="1346">
        <v>0</v>
      </c>
      <c r="F458" s="1342" t="s">
        <v>3600</v>
      </c>
      <c r="G458" s="1414">
        <v>3660</v>
      </c>
      <c r="H458" s="1353">
        <f t="shared" si="52"/>
        <v>0</v>
      </c>
      <c r="I458" s="1353">
        <f t="shared" si="53"/>
        <v>0</v>
      </c>
      <c r="K458" s="1391">
        <v>476</v>
      </c>
      <c r="L458" s="1391" t="s">
        <v>3601</v>
      </c>
      <c r="AA458">
        <v>1016</v>
      </c>
      <c r="AB458">
        <v>1948</v>
      </c>
      <c r="AC458">
        <v>5886</v>
      </c>
    </row>
    <row r="459" spans="2:29" ht="12.5">
      <c r="B459" s="5" t="s">
        <v>3602</v>
      </c>
      <c r="C459" s="6" t="s">
        <v>3603</v>
      </c>
      <c r="D459" s="1347">
        <v>0</v>
      </c>
      <c r="E459" s="1346">
        <v>0</v>
      </c>
      <c r="F459" s="1342" t="s">
        <v>3604</v>
      </c>
      <c r="G459" s="1414">
        <v>3661</v>
      </c>
      <c r="H459" s="1353">
        <f t="shared" si="52"/>
        <v>0</v>
      </c>
      <c r="I459" s="1353">
        <f t="shared" si="53"/>
        <v>0</v>
      </c>
      <c r="K459" s="1391">
        <v>477</v>
      </c>
      <c r="L459" s="1391" t="s">
        <v>3605</v>
      </c>
      <c r="AA459">
        <v>1017</v>
      </c>
      <c r="AB459">
        <v>3457</v>
      </c>
      <c r="AC459">
        <v>9650</v>
      </c>
    </row>
    <row r="460" spans="2:29" ht="12.5">
      <c r="B460" s="5" t="s">
        <v>3606</v>
      </c>
      <c r="C460" s="6" t="s">
        <v>3607</v>
      </c>
      <c r="D460" s="1347">
        <v>0</v>
      </c>
      <c r="E460" s="1346">
        <v>0</v>
      </c>
      <c r="F460" s="1342" t="s">
        <v>3608</v>
      </c>
      <c r="G460" s="1414">
        <v>3662</v>
      </c>
      <c r="H460" s="1353">
        <f t="shared" si="52"/>
        <v>0</v>
      </c>
      <c r="I460" s="1353">
        <f t="shared" si="53"/>
        <v>0</v>
      </c>
      <c r="K460" s="1391">
        <v>478</v>
      </c>
      <c r="L460" s="1391" t="s">
        <v>2061</v>
      </c>
      <c r="AA460">
        <v>1019</v>
      </c>
      <c r="AB460">
        <v>240</v>
      </c>
      <c r="AC460">
        <v>294</v>
      </c>
    </row>
    <row r="461" spans="2:29" ht="12.5">
      <c r="B461" s="5" t="s">
        <v>3609</v>
      </c>
      <c r="C461" s="6" t="s">
        <v>3610</v>
      </c>
      <c r="D461" s="1347">
        <v>0</v>
      </c>
      <c r="E461" s="1346">
        <v>0</v>
      </c>
      <c r="F461" s="1342" t="s">
        <v>3611</v>
      </c>
      <c r="G461" s="1414">
        <v>3663</v>
      </c>
      <c r="H461" s="1353">
        <f t="shared" si="52"/>
        <v>0</v>
      </c>
      <c r="I461" s="1353">
        <f t="shared" si="53"/>
        <v>0</v>
      </c>
      <c r="K461" s="1391">
        <v>479</v>
      </c>
      <c r="L461" s="1391" t="s">
        <v>2081</v>
      </c>
      <c r="AA461">
        <v>1020</v>
      </c>
      <c r="AB461">
        <v>2702</v>
      </c>
      <c r="AC461">
        <v>8106</v>
      </c>
    </row>
    <row r="462" spans="2:29" ht="12.5">
      <c r="B462" s="5" t="s">
        <v>3612</v>
      </c>
      <c r="C462" s="6" t="s">
        <v>3613</v>
      </c>
      <c r="D462" s="1347">
        <v>0</v>
      </c>
      <c r="E462" s="1346">
        <v>0</v>
      </c>
      <c r="F462" s="1342" t="s">
        <v>3614</v>
      </c>
      <c r="G462" s="1408">
        <v>86</v>
      </c>
      <c r="H462" s="1353">
        <f t="shared" ref="H462:I464" si="54">M91</f>
        <v>0</v>
      </c>
      <c r="I462" s="1353">
        <f t="shared" si="54"/>
        <v>0</v>
      </c>
      <c r="K462" s="1391">
        <v>480</v>
      </c>
      <c r="L462" s="1391" t="s">
        <v>2101</v>
      </c>
      <c r="AA462">
        <v>1022</v>
      </c>
      <c r="AB462">
        <v>21367</v>
      </c>
      <c r="AC462">
        <v>63336</v>
      </c>
    </row>
    <row r="463" spans="2:29" ht="12.5">
      <c r="B463" s="5" t="s">
        <v>3615</v>
      </c>
      <c r="C463" s="6" t="s">
        <v>3616</v>
      </c>
      <c r="D463" s="1347">
        <v>0</v>
      </c>
      <c r="E463" s="1346">
        <v>0</v>
      </c>
      <c r="F463" s="1342" t="s">
        <v>3617</v>
      </c>
      <c r="G463" s="1408">
        <v>87</v>
      </c>
      <c r="H463" s="1353">
        <f t="shared" si="54"/>
        <v>0</v>
      </c>
      <c r="I463" s="1353">
        <f t="shared" si="54"/>
        <v>0</v>
      </c>
      <c r="K463" s="1391">
        <v>481</v>
      </c>
      <c r="L463" s="1391" t="s">
        <v>3618</v>
      </c>
      <c r="AA463">
        <v>1023</v>
      </c>
      <c r="AB463">
        <v>175197</v>
      </c>
      <c r="AC463">
        <v>390116</v>
      </c>
    </row>
    <row r="464" spans="2:29" ht="12.5">
      <c r="B464" s="5" t="s">
        <v>3619</v>
      </c>
      <c r="C464" s="6" t="s">
        <v>3620</v>
      </c>
      <c r="D464" s="1347">
        <v>0</v>
      </c>
      <c r="E464" s="1346">
        <v>0</v>
      </c>
      <c r="F464" s="1342" t="s">
        <v>3621</v>
      </c>
      <c r="G464" s="1408">
        <v>88</v>
      </c>
      <c r="H464" s="1353">
        <f t="shared" si="54"/>
        <v>0</v>
      </c>
      <c r="I464" s="1353">
        <f t="shared" si="54"/>
        <v>0</v>
      </c>
      <c r="K464" s="1391">
        <v>482</v>
      </c>
      <c r="L464" s="1391" t="s">
        <v>3622</v>
      </c>
      <c r="AA464">
        <v>1024</v>
      </c>
      <c r="AB464">
        <v>196140</v>
      </c>
      <c r="AC464">
        <v>443219</v>
      </c>
    </row>
    <row r="465" spans="2:29" ht="12.5">
      <c r="B465" s="5" t="s">
        <v>3623</v>
      </c>
      <c r="C465" s="6" t="s">
        <v>3624</v>
      </c>
      <c r="D465" s="1347">
        <v>3</v>
      </c>
      <c r="E465" s="1346">
        <v>5</v>
      </c>
      <c r="F465" s="1342" t="s">
        <v>3625</v>
      </c>
      <c r="G465" s="1414">
        <v>3664</v>
      </c>
      <c r="H465" s="1353">
        <f t="shared" ref="H465:H480" si="55">M1924</f>
        <v>0</v>
      </c>
      <c r="I465" s="1353">
        <f t="shared" ref="I465:I480" si="56">N1924</f>
        <v>0</v>
      </c>
      <c r="K465" s="1391">
        <v>483</v>
      </c>
      <c r="L465" s="1391" t="s">
        <v>2065</v>
      </c>
      <c r="AA465">
        <v>1025</v>
      </c>
      <c r="AB465">
        <v>82901</v>
      </c>
      <c r="AC465">
        <v>127215</v>
      </c>
    </row>
    <row r="466" spans="2:29" ht="12.5">
      <c r="B466" s="5" t="s">
        <v>3626</v>
      </c>
      <c r="C466" s="6" t="s">
        <v>3627</v>
      </c>
      <c r="D466" s="1347">
        <v>1</v>
      </c>
      <c r="E466" s="1346">
        <v>3</v>
      </c>
      <c r="F466" s="1342" t="s">
        <v>3628</v>
      </c>
      <c r="G466" s="1414">
        <v>3665</v>
      </c>
      <c r="H466" s="1353">
        <f t="shared" si="55"/>
        <v>0</v>
      </c>
      <c r="I466" s="1353">
        <f t="shared" si="56"/>
        <v>0</v>
      </c>
      <c r="K466" s="1391">
        <v>484</v>
      </c>
      <c r="L466" s="1391" t="s">
        <v>2085</v>
      </c>
      <c r="AA466">
        <v>1026</v>
      </c>
      <c r="AB466">
        <v>3207</v>
      </c>
      <c r="AC466">
        <v>9698</v>
      </c>
    </row>
    <row r="467" spans="2:29" ht="12.5">
      <c r="B467" s="5" t="s">
        <v>3629</v>
      </c>
      <c r="C467" s="6" t="s">
        <v>3630</v>
      </c>
      <c r="D467" s="1347">
        <v>1</v>
      </c>
      <c r="E467" s="1346">
        <v>2</v>
      </c>
      <c r="F467" s="1342" t="s">
        <v>3631</v>
      </c>
      <c r="G467" s="1414">
        <v>3666</v>
      </c>
      <c r="H467" s="1353">
        <f t="shared" si="55"/>
        <v>0</v>
      </c>
      <c r="I467" s="1353">
        <f t="shared" si="56"/>
        <v>0</v>
      </c>
      <c r="K467" s="1391">
        <v>485</v>
      </c>
      <c r="L467" s="1391" t="s">
        <v>2105</v>
      </c>
      <c r="AA467">
        <v>1028</v>
      </c>
      <c r="AB467">
        <v>86108</v>
      </c>
      <c r="AC467">
        <v>136913</v>
      </c>
    </row>
    <row r="468" spans="2:29" ht="12.5">
      <c r="B468" s="5" t="s">
        <v>3632</v>
      </c>
      <c r="C468" s="6" t="s">
        <v>3633</v>
      </c>
      <c r="D468" s="1347">
        <v>0</v>
      </c>
      <c r="E468" s="1346">
        <v>0</v>
      </c>
      <c r="F468" s="1342" t="s">
        <v>3634</v>
      </c>
      <c r="G468" s="1414">
        <v>3667</v>
      </c>
      <c r="H468" s="1353">
        <f t="shared" si="55"/>
        <v>0</v>
      </c>
      <c r="I468" s="1353">
        <f t="shared" si="56"/>
        <v>0</v>
      </c>
      <c r="K468" s="1391">
        <v>486</v>
      </c>
      <c r="L468" s="1391" t="s">
        <v>3635</v>
      </c>
      <c r="AA468">
        <v>1088</v>
      </c>
      <c r="AB468">
        <v>53975</v>
      </c>
      <c r="AC468">
        <v>125894</v>
      </c>
    </row>
    <row r="469" spans="2:29" ht="12.5">
      <c r="B469" s="5" t="s">
        <v>3636</v>
      </c>
      <c r="C469" s="6" t="s">
        <v>3637</v>
      </c>
      <c r="D469" s="1347">
        <v>0</v>
      </c>
      <c r="E469" s="1346">
        <v>0</v>
      </c>
      <c r="F469" s="1342" t="s">
        <v>3638</v>
      </c>
      <c r="G469" s="1414">
        <v>3668</v>
      </c>
      <c r="H469" s="1353">
        <f t="shared" si="55"/>
        <v>0</v>
      </c>
      <c r="I469" s="1353">
        <f t="shared" si="56"/>
        <v>0</v>
      </c>
      <c r="K469" s="1391">
        <v>487</v>
      </c>
      <c r="L469" s="1391" t="s">
        <v>3639</v>
      </c>
      <c r="AA469">
        <v>1089</v>
      </c>
      <c r="AB469">
        <v>19488</v>
      </c>
      <c r="AC469">
        <v>44353</v>
      </c>
    </row>
    <row r="470" spans="2:29" ht="12.5">
      <c r="B470" s="5" t="s">
        <v>3640</v>
      </c>
      <c r="C470" s="6" t="s">
        <v>3641</v>
      </c>
      <c r="D470" s="1347">
        <v>0</v>
      </c>
      <c r="E470" s="1346">
        <v>0</v>
      </c>
      <c r="F470" s="1342" t="s">
        <v>3642</v>
      </c>
      <c r="G470" s="1414">
        <v>3669</v>
      </c>
      <c r="H470" s="1353">
        <f t="shared" si="55"/>
        <v>0</v>
      </c>
      <c r="I470" s="1353">
        <f t="shared" si="56"/>
        <v>0</v>
      </c>
      <c r="K470" s="1391">
        <v>488</v>
      </c>
      <c r="L470" s="1391" t="s">
        <v>2069</v>
      </c>
      <c r="AA470">
        <v>1090</v>
      </c>
      <c r="AB470">
        <v>-19488</v>
      </c>
      <c r="AC470">
        <v>-44353</v>
      </c>
    </row>
    <row r="471" spans="2:29" ht="12.5">
      <c r="B471" s="5" t="s">
        <v>3643</v>
      </c>
      <c r="C471" s="6" t="s">
        <v>3644</v>
      </c>
      <c r="D471" s="1347">
        <v>0</v>
      </c>
      <c r="E471" s="1346">
        <v>0</v>
      </c>
      <c r="F471" s="1342" t="s">
        <v>3645</v>
      </c>
      <c r="G471" s="1414">
        <v>3670</v>
      </c>
      <c r="H471" s="1353">
        <f t="shared" si="55"/>
        <v>0</v>
      </c>
      <c r="I471" s="1353">
        <f t="shared" si="56"/>
        <v>0</v>
      </c>
      <c r="K471" s="1391">
        <v>489</v>
      </c>
      <c r="L471" s="1391" t="s">
        <v>2089</v>
      </c>
      <c r="AA471">
        <v>1091</v>
      </c>
      <c r="AB471">
        <v>135139</v>
      </c>
      <c r="AC471">
        <v>341351</v>
      </c>
    </row>
    <row r="472" spans="2:29" ht="12.5">
      <c r="B472" s="5" t="s">
        <v>3646</v>
      </c>
      <c r="C472" s="6" t="s">
        <v>3647</v>
      </c>
      <c r="D472" s="1347">
        <v>0</v>
      </c>
      <c r="E472" s="1346">
        <v>0</v>
      </c>
      <c r="F472" s="1342" t="s">
        <v>3648</v>
      </c>
      <c r="G472" s="1414">
        <v>3671</v>
      </c>
      <c r="H472" s="1353">
        <f t="shared" si="55"/>
        <v>0</v>
      </c>
      <c r="I472" s="1353">
        <f t="shared" si="56"/>
        <v>0</v>
      </c>
      <c r="K472" s="1391">
        <v>490</v>
      </c>
      <c r="L472" s="1391" t="s">
        <v>2109</v>
      </c>
      <c r="AA472">
        <v>1092</v>
      </c>
      <c r="AB472">
        <v>84599</v>
      </c>
      <c r="AC472">
        <v>192675</v>
      </c>
    </row>
    <row r="473" spans="2:29" ht="12.5">
      <c r="B473" s="5" t="s">
        <v>3649</v>
      </c>
      <c r="C473" s="6" t="s">
        <v>3650</v>
      </c>
      <c r="D473" s="1347">
        <v>0</v>
      </c>
      <c r="E473" s="1346">
        <v>0</v>
      </c>
      <c r="F473" s="1342" t="s">
        <v>3651</v>
      </c>
      <c r="G473" s="1414">
        <v>3672</v>
      </c>
      <c r="H473" s="1353">
        <f t="shared" si="55"/>
        <v>0</v>
      </c>
      <c r="I473" s="1353">
        <f t="shared" si="56"/>
        <v>0</v>
      </c>
      <c r="K473" s="1391">
        <v>491</v>
      </c>
      <c r="L473" s="1391" t="s">
        <v>3652</v>
      </c>
      <c r="AA473">
        <v>1093</v>
      </c>
      <c r="AB473">
        <v>9725</v>
      </c>
      <c r="AC473">
        <v>29898</v>
      </c>
    </row>
    <row r="474" spans="2:29" ht="12.5">
      <c r="B474" s="5" t="s">
        <v>3653</v>
      </c>
      <c r="C474" s="6" t="s">
        <v>3654</v>
      </c>
      <c r="D474" s="1347">
        <v>0</v>
      </c>
      <c r="E474" s="1346">
        <v>0</v>
      </c>
      <c r="F474" s="1342" t="s">
        <v>3655</v>
      </c>
      <c r="G474" s="1414">
        <v>3673</v>
      </c>
      <c r="H474" s="1353">
        <f t="shared" si="55"/>
        <v>0</v>
      </c>
      <c r="I474" s="1353">
        <f t="shared" si="56"/>
        <v>0</v>
      </c>
      <c r="K474" s="1391">
        <v>492</v>
      </c>
      <c r="L474" s="1391" t="s">
        <v>3656</v>
      </c>
      <c r="AA474">
        <v>1094</v>
      </c>
      <c r="AB474">
        <v>12444</v>
      </c>
      <c r="AC474">
        <v>30448</v>
      </c>
    </row>
    <row r="475" spans="2:29" ht="12.5">
      <c r="B475" s="5" t="s">
        <v>3657</v>
      </c>
      <c r="C475" s="6" t="s">
        <v>3658</v>
      </c>
      <c r="D475" s="1347">
        <v>0</v>
      </c>
      <c r="E475" s="1346">
        <v>0</v>
      </c>
      <c r="F475" s="1342" t="s">
        <v>3659</v>
      </c>
      <c r="G475" s="1414">
        <v>3674</v>
      </c>
      <c r="H475" s="1353">
        <f t="shared" si="55"/>
        <v>0</v>
      </c>
      <c r="I475" s="1353">
        <f t="shared" si="56"/>
        <v>0</v>
      </c>
      <c r="K475" s="1391">
        <v>493</v>
      </c>
      <c r="L475" s="1391" t="s">
        <v>3660</v>
      </c>
      <c r="AA475">
        <v>1095</v>
      </c>
      <c r="AB475">
        <v>12444</v>
      </c>
      <c r="AC475">
        <v>39756</v>
      </c>
    </row>
    <row r="476" spans="2:29" ht="12.5">
      <c r="B476" s="5" t="s">
        <v>3661</v>
      </c>
      <c r="C476" s="6" t="s">
        <v>3662</v>
      </c>
      <c r="D476" s="1347">
        <v>0</v>
      </c>
      <c r="E476" s="1346">
        <v>0</v>
      </c>
      <c r="F476" s="1342" t="s">
        <v>3663</v>
      </c>
      <c r="G476" s="1414">
        <v>3675</v>
      </c>
      <c r="H476" s="1353">
        <f t="shared" si="55"/>
        <v>0</v>
      </c>
      <c r="I476" s="1353">
        <f t="shared" si="56"/>
        <v>0</v>
      </c>
      <c r="K476" s="1391">
        <v>494</v>
      </c>
      <c r="L476" s="1391" t="s">
        <v>3664</v>
      </c>
      <c r="AA476">
        <v>1096</v>
      </c>
      <c r="AB476">
        <v>16040</v>
      </c>
      <c r="AC476">
        <v>32171</v>
      </c>
    </row>
    <row r="477" spans="2:29" ht="12.5">
      <c r="B477" s="5" t="s">
        <v>3665</v>
      </c>
      <c r="C477" s="6" t="s">
        <v>3666</v>
      </c>
      <c r="D477" s="1347">
        <v>0</v>
      </c>
      <c r="E477" s="1346">
        <v>0</v>
      </c>
      <c r="F477" s="1342" t="s">
        <v>3667</v>
      </c>
      <c r="G477" s="1414">
        <v>3676</v>
      </c>
      <c r="H477" s="1353">
        <f t="shared" si="55"/>
        <v>0</v>
      </c>
      <c r="I477" s="1353">
        <f t="shared" si="56"/>
        <v>0</v>
      </c>
      <c r="K477" s="1391">
        <v>495</v>
      </c>
      <c r="L477" s="1391" t="s">
        <v>3668</v>
      </c>
      <c r="AA477">
        <v>1097</v>
      </c>
      <c r="AB477">
        <v>5933</v>
      </c>
      <c r="AC477">
        <v>24181</v>
      </c>
    </row>
    <row r="478" spans="2:29" ht="12.5">
      <c r="B478" s="5" t="s">
        <v>3669</v>
      </c>
      <c r="C478" s="6" t="s">
        <v>3670</v>
      </c>
      <c r="D478" s="1347">
        <v>0</v>
      </c>
      <c r="E478" s="1346">
        <v>0</v>
      </c>
      <c r="F478" s="1342" t="s">
        <v>3671</v>
      </c>
      <c r="G478" s="1414">
        <v>3677</v>
      </c>
      <c r="H478" s="1353">
        <f t="shared" si="55"/>
        <v>0</v>
      </c>
      <c r="I478" s="1353">
        <f t="shared" si="56"/>
        <v>0</v>
      </c>
      <c r="K478" s="1391">
        <v>496</v>
      </c>
      <c r="L478" s="1391" t="s">
        <v>3672</v>
      </c>
      <c r="AA478">
        <v>1099</v>
      </c>
      <c r="AB478">
        <v>3524</v>
      </c>
      <c r="AC478">
        <v>11340</v>
      </c>
    </row>
    <row r="479" spans="2:29" ht="12.5">
      <c r="B479" s="5" t="s">
        <v>3673</v>
      </c>
      <c r="C479" s="6" t="s">
        <v>3674</v>
      </c>
      <c r="D479" s="1347">
        <v>0</v>
      </c>
      <c r="E479" s="1346">
        <v>0</v>
      </c>
      <c r="F479" s="1342" t="s">
        <v>3675</v>
      </c>
      <c r="G479" s="1414">
        <v>3678</v>
      </c>
      <c r="H479" s="1353">
        <f t="shared" si="55"/>
        <v>0</v>
      </c>
      <c r="I479" s="1353">
        <f t="shared" si="56"/>
        <v>0</v>
      </c>
      <c r="K479" s="1391">
        <v>497</v>
      </c>
      <c r="L479" s="1391" t="s">
        <v>3676</v>
      </c>
      <c r="AA479">
        <v>1100</v>
      </c>
      <c r="AB479">
        <v>7630</v>
      </c>
      <c r="AC479">
        <v>26834</v>
      </c>
    </row>
    <row r="480" spans="2:29" ht="12.5">
      <c r="B480" s="5" t="s">
        <v>3677</v>
      </c>
      <c r="C480" s="6" t="s">
        <v>3678</v>
      </c>
      <c r="D480" s="1347">
        <v>0</v>
      </c>
      <c r="E480" s="1346">
        <v>0</v>
      </c>
      <c r="F480" s="1342" t="s">
        <v>3679</v>
      </c>
      <c r="G480" s="1414">
        <v>3679</v>
      </c>
      <c r="H480" s="1353">
        <f t="shared" si="55"/>
        <v>0</v>
      </c>
      <c r="I480" s="1353">
        <f t="shared" si="56"/>
        <v>0</v>
      </c>
      <c r="K480" s="1391">
        <v>498</v>
      </c>
      <c r="L480" s="1391" t="s">
        <v>2073</v>
      </c>
      <c r="AA480">
        <v>1102</v>
      </c>
      <c r="AB480">
        <v>67740</v>
      </c>
      <c r="AC480">
        <v>194628</v>
      </c>
    </row>
    <row r="481" spans="1:29" ht="12.5">
      <c r="B481" s="5" t="s">
        <v>3680</v>
      </c>
      <c r="C481" s="6" t="s">
        <v>3681</v>
      </c>
      <c r="D481" s="1347">
        <v>0</v>
      </c>
      <c r="E481" s="1346">
        <v>0</v>
      </c>
      <c r="F481" s="1342" t="s">
        <v>3682</v>
      </c>
      <c r="G481" s="1408">
        <v>91</v>
      </c>
      <c r="H481" s="1353">
        <f t="shared" ref="H481:I483" si="57">M96</f>
        <v>0</v>
      </c>
      <c r="I481" s="1353">
        <f t="shared" si="57"/>
        <v>0</v>
      </c>
      <c r="K481" s="1391">
        <v>499</v>
      </c>
      <c r="L481" s="1391" t="s">
        <v>2093</v>
      </c>
      <c r="AA481">
        <v>1103</v>
      </c>
      <c r="AB481">
        <v>-6600</v>
      </c>
      <c r="AC481">
        <v>-8823</v>
      </c>
    </row>
    <row r="482" spans="1:29" ht="12.5">
      <c r="B482" s="5" t="s">
        <v>3683</v>
      </c>
      <c r="C482" s="6" t="s">
        <v>3684</v>
      </c>
      <c r="D482" s="1347">
        <v>0</v>
      </c>
      <c r="E482" s="1346">
        <v>0</v>
      </c>
      <c r="F482" s="1342" t="s">
        <v>3685</v>
      </c>
      <c r="G482" s="1408">
        <v>92</v>
      </c>
      <c r="H482" s="1353">
        <f t="shared" si="57"/>
        <v>0</v>
      </c>
      <c r="I482" s="1353">
        <f t="shared" si="57"/>
        <v>0</v>
      </c>
      <c r="K482" s="1391">
        <v>500</v>
      </c>
      <c r="L482" s="1391" t="s">
        <v>2113</v>
      </c>
      <c r="AA482">
        <v>1104</v>
      </c>
      <c r="AB482">
        <v>1693</v>
      </c>
      <c r="AC482">
        <v>2893</v>
      </c>
    </row>
    <row r="483" spans="1:29" ht="12.5">
      <c r="B483" s="5" t="s">
        <v>3686</v>
      </c>
      <c r="C483" s="6" t="s">
        <v>3687</v>
      </c>
      <c r="D483" s="1347">
        <v>0</v>
      </c>
      <c r="E483" s="1346">
        <v>0</v>
      </c>
      <c r="F483" s="1342" t="s">
        <v>3688</v>
      </c>
      <c r="G483" s="1408">
        <v>93</v>
      </c>
      <c r="H483" s="1353">
        <f t="shared" si="57"/>
        <v>0</v>
      </c>
      <c r="I483" s="1353">
        <f t="shared" si="57"/>
        <v>0</v>
      </c>
      <c r="K483" s="1391">
        <v>501</v>
      </c>
      <c r="L483" s="1391" t="s">
        <v>3689</v>
      </c>
      <c r="AA483">
        <v>1105</v>
      </c>
      <c r="AB483">
        <v>3879</v>
      </c>
      <c r="AC483">
        <v>11727</v>
      </c>
    </row>
    <row r="484" spans="1:29" ht="12.5">
      <c r="B484" s="5" t="s">
        <v>3690</v>
      </c>
      <c r="C484" s="6" t="s">
        <v>3691</v>
      </c>
      <c r="D484" s="1347">
        <v>0</v>
      </c>
      <c r="E484" s="1346">
        <v>0</v>
      </c>
      <c r="F484" s="1342" t="s">
        <v>3692</v>
      </c>
      <c r="G484" s="1408">
        <v>95</v>
      </c>
      <c r="H484" s="1353">
        <f>M100</f>
        <v>0</v>
      </c>
      <c r="I484" s="1353">
        <f>N100</f>
        <v>0</v>
      </c>
      <c r="K484" s="1391">
        <v>502</v>
      </c>
      <c r="L484" s="1391" t="s">
        <v>3693</v>
      </c>
      <c r="AA484">
        <v>1107</v>
      </c>
      <c r="AB484">
        <v>1490</v>
      </c>
      <c r="AC484">
        <v>2591</v>
      </c>
    </row>
    <row r="485" spans="1:29" ht="12.5">
      <c r="B485" s="5" t="s">
        <v>3694</v>
      </c>
      <c r="C485" s="6" t="s">
        <v>3695</v>
      </c>
      <c r="D485" s="1347">
        <v>5</v>
      </c>
      <c r="E485" s="1346">
        <v>10</v>
      </c>
      <c r="F485" s="1342" t="s">
        <v>3696</v>
      </c>
      <c r="G485" s="1409"/>
      <c r="H485" s="1353"/>
      <c r="I485" s="1353"/>
      <c r="K485" s="1391">
        <v>503</v>
      </c>
      <c r="L485" s="1391" t="s">
        <v>2077</v>
      </c>
      <c r="AA485">
        <v>1110</v>
      </c>
      <c r="AB485">
        <v>4663</v>
      </c>
      <c r="AC485">
        <v>7481</v>
      </c>
    </row>
    <row r="486" spans="1:29" ht="12.5">
      <c r="A486" s="611" t="s">
        <v>3697</v>
      </c>
      <c r="B486" s="5" t="s">
        <v>3698</v>
      </c>
      <c r="C486" s="6" t="s">
        <v>3699</v>
      </c>
      <c r="D486" s="1347">
        <v>0</v>
      </c>
      <c r="E486" s="1346">
        <v>0</v>
      </c>
      <c r="F486" s="1342" t="s">
        <v>3700</v>
      </c>
      <c r="G486" s="1414">
        <v>3680</v>
      </c>
      <c r="H486" s="1353">
        <f t="shared" ref="H486:H504" si="58">M1940</f>
        <v>0</v>
      </c>
      <c r="I486" s="1353">
        <f t="shared" ref="I486:I504" si="59">N1940</f>
        <v>0</v>
      </c>
      <c r="K486" s="1391">
        <v>504</v>
      </c>
      <c r="L486" s="1391" t="s">
        <v>2097</v>
      </c>
      <c r="AA486">
        <v>1111</v>
      </c>
      <c r="AB486">
        <v>4938</v>
      </c>
      <c r="AC486">
        <v>13162</v>
      </c>
    </row>
    <row r="487" spans="1:29" ht="12.5">
      <c r="B487" s="5" t="s">
        <v>3701</v>
      </c>
      <c r="C487" s="6" t="s">
        <v>3702</v>
      </c>
      <c r="D487" s="1347">
        <v>0</v>
      </c>
      <c r="E487" s="1346">
        <v>0</v>
      </c>
      <c r="F487" s="1342" t="s">
        <v>3703</v>
      </c>
      <c r="G487" s="1414">
        <v>3681</v>
      </c>
      <c r="H487" s="1353">
        <f t="shared" si="58"/>
        <v>0</v>
      </c>
      <c r="I487" s="1353">
        <f t="shared" si="59"/>
        <v>0</v>
      </c>
      <c r="K487" s="1391">
        <v>505</v>
      </c>
      <c r="L487" s="1391" t="s">
        <v>2117</v>
      </c>
      <c r="AA487">
        <v>1112</v>
      </c>
      <c r="AB487">
        <v>4903</v>
      </c>
      <c r="AC487">
        <v>9126</v>
      </c>
    </row>
    <row r="488" spans="1:29" ht="12.5">
      <c r="B488" s="5" t="s">
        <v>3704</v>
      </c>
      <c r="C488" s="6" t="s">
        <v>3705</v>
      </c>
      <c r="D488" s="1347">
        <v>0</v>
      </c>
      <c r="E488" s="1346">
        <v>0</v>
      </c>
      <c r="F488" s="1342" t="s">
        <v>3706</v>
      </c>
      <c r="G488" s="1414">
        <v>3682</v>
      </c>
      <c r="H488" s="1353">
        <f t="shared" si="58"/>
        <v>0</v>
      </c>
      <c r="I488" s="1353">
        <f t="shared" si="59"/>
        <v>0</v>
      </c>
      <c r="K488" s="1391">
        <v>506</v>
      </c>
      <c r="L488" s="1391" t="s">
        <v>3707</v>
      </c>
      <c r="AA488">
        <v>1113</v>
      </c>
      <c r="AB488">
        <v>449</v>
      </c>
      <c r="AC488">
        <v>1348</v>
      </c>
    </row>
    <row r="489" spans="1:29" ht="12.5">
      <c r="B489" s="5" t="s">
        <v>3708</v>
      </c>
      <c r="C489" s="6" t="s">
        <v>3709</v>
      </c>
      <c r="D489" s="1347">
        <v>0</v>
      </c>
      <c r="E489" s="1346">
        <v>0</v>
      </c>
      <c r="F489" s="1342" t="s">
        <v>3710</v>
      </c>
      <c r="G489" s="1414">
        <v>3683</v>
      </c>
      <c r="H489" s="1353">
        <f t="shared" si="58"/>
        <v>0</v>
      </c>
      <c r="I489" s="1353">
        <f t="shared" si="59"/>
        <v>0</v>
      </c>
      <c r="K489" s="1391">
        <v>507</v>
      </c>
      <c r="L489" s="1391" t="s">
        <v>3711</v>
      </c>
      <c r="AA489">
        <v>1114</v>
      </c>
      <c r="AB489">
        <v>38</v>
      </c>
      <c r="AC489">
        <v>38</v>
      </c>
    </row>
    <row r="490" spans="1:29" ht="12.5">
      <c r="B490" s="5" t="s">
        <v>3712</v>
      </c>
      <c r="C490" s="6" t="s">
        <v>3713</v>
      </c>
      <c r="D490" s="1347">
        <v>0</v>
      </c>
      <c r="E490" s="1346">
        <v>0</v>
      </c>
      <c r="F490" s="1342" t="s">
        <v>3714</v>
      </c>
      <c r="G490" s="1414">
        <v>3684</v>
      </c>
      <c r="H490" s="1353">
        <f t="shared" si="58"/>
        <v>0</v>
      </c>
      <c r="I490" s="1353">
        <f t="shared" si="59"/>
        <v>0</v>
      </c>
      <c r="K490" s="1391">
        <v>508</v>
      </c>
      <c r="L490" s="1391" t="s">
        <v>3715</v>
      </c>
      <c r="AA490">
        <v>1115</v>
      </c>
      <c r="AB490">
        <v>300</v>
      </c>
      <c r="AC490">
        <v>300</v>
      </c>
    </row>
    <row r="491" spans="1:29" ht="12.5">
      <c r="B491" s="5" t="s">
        <v>3716</v>
      </c>
      <c r="C491" s="6" t="s">
        <v>3717</v>
      </c>
      <c r="D491" s="1347">
        <v>0</v>
      </c>
      <c r="E491" s="1346">
        <v>0</v>
      </c>
      <c r="F491" s="1342" t="s">
        <v>3718</v>
      </c>
      <c r="G491" s="1414">
        <v>3685</v>
      </c>
      <c r="H491" s="1353">
        <f t="shared" si="58"/>
        <v>0</v>
      </c>
      <c r="I491" s="1353">
        <f t="shared" si="59"/>
        <v>0</v>
      </c>
      <c r="K491" s="1391">
        <v>509</v>
      </c>
      <c r="L491" s="1391" t="s">
        <v>3719</v>
      </c>
      <c r="AA491">
        <v>1116</v>
      </c>
      <c r="AB491">
        <v>147</v>
      </c>
      <c r="AC491">
        <v>495</v>
      </c>
    </row>
    <row r="492" spans="1:29" ht="12.5">
      <c r="B492" s="5" t="s">
        <v>3720</v>
      </c>
      <c r="C492" s="6" t="s">
        <v>3721</v>
      </c>
      <c r="D492" s="1347">
        <v>0</v>
      </c>
      <c r="E492" s="1346">
        <v>0</v>
      </c>
      <c r="F492" s="1342" t="s">
        <v>3722</v>
      </c>
      <c r="G492" s="1414">
        <v>3686</v>
      </c>
      <c r="H492" s="1353">
        <f t="shared" si="58"/>
        <v>0</v>
      </c>
      <c r="I492" s="1353">
        <f t="shared" si="59"/>
        <v>0</v>
      </c>
      <c r="K492" s="1391">
        <v>510</v>
      </c>
      <c r="L492" s="1391" t="s">
        <v>3723</v>
      </c>
      <c r="AA492">
        <v>1117</v>
      </c>
      <c r="AB492">
        <v>2445</v>
      </c>
      <c r="AC492">
        <v>10884</v>
      </c>
    </row>
    <row r="493" spans="1:29" ht="12.5">
      <c r="B493" s="5" t="s">
        <v>3724</v>
      </c>
      <c r="C493" s="6" t="s">
        <v>3725</v>
      </c>
      <c r="D493" s="1347">
        <v>0</v>
      </c>
      <c r="E493" s="1346">
        <v>0</v>
      </c>
      <c r="F493" s="1342" t="s">
        <v>3726</v>
      </c>
      <c r="G493" s="1414">
        <v>3687</v>
      </c>
      <c r="H493" s="1353">
        <f t="shared" si="58"/>
        <v>0</v>
      </c>
      <c r="I493" s="1353">
        <f t="shared" si="59"/>
        <v>0</v>
      </c>
      <c r="K493" s="1391">
        <v>511</v>
      </c>
      <c r="L493" s="1391" t="s">
        <v>3727</v>
      </c>
      <c r="AA493">
        <v>1118</v>
      </c>
      <c r="AB493">
        <v>736</v>
      </c>
      <c r="AC493">
        <v>2736</v>
      </c>
    </row>
    <row r="494" spans="1:29" ht="12.5">
      <c r="B494" s="5" t="s">
        <v>3728</v>
      </c>
      <c r="C494" s="6" t="s">
        <v>3729</v>
      </c>
      <c r="D494" s="1347">
        <v>0</v>
      </c>
      <c r="E494" s="1346">
        <v>0</v>
      </c>
      <c r="F494" s="1342" t="s">
        <v>3730</v>
      </c>
      <c r="G494" s="1414">
        <v>3688</v>
      </c>
      <c r="H494" s="1353">
        <f t="shared" si="58"/>
        <v>0</v>
      </c>
      <c r="I494" s="1353">
        <f t="shared" si="59"/>
        <v>0</v>
      </c>
      <c r="K494" s="1391">
        <v>512</v>
      </c>
      <c r="L494" s="1391" t="s">
        <v>3731</v>
      </c>
      <c r="AA494">
        <v>1120</v>
      </c>
      <c r="AB494">
        <v>0</v>
      </c>
      <c r="AC494">
        <v>93</v>
      </c>
    </row>
    <row r="495" spans="1:29" ht="12.5">
      <c r="B495" s="5" t="s">
        <v>3732</v>
      </c>
      <c r="C495" s="6" t="s">
        <v>3733</v>
      </c>
      <c r="D495" s="1347">
        <v>0</v>
      </c>
      <c r="E495" s="1346">
        <v>0</v>
      </c>
      <c r="F495" s="1342" t="s">
        <v>3734</v>
      </c>
      <c r="G495" s="1414">
        <v>3689</v>
      </c>
      <c r="H495" s="1353">
        <f t="shared" si="58"/>
        <v>0</v>
      </c>
      <c r="I495" s="1353">
        <f t="shared" si="59"/>
        <v>0</v>
      </c>
      <c r="K495" s="1391">
        <v>513</v>
      </c>
      <c r="L495" s="1391" t="s">
        <v>3735</v>
      </c>
      <c r="AA495">
        <v>1121</v>
      </c>
      <c r="AB495">
        <v>-1765</v>
      </c>
      <c r="AC495">
        <v>-2074</v>
      </c>
    </row>
    <row r="496" spans="1:29" ht="12.5">
      <c r="B496" s="5" t="s">
        <v>3736</v>
      </c>
      <c r="C496" s="6" t="s">
        <v>3737</v>
      </c>
      <c r="D496" s="1347">
        <v>0</v>
      </c>
      <c r="E496" s="1346">
        <v>0</v>
      </c>
      <c r="F496" s="1342" t="s">
        <v>3738</v>
      </c>
      <c r="G496" s="1414">
        <v>3690</v>
      </c>
      <c r="H496" s="1353">
        <f t="shared" si="58"/>
        <v>0</v>
      </c>
      <c r="I496" s="1353">
        <f t="shared" si="59"/>
        <v>0</v>
      </c>
      <c r="K496" s="1391">
        <v>514</v>
      </c>
      <c r="L496" s="1391" t="s">
        <v>2120</v>
      </c>
      <c r="AA496">
        <v>1122</v>
      </c>
      <c r="AB496">
        <v>17316</v>
      </c>
      <c r="AC496">
        <v>51977</v>
      </c>
    </row>
    <row r="497" spans="2:29" ht="12.5">
      <c r="B497" s="5" t="s">
        <v>3739</v>
      </c>
      <c r="C497" s="6" t="s">
        <v>3740</v>
      </c>
      <c r="D497" s="1347">
        <v>0</v>
      </c>
      <c r="E497" s="1346">
        <v>0</v>
      </c>
      <c r="F497" s="1342" t="s">
        <v>3741</v>
      </c>
      <c r="G497" s="1414">
        <v>3691</v>
      </c>
      <c r="H497" s="1353">
        <f t="shared" si="58"/>
        <v>0</v>
      </c>
      <c r="I497" s="1353">
        <f t="shared" si="59"/>
        <v>0</v>
      </c>
      <c r="K497" s="1391">
        <v>515</v>
      </c>
      <c r="L497" s="1391" t="s">
        <v>3742</v>
      </c>
      <c r="AA497">
        <v>1123</v>
      </c>
      <c r="AB497">
        <v>13770</v>
      </c>
      <c r="AC497">
        <v>41310</v>
      </c>
    </row>
    <row r="498" spans="2:29" ht="12.5">
      <c r="B498" s="5" t="s">
        <v>3743</v>
      </c>
      <c r="C498" s="6" t="s">
        <v>3744</v>
      </c>
      <c r="D498" s="1347">
        <v>0</v>
      </c>
      <c r="E498" s="1346">
        <v>0</v>
      </c>
      <c r="F498" s="1342" t="s">
        <v>3745</v>
      </c>
      <c r="G498" s="1414">
        <v>3692</v>
      </c>
      <c r="H498" s="1353">
        <f t="shared" si="58"/>
        <v>0</v>
      </c>
      <c r="I498" s="1353">
        <f t="shared" si="59"/>
        <v>0</v>
      </c>
      <c r="K498" s="1391">
        <v>516</v>
      </c>
      <c r="L498" s="1391" t="s">
        <v>3746</v>
      </c>
      <c r="AA498">
        <v>1125</v>
      </c>
      <c r="AB498">
        <v>2422</v>
      </c>
      <c r="AC498">
        <v>9316</v>
      </c>
    </row>
    <row r="499" spans="2:29" ht="12.5">
      <c r="B499" s="5" t="s">
        <v>3747</v>
      </c>
      <c r="C499" s="6" t="s">
        <v>3748</v>
      </c>
      <c r="D499" s="1347">
        <v>0</v>
      </c>
      <c r="E499" s="1346">
        <v>0</v>
      </c>
      <c r="F499" s="1342" t="s">
        <v>3749</v>
      </c>
      <c r="G499" s="1414">
        <v>3693</v>
      </c>
      <c r="H499" s="1353">
        <f t="shared" si="58"/>
        <v>0</v>
      </c>
      <c r="I499" s="1353">
        <f t="shared" si="59"/>
        <v>0</v>
      </c>
      <c r="K499" s="1391">
        <v>517</v>
      </c>
      <c r="L499" s="1391" t="s">
        <v>3750</v>
      </c>
      <c r="AA499">
        <v>1126</v>
      </c>
      <c r="AB499">
        <v>23</v>
      </c>
      <c r="AC499">
        <v>69</v>
      </c>
    </row>
    <row r="500" spans="2:29" ht="12.5">
      <c r="B500" s="5" t="s">
        <v>3751</v>
      </c>
      <c r="C500" s="6" t="s">
        <v>3752</v>
      </c>
      <c r="D500" s="1347">
        <v>0</v>
      </c>
      <c r="E500" s="1346">
        <v>0</v>
      </c>
      <c r="F500" s="1342" t="s">
        <v>3753</v>
      </c>
      <c r="G500" s="1414">
        <v>3694</v>
      </c>
      <c r="H500" s="1353">
        <f t="shared" si="58"/>
        <v>0</v>
      </c>
      <c r="I500" s="1353">
        <f t="shared" si="59"/>
        <v>0</v>
      </c>
      <c r="K500" s="1391">
        <v>518</v>
      </c>
      <c r="L500" s="1391" t="s">
        <v>3754</v>
      </c>
      <c r="AA500">
        <v>1127</v>
      </c>
      <c r="AB500">
        <v>1800</v>
      </c>
      <c r="AC500">
        <v>5400</v>
      </c>
    </row>
    <row r="501" spans="2:29" ht="12.5">
      <c r="B501" s="5" t="s">
        <v>3755</v>
      </c>
      <c r="C501" s="6" t="s">
        <v>3756</v>
      </c>
      <c r="D501" s="1347">
        <v>0</v>
      </c>
      <c r="E501" s="1346">
        <v>0</v>
      </c>
      <c r="F501" s="1342" t="s">
        <v>3757</v>
      </c>
      <c r="G501" s="1414">
        <v>3695</v>
      </c>
      <c r="H501" s="1353">
        <f t="shared" si="58"/>
        <v>0</v>
      </c>
      <c r="I501" s="1353">
        <f t="shared" si="59"/>
        <v>0</v>
      </c>
      <c r="K501" s="1391">
        <v>519</v>
      </c>
      <c r="L501" s="1391" t="s">
        <v>3758</v>
      </c>
      <c r="AA501">
        <v>1128</v>
      </c>
      <c r="AB501">
        <v>1224</v>
      </c>
      <c r="AC501">
        <v>3672</v>
      </c>
    </row>
    <row r="502" spans="2:29" ht="12.5">
      <c r="B502" s="5" t="s">
        <v>3759</v>
      </c>
      <c r="C502" s="6" t="s">
        <v>3760</v>
      </c>
      <c r="D502" s="1347">
        <v>0</v>
      </c>
      <c r="E502" s="1346">
        <v>0</v>
      </c>
      <c r="F502" s="1342" t="s">
        <v>3761</v>
      </c>
      <c r="G502" s="1414">
        <v>3696</v>
      </c>
      <c r="H502" s="1353">
        <f t="shared" si="58"/>
        <v>0</v>
      </c>
      <c r="I502" s="1353">
        <f t="shared" si="59"/>
        <v>0</v>
      </c>
      <c r="K502" s="1391">
        <v>520</v>
      </c>
      <c r="L502" s="1391" t="s">
        <v>3762</v>
      </c>
      <c r="AA502">
        <v>1130</v>
      </c>
      <c r="AB502">
        <v>22161</v>
      </c>
      <c r="AC502">
        <v>68597</v>
      </c>
    </row>
    <row r="503" spans="2:29" ht="12.5">
      <c r="B503" s="5" t="s">
        <v>3763</v>
      </c>
      <c r="C503" s="6" t="s">
        <v>3764</v>
      </c>
      <c r="D503" s="1347">
        <v>0</v>
      </c>
      <c r="E503" s="1346">
        <v>0</v>
      </c>
      <c r="F503" s="1342" t="s">
        <v>3765</v>
      </c>
      <c r="G503" s="1414">
        <v>3697</v>
      </c>
      <c r="H503" s="1353">
        <f t="shared" si="58"/>
        <v>0</v>
      </c>
      <c r="I503" s="1353">
        <f t="shared" si="59"/>
        <v>0</v>
      </c>
      <c r="K503" s="1391">
        <v>521</v>
      </c>
      <c r="L503" s="1391" t="s">
        <v>3766</v>
      </c>
      <c r="AA503">
        <v>1131</v>
      </c>
      <c r="AB503">
        <v>2922</v>
      </c>
      <c r="AC503">
        <v>8830</v>
      </c>
    </row>
    <row r="504" spans="2:29" ht="12.5">
      <c r="B504" s="5" t="s">
        <v>3767</v>
      </c>
      <c r="C504" s="6" t="s">
        <v>3768</v>
      </c>
      <c r="D504" s="1347">
        <v>0</v>
      </c>
      <c r="E504" s="1346">
        <v>0</v>
      </c>
      <c r="F504" s="1342" t="s">
        <v>3769</v>
      </c>
      <c r="G504" s="1414">
        <v>3698</v>
      </c>
      <c r="H504" s="1353">
        <f t="shared" si="58"/>
        <v>0</v>
      </c>
      <c r="I504" s="1353">
        <f t="shared" si="59"/>
        <v>0</v>
      </c>
      <c r="K504" s="1391">
        <v>522</v>
      </c>
      <c r="L504" s="1391" t="s">
        <v>3770</v>
      </c>
      <c r="AA504">
        <v>1134</v>
      </c>
      <c r="AB504">
        <v>360</v>
      </c>
      <c r="AC504">
        <v>441</v>
      </c>
    </row>
    <row r="505" spans="2:29" ht="12.5">
      <c r="B505" s="5" t="s">
        <v>3771</v>
      </c>
      <c r="C505" s="6" t="s">
        <v>3772</v>
      </c>
      <c r="D505" s="1347">
        <v>0</v>
      </c>
      <c r="E505" s="1346">
        <v>0</v>
      </c>
      <c r="F505" s="1342" t="s">
        <v>3773</v>
      </c>
      <c r="G505" s="1408">
        <v>98</v>
      </c>
      <c r="H505" s="1353">
        <f t="shared" ref="H505:I507" si="60">M103</f>
        <v>0</v>
      </c>
      <c r="I505" s="1353">
        <f t="shared" si="60"/>
        <v>0</v>
      </c>
      <c r="K505" s="1391">
        <v>523</v>
      </c>
      <c r="L505" s="1391" t="s">
        <v>3774</v>
      </c>
      <c r="AA505">
        <v>1135</v>
      </c>
      <c r="AB505">
        <v>4053</v>
      </c>
      <c r="AC505">
        <v>12159</v>
      </c>
    </row>
    <row r="506" spans="2:29" ht="12.5">
      <c r="B506" s="5" t="s">
        <v>3775</v>
      </c>
      <c r="C506" s="6" t="s">
        <v>3776</v>
      </c>
      <c r="D506" s="1347">
        <v>0</v>
      </c>
      <c r="E506" s="1346">
        <v>0</v>
      </c>
      <c r="F506" s="1342" t="s">
        <v>3777</v>
      </c>
      <c r="G506" s="1408">
        <v>99</v>
      </c>
      <c r="H506" s="1353">
        <f t="shared" si="60"/>
        <v>0</v>
      </c>
      <c r="I506" s="1353">
        <f t="shared" si="60"/>
        <v>0</v>
      </c>
      <c r="K506" s="1391">
        <v>524</v>
      </c>
      <c r="L506" s="1391" t="s">
        <v>3778</v>
      </c>
      <c r="AA506">
        <v>1137</v>
      </c>
      <c r="AB506">
        <v>26574</v>
      </c>
      <c r="AC506">
        <v>81197</v>
      </c>
    </row>
    <row r="507" spans="2:29" ht="12.5">
      <c r="B507" s="5" t="s">
        <v>3779</v>
      </c>
      <c r="C507" s="6" t="s">
        <v>3780</v>
      </c>
      <c r="D507" s="1347">
        <v>0</v>
      </c>
      <c r="E507" s="1346">
        <v>0</v>
      </c>
      <c r="F507" s="1342" t="s">
        <v>3781</v>
      </c>
      <c r="G507" s="1408">
        <v>100</v>
      </c>
      <c r="H507" s="1353">
        <f t="shared" si="60"/>
        <v>0</v>
      </c>
      <c r="I507" s="1353">
        <f t="shared" si="60"/>
        <v>0</v>
      </c>
      <c r="K507" s="1391">
        <v>525</v>
      </c>
      <c r="L507" s="1391" t="s">
        <v>3782</v>
      </c>
      <c r="AA507">
        <v>1138</v>
      </c>
      <c r="AB507">
        <v>111630</v>
      </c>
      <c r="AC507">
        <v>327802</v>
      </c>
    </row>
    <row r="508" spans="2:29" ht="12.5">
      <c r="B508" s="5" t="s">
        <v>3783</v>
      </c>
      <c r="C508" s="6" t="s">
        <v>3784</v>
      </c>
      <c r="D508" s="1347">
        <v>0</v>
      </c>
      <c r="E508" s="1346">
        <v>0</v>
      </c>
      <c r="F508" s="1342" t="s">
        <v>3785</v>
      </c>
      <c r="G508" s="1414">
        <v>3699</v>
      </c>
      <c r="H508" s="1353">
        <f t="shared" ref="H508:H523" si="61">M1959</f>
        <v>0</v>
      </c>
      <c r="I508" s="1353">
        <f t="shared" ref="I508:I523" si="62">N1959</f>
        <v>0</v>
      </c>
      <c r="K508" s="1391">
        <v>526</v>
      </c>
      <c r="L508" s="1391" t="s">
        <v>3786</v>
      </c>
      <c r="AA508">
        <v>1139</v>
      </c>
      <c r="AB508">
        <v>111630</v>
      </c>
      <c r="AC508">
        <v>327802</v>
      </c>
    </row>
    <row r="509" spans="2:29" ht="12.5">
      <c r="B509" s="5" t="s">
        <v>3787</v>
      </c>
      <c r="C509" s="6" t="s">
        <v>3788</v>
      </c>
      <c r="D509" s="1347">
        <v>1</v>
      </c>
      <c r="E509" s="1346">
        <v>6</v>
      </c>
      <c r="F509" s="1342" t="s">
        <v>3789</v>
      </c>
      <c r="G509" s="1414">
        <v>3700</v>
      </c>
      <c r="H509" s="1353">
        <f t="shared" si="61"/>
        <v>0</v>
      </c>
      <c r="I509" s="1353">
        <f t="shared" si="62"/>
        <v>0</v>
      </c>
      <c r="K509" s="1391">
        <v>527</v>
      </c>
      <c r="L509" s="1391" t="s">
        <v>3790</v>
      </c>
      <c r="AA509">
        <v>1140</v>
      </c>
      <c r="AB509">
        <v>-27031</v>
      </c>
      <c r="AC509">
        <v>-135127</v>
      </c>
    </row>
    <row r="510" spans="2:29" ht="12.5">
      <c r="B510" s="5" t="s">
        <v>3791</v>
      </c>
      <c r="C510" s="6" t="s">
        <v>3792</v>
      </c>
      <c r="D510" s="1347">
        <v>0</v>
      </c>
      <c r="E510" s="1346">
        <v>0</v>
      </c>
      <c r="F510" s="1342" t="s">
        <v>3793</v>
      </c>
      <c r="G510" s="1414">
        <v>3701</v>
      </c>
      <c r="H510" s="1353">
        <f t="shared" si="61"/>
        <v>0</v>
      </c>
      <c r="I510" s="1353">
        <f t="shared" si="62"/>
        <v>0</v>
      </c>
      <c r="K510" s="1391">
        <v>528</v>
      </c>
      <c r="L510" s="1391" t="s">
        <v>3794</v>
      </c>
      <c r="AA510">
        <v>1141</v>
      </c>
      <c r="AB510">
        <v>8015</v>
      </c>
      <c r="AC510">
        <v>18646</v>
      </c>
    </row>
    <row r="511" spans="2:29" ht="12.5">
      <c r="B511" s="5" t="s">
        <v>3795</v>
      </c>
      <c r="C511" s="6" t="s">
        <v>3796</v>
      </c>
      <c r="D511" s="1347">
        <v>0</v>
      </c>
      <c r="E511" s="1346">
        <v>0</v>
      </c>
      <c r="F511" s="1342" t="s">
        <v>3797</v>
      </c>
      <c r="G511" s="1414">
        <v>3702</v>
      </c>
      <c r="H511" s="1353">
        <f t="shared" si="61"/>
        <v>0</v>
      </c>
      <c r="I511" s="1353">
        <f t="shared" si="62"/>
        <v>0</v>
      </c>
      <c r="K511" s="1391">
        <v>529</v>
      </c>
      <c r="L511" s="1391" t="s">
        <v>3798</v>
      </c>
      <c r="AA511">
        <v>1143</v>
      </c>
      <c r="AB511">
        <v>-19016</v>
      </c>
      <c r="AC511">
        <v>-116481</v>
      </c>
    </row>
    <row r="512" spans="2:29" ht="12.5">
      <c r="B512" s="5" t="s">
        <v>3799</v>
      </c>
      <c r="C512" s="6" t="s">
        <v>3800</v>
      </c>
      <c r="D512" s="1347">
        <v>0</v>
      </c>
      <c r="E512" s="1346">
        <v>0</v>
      </c>
      <c r="F512" s="1342" t="s">
        <v>3801</v>
      </c>
      <c r="G512" s="1414">
        <v>3703</v>
      </c>
      <c r="H512" s="1353">
        <f t="shared" si="61"/>
        <v>0</v>
      </c>
      <c r="I512" s="1353">
        <f t="shared" si="62"/>
        <v>0</v>
      </c>
      <c r="K512" s="1391">
        <v>530</v>
      </c>
      <c r="L512" s="1391" t="s">
        <v>3802</v>
      </c>
      <c r="AA512">
        <v>1144</v>
      </c>
      <c r="AB512">
        <v>114007</v>
      </c>
      <c r="AC512">
        <v>327870</v>
      </c>
    </row>
    <row r="513" spans="2:29" ht="12.5">
      <c r="B513" s="5" t="s">
        <v>3803</v>
      </c>
      <c r="C513" s="6" t="s">
        <v>3804</v>
      </c>
      <c r="D513" s="1347">
        <v>0</v>
      </c>
      <c r="E513" s="1346">
        <v>0</v>
      </c>
      <c r="F513" s="1342" t="s">
        <v>3805</v>
      </c>
      <c r="G513" s="1414">
        <v>3704</v>
      </c>
      <c r="H513" s="1353">
        <f t="shared" si="61"/>
        <v>0</v>
      </c>
      <c r="I513" s="1353">
        <f t="shared" si="62"/>
        <v>0</v>
      </c>
      <c r="K513" s="1391">
        <v>531</v>
      </c>
      <c r="L513" s="1391" t="s">
        <v>3806</v>
      </c>
      <c r="AA513">
        <v>1145</v>
      </c>
      <c r="AB513">
        <v>42959</v>
      </c>
      <c r="AC513">
        <v>126513</v>
      </c>
    </row>
    <row r="514" spans="2:29" ht="12.5">
      <c r="B514" s="5" t="s">
        <v>3807</v>
      </c>
      <c r="C514" s="6" t="s">
        <v>3808</v>
      </c>
      <c r="D514" s="1347">
        <v>0</v>
      </c>
      <c r="E514" s="1346">
        <v>0</v>
      </c>
      <c r="F514" s="1342" t="s">
        <v>3809</v>
      </c>
      <c r="G514" s="1414">
        <v>3705</v>
      </c>
      <c r="H514" s="1353">
        <f t="shared" si="61"/>
        <v>0</v>
      </c>
      <c r="I514" s="1353">
        <f t="shared" si="62"/>
        <v>0</v>
      </c>
      <c r="K514" s="1391">
        <v>532</v>
      </c>
      <c r="L514" s="1391" t="s">
        <v>3810</v>
      </c>
      <c r="AA514">
        <v>1146</v>
      </c>
      <c r="AB514">
        <v>3242</v>
      </c>
      <c r="AC514">
        <v>10023</v>
      </c>
    </row>
    <row r="515" spans="2:29" ht="12.5">
      <c r="B515" s="5" t="s">
        <v>3811</v>
      </c>
      <c r="C515" s="6" t="s">
        <v>3812</v>
      </c>
      <c r="D515" s="1347">
        <v>0</v>
      </c>
      <c r="E515" s="1346">
        <v>0</v>
      </c>
      <c r="F515" s="1342" t="s">
        <v>3813</v>
      </c>
      <c r="G515" s="1414">
        <v>3706</v>
      </c>
      <c r="H515" s="1353">
        <f t="shared" si="61"/>
        <v>0</v>
      </c>
      <c r="I515" s="1353">
        <f t="shared" si="62"/>
        <v>0</v>
      </c>
      <c r="K515" s="1391">
        <v>533</v>
      </c>
      <c r="L515" s="1391" t="s">
        <v>3814</v>
      </c>
      <c r="AA515">
        <v>1147</v>
      </c>
      <c r="AB515">
        <v>487</v>
      </c>
      <c r="AC515">
        <v>1538</v>
      </c>
    </row>
    <row r="516" spans="2:29" ht="12.5">
      <c r="B516" s="5" t="s">
        <v>3815</v>
      </c>
      <c r="C516" s="6" t="s">
        <v>3816</v>
      </c>
      <c r="D516" s="1347">
        <v>0</v>
      </c>
      <c r="E516" s="1346">
        <v>0</v>
      </c>
      <c r="F516" s="1342" t="s">
        <v>3817</v>
      </c>
      <c r="G516" s="1414">
        <v>3707</v>
      </c>
      <c r="H516" s="1353">
        <f t="shared" si="61"/>
        <v>0</v>
      </c>
      <c r="I516" s="1353">
        <f t="shared" si="62"/>
        <v>0</v>
      </c>
      <c r="K516" s="1391">
        <v>534</v>
      </c>
      <c r="L516" s="1391" t="s">
        <v>3818</v>
      </c>
      <c r="AA516">
        <v>1148</v>
      </c>
      <c r="AB516">
        <v>11552</v>
      </c>
      <c r="AC516">
        <v>33445</v>
      </c>
    </row>
    <row r="517" spans="2:29" ht="12.5">
      <c r="B517" s="5" t="s">
        <v>3819</v>
      </c>
      <c r="C517" s="6" t="s">
        <v>3820</v>
      </c>
      <c r="D517" s="1347">
        <v>0</v>
      </c>
      <c r="E517" s="1346">
        <v>0</v>
      </c>
      <c r="F517" s="1342" t="s">
        <v>3821</v>
      </c>
      <c r="G517" s="1414">
        <v>3708</v>
      </c>
      <c r="H517" s="1353">
        <f t="shared" si="61"/>
        <v>0</v>
      </c>
      <c r="I517" s="1353">
        <f t="shared" si="62"/>
        <v>0</v>
      </c>
      <c r="K517" s="1391">
        <v>535</v>
      </c>
      <c r="L517" s="1391" t="s">
        <v>3822</v>
      </c>
      <c r="AA517">
        <v>1149</v>
      </c>
      <c r="AB517">
        <v>4643</v>
      </c>
      <c r="AC517">
        <v>12406</v>
      </c>
    </row>
    <row r="518" spans="2:29" ht="12.5">
      <c r="B518" s="5" t="s">
        <v>3823</v>
      </c>
      <c r="C518" s="6" t="s">
        <v>3824</v>
      </c>
      <c r="D518" s="1347">
        <v>0</v>
      </c>
      <c r="E518" s="1346">
        <v>0</v>
      </c>
      <c r="F518" s="1342" t="s">
        <v>3825</v>
      </c>
      <c r="G518" s="1414">
        <v>3709</v>
      </c>
      <c r="H518" s="1353">
        <f t="shared" si="61"/>
        <v>0</v>
      </c>
      <c r="I518" s="1353">
        <f t="shared" si="62"/>
        <v>0</v>
      </c>
      <c r="K518" s="1391">
        <v>536</v>
      </c>
      <c r="L518" s="1391" t="s">
        <v>3826</v>
      </c>
      <c r="AA518">
        <v>1150</v>
      </c>
      <c r="AB518">
        <v>1632</v>
      </c>
      <c r="AC518">
        <v>6868</v>
      </c>
    </row>
    <row r="519" spans="2:29" ht="12.5">
      <c r="B519" s="5" t="s">
        <v>3827</v>
      </c>
      <c r="C519" s="6" t="s">
        <v>3828</v>
      </c>
      <c r="D519" s="1347">
        <v>0</v>
      </c>
      <c r="E519" s="1346">
        <v>0</v>
      </c>
      <c r="F519" s="1342" t="s">
        <v>3829</v>
      </c>
      <c r="G519" s="1414">
        <v>3710</v>
      </c>
      <c r="H519" s="1353">
        <f t="shared" si="61"/>
        <v>0</v>
      </c>
      <c r="I519" s="1353">
        <f t="shared" si="62"/>
        <v>0</v>
      </c>
      <c r="K519" s="1391">
        <v>537</v>
      </c>
      <c r="L519" s="1391" t="s">
        <v>3830</v>
      </c>
      <c r="AA519">
        <v>1152</v>
      </c>
      <c r="AB519">
        <v>1298</v>
      </c>
      <c r="AC519">
        <v>3758</v>
      </c>
    </row>
    <row r="520" spans="2:29" ht="12.5">
      <c r="B520" s="5" t="s">
        <v>3831</v>
      </c>
      <c r="C520" s="6" t="s">
        <v>3832</v>
      </c>
      <c r="D520" s="1347">
        <v>0</v>
      </c>
      <c r="E520" s="1346">
        <v>0</v>
      </c>
      <c r="F520" s="1342" t="s">
        <v>3833</v>
      </c>
      <c r="G520" s="1414">
        <v>3711</v>
      </c>
      <c r="H520" s="1353">
        <f t="shared" si="61"/>
        <v>0</v>
      </c>
      <c r="I520" s="1353">
        <f t="shared" si="62"/>
        <v>0</v>
      </c>
      <c r="K520" s="1391">
        <v>538</v>
      </c>
      <c r="L520" s="1391" t="s">
        <v>3834</v>
      </c>
      <c r="AA520">
        <v>1153</v>
      </c>
      <c r="AB520">
        <v>2934</v>
      </c>
      <c r="AC520">
        <v>8355</v>
      </c>
    </row>
    <row r="521" spans="2:29" ht="12.5">
      <c r="B521" s="5" t="s">
        <v>3835</v>
      </c>
      <c r="C521" s="6" t="s">
        <v>3836</v>
      </c>
      <c r="D521" s="1347">
        <v>0</v>
      </c>
      <c r="E521" s="1346">
        <v>0</v>
      </c>
      <c r="F521" s="1342" t="s">
        <v>3837</v>
      </c>
      <c r="G521" s="1414">
        <v>3712</v>
      </c>
      <c r="H521" s="1353">
        <f t="shared" si="61"/>
        <v>0</v>
      </c>
      <c r="I521" s="1353">
        <f t="shared" si="62"/>
        <v>0</v>
      </c>
      <c r="K521" s="1391">
        <v>539</v>
      </c>
      <c r="L521" s="1391" t="s">
        <v>3838</v>
      </c>
      <c r="AA521">
        <v>1155</v>
      </c>
      <c r="AB521">
        <v>25788</v>
      </c>
      <c r="AC521">
        <v>76393</v>
      </c>
    </row>
    <row r="522" spans="2:29" ht="12.5">
      <c r="B522" s="5" t="s">
        <v>3839</v>
      </c>
      <c r="C522" s="6" t="s">
        <v>3840</v>
      </c>
      <c r="D522" s="1347">
        <v>0</v>
      </c>
      <c r="E522" s="1346">
        <v>0</v>
      </c>
      <c r="F522" s="1342" t="s">
        <v>3841</v>
      </c>
      <c r="G522" s="1414">
        <v>3713</v>
      </c>
      <c r="H522" s="1353">
        <f t="shared" si="61"/>
        <v>0</v>
      </c>
      <c r="I522" s="1353">
        <f t="shared" si="62"/>
        <v>0</v>
      </c>
      <c r="K522" s="1391">
        <v>540</v>
      </c>
      <c r="L522" s="1391" t="s">
        <v>3842</v>
      </c>
      <c r="AA522">
        <v>1156</v>
      </c>
      <c r="AB522">
        <v>-829</v>
      </c>
      <c r="AC522">
        <v>-6293</v>
      </c>
    </row>
    <row r="523" spans="2:29" ht="12.5">
      <c r="B523" s="5" t="s">
        <v>3843</v>
      </c>
      <c r="C523" s="6" t="s">
        <v>3844</v>
      </c>
      <c r="D523" s="1347">
        <v>0</v>
      </c>
      <c r="E523" s="1346">
        <v>0</v>
      </c>
      <c r="F523" s="1342" t="s">
        <v>3845</v>
      </c>
      <c r="G523" s="1414">
        <v>3714</v>
      </c>
      <c r="H523" s="1353">
        <f t="shared" si="61"/>
        <v>0</v>
      </c>
      <c r="I523" s="1353">
        <f t="shared" si="62"/>
        <v>0</v>
      </c>
      <c r="K523" s="1391">
        <v>541</v>
      </c>
      <c r="L523" s="1391" t="s">
        <v>3846</v>
      </c>
      <c r="AA523">
        <v>1157</v>
      </c>
      <c r="AB523">
        <v>423</v>
      </c>
      <c r="AC523">
        <v>999</v>
      </c>
    </row>
    <row r="524" spans="2:29" ht="12.5">
      <c r="B524" s="5" t="s">
        <v>3847</v>
      </c>
      <c r="C524" s="6" t="s">
        <v>3848</v>
      </c>
      <c r="D524" s="1347">
        <v>0</v>
      </c>
      <c r="E524" s="1346">
        <v>0</v>
      </c>
      <c r="F524" s="1342" t="s">
        <v>3849</v>
      </c>
      <c r="G524" s="1408">
        <v>103</v>
      </c>
      <c r="H524" s="1353">
        <f t="shared" ref="H524:I526" si="63">M108</f>
        <v>0</v>
      </c>
      <c r="I524" s="1353">
        <f t="shared" si="63"/>
        <v>0</v>
      </c>
      <c r="K524" s="1391">
        <v>542</v>
      </c>
      <c r="L524" s="1391" t="s">
        <v>3850</v>
      </c>
      <c r="AA524">
        <v>1158</v>
      </c>
      <c r="AB524">
        <v>212</v>
      </c>
      <c r="AC524">
        <v>686</v>
      </c>
    </row>
    <row r="525" spans="2:29" ht="12.5">
      <c r="B525" s="5" t="s">
        <v>3851</v>
      </c>
      <c r="C525" s="6" t="s">
        <v>3852</v>
      </c>
      <c r="D525" s="1347">
        <v>0</v>
      </c>
      <c r="E525" s="1346">
        <v>0</v>
      </c>
      <c r="F525" s="1342" t="s">
        <v>3853</v>
      </c>
      <c r="G525" s="1408">
        <v>104</v>
      </c>
      <c r="H525" s="1353">
        <f t="shared" si="63"/>
        <v>0</v>
      </c>
      <c r="I525" s="1353">
        <f t="shared" si="63"/>
        <v>0</v>
      </c>
      <c r="K525" s="1391">
        <v>543</v>
      </c>
      <c r="L525" s="1391" t="s">
        <v>3854</v>
      </c>
      <c r="AA525">
        <v>1160</v>
      </c>
      <c r="AB525">
        <v>400</v>
      </c>
      <c r="AC525">
        <v>626</v>
      </c>
    </row>
    <row r="526" spans="2:29" ht="12.5">
      <c r="B526" s="5" t="s">
        <v>3855</v>
      </c>
      <c r="C526" s="6" t="s">
        <v>3856</v>
      </c>
      <c r="D526" s="1347">
        <v>0</v>
      </c>
      <c r="E526" s="1346">
        <v>0</v>
      </c>
      <c r="F526" s="1342" t="s">
        <v>3857</v>
      </c>
      <c r="G526" s="1408">
        <v>105</v>
      </c>
      <c r="H526" s="1353">
        <f t="shared" si="63"/>
        <v>0</v>
      </c>
      <c r="I526" s="1353">
        <f t="shared" si="63"/>
        <v>0</v>
      </c>
      <c r="K526" s="1391">
        <v>544</v>
      </c>
      <c r="L526" s="1391" t="s">
        <v>3858</v>
      </c>
      <c r="AA526">
        <v>1163</v>
      </c>
      <c r="AB526">
        <v>0</v>
      </c>
      <c r="AC526">
        <v>435</v>
      </c>
    </row>
    <row r="527" spans="2:29" ht="12.5">
      <c r="B527" s="5" t="s">
        <v>3859</v>
      </c>
      <c r="C527" s="6" t="s">
        <v>3860</v>
      </c>
      <c r="D527" s="1347">
        <v>0</v>
      </c>
      <c r="E527" s="1346">
        <v>0</v>
      </c>
      <c r="F527" s="1342" t="s">
        <v>3861</v>
      </c>
      <c r="G527" s="1408">
        <v>107</v>
      </c>
      <c r="H527" s="1353">
        <f>M112</f>
        <v>0</v>
      </c>
      <c r="I527" s="1353">
        <f>N112</f>
        <v>0</v>
      </c>
      <c r="K527" s="1391">
        <v>545</v>
      </c>
      <c r="L527" s="1391" t="s">
        <v>3862</v>
      </c>
      <c r="AA527">
        <v>1164</v>
      </c>
      <c r="AB527">
        <v>3084</v>
      </c>
      <c r="AC527">
        <v>10064</v>
      </c>
    </row>
    <row r="528" spans="2:29" ht="12.5">
      <c r="B528" s="5" t="s">
        <v>3863</v>
      </c>
      <c r="C528" s="6" t="s">
        <v>3864</v>
      </c>
      <c r="D528" s="1347">
        <v>1</v>
      </c>
      <c r="E528" s="1346">
        <v>6</v>
      </c>
      <c r="F528" s="1342" t="s">
        <v>3865</v>
      </c>
      <c r="G528" s="1409"/>
      <c r="H528" s="1353"/>
      <c r="I528" s="1353"/>
      <c r="K528" s="1391">
        <v>546</v>
      </c>
      <c r="L528" s="1391" t="s">
        <v>3866</v>
      </c>
      <c r="AA528">
        <v>1165</v>
      </c>
      <c r="AB528">
        <v>1631</v>
      </c>
      <c r="AC528">
        <v>2122</v>
      </c>
    </row>
    <row r="529" spans="1:29" ht="12.5">
      <c r="A529" s="611" t="s">
        <v>3867</v>
      </c>
      <c r="B529" s="5" t="s">
        <v>3868</v>
      </c>
      <c r="C529" s="6" t="s">
        <v>3869</v>
      </c>
      <c r="D529" s="1347">
        <v>0</v>
      </c>
      <c r="E529" s="1346">
        <v>0</v>
      </c>
      <c r="F529" s="1342" t="s">
        <v>3870</v>
      </c>
      <c r="G529" s="1409"/>
      <c r="H529" s="1353"/>
      <c r="I529" s="1353"/>
      <c r="K529" s="1391">
        <v>547</v>
      </c>
      <c r="L529" s="1391" t="s">
        <v>3871</v>
      </c>
      <c r="AA529">
        <v>1166</v>
      </c>
      <c r="AB529">
        <v>137</v>
      </c>
      <c r="AC529">
        <v>421</v>
      </c>
    </row>
    <row r="530" spans="1:29" ht="12.5">
      <c r="B530" s="5" t="s">
        <v>3872</v>
      </c>
      <c r="C530" s="6" t="s">
        <v>3873</v>
      </c>
      <c r="D530" s="1347">
        <v>0</v>
      </c>
      <c r="E530" s="1346">
        <v>0</v>
      </c>
      <c r="F530" s="1342" t="s">
        <v>3874</v>
      </c>
      <c r="G530" s="1409"/>
      <c r="H530" s="1353"/>
      <c r="I530" s="1353"/>
      <c r="K530" s="1391">
        <v>548</v>
      </c>
      <c r="L530" s="1391" t="s">
        <v>3875</v>
      </c>
      <c r="AA530">
        <v>1167</v>
      </c>
      <c r="AB530">
        <v>13</v>
      </c>
      <c r="AC530">
        <v>13</v>
      </c>
    </row>
    <row r="531" spans="1:29" ht="12.5">
      <c r="B531" s="5" t="s">
        <v>3876</v>
      </c>
      <c r="C531" s="6" t="s">
        <v>3877</v>
      </c>
      <c r="D531" s="1347">
        <v>0</v>
      </c>
      <c r="E531" s="1346">
        <v>0</v>
      </c>
      <c r="F531" s="1342" t="s">
        <v>3878</v>
      </c>
      <c r="G531" s="1409"/>
      <c r="H531" s="1353"/>
      <c r="I531" s="1353"/>
      <c r="K531" s="1391">
        <v>549</v>
      </c>
      <c r="L531" s="1391" t="s">
        <v>3879</v>
      </c>
      <c r="AA531">
        <v>1168</v>
      </c>
      <c r="AB531">
        <v>100</v>
      </c>
      <c r="AC531">
        <v>100</v>
      </c>
    </row>
    <row r="532" spans="1:29" ht="12.5">
      <c r="B532" s="5" t="s">
        <v>3880</v>
      </c>
      <c r="C532" s="6" t="s">
        <v>3881</v>
      </c>
      <c r="D532" s="1347">
        <v>0</v>
      </c>
      <c r="E532" s="1346">
        <v>0</v>
      </c>
      <c r="F532" s="1342" t="s">
        <v>3882</v>
      </c>
      <c r="G532" s="1409"/>
      <c r="H532" s="1353"/>
      <c r="I532" s="1353"/>
      <c r="K532" s="1391">
        <v>550</v>
      </c>
      <c r="L532" s="1391" t="s">
        <v>3883</v>
      </c>
      <c r="AA532">
        <v>1169</v>
      </c>
      <c r="AB532">
        <v>268</v>
      </c>
      <c r="AC532">
        <v>528</v>
      </c>
    </row>
    <row r="533" spans="1:29" ht="12.5">
      <c r="B533" s="5" t="s">
        <v>3884</v>
      </c>
      <c r="C533" s="6" t="s">
        <v>3885</v>
      </c>
      <c r="D533" s="1347">
        <v>0</v>
      </c>
      <c r="E533" s="1346">
        <v>0</v>
      </c>
      <c r="F533" s="1342" t="s">
        <v>3886</v>
      </c>
      <c r="G533" s="1409"/>
      <c r="H533" s="1353"/>
      <c r="I533" s="1353"/>
      <c r="K533" s="1391">
        <v>551</v>
      </c>
      <c r="L533" s="1391" t="s">
        <v>3887</v>
      </c>
      <c r="AA533">
        <v>1170</v>
      </c>
      <c r="AB533">
        <v>0</v>
      </c>
      <c r="AC533">
        <v>13</v>
      </c>
    </row>
    <row r="534" spans="1:29" ht="12.5">
      <c r="B534" s="5" t="s">
        <v>3888</v>
      </c>
      <c r="C534" s="6" t="s">
        <v>3889</v>
      </c>
      <c r="D534" s="1347">
        <v>0</v>
      </c>
      <c r="E534" s="1346">
        <v>0</v>
      </c>
      <c r="F534" s="1342" t="s">
        <v>3890</v>
      </c>
      <c r="G534" s="1409"/>
      <c r="H534" s="1353"/>
      <c r="I534" s="1353"/>
      <c r="K534" s="1391">
        <v>552</v>
      </c>
      <c r="L534" s="1391" t="s">
        <v>3891</v>
      </c>
      <c r="AA534">
        <v>1171</v>
      </c>
      <c r="AB534">
        <v>245</v>
      </c>
      <c r="AC534">
        <v>912</v>
      </c>
    </row>
    <row r="535" spans="1:29" ht="12.5">
      <c r="B535" s="5" t="s">
        <v>3892</v>
      </c>
      <c r="C535" s="6" t="s">
        <v>3893</v>
      </c>
      <c r="D535" s="1347">
        <v>0</v>
      </c>
      <c r="E535" s="1346">
        <v>0</v>
      </c>
      <c r="F535" s="1342" t="s">
        <v>3894</v>
      </c>
      <c r="G535" s="1409"/>
      <c r="H535" s="1353"/>
      <c r="I535" s="1353"/>
      <c r="K535" s="1391">
        <v>553</v>
      </c>
      <c r="L535" s="1391" t="s">
        <v>3895</v>
      </c>
      <c r="AA535">
        <v>1173</v>
      </c>
      <c r="AB535">
        <v>0</v>
      </c>
      <c r="AC535">
        <v>6</v>
      </c>
    </row>
    <row r="536" spans="1:29" ht="12.5">
      <c r="B536" s="5" t="s">
        <v>3896</v>
      </c>
      <c r="C536" s="6" t="s">
        <v>3897</v>
      </c>
      <c r="D536" s="1347">
        <v>0</v>
      </c>
      <c r="E536" s="1346">
        <v>0</v>
      </c>
      <c r="F536" s="1342" t="s">
        <v>3898</v>
      </c>
      <c r="G536" s="1409"/>
      <c r="H536" s="1353"/>
      <c r="I536" s="1353"/>
      <c r="K536" s="1391">
        <v>554</v>
      </c>
      <c r="L536" s="1391" t="s">
        <v>3899</v>
      </c>
      <c r="AA536">
        <v>1174</v>
      </c>
      <c r="AB536">
        <v>1039</v>
      </c>
      <c r="AC536">
        <v>3004</v>
      </c>
    </row>
    <row r="537" spans="1:29" ht="12.5">
      <c r="B537" s="5" t="s">
        <v>3900</v>
      </c>
      <c r="C537" s="6" t="s">
        <v>3901</v>
      </c>
      <c r="D537" s="1347">
        <v>0</v>
      </c>
      <c r="E537" s="1346">
        <v>0</v>
      </c>
      <c r="F537" s="1342" t="s">
        <v>3902</v>
      </c>
      <c r="G537" s="1409"/>
      <c r="H537" s="1353"/>
      <c r="I537" s="1353"/>
      <c r="K537" s="1391">
        <v>555</v>
      </c>
      <c r="L537" s="1391" t="s">
        <v>3903</v>
      </c>
      <c r="AA537">
        <v>1175</v>
      </c>
      <c r="AB537">
        <v>6723</v>
      </c>
      <c r="AC537">
        <v>13636</v>
      </c>
    </row>
    <row r="538" spans="1:29" ht="12.5">
      <c r="B538" s="5" t="s">
        <v>3904</v>
      </c>
      <c r="C538" s="6" t="s">
        <v>3905</v>
      </c>
      <c r="D538" s="1347">
        <v>0</v>
      </c>
      <c r="E538" s="1346">
        <v>0</v>
      </c>
      <c r="F538" s="1342" t="s">
        <v>3906</v>
      </c>
      <c r="G538" s="1409"/>
      <c r="H538" s="1353"/>
      <c r="I538" s="1353"/>
      <c r="K538" s="1391">
        <v>556</v>
      </c>
      <c r="L538" s="1391" t="s">
        <v>3907</v>
      </c>
      <c r="AA538">
        <v>1176</v>
      </c>
      <c r="AB538">
        <v>4590</v>
      </c>
      <c r="AC538">
        <v>13770</v>
      </c>
    </row>
    <row r="539" spans="1:29" ht="12.5">
      <c r="B539" s="5" t="s">
        <v>3908</v>
      </c>
      <c r="C539" s="6" t="s">
        <v>3909</v>
      </c>
      <c r="D539" s="1347">
        <v>0</v>
      </c>
      <c r="E539" s="1346">
        <v>0</v>
      </c>
      <c r="F539" s="1342" t="s">
        <v>3910</v>
      </c>
      <c r="G539" s="1409"/>
      <c r="H539" s="1353"/>
      <c r="I539" s="1353"/>
      <c r="K539" s="1391">
        <v>557</v>
      </c>
      <c r="L539" s="1391" t="s">
        <v>3911</v>
      </c>
      <c r="AA539">
        <v>1178</v>
      </c>
      <c r="AB539">
        <v>739</v>
      </c>
      <c r="AC539">
        <v>5557</v>
      </c>
    </row>
    <row r="540" spans="1:29" ht="12.5">
      <c r="B540" s="5" t="s">
        <v>3912</v>
      </c>
      <c r="C540" s="6" t="s">
        <v>3913</v>
      </c>
      <c r="D540" s="1347">
        <v>0</v>
      </c>
      <c r="E540" s="1346">
        <v>0</v>
      </c>
      <c r="F540" s="1342" t="s">
        <v>3914</v>
      </c>
      <c r="G540" s="1409"/>
      <c r="H540" s="1353"/>
      <c r="I540" s="1353"/>
      <c r="K540" s="1391">
        <v>558</v>
      </c>
      <c r="L540" s="1391" t="s">
        <v>3915</v>
      </c>
      <c r="AA540">
        <v>1179</v>
      </c>
      <c r="AB540">
        <v>8</v>
      </c>
      <c r="AC540">
        <v>23</v>
      </c>
    </row>
    <row r="541" spans="1:29" ht="12.5">
      <c r="B541" s="5" t="s">
        <v>3916</v>
      </c>
      <c r="C541" s="6" t="s">
        <v>3917</v>
      </c>
      <c r="D541" s="1347">
        <v>0</v>
      </c>
      <c r="E541" s="1346">
        <v>0</v>
      </c>
      <c r="F541" s="1342" t="s">
        <v>3918</v>
      </c>
      <c r="G541" s="1409"/>
      <c r="H541" s="1353"/>
      <c r="I541" s="1353"/>
      <c r="K541" s="1391">
        <v>559</v>
      </c>
      <c r="L541" s="1391" t="s">
        <v>3919</v>
      </c>
      <c r="AA541">
        <v>1180</v>
      </c>
      <c r="AB541">
        <v>600</v>
      </c>
      <c r="AC541">
        <v>1800</v>
      </c>
    </row>
    <row r="542" spans="1:29" ht="12.5">
      <c r="B542" s="5" t="s">
        <v>3920</v>
      </c>
      <c r="C542" s="6" t="s">
        <v>3921</v>
      </c>
      <c r="D542" s="1347">
        <v>0</v>
      </c>
      <c r="E542" s="1346">
        <v>0</v>
      </c>
      <c r="F542" s="1342" t="s">
        <v>3922</v>
      </c>
      <c r="G542" s="1409"/>
      <c r="H542" s="1353"/>
      <c r="I542" s="1353"/>
      <c r="K542" s="1391">
        <v>560</v>
      </c>
      <c r="L542" s="1391" t="s">
        <v>3923</v>
      </c>
      <c r="AA542">
        <v>1181</v>
      </c>
      <c r="AB542">
        <v>408</v>
      </c>
      <c r="AC542">
        <v>1224</v>
      </c>
    </row>
    <row r="543" spans="1:29" ht="12.5">
      <c r="B543" s="5" t="s">
        <v>3924</v>
      </c>
      <c r="C543" s="6" t="s">
        <v>3925</v>
      </c>
      <c r="D543" s="1347">
        <v>0</v>
      </c>
      <c r="E543" s="1346">
        <v>0</v>
      </c>
      <c r="F543" s="1342" t="s">
        <v>3926</v>
      </c>
      <c r="G543" s="1409"/>
      <c r="H543" s="1353"/>
      <c r="I543" s="1353"/>
      <c r="K543" s="1391">
        <v>561</v>
      </c>
      <c r="L543" s="1391" t="s">
        <v>3927</v>
      </c>
      <c r="AA543">
        <v>1183</v>
      </c>
      <c r="AB543">
        <v>7319</v>
      </c>
      <c r="AC543">
        <v>25317</v>
      </c>
    </row>
    <row r="544" spans="1:29" ht="12.5">
      <c r="B544" s="5" t="s">
        <v>3928</v>
      </c>
      <c r="C544" s="6" t="s">
        <v>3929</v>
      </c>
      <c r="D544" s="1347">
        <v>0</v>
      </c>
      <c r="E544" s="1346">
        <v>0</v>
      </c>
      <c r="F544" s="1342" t="s">
        <v>3930</v>
      </c>
      <c r="G544" s="1409"/>
      <c r="H544" s="1353"/>
      <c r="I544" s="1353"/>
      <c r="K544" s="1391">
        <v>562</v>
      </c>
      <c r="L544" s="1391" t="s">
        <v>3931</v>
      </c>
      <c r="AA544">
        <v>1184</v>
      </c>
      <c r="AB544">
        <v>974</v>
      </c>
      <c r="AC544">
        <v>2943</v>
      </c>
    </row>
    <row r="545" spans="2:29" ht="12.5">
      <c r="B545" s="5" t="s">
        <v>3932</v>
      </c>
      <c r="C545" s="6" t="s">
        <v>3933</v>
      </c>
      <c r="D545" s="1347">
        <v>0</v>
      </c>
      <c r="E545" s="1346">
        <v>0</v>
      </c>
      <c r="F545" s="1342" t="s">
        <v>3934</v>
      </c>
      <c r="G545" s="1409"/>
      <c r="H545" s="1353"/>
      <c r="I545" s="1353"/>
      <c r="K545" s="1391">
        <v>563</v>
      </c>
      <c r="L545" s="1391" t="s">
        <v>3935</v>
      </c>
      <c r="AA545">
        <v>1187</v>
      </c>
      <c r="AB545">
        <v>120</v>
      </c>
      <c r="AC545">
        <v>1544</v>
      </c>
    </row>
    <row r="546" spans="2:29" ht="12.5">
      <c r="B546" s="5" t="s">
        <v>3936</v>
      </c>
      <c r="C546" s="6" t="s">
        <v>3937</v>
      </c>
      <c r="D546" s="1347">
        <v>0</v>
      </c>
      <c r="E546" s="1346">
        <v>0</v>
      </c>
      <c r="F546" s="1342" t="s">
        <v>3938</v>
      </c>
      <c r="G546" s="1409"/>
      <c r="H546" s="1353"/>
      <c r="I546" s="1353"/>
      <c r="K546" s="1391">
        <v>564</v>
      </c>
      <c r="L546" s="1391" t="s">
        <v>3939</v>
      </c>
      <c r="AA546">
        <v>1188</v>
      </c>
      <c r="AB546">
        <v>1351</v>
      </c>
      <c r="AC546">
        <v>4053</v>
      </c>
    </row>
    <row r="547" spans="2:29" ht="12.5">
      <c r="B547" s="5" t="s">
        <v>3940</v>
      </c>
      <c r="C547" s="6" t="s">
        <v>3941</v>
      </c>
      <c r="D547" s="1347">
        <v>0</v>
      </c>
      <c r="E547" s="1346">
        <v>0</v>
      </c>
      <c r="F547" s="1342" t="s">
        <v>3942</v>
      </c>
      <c r="G547" s="1409"/>
      <c r="H547" s="1353"/>
      <c r="I547" s="1353"/>
      <c r="K547" s="1391">
        <v>565</v>
      </c>
      <c r="L547" s="1391" t="s">
        <v>3943</v>
      </c>
      <c r="AA547">
        <v>1190</v>
      </c>
      <c r="AB547">
        <v>8790</v>
      </c>
      <c r="AC547">
        <v>30914</v>
      </c>
    </row>
    <row r="548" spans="2:29" ht="12.5">
      <c r="B548" s="5" t="s">
        <v>3944</v>
      </c>
      <c r="C548" s="6" t="s">
        <v>3945</v>
      </c>
      <c r="D548" s="1347">
        <v>0</v>
      </c>
      <c r="E548" s="1346">
        <v>0</v>
      </c>
      <c r="F548" s="1342" t="s">
        <v>3946</v>
      </c>
      <c r="G548" s="1408">
        <v>122</v>
      </c>
      <c r="H548" s="1353">
        <f t="shared" ref="H548:I550" si="64">M127</f>
        <v>0</v>
      </c>
      <c r="I548" s="1353">
        <f t="shared" si="64"/>
        <v>0</v>
      </c>
      <c r="K548" s="1391">
        <v>566</v>
      </c>
      <c r="L548" s="1391" t="s">
        <v>3947</v>
      </c>
      <c r="AA548">
        <v>1191</v>
      </c>
      <c r="AB548">
        <v>41301</v>
      </c>
      <c r="AC548">
        <v>120943</v>
      </c>
    </row>
    <row r="549" spans="2:29" ht="12.5">
      <c r="B549" s="5" t="s">
        <v>3948</v>
      </c>
      <c r="C549" s="6" t="s">
        <v>3949</v>
      </c>
      <c r="D549" s="1347">
        <v>0</v>
      </c>
      <c r="E549" s="1346">
        <v>0</v>
      </c>
      <c r="F549" s="1342" t="s">
        <v>3950</v>
      </c>
      <c r="G549" s="1408">
        <v>123</v>
      </c>
      <c r="H549" s="1353">
        <f t="shared" si="64"/>
        <v>0</v>
      </c>
      <c r="I549" s="1353">
        <f t="shared" si="64"/>
        <v>0</v>
      </c>
      <c r="K549" s="1391">
        <v>567</v>
      </c>
      <c r="L549" s="1391" t="s">
        <v>3951</v>
      </c>
      <c r="AA549">
        <v>1192</v>
      </c>
      <c r="AB549">
        <v>41301</v>
      </c>
      <c r="AC549">
        <v>120943</v>
      </c>
    </row>
    <row r="550" spans="2:29" ht="12.5">
      <c r="B550" s="5" t="s">
        <v>3952</v>
      </c>
      <c r="C550" s="6" t="s">
        <v>3953</v>
      </c>
      <c r="D550" s="1347">
        <v>0</v>
      </c>
      <c r="E550" s="1346">
        <v>0</v>
      </c>
      <c r="F550" s="1342" t="s">
        <v>3954</v>
      </c>
      <c r="G550" s="1408">
        <v>124</v>
      </c>
      <c r="H550" s="1353">
        <f t="shared" si="64"/>
        <v>0</v>
      </c>
      <c r="I550" s="1353">
        <f t="shared" si="64"/>
        <v>0</v>
      </c>
      <c r="K550" s="1391">
        <v>568</v>
      </c>
      <c r="L550" s="1391" t="s">
        <v>3955</v>
      </c>
      <c r="AA550">
        <v>1193</v>
      </c>
      <c r="AB550">
        <v>1658</v>
      </c>
      <c r="AC550">
        <v>5570</v>
      </c>
    </row>
    <row r="551" spans="2:29" ht="12.5">
      <c r="B551" s="5" t="s">
        <v>3956</v>
      </c>
      <c r="C551" s="6" t="s">
        <v>3957</v>
      </c>
      <c r="D551" s="1347">
        <v>0</v>
      </c>
      <c r="E551" s="1346">
        <v>0</v>
      </c>
      <c r="F551" s="1342" t="s">
        <v>3958</v>
      </c>
      <c r="G551" s="1409"/>
      <c r="H551" s="1353"/>
      <c r="I551" s="1353"/>
      <c r="K551" s="1391">
        <v>569</v>
      </c>
      <c r="L551" s="1391" t="s">
        <v>3959</v>
      </c>
      <c r="AA551">
        <v>1196</v>
      </c>
      <c r="AB551">
        <v>1658</v>
      </c>
      <c r="AC551">
        <v>5570</v>
      </c>
    </row>
    <row r="552" spans="2:29" ht="12.5">
      <c r="B552" s="5" t="s">
        <v>3960</v>
      </c>
      <c r="C552" s="6" t="s">
        <v>3961</v>
      </c>
      <c r="D552" s="1347">
        <v>0</v>
      </c>
      <c r="E552" s="1346">
        <v>0</v>
      </c>
      <c r="F552" s="1342" t="s">
        <v>3962</v>
      </c>
      <c r="G552" s="1409"/>
      <c r="H552" s="1353"/>
      <c r="I552" s="1353"/>
      <c r="K552" s="1391">
        <v>570</v>
      </c>
      <c r="L552" s="1391" t="s">
        <v>3963</v>
      </c>
      <c r="AA552">
        <v>1197</v>
      </c>
      <c r="AB552">
        <v>161153</v>
      </c>
      <c r="AC552">
        <v>492590</v>
      </c>
    </row>
    <row r="553" spans="2:29" ht="12.5">
      <c r="B553" s="5" t="s">
        <v>3964</v>
      </c>
      <c r="C553" s="6" t="s">
        <v>3965</v>
      </c>
      <c r="D553" s="1347">
        <v>0</v>
      </c>
      <c r="E553" s="1346">
        <v>0</v>
      </c>
      <c r="F553" s="1342" t="s">
        <v>3966</v>
      </c>
      <c r="G553" s="1409"/>
      <c r="H553" s="1353"/>
      <c r="I553" s="1353"/>
      <c r="K553" s="1391">
        <v>571</v>
      </c>
      <c r="L553" s="1391" t="s">
        <v>3967</v>
      </c>
      <c r="AA553">
        <v>1198</v>
      </c>
      <c r="AB553">
        <v>48653</v>
      </c>
      <c r="AC553">
        <v>158014</v>
      </c>
    </row>
    <row r="554" spans="2:29" ht="12.5">
      <c r="B554" s="5" t="s">
        <v>3968</v>
      </c>
      <c r="C554" s="6" t="s">
        <v>3969</v>
      </c>
      <c r="D554" s="1347">
        <v>0</v>
      </c>
      <c r="E554" s="1346">
        <v>0</v>
      </c>
      <c r="F554" s="1342" t="s">
        <v>3970</v>
      </c>
      <c r="G554" s="1409"/>
      <c r="H554" s="1353"/>
      <c r="I554" s="1353"/>
      <c r="K554" s="1391">
        <v>572</v>
      </c>
      <c r="L554" s="1391" t="s">
        <v>3971</v>
      </c>
      <c r="AA554">
        <v>1199</v>
      </c>
      <c r="AB554">
        <v>3242</v>
      </c>
      <c r="AC554">
        <v>9966</v>
      </c>
    </row>
    <row r="555" spans="2:29" ht="12.5">
      <c r="B555" s="5" t="s">
        <v>3972</v>
      </c>
      <c r="C555" s="6" t="s">
        <v>3973</v>
      </c>
      <c r="D555" s="1347">
        <v>0</v>
      </c>
      <c r="E555" s="1346">
        <v>0</v>
      </c>
      <c r="F555" s="1342" t="s">
        <v>3974</v>
      </c>
      <c r="G555" s="1409"/>
      <c r="H555" s="1353"/>
      <c r="I555" s="1353"/>
      <c r="K555" s="1391">
        <v>573</v>
      </c>
      <c r="L555" s="1391" t="s">
        <v>3975</v>
      </c>
      <c r="AA555">
        <v>1200</v>
      </c>
      <c r="AB555">
        <v>642</v>
      </c>
      <c r="AC555">
        <v>8393</v>
      </c>
    </row>
    <row r="556" spans="2:29" ht="12.5">
      <c r="B556" s="5" t="s">
        <v>3976</v>
      </c>
      <c r="C556" s="6" t="s">
        <v>3977</v>
      </c>
      <c r="D556" s="1347">
        <v>0</v>
      </c>
      <c r="E556" s="1346">
        <v>0</v>
      </c>
      <c r="F556" s="1342" t="s">
        <v>3978</v>
      </c>
      <c r="G556" s="1409"/>
      <c r="H556" s="1353"/>
      <c r="I556" s="1353"/>
      <c r="K556" s="1391">
        <v>574</v>
      </c>
      <c r="L556" s="1391" t="s">
        <v>3979</v>
      </c>
      <c r="AA556">
        <v>1201</v>
      </c>
      <c r="AB556">
        <v>536</v>
      </c>
      <c r="AC556">
        <v>710</v>
      </c>
    </row>
    <row r="557" spans="2:29" ht="12.5">
      <c r="B557" s="5" t="s">
        <v>3980</v>
      </c>
      <c r="C557" s="6" t="s">
        <v>3981</v>
      </c>
      <c r="D557" s="1347">
        <v>0</v>
      </c>
      <c r="E557" s="1346">
        <v>0</v>
      </c>
      <c r="F557" s="1342" t="s">
        <v>3982</v>
      </c>
      <c r="G557" s="1409"/>
      <c r="H557" s="1353"/>
      <c r="I557" s="1353"/>
      <c r="K557" s="1391">
        <v>575</v>
      </c>
      <c r="L557" s="1391" t="s">
        <v>3983</v>
      </c>
      <c r="AA557">
        <v>1202</v>
      </c>
      <c r="AB557">
        <v>9839</v>
      </c>
      <c r="AC557">
        <v>25841</v>
      </c>
    </row>
    <row r="558" spans="2:29" ht="12.5">
      <c r="B558" s="5" t="s">
        <v>3984</v>
      </c>
      <c r="C558" s="6" t="s">
        <v>3985</v>
      </c>
      <c r="D558" s="1347">
        <v>0</v>
      </c>
      <c r="E558" s="1346">
        <v>0</v>
      </c>
      <c r="F558" s="1342" t="s">
        <v>3986</v>
      </c>
      <c r="G558" s="1409"/>
      <c r="H558" s="1353"/>
      <c r="I558" s="1353"/>
      <c r="K558" s="1391">
        <v>576</v>
      </c>
      <c r="L558" s="1391" t="s">
        <v>3987</v>
      </c>
      <c r="AA558">
        <v>1203</v>
      </c>
      <c r="AB558">
        <v>525</v>
      </c>
      <c r="AC558">
        <v>2778</v>
      </c>
    </row>
    <row r="559" spans="2:29" ht="12.5">
      <c r="B559" s="5" t="s">
        <v>3988</v>
      </c>
      <c r="C559" s="6" t="s">
        <v>3989</v>
      </c>
      <c r="D559" s="1347">
        <v>0</v>
      </c>
      <c r="E559" s="1346">
        <v>0</v>
      </c>
      <c r="F559" s="1342" t="s">
        <v>3990</v>
      </c>
      <c r="G559" s="1409"/>
      <c r="H559" s="1353"/>
      <c r="I559" s="1353"/>
      <c r="K559" s="1391">
        <v>577</v>
      </c>
      <c r="L559" s="1391" t="s">
        <v>3991</v>
      </c>
      <c r="AA559">
        <v>1205</v>
      </c>
      <c r="AB559">
        <v>506</v>
      </c>
      <c r="AC559">
        <v>2057</v>
      </c>
    </row>
    <row r="560" spans="2:29" ht="12.5">
      <c r="B560" s="5" t="s">
        <v>3992</v>
      </c>
      <c r="C560" s="6" t="s">
        <v>3993</v>
      </c>
      <c r="D560" s="1347">
        <v>0</v>
      </c>
      <c r="E560" s="1346">
        <v>0</v>
      </c>
      <c r="F560" s="1342" t="s">
        <v>3994</v>
      </c>
      <c r="G560" s="1409"/>
      <c r="H560" s="1353"/>
      <c r="I560" s="1353"/>
      <c r="K560" s="1391">
        <v>578</v>
      </c>
      <c r="L560" s="1391" t="s">
        <v>3995</v>
      </c>
      <c r="AA560">
        <v>1206</v>
      </c>
      <c r="AB560">
        <v>1445</v>
      </c>
      <c r="AC560">
        <v>5112</v>
      </c>
    </row>
    <row r="561" spans="2:29" ht="12.5">
      <c r="B561" s="5" t="s">
        <v>3996</v>
      </c>
      <c r="C561" s="6" t="s">
        <v>3997</v>
      </c>
      <c r="D561" s="1347">
        <v>0</v>
      </c>
      <c r="E561" s="1346">
        <v>0</v>
      </c>
      <c r="F561" s="1342" t="s">
        <v>3998</v>
      </c>
      <c r="G561" s="1409"/>
      <c r="H561" s="1353"/>
      <c r="I561" s="1353"/>
      <c r="K561" s="1391">
        <v>579</v>
      </c>
      <c r="L561" s="1391" t="s">
        <v>3999</v>
      </c>
      <c r="AA561">
        <v>1208</v>
      </c>
      <c r="AB561">
        <v>16735</v>
      </c>
      <c r="AC561">
        <v>54857</v>
      </c>
    </row>
    <row r="562" spans="2:29" ht="12.5">
      <c r="B562" s="5" t="s">
        <v>4000</v>
      </c>
      <c r="C562" s="6" t="s">
        <v>4001</v>
      </c>
      <c r="D562" s="1347">
        <v>0</v>
      </c>
      <c r="E562" s="1346">
        <v>0</v>
      </c>
      <c r="F562" s="1342" t="s">
        <v>4002</v>
      </c>
      <c r="G562" s="1409"/>
      <c r="H562" s="1353"/>
      <c r="I562" s="1353"/>
      <c r="K562" s="1391">
        <v>581</v>
      </c>
      <c r="L562" s="1391" t="s">
        <v>4003</v>
      </c>
      <c r="AA562">
        <v>1209</v>
      </c>
      <c r="AB562">
        <v>3740</v>
      </c>
      <c r="AC562">
        <v>9559</v>
      </c>
    </row>
    <row r="563" spans="2:29" ht="12.5">
      <c r="B563" s="5" t="s">
        <v>4004</v>
      </c>
      <c r="C563" s="6" t="s">
        <v>4005</v>
      </c>
      <c r="D563" s="1347">
        <v>0</v>
      </c>
      <c r="E563" s="1346">
        <v>0</v>
      </c>
      <c r="F563" s="1342" t="s">
        <v>4006</v>
      </c>
      <c r="G563" s="1409"/>
      <c r="H563" s="1353"/>
      <c r="I563" s="1353"/>
      <c r="K563" s="1391">
        <v>582</v>
      </c>
      <c r="L563" s="1391" t="s">
        <v>4007</v>
      </c>
      <c r="AA563">
        <v>1210</v>
      </c>
      <c r="AB563">
        <v>484</v>
      </c>
      <c r="AC563">
        <v>795</v>
      </c>
    </row>
    <row r="564" spans="2:29" ht="12.5">
      <c r="B564" s="5" t="s">
        <v>4008</v>
      </c>
      <c r="C564" s="6" t="s">
        <v>4009</v>
      </c>
      <c r="D564" s="1347">
        <v>0</v>
      </c>
      <c r="E564" s="1346">
        <v>0</v>
      </c>
      <c r="F564" s="1342" t="s">
        <v>4010</v>
      </c>
      <c r="G564" s="1409"/>
      <c r="H564" s="1353"/>
      <c r="I564" s="1353"/>
      <c r="K564" s="1391">
        <v>583</v>
      </c>
      <c r="L564" s="1391" t="s">
        <v>4011</v>
      </c>
      <c r="AA564">
        <v>1211</v>
      </c>
      <c r="AB564">
        <v>512</v>
      </c>
      <c r="AC564">
        <v>1714</v>
      </c>
    </row>
    <row r="565" spans="2:29" ht="12.5">
      <c r="B565" s="5" t="s">
        <v>4012</v>
      </c>
      <c r="C565" s="6" t="s">
        <v>4013</v>
      </c>
      <c r="D565" s="1347">
        <v>0</v>
      </c>
      <c r="E565" s="1346">
        <v>0</v>
      </c>
      <c r="F565" s="1342" t="s">
        <v>4014</v>
      </c>
      <c r="G565" s="1409"/>
      <c r="H565" s="1353"/>
      <c r="I565" s="1353"/>
      <c r="K565" s="1391">
        <v>584</v>
      </c>
      <c r="L565" s="1391" t="s">
        <v>4015</v>
      </c>
      <c r="AA565">
        <v>1213</v>
      </c>
      <c r="AB565">
        <v>900</v>
      </c>
      <c r="AC565">
        <v>2266</v>
      </c>
    </row>
    <row r="566" spans="2:29" ht="12.5">
      <c r="B566" s="5" t="s">
        <v>4016</v>
      </c>
      <c r="C566" s="6" t="s">
        <v>4017</v>
      </c>
      <c r="D566" s="1347">
        <v>0</v>
      </c>
      <c r="E566" s="1346">
        <v>0</v>
      </c>
      <c r="F566" s="1342" t="s">
        <v>4018</v>
      </c>
      <c r="G566" s="1409"/>
      <c r="H566" s="1353"/>
      <c r="I566" s="1353"/>
      <c r="K566" s="1391">
        <v>585</v>
      </c>
      <c r="L566" s="1391" t="s">
        <v>4019</v>
      </c>
      <c r="AA566">
        <v>1216</v>
      </c>
      <c r="AB566">
        <v>448</v>
      </c>
      <c r="AC566">
        <v>1214</v>
      </c>
    </row>
    <row r="567" spans="2:29" ht="12.5">
      <c r="B567" s="5" t="s">
        <v>4020</v>
      </c>
      <c r="C567" s="6" t="s">
        <v>4021</v>
      </c>
      <c r="D567" s="1347">
        <v>0</v>
      </c>
      <c r="E567" s="1346">
        <v>0</v>
      </c>
      <c r="F567" s="1342" t="s">
        <v>4022</v>
      </c>
      <c r="G567" s="1408">
        <v>127</v>
      </c>
      <c r="H567" s="1353">
        <f t="shared" ref="H567:I569" si="65">M132</f>
        <v>0</v>
      </c>
      <c r="I567" s="1353">
        <f t="shared" si="65"/>
        <v>0</v>
      </c>
      <c r="K567" s="1391">
        <v>586</v>
      </c>
      <c r="L567" s="1391" t="s">
        <v>4023</v>
      </c>
      <c r="AA567">
        <v>1217</v>
      </c>
      <c r="AB567">
        <v>2463</v>
      </c>
      <c r="AC567">
        <v>6964</v>
      </c>
    </row>
    <row r="568" spans="2:29" ht="12.5">
      <c r="B568" s="5" t="s">
        <v>4024</v>
      </c>
      <c r="C568" s="6" t="s">
        <v>4025</v>
      </c>
      <c r="D568" s="1347">
        <v>0</v>
      </c>
      <c r="E568" s="1346">
        <v>0</v>
      </c>
      <c r="F568" s="1342" t="s">
        <v>4026</v>
      </c>
      <c r="G568" s="1408">
        <v>128</v>
      </c>
      <c r="H568" s="1353">
        <f t="shared" si="65"/>
        <v>0</v>
      </c>
      <c r="I568" s="1353">
        <f t="shared" si="65"/>
        <v>0</v>
      </c>
      <c r="K568" s="1391">
        <v>587</v>
      </c>
      <c r="L568" s="1391" t="s">
        <v>4027</v>
      </c>
      <c r="AA568">
        <v>1218</v>
      </c>
      <c r="AB568">
        <v>336</v>
      </c>
      <c r="AC568">
        <v>728</v>
      </c>
    </row>
    <row r="569" spans="2:29" ht="12.5">
      <c r="B569" s="5" t="s">
        <v>4028</v>
      </c>
      <c r="C569" s="6" t="s">
        <v>4029</v>
      </c>
      <c r="D569" s="1347">
        <v>0</v>
      </c>
      <c r="E569" s="1346">
        <v>0</v>
      </c>
      <c r="F569" s="1342" t="s">
        <v>4030</v>
      </c>
      <c r="G569" s="1408">
        <v>129</v>
      </c>
      <c r="H569" s="1353">
        <f t="shared" si="65"/>
        <v>0</v>
      </c>
      <c r="I569" s="1353">
        <f t="shared" si="65"/>
        <v>0</v>
      </c>
      <c r="K569" s="1391">
        <v>588</v>
      </c>
      <c r="L569" s="1391" t="s">
        <v>4031</v>
      </c>
      <c r="AA569">
        <v>1219</v>
      </c>
      <c r="AB569">
        <v>137</v>
      </c>
      <c r="AC569">
        <v>421</v>
      </c>
    </row>
    <row r="570" spans="2:29" ht="12.5">
      <c r="B570" s="5" t="s">
        <v>4032</v>
      </c>
      <c r="C570" s="6" t="s">
        <v>4033</v>
      </c>
      <c r="D570" s="1347">
        <v>0</v>
      </c>
      <c r="E570" s="1346">
        <v>0</v>
      </c>
      <c r="F570" s="1342" t="s">
        <v>4034</v>
      </c>
      <c r="G570" s="1408">
        <v>131</v>
      </c>
      <c r="H570" s="1353">
        <f>M136</f>
        <v>0</v>
      </c>
      <c r="I570" s="1353">
        <f>N136</f>
        <v>0</v>
      </c>
      <c r="K570" s="1391">
        <v>589</v>
      </c>
      <c r="L570" s="1391" t="s">
        <v>4035</v>
      </c>
      <c r="AA570">
        <v>1220</v>
      </c>
      <c r="AB570">
        <v>13</v>
      </c>
      <c r="AC570">
        <v>13</v>
      </c>
    </row>
    <row r="571" spans="2:29" ht="12.5">
      <c r="B571" s="5" t="s">
        <v>4036</v>
      </c>
      <c r="C571" s="6" t="s">
        <v>4037</v>
      </c>
      <c r="D571" s="1347">
        <v>0</v>
      </c>
      <c r="E571" s="1346">
        <v>0</v>
      </c>
      <c r="F571" s="1342" t="s">
        <v>4038</v>
      </c>
      <c r="G571" s="1409"/>
      <c r="H571" s="1353"/>
      <c r="I571" s="1353"/>
      <c r="K571" s="1391">
        <v>590</v>
      </c>
      <c r="L571" s="1391" t="s">
        <v>4039</v>
      </c>
      <c r="AA571">
        <v>1221</v>
      </c>
      <c r="AB571">
        <v>100</v>
      </c>
      <c r="AC571">
        <v>100</v>
      </c>
    </row>
    <row r="572" spans="2:29" ht="12.5">
      <c r="B572" s="5" t="s">
        <v>4040</v>
      </c>
      <c r="C572" s="6" t="s">
        <v>4041</v>
      </c>
      <c r="D572" s="1347">
        <v>0</v>
      </c>
      <c r="E572" s="1346">
        <v>0</v>
      </c>
      <c r="F572" s="1342" t="s">
        <v>4042</v>
      </c>
      <c r="G572" s="1414">
        <v>3925</v>
      </c>
      <c r="H572" s="1353">
        <f t="shared" ref="H572:H590" si="66">M2010</f>
        <v>0</v>
      </c>
      <c r="I572" s="1353">
        <f t="shared" ref="I572:I590" si="67">N2010</f>
        <v>0</v>
      </c>
      <c r="K572" s="1391">
        <v>591</v>
      </c>
      <c r="L572" s="1391" t="s">
        <v>4043</v>
      </c>
      <c r="AA572">
        <v>1222</v>
      </c>
      <c r="AB572">
        <v>49</v>
      </c>
      <c r="AC572">
        <v>157</v>
      </c>
    </row>
    <row r="573" spans="2:29" ht="12.5">
      <c r="B573" s="5" t="s">
        <v>4044</v>
      </c>
      <c r="C573" s="6" t="s">
        <v>4045</v>
      </c>
      <c r="D573" s="1347">
        <v>0</v>
      </c>
      <c r="E573" s="1346">
        <v>0</v>
      </c>
      <c r="F573" s="1342" t="s">
        <v>4046</v>
      </c>
      <c r="G573" s="1414">
        <v>3926</v>
      </c>
      <c r="H573" s="1353">
        <f t="shared" si="66"/>
        <v>0</v>
      </c>
      <c r="I573" s="1353">
        <f t="shared" si="67"/>
        <v>0</v>
      </c>
      <c r="K573" s="1391">
        <v>592</v>
      </c>
      <c r="L573" s="1391" t="s">
        <v>4047</v>
      </c>
      <c r="AA573">
        <v>1223</v>
      </c>
      <c r="AB573">
        <v>230</v>
      </c>
      <c r="AC573">
        <v>243</v>
      </c>
    </row>
    <row r="574" spans="2:29" ht="12.5">
      <c r="B574" s="5" t="s">
        <v>4048</v>
      </c>
      <c r="C574" s="6" t="s">
        <v>4049</v>
      </c>
      <c r="D574" s="1347">
        <v>0</v>
      </c>
      <c r="E574" s="1346">
        <v>0</v>
      </c>
      <c r="F574" s="1342" t="s">
        <v>4050</v>
      </c>
      <c r="G574" s="1414">
        <v>3927</v>
      </c>
      <c r="H574" s="1353">
        <f t="shared" si="66"/>
        <v>0</v>
      </c>
      <c r="I574" s="1353">
        <f t="shared" si="67"/>
        <v>0</v>
      </c>
      <c r="K574" s="1391">
        <v>593</v>
      </c>
      <c r="L574" s="1391" t="s">
        <v>4051</v>
      </c>
      <c r="AA574">
        <v>1224</v>
      </c>
      <c r="AB574">
        <v>245</v>
      </c>
      <c r="AC574">
        <v>912</v>
      </c>
    </row>
    <row r="575" spans="2:29" ht="12.5">
      <c r="B575" s="5" t="s">
        <v>4052</v>
      </c>
      <c r="C575" s="6" t="s">
        <v>4053</v>
      </c>
      <c r="D575" s="1347">
        <v>0</v>
      </c>
      <c r="E575" s="1346">
        <v>0</v>
      </c>
      <c r="F575" s="1342" t="s">
        <v>4054</v>
      </c>
      <c r="G575" s="1414">
        <v>3928</v>
      </c>
      <c r="H575" s="1353">
        <f t="shared" si="66"/>
        <v>0</v>
      </c>
      <c r="I575" s="1353">
        <f t="shared" si="67"/>
        <v>0</v>
      </c>
      <c r="K575" s="1391">
        <v>594</v>
      </c>
      <c r="L575" s="1391" t="s">
        <v>4055</v>
      </c>
      <c r="AA575">
        <v>1226</v>
      </c>
      <c r="AB575">
        <v>203</v>
      </c>
      <c r="AC575">
        <v>277</v>
      </c>
    </row>
    <row r="576" spans="2:29" ht="12.5">
      <c r="B576" s="5" t="s">
        <v>4056</v>
      </c>
      <c r="C576" s="6" t="s">
        <v>4057</v>
      </c>
      <c r="D576" s="1347">
        <v>0</v>
      </c>
      <c r="E576" s="1346">
        <v>0</v>
      </c>
      <c r="F576" s="1342" t="s">
        <v>4058</v>
      </c>
      <c r="G576" s="1414">
        <v>3929</v>
      </c>
      <c r="H576" s="1353">
        <f t="shared" si="66"/>
        <v>0</v>
      </c>
      <c r="I576" s="1353">
        <f t="shared" si="67"/>
        <v>0</v>
      </c>
      <c r="K576" s="1391">
        <v>595</v>
      </c>
      <c r="L576" s="1391" t="s">
        <v>4059</v>
      </c>
      <c r="AA576">
        <v>1227</v>
      </c>
      <c r="AB576">
        <v>0</v>
      </c>
      <c r="AC576">
        <v>78</v>
      </c>
    </row>
    <row r="577" spans="2:29" ht="12.5">
      <c r="B577" s="5" t="s">
        <v>4060</v>
      </c>
      <c r="C577" s="6" t="s">
        <v>4061</v>
      </c>
      <c r="D577" s="1347">
        <v>0</v>
      </c>
      <c r="E577" s="1346">
        <v>0</v>
      </c>
      <c r="F577" s="1342" t="s">
        <v>4062</v>
      </c>
      <c r="G577" s="1414">
        <v>3930</v>
      </c>
      <c r="H577" s="1353">
        <f t="shared" si="66"/>
        <v>0</v>
      </c>
      <c r="I577" s="1353">
        <f t="shared" si="67"/>
        <v>0</v>
      </c>
      <c r="K577" s="1391">
        <v>596</v>
      </c>
      <c r="L577" s="1391" t="s">
        <v>4063</v>
      </c>
      <c r="AA577">
        <v>1228</v>
      </c>
      <c r="AB577">
        <v>9860</v>
      </c>
      <c r="AC577">
        <v>25441</v>
      </c>
    </row>
    <row r="578" spans="2:29" ht="12.5">
      <c r="B578" s="5" t="s">
        <v>4064</v>
      </c>
      <c r="C578" s="6" t="s">
        <v>4065</v>
      </c>
      <c r="D578" s="1347">
        <v>0</v>
      </c>
      <c r="E578" s="1346">
        <v>0</v>
      </c>
      <c r="F578" s="1342" t="s">
        <v>4066</v>
      </c>
      <c r="G578" s="1414">
        <v>3931</v>
      </c>
      <c r="H578" s="1353">
        <f t="shared" si="66"/>
        <v>0</v>
      </c>
      <c r="I578" s="1353">
        <f t="shared" si="67"/>
        <v>0</v>
      </c>
      <c r="K578" s="1391">
        <v>597</v>
      </c>
      <c r="L578" s="1391" t="s">
        <v>4067</v>
      </c>
      <c r="AA578">
        <v>1229</v>
      </c>
      <c r="AB578">
        <v>4590</v>
      </c>
      <c r="AC578">
        <v>13770</v>
      </c>
    </row>
    <row r="579" spans="2:29" ht="12.5">
      <c r="B579" s="5" t="s">
        <v>4068</v>
      </c>
      <c r="C579" s="6" t="s">
        <v>4069</v>
      </c>
      <c r="D579" s="1347">
        <v>0</v>
      </c>
      <c r="E579" s="1346">
        <v>0</v>
      </c>
      <c r="F579" s="1342" t="s">
        <v>4070</v>
      </c>
      <c r="G579" s="1414">
        <v>3932</v>
      </c>
      <c r="H579" s="1353">
        <f t="shared" si="66"/>
        <v>0</v>
      </c>
      <c r="I579" s="1353">
        <f t="shared" si="67"/>
        <v>0</v>
      </c>
      <c r="K579" s="1391">
        <v>598</v>
      </c>
      <c r="L579" s="1391" t="s">
        <v>4071</v>
      </c>
      <c r="AA579">
        <v>1231</v>
      </c>
      <c r="AB579">
        <v>739</v>
      </c>
      <c r="AC579">
        <v>2717</v>
      </c>
    </row>
    <row r="580" spans="2:29" ht="12.5">
      <c r="B580" s="5" t="s">
        <v>4072</v>
      </c>
      <c r="C580" s="6" t="s">
        <v>4073</v>
      </c>
      <c r="D580" s="1347">
        <v>0</v>
      </c>
      <c r="E580" s="1346">
        <v>0</v>
      </c>
      <c r="F580" s="1342" t="s">
        <v>4074</v>
      </c>
      <c r="G580" s="1414">
        <v>3933</v>
      </c>
      <c r="H580" s="1353">
        <f t="shared" si="66"/>
        <v>0</v>
      </c>
      <c r="I580" s="1353">
        <f t="shared" si="67"/>
        <v>0</v>
      </c>
      <c r="K580" s="1391">
        <v>599</v>
      </c>
      <c r="L580" s="1391" t="s">
        <v>4075</v>
      </c>
      <c r="AA580">
        <v>1232</v>
      </c>
      <c r="AB580">
        <v>8</v>
      </c>
      <c r="AC580">
        <v>23</v>
      </c>
    </row>
    <row r="581" spans="2:29" ht="12.5">
      <c r="B581" s="5" t="s">
        <v>4076</v>
      </c>
      <c r="C581" s="6" t="s">
        <v>4077</v>
      </c>
      <c r="D581" s="1347">
        <v>0</v>
      </c>
      <c r="E581" s="1346">
        <v>0</v>
      </c>
      <c r="F581" s="1342" t="s">
        <v>4078</v>
      </c>
      <c r="G581" s="1414">
        <v>3934</v>
      </c>
      <c r="H581" s="1353">
        <f t="shared" si="66"/>
        <v>0</v>
      </c>
      <c r="I581" s="1353">
        <f t="shared" si="67"/>
        <v>0</v>
      </c>
      <c r="K581" s="1391">
        <v>600</v>
      </c>
      <c r="L581" s="1391" t="s">
        <v>4079</v>
      </c>
      <c r="AA581">
        <v>1233</v>
      </c>
      <c r="AB581">
        <v>600</v>
      </c>
      <c r="AC581">
        <v>1800</v>
      </c>
    </row>
    <row r="582" spans="2:29" ht="12.5">
      <c r="B582" s="5" t="s">
        <v>4080</v>
      </c>
      <c r="C582" s="6" t="s">
        <v>4081</v>
      </c>
      <c r="D582" s="1347">
        <v>0</v>
      </c>
      <c r="E582" s="1346">
        <v>0</v>
      </c>
      <c r="F582" s="1342" t="s">
        <v>4082</v>
      </c>
      <c r="G582" s="1414">
        <v>3935</v>
      </c>
      <c r="H582" s="1353">
        <f t="shared" si="66"/>
        <v>0</v>
      </c>
      <c r="I582" s="1353">
        <f t="shared" si="67"/>
        <v>0</v>
      </c>
      <c r="K582" s="1391">
        <v>601</v>
      </c>
      <c r="L582" s="1391" t="s">
        <v>4083</v>
      </c>
      <c r="AA582">
        <v>1234</v>
      </c>
      <c r="AB582">
        <v>408</v>
      </c>
      <c r="AC582">
        <v>1224</v>
      </c>
    </row>
    <row r="583" spans="2:29" ht="12.5">
      <c r="B583" s="5" t="s">
        <v>4084</v>
      </c>
      <c r="C583" s="6" t="s">
        <v>4085</v>
      </c>
      <c r="D583" s="1347">
        <v>0</v>
      </c>
      <c r="E583" s="1346">
        <v>0</v>
      </c>
      <c r="F583" s="1342" t="s">
        <v>4086</v>
      </c>
      <c r="G583" s="1414">
        <v>3936</v>
      </c>
      <c r="H583" s="1353">
        <f t="shared" si="66"/>
        <v>0</v>
      </c>
      <c r="I583" s="1353">
        <f t="shared" si="67"/>
        <v>0</v>
      </c>
      <c r="K583" s="1391">
        <v>602</v>
      </c>
      <c r="L583" s="1391" t="s">
        <v>4087</v>
      </c>
      <c r="AA583">
        <v>1236</v>
      </c>
      <c r="AB583">
        <v>7319</v>
      </c>
      <c r="AC583">
        <v>22477</v>
      </c>
    </row>
    <row r="584" spans="2:29" ht="12.5">
      <c r="B584" s="5" t="s">
        <v>4088</v>
      </c>
      <c r="C584" s="6" t="s">
        <v>4089</v>
      </c>
      <c r="D584" s="1347">
        <v>0</v>
      </c>
      <c r="E584" s="1346">
        <v>0</v>
      </c>
      <c r="F584" s="1342" t="s">
        <v>4090</v>
      </c>
      <c r="G584" s="1414">
        <v>3937</v>
      </c>
      <c r="H584" s="1353">
        <f t="shared" si="66"/>
        <v>0</v>
      </c>
      <c r="I584" s="1353">
        <f t="shared" si="67"/>
        <v>0</v>
      </c>
      <c r="K584" s="1391">
        <v>603</v>
      </c>
      <c r="L584" s="1391" t="s">
        <v>4091</v>
      </c>
      <c r="AA584">
        <v>1237</v>
      </c>
      <c r="AB584">
        <v>974</v>
      </c>
      <c r="AC584">
        <v>2943</v>
      </c>
    </row>
    <row r="585" spans="2:29" ht="12.5">
      <c r="B585" s="5" t="s">
        <v>4092</v>
      </c>
      <c r="C585" s="6" t="s">
        <v>4093</v>
      </c>
      <c r="D585" s="1347">
        <v>0</v>
      </c>
      <c r="E585" s="1346">
        <v>0</v>
      </c>
      <c r="F585" s="1342" t="s">
        <v>4094</v>
      </c>
      <c r="G585" s="1414">
        <v>3938</v>
      </c>
      <c r="H585" s="1353">
        <f t="shared" si="66"/>
        <v>0</v>
      </c>
      <c r="I585" s="1353">
        <f t="shared" si="67"/>
        <v>0</v>
      </c>
      <c r="K585" s="1391">
        <v>604</v>
      </c>
      <c r="L585" s="1391" t="s">
        <v>4095</v>
      </c>
      <c r="AA585">
        <v>1240</v>
      </c>
      <c r="AB585">
        <v>120</v>
      </c>
      <c r="AC585">
        <v>147</v>
      </c>
    </row>
    <row r="586" spans="2:29" ht="12.5">
      <c r="B586" s="5" t="s">
        <v>4096</v>
      </c>
      <c r="C586" s="6" t="s">
        <v>4097</v>
      </c>
      <c r="D586" s="1347">
        <v>0</v>
      </c>
      <c r="E586" s="1346">
        <v>0</v>
      </c>
      <c r="F586" s="1342" t="s">
        <v>4098</v>
      </c>
      <c r="G586" s="1414">
        <v>3939</v>
      </c>
      <c r="H586" s="1353">
        <f t="shared" si="66"/>
        <v>0</v>
      </c>
      <c r="I586" s="1353">
        <f t="shared" si="67"/>
        <v>0</v>
      </c>
      <c r="K586" s="1391">
        <v>605</v>
      </c>
      <c r="L586" s="1391" t="s">
        <v>4099</v>
      </c>
      <c r="AA586">
        <v>1241</v>
      </c>
      <c r="AB586">
        <v>1351</v>
      </c>
      <c r="AC586">
        <v>4053</v>
      </c>
    </row>
    <row r="587" spans="2:29" ht="12.5">
      <c r="B587" s="5" t="s">
        <v>4100</v>
      </c>
      <c r="C587" s="6" t="s">
        <v>4101</v>
      </c>
      <c r="D587" s="1347">
        <v>0</v>
      </c>
      <c r="E587" s="1346">
        <v>0</v>
      </c>
      <c r="F587" s="1342" t="s">
        <v>4102</v>
      </c>
      <c r="G587" s="1414">
        <v>3940</v>
      </c>
      <c r="H587" s="1353">
        <f t="shared" si="66"/>
        <v>0</v>
      </c>
      <c r="I587" s="1353">
        <f t="shared" si="67"/>
        <v>0</v>
      </c>
      <c r="K587" s="1391">
        <v>606</v>
      </c>
      <c r="L587" s="1391" t="s">
        <v>4103</v>
      </c>
      <c r="AA587">
        <v>1243</v>
      </c>
      <c r="AB587">
        <v>8790</v>
      </c>
      <c r="AC587">
        <v>26677</v>
      </c>
    </row>
    <row r="588" spans="2:29" ht="12.5">
      <c r="B588" s="5" t="s">
        <v>4104</v>
      </c>
      <c r="C588" s="6" t="s">
        <v>4105</v>
      </c>
      <c r="D588" s="1347">
        <v>0</v>
      </c>
      <c r="E588" s="1346">
        <v>0</v>
      </c>
      <c r="F588" s="1342" t="s">
        <v>4106</v>
      </c>
      <c r="G588" s="1414">
        <v>3941</v>
      </c>
      <c r="H588" s="1353">
        <f t="shared" si="66"/>
        <v>0</v>
      </c>
      <c r="I588" s="1353">
        <f t="shared" si="67"/>
        <v>0</v>
      </c>
      <c r="K588" s="1391">
        <v>607</v>
      </c>
      <c r="L588" s="1391" t="s">
        <v>4107</v>
      </c>
      <c r="AA588">
        <v>1244</v>
      </c>
      <c r="AB588">
        <v>35385</v>
      </c>
      <c r="AC588">
        <v>106975</v>
      </c>
    </row>
    <row r="589" spans="2:29" ht="12.5">
      <c r="B589" s="5" t="s">
        <v>4108</v>
      </c>
      <c r="C589" s="6" t="s">
        <v>4109</v>
      </c>
      <c r="D589" s="1347">
        <v>0</v>
      </c>
      <c r="E589" s="1346">
        <v>0</v>
      </c>
      <c r="F589" s="1342" t="s">
        <v>4110</v>
      </c>
      <c r="G589" s="1414">
        <v>3942</v>
      </c>
      <c r="H589" s="1353">
        <f t="shared" si="66"/>
        <v>0</v>
      </c>
      <c r="I589" s="1353">
        <f t="shared" si="67"/>
        <v>0</v>
      </c>
      <c r="K589" s="1391">
        <v>609</v>
      </c>
      <c r="L589" s="1391" t="s">
        <v>4111</v>
      </c>
      <c r="AA589">
        <v>1245</v>
      </c>
      <c r="AB589">
        <v>35385</v>
      </c>
      <c r="AC589">
        <v>106975</v>
      </c>
    </row>
    <row r="590" spans="2:29" ht="12.5">
      <c r="B590" s="5" t="s">
        <v>4112</v>
      </c>
      <c r="C590" s="6" t="s">
        <v>4113</v>
      </c>
      <c r="D590" s="1347">
        <v>0</v>
      </c>
      <c r="E590" s="1346">
        <v>0</v>
      </c>
      <c r="F590" s="1342" t="s">
        <v>4114</v>
      </c>
      <c r="G590" s="1414">
        <v>3943</v>
      </c>
      <c r="H590" s="1353">
        <f t="shared" si="66"/>
        <v>0</v>
      </c>
      <c r="I590" s="1353">
        <f t="shared" si="67"/>
        <v>0</v>
      </c>
      <c r="K590" s="1391">
        <v>610</v>
      </c>
      <c r="L590" s="1391" t="s">
        <v>4115</v>
      </c>
      <c r="AA590">
        <v>1246</v>
      </c>
      <c r="AB590">
        <v>13268</v>
      </c>
      <c r="AC590">
        <v>51039</v>
      </c>
    </row>
    <row r="591" spans="2:29" ht="12.5">
      <c r="B591" s="5" t="s">
        <v>4116</v>
      </c>
      <c r="C591" s="6" t="s">
        <v>4117</v>
      </c>
      <c r="D591" s="1347">
        <v>0</v>
      </c>
      <c r="E591" s="1346">
        <v>0</v>
      </c>
      <c r="F591" s="1342" t="s">
        <v>4118</v>
      </c>
      <c r="G591" s="1408">
        <v>134</v>
      </c>
      <c r="H591" s="1353">
        <f t="shared" ref="H591:I593" si="68">M139</f>
        <v>0</v>
      </c>
      <c r="I591" s="1353">
        <f t="shared" si="68"/>
        <v>0</v>
      </c>
      <c r="K591" s="1391">
        <v>611</v>
      </c>
      <c r="L591" s="1391" t="s">
        <v>4119</v>
      </c>
      <c r="AA591">
        <v>1247</v>
      </c>
      <c r="AB591">
        <v>-8015</v>
      </c>
      <c r="AC591">
        <v>-18646</v>
      </c>
    </row>
    <row r="592" spans="2:29" ht="12.5">
      <c r="B592" s="5" t="s">
        <v>4120</v>
      </c>
      <c r="C592" s="6" t="s">
        <v>4121</v>
      </c>
      <c r="D592" s="1347">
        <v>0</v>
      </c>
      <c r="E592" s="1346">
        <v>0</v>
      </c>
      <c r="F592" s="1342" t="s">
        <v>4122</v>
      </c>
      <c r="G592" s="1408">
        <v>135</v>
      </c>
      <c r="H592" s="1353">
        <f t="shared" si="68"/>
        <v>0</v>
      </c>
      <c r="I592" s="1353">
        <f t="shared" si="68"/>
        <v>0</v>
      </c>
      <c r="K592" s="1391">
        <v>612</v>
      </c>
      <c r="L592" s="1391" t="s">
        <v>4123</v>
      </c>
      <c r="AA592">
        <v>1249</v>
      </c>
      <c r="AB592">
        <v>5253</v>
      </c>
      <c r="AC592">
        <v>32393</v>
      </c>
    </row>
    <row r="593" spans="2:29" ht="12.5">
      <c r="B593" s="5" t="s">
        <v>4124</v>
      </c>
      <c r="C593" s="6" t="s">
        <v>4125</v>
      </c>
      <c r="D593" s="1347">
        <v>0</v>
      </c>
      <c r="E593" s="1346">
        <v>0</v>
      </c>
      <c r="F593" s="1342" t="s">
        <v>4126</v>
      </c>
      <c r="G593" s="1408">
        <v>136</v>
      </c>
      <c r="H593" s="1353">
        <f t="shared" si="68"/>
        <v>0</v>
      </c>
      <c r="I593" s="1353">
        <f t="shared" si="68"/>
        <v>0</v>
      </c>
      <c r="K593" s="1391">
        <v>613</v>
      </c>
      <c r="L593" s="1391" t="s">
        <v>4127</v>
      </c>
      <c r="AA593">
        <v>1299</v>
      </c>
      <c r="AB593">
        <v>1806</v>
      </c>
      <c r="AC593">
        <v>4038</v>
      </c>
    </row>
    <row r="594" spans="2:29" ht="12.5">
      <c r="B594" s="5" t="s">
        <v>4128</v>
      </c>
      <c r="C594" s="6" t="s">
        <v>4129</v>
      </c>
      <c r="D594" s="1347">
        <v>0</v>
      </c>
      <c r="E594" s="1346">
        <v>0</v>
      </c>
      <c r="F594" s="1342" t="s">
        <v>4130</v>
      </c>
      <c r="G594" s="1414">
        <v>3944</v>
      </c>
      <c r="H594" s="1353">
        <f t="shared" ref="H594:H609" si="69">M2029</f>
        <v>0</v>
      </c>
      <c r="I594" s="1353">
        <f t="shared" ref="I594:I609" si="70">N2029</f>
        <v>0</v>
      </c>
      <c r="K594" s="1391">
        <v>614</v>
      </c>
      <c r="L594" s="1391" t="s">
        <v>4131</v>
      </c>
      <c r="AA594">
        <v>1300</v>
      </c>
      <c r="AB594">
        <v>6</v>
      </c>
      <c r="AC594">
        <v>-6</v>
      </c>
    </row>
    <row r="595" spans="2:29" ht="12.5">
      <c r="B595" s="5" t="s">
        <v>4132</v>
      </c>
      <c r="C595" s="6" t="s">
        <v>4133</v>
      </c>
      <c r="D595" s="1347">
        <v>0</v>
      </c>
      <c r="E595" s="1346">
        <v>0</v>
      </c>
      <c r="F595" s="1342" t="s">
        <v>4134</v>
      </c>
      <c r="G595" s="1414">
        <v>3945</v>
      </c>
      <c r="H595" s="1353">
        <f t="shared" si="69"/>
        <v>0</v>
      </c>
      <c r="I595" s="1353">
        <f t="shared" si="70"/>
        <v>0</v>
      </c>
      <c r="K595" s="1391">
        <v>615</v>
      </c>
      <c r="L595" s="1391" t="s">
        <v>4135</v>
      </c>
      <c r="AA595">
        <v>1305</v>
      </c>
      <c r="AB595">
        <v>0</v>
      </c>
      <c r="AC595">
        <v>33144</v>
      </c>
    </row>
    <row r="596" spans="2:29" ht="12.5">
      <c r="B596" s="5" t="s">
        <v>4136</v>
      </c>
      <c r="C596" s="6" t="s">
        <v>4137</v>
      </c>
      <c r="D596" s="1347">
        <v>0</v>
      </c>
      <c r="E596" s="1346">
        <v>0</v>
      </c>
      <c r="F596" s="1342" t="s">
        <v>4138</v>
      </c>
      <c r="G596" s="1414">
        <v>3946</v>
      </c>
      <c r="H596" s="1353">
        <f t="shared" si="69"/>
        <v>0</v>
      </c>
      <c r="I596" s="1353">
        <f t="shared" si="70"/>
        <v>0</v>
      </c>
      <c r="K596" s="1391">
        <v>616</v>
      </c>
      <c r="L596" s="1391" t="s">
        <v>4139</v>
      </c>
      <c r="AA596">
        <v>1309</v>
      </c>
      <c r="AB596">
        <v>0</v>
      </c>
      <c r="AC596">
        <v>33144</v>
      </c>
    </row>
    <row r="597" spans="2:29" ht="12.5">
      <c r="B597" s="5" t="s">
        <v>4140</v>
      </c>
      <c r="C597" s="6" t="s">
        <v>4141</v>
      </c>
      <c r="D597" s="1347">
        <v>0</v>
      </c>
      <c r="E597" s="1346">
        <v>0</v>
      </c>
      <c r="F597" s="1342" t="s">
        <v>4142</v>
      </c>
      <c r="G597" s="1414">
        <v>3947</v>
      </c>
      <c r="H597" s="1353">
        <f t="shared" si="69"/>
        <v>0</v>
      </c>
      <c r="I597" s="1353">
        <f t="shared" si="70"/>
        <v>0</v>
      </c>
      <c r="K597" s="1391">
        <v>617</v>
      </c>
      <c r="L597" s="1391" t="s">
        <v>4143</v>
      </c>
      <c r="AA597">
        <v>1310</v>
      </c>
      <c r="AB597">
        <v>939676</v>
      </c>
      <c r="AC597">
        <v>1928292</v>
      </c>
    </row>
    <row r="598" spans="2:29" ht="12.5">
      <c r="B598" s="5" t="s">
        <v>4144</v>
      </c>
      <c r="C598" s="6" t="s">
        <v>4145</v>
      </c>
      <c r="D598" s="1347">
        <v>0</v>
      </c>
      <c r="E598" s="1346">
        <v>0</v>
      </c>
      <c r="F598" s="1342" t="s">
        <v>4146</v>
      </c>
      <c r="G598" s="1414">
        <v>3948</v>
      </c>
      <c r="H598" s="1353">
        <f t="shared" si="69"/>
        <v>0</v>
      </c>
      <c r="I598" s="1353">
        <f t="shared" si="70"/>
        <v>0</v>
      </c>
      <c r="K598" s="1391">
        <v>618</v>
      </c>
      <c r="L598" s="1391" t="s">
        <v>4147</v>
      </c>
      <c r="AA598">
        <v>1312</v>
      </c>
      <c r="AB598">
        <v>835717</v>
      </c>
      <c r="AC598">
        <v>1707178</v>
      </c>
    </row>
    <row r="599" spans="2:29" ht="12.5">
      <c r="B599" s="5" t="s">
        <v>4148</v>
      </c>
      <c r="C599" s="6" t="s">
        <v>4149</v>
      </c>
      <c r="D599" s="1347">
        <v>0</v>
      </c>
      <c r="E599" s="1346">
        <v>0</v>
      </c>
      <c r="F599" s="1342" t="s">
        <v>4150</v>
      </c>
      <c r="G599" s="1414">
        <v>3949</v>
      </c>
      <c r="H599" s="1353">
        <f t="shared" si="69"/>
        <v>0</v>
      </c>
      <c r="I599" s="1353">
        <f t="shared" si="70"/>
        <v>0</v>
      </c>
      <c r="K599" s="1391">
        <v>619</v>
      </c>
      <c r="L599" s="1391" t="s">
        <v>4151</v>
      </c>
      <c r="AA599">
        <v>1314</v>
      </c>
      <c r="AB599">
        <v>1775393</v>
      </c>
      <c r="AC599">
        <v>3635470</v>
      </c>
    </row>
    <row r="600" spans="2:29" ht="12.5">
      <c r="B600" s="5" t="s">
        <v>4152</v>
      </c>
      <c r="C600" s="6" t="s">
        <v>4153</v>
      </c>
      <c r="D600" s="1347">
        <v>0</v>
      </c>
      <c r="E600" s="1346">
        <v>0</v>
      </c>
      <c r="F600" s="1342" t="s">
        <v>4154</v>
      </c>
      <c r="G600" s="1414">
        <v>3950</v>
      </c>
      <c r="H600" s="1353">
        <f t="shared" si="69"/>
        <v>0</v>
      </c>
      <c r="I600" s="1353">
        <f t="shared" si="70"/>
        <v>0</v>
      </c>
      <c r="K600" s="1391">
        <v>620</v>
      </c>
      <c r="L600" s="1391" t="s">
        <v>4155</v>
      </c>
      <c r="AA600">
        <v>1316</v>
      </c>
      <c r="AB600">
        <v>1775393</v>
      </c>
      <c r="AC600">
        <v>3668614</v>
      </c>
    </row>
    <row r="601" spans="2:29" ht="12.5">
      <c r="B601" s="5" t="s">
        <v>4156</v>
      </c>
      <c r="C601" s="6" t="s">
        <v>4157</v>
      </c>
      <c r="D601" s="1347">
        <v>0</v>
      </c>
      <c r="E601" s="1346">
        <v>0</v>
      </c>
      <c r="F601" s="1342" t="s">
        <v>4158</v>
      </c>
      <c r="G601" s="1414">
        <v>3951</v>
      </c>
      <c r="H601" s="1353">
        <f t="shared" si="69"/>
        <v>0</v>
      </c>
      <c r="I601" s="1353">
        <f t="shared" si="70"/>
        <v>0</v>
      </c>
      <c r="K601" s="1391">
        <v>621</v>
      </c>
      <c r="L601" s="1391" t="s">
        <v>4159</v>
      </c>
      <c r="AA601">
        <v>1317</v>
      </c>
      <c r="AB601">
        <v>0</v>
      </c>
      <c r="AC601">
        <v>-1856</v>
      </c>
    </row>
    <row r="602" spans="2:29" ht="12.5">
      <c r="B602" s="5" t="s">
        <v>4160</v>
      </c>
      <c r="C602" s="6" t="s">
        <v>4161</v>
      </c>
      <c r="D602" s="1347">
        <v>0</v>
      </c>
      <c r="E602" s="1346">
        <v>0</v>
      </c>
      <c r="F602" s="1342" t="s">
        <v>4162</v>
      </c>
      <c r="G602" s="1414">
        <v>3952</v>
      </c>
      <c r="H602" s="1353">
        <f t="shared" si="69"/>
        <v>0</v>
      </c>
      <c r="I602" s="1353">
        <f t="shared" si="70"/>
        <v>0</v>
      </c>
      <c r="K602" s="1391">
        <v>622</v>
      </c>
      <c r="L602" s="1391" t="s">
        <v>4163</v>
      </c>
      <c r="AA602">
        <v>1321</v>
      </c>
      <c r="AB602">
        <v>0</v>
      </c>
      <c r="AC602">
        <v>-1856</v>
      </c>
    </row>
    <row r="603" spans="2:29" ht="12.5">
      <c r="B603" s="5" t="s">
        <v>4164</v>
      </c>
      <c r="C603" s="6" t="s">
        <v>4165</v>
      </c>
      <c r="D603" s="1347">
        <v>0</v>
      </c>
      <c r="E603" s="1346">
        <v>0</v>
      </c>
      <c r="F603" s="1342" t="s">
        <v>4166</v>
      </c>
      <c r="G603" s="1414">
        <v>3953</v>
      </c>
      <c r="H603" s="1353">
        <f t="shared" si="69"/>
        <v>0</v>
      </c>
      <c r="I603" s="1353">
        <f t="shared" si="70"/>
        <v>0</v>
      </c>
      <c r="K603" s="1391">
        <v>623</v>
      </c>
      <c r="L603" s="1391" t="s">
        <v>4167</v>
      </c>
      <c r="AA603">
        <v>1322</v>
      </c>
      <c r="AB603">
        <v>27269</v>
      </c>
      <c r="AC603">
        <v>75716</v>
      </c>
    </row>
    <row r="604" spans="2:29" ht="12.5">
      <c r="B604" s="5" t="s">
        <v>4168</v>
      </c>
      <c r="C604" s="6" t="s">
        <v>4169</v>
      </c>
      <c r="D604" s="1347">
        <v>0</v>
      </c>
      <c r="E604" s="1346">
        <v>0</v>
      </c>
      <c r="F604" s="1342" t="s">
        <v>4170</v>
      </c>
      <c r="G604" s="1414">
        <v>3954</v>
      </c>
      <c r="H604" s="1353">
        <f t="shared" si="69"/>
        <v>0</v>
      </c>
      <c r="I604" s="1353">
        <f t="shared" si="70"/>
        <v>0</v>
      </c>
      <c r="K604" s="1391">
        <v>624</v>
      </c>
      <c r="L604" s="1391" t="s">
        <v>4171</v>
      </c>
      <c r="AA604">
        <v>1324</v>
      </c>
      <c r="AB604">
        <v>4400</v>
      </c>
      <c r="AC604">
        <v>8005</v>
      </c>
    </row>
    <row r="605" spans="2:29" ht="12.5">
      <c r="B605" s="5" t="s">
        <v>4172</v>
      </c>
      <c r="C605" s="6" t="s">
        <v>4173</v>
      </c>
      <c r="D605" s="1347">
        <v>0</v>
      </c>
      <c r="E605" s="1346">
        <v>0</v>
      </c>
      <c r="F605" s="1342" t="s">
        <v>4174</v>
      </c>
      <c r="G605" s="1414">
        <v>3955</v>
      </c>
      <c r="H605" s="1353">
        <f t="shared" si="69"/>
        <v>0</v>
      </c>
      <c r="I605" s="1353">
        <f t="shared" si="70"/>
        <v>0</v>
      </c>
      <c r="K605" s="1391">
        <v>625</v>
      </c>
      <c r="L605" s="1391" t="s">
        <v>4175</v>
      </c>
      <c r="AA605">
        <v>1326</v>
      </c>
      <c r="AB605">
        <v>31669</v>
      </c>
      <c r="AC605">
        <v>83721</v>
      </c>
    </row>
    <row r="606" spans="2:29" ht="12.5">
      <c r="B606" s="5" t="s">
        <v>4176</v>
      </c>
      <c r="C606" s="6" t="s">
        <v>4177</v>
      </c>
      <c r="D606" s="1347">
        <v>0</v>
      </c>
      <c r="E606" s="1346">
        <v>0</v>
      </c>
      <c r="F606" s="1342" t="s">
        <v>4178</v>
      </c>
      <c r="G606" s="1414">
        <v>3956</v>
      </c>
      <c r="H606" s="1353">
        <f t="shared" si="69"/>
        <v>0</v>
      </c>
      <c r="I606" s="1353">
        <f t="shared" si="70"/>
        <v>0</v>
      </c>
      <c r="K606" s="1391">
        <v>626</v>
      </c>
      <c r="L606" s="1391" t="s">
        <v>4179</v>
      </c>
      <c r="AA606">
        <v>1328</v>
      </c>
      <c r="AB606">
        <v>31669</v>
      </c>
      <c r="AC606">
        <v>81865</v>
      </c>
    </row>
    <row r="607" spans="2:29" ht="12.5">
      <c r="B607" s="5" t="s">
        <v>4180</v>
      </c>
      <c r="C607" s="6" t="s">
        <v>4181</v>
      </c>
      <c r="D607" s="1347">
        <v>0</v>
      </c>
      <c r="E607" s="1346">
        <v>0</v>
      </c>
      <c r="F607" s="1342" t="s">
        <v>4182</v>
      </c>
      <c r="G607" s="1414">
        <v>3957</v>
      </c>
      <c r="H607" s="1353">
        <f t="shared" si="69"/>
        <v>0</v>
      </c>
      <c r="I607" s="1353">
        <f t="shared" si="70"/>
        <v>0</v>
      </c>
      <c r="K607" s="1391">
        <v>627</v>
      </c>
      <c r="L607" s="1391" t="s">
        <v>4183</v>
      </c>
      <c r="AA607">
        <v>1334</v>
      </c>
      <c r="AB607">
        <v>137958</v>
      </c>
      <c r="AC607">
        <v>576629</v>
      </c>
    </row>
    <row r="608" spans="2:29" ht="12.5">
      <c r="B608" s="5" t="s">
        <v>4184</v>
      </c>
      <c r="C608" s="6" t="s">
        <v>4185</v>
      </c>
      <c r="D608" s="1347">
        <v>0</v>
      </c>
      <c r="E608" s="1346">
        <v>0</v>
      </c>
      <c r="F608" s="1342" t="s">
        <v>4186</v>
      </c>
      <c r="G608" s="1414">
        <v>3958</v>
      </c>
      <c r="H608" s="1353">
        <f t="shared" si="69"/>
        <v>0</v>
      </c>
      <c r="I608" s="1353">
        <f t="shared" si="70"/>
        <v>0</v>
      </c>
      <c r="K608" s="1391">
        <v>628</v>
      </c>
      <c r="L608" s="1391" t="s">
        <v>4187</v>
      </c>
      <c r="AA608">
        <v>1338</v>
      </c>
      <c r="AB608">
        <v>137958</v>
      </c>
      <c r="AC608">
        <v>576629</v>
      </c>
    </row>
    <row r="609" spans="2:29" ht="12.5">
      <c r="B609" s="5" t="s">
        <v>4188</v>
      </c>
      <c r="C609" s="6" t="s">
        <v>4189</v>
      </c>
      <c r="D609" s="1347">
        <v>0</v>
      </c>
      <c r="E609" s="1346">
        <v>0</v>
      </c>
      <c r="F609" s="1342" t="s">
        <v>4190</v>
      </c>
      <c r="G609" s="1414">
        <v>3959</v>
      </c>
      <c r="H609" s="1353">
        <f t="shared" si="69"/>
        <v>0</v>
      </c>
      <c r="I609" s="1353">
        <f t="shared" si="70"/>
        <v>0</v>
      </c>
      <c r="K609" s="1391">
        <v>629</v>
      </c>
      <c r="L609" s="1391" t="s">
        <v>4191</v>
      </c>
      <c r="AA609">
        <v>1340</v>
      </c>
      <c r="AB609">
        <v>137958</v>
      </c>
      <c r="AC609">
        <v>576629</v>
      </c>
    </row>
    <row r="610" spans="2:29" ht="12.5">
      <c r="B610" s="5" t="s">
        <v>4192</v>
      </c>
      <c r="C610" s="6" t="s">
        <v>4193</v>
      </c>
      <c r="D610" s="1347">
        <v>0</v>
      </c>
      <c r="E610" s="1346">
        <v>0</v>
      </c>
      <c r="F610" s="1342" t="s">
        <v>4194</v>
      </c>
      <c r="G610" s="1408">
        <v>139</v>
      </c>
      <c r="H610" s="1353">
        <f t="shared" ref="H610:I612" si="71">M144</f>
        <v>0</v>
      </c>
      <c r="I610" s="1353">
        <f t="shared" si="71"/>
        <v>0</v>
      </c>
      <c r="K610" s="1391">
        <v>630</v>
      </c>
      <c r="L610" s="1391" t="s">
        <v>4195</v>
      </c>
      <c r="AA610">
        <v>1346</v>
      </c>
      <c r="AB610">
        <v>5857</v>
      </c>
      <c r="AC610">
        <v>17349</v>
      </c>
    </row>
    <row r="611" spans="2:29" ht="12.5">
      <c r="B611" s="5" t="s">
        <v>4196</v>
      </c>
      <c r="C611" s="6" t="s">
        <v>4197</v>
      </c>
      <c r="D611" s="1347">
        <v>0</v>
      </c>
      <c r="E611" s="1346">
        <v>0</v>
      </c>
      <c r="F611" s="1342" t="s">
        <v>4198</v>
      </c>
      <c r="G611" s="1408">
        <v>140</v>
      </c>
      <c r="H611" s="1353">
        <f t="shared" si="71"/>
        <v>0</v>
      </c>
      <c r="I611" s="1353">
        <f t="shared" si="71"/>
        <v>0</v>
      </c>
      <c r="K611" s="1391">
        <v>631</v>
      </c>
      <c r="L611" s="1391" t="s">
        <v>4199</v>
      </c>
      <c r="AA611">
        <v>1350</v>
      </c>
      <c r="AB611">
        <v>5857</v>
      </c>
      <c r="AC611">
        <v>17349</v>
      </c>
    </row>
    <row r="612" spans="2:29" ht="12.5">
      <c r="B612" s="5" t="s">
        <v>4200</v>
      </c>
      <c r="C612" s="6" t="s">
        <v>4201</v>
      </c>
      <c r="D612" s="1347">
        <v>0</v>
      </c>
      <c r="E612" s="1346">
        <v>0</v>
      </c>
      <c r="F612" s="1342" t="s">
        <v>4202</v>
      </c>
      <c r="G612" s="1408">
        <v>141</v>
      </c>
      <c r="H612" s="1353">
        <f t="shared" si="71"/>
        <v>0</v>
      </c>
      <c r="I612" s="1353">
        <f t="shared" si="71"/>
        <v>0</v>
      </c>
      <c r="K612" s="1391">
        <v>632</v>
      </c>
      <c r="L612" s="1391" t="s">
        <v>4203</v>
      </c>
      <c r="AA612">
        <v>1352</v>
      </c>
      <c r="AB612">
        <v>5857</v>
      </c>
      <c r="AC612">
        <v>17349</v>
      </c>
    </row>
    <row r="613" spans="2:29" ht="12.5">
      <c r="B613" s="5" t="s">
        <v>4204</v>
      </c>
      <c r="C613" s="6" t="s">
        <v>4205</v>
      </c>
      <c r="D613" s="1347">
        <v>0</v>
      </c>
      <c r="E613" s="1346">
        <v>0</v>
      </c>
      <c r="F613" s="1342" t="s">
        <v>4206</v>
      </c>
      <c r="G613" s="1408">
        <v>143</v>
      </c>
      <c r="H613" s="1353">
        <f>M148</f>
        <v>0</v>
      </c>
      <c r="I613" s="1353">
        <f>N148</f>
        <v>0</v>
      </c>
      <c r="K613" s="1391">
        <v>633</v>
      </c>
      <c r="L613" s="1391" t="s">
        <v>4207</v>
      </c>
      <c r="AA613">
        <v>1382</v>
      </c>
      <c r="AB613">
        <v>209563</v>
      </c>
      <c r="AC613">
        <v>436990</v>
      </c>
    </row>
    <row r="614" spans="2:29" ht="12.5">
      <c r="B614" s="5" t="s">
        <v>4208</v>
      </c>
      <c r="C614" s="6" t="s">
        <v>4209</v>
      </c>
      <c r="D614" s="1347">
        <v>0</v>
      </c>
      <c r="E614" s="1346">
        <v>0</v>
      </c>
      <c r="F614" s="1342" t="s">
        <v>4210</v>
      </c>
      <c r="G614" s="1409"/>
      <c r="H614" s="1353"/>
      <c r="I614" s="1353"/>
      <c r="K614" s="1391">
        <v>634</v>
      </c>
      <c r="L614" s="1391" t="s">
        <v>4211</v>
      </c>
      <c r="AA614">
        <v>1386</v>
      </c>
      <c r="AB614">
        <v>209563</v>
      </c>
      <c r="AC614">
        <v>436990</v>
      </c>
    </row>
    <row r="615" spans="2:29" ht="12.5">
      <c r="B615" s="5" t="s">
        <v>4212</v>
      </c>
      <c r="C615" s="6" t="s">
        <v>528</v>
      </c>
      <c r="D615" s="1347">
        <v>0</v>
      </c>
      <c r="E615" s="1346">
        <v>0</v>
      </c>
      <c r="F615" s="1342" t="s">
        <v>2458</v>
      </c>
      <c r="G615" s="1408">
        <v>145</v>
      </c>
      <c r="H615" s="1353">
        <f t="shared" ref="H615:H622" si="72">M150</f>
        <v>0</v>
      </c>
      <c r="I615" s="1353">
        <f t="shared" ref="I615:I622" si="73">N150</f>
        <v>0</v>
      </c>
      <c r="K615" s="1391">
        <v>635</v>
      </c>
      <c r="L615" s="1391" t="s">
        <v>4213</v>
      </c>
      <c r="AA615">
        <v>1388</v>
      </c>
      <c r="AB615">
        <v>209563</v>
      </c>
      <c r="AC615">
        <v>436990</v>
      </c>
    </row>
    <row r="616" spans="2:29" ht="12.5">
      <c r="B616" s="5" t="s">
        <v>4214</v>
      </c>
      <c r="C616" s="6" t="s">
        <v>529</v>
      </c>
      <c r="D616" s="1347">
        <v>0</v>
      </c>
      <c r="E616" s="1346">
        <v>0</v>
      </c>
      <c r="F616" s="1342" t="s">
        <v>2461</v>
      </c>
      <c r="G616" s="1408">
        <v>146</v>
      </c>
      <c r="H616" s="1353">
        <f t="shared" si="72"/>
        <v>0</v>
      </c>
      <c r="I616" s="1353">
        <f t="shared" si="73"/>
        <v>0</v>
      </c>
      <c r="K616" s="1391">
        <v>636</v>
      </c>
      <c r="L616" s="1391" t="s">
        <v>4215</v>
      </c>
      <c r="AA616">
        <v>1394</v>
      </c>
      <c r="AB616">
        <v>4584</v>
      </c>
      <c r="AC616">
        <v>8748</v>
      </c>
    </row>
    <row r="617" spans="2:29" ht="12.5">
      <c r="B617" s="5" t="s">
        <v>4216</v>
      </c>
      <c r="C617" s="6" t="s">
        <v>530</v>
      </c>
      <c r="D617" s="1347">
        <v>0</v>
      </c>
      <c r="E617" s="1346">
        <v>0</v>
      </c>
      <c r="F617" s="1342" t="s">
        <v>2464</v>
      </c>
      <c r="G617" s="1408">
        <v>147</v>
      </c>
      <c r="H617" s="1353">
        <f t="shared" si="72"/>
        <v>0</v>
      </c>
      <c r="I617" s="1353">
        <f t="shared" si="73"/>
        <v>0</v>
      </c>
      <c r="K617" s="1391">
        <v>638</v>
      </c>
      <c r="L617" s="1391" t="s">
        <v>4217</v>
      </c>
      <c r="AA617">
        <v>1398</v>
      </c>
      <c r="AB617">
        <v>4584</v>
      </c>
      <c r="AC617">
        <v>8748</v>
      </c>
    </row>
    <row r="618" spans="2:29" ht="12.5">
      <c r="B618" s="5" t="s">
        <v>4218</v>
      </c>
      <c r="C618" s="6" t="s">
        <v>531</v>
      </c>
      <c r="D618" s="1347">
        <v>0</v>
      </c>
      <c r="E618" s="1346">
        <v>0</v>
      </c>
      <c r="F618" s="1342" t="s">
        <v>2467</v>
      </c>
      <c r="G618" s="1408">
        <v>148</v>
      </c>
      <c r="H618" s="1353">
        <f t="shared" si="72"/>
        <v>0</v>
      </c>
      <c r="I618" s="1353">
        <f t="shared" si="73"/>
        <v>0</v>
      </c>
      <c r="K618" s="1391">
        <v>639</v>
      </c>
      <c r="L618" s="1391" t="s">
        <v>4219</v>
      </c>
      <c r="AA618">
        <v>1400</v>
      </c>
      <c r="AB618">
        <v>4584</v>
      </c>
      <c r="AC618">
        <v>8748</v>
      </c>
    </row>
    <row r="619" spans="2:29" ht="12.5">
      <c r="B619" s="5" t="s">
        <v>4220</v>
      </c>
      <c r="C619" s="6" t="s">
        <v>532</v>
      </c>
      <c r="D619" s="1347">
        <v>0</v>
      </c>
      <c r="E619" s="1346">
        <v>0</v>
      </c>
      <c r="F619" s="1342" t="s">
        <v>2470</v>
      </c>
      <c r="G619" s="1408">
        <v>149</v>
      </c>
      <c r="H619" s="1353">
        <f t="shared" si="72"/>
        <v>0</v>
      </c>
      <c r="I619" s="1353">
        <f t="shared" si="73"/>
        <v>0</v>
      </c>
      <c r="K619" s="1391">
        <v>640</v>
      </c>
      <c r="L619" s="1391" t="s">
        <v>4221</v>
      </c>
      <c r="AA619">
        <v>1406</v>
      </c>
      <c r="AB619">
        <v>1036824</v>
      </c>
      <c r="AC619">
        <v>3228314</v>
      </c>
    </row>
    <row r="620" spans="2:29" ht="12.5">
      <c r="B620" s="5" t="s">
        <v>4222</v>
      </c>
      <c r="C620" s="6" t="s">
        <v>533</v>
      </c>
      <c r="D620" s="1347">
        <v>0</v>
      </c>
      <c r="E620" s="1346">
        <v>0</v>
      </c>
      <c r="F620" s="1342" t="s">
        <v>2473</v>
      </c>
      <c r="G620" s="1408">
        <v>150</v>
      </c>
      <c r="H620" s="1353">
        <f t="shared" si="72"/>
        <v>0</v>
      </c>
      <c r="I620" s="1353">
        <f t="shared" si="73"/>
        <v>0</v>
      </c>
      <c r="K620" s="1391">
        <v>641</v>
      </c>
      <c r="L620" s="1391" t="s">
        <v>4223</v>
      </c>
      <c r="AA620">
        <v>1410</v>
      </c>
      <c r="AB620">
        <v>1036824</v>
      </c>
      <c r="AC620">
        <v>3228314</v>
      </c>
    </row>
    <row r="621" spans="2:29" ht="12.5">
      <c r="B621" s="5" t="s">
        <v>4224</v>
      </c>
      <c r="C621" s="6" t="s">
        <v>534</v>
      </c>
      <c r="D621" s="1347">
        <v>0</v>
      </c>
      <c r="E621" s="1346">
        <v>0</v>
      </c>
      <c r="F621" s="1342" t="s">
        <v>2476</v>
      </c>
      <c r="G621" s="1408">
        <v>151</v>
      </c>
      <c r="H621" s="1353">
        <f t="shared" si="72"/>
        <v>0</v>
      </c>
      <c r="I621" s="1353">
        <f t="shared" si="73"/>
        <v>0</v>
      </c>
      <c r="K621" s="1391">
        <v>642</v>
      </c>
      <c r="L621" s="1391" t="s">
        <v>4225</v>
      </c>
      <c r="AA621">
        <v>1412</v>
      </c>
      <c r="AB621">
        <v>1036824</v>
      </c>
      <c r="AC621">
        <v>3228314</v>
      </c>
    </row>
    <row r="622" spans="2:29" ht="12.5">
      <c r="B622" s="5" t="s">
        <v>4226</v>
      </c>
      <c r="C622" s="6" t="s">
        <v>535</v>
      </c>
      <c r="D622" s="1347">
        <v>0</v>
      </c>
      <c r="E622" s="1346">
        <v>0</v>
      </c>
      <c r="F622" s="1342" t="s">
        <v>2479</v>
      </c>
      <c r="G622" s="1408">
        <v>152</v>
      </c>
      <c r="H622" s="1353">
        <f t="shared" si="72"/>
        <v>0</v>
      </c>
      <c r="I622" s="1353">
        <f t="shared" si="73"/>
        <v>0</v>
      </c>
      <c r="K622" s="1391">
        <v>643</v>
      </c>
      <c r="L622" s="1391" t="s">
        <v>4227</v>
      </c>
      <c r="AA622">
        <v>1418</v>
      </c>
      <c r="AB622">
        <v>39780</v>
      </c>
      <c r="AC622">
        <v>124857</v>
      </c>
    </row>
    <row r="623" spans="2:29" ht="12.5">
      <c r="B623" s="5" t="s">
        <v>4228</v>
      </c>
      <c r="C623" s="6" t="s">
        <v>4229</v>
      </c>
      <c r="D623" s="1347"/>
      <c r="E623" s="1346"/>
      <c r="F623" s="2223" t="s">
        <v>4230</v>
      </c>
      <c r="G623" s="2373"/>
      <c r="H623" s="1353"/>
      <c r="I623" s="1353"/>
      <c r="K623" s="1391">
        <v>644</v>
      </c>
      <c r="L623" s="1391" t="s">
        <v>4231</v>
      </c>
      <c r="AA623">
        <v>1422</v>
      </c>
      <c r="AB623">
        <v>39780</v>
      </c>
      <c r="AC623">
        <v>124857</v>
      </c>
    </row>
    <row r="624" spans="2:29" ht="12.5">
      <c r="B624" s="5" t="s">
        <v>4232</v>
      </c>
      <c r="C624" s="6" t="s">
        <v>537</v>
      </c>
      <c r="D624" s="1347">
        <v>0</v>
      </c>
      <c r="E624" s="1346">
        <v>0</v>
      </c>
      <c r="F624" s="1342" t="s">
        <v>2494</v>
      </c>
      <c r="G624" s="1408">
        <v>157</v>
      </c>
      <c r="H624" s="1353">
        <f t="shared" ref="H624:I631" si="74">M162</f>
        <v>0</v>
      </c>
      <c r="I624" s="1353">
        <f t="shared" si="74"/>
        <v>0</v>
      </c>
      <c r="K624" s="1391">
        <v>645</v>
      </c>
      <c r="L624" s="1391" t="s">
        <v>4233</v>
      </c>
      <c r="AA624">
        <v>1424</v>
      </c>
      <c r="AB624">
        <v>39780</v>
      </c>
      <c r="AC624">
        <v>124857</v>
      </c>
    </row>
    <row r="625" spans="2:29" ht="12.5">
      <c r="B625" s="5" t="s">
        <v>4234</v>
      </c>
      <c r="C625" s="6" t="s">
        <v>538</v>
      </c>
      <c r="D625" s="1347">
        <v>91712</v>
      </c>
      <c r="E625" s="1346">
        <v>137560</v>
      </c>
      <c r="F625" s="1342" t="s">
        <v>2497</v>
      </c>
      <c r="G625" s="1408">
        <v>158</v>
      </c>
      <c r="H625" s="1353">
        <f t="shared" si="74"/>
        <v>0</v>
      </c>
      <c r="I625" s="1353">
        <f t="shared" si="74"/>
        <v>0</v>
      </c>
      <c r="K625" s="1391">
        <v>646</v>
      </c>
      <c r="L625" s="1391" t="s">
        <v>4235</v>
      </c>
      <c r="AA625">
        <v>1430</v>
      </c>
      <c r="AB625">
        <v>356000</v>
      </c>
      <c r="AC625">
        <v>431661</v>
      </c>
    </row>
    <row r="626" spans="2:29" ht="12.5">
      <c r="B626" s="5" t="s">
        <v>4236</v>
      </c>
      <c r="C626" s="6" t="s">
        <v>539</v>
      </c>
      <c r="D626" s="1347">
        <v>0</v>
      </c>
      <c r="E626" s="1346">
        <v>0</v>
      </c>
      <c r="F626" s="1342" t="s">
        <v>2500</v>
      </c>
      <c r="G626" s="1408">
        <v>159</v>
      </c>
      <c r="H626" s="1353">
        <f t="shared" si="74"/>
        <v>0</v>
      </c>
      <c r="I626" s="1353">
        <f t="shared" si="74"/>
        <v>0</v>
      </c>
      <c r="K626" s="1391">
        <v>647</v>
      </c>
      <c r="L626" s="1391" t="s">
        <v>4237</v>
      </c>
      <c r="AA626">
        <v>1434</v>
      </c>
      <c r="AB626">
        <v>356000</v>
      </c>
      <c r="AC626">
        <v>431661</v>
      </c>
    </row>
    <row r="627" spans="2:29" ht="12.5">
      <c r="B627" s="5" t="s">
        <v>4238</v>
      </c>
      <c r="C627" s="6" t="s">
        <v>540</v>
      </c>
      <c r="D627" s="1347">
        <v>0</v>
      </c>
      <c r="E627" s="1346">
        <v>0</v>
      </c>
      <c r="F627" s="1342" t="s">
        <v>2505</v>
      </c>
      <c r="G627" s="1408">
        <v>160</v>
      </c>
      <c r="H627" s="1353">
        <f t="shared" si="74"/>
        <v>0</v>
      </c>
      <c r="I627" s="1353">
        <f t="shared" si="74"/>
        <v>0</v>
      </c>
      <c r="K627" s="1391">
        <v>648</v>
      </c>
      <c r="L627" s="1391" t="s">
        <v>4239</v>
      </c>
      <c r="AA627">
        <v>1436</v>
      </c>
      <c r="AB627">
        <v>356000</v>
      </c>
      <c r="AC627">
        <v>431661</v>
      </c>
    </row>
    <row r="628" spans="2:29" ht="12.5">
      <c r="B628" s="5" t="s">
        <v>4240</v>
      </c>
      <c r="C628" s="6" t="s">
        <v>541</v>
      </c>
      <c r="D628" s="1347">
        <v>0</v>
      </c>
      <c r="E628" s="1346">
        <v>0</v>
      </c>
      <c r="F628" s="1342" t="s">
        <v>2509</v>
      </c>
      <c r="G628" s="1408">
        <v>161</v>
      </c>
      <c r="H628" s="1353">
        <f t="shared" si="74"/>
        <v>0</v>
      </c>
      <c r="I628" s="1353">
        <f t="shared" si="74"/>
        <v>0</v>
      </c>
      <c r="K628" s="1391">
        <v>649</v>
      </c>
      <c r="L628" s="1391" t="s">
        <v>4241</v>
      </c>
      <c r="AA628">
        <v>1442</v>
      </c>
      <c r="AB628">
        <v>14415</v>
      </c>
      <c r="AC628">
        <v>17825</v>
      </c>
    </row>
    <row r="629" spans="2:29" ht="12.5">
      <c r="B629" s="5" t="s">
        <v>4242</v>
      </c>
      <c r="C629" s="6" t="s">
        <v>542</v>
      </c>
      <c r="D629" s="1347">
        <v>0</v>
      </c>
      <c r="E629" s="1346">
        <v>0</v>
      </c>
      <c r="F629" s="1342" t="s">
        <v>2513</v>
      </c>
      <c r="G629" s="1408">
        <v>162</v>
      </c>
      <c r="H629" s="1353">
        <f t="shared" si="74"/>
        <v>0</v>
      </c>
      <c r="I629" s="1353">
        <f t="shared" si="74"/>
        <v>0</v>
      </c>
      <c r="K629" s="1391">
        <v>650</v>
      </c>
      <c r="L629" s="1391" t="s">
        <v>4243</v>
      </c>
      <c r="AA629">
        <v>1446</v>
      </c>
      <c r="AB629">
        <v>14415</v>
      </c>
      <c r="AC629">
        <v>17825</v>
      </c>
    </row>
    <row r="630" spans="2:29" ht="12.5">
      <c r="B630" s="5" t="s">
        <v>4244</v>
      </c>
      <c r="C630" s="6" t="s">
        <v>543</v>
      </c>
      <c r="D630" s="1347">
        <v>0</v>
      </c>
      <c r="E630" s="1346">
        <v>0</v>
      </c>
      <c r="F630" s="1342" t="s">
        <v>2517</v>
      </c>
      <c r="G630" s="1408">
        <v>163</v>
      </c>
      <c r="H630" s="1353">
        <f t="shared" si="74"/>
        <v>0</v>
      </c>
      <c r="I630" s="1353">
        <f t="shared" si="74"/>
        <v>0</v>
      </c>
      <c r="K630" s="1391">
        <v>651</v>
      </c>
      <c r="L630" s="1391" t="s">
        <v>4245</v>
      </c>
      <c r="AA630">
        <v>1448</v>
      </c>
      <c r="AB630">
        <v>14415</v>
      </c>
      <c r="AC630">
        <v>17825</v>
      </c>
    </row>
    <row r="631" spans="2:29" ht="12.5">
      <c r="B631" s="5" t="s">
        <v>4246</v>
      </c>
      <c r="C631" s="6" t="s">
        <v>544</v>
      </c>
      <c r="D631" s="1347">
        <v>0</v>
      </c>
      <c r="E631" s="1346">
        <v>0</v>
      </c>
      <c r="F631" s="1342" t="s">
        <v>2521</v>
      </c>
      <c r="G631" s="1408">
        <v>165</v>
      </c>
      <c r="H631" s="1353">
        <f t="shared" si="74"/>
        <v>0</v>
      </c>
      <c r="I631" s="1353">
        <f t="shared" si="74"/>
        <v>0</v>
      </c>
      <c r="K631" s="1391">
        <v>652</v>
      </c>
      <c r="L631" s="1391" t="s">
        <v>4247</v>
      </c>
      <c r="AA631">
        <v>1454</v>
      </c>
      <c r="AB631">
        <v>0</v>
      </c>
      <c r="AC631">
        <v>613353</v>
      </c>
    </row>
    <row r="632" spans="2:29" ht="12.5">
      <c r="B632" s="5" t="s">
        <v>4248</v>
      </c>
      <c r="C632" s="6" t="s">
        <v>545</v>
      </c>
      <c r="D632" s="1347">
        <v>0</v>
      </c>
      <c r="E632" s="1346">
        <v>0</v>
      </c>
      <c r="F632" s="1342" t="s">
        <v>2529</v>
      </c>
      <c r="G632" s="1408">
        <v>167</v>
      </c>
      <c r="H632" s="1353">
        <f t="shared" ref="H632:H646" si="75">M171</f>
        <v>0</v>
      </c>
      <c r="I632" s="1353">
        <f t="shared" ref="I632:I646" si="76">N171</f>
        <v>0</v>
      </c>
      <c r="K632" s="1391">
        <v>653</v>
      </c>
      <c r="L632" s="1391" t="s">
        <v>4249</v>
      </c>
      <c r="AA632">
        <v>1458</v>
      </c>
      <c r="AB632">
        <v>0</v>
      </c>
      <c r="AC632">
        <v>613353</v>
      </c>
    </row>
    <row r="633" spans="2:29" ht="12.5">
      <c r="B633" s="5" t="s">
        <v>4250</v>
      </c>
      <c r="C633" s="6" t="s">
        <v>546</v>
      </c>
      <c r="D633" s="1347">
        <v>0</v>
      </c>
      <c r="E633" s="1346">
        <v>0</v>
      </c>
      <c r="F633" s="1342" t="s">
        <v>2533</v>
      </c>
      <c r="G633" s="1408">
        <v>168</v>
      </c>
      <c r="H633" s="1353">
        <f t="shared" si="75"/>
        <v>0</v>
      </c>
      <c r="I633" s="1353">
        <f t="shared" si="76"/>
        <v>0</v>
      </c>
      <c r="K633" s="1391">
        <v>654</v>
      </c>
      <c r="L633" s="1391" t="s">
        <v>4251</v>
      </c>
      <c r="AA633">
        <v>1460</v>
      </c>
      <c r="AB633">
        <v>0</v>
      </c>
      <c r="AC633">
        <v>613353</v>
      </c>
    </row>
    <row r="634" spans="2:29" ht="12.5">
      <c r="B634" s="5" t="s">
        <v>4252</v>
      </c>
      <c r="C634" s="6" t="s">
        <v>547</v>
      </c>
      <c r="D634" s="1347">
        <v>0</v>
      </c>
      <c r="E634" s="1346">
        <v>0</v>
      </c>
      <c r="F634" s="1342" t="s">
        <v>2537</v>
      </c>
      <c r="G634" s="1408">
        <v>169</v>
      </c>
      <c r="H634" s="1353">
        <f t="shared" si="75"/>
        <v>0</v>
      </c>
      <c r="I634" s="1353">
        <f t="shared" si="76"/>
        <v>0</v>
      </c>
      <c r="K634" s="1391">
        <v>655</v>
      </c>
      <c r="L634" s="1391" t="s">
        <v>4253</v>
      </c>
      <c r="AA634">
        <v>1466</v>
      </c>
      <c r="AB634">
        <v>184</v>
      </c>
      <c r="AC634">
        <v>37306</v>
      </c>
    </row>
    <row r="635" spans="2:29" ht="12.5">
      <c r="B635" s="5" t="s">
        <v>4254</v>
      </c>
      <c r="C635" s="6" t="s">
        <v>548</v>
      </c>
      <c r="D635" s="1347">
        <v>0</v>
      </c>
      <c r="E635" s="1346">
        <v>0</v>
      </c>
      <c r="F635" s="1342" t="s">
        <v>2541</v>
      </c>
      <c r="G635" s="1408">
        <v>170</v>
      </c>
      <c r="H635" s="1353">
        <f t="shared" si="75"/>
        <v>0</v>
      </c>
      <c r="I635" s="1353">
        <f t="shared" si="76"/>
        <v>0</v>
      </c>
      <c r="K635" s="1391">
        <v>656</v>
      </c>
      <c r="L635" s="1391" t="s">
        <v>4255</v>
      </c>
      <c r="AA635">
        <v>1470</v>
      </c>
      <c r="AB635">
        <v>184</v>
      </c>
      <c r="AC635">
        <v>37306</v>
      </c>
    </row>
    <row r="636" spans="2:29" ht="12.5">
      <c r="B636" s="5" t="s">
        <v>4256</v>
      </c>
      <c r="C636" s="6" t="s">
        <v>549</v>
      </c>
      <c r="D636" s="1347">
        <v>0</v>
      </c>
      <c r="E636" s="1346">
        <v>0</v>
      </c>
      <c r="F636" s="1342" t="s">
        <v>2545</v>
      </c>
      <c r="G636" s="1408">
        <v>171</v>
      </c>
      <c r="H636" s="1353">
        <f t="shared" si="75"/>
        <v>0</v>
      </c>
      <c r="I636" s="1353">
        <f t="shared" si="76"/>
        <v>0</v>
      </c>
      <c r="K636" s="1391">
        <v>657</v>
      </c>
      <c r="L636" s="1391" t="s">
        <v>4257</v>
      </c>
      <c r="AA636">
        <v>1472</v>
      </c>
      <c r="AB636">
        <v>184</v>
      </c>
      <c r="AC636">
        <v>37306</v>
      </c>
    </row>
    <row r="637" spans="2:29" ht="12.5">
      <c r="B637" s="5" t="s">
        <v>4258</v>
      </c>
      <c r="C637" s="6" t="s">
        <v>550</v>
      </c>
      <c r="D637" s="1347">
        <v>0</v>
      </c>
      <c r="E637" s="1346">
        <v>0</v>
      </c>
      <c r="F637" s="1342" t="s">
        <v>2549</v>
      </c>
      <c r="G637" s="1408">
        <v>172</v>
      </c>
      <c r="H637" s="1353">
        <f t="shared" si="75"/>
        <v>0</v>
      </c>
      <c r="I637" s="1353">
        <f t="shared" si="76"/>
        <v>0</v>
      </c>
      <c r="K637" s="1391">
        <v>659</v>
      </c>
      <c r="L637" s="1391" t="s">
        <v>4259</v>
      </c>
      <c r="AA637">
        <v>1478</v>
      </c>
      <c r="AB637">
        <v>1592940</v>
      </c>
      <c r="AC637">
        <v>3214138</v>
      </c>
    </row>
    <row r="638" spans="2:29" ht="12.5">
      <c r="B638" s="5" t="s">
        <v>4260</v>
      </c>
      <c r="C638" s="6" t="s">
        <v>551</v>
      </c>
      <c r="D638" s="1347">
        <v>0</v>
      </c>
      <c r="E638" s="1346">
        <v>0</v>
      </c>
      <c r="F638" s="1342" t="s">
        <v>2553</v>
      </c>
      <c r="G638" s="1408">
        <v>173</v>
      </c>
      <c r="H638" s="1353">
        <f t="shared" si="75"/>
        <v>0</v>
      </c>
      <c r="I638" s="1353">
        <f t="shared" si="76"/>
        <v>0</v>
      </c>
      <c r="K638" s="1391">
        <v>660</v>
      </c>
      <c r="L638" s="1391" t="s">
        <v>4261</v>
      </c>
      <c r="AA638">
        <v>1482</v>
      </c>
      <c r="AB638">
        <v>1592940</v>
      </c>
      <c r="AC638">
        <v>3214138</v>
      </c>
    </row>
    <row r="639" spans="2:29" ht="12.5">
      <c r="B639" s="5" t="s">
        <v>4262</v>
      </c>
      <c r="C639" s="6" t="s">
        <v>552</v>
      </c>
      <c r="D639" s="1347">
        <v>0</v>
      </c>
      <c r="E639" s="1346">
        <v>0</v>
      </c>
      <c r="F639" s="1342" t="s">
        <v>2557</v>
      </c>
      <c r="G639" s="1408">
        <v>174</v>
      </c>
      <c r="H639" s="1353">
        <f t="shared" si="75"/>
        <v>0</v>
      </c>
      <c r="I639" s="1353">
        <f t="shared" si="76"/>
        <v>0</v>
      </c>
      <c r="K639" s="1391">
        <v>661</v>
      </c>
      <c r="L639" s="1391" t="s">
        <v>4263</v>
      </c>
      <c r="AA639">
        <v>1484</v>
      </c>
      <c r="AB639">
        <v>1592940</v>
      </c>
      <c r="AC639">
        <v>3214138</v>
      </c>
    </row>
    <row r="640" spans="2:29" ht="12.5">
      <c r="B640" s="5" t="s">
        <v>4264</v>
      </c>
      <c r="C640" s="6" t="s">
        <v>553</v>
      </c>
      <c r="D640" s="1347">
        <v>0</v>
      </c>
      <c r="E640" s="1346">
        <v>0</v>
      </c>
      <c r="F640" s="1342" t="s">
        <v>2561</v>
      </c>
      <c r="G640" s="1408">
        <v>175</v>
      </c>
      <c r="H640" s="1353">
        <f t="shared" si="75"/>
        <v>0</v>
      </c>
      <c r="I640" s="1353">
        <f t="shared" si="76"/>
        <v>0</v>
      </c>
      <c r="K640" s="1391">
        <v>662</v>
      </c>
      <c r="L640" s="1391" t="s">
        <v>4265</v>
      </c>
      <c r="AA640">
        <v>1490</v>
      </c>
      <c r="AB640">
        <v>71240</v>
      </c>
      <c r="AC640">
        <v>130858</v>
      </c>
    </row>
    <row r="641" spans="2:29" ht="12.5">
      <c r="B641" s="5" t="s">
        <v>4266</v>
      </c>
      <c r="C641" s="6" t="s">
        <v>554</v>
      </c>
      <c r="D641" s="1347">
        <v>0</v>
      </c>
      <c r="E641" s="1346">
        <v>0</v>
      </c>
      <c r="F641" s="1342" t="s">
        <v>2565</v>
      </c>
      <c r="G641" s="1408">
        <v>176</v>
      </c>
      <c r="H641" s="1353">
        <f t="shared" si="75"/>
        <v>0</v>
      </c>
      <c r="I641" s="1353">
        <f t="shared" si="76"/>
        <v>0</v>
      </c>
      <c r="K641" s="1391">
        <v>663</v>
      </c>
      <c r="L641" s="1391" t="s">
        <v>4267</v>
      </c>
      <c r="AA641">
        <v>1494</v>
      </c>
      <c r="AB641">
        <v>71240</v>
      </c>
      <c r="AC641">
        <v>130858</v>
      </c>
    </row>
    <row r="642" spans="2:29" ht="12.5">
      <c r="B642" s="5" t="s">
        <v>4268</v>
      </c>
      <c r="C642" s="6" t="s">
        <v>555</v>
      </c>
      <c r="D642" s="1347">
        <v>0</v>
      </c>
      <c r="E642" s="1346">
        <v>0</v>
      </c>
      <c r="F642" s="1342" t="s">
        <v>2569</v>
      </c>
      <c r="G642" s="1408">
        <v>177</v>
      </c>
      <c r="H642" s="1353">
        <f t="shared" si="75"/>
        <v>0</v>
      </c>
      <c r="I642" s="1353">
        <f t="shared" si="76"/>
        <v>0</v>
      </c>
      <c r="K642" s="1391">
        <v>664</v>
      </c>
      <c r="L642" s="1391" t="s">
        <v>4269</v>
      </c>
      <c r="AA642">
        <v>1496</v>
      </c>
      <c r="AB642">
        <v>71240</v>
      </c>
      <c r="AC642">
        <v>130858</v>
      </c>
    </row>
    <row r="643" spans="2:29" ht="12.5">
      <c r="B643" s="5" t="s">
        <v>4270</v>
      </c>
      <c r="C643" s="6" t="s">
        <v>556</v>
      </c>
      <c r="D643" s="1347">
        <v>0</v>
      </c>
      <c r="E643" s="1346">
        <v>0</v>
      </c>
      <c r="F643" s="1342" t="s">
        <v>2573</v>
      </c>
      <c r="G643" s="1408">
        <v>178</v>
      </c>
      <c r="H643" s="1353">
        <f t="shared" si="75"/>
        <v>0</v>
      </c>
      <c r="I643" s="1353">
        <f t="shared" si="76"/>
        <v>0</v>
      </c>
      <c r="K643" s="1391">
        <v>665</v>
      </c>
      <c r="L643" s="1391" t="s">
        <v>4271</v>
      </c>
      <c r="AA643">
        <v>1546</v>
      </c>
      <c r="AB643">
        <v>160644</v>
      </c>
      <c r="AC643">
        <v>361402</v>
      </c>
    </row>
    <row r="644" spans="2:29" ht="12.5">
      <c r="B644" s="5" t="s">
        <v>4272</v>
      </c>
      <c r="C644" s="6" t="s">
        <v>557</v>
      </c>
      <c r="D644" s="1347">
        <v>0</v>
      </c>
      <c r="E644" s="1346">
        <v>0</v>
      </c>
      <c r="F644" s="1342" t="s">
        <v>2577</v>
      </c>
      <c r="G644" s="1408">
        <v>179</v>
      </c>
      <c r="H644" s="1353">
        <f t="shared" si="75"/>
        <v>0</v>
      </c>
      <c r="I644" s="1353">
        <f t="shared" si="76"/>
        <v>0</v>
      </c>
      <c r="K644" s="1391">
        <v>666</v>
      </c>
      <c r="L644" s="1391" t="s">
        <v>4273</v>
      </c>
      <c r="AA644">
        <v>1548</v>
      </c>
      <c r="AB644">
        <v>361950</v>
      </c>
      <c r="AC644">
        <v>723547</v>
      </c>
    </row>
    <row r="645" spans="2:29" ht="12.5">
      <c r="B645" s="5" t="s">
        <v>4274</v>
      </c>
      <c r="C645" s="6" t="s">
        <v>558</v>
      </c>
      <c r="D645" s="1347">
        <v>0</v>
      </c>
      <c r="E645" s="1346">
        <v>0</v>
      </c>
      <c r="F645" s="1342" t="s">
        <v>2581</v>
      </c>
      <c r="G645" s="1408">
        <v>180</v>
      </c>
      <c r="H645" s="1353">
        <f t="shared" si="75"/>
        <v>0</v>
      </c>
      <c r="I645" s="1353">
        <f t="shared" si="76"/>
        <v>0</v>
      </c>
      <c r="K645" s="1391">
        <v>667</v>
      </c>
      <c r="L645" s="1391" t="s">
        <v>4275</v>
      </c>
      <c r="AA645">
        <v>1549</v>
      </c>
      <c r="AB645">
        <v>522594</v>
      </c>
      <c r="AC645">
        <v>1084949</v>
      </c>
    </row>
    <row r="646" spans="2:29" ht="12.5">
      <c r="B646" s="5" t="s">
        <v>4276</v>
      </c>
      <c r="C646" s="6" t="s">
        <v>559</v>
      </c>
      <c r="D646" s="1347">
        <v>0</v>
      </c>
      <c r="E646" s="1346">
        <v>0</v>
      </c>
      <c r="F646" s="1342" t="s">
        <v>2586</v>
      </c>
      <c r="G646" s="1408">
        <v>181</v>
      </c>
      <c r="H646" s="1353">
        <f t="shared" si="75"/>
        <v>0</v>
      </c>
      <c r="I646" s="1353">
        <f t="shared" si="76"/>
        <v>0</v>
      </c>
      <c r="K646" s="1391">
        <v>668</v>
      </c>
      <c r="L646" s="1391" t="s">
        <v>4277</v>
      </c>
      <c r="AA646">
        <v>1550</v>
      </c>
      <c r="AB646">
        <v>1613986</v>
      </c>
      <c r="AC646">
        <v>4963027</v>
      </c>
    </row>
    <row r="647" spans="2:29" ht="12.5">
      <c r="B647" s="5" t="s">
        <v>4278</v>
      </c>
      <c r="C647" s="6" t="s">
        <v>4279</v>
      </c>
      <c r="D647" s="2401"/>
      <c r="E647" s="2402"/>
      <c r="F647" s="2223" t="s">
        <v>4280</v>
      </c>
      <c r="G647" s="2404"/>
      <c r="H647" s="1353"/>
      <c r="I647" s="1353"/>
      <c r="K647" s="1391">
        <v>669</v>
      </c>
      <c r="L647" s="1391" t="s">
        <v>4281</v>
      </c>
      <c r="AA647">
        <v>1552</v>
      </c>
      <c r="AB647">
        <v>64852</v>
      </c>
      <c r="AC647">
        <v>134302</v>
      </c>
    </row>
    <row r="648" spans="2:29" ht="12.5">
      <c r="B648" s="5" t="s">
        <v>4278</v>
      </c>
      <c r="C648" s="6" t="s">
        <v>4229</v>
      </c>
      <c r="D648" s="2401"/>
      <c r="E648" s="2402"/>
      <c r="F648" s="2223" t="s">
        <v>4282</v>
      </c>
      <c r="G648" s="2404"/>
      <c r="H648" s="1353"/>
      <c r="I648" s="1353"/>
      <c r="K648" s="1391">
        <v>670</v>
      </c>
      <c r="L648" s="1391" t="s">
        <v>4283</v>
      </c>
      <c r="AA648">
        <v>1554</v>
      </c>
      <c r="AB648">
        <v>1678838</v>
      </c>
      <c r="AC648">
        <v>5097329</v>
      </c>
    </row>
    <row r="649" spans="2:29" ht="12.5">
      <c r="B649" s="5" t="s">
        <v>4284</v>
      </c>
      <c r="C649" s="6" t="s">
        <v>4285</v>
      </c>
      <c r="D649" s="1347">
        <v>0</v>
      </c>
      <c r="E649" s="1346">
        <v>0</v>
      </c>
      <c r="F649" s="1342" t="s">
        <v>4286</v>
      </c>
      <c r="G649" s="1413" t="s">
        <v>2504</v>
      </c>
      <c r="H649" s="1353">
        <f t="shared" ref="H649:I656" si="77">M150-M190</f>
        <v>0</v>
      </c>
      <c r="I649" s="1353">
        <f t="shared" si="77"/>
        <v>0</v>
      </c>
      <c r="K649" s="1391">
        <v>671</v>
      </c>
      <c r="L649" s="1391" t="s">
        <v>4287</v>
      </c>
      <c r="AA649">
        <v>1555</v>
      </c>
      <c r="AB649">
        <v>3379692</v>
      </c>
      <c r="AC649">
        <v>4953338</v>
      </c>
    </row>
    <row r="650" spans="2:29" ht="12.5">
      <c r="B650" s="5" t="s">
        <v>4288</v>
      </c>
      <c r="C650" s="6" t="s">
        <v>4289</v>
      </c>
      <c r="D650" s="1347">
        <v>0</v>
      </c>
      <c r="E650" s="1346">
        <v>0</v>
      </c>
      <c r="F650" s="1342" t="s">
        <v>4290</v>
      </c>
      <c r="G650" s="1413" t="s">
        <v>2504</v>
      </c>
      <c r="H650" s="1353">
        <f t="shared" si="77"/>
        <v>0</v>
      </c>
      <c r="I650" s="1353">
        <f t="shared" si="77"/>
        <v>0</v>
      </c>
      <c r="K650" s="1391">
        <v>672</v>
      </c>
      <c r="L650" s="1391" t="s">
        <v>4291</v>
      </c>
      <c r="AA650">
        <v>1557</v>
      </c>
      <c r="AB650">
        <v>10689802</v>
      </c>
      <c r="AC650">
        <v>23305315</v>
      </c>
    </row>
    <row r="651" spans="2:29" ht="12.5">
      <c r="B651" s="5" t="s">
        <v>4292</v>
      </c>
      <c r="C651" s="6" t="s">
        <v>4293</v>
      </c>
      <c r="D651" s="1347">
        <v>0</v>
      </c>
      <c r="E651" s="1346">
        <v>0</v>
      </c>
      <c r="F651" s="1342" t="s">
        <v>4294</v>
      </c>
      <c r="G651" s="1413" t="s">
        <v>2504</v>
      </c>
      <c r="H651" s="1353">
        <f t="shared" si="77"/>
        <v>0</v>
      </c>
      <c r="I651" s="1353">
        <f t="shared" si="77"/>
        <v>0</v>
      </c>
      <c r="K651" s="1391">
        <v>673</v>
      </c>
      <c r="L651" s="1391" t="s">
        <v>4295</v>
      </c>
      <c r="AA651">
        <v>1558</v>
      </c>
      <c r="AB651">
        <v>53975</v>
      </c>
      <c r="AC651">
        <v>125894</v>
      </c>
    </row>
    <row r="652" spans="2:29" ht="12.5">
      <c r="B652" s="5" t="s">
        <v>4296</v>
      </c>
      <c r="C652" s="6" t="s">
        <v>4297</v>
      </c>
      <c r="D652" s="1347">
        <v>0</v>
      </c>
      <c r="E652" s="1346">
        <v>0</v>
      </c>
      <c r="F652" s="1342" t="s">
        <v>4298</v>
      </c>
      <c r="G652" s="1413" t="s">
        <v>2504</v>
      </c>
      <c r="H652" s="1353">
        <f t="shared" si="77"/>
        <v>0</v>
      </c>
      <c r="I652" s="1353">
        <f t="shared" si="77"/>
        <v>0</v>
      </c>
      <c r="K652" s="1391">
        <v>674</v>
      </c>
      <c r="L652" s="1391" t="s">
        <v>4299</v>
      </c>
      <c r="AA652">
        <v>1559</v>
      </c>
      <c r="AB652">
        <v>10743777</v>
      </c>
      <c r="AC652">
        <v>23431209</v>
      </c>
    </row>
    <row r="653" spans="2:29" ht="12.5">
      <c r="B653" s="5" t="s">
        <v>4300</v>
      </c>
      <c r="C653" s="6" t="s">
        <v>4301</v>
      </c>
      <c r="D653" s="1347">
        <v>0</v>
      </c>
      <c r="E653" s="1346">
        <v>0</v>
      </c>
      <c r="F653" s="1342" t="s">
        <v>4302</v>
      </c>
      <c r="G653" s="1413" t="s">
        <v>2504</v>
      </c>
      <c r="H653" s="1353">
        <f t="shared" si="77"/>
        <v>0</v>
      </c>
      <c r="I653" s="1353">
        <f t="shared" si="77"/>
        <v>0</v>
      </c>
      <c r="K653" s="1391">
        <v>675</v>
      </c>
      <c r="L653" s="1391" t="s">
        <v>4303</v>
      </c>
      <c r="AA653">
        <v>1561</v>
      </c>
      <c r="AB653">
        <v>4617</v>
      </c>
      <c r="AC653">
        <v>14910</v>
      </c>
    </row>
    <row r="654" spans="2:29" ht="12.5">
      <c r="B654" s="5" t="s">
        <v>4304</v>
      </c>
      <c r="C654" s="6" t="s">
        <v>4305</v>
      </c>
      <c r="D654" s="1347">
        <v>0</v>
      </c>
      <c r="E654" s="1346">
        <v>0</v>
      </c>
      <c r="F654" s="1342" t="s">
        <v>4306</v>
      </c>
      <c r="G654" s="1413" t="s">
        <v>2504</v>
      </c>
      <c r="H654" s="1353">
        <f t="shared" si="77"/>
        <v>0</v>
      </c>
      <c r="I654" s="1353">
        <f t="shared" si="77"/>
        <v>0</v>
      </c>
      <c r="K654" s="1391">
        <v>676</v>
      </c>
      <c r="L654" s="1391" t="s">
        <v>4307</v>
      </c>
      <c r="AA654">
        <v>1563</v>
      </c>
      <c r="AB654">
        <v>18667</v>
      </c>
      <c r="AC654">
        <v>39155</v>
      </c>
    </row>
    <row r="655" spans="2:29" ht="12.5">
      <c r="B655" s="5" t="s">
        <v>4308</v>
      </c>
      <c r="C655" s="6" t="s">
        <v>4301</v>
      </c>
      <c r="D655" s="1347">
        <v>0</v>
      </c>
      <c r="E655" s="1346">
        <v>0</v>
      </c>
      <c r="F655" s="1342" t="s">
        <v>4309</v>
      </c>
      <c r="G655" s="1413" t="s">
        <v>2504</v>
      </c>
      <c r="H655" s="1353">
        <f t="shared" si="77"/>
        <v>0</v>
      </c>
      <c r="I655" s="1353">
        <f t="shared" si="77"/>
        <v>0</v>
      </c>
      <c r="K655" s="1391">
        <v>677</v>
      </c>
      <c r="L655" s="1391" t="s">
        <v>4310</v>
      </c>
      <c r="AA655">
        <v>1564</v>
      </c>
      <c r="AB655">
        <v>23284</v>
      </c>
      <c r="AC655">
        <v>54065</v>
      </c>
    </row>
    <row r="656" spans="2:29" ht="12.5">
      <c r="B656" s="5" t="s">
        <v>4311</v>
      </c>
      <c r="C656" s="6" t="s">
        <v>4312</v>
      </c>
      <c r="D656" s="1347">
        <v>0</v>
      </c>
      <c r="E656" s="1346">
        <v>0</v>
      </c>
      <c r="F656" s="1342" t="s">
        <v>4313</v>
      </c>
      <c r="G656" s="1413" t="s">
        <v>2504</v>
      </c>
      <c r="H656" s="1353">
        <f t="shared" si="77"/>
        <v>0</v>
      </c>
      <c r="I656" s="1353">
        <f t="shared" si="77"/>
        <v>0</v>
      </c>
      <c r="K656" s="1391">
        <v>678</v>
      </c>
      <c r="L656" s="1391" t="s">
        <v>4314</v>
      </c>
      <c r="AA656">
        <v>1565</v>
      </c>
      <c r="AB656">
        <v>59961</v>
      </c>
      <c r="AC656">
        <v>208970</v>
      </c>
    </row>
    <row r="657" spans="2:29" ht="12.5">
      <c r="B657" s="5" t="s">
        <v>4315</v>
      </c>
      <c r="C657" s="6"/>
      <c r="D657" s="1347"/>
      <c r="E657" s="1346"/>
      <c r="F657" s="1342"/>
      <c r="G657" s="2373"/>
      <c r="H657" s="1353"/>
      <c r="I657" s="1353"/>
      <c r="K657" s="1391">
        <v>679</v>
      </c>
      <c r="L657" s="1391" t="s">
        <v>4316</v>
      </c>
      <c r="AA657">
        <v>1567</v>
      </c>
      <c r="AB657">
        <v>5550</v>
      </c>
      <c r="AC657">
        <v>4700</v>
      </c>
    </row>
    <row r="658" spans="2:29" ht="12.5">
      <c r="B658" s="5" t="s">
        <v>4317</v>
      </c>
      <c r="C658" s="6" t="s">
        <v>4318</v>
      </c>
      <c r="D658" s="1347">
        <v>0</v>
      </c>
      <c r="E658" s="1346">
        <v>0</v>
      </c>
      <c r="F658" s="1342" t="s">
        <v>4319</v>
      </c>
      <c r="G658" s="1413" t="s">
        <v>2504</v>
      </c>
      <c r="H658" s="1353">
        <f t="shared" ref="H658:I665" si="78">M162-M202</f>
        <v>0</v>
      </c>
      <c r="I658" s="1353">
        <f t="shared" si="78"/>
        <v>0</v>
      </c>
      <c r="K658" s="1391">
        <v>680</v>
      </c>
      <c r="L658" s="1391" t="s">
        <v>4320</v>
      </c>
      <c r="AA658">
        <v>1569</v>
      </c>
      <c r="AB658">
        <v>65511</v>
      </c>
      <c r="AC658">
        <v>213670</v>
      </c>
    </row>
    <row r="659" spans="2:29" ht="12.5">
      <c r="B659" s="5" t="s">
        <v>4321</v>
      </c>
      <c r="C659" s="6" t="s">
        <v>4322</v>
      </c>
      <c r="D659" s="1347">
        <v>88815</v>
      </c>
      <c r="E659" s="1346">
        <v>135376</v>
      </c>
      <c r="F659" s="1342" t="s">
        <v>4323</v>
      </c>
      <c r="G659" s="1413" t="s">
        <v>2504</v>
      </c>
      <c r="H659" s="1353">
        <f t="shared" si="78"/>
        <v>0</v>
      </c>
      <c r="I659" s="1353">
        <f t="shared" si="78"/>
        <v>0</v>
      </c>
      <c r="K659" s="1391">
        <v>681</v>
      </c>
      <c r="L659" s="1391" t="s">
        <v>4324</v>
      </c>
      <c r="AA659">
        <v>1570</v>
      </c>
      <c r="AB659">
        <v>190246</v>
      </c>
      <c r="AC659">
        <v>302699</v>
      </c>
    </row>
    <row r="660" spans="2:29" ht="12.5">
      <c r="B660" s="5" t="s">
        <v>4325</v>
      </c>
      <c r="C660" s="6" t="s">
        <v>4326</v>
      </c>
      <c r="D660" s="1347">
        <v>0</v>
      </c>
      <c r="E660" s="1346">
        <v>0</v>
      </c>
      <c r="F660" s="1342" t="s">
        <v>4327</v>
      </c>
      <c r="G660" s="1413" t="s">
        <v>2504</v>
      </c>
      <c r="H660" s="1353">
        <f t="shared" si="78"/>
        <v>0</v>
      </c>
      <c r="I660" s="1353">
        <f t="shared" si="78"/>
        <v>0</v>
      </c>
      <c r="K660" s="1391">
        <v>682</v>
      </c>
      <c r="L660" s="1391" t="s">
        <v>4328</v>
      </c>
      <c r="AA660">
        <v>1572</v>
      </c>
      <c r="AB660">
        <v>446770</v>
      </c>
      <c r="AC660">
        <v>989242</v>
      </c>
    </row>
    <row r="661" spans="2:29" ht="12.5">
      <c r="B661" s="5" t="s">
        <v>4329</v>
      </c>
      <c r="C661" s="6" t="s">
        <v>4330</v>
      </c>
      <c r="D661" s="1347">
        <v>0</v>
      </c>
      <c r="E661" s="1346">
        <v>0</v>
      </c>
      <c r="F661" s="1342" t="s">
        <v>4331</v>
      </c>
      <c r="G661" s="1413" t="s">
        <v>2504</v>
      </c>
      <c r="H661" s="1353">
        <f t="shared" si="78"/>
        <v>0</v>
      </c>
      <c r="I661" s="1353">
        <f t="shared" si="78"/>
        <v>0</v>
      </c>
      <c r="K661" s="1391">
        <v>683</v>
      </c>
      <c r="L661" s="1391" t="s">
        <v>4332</v>
      </c>
      <c r="AA661">
        <v>1573</v>
      </c>
      <c r="AB661">
        <v>19488</v>
      </c>
      <c r="AC661">
        <v>44353</v>
      </c>
    </row>
    <row r="662" spans="2:29" ht="12.5">
      <c r="B662" s="5" t="s">
        <v>4333</v>
      </c>
      <c r="C662" s="6" t="s">
        <v>4326</v>
      </c>
      <c r="D662" s="1347">
        <v>0</v>
      </c>
      <c r="E662" s="1346">
        <v>0</v>
      </c>
      <c r="F662" s="1342" t="s">
        <v>4334</v>
      </c>
      <c r="G662" s="1413" t="s">
        <v>2504</v>
      </c>
      <c r="H662" s="1353">
        <f t="shared" si="78"/>
        <v>0</v>
      </c>
      <c r="I662" s="1353">
        <f t="shared" si="78"/>
        <v>0</v>
      </c>
      <c r="K662" s="1391">
        <v>684</v>
      </c>
      <c r="L662" s="1391" t="s">
        <v>4335</v>
      </c>
      <c r="AA662">
        <v>1575</v>
      </c>
      <c r="AB662">
        <v>466258</v>
      </c>
      <c r="AC662">
        <v>1033595</v>
      </c>
    </row>
    <row r="663" spans="2:29" ht="12.5">
      <c r="B663" s="5" t="s">
        <v>4336</v>
      </c>
      <c r="C663" s="6" t="s">
        <v>4337</v>
      </c>
      <c r="D663" s="1347">
        <v>0</v>
      </c>
      <c r="E663" s="1346">
        <v>0</v>
      </c>
      <c r="F663" s="1342" t="s">
        <v>4338</v>
      </c>
      <c r="G663" s="1413" t="s">
        <v>2504</v>
      </c>
      <c r="H663" s="1353">
        <f t="shared" si="78"/>
        <v>0</v>
      </c>
      <c r="I663" s="1353">
        <f t="shared" si="78"/>
        <v>0</v>
      </c>
      <c r="K663" s="1391">
        <v>685</v>
      </c>
      <c r="L663" s="1391" t="s">
        <v>4339</v>
      </c>
      <c r="AA663">
        <v>1576</v>
      </c>
      <c r="AB663">
        <v>48576</v>
      </c>
      <c r="AC663">
        <v>116301</v>
      </c>
    </row>
    <row r="664" spans="2:29" ht="12.5">
      <c r="B664" s="5" t="s">
        <v>4340</v>
      </c>
      <c r="C664" s="6" t="s">
        <v>4341</v>
      </c>
      <c r="D664" s="1347">
        <v>0</v>
      </c>
      <c r="E664" s="1346">
        <v>0</v>
      </c>
      <c r="F664" s="1342" t="s">
        <v>4342</v>
      </c>
      <c r="G664" s="1413" t="s">
        <v>2504</v>
      </c>
      <c r="H664" s="1353">
        <f t="shared" si="78"/>
        <v>0</v>
      </c>
      <c r="I664" s="1353">
        <f t="shared" si="78"/>
        <v>0</v>
      </c>
      <c r="K664" s="1391">
        <v>686</v>
      </c>
      <c r="L664" s="1391" t="s">
        <v>4343</v>
      </c>
      <c r="AA664">
        <v>1582</v>
      </c>
      <c r="AB664">
        <v>21810</v>
      </c>
      <c r="AC664">
        <v>68381</v>
      </c>
    </row>
    <row r="665" spans="2:29" ht="12.5">
      <c r="B665" s="5" t="s">
        <v>4344</v>
      </c>
      <c r="C665" s="6" t="s">
        <v>4345</v>
      </c>
      <c r="D665" s="1347">
        <v>0</v>
      </c>
      <c r="E665" s="1346">
        <v>0</v>
      </c>
      <c r="F665" s="1342" t="s">
        <v>4346</v>
      </c>
      <c r="G665" s="1413" t="s">
        <v>2504</v>
      </c>
      <c r="H665" s="1353">
        <f t="shared" si="78"/>
        <v>0</v>
      </c>
      <c r="I665" s="1353">
        <f t="shared" si="78"/>
        <v>0</v>
      </c>
      <c r="K665" s="1391">
        <v>687</v>
      </c>
      <c r="L665" s="1391" t="s">
        <v>4347</v>
      </c>
      <c r="AA665">
        <v>1583</v>
      </c>
      <c r="AB665">
        <v>55446</v>
      </c>
      <c r="AC665">
        <v>133249</v>
      </c>
    </row>
    <row r="666" spans="2:29" ht="12.5">
      <c r="B666" s="5" t="s">
        <v>4348</v>
      </c>
      <c r="C666" s="6" t="s">
        <v>4349</v>
      </c>
      <c r="D666" s="1347">
        <v>0</v>
      </c>
      <c r="E666" s="1346">
        <v>0</v>
      </c>
      <c r="F666" s="1342" t="s">
        <v>4350</v>
      </c>
      <c r="G666" s="1413" t="s">
        <v>2504</v>
      </c>
      <c r="H666" s="1353">
        <f t="shared" ref="H666:H680" si="79">M171-M211</f>
        <v>0</v>
      </c>
      <c r="I666" s="1353">
        <f t="shared" ref="I666:I680" si="80">N171-N211</f>
        <v>0</v>
      </c>
      <c r="K666" s="1391">
        <v>688</v>
      </c>
      <c r="L666" s="1391" t="s">
        <v>4351</v>
      </c>
      <c r="AA666">
        <v>1585</v>
      </c>
      <c r="AB666">
        <v>125832</v>
      </c>
      <c r="AC666">
        <v>317931</v>
      </c>
    </row>
    <row r="667" spans="2:29" ht="12.5">
      <c r="B667" s="5" t="s">
        <v>4352</v>
      </c>
      <c r="C667" s="6" t="s">
        <v>4353</v>
      </c>
      <c r="D667" s="1347">
        <v>0</v>
      </c>
      <c r="E667" s="1346">
        <v>0</v>
      </c>
      <c r="F667" s="1342" t="s">
        <v>4354</v>
      </c>
      <c r="G667" s="1413" t="s">
        <v>2504</v>
      </c>
      <c r="H667" s="1353">
        <f t="shared" si="79"/>
        <v>0</v>
      </c>
      <c r="I667" s="1353">
        <f t="shared" si="80"/>
        <v>0</v>
      </c>
      <c r="K667" s="1391">
        <v>689</v>
      </c>
      <c r="L667" s="1391" t="s">
        <v>4355</v>
      </c>
      <c r="AA667">
        <v>1586</v>
      </c>
      <c r="AB667">
        <v>2501</v>
      </c>
      <c r="AC667">
        <v>5418</v>
      </c>
    </row>
    <row r="668" spans="2:29" ht="12.5">
      <c r="B668" s="5" t="s">
        <v>4356</v>
      </c>
      <c r="C668" s="6" t="s">
        <v>4357</v>
      </c>
      <c r="D668" s="1347">
        <v>0</v>
      </c>
      <c r="E668" s="1346">
        <v>0</v>
      </c>
      <c r="F668" s="1342" t="s">
        <v>4358</v>
      </c>
      <c r="G668" s="1413" t="s">
        <v>2504</v>
      </c>
      <c r="H668" s="1353">
        <f t="shared" si="79"/>
        <v>0</v>
      </c>
      <c r="I668" s="1353">
        <f t="shared" si="80"/>
        <v>0</v>
      </c>
      <c r="K668" s="1391">
        <v>690</v>
      </c>
      <c r="L668" s="1391" t="s">
        <v>4359</v>
      </c>
      <c r="AA668">
        <v>1587</v>
      </c>
      <c r="AB668">
        <v>6806</v>
      </c>
      <c r="AC668">
        <v>18002</v>
      </c>
    </row>
    <row r="669" spans="2:29" ht="12.5">
      <c r="B669" s="5" t="s">
        <v>4360</v>
      </c>
      <c r="C669" s="6" t="s">
        <v>4361</v>
      </c>
      <c r="D669" s="1347">
        <v>0</v>
      </c>
      <c r="E669" s="1346">
        <v>0</v>
      </c>
      <c r="F669" s="1342" t="s">
        <v>4362</v>
      </c>
      <c r="G669" s="1413" t="s">
        <v>2504</v>
      </c>
      <c r="H669" s="1353">
        <f t="shared" si="79"/>
        <v>0</v>
      </c>
      <c r="I669" s="1353">
        <f t="shared" si="80"/>
        <v>0</v>
      </c>
      <c r="K669" s="1391">
        <v>691</v>
      </c>
      <c r="L669" s="1391" t="s">
        <v>4363</v>
      </c>
      <c r="AA669">
        <v>1589</v>
      </c>
      <c r="AB669">
        <v>13678</v>
      </c>
      <c r="AC669">
        <v>35218</v>
      </c>
    </row>
    <row r="670" spans="2:29" ht="12.5">
      <c r="B670" s="5" t="s">
        <v>4364</v>
      </c>
      <c r="C670" s="6" t="s">
        <v>4365</v>
      </c>
      <c r="D670" s="1347">
        <v>0</v>
      </c>
      <c r="E670" s="1346">
        <v>0</v>
      </c>
      <c r="F670" s="1342" t="s">
        <v>4366</v>
      </c>
      <c r="G670" s="1413" t="s">
        <v>2504</v>
      </c>
      <c r="H670" s="1353">
        <f t="shared" si="79"/>
        <v>0</v>
      </c>
      <c r="I670" s="1353">
        <f t="shared" si="80"/>
        <v>0</v>
      </c>
      <c r="K670" s="1391">
        <v>692</v>
      </c>
      <c r="L670" s="1391" t="s">
        <v>4367</v>
      </c>
      <c r="AA670">
        <v>1590</v>
      </c>
      <c r="AB670">
        <v>25983</v>
      </c>
      <c r="AC670">
        <v>70367</v>
      </c>
    </row>
    <row r="671" spans="2:29" ht="12.5">
      <c r="B671" s="5" t="s">
        <v>4368</v>
      </c>
      <c r="C671" s="6" t="s">
        <v>4369</v>
      </c>
      <c r="D671" s="1347">
        <v>0</v>
      </c>
      <c r="E671" s="1346">
        <v>0</v>
      </c>
      <c r="F671" s="1342" t="s">
        <v>4370</v>
      </c>
      <c r="G671" s="1413" t="s">
        <v>2504</v>
      </c>
      <c r="H671" s="1353">
        <f t="shared" si="79"/>
        <v>0</v>
      </c>
      <c r="I671" s="1353">
        <f t="shared" si="80"/>
        <v>0</v>
      </c>
      <c r="K671" s="1391">
        <v>693</v>
      </c>
      <c r="L671" s="1391" t="s">
        <v>4371</v>
      </c>
      <c r="AA671">
        <v>1592</v>
      </c>
      <c r="AB671">
        <v>1614</v>
      </c>
      <c r="AC671">
        <v>20328</v>
      </c>
    </row>
    <row r="672" spans="2:29" ht="12.5">
      <c r="B672" s="5" t="s">
        <v>4372</v>
      </c>
      <c r="C672" s="6" t="s">
        <v>4373</v>
      </c>
      <c r="D672" s="1347">
        <v>0</v>
      </c>
      <c r="E672" s="1346">
        <v>0</v>
      </c>
      <c r="F672" s="1342" t="s">
        <v>4374</v>
      </c>
      <c r="G672" s="1413" t="s">
        <v>2504</v>
      </c>
      <c r="H672" s="1353">
        <f t="shared" si="79"/>
        <v>0</v>
      </c>
      <c r="I672" s="1353">
        <f t="shared" si="80"/>
        <v>0</v>
      </c>
      <c r="K672" s="1391">
        <v>694</v>
      </c>
      <c r="L672" s="1391" t="s">
        <v>4375</v>
      </c>
      <c r="AA672">
        <v>1593</v>
      </c>
      <c r="AB672">
        <v>41275</v>
      </c>
      <c r="AC672">
        <v>125913</v>
      </c>
    </row>
    <row r="673" spans="2:29" ht="12.5">
      <c r="B673" s="5" t="s">
        <v>4376</v>
      </c>
      <c r="C673" s="6" t="s">
        <v>4377</v>
      </c>
      <c r="D673" s="1347">
        <v>0</v>
      </c>
      <c r="E673" s="1346">
        <v>0</v>
      </c>
      <c r="F673" s="1342" t="s">
        <v>4378</v>
      </c>
      <c r="G673" s="1413" t="s">
        <v>2504</v>
      </c>
      <c r="H673" s="1353">
        <f t="shared" si="79"/>
        <v>0</v>
      </c>
      <c r="I673" s="1353">
        <f t="shared" si="80"/>
        <v>0</v>
      </c>
      <c r="K673" s="1391">
        <v>695</v>
      </c>
      <c r="L673" s="1391" t="s">
        <v>4379</v>
      </c>
      <c r="AA673">
        <v>1594</v>
      </c>
      <c r="AB673">
        <v>62583</v>
      </c>
      <c r="AC673">
        <v>174715</v>
      </c>
    </row>
    <row r="674" spans="2:29" ht="12.5">
      <c r="B674" s="5" t="s">
        <v>4380</v>
      </c>
      <c r="C674" s="6" t="s">
        <v>4381</v>
      </c>
      <c r="D674" s="1347">
        <v>0</v>
      </c>
      <c r="E674" s="1346">
        <v>0</v>
      </c>
      <c r="F674" s="1342" t="s">
        <v>4382</v>
      </c>
      <c r="G674" s="1413" t="s">
        <v>2504</v>
      </c>
      <c r="H674" s="1353">
        <f t="shared" si="79"/>
        <v>0</v>
      </c>
      <c r="I674" s="1353">
        <f t="shared" si="80"/>
        <v>0</v>
      </c>
      <c r="K674" s="1391">
        <v>696</v>
      </c>
      <c r="L674" s="1391" t="s">
        <v>4383</v>
      </c>
      <c r="AA674">
        <v>1595</v>
      </c>
      <c r="AB674">
        <v>10149</v>
      </c>
      <c r="AC674">
        <v>27242</v>
      </c>
    </row>
    <row r="675" spans="2:29" ht="12.5">
      <c r="B675" s="5" t="s">
        <v>4384</v>
      </c>
      <c r="C675" s="6" t="s">
        <v>4385</v>
      </c>
      <c r="D675" s="1347">
        <v>0</v>
      </c>
      <c r="E675" s="1346">
        <v>0</v>
      </c>
      <c r="F675" s="1342" t="s">
        <v>4386</v>
      </c>
      <c r="G675" s="1413" t="s">
        <v>2504</v>
      </c>
      <c r="H675" s="1353">
        <f t="shared" si="79"/>
        <v>0</v>
      </c>
      <c r="I675" s="1353">
        <f t="shared" si="80"/>
        <v>0</v>
      </c>
      <c r="K675" s="1391">
        <v>697</v>
      </c>
      <c r="L675" s="1391" t="s">
        <v>4387</v>
      </c>
      <c r="AA675">
        <v>1597</v>
      </c>
      <c r="AB675">
        <v>249146</v>
      </c>
      <c r="AC675">
        <v>669221</v>
      </c>
    </row>
    <row r="676" spans="2:29" ht="12.5">
      <c r="B676" s="5" t="s">
        <v>4388</v>
      </c>
      <c r="C676" s="6" t="s">
        <v>4389</v>
      </c>
      <c r="D676" s="1347">
        <v>0</v>
      </c>
      <c r="E676" s="1346">
        <v>0</v>
      </c>
      <c r="F676" s="1342" t="s">
        <v>4390</v>
      </c>
      <c r="G676" s="1413" t="s">
        <v>2504</v>
      </c>
      <c r="H676" s="1353">
        <f t="shared" si="79"/>
        <v>0</v>
      </c>
      <c r="I676" s="1353">
        <f t="shared" si="80"/>
        <v>0</v>
      </c>
      <c r="K676" s="1391">
        <v>698</v>
      </c>
      <c r="L676" s="1391" t="s">
        <v>4391</v>
      </c>
      <c r="AA676">
        <v>1598</v>
      </c>
      <c r="AB676">
        <v>21907</v>
      </c>
      <c r="AC676">
        <v>75449</v>
      </c>
    </row>
    <row r="677" spans="2:29" ht="12.5">
      <c r="B677" s="5" t="s">
        <v>4392</v>
      </c>
      <c r="C677" s="6" t="s">
        <v>4393</v>
      </c>
      <c r="D677" s="1347">
        <v>0</v>
      </c>
      <c r="E677" s="1346">
        <v>0</v>
      </c>
      <c r="F677" s="1342" t="s">
        <v>4394</v>
      </c>
      <c r="G677" s="1413" t="s">
        <v>2504</v>
      </c>
      <c r="H677" s="1353">
        <f t="shared" si="79"/>
        <v>0</v>
      </c>
      <c r="I677" s="1353">
        <f t="shared" si="80"/>
        <v>0</v>
      </c>
      <c r="K677" s="1391">
        <v>699</v>
      </c>
      <c r="L677" s="1391" t="s">
        <v>4395</v>
      </c>
      <c r="AA677">
        <v>1599</v>
      </c>
      <c r="AB677">
        <v>41477</v>
      </c>
      <c r="AC677">
        <v>90634</v>
      </c>
    </row>
    <row r="678" spans="2:29" ht="12.5">
      <c r="B678" s="5" t="s">
        <v>4396</v>
      </c>
      <c r="C678" s="6" t="s">
        <v>4397</v>
      </c>
      <c r="D678" s="1347">
        <v>0</v>
      </c>
      <c r="E678" s="1346">
        <v>0</v>
      </c>
      <c r="F678" s="1342" t="s">
        <v>4398</v>
      </c>
      <c r="G678" s="1413" t="s">
        <v>2504</v>
      </c>
      <c r="H678" s="1353">
        <f t="shared" si="79"/>
        <v>0</v>
      </c>
      <c r="I678" s="1353">
        <f t="shared" si="80"/>
        <v>0</v>
      </c>
      <c r="K678" s="1391">
        <v>700</v>
      </c>
      <c r="L678" s="1391" t="s">
        <v>4399</v>
      </c>
      <c r="AA678">
        <v>1603</v>
      </c>
      <c r="AB678">
        <v>44067</v>
      </c>
      <c r="AC678">
        <v>126319</v>
      </c>
    </row>
    <row r="679" spans="2:29" ht="12.5">
      <c r="B679" s="5" t="s">
        <v>4400</v>
      </c>
      <c r="C679" s="6" t="s">
        <v>4401</v>
      </c>
      <c r="D679" s="1347">
        <v>0</v>
      </c>
      <c r="E679" s="1346">
        <v>0</v>
      </c>
      <c r="F679" s="1342" t="s">
        <v>4402</v>
      </c>
      <c r="G679" s="1413" t="s">
        <v>2504</v>
      </c>
      <c r="H679" s="1353">
        <f t="shared" si="79"/>
        <v>0</v>
      </c>
      <c r="I679" s="1353">
        <f t="shared" si="80"/>
        <v>0</v>
      </c>
      <c r="K679" s="1391">
        <v>701</v>
      </c>
      <c r="L679" s="1391" t="s">
        <v>4403</v>
      </c>
      <c r="AA679">
        <v>1604</v>
      </c>
      <c r="AB679">
        <v>10292</v>
      </c>
      <c r="AC679">
        <v>30922</v>
      </c>
    </row>
    <row r="680" spans="2:29" ht="12.5">
      <c r="B680" s="5" t="s">
        <v>4404</v>
      </c>
      <c r="C680" s="6" t="s">
        <v>4405</v>
      </c>
      <c r="D680" s="1347">
        <v>0</v>
      </c>
      <c r="E680" s="1346">
        <v>0</v>
      </c>
      <c r="F680" s="1342" t="s">
        <v>4406</v>
      </c>
      <c r="G680" s="1413" t="s">
        <v>2504</v>
      </c>
      <c r="H680" s="1353">
        <f t="shared" si="79"/>
        <v>0</v>
      </c>
      <c r="I680" s="1353">
        <f t="shared" si="80"/>
        <v>0</v>
      </c>
      <c r="K680" s="1391">
        <v>702</v>
      </c>
      <c r="L680" s="1391" t="s">
        <v>4407</v>
      </c>
      <c r="AA680">
        <v>1605</v>
      </c>
      <c r="AB680">
        <v>19809</v>
      </c>
      <c r="AC680">
        <v>78575</v>
      </c>
    </row>
    <row r="681" spans="2:29" ht="12.5">
      <c r="B681" s="5" t="s">
        <v>4408</v>
      </c>
      <c r="C681" s="6" t="s">
        <v>4409</v>
      </c>
      <c r="D681" s="1347">
        <v>11046</v>
      </c>
      <c r="E681" s="1346">
        <v>18337</v>
      </c>
      <c r="F681" s="1342" t="s">
        <v>4410</v>
      </c>
      <c r="G681" s="1391">
        <v>248</v>
      </c>
      <c r="H681" s="1353">
        <f>M238</f>
        <v>0</v>
      </c>
      <c r="I681" s="1353">
        <f>N238</f>
        <v>0</v>
      </c>
      <c r="K681" s="1391">
        <v>703</v>
      </c>
      <c r="L681" s="1391" t="s">
        <v>4411</v>
      </c>
      <c r="AA681">
        <v>1607</v>
      </c>
      <c r="AB681">
        <v>137552</v>
      </c>
      <c r="AC681">
        <v>401899</v>
      </c>
    </row>
    <row r="682" spans="2:29" ht="12.5">
      <c r="B682" s="5" t="s">
        <v>4412</v>
      </c>
      <c r="C682" s="6" t="s">
        <v>582</v>
      </c>
      <c r="D682" s="1347">
        <v>0</v>
      </c>
      <c r="E682" s="1346">
        <v>0</v>
      </c>
      <c r="F682" s="1342" t="s">
        <v>4413</v>
      </c>
      <c r="G682" s="1391">
        <v>239</v>
      </c>
      <c r="H682" s="1353">
        <f t="shared" ref="H682:I687" si="81">M231</f>
        <v>0</v>
      </c>
      <c r="I682" s="1353">
        <f t="shared" si="81"/>
        <v>0</v>
      </c>
      <c r="K682" s="1391">
        <v>704</v>
      </c>
      <c r="L682" s="1391" t="s">
        <v>4414</v>
      </c>
      <c r="AA682">
        <v>1608</v>
      </c>
      <c r="AB682">
        <v>17799</v>
      </c>
      <c r="AC682">
        <v>75031</v>
      </c>
    </row>
    <row r="683" spans="2:29" ht="12.5">
      <c r="B683" s="5" t="s">
        <v>4415</v>
      </c>
      <c r="C683" s="6" t="s">
        <v>584</v>
      </c>
      <c r="D683" s="1347">
        <v>0</v>
      </c>
      <c r="E683" s="1346">
        <v>0</v>
      </c>
      <c r="F683" s="1342" t="s">
        <v>4416</v>
      </c>
      <c r="G683" s="1391">
        <v>240</v>
      </c>
      <c r="H683" s="1353">
        <f t="shared" si="81"/>
        <v>0</v>
      </c>
      <c r="I683" s="1353">
        <f t="shared" si="81"/>
        <v>0</v>
      </c>
      <c r="K683" s="1391">
        <v>705</v>
      </c>
      <c r="L683" s="1391" t="s">
        <v>4417</v>
      </c>
      <c r="AA683">
        <v>1609</v>
      </c>
      <c r="AB683">
        <v>5802</v>
      </c>
      <c r="AC683">
        <v>15660</v>
      </c>
    </row>
    <row r="684" spans="2:29" ht="12.5">
      <c r="B684" s="5" t="s">
        <v>4418</v>
      </c>
      <c r="C684" s="6" t="s">
        <v>585</v>
      </c>
      <c r="D684" s="1347">
        <v>0</v>
      </c>
      <c r="E684" s="1346">
        <v>0</v>
      </c>
      <c r="F684" s="1342" t="s">
        <v>4419</v>
      </c>
      <c r="G684" s="1391">
        <v>241</v>
      </c>
      <c r="H684" s="1353">
        <f t="shared" si="81"/>
        <v>0</v>
      </c>
      <c r="I684" s="1353">
        <f t="shared" si="81"/>
        <v>0</v>
      </c>
      <c r="K684" s="1391">
        <v>706</v>
      </c>
      <c r="L684" s="1391" t="s">
        <v>4420</v>
      </c>
      <c r="AA684">
        <v>1611</v>
      </c>
      <c r="AB684">
        <v>23601</v>
      </c>
      <c r="AC684">
        <v>90691</v>
      </c>
    </row>
    <row r="685" spans="2:29" ht="12.5">
      <c r="B685" s="5" t="s">
        <v>4421</v>
      </c>
      <c r="C685" s="6" t="s">
        <v>587</v>
      </c>
      <c r="D685" s="1347">
        <v>0</v>
      </c>
      <c r="E685" s="1346">
        <v>0</v>
      </c>
      <c r="F685" s="1342" t="s">
        <v>4422</v>
      </c>
      <c r="G685" s="1391">
        <v>242</v>
      </c>
      <c r="H685" s="1353">
        <f t="shared" si="81"/>
        <v>0</v>
      </c>
      <c r="I685" s="1353">
        <f t="shared" si="81"/>
        <v>0</v>
      </c>
      <c r="K685" s="1391">
        <v>707</v>
      </c>
      <c r="L685" s="1391" t="s">
        <v>4423</v>
      </c>
      <c r="AA685">
        <v>1613</v>
      </c>
      <c r="AB685">
        <v>410299</v>
      </c>
      <c r="AC685">
        <v>1161811</v>
      </c>
    </row>
    <row r="686" spans="2:29" ht="12.5">
      <c r="B686" s="5" t="s">
        <v>4424</v>
      </c>
      <c r="C686" s="6" t="s">
        <v>589</v>
      </c>
      <c r="D686" s="1347">
        <v>0</v>
      </c>
      <c r="E686" s="1346">
        <v>0</v>
      </c>
      <c r="F686" s="1342" t="s">
        <v>4425</v>
      </c>
      <c r="G686" s="1391">
        <v>243</v>
      </c>
      <c r="H686" s="1353">
        <f t="shared" si="81"/>
        <v>0</v>
      </c>
      <c r="I686" s="1353">
        <f t="shared" si="81"/>
        <v>0</v>
      </c>
      <c r="K686" s="1391">
        <v>708</v>
      </c>
      <c r="L686" s="1391" t="s">
        <v>4426</v>
      </c>
      <c r="AA686">
        <v>1614</v>
      </c>
      <c r="AB686">
        <v>11154076</v>
      </c>
      <c r="AC686">
        <v>24593020</v>
      </c>
    </row>
    <row r="687" spans="2:29" ht="12.5">
      <c r="B687" s="5" t="s">
        <v>4427</v>
      </c>
      <c r="C687" s="6" t="s">
        <v>591</v>
      </c>
      <c r="D687" s="1347">
        <v>0</v>
      </c>
      <c r="E687" s="1346">
        <v>0</v>
      </c>
      <c r="F687" s="1342" t="s">
        <v>4428</v>
      </c>
      <c r="G687" s="1391">
        <v>244</v>
      </c>
      <c r="H687" s="1353">
        <f t="shared" si="81"/>
        <v>0</v>
      </c>
      <c r="I687" s="1353">
        <f t="shared" si="81"/>
        <v>0</v>
      </c>
      <c r="K687" s="1391">
        <v>709</v>
      </c>
      <c r="L687" s="1391" t="s">
        <v>4429</v>
      </c>
      <c r="AA687">
        <v>1615</v>
      </c>
      <c r="AB687">
        <v>26670</v>
      </c>
      <c r="AC687">
        <v>63127</v>
      </c>
    </row>
    <row r="688" spans="2:29" ht="12.5">
      <c r="B688" s="5" t="s">
        <v>4430</v>
      </c>
      <c r="C688" s="6" t="s">
        <v>593</v>
      </c>
      <c r="D688" s="1347">
        <v>0</v>
      </c>
      <c r="E688" s="1346">
        <v>0</v>
      </c>
      <c r="F688" s="1342" t="s">
        <v>4431</v>
      </c>
      <c r="G688" s="1367"/>
      <c r="H688" s="1353"/>
      <c r="I688" s="1353"/>
      <c r="K688" s="1391">
        <v>710</v>
      </c>
      <c r="L688" s="1391" t="s">
        <v>4432</v>
      </c>
      <c r="AA688">
        <v>1621</v>
      </c>
      <c r="AB688">
        <v>6930</v>
      </c>
      <c r="AC688">
        <v>23925</v>
      </c>
    </row>
    <row r="689" spans="2:29" ht="12.5">
      <c r="B689" s="5" t="s">
        <v>4433</v>
      </c>
      <c r="C689" s="6" t="s">
        <v>4434</v>
      </c>
      <c r="D689" s="1347">
        <v>0</v>
      </c>
      <c r="E689" s="1346">
        <v>0</v>
      </c>
      <c r="F689" s="1342" t="s">
        <v>2803</v>
      </c>
      <c r="G689" s="1408">
        <v>249</v>
      </c>
      <c r="H689" s="1353">
        <f t="shared" ref="H689:I696" si="82">M239</f>
        <v>0</v>
      </c>
      <c r="I689" s="1353">
        <f t="shared" si="82"/>
        <v>0</v>
      </c>
      <c r="K689" s="1391">
        <v>711</v>
      </c>
      <c r="L689" s="1391" t="s">
        <v>4435</v>
      </c>
      <c r="AA689">
        <v>1622</v>
      </c>
      <c r="AB689">
        <v>31791</v>
      </c>
      <c r="AC689">
        <v>71872</v>
      </c>
    </row>
    <row r="690" spans="2:29" ht="12.5">
      <c r="B690" s="5" t="s">
        <v>4436</v>
      </c>
      <c r="C690" s="6" t="s">
        <v>4437</v>
      </c>
      <c r="D690" s="1347">
        <v>0</v>
      </c>
      <c r="E690" s="1346">
        <v>0</v>
      </c>
      <c r="F690" s="1342" t="s">
        <v>2807</v>
      </c>
      <c r="G690" s="1408">
        <v>250</v>
      </c>
      <c r="H690" s="1353">
        <f t="shared" si="82"/>
        <v>0</v>
      </c>
      <c r="I690" s="1353">
        <f t="shared" si="82"/>
        <v>0</v>
      </c>
      <c r="K690" s="1391">
        <v>712</v>
      </c>
      <c r="L690" s="1391" t="s">
        <v>4438</v>
      </c>
      <c r="AA690">
        <v>1624</v>
      </c>
      <c r="AB690">
        <v>15023</v>
      </c>
      <c r="AC690">
        <v>27509</v>
      </c>
    </row>
    <row r="691" spans="2:29" ht="12.5">
      <c r="B691" s="5" t="s">
        <v>4439</v>
      </c>
      <c r="C691" s="6" t="s">
        <v>4440</v>
      </c>
      <c r="D691" s="1347">
        <v>0</v>
      </c>
      <c r="E691" s="1346">
        <v>0</v>
      </c>
      <c r="F691" s="1342" t="s">
        <v>2811</v>
      </c>
      <c r="G691" s="1408">
        <v>251</v>
      </c>
      <c r="H691" s="1353">
        <f t="shared" si="82"/>
        <v>0</v>
      </c>
      <c r="I691" s="1353">
        <f t="shared" si="82"/>
        <v>0</v>
      </c>
      <c r="K691" s="1391">
        <v>713</v>
      </c>
      <c r="L691" s="1391" t="s">
        <v>4441</v>
      </c>
      <c r="AA691">
        <v>1625</v>
      </c>
      <c r="AB691">
        <v>80414</v>
      </c>
      <c r="AC691">
        <v>186433</v>
      </c>
    </row>
    <row r="692" spans="2:29" ht="12.5">
      <c r="B692" s="5" t="s">
        <v>4442</v>
      </c>
      <c r="C692" s="6" t="s">
        <v>4443</v>
      </c>
      <c r="D692" s="1347">
        <v>0</v>
      </c>
      <c r="E692" s="1346">
        <v>0</v>
      </c>
      <c r="F692" s="1342" t="s">
        <v>2815</v>
      </c>
      <c r="G692" s="1408">
        <v>252</v>
      </c>
      <c r="H692" s="1353">
        <f t="shared" si="82"/>
        <v>0</v>
      </c>
      <c r="I692" s="1353">
        <f t="shared" si="82"/>
        <v>0</v>
      </c>
      <c r="K692" s="1391">
        <v>714</v>
      </c>
      <c r="L692" s="1391" t="s">
        <v>4444</v>
      </c>
      <c r="AA692">
        <v>1626</v>
      </c>
      <c r="AB692">
        <v>2614</v>
      </c>
      <c r="AC692">
        <v>2925</v>
      </c>
    </row>
    <row r="693" spans="2:29" ht="12.5">
      <c r="B693" s="5" t="s">
        <v>4445</v>
      </c>
      <c r="C693" s="6" t="s">
        <v>4446</v>
      </c>
      <c r="D693" s="1347">
        <v>0</v>
      </c>
      <c r="E693" s="1346">
        <v>0</v>
      </c>
      <c r="F693" s="1342" t="s">
        <v>2819</v>
      </c>
      <c r="G693" s="1408">
        <v>253</v>
      </c>
      <c r="H693" s="1353">
        <f t="shared" si="82"/>
        <v>0</v>
      </c>
      <c r="I693" s="1353">
        <f t="shared" si="82"/>
        <v>0</v>
      </c>
      <c r="K693" s="1391">
        <v>715</v>
      </c>
      <c r="L693" s="1391" t="s">
        <v>4447</v>
      </c>
      <c r="AA693">
        <v>1627</v>
      </c>
      <c r="AB693">
        <v>1571</v>
      </c>
      <c r="AC693">
        <v>3317</v>
      </c>
    </row>
    <row r="694" spans="2:29" ht="12.5">
      <c r="B694" s="5" t="s">
        <v>4448</v>
      </c>
      <c r="C694" s="6" t="s">
        <v>4449</v>
      </c>
      <c r="D694" s="1347">
        <v>0</v>
      </c>
      <c r="E694" s="1346">
        <v>0</v>
      </c>
      <c r="F694" s="1342" t="s">
        <v>2823</v>
      </c>
      <c r="G694" s="1408">
        <v>254</v>
      </c>
      <c r="H694" s="1353">
        <f t="shared" si="82"/>
        <v>0</v>
      </c>
      <c r="I694" s="1353">
        <f t="shared" si="82"/>
        <v>0</v>
      </c>
      <c r="K694" s="1391">
        <v>716</v>
      </c>
      <c r="L694" s="1391" t="s">
        <v>4450</v>
      </c>
      <c r="AA694">
        <v>1629</v>
      </c>
      <c r="AB694">
        <v>9991</v>
      </c>
      <c r="AC694">
        <v>25770</v>
      </c>
    </row>
    <row r="695" spans="2:29" ht="12.5">
      <c r="B695" s="5" t="s">
        <v>4451</v>
      </c>
      <c r="C695" s="6" t="s">
        <v>4452</v>
      </c>
      <c r="D695" s="1347">
        <v>0</v>
      </c>
      <c r="E695" s="1346">
        <v>0</v>
      </c>
      <c r="F695" s="1342" t="s">
        <v>2827</v>
      </c>
      <c r="G695" s="1408">
        <v>255</v>
      </c>
      <c r="H695" s="1353">
        <f t="shared" si="82"/>
        <v>0</v>
      </c>
      <c r="I695" s="1353">
        <f t="shared" si="82"/>
        <v>0</v>
      </c>
      <c r="K695" s="1391">
        <v>717</v>
      </c>
      <c r="L695" s="1391" t="s">
        <v>4453</v>
      </c>
      <c r="AA695">
        <v>1630</v>
      </c>
      <c r="AB695">
        <v>18788</v>
      </c>
      <c r="AC695">
        <v>49422</v>
      </c>
    </row>
    <row r="696" spans="2:29" ht="12.5">
      <c r="B696" s="5" t="s">
        <v>4454</v>
      </c>
      <c r="C696" s="6" t="s">
        <v>4455</v>
      </c>
      <c r="D696" s="1347">
        <v>0</v>
      </c>
      <c r="E696" s="1346">
        <v>0</v>
      </c>
      <c r="F696" s="1342" t="s">
        <v>2831</v>
      </c>
      <c r="G696" s="1408">
        <v>256</v>
      </c>
      <c r="H696" s="1353">
        <f t="shared" si="82"/>
        <v>0</v>
      </c>
      <c r="I696" s="1353">
        <f t="shared" si="82"/>
        <v>0</v>
      </c>
      <c r="K696" s="1391">
        <v>718</v>
      </c>
      <c r="L696" s="1391" t="s">
        <v>4456</v>
      </c>
      <c r="AA696">
        <v>1632</v>
      </c>
      <c r="AB696">
        <v>969</v>
      </c>
      <c r="AC696">
        <v>6634</v>
      </c>
    </row>
    <row r="697" spans="2:29" ht="12.5">
      <c r="B697" s="5" t="s">
        <v>4457</v>
      </c>
      <c r="C697" s="6"/>
      <c r="D697" s="1347"/>
      <c r="E697" s="1346"/>
      <c r="F697" s="2223" t="s">
        <v>4458</v>
      </c>
      <c r="G697" s="2373"/>
      <c r="H697" s="1353"/>
      <c r="I697" s="1353"/>
      <c r="K697" s="1391">
        <v>719</v>
      </c>
      <c r="L697" s="1391" t="s">
        <v>4459</v>
      </c>
      <c r="AA697">
        <v>1633</v>
      </c>
      <c r="AB697">
        <v>-5167</v>
      </c>
      <c r="AC697">
        <v>-2217</v>
      </c>
    </row>
    <row r="698" spans="2:29" ht="12.5">
      <c r="B698" s="5" t="s">
        <v>4460</v>
      </c>
      <c r="C698" s="6" t="s">
        <v>4461</v>
      </c>
      <c r="D698" s="1347">
        <v>0</v>
      </c>
      <c r="E698" s="1346">
        <v>0</v>
      </c>
      <c r="F698" s="1342" t="s">
        <v>2851</v>
      </c>
      <c r="G698" s="1408">
        <v>261</v>
      </c>
      <c r="H698" s="1353">
        <f t="shared" ref="H698:I705" si="83">M251</f>
        <v>0</v>
      </c>
      <c r="I698" s="1353">
        <f t="shared" si="83"/>
        <v>0</v>
      </c>
      <c r="K698" s="1391">
        <v>720</v>
      </c>
      <c r="L698" s="1391" t="s">
        <v>4462</v>
      </c>
      <c r="AA698">
        <v>1634</v>
      </c>
      <c r="AB698">
        <v>24581</v>
      </c>
      <c r="AC698">
        <v>79609</v>
      </c>
    </row>
    <row r="699" spans="2:29" ht="12.5">
      <c r="B699" s="5" t="s">
        <v>4463</v>
      </c>
      <c r="C699" s="6" t="s">
        <v>4464</v>
      </c>
      <c r="D699" s="1347">
        <v>2</v>
      </c>
      <c r="E699" s="1346">
        <v>3</v>
      </c>
      <c r="F699" s="1342" t="s">
        <v>2855</v>
      </c>
      <c r="G699" s="1408">
        <v>262</v>
      </c>
      <c r="H699" s="1353">
        <f t="shared" si="83"/>
        <v>0</v>
      </c>
      <c r="I699" s="1353">
        <f t="shared" si="83"/>
        <v>0</v>
      </c>
      <c r="K699" s="1391">
        <v>721</v>
      </c>
      <c r="L699" s="1391" t="s">
        <v>4465</v>
      </c>
      <c r="AA699">
        <v>1635</v>
      </c>
      <c r="AB699">
        <v>15895</v>
      </c>
      <c r="AC699">
        <v>40681</v>
      </c>
    </row>
    <row r="700" spans="2:29" ht="12.5">
      <c r="B700" s="5" t="s">
        <v>4466</v>
      </c>
      <c r="C700" s="6" t="s">
        <v>4467</v>
      </c>
      <c r="D700" s="1347">
        <v>0</v>
      </c>
      <c r="E700" s="1346">
        <v>0</v>
      </c>
      <c r="F700" s="1342" t="s">
        <v>2859</v>
      </c>
      <c r="G700" s="1408">
        <v>263</v>
      </c>
      <c r="H700" s="1353">
        <f t="shared" si="83"/>
        <v>0</v>
      </c>
      <c r="I700" s="1353">
        <f t="shared" si="83"/>
        <v>0</v>
      </c>
      <c r="K700" s="1391">
        <v>722</v>
      </c>
      <c r="L700" s="1391" t="s">
        <v>4468</v>
      </c>
      <c r="AA700">
        <v>1636</v>
      </c>
      <c r="AB700">
        <v>2483</v>
      </c>
      <c r="AC700">
        <v>6223</v>
      </c>
    </row>
    <row r="701" spans="2:29" ht="12.5">
      <c r="B701" s="5" t="s">
        <v>4469</v>
      </c>
      <c r="C701" s="6" t="s">
        <v>4470</v>
      </c>
      <c r="D701" s="1347">
        <v>0</v>
      </c>
      <c r="E701" s="1346">
        <v>0</v>
      </c>
      <c r="F701" s="1342" t="s">
        <v>2863</v>
      </c>
      <c r="G701" s="1408">
        <v>264</v>
      </c>
      <c r="H701" s="1353">
        <f t="shared" si="83"/>
        <v>0</v>
      </c>
      <c r="I701" s="1353">
        <f t="shared" si="83"/>
        <v>0</v>
      </c>
      <c r="K701" s="1391">
        <v>723</v>
      </c>
      <c r="L701" s="1391" t="s">
        <v>4471</v>
      </c>
      <c r="AA701">
        <v>1638</v>
      </c>
      <c r="AB701">
        <v>127558</v>
      </c>
      <c r="AC701">
        <v>319188</v>
      </c>
    </row>
    <row r="702" spans="2:29" ht="12.5">
      <c r="B702" s="5" t="s">
        <v>4472</v>
      </c>
      <c r="C702" s="6" t="s">
        <v>4473</v>
      </c>
      <c r="D702" s="1347">
        <v>0</v>
      </c>
      <c r="E702" s="1346">
        <v>0</v>
      </c>
      <c r="F702" s="1342" t="s">
        <v>2867</v>
      </c>
      <c r="G702" s="1408">
        <v>265</v>
      </c>
      <c r="H702" s="1353">
        <f t="shared" si="83"/>
        <v>0</v>
      </c>
      <c r="I702" s="1353">
        <f t="shared" si="83"/>
        <v>0</v>
      </c>
      <c r="K702" s="1391">
        <v>724</v>
      </c>
      <c r="L702" s="1391" t="s">
        <v>4474</v>
      </c>
      <c r="AA702">
        <v>1639</v>
      </c>
      <c r="AB702">
        <v>6638</v>
      </c>
      <c r="AC702">
        <v>20706</v>
      </c>
    </row>
    <row r="703" spans="2:29" ht="12.5">
      <c r="B703" s="5" t="s">
        <v>4475</v>
      </c>
      <c r="C703" s="6" t="s">
        <v>4476</v>
      </c>
      <c r="D703" s="1347">
        <v>0</v>
      </c>
      <c r="E703" s="1346">
        <v>0</v>
      </c>
      <c r="F703" s="1342" t="s">
        <v>2871</v>
      </c>
      <c r="G703" s="1408">
        <v>266</v>
      </c>
      <c r="H703" s="1353">
        <f t="shared" si="83"/>
        <v>0</v>
      </c>
      <c r="I703" s="1353">
        <f t="shared" si="83"/>
        <v>0</v>
      </c>
      <c r="K703" s="1391">
        <v>725</v>
      </c>
      <c r="L703" s="1391" t="s">
        <v>4477</v>
      </c>
      <c r="AA703">
        <v>1640</v>
      </c>
      <c r="AB703">
        <v>16029</v>
      </c>
      <c r="AC703">
        <v>37291</v>
      </c>
    </row>
    <row r="704" spans="2:29" ht="12.5">
      <c r="B704" s="5" t="s">
        <v>4478</v>
      </c>
      <c r="C704" s="6" t="s">
        <v>4479</v>
      </c>
      <c r="D704" s="1347">
        <v>0</v>
      </c>
      <c r="E704" s="1346">
        <v>0</v>
      </c>
      <c r="F704" s="1342" t="s">
        <v>2875</v>
      </c>
      <c r="G704" s="1408">
        <v>267</v>
      </c>
      <c r="H704" s="1353">
        <f t="shared" si="83"/>
        <v>0</v>
      </c>
      <c r="I704" s="1353">
        <f t="shared" si="83"/>
        <v>0</v>
      </c>
      <c r="K704" s="1391">
        <v>726</v>
      </c>
      <c r="L704" s="1391" t="s">
        <v>4480</v>
      </c>
      <c r="AA704">
        <v>1644</v>
      </c>
      <c r="AB704">
        <v>12533</v>
      </c>
      <c r="AC704">
        <v>37062</v>
      </c>
    </row>
    <row r="705" spans="2:29" ht="12.5">
      <c r="B705" s="5" t="s">
        <v>4481</v>
      </c>
      <c r="C705" s="6" t="s">
        <v>4482</v>
      </c>
      <c r="D705" s="1347">
        <v>0</v>
      </c>
      <c r="E705" s="1346">
        <v>0</v>
      </c>
      <c r="F705" s="1342" t="s">
        <v>2879</v>
      </c>
      <c r="G705" s="1408">
        <v>269</v>
      </c>
      <c r="H705" s="1353">
        <f t="shared" si="83"/>
        <v>0</v>
      </c>
      <c r="I705" s="1353">
        <f t="shared" si="83"/>
        <v>0</v>
      </c>
      <c r="K705" s="1391">
        <v>727</v>
      </c>
      <c r="L705" s="1391" t="s">
        <v>4483</v>
      </c>
      <c r="AA705">
        <v>1645</v>
      </c>
      <c r="AB705">
        <v>3635</v>
      </c>
      <c r="AC705">
        <v>10905</v>
      </c>
    </row>
    <row r="706" spans="2:29" ht="12.5">
      <c r="B706" s="5" t="s">
        <v>4484</v>
      </c>
      <c r="C706" s="6" t="s">
        <v>4485</v>
      </c>
      <c r="D706" s="1347">
        <v>0</v>
      </c>
      <c r="E706" s="1346">
        <v>0</v>
      </c>
      <c r="F706" s="1342" t="s">
        <v>2887</v>
      </c>
      <c r="G706" s="1408">
        <v>271</v>
      </c>
      <c r="H706" s="1353">
        <f t="shared" ref="H706:H720" si="84">M260</f>
        <v>0</v>
      </c>
      <c r="I706" s="1353">
        <f t="shared" ref="I706:I720" si="85">N260</f>
        <v>0</v>
      </c>
      <c r="K706" s="1391">
        <v>728</v>
      </c>
      <c r="L706" s="1391" t="s">
        <v>4486</v>
      </c>
      <c r="AA706">
        <v>1646</v>
      </c>
      <c r="AB706">
        <v>4196</v>
      </c>
      <c r="AC706">
        <v>18059</v>
      </c>
    </row>
    <row r="707" spans="2:29" ht="12.5">
      <c r="B707" s="5" t="s">
        <v>4487</v>
      </c>
      <c r="C707" s="6" t="s">
        <v>4488</v>
      </c>
      <c r="D707" s="1347">
        <v>0</v>
      </c>
      <c r="E707" s="1346">
        <v>0</v>
      </c>
      <c r="F707" s="1342" t="s">
        <v>2891</v>
      </c>
      <c r="G707" s="1408">
        <v>272</v>
      </c>
      <c r="H707" s="1353">
        <f t="shared" si="84"/>
        <v>0</v>
      </c>
      <c r="I707" s="1353">
        <f t="shared" si="85"/>
        <v>0</v>
      </c>
      <c r="K707" s="1391">
        <v>729</v>
      </c>
      <c r="L707" s="1391" t="s">
        <v>4489</v>
      </c>
      <c r="AA707">
        <v>1648</v>
      </c>
      <c r="AB707">
        <v>861</v>
      </c>
      <c r="AC707">
        <v>10669</v>
      </c>
    </row>
    <row r="708" spans="2:29" ht="12.5">
      <c r="B708" s="5" t="s">
        <v>4490</v>
      </c>
      <c r="C708" s="6" t="s">
        <v>4491</v>
      </c>
      <c r="D708" s="1347">
        <v>0</v>
      </c>
      <c r="E708" s="1346">
        <v>0</v>
      </c>
      <c r="F708" s="1342" t="s">
        <v>2895</v>
      </c>
      <c r="G708" s="1408">
        <v>273</v>
      </c>
      <c r="H708" s="1353">
        <f t="shared" si="84"/>
        <v>0</v>
      </c>
      <c r="I708" s="1353">
        <f t="shared" si="85"/>
        <v>0</v>
      </c>
      <c r="K708" s="1391">
        <v>730</v>
      </c>
      <c r="L708" s="1391" t="s">
        <v>4492</v>
      </c>
      <c r="AA708">
        <v>1649</v>
      </c>
      <c r="AB708">
        <v>0</v>
      </c>
      <c r="AC708">
        <v>1525</v>
      </c>
    </row>
    <row r="709" spans="2:29" ht="12.5">
      <c r="B709" s="5" t="s">
        <v>4493</v>
      </c>
      <c r="C709" s="6" t="s">
        <v>4494</v>
      </c>
      <c r="D709" s="1347">
        <v>0</v>
      </c>
      <c r="E709" s="1346">
        <v>0</v>
      </c>
      <c r="F709" s="1342" t="s">
        <v>2899</v>
      </c>
      <c r="G709" s="1408">
        <v>274</v>
      </c>
      <c r="H709" s="1353">
        <f t="shared" si="84"/>
        <v>0</v>
      </c>
      <c r="I709" s="1353">
        <f t="shared" si="85"/>
        <v>0</v>
      </c>
      <c r="K709" s="1391">
        <v>731</v>
      </c>
      <c r="L709" s="1391" t="s">
        <v>4495</v>
      </c>
      <c r="AA709">
        <v>1650</v>
      </c>
      <c r="AB709">
        <v>43892</v>
      </c>
      <c r="AC709">
        <v>136217</v>
      </c>
    </row>
    <row r="710" spans="2:29" ht="12.5">
      <c r="B710" s="5" t="s">
        <v>4496</v>
      </c>
      <c r="C710" s="6" t="s">
        <v>4497</v>
      </c>
      <c r="D710" s="1347">
        <v>0</v>
      </c>
      <c r="E710" s="1346">
        <v>0</v>
      </c>
      <c r="F710" s="1342" t="s">
        <v>2903</v>
      </c>
      <c r="G710" s="1408">
        <v>275</v>
      </c>
      <c r="H710" s="1353">
        <f t="shared" si="84"/>
        <v>0</v>
      </c>
      <c r="I710" s="1353">
        <f t="shared" si="85"/>
        <v>0</v>
      </c>
      <c r="K710" s="1391">
        <v>732</v>
      </c>
      <c r="L710" s="1391" t="s">
        <v>4498</v>
      </c>
      <c r="AA710">
        <v>1651</v>
      </c>
      <c r="AB710">
        <v>3860</v>
      </c>
      <c r="AC710">
        <v>17910</v>
      </c>
    </row>
    <row r="711" spans="2:29" ht="12.5">
      <c r="B711" s="5" t="s">
        <v>4499</v>
      </c>
      <c r="C711" s="6" t="s">
        <v>4500</v>
      </c>
      <c r="D711" s="1347">
        <v>0</v>
      </c>
      <c r="E711" s="1346">
        <v>0</v>
      </c>
      <c r="F711" s="1342" t="s">
        <v>2907</v>
      </c>
      <c r="G711" s="1408">
        <v>276</v>
      </c>
      <c r="H711" s="1353">
        <f t="shared" si="84"/>
        <v>0</v>
      </c>
      <c r="I711" s="1353">
        <f t="shared" si="85"/>
        <v>0</v>
      </c>
      <c r="K711" s="1391">
        <v>733</v>
      </c>
      <c r="L711" s="1391" t="s">
        <v>4501</v>
      </c>
      <c r="AA711">
        <v>1652</v>
      </c>
      <c r="AB711">
        <v>901</v>
      </c>
      <c r="AC711">
        <v>3887</v>
      </c>
    </row>
    <row r="712" spans="2:29" ht="12.5">
      <c r="B712" s="5" t="s">
        <v>4502</v>
      </c>
      <c r="C712" s="6" t="s">
        <v>4503</v>
      </c>
      <c r="D712" s="1347">
        <v>0</v>
      </c>
      <c r="E712" s="1346">
        <v>0</v>
      </c>
      <c r="F712" s="1342" t="s">
        <v>2911</v>
      </c>
      <c r="G712" s="1408">
        <v>277</v>
      </c>
      <c r="H712" s="1353">
        <f t="shared" si="84"/>
        <v>0</v>
      </c>
      <c r="I712" s="1353">
        <f t="shared" si="85"/>
        <v>0</v>
      </c>
      <c r="K712" s="1391">
        <v>734</v>
      </c>
      <c r="L712" s="1391" t="s">
        <v>4504</v>
      </c>
      <c r="AA712">
        <v>1654</v>
      </c>
      <c r="AB712">
        <v>4761</v>
      </c>
      <c r="AC712">
        <v>21797</v>
      </c>
    </row>
    <row r="713" spans="2:29" ht="12.5">
      <c r="B713" s="5" t="s">
        <v>4505</v>
      </c>
      <c r="C713" s="6" t="s">
        <v>4506</v>
      </c>
      <c r="D713" s="1347">
        <v>0</v>
      </c>
      <c r="E713" s="1346">
        <v>0</v>
      </c>
      <c r="F713" s="1342" t="s">
        <v>2915</v>
      </c>
      <c r="G713" s="1408">
        <v>278</v>
      </c>
      <c r="H713" s="1353">
        <f t="shared" si="84"/>
        <v>0</v>
      </c>
      <c r="I713" s="1353">
        <f t="shared" si="85"/>
        <v>0</v>
      </c>
      <c r="K713" s="1391">
        <v>735</v>
      </c>
      <c r="L713" s="1391" t="s">
        <v>4507</v>
      </c>
      <c r="AA713">
        <v>1656</v>
      </c>
      <c r="AB713">
        <v>176211</v>
      </c>
      <c r="AC713">
        <v>477202</v>
      </c>
    </row>
    <row r="714" spans="2:29" ht="12.5">
      <c r="B714" s="5" t="s">
        <v>4508</v>
      </c>
      <c r="C714" s="6" t="s">
        <v>4509</v>
      </c>
      <c r="D714" s="1347">
        <v>0</v>
      </c>
      <c r="E714" s="1346">
        <v>0</v>
      </c>
      <c r="F714" s="1342" t="s">
        <v>2919</v>
      </c>
      <c r="G714" s="1408">
        <v>279</v>
      </c>
      <c r="H714" s="1353">
        <f t="shared" si="84"/>
        <v>0</v>
      </c>
      <c r="I714" s="1353">
        <f t="shared" si="85"/>
        <v>0</v>
      </c>
      <c r="K714" s="1391">
        <v>736</v>
      </c>
      <c r="L714" s="1391" t="s">
        <v>4510</v>
      </c>
      <c r="AA714">
        <v>1657</v>
      </c>
      <c r="AB714">
        <v>642469</v>
      </c>
      <c r="AC714">
        <v>1510797</v>
      </c>
    </row>
    <row r="715" spans="2:29" ht="12.5">
      <c r="B715" s="5" t="s">
        <v>4511</v>
      </c>
      <c r="C715" s="6" t="s">
        <v>4512</v>
      </c>
      <c r="D715" s="1347">
        <v>0</v>
      </c>
      <c r="E715" s="1346">
        <v>0</v>
      </c>
      <c r="F715" s="1342" t="s">
        <v>2923</v>
      </c>
      <c r="G715" s="1408">
        <v>280</v>
      </c>
      <c r="H715" s="1353">
        <f t="shared" si="84"/>
        <v>0</v>
      </c>
      <c r="I715" s="1353">
        <f t="shared" si="85"/>
        <v>0</v>
      </c>
      <c r="K715" s="1391">
        <v>737</v>
      </c>
      <c r="L715" s="1391" t="s">
        <v>4513</v>
      </c>
      <c r="AA715">
        <v>1659</v>
      </c>
      <c r="AB715">
        <v>37341</v>
      </c>
      <c r="AC715">
        <v>85359</v>
      </c>
    </row>
    <row r="716" spans="2:29" ht="12.5">
      <c r="B716" s="5" t="s">
        <v>4514</v>
      </c>
      <c r="C716" s="6" t="s">
        <v>4515</v>
      </c>
      <c r="D716" s="1347">
        <v>0</v>
      </c>
      <c r="E716" s="1346">
        <v>0</v>
      </c>
      <c r="F716" s="1342" t="s">
        <v>2927</v>
      </c>
      <c r="G716" s="1408">
        <v>281</v>
      </c>
      <c r="H716" s="1353">
        <f t="shared" si="84"/>
        <v>0</v>
      </c>
      <c r="I716" s="1353">
        <f t="shared" si="85"/>
        <v>0</v>
      </c>
      <c r="K716" s="1391">
        <v>738</v>
      </c>
      <c r="L716" s="1391" t="s">
        <v>4516</v>
      </c>
      <c r="AA716">
        <v>1660</v>
      </c>
      <c r="AB716">
        <v>8170</v>
      </c>
      <c r="AC716">
        <v>14360</v>
      </c>
    </row>
    <row r="717" spans="2:29" ht="12.5">
      <c r="B717" s="5" t="s">
        <v>4517</v>
      </c>
      <c r="C717" s="6" t="s">
        <v>4518</v>
      </c>
      <c r="D717" s="1347">
        <v>0</v>
      </c>
      <c r="E717" s="1346">
        <v>0</v>
      </c>
      <c r="F717" s="1342" t="s">
        <v>2932</v>
      </c>
      <c r="G717" s="1408">
        <v>282</v>
      </c>
      <c r="H717" s="1353">
        <f t="shared" si="84"/>
        <v>0</v>
      </c>
      <c r="I717" s="1353">
        <f t="shared" si="85"/>
        <v>0</v>
      </c>
      <c r="K717" s="1391">
        <v>739</v>
      </c>
      <c r="L717" s="1391" t="s">
        <v>4519</v>
      </c>
      <c r="AA717">
        <v>1661</v>
      </c>
      <c r="AB717">
        <v>45511</v>
      </c>
      <c r="AC717">
        <v>100951</v>
      </c>
    </row>
    <row r="718" spans="2:29" ht="12.5">
      <c r="B718" s="5" t="s">
        <v>4520</v>
      </c>
      <c r="C718" s="6" t="s">
        <v>4521</v>
      </c>
      <c r="D718" s="1347">
        <v>0</v>
      </c>
      <c r="E718" s="1346">
        <v>0</v>
      </c>
      <c r="F718" s="1342" t="s">
        <v>2936</v>
      </c>
      <c r="G718" s="1408">
        <v>283</v>
      </c>
      <c r="H718" s="1353">
        <f t="shared" si="84"/>
        <v>0</v>
      </c>
      <c r="I718" s="1353">
        <f t="shared" si="85"/>
        <v>0</v>
      </c>
      <c r="K718" s="1391">
        <v>740</v>
      </c>
      <c r="L718" s="1391" t="s">
        <v>4522</v>
      </c>
      <c r="AA718">
        <v>1663</v>
      </c>
      <c r="AB718">
        <v>6024</v>
      </c>
      <c r="AC718">
        <v>23125</v>
      </c>
    </row>
    <row r="719" spans="2:29" ht="12.5">
      <c r="B719" s="5" t="s">
        <v>4523</v>
      </c>
      <c r="C719" s="6" t="s">
        <v>4524</v>
      </c>
      <c r="D719" s="1347">
        <v>0</v>
      </c>
      <c r="E719" s="1346">
        <v>0</v>
      </c>
      <c r="F719" s="1342" t="s">
        <v>2940</v>
      </c>
      <c r="G719" s="1408">
        <v>284</v>
      </c>
      <c r="H719" s="1353">
        <f t="shared" si="84"/>
        <v>0</v>
      </c>
      <c r="I719" s="1353">
        <f t="shared" si="85"/>
        <v>0</v>
      </c>
      <c r="K719" s="1391">
        <v>741</v>
      </c>
      <c r="L719" s="1391" t="s">
        <v>4525</v>
      </c>
      <c r="AA719">
        <v>1665</v>
      </c>
      <c r="AB719">
        <v>8464</v>
      </c>
      <c r="AC719">
        <v>24943</v>
      </c>
    </row>
    <row r="720" spans="2:29" ht="12.5">
      <c r="B720" s="5" t="s">
        <v>4526</v>
      </c>
      <c r="C720" s="6" t="s">
        <v>4527</v>
      </c>
      <c r="D720" s="1347">
        <v>0</v>
      </c>
      <c r="E720" s="1346">
        <v>0</v>
      </c>
      <c r="F720" s="1342" t="s">
        <v>2944</v>
      </c>
      <c r="G720" s="1408">
        <v>285</v>
      </c>
      <c r="H720" s="1353">
        <f t="shared" si="84"/>
        <v>0</v>
      </c>
      <c r="I720" s="1353">
        <f t="shared" si="85"/>
        <v>0</v>
      </c>
      <c r="K720" s="1391">
        <v>742</v>
      </c>
      <c r="L720" s="1391" t="s">
        <v>4528</v>
      </c>
      <c r="AA720">
        <v>1666</v>
      </c>
      <c r="AB720">
        <v>53975</v>
      </c>
      <c r="AC720">
        <v>125894</v>
      </c>
    </row>
    <row r="721" spans="2:29" ht="12.5">
      <c r="B721" s="5" t="s">
        <v>4529</v>
      </c>
      <c r="C721" s="6" t="s">
        <v>4530</v>
      </c>
      <c r="D721" s="2401"/>
      <c r="E721" s="2402"/>
      <c r="F721" s="2223" t="s">
        <v>4531</v>
      </c>
      <c r="G721" s="2535"/>
      <c r="H721" s="1353"/>
      <c r="I721" s="1353"/>
      <c r="K721" s="1391">
        <v>743</v>
      </c>
      <c r="L721" s="1391" t="s">
        <v>4532</v>
      </c>
      <c r="AA721">
        <v>1668</v>
      </c>
      <c r="AB721">
        <v>0</v>
      </c>
      <c r="AC721">
        <v>1232</v>
      </c>
    </row>
    <row r="722" spans="2:29" ht="12.5">
      <c r="B722" s="5" t="s">
        <v>4533</v>
      </c>
      <c r="C722" s="6" t="s">
        <v>4534</v>
      </c>
      <c r="D722" s="2401"/>
      <c r="E722" s="2402"/>
      <c r="F722" s="2223" t="s">
        <v>4535</v>
      </c>
      <c r="G722" s="2535"/>
      <c r="H722" s="1353"/>
      <c r="I722" s="1353"/>
      <c r="K722" s="1391">
        <v>744</v>
      </c>
      <c r="L722" s="1391" t="s">
        <v>4536</v>
      </c>
      <c r="AA722">
        <v>1671</v>
      </c>
      <c r="AB722">
        <v>20322</v>
      </c>
      <c r="AC722">
        <v>41158</v>
      </c>
    </row>
    <row r="723" spans="2:29" ht="12.5">
      <c r="B723" s="5" t="s">
        <v>4537</v>
      </c>
      <c r="C723" s="6" t="s">
        <v>4538</v>
      </c>
      <c r="D723" s="1347">
        <v>12</v>
      </c>
      <c r="E723" s="1346">
        <v>37</v>
      </c>
      <c r="F723" s="1342" t="s">
        <v>2960</v>
      </c>
      <c r="G723" s="1408">
        <v>291</v>
      </c>
      <c r="H723" s="1353">
        <f>M278</f>
        <v>0</v>
      </c>
      <c r="I723" s="1353">
        <f>N278</f>
        <v>0</v>
      </c>
      <c r="K723" s="1391">
        <v>745</v>
      </c>
      <c r="L723" s="1391" t="s">
        <v>4539</v>
      </c>
      <c r="AA723">
        <v>1672</v>
      </c>
      <c r="AB723">
        <v>4398</v>
      </c>
      <c r="AC723">
        <v>8017</v>
      </c>
    </row>
    <row r="724" spans="2:29" ht="12.5">
      <c r="B724" s="5" t="s">
        <v>4540</v>
      </c>
      <c r="C724" s="6" t="s">
        <v>457</v>
      </c>
      <c r="D724" s="2401">
        <v>0</v>
      </c>
      <c r="E724" s="2402">
        <v>0</v>
      </c>
      <c r="F724" s="2223" t="s">
        <v>4541</v>
      </c>
      <c r="G724" s="2403">
        <v>100267</v>
      </c>
      <c r="H724" s="1353">
        <f>M2782</f>
        <v>0</v>
      </c>
      <c r="I724" s="1353">
        <f>N2782</f>
        <v>0</v>
      </c>
      <c r="K724" s="1391">
        <v>746</v>
      </c>
      <c r="L724" s="1391" t="s">
        <v>4542</v>
      </c>
      <c r="AA724">
        <v>1674</v>
      </c>
      <c r="AB724">
        <v>8439</v>
      </c>
      <c r="AC724">
        <v>15752</v>
      </c>
    </row>
    <row r="725" spans="2:29" ht="12.5">
      <c r="B725" s="5" t="s">
        <v>4543</v>
      </c>
      <c r="C725" s="6" t="s">
        <v>458</v>
      </c>
      <c r="D725" s="2401">
        <v>0</v>
      </c>
      <c r="E725" s="2402">
        <v>0</v>
      </c>
      <c r="F725" s="2223" t="s">
        <v>4544</v>
      </c>
      <c r="G725" s="2403">
        <v>100268</v>
      </c>
      <c r="H725" s="1353">
        <f t="shared" ref="H725:I725" si="86">M2783</f>
        <v>0</v>
      </c>
      <c r="I725" s="1353">
        <f t="shared" si="86"/>
        <v>0</v>
      </c>
      <c r="K725" s="1391">
        <v>747</v>
      </c>
      <c r="L725" s="1391" t="s">
        <v>4545</v>
      </c>
      <c r="AA725">
        <v>1675</v>
      </c>
      <c r="AB725">
        <v>16281</v>
      </c>
      <c r="AC725">
        <v>34655</v>
      </c>
    </row>
    <row r="726" spans="2:29" ht="12.5">
      <c r="B726" s="5" t="s">
        <v>4546</v>
      </c>
      <c r="C726" s="6" t="s">
        <v>459</v>
      </c>
      <c r="D726" s="2401">
        <v>0</v>
      </c>
      <c r="E726" s="2402">
        <v>0</v>
      </c>
      <c r="F726" s="2223" t="s">
        <v>4547</v>
      </c>
      <c r="G726" s="2403">
        <v>100269</v>
      </c>
      <c r="H726" s="1353">
        <f t="shared" ref="H726:I726" si="87">M2784</f>
        <v>0</v>
      </c>
      <c r="I726" s="1353">
        <f t="shared" si="87"/>
        <v>0</v>
      </c>
      <c r="K726" s="1391">
        <v>748</v>
      </c>
      <c r="L726" s="1391" t="s">
        <v>4548</v>
      </c>
      <c r="AA726">
        <v>1676</v>
      </c>
      <c r="AB726">
        <v>2440</v>
      </c>
      <c r="AC726">
        <v>1818</v>
      </c>
    </row>
    <row r="727" spans="2:29" ht="12.5">
      <c r="B727" s="5" t="s">
        <v>4549</v>
      </c>
      <c r="C727" s="6" t="s">
        <v>460</v>
      </c>
      <c r="D727" s="2401">
        <v>0</v>
      </c>
      <c r="E727" s="2402">
        <v>0</v>
      </c>
      <c r="F727" s="2223" t="s">
        <v>4550</v>
      </c>
      <c r="G727" s="2403">
        <v>100270</v>
      </c>
      <c r="H727" s="1353">
        <f t="shared" ref="H727:I727" si="88">M2785</f>
        <v>0</v>
      </c>
      <c r="I727" s="1353">
        <f t="shared" si="88"/>
        <v>0</v>
      </c>
      <c r="K727" s="1391">
        <v>749</v>
      </c>
      <c r="L727" s="1391" t="s">
        <v>4551</v>
      </c>
      <c r="AA727">
        <v>1680</v>
      </c>
      <c r="AB727">
        <v>3525</v>
      </c>
      <c r="AC727">
        <v>13131</v>
      </c>
    </row>
    <row r="728" spans="2:29" ht="12.5">
      <c r="B728" s="5" t="s">
        <v>4552</v>
      </c>
      <c r="C728" s="6" t="s">
        <v>461</v>
      </c>
      <c r="D728" s="2401">
        <v>0</v>
      </c>
      <c r="E728" s="2402">
        <v>0</v>
      </c>
      <c r="F728" s="2223" t="s">
        <v>4553</v>
      </c>
      <c r="G728" s="2403">
        <v>100271</v>
      </c>
      <c r="H728" s="1353">
        <f t="shared" ref="H728:I728" si="89">M2786</f>
        <v>0</v>
      </c>
      <c r="I728" s="1353">
        <f t="shared" si="89"/>
        <v>0</v>
      </c>
      <c r="K728" s="1391">
        <v>750</v>
      </c>
      <c r="L728" s="1391" t="s">
        <v>4554</v>
      </c>
      <c r="AA728">
        <v>1683</v>
      </c>
      <c r="AB728">
        <v>2758</v>
      </c>
      <c r="AC728">
        <v>5251</v>
      </c>
    </row>
    <row r="729" spans="2:29" ht="12.5">
      <c r="B729" s="5" t="s">
        <v>4555</v>
      </c>
      <c r="C729" s="6" t="s">
        <v>462</v>
      </c>
      <c r="D729" s="2401">
        <v>0</v>
      </c>
      <c r="E729" s="2402">
        <v>0</v>
      </c>
      <c r="F729" s="2223" t="s">
        <v>4556</v>
      </c>
      <c r="G729" s="2403">
        <v>100272</v>
      </c>
      <c r="H729" s="1353">
        <f t="shared" ref="H729:I729" si="90">M2787</f>
        <v>0</v>
      </c>
      <c r="I729" s="1353">
        <f t="shared" si="90"/>
        <v>0</v>
      </c>
      <c r="K729" s="1391">
        <v>751</v>
      </c>
      <c r="L729" s="1391" t="s">
        <v>4557</v>
      </c>
      <c r="AA729">
        <v>1684</v>
      </c>
      <c r="AB729">
        <v>3207</v>
      </c>
      <c r="AC729">
        <v>9698</v>
      </c>
    </row>
    <row r="730" spans="2:29" ht="12.5">
      <c r="B730" s="5" t="s">
        <v>4558</v>
      </c>
      <c r="C730" s="6" t="s">
        <v>463</v>
      </c>
      <c r="D730" s="2401">
        <v>0</v>
      </c>
      <c r="E730" s="2402">
        <v>0</v>
      </c>
      <c r="F730" s="2223" t="s">
        <v>4559</v>
      </c>
      <c r="G730" s="2403">
        <v>100273</v>
      </c>
      <c r="H730" s="1353">
        <f t="shared" ref="H730:I730" si="91">M2788</f>
        <v>0</v>
      </c>
      <c r="I730" s="1353">
        <f t="shared" si="91"/>
        <v>0</v>
      </c>
      <c r="K730" s="1391">
        <v>752</v>
      </c>
      <c r="L730" s="1391" t="s">
        <v>4560</v>
      </c>
      <c r="AA730">
        <v>1685</v>
      </c>
      <c r="AB730">
        <v>19488</v>
      </c>
      <c r="AC730">
        <v>44353</v>
      </c>
    </row>
    <row r="731" spans="2:29" ht="12.5">
      <c r="B731" s="5" t="s">
        <v>4561</v>
      </c>
      <c r="C731" s="6" t="s">
        <v>464</v>
      </c>
      <c r="D731" s="2401">
        <v>0</v>
      </c>
      <c r="E731" s="2402">
        <v>0</v>
      </c>
      <c r="F731" s="2223" t="s">
        <v>4562</v>
      </c>
      <c r="G731" s="2403">
        <v>100274</v>
      </c>
      <c r="H731" s="1353">
        <f t="shared" ref="H731:I731" si="92">M2789</f>
        <v>0</v>
      </c>
      <c r="I731" s="1353">
        <f t="shared" si="92"/>
        <v>0</v>
      </c>
      <c r="K731" s="1391">
        <v>753</v>
      </c>
      <c r="L731" s="1391" t="s">
        <v>4563</v>
      </c>
      <c r="AA731">
        <v>1761</v>
      </c>
      <c r="AB731">
        <v>1021862</v>
      </c>
      <c r="AC731">
        <v>1021862</v>
      </c>
    </row>
    <row r="732" spans="2:29" ht="12.5">
      <c r="B732" s="5" t="s">
        <v>4564</v>
      </c>
      <c r="C732" s="6" t="s">
        <v>4565</v>
      </c>
      <c r="D732" s="2401"/>
      <c r="E732" s="2402"/>
      <c r="F732" s="2223" t="s">
        <v>4566</v>
      </c>
      <c r="G732" s="2404"/>
      <c r="H732" s="1353"/>
      <c r="I732" s="1353"/>
      <c r="K732" s="1391">
        <v>754</v>
      </c>
      <c r="L732" s="1391" t="s">
        <v>4567</v>
      </c>
      <c r="AA732">
        <v>1762</v>
      </c>
      <c r="AB732">
        <v>-341062</v>
      </c>
      <c r="AC732">
        <v>-341062</v>
      </c>
    </row>
    <row r="733" spans="2:29" ht="12.5">
      <c r="B733" s="5" t="s">
        <v>4568</v>
      </c>
      <c r="C733" s="6" t="s">
        <v>466</v>
      </c>
      <c r="D733" s="2401">
        <v>0</v>
      </c>
      <c r="E733" s="2402">
        <v>0</v>
      </c>
      <c r="F733" s="2223" t="s">
        <v>4569</v>
      </c>
      <c r="G733" s="2403">
        <v>100295</v>
      </c>
      <c r="H733" s="1353">
        <f>M2810</f>
        <v>0</v>
      </c>
      <c r="I733" s="1353">
        <f>N2810</f>
        <v>0</v>
      </c>
      <c r="K733" s="1391">
        <v>755</v>
      </c>
      <c r="L733" s="1391" t="s">
        <v>4570</v>
      </c>
      <c r="AA733">
        <v>7456</v>
      </c>
      <c r="AB733">
        <v>172</v>
      </c>
      <c r="AC733">
        <v>496</v>
      </c>
    </row>
    <row r="734" spans="2:29" ht="12.5">
      <c r="B734" s="5" t="s">
        <v>4571</v>
      </c>
      <c r="C734" s="6" t="s">
        <v>467</v>
      </c>
      <c r="D734" s="2401">
        <v>0</v>
      </c>
      <c r="E734" s="2402">
        <v>0</v>
      </c>
      <c r="F734" s="2223" t="s">
        <v>4572</v>
      </c>
      <c r="G734" s="2403">
        <v>100296</v>
      </c>
      <c r="H734" s="1353">
        <f t="shared" ref="H734:I734" si="93">M2811</f>
        <v>0</v>
      </c>
      <c r="I734" s="1353">
        <f t="shared" si="93"/>
        <v>0</v>
      </c>
      <c r="K734" s="1391">
        <v>756</v>
      </c>
      <c r="L734" s="1391" t="s">
        <v>4573</v>
      </c>
      <c r="AA734">
        <v>7459</v>
      </c>
      <c r="AB734">
        <v>301</v>
      </c>
      <c r="AC734">
        <v>785</v>
      </c>
    </row>
    <row r="735" spans="2:29" ht="12.5">
      <c r="B735" s="5" t="s">
        <v>4574</v>
      </c>
      <c r="C735" s="6" t="s">
        <v>468</v>
      </c>
      <c r="D735" s="2401">
        <v>0</v>
      </c>
      <c r="E735" s="2402">
        <v>0</v>
      </c>
      <c r="F735" s="2223" t="s">
        <v>4575</v>
      </c>
      <c r="G735" s="2403">
        <v>100297</v>
      </c>
      <c r="H735" s="1353">
        <f t="shared" ref="H735:I735" si="94">M2812</f>
        <v>0</v>
      </c>
      <c r="I735" s="1353">
        <f t="shared" si="94"/>
        <v>0</v>
      </c>
      <c r="K735" s="1391">
        <v>757</v>
      </c>
      <c r="L735" s="1391" t="s">
        <v>4576</v>
      </c>
      <c r="AA735">
        <v>7910</v>
      </c>
      <c r="AB735">
        <v>0</v>
      </c>
      <c r="AC735">
        <v>24</v>
      </c>
    </row>
    <row r="736" spans="2:29" ht="12.5">
      <c r="B736" s="5" t="s">
        <v>4577</v>
      </c>
      <c r="C736" s="6" t="s">
        <v>469</v>
      </c>
      <c r="D736" s="2401">
        <v>0</v>
      </c>
      <c r="E736" s="2402">
        <v>0</v>
      </c>
      <c r="F736" s="2223" t="s">
        <v>4578</v>
      </c>
      <c r="G736" s="2403">
        <v>100275</v>
      </c>
      <c r="H736" s="1353">
        <f>M2790</f>
        <v>0</v>
      </c>
      <c r="I736" s="1353">
        <f>N2790</f>
        <v>0</v>
      </c>
      <c r="K736" s="1391">
        <v>758</v>
      </c>
      <c r="L736" s="1391" t="s">
        <v>4579</v>
      </c>
      <c r="AA736">
        <v>7912</v>
      </c>
      <c r="AB736">
        <v>7</v>
      </c>
      <c r="AC736">
        <v>7</v>
      </c>
    </row>
    <row r="737" spans="2:29" ht="12.5">
      <c r="B737" s="5" t="s">
        <v>4580</v>
      </c>
      <c r="C737" s="6" t="s">
        <v>470</v>
      </c>
      <c r="D737" s="2401">
        <v>0</v>
      </c>
      <c r="E737" s="2402">
        <v>0</v>
      </c>
      <c r="F737" s="2223" t="s">
        <v>4581</v>
      </c>
      <c r="G737" s="2403">
        <v>100276</v>
      </c>
      <c r="H737" s="1353">
        <f t="shared" ref="H737:I737" si="95">M2791</f>
        <v>0</v>
      </c>
      <c r="I737" s="1353">
        <f t="shared" si="95"/>
        <v>0</v>
      </c>
      <c r="K737" s="1391">
        <v>759</v>
      </c>
      <c r="L737" s="1391" t="s">
        <v>4582</v>
      </c>
      <c r="AA737">
        <v>7914</v>
      </c>
      <c r="AB737">
        <v>190</v>
      </c>
      <c r="AC737">
        <v>190</v>
      </c>
    </row>
    <row r="738" spans="2:29" ht="12.5">
      <c r="B738" s="5" t="s">
        <v>4583</v>
      </c>
      <c r="C738" s="6" t="s">
        <v>471</v>
      </c>
      <c r="D738" s="2401">
        <v>0</v>
      </c>
      <c r="E738" s="2402">
        <v>0</v>
      </c>
      <c r="F738" s="2223" t="s">
        <v>4584</v>
      </c>
      <c r="G738" s="2403">
        <v>100277</v>
      </c>
      <c r="H738" s="1353">
        <f t="shared" ref="H738:I738" si="96">M2792</f>
        <v>0</v>
      </c>
      <c r="I738" s="1353">
        <f t="shared" si="96"/>
        <v>0</v>
      </c>
      <c r="K738" s="1391">
        <v>760</v>
      </c>
      <c r="L738" s="1391" t="s">
        <v>4585</v>
      </c>
      <c r="AA738">
        <v>7930</v>
      </c>
      <c r="AB738">
        <v>42</v>
      </c>
      <c r="AC738">
        <v>42</v>
      </c>
    </row>
    <row r="739" spans="2:29" ht="12.5">
      <c r="B739" s="5" t="s">
        <v>4586</v>
      </c>
      <c r="C739" s="6" t="s">
        <v>472</v>
      </c>
      <c r="D739" s="2401">
        <v>0</v>
      </c>
      <c r="E739" s="2402">
        <v>0</v>
      </c>
      <c r="F739" s="2223" t="s">
        <v>4587</v>
      </c>
      <c r="G739" s="2403">
        <v>100278</v>
      </c>
      <c r="H739" s="1353">
        <f t="shared" ref="H739:I739" si="97">M2793</f>
        <v>0</v>
      </c>
      <c r="I739" s="1353">
        <f t="shared" si="97"/>
        <v>0</v>
      </c>
      <c r="K739" s="1391">
        <v>761</v>
      </c>
      <c r="L739" s="1391" t="s">
        <v>4588</v>
      </c>
      <c r="AA739">
        <v>7936</v>
      </c>
      <c r="AB739">
        <v>10</v>
      </c>
      <c r="AC739">
        <v>10</v>
      </c>
    </row>
    <row r="740" spans="2:29" ht="12.5">
      <c r="B740" s="5" t="s">
        <v>4589</v>
      </c>
      <c r="C740" s="6" t="s">
        <v>473</v>
      </c>
      <c r="D740" s="2401">
        <v>0</v>
      </c>
      <c r="E740" s="2402">
        <v>0</v>
      </c>
      <c r="F740" s="2223" t="s">
        <v>4590</v>
      </c>
      <c r="G740" s="2403">
        <v>100279</v>
      </c>
      <c r="H740" s="1353">
        <f t="shared" ref="H740:I740" si="98">M2794</f>
        <v>0</v>
      </c>
      <c r="I740" s="1353">
        <f t="shared" si="98"/>
        <v>0</v>
      </c>
      <c r="K740" s="1391">
        <v>762</v>
      </c>
      <c r="L740" s="1391" t="s">
        <v>4591</v>
      </c>
      <c r="AA740">
        <v>7956</v>
      </c>
      <c r="AB740">
        <v>113</v>
      </c>
      <c r="AC740">
        <v>113</v>
      </c>
    </row>
    <row r="741" spans="2:29" ht="12.5">
      <c r="B741" s="5" t="s">
        <v>4592</v>
      </c>
      <c r="C741" s="6" t="s">
        <v>474</v>
      </c>
      <c r="D741" s="2401">
        <v>0</v>
      </c>
      <c r="E741" s="2402">
        <v>0</v>
      </c>
      <c r="F741" s="2223" t="s">
        <v>4593</v>
      </c>
      <c r="G741" s="2403">
        <v>100280</v>
      </c>
      <c r="H741" s="1353">
        <f t="shared" ref="H741:I741" si="99">M2795</f>
        <v>0</v>
      </c>
      <c r="I741" s="1353">
        <f t="shared" si="99"/>
        <v>0</v>
      </c>
      <c r="K741" s="1391">
        <v>763</v>
      </c>
      <c r="L741" s="1391" t="s">
        <v>4594</v>
      </c>
      <c r="AA741">
        <v>8446</v>
      </c>
      <c r="AB741">
        <v>998</v>
      </c>
      <c r="AC741">
        <v>998</v>
      </c>
    </row>
    <row r="742" spans="2:29" ht="12.5">
      <c r="B742" s="5" t="s">
        <v>4595</v>
      </c>
      <c r="C742" s="6" t="s">
        <v>475</v>
      </c>
      <c r="D742" s="2401">
        <v>619285</v>
      </c>
      <c r="E742" s="2402">
        <v>2326463</v>
      </c>
      <c r="F742" s="2223" t="s">
        <v>4596</v>
      </c>
      <c r="G742" s="2403">
        <v>100281</v>
      </c>
      <c r="H742" s="1353">
        <f t="shared" ref="H742:I742" si="100">M2796</f>
        <v>0</v>
      </c>
      <c r="I742" s="1353">
        <f t="shared" si="100"/>
        <v>0</v>
      </c>
      <c r="K742" s="1391">
        <v>764</v>
      </c>
      <c r="L742" s="1391" t="s">
        <v>4597</v>
      </c>
      <c r="AA742">
        <v>9649</v>
      </c>
      <c r="AB742">
        <v>0</v>
      </c>
      <c r="AC742">
        <v>10</v>
      </c>
    </row>
    <row r="743" spans="2:29" ht="12.5">
      <c r="B743" s="5" t="s">
        <v>4598</v>
      </c>
      <c r="C743" s="6" t="s">
        <v>476</v>
      </c>
      <c r="D743" s="2401">
        <v>0</v>
      </c>
      <c r="E743" s="2402">
        <v>0</v>
      </c>
      <c r="F743" s="2223" t="s">
        <v>4599</v>
      </c>
      <c r="G743" s="2403">
        <v>100282</v>
      </c>
      <c r="H743" s="1353">
        <f t="shared" ref="H743:I743" si="101">M2797</f>
        <v>0</v>
      </c>
      <c r="I743" s="1353">
        <f t="shared" si="101"/>
        <v>0</v>
      </c>
      <c r="K743" s="1391">
        <v>765</v>
      </c>
      <c r="L743" s="1391" t="s">
        <v>4600</v>
      </c>
      <c r="AA743">
        <v>9653</v>
      </c>
      <c r="AB743">
        <v>0</v>
      </c>
      <c r="AC743">
        <v>2</v>
      </c>
    </row>
    <row r="744" spans="2:29" ht="12.5">
      <c r="B744" s="5" t="s">
        <v>4601</v>
      </c>
      <c r="C744" s="6" t="s">
        <v>477</v>
      </c>
      <c r="D744" s="2401">
        <v>0</v>
      </c>
      <c r="E744" s="2402">
        <v>0</v>
      </c>
      <c r="F744" s="2223" t="s">
        <v>4602</v>
      </c>
      <c r="G744" s="2403">
        <v>100283</v>
      </c>
      <c r="H744" s="1353">
        <f t="shared" ref="H744:I744" si="102">M2798</f>
        <v>0</v>
      </c>
      <c r="I744" s="1353">
        <f t="shared" si="102"/>
        <v>0</v>
      </c>
      <c r="K744" s="1391">
        <v>766</v>
      </c>
      <c r="L744" s="1391" t="s">
        <v>4603</v>
      </c>
      <c r="AA744">
        <v>9654</v>
      </c>
      <c r="AB744">
        <v>0</v>
      </c>
      <c r="AC744">
        <v>16</v>
      </c>
    </row>
    <row r="745" spans="2:29" ht="12.5">
      <c r="B745" s="5" t="s">
        <v>4604</v>
      </c>
      <c r="C745" s="6" t="s">
        <v>478</v>
      </c>
      <c r="D745" s="2401">
        <v>0</v>
      </c>
      <c r="E745" s="2402">
        <v>0</v>
      </c>
      <c r="F745" s="2223" t="s">
        <v>4605</v>
      </c>
      <c r="G745" s="2403">
        <v>100284</v>
      </c>
      <c r="H745" s="1353">
        <f t="shared" ref="H745:I745" si="103">M2799</f>
        <v>0</v>
      </c>
      <c r="I745" s="1353">
        <f t="shared" si="103"/>
        <v>0</v>
      </c>
      <c r="K745" s="1391">
        <v>767</v>
      </c>
      <c r="L745" s="1391" t="s">
        <v>4606</v>
      </c>
      <c r="AA745">
        <v>9656</v>
      </c>
      <c r="AB745">
        <v>0</v>
      </c>
      <c r="AC745">
        <v>18623</v>
      </c>
    </row>
    <row r="746" spans="2:29" ht="12.5">
      <c r="B746" s="5" t="s">
        <v>4607</v>
      </c>
      <c r="C746" s="6" t="s">
        <v>479</v>
      </c>
      <c r="D746" s="2401">
        <v>0</v>
      </c>
      <c r="E746" s="2402">
        <v>0</v>
      </c>
      <c r="F746" s="2223" t="s">
        <v>4608</v>
      </c>
      <c r="G746" s="2403">
        <v>100285</v>
      </c>
      <c r="H746" s="1353">
        <f t="shared" ref="H746:I746" si="104">M2800</f>
        <v>0</v>
      </c>
      <c r="I746" s="1353">
        <f t="shared" si="104"/>
        <v>0</v>
      </c>
      <c r="K746" s="1391">
        <v>768</v>
      </c>
      <c r="L746" s="1391" t="s">
        <v>4609</v>
      </c>
      <c r="AA746">
        <v>9658</v>
      </c>
      <c r="AB746">
        <v>0</v>
      </c>
      <c r="AC746">
        <v>37987</v>
      </c>
    </row>
    <row r="747" spans="2:29" ht="12.5">
      <c r="B747" s="5" t="s">
        <v>4610</v>
      </c>
      <c r="C747" s="6" t="s">
        <v>480</v>
      </c>
      <c r="D747" s="2401">
        <v>0</v>
      </c>
      <c r="E747" s="2402">
        <v>0</v>
      </c>
      <c r="F747" s="2223" t="s">
        <v>4611</v>
      </c>
      <c r="G747" s="2403">
        <v>100286</v>
      </c>
      <c r="H747" s="1353">
        <f t="shared" ref="H747:I747" si="105">M2801</f>
        <v>0</v>
      </c>
      <c r="I747" s="1353">
        <f t="shared" si="105"/>
        <v>0</v>
      </c>
      <c r="K747" s="1391">
        <v>769</v>
      </c>
      <c r="L747" s="1391" t="s">
        <v>4612</v>
      </c>
      <c r="AA747">
        <v>9659</v>
      </c>
      <c r="AB747">
        <v>0</v>
      </c>
      <c r="AC747">
        <v>2</v>
      </c>
    </row>
    <row r="748" spans="2:29" ht="12.5">
      <c r="B748" s="5" t="s">
        <v>4613</v>
      </c>
      <c r="C748" s="6" t="s">
        <v>481</v>
      </c>
      <c r="D748" s="2401">
        <v>0</v>
      </c>
      <c r="E748" s="2402">
        <v>0</v>
      </c>
      <c r="F748" s="2223" t="s">
        <v>4614</v>
      </c>
      <c r="G748" s="2403">
        <v>100287</v>
      </c>
      <c r="H748" s="1353">
        <f t="shared" ref="H748:I748" si="106">M2802</f>
        <v>0</v>
      </c>
      <c r="I748" s="1353">
        <f t="shared" si="106"/>
        <v>0</v>
      </c>
      <c r="K748" s="1391">
        <v>770</v>
      </c>
      <c r="L748" s="1391" t="s">
        <v>4615</v>
      </c>
      <c r="AA748">
        <v>9660</v>
      </c>
      <c r="AB748">
        <v>0</v>
      </c>
      <c r="AC748">
        <v>2</v>
      </c>
    </row>
    <row r="749" spans="2:29" ht="12.5">
      <c r="B749" s="5" t="s">
        <v>4616</v>
      </c>
      <c r="C749" s="6" t="s">
        <v>482</v>
      </c>
      <c r="D749" s="2401">
        <v>0</v>
      </c>
      <c r="E749" s="2402">
        <v>0</v>
      </c>
      <c r="F749" s="2223" t="s">
        <v>4617</v>
      </c>
      <c r="G749" s="2403">
        <v>100288</v>
      </c>
      <c r="H749" s="1353">
        <f t="shared" ref="H749:I749" si="107">M2803</f>
        <v>0</v>
      </c>
      <c r="I749" s="1353">
        <f t="shared" si="107"/>
        <v>0</v>
      </c>
      <c r="K749" s="1391">
        <v>771</v>
      </c>
      <c r="L749" s="1391" t="s">
        <v>4618</v>
      </c>
      <c r="AA749">
        <v>9661</v>
      </c>
      <c r="AB749">
        <v>0</v>
      </c>
      <c r="AC749">
        <v>10</v>
      </c>
    </row>
    <row r="750" spans="2:29" ht="12.5">
      <c r="B750" s="5" t="s">
        <v>4619</v>
      </c>
      <c r="C750" s="6" t="s">
        <v>483</v>
      </c>
      <c r="D750" s="2401">
        <v>0</v>
      </c>
      <c r="E750" s="2402">
        <v>0</v>
      </c>
      <c r="F750" s="2223" t="s">
        <v>4620</v>
      </c>
      <c r="G750" s="2403">
        <v>100289</v>
      </c>
      <c r="H750" s="1353">
        <f t="shared" ref="H750:I750" si="108">M2804</f>
        <v>0</v>
      </c>
      <c r="I750" s="1353">
        <f t="shared" si="108"/>
        <v>0</v>
      </c>
      <c r="K750" s="1391">
        <v>772</v>
      </c>
      <c r="L750" s="1391" t="s">
        <v>4621</v>
      </c>
      <c r="AA750">
        <v>9663</v>
      </c>
      <c r="AB750">
        <v>0</v>
      </c>
      <c r="AC750">
        <v>10586</v>
      </c>
    </row>
    <row r="751" spans="2:29" ht="12.5">
      <c r="B751" s="5" t="s">
        <v>4622</v>
      </c>
      <c r="C751" s="6" t="s">
        <v>484</v>
      </c>
      <c r="D751" s="2401">
        <v>0</v>
      </c>
      <c r="E751" s="2402">
        <v>0</v>
      </c>
      <c r="F751" s="2223" t="s">
        <v>4623</v>
      </c>
      <c r="G751" s="2403">
        <v>100290</v>
      </c>
      <c r="H751" s="1353">
        <f t="shared" ref="H751:I751" si="109">M2805</f>
        <v>0</v>
      </c>
      <c r="I751" s="1353">
        <f t="shared" si="109"/>
        <v>0</v>
      </c>
      <c r="K751" s="1391">
        <v>773</v>
      </c>
      <c r="L751" s="1391" t="s">
        <v>4624</v>
      </c>
      <c r="AA751">
        <v>13150</v>
      </c>
      <c r="AB751">
        <v>1</v>
      </c>
      <c r="AC751">
        <v>3</v>
      </c>
    </row>
    <row r="752" spans="2:29" ht="12.5">
      <c r="B752" s="5" t="s">
        <v>4625</v>
      </c>
      <c r="C752" s="6" t="s">
        <v>485</v>
      </c>
      <c r="D752" s="2401">
        <v>0</v>
      </c>
      <c r="E752" s="2402">
        <v>0</v>
      </c>
      <c r="F752" s="2223" t="s">
        <v>4626</v>
      </c>
      <c r="G752" s="2403">
        <v>100291</v>
      </c>
      <c r="H752" s="1353">
        <f t="shared" ref="H752:I752" si="110">M2806</f>
        <v>0</v>
      </c>
      <c r="I752" s="1353">
        <f t="shared" si="110"/>
        <v>0</v>
      </c>
      <c r="K752" s="1391">
        <v>774</v>
      </c>
      <c r="L752" s="1391" t="s">
        <v>4627</v>
      </c>
      <c r="AA752">
        <v>13273</v>
      </c>
      <c r="AB752">
        <v>1</v>
      </c>
      <c r="AC752">
        <v>3</v>
      </c>
    </row>
    <row r="753" spans="2:29" ht="12.5">
      <c r="B753" s="5" t="s">
        <v>4628</v>
      </c>
      <c r="C753" s="6" t="s">
        <v>486</v>
      </c>
      <c r="D753" s="2401">
        <v>0</v>
      </c>
      <c r="E753" s="2402">
        <v>0</v>
      </c>
      <c r="F753" s="2223" t="s">
        <v>4629</v>
      </c>
      <c r="G753" s="2403">
        <v>100292</v>
      </c>
      <c r="H753" s="1353">
        <f t="shared" ref="H753:I753" si="111">M2807</f>
        <v>0</v>
      </c>
      <c r="I753" s="1353">
        <f t="shared" si="111"/>
        <v>0</v>
      </c>
      <c r="K753" s="1391">
        <v>775</v>
      </c>
      <c r="L753" s="1391" t="s">
        <v>4630</v>
      </c>
      <c r="AA753">
        <v>13274</v>
      </c>
      <c r="AB753">
        <v>93420</v>
      </c>
      <c r="AC753">
        <v>227421</v>
      </c>
    </row>
    <row r="754" spans="2:29" ht="12.5">
      <c r="B754" s="5" t="s">
        <v>4631</v>
      </c>
      <c r="C754" s="6" t="s">
        <v>487</v>
      </c>
      <c r="D754" s="2401">
        <v>0</v>
      </c>
      <c r="E754" s="2402">
        <v>0</v>
      </c>
      <c r="F754" s="2223" t="s">
        <v>4632</v>
      </c>
      <c r="G754" s="2403">
        <v>100293</v>
      </c>
      <c r="H754" s="1353">
        <f t="shared" ref="H754:I754" si="112">M2808</f>
        <v>0</v>
      </c>
      <c r="I754" s="1353">
        <f t="shared" si="112"/>
        <v>0</v>
      </c>
      <c r="K754" s="1391">
        <v>776</v>
      </c>
      <c r="L754" s="1391" t="s">
        <v>4633</v>
      </c>
      <c r="AA754">
        <v>100201</v>
      </c>
      <c r="AB754">
        <v>6</v>
      </c>
      <c r="AC754">
        <v>18</v>
      </c>
    </row>
    <row r="755" spans="2:29" ht="12.5">
      <c r="B755" s="5" t="s">
        <v>4634</v>
      </c>
      <c r="C755" s="6" t="s">
        <v>488</v>
      </c>
      <c r="D755" s="2401">
        <v>0</v>
      </c>
      <c r="E755" s="2402">
        <v>0</v>
      </c>
      <c r="F755" s="2223" t="s">
        <v>4635</v>
      </c>
      <c r="G755" s="2403">
        <v>100294</v>
      </c>
      <c r="H755" s="1353">
        <f t="shared" ref="H755:I755" si="113">M2809</f>
        <v>0</v>
      </c>
      <c r="I755" s="1353">
        <f t="shared" si="113"/>
        <v>0</v>
      </c>
      <c r="K755" s="1391">
        <v>777</v>
      </c>
      <c r="L755" s="1391" t="s">
        <v>4636</v>
      </c>
      <c r="AA755">
        <v>100202</v>
      </c>
      <c r="AB755">
        <v>493958</v>
      </c>
      <c r="AC755">
        <v>1621643</v>
      </c>
    </row>
    <row r="756" spans="2:29" ht="12.5">
      <c r="B756" s="5" t="s">
        <v>4637</v>
      </c>
      <c r="C756" s="6" t="s">
        <v>4638</v>
      </c>
      <c r="D756" s="2401"/>
      <c r="E756" s="2402"/>
      <c r="F756" s="2223" t="s">
        <v>4639</v>
      </c>
      <c r="G756" s="2404"/>
      <c r="H756" s="1353"/>
      <c r="I756" s="1353"/>
      <c r="K756" s="1391">
        <v>778</v>
      </c>
      <c r="L756" s="1391" t="s">
        <v>4640</v>
      </c>
      <c r="AA756">
        <v>100204</v>
      </c>
      <c r="AB756">
        <v>20456</v>
      </c>
      <c r="AC756">
        <v>72480</v>
      </c>
    </row>
    <row r="757" spans="2:29" ht="12.5">
      <c r="B757" s="5" t="s">
        <v>4641</v>
      </c>
      <c r="C757" s="6" t="s">
        <v>4642</v>
      </c>
      <c r="D757" s="2401"/>
      <c r="E757" s="2402"/>
      <c r="F757" s="2223" t="s">
        <v>4643</v>
      </c>
      <c r="G757" s="2404"/>
      <c r="H757" s="1353"/>
      <c r="I757" s="1353"/>
      <c r="K757" s="1391">
        <v>779</v>
      </c>
      <c r="L757" s="1391" t="s">
        <v>4644</v>
      </c>
      <c r="AA757">
        <v>100281</v>
      </c>
      <c r="AB757">
        <v>835717</v>
      </c>
      <c r="AC757">
        <v>1707178</v>
      </c>
    </row>
    <row r="758" spans="2:29" ht="12.5">
      <c r="B758" s="5" t="s">
        <v>4645</v>
      </c>
      <c r="C758" s="6" t="s">
        <v>4646</v>
      </c>
      <c r="D758" s="2401">
        <v>0</v>
      </c>
      <c r="E758" s="2402">
        <v>0</v>
      </c>
      <c r="F758" s="2223" t="s">
        <v>4647</v>
      </c>
      <c r="G758" s="2405" t="s">
        <v>2504</v>
      </c>
      <c r="H758" s="1353">
        <f>M2782-M2844</f>
        <v>0</v>
      </c>
      <c r="I758" s="1353">
        <f>N2782-N2844</f>
        <v>0</v>
      </c>
      <c r="K758" s="1391">
        <v>780</v>
      </c>
      <c r="L758" s="1391" t="s">
        <v>4648</v>
      </c>
      <c r="AA758">
        <v>100312</v>
      </c>
      <c r="AB758">
        <v>9</v>
      </c>
      <c r="AC758">
        <v>24</v>
      </c>
    </row>
    <row r="759" spans="2:29" ht="12.5">
      <c r="B759" s="5" t="s">
        <v>4649</v>
      </c>
      <c r="C759" s="6" t="s">
        <v>4650</v>
      </c>
      <c r="D759" s="2401">
        <v>0</v>
      </c>
      <c r="E759" s="2402">
        <v>0</v>
      </c>
      <c r="F759" s="2223" t="s">
        <v>4651</v>
      </c>
      <c r="G759" s="2405" t="s">
        <v>2504</v>
      </c>
      <c r="H759" s="1353">
        <f t="shared" ref="H759:I765" si="114">M2783-M2845</f>
        <v>0</v>
      </c>
      <c r="I759" s="1353">
        <f t="shared" si="114"/>
        <v>0</v>
      </c>
      <c r="K759" s="1391">
        <v>781</v>
      </c>
      <c r="L759" s="1391" t="s">
        <v>4652</v>
      </c>
      <c r="AA759">
        <v>100343</v>
      </c>
      <c r="AB759">
        <v>4400</v>
      </c>
      <c r="AC759">
        <v>8005</v>
      </c>
    </row>
    <row r="760" spans="2:29" ht="12.5">
      <c r="B760" s="5" t="s">
        <v>4653</v>
      </c>
      <c r="C760" s="6" t="s">
        <v>4654</v>
      </c>
      <c r="D760" s="2401">
        <v>0</v>
      </c>
      <c r="E760" s="2402">
        <v>0</v>
      </c>
      <c r="F760" s="2223" t="s">
        <v>4655</v>
      </c>
      <c r="G760" s="2405" t="s">
        <v>2504</v>
      </c>
      <c r="H760" s="1353">
        <f t="shared" si="114"/>
        <v>0</v>
      </c>
      <c r="I760" s="1353">
        <f t="shared" si="114"/>
        <v>0</v>
      </c>
      <c r="K760" s="1391">
        <v>782</v>
      </c>
      <c r="L760" s="1391" t="s">
        <v>4656</v>
      </c>
      <c r="AA760">
        <v>100515</v>
      </c>
      <c r="AB760">
        <v>45848</v>
      </c>
      <c r="AC760">
        <v>45848</v>
      </c>
    </row>
    <row r="761" spans="2:29" ht="12.5">
      <c r="B761" s="5" t="s">
        <v>4657</v>
      </c>
      <c r="C761" s="6" t="s">
        <v>4658</v>
      </c>
      <c r="D761" s="2401">
        <v>0</v>
      </c>
      <c r="E761" s="2402">
        <v>0</v>
      </c>
      <c r="F761" s="2223" t="s">
        <v>4659</v>
      </c>
      <c r="G761" s="2405" t="s">
        <v>2504</v>
      </c>
      <c r="H761" s="1353">
        <f t="shared" si="114"/>
        <v>0</v>
      </c>
      <c r="I761" s="1353">
        <f t="shared" si="114"/>
        <v>0</v>
      </c>
      <c r="K761" s="1391">
        <v>783</v>
      </c>
      <c r="L761" s="1391" t="s">
        <v>4660</v>
      </c>
      <c r="AA761">
        <v>100516</v>
      </c>
      <c r="AB761">
        <v>-712</v>
      </c>
      <c r="AC761">
        <v>-712</v>
      </c>
    </row>
    <row r="762" spans="2:29" ht="12.5">
      <c r="B762" s="5" t="s">
        <v>4661</v>
      </c>
      <c r="C762" s="6" t="s">
        <v>4662</v>
      </c>
      <c r="D762" s="2401">
        <v>0</v>
      </c>
      <c r="E762" s="2402">
        <v>0</v>
      </c>
      <c r="F762" s="2223" t="s">
        <v>4663</v>
      </c>
      <c r="G762" s="2405" t="s">
        <v>2504</v>
      </c>
      <c r="H762" s="1353">
        <f t="shared" si="114"/>
        <v>0</v>
      </c>
      <c r="I762" s="1353">
        <f t="shared" si="114"/>
        <v>0</v>
      </c>
      <c r="K762" s="1391">
        <v>784</v>
      </c>
      <c r="L762" s="1391" t="s">
        <v>4664</v>
      </c>
      <c r="AA762">
        <v>100517</v>
      </c>
      <c r="AB762">
        <v>1</v>
      </c>
      <c r="AC762">
        <v>1</v>
      </c>
    </row>
    <row r="763" spans="2:29" ht="12.5">
      <c r="B763" s="5" t="s">
        <v>4665</v>
      </c>
      <c r="C763" s="6" t="s">
        <v>4666</v>
      </c>
      <c r="D763" s="2401">
        <v>0</v>
      </c>
      <c r="E763" s="2402">
        <v>0</v>
      </c>
      <c r="F763" s="2223" t="s">
        <v>4667</v>
      </c>
      <c r="G763" s="2405" t="s">
        <v>2504</v>
      </c>
      <c r="H763" s="1353">
        <f t="shared" si="114"/>
        <v>0</v>
      </c>
      <c r="I763" s="1353">
        <f t="shared" si="114"/>
        <v>0</v>
      </c>
      <c r="K763" s="1391">
        <v>785</v>
      </c>
      <c r="L763" s="1391" t="s">
        <v>4668</v>
      </c>
      <c r="AA763">
        <v>100522</v>
      </c>
      <c r="AB763">
        <v>835717</v>
      </c>
      <c r="AC763">
        <v>1707178</v>
      </c>
    </row>
    <row r="764" spans="2:29" ht="12.5">
      <c r="B764" s="5" t="s">
        <v>4669</v>
      </c>
      <c r="C764" s="6" t="s">
        <v>4670</v>
      </c>
      <c r="D764" s="2401">
        <v>0</v>
      </c>
      <c r="E764" s="2402">
        <v>0</v>
      </c>
      <c r="F764" s="2223" t="s">
        <v>4671</v>
      </c>
      <c r="G764" s="2405" t="s">
        <v>2504</v>
      </c>
      <c r="H764" s="1353">
        <f t="shared" si="114"/>
        <v>0</v>
      </c>
      <c r="I764" s="1353">
        <f t="shared" si="114"/>
        <v>0</v>
      </c>
      <c r="K764" s="1391">
        <v>786</v>
      </c>
      <c r="L764" s="1391" t="s">
        <v>4672</v>
      </c>
      <c r="AA764">
        <v>100523</v>
      </c>
      <c r="AB764">
        <v>4400</v>
      </c>
      <c r="AC764">
        <v>8005</v>
      </c>
    </row>
    <row r="765" spans="2:29" ht="12.5">
      <c r="B765" s="5" t="s">
        <v>4673</v>
      </c>
      <c r="C765" s="6" t="s">
        <v>4674</v>
      </c>
      <c r="D765" s="2401">
        <v>0</v>
      </c>
      <c r="E765" s="2402">
        <v>0</v>
      </c>
      <c r="F765" s="2223" t="s">
        <v>4675</v>
      </c>
      <c r="G765" s="2405" t="s">
        <v>2504</v>
      </c>
      <c r="H765" s="1353">
        <f t="shared" si="114"/>
        <v>0</v>
      </c>
      <c r="I765" s="1353">
        <f t="shared" si="114"/>
        <v>0</v>
      </c>
      <c r="K765" s="1391">
        <v>787</v>
      </c>
      <c r="L765" s="1391" t="s">
        <v>4676</v>
      </c>
      <c r="AA765">
        <v>100524</v>
      </c>
      <c r="AB765">
        <v>9</v>
      </c>
      <c r="AC765">
        <v>24</v>
      </c>
    </row>
    <row r="766" spans="2:29" ht="12.5">
      <c r="B766" s="5" t="s">
        <v>4677</v>
      </c>
      <c r="C766" s="6" t="s">
        <v>4678</v>
      </c>
      <c r="D766" s="2401"/>
      <c r="E766" s="2402"/>
      <c r="F766" s="2223" t="s">
        <v>4679</v>
      </c>
      <c r="G766" s="2404"/>
      <c r="H766" s="1353"/>
      <c r="I766" s="1353"/>
      <c r="K766" s="1391">
        <v>788</v>
      </c>
      <c r="L766" s="1391" t="s">
        <v>4680</v>
      </c>
      <c r="AA766">
        <v>100534</v>
      </c>
      <c r="AB766">
        <v>835717</v>
      </c>
      <c r="AC766">
        <v>1707178</v>
      </c>
    </row>
    <row r="767" spans="2:29" ht="12.5">
      <c r="B767" s="5" t="s">
        <v>4681</v>
      </c>
      <c r="C767" s="6" t="s">
        <v>4682</v>
      </c>
      <c r="D767" s="2401">
        <v>0</v>
      </c>
      <c r="E767" s="2402">
        <v>0</v>
      </c>
      <c r="F767" s="2223" t="s">
        <v>4683</v>
      </c>
      <c r="G767" s="2405" t="s">
        <v>2504</v>
      </c>
      <c r="H767" s="1353">
        <f>M2810-M2872</f>
        <v>0</v>
      </c>
      <c r="I767" s="1353">
        <f>N2810-N2872</f>
        <v>0</v>
      </c>
      <c r="K767" s="1391">
        <v>789</v>
      </c>
      <c r="L767" s="1391" t="s">
        <v>4684</v>
      </c>
      <c r="AA767">
        <v>100535</v>
      </c>
      <c r="AB767">
        <v>4400</v>
      </c>
      <c r="AC767">
        <v>8005</v>
      </c>
    </row>
    <row r="768" spans="2:29" ht="12.5">
      <c r="B768" s="5" t="s">
        <v>4685</v>
      </c>
      <c r="C768" s="6" t="s">
        <v>4686</v>
      </c>
      <c r="D768" s="2401">
        <v>0</v>
      </c>
      <c r="E768" s="2402">
        <v>0</v>
      </c>
      <c r="F768" s="2223" t="s">
        <v>4687</v>
      </c>
      <c r="G768" s="2405" t="s">
        <v>2504</v>
      </c>
      <c r="H768" s="1353">
        <f t="shared" ref="H768:I768" si="115">M2811-M2873</f>
        <v>0</v>
      </c>
      <c r="I768" s="1353">
        <f t="shared" si="115"/>
        <v>0</v>
      </c>
      <c r="K768" s="1391">
        <v>790</v>
      </c>
      <c r="L768" s="1391" t="s">
        <v>4688</v>
      </c>
      <c r="AA768">
        <v>100536</v>
      </c>
      <c r="AB768">
        <v>9</v>
      </c>
      <c r="AC768">
        <v>24</v>
      </c>
    </row>
    <row r="769" spans="2:29" ht="12.5">
      <c r="B769" s="5" t="s">
        <v>4689</v>
      </c>
      <c r="C769" s="6" t="s">
        <v>4690</v>
      </c>
      <c r="D769" s="2401">
        <v>0</v>
      </c>
      <c r="E769" s="2402">
        <v>0</v>
      </c>
      <c r="F769" s="2223" t="s">
        <v>4691</v>
      </c>
      <c r="G769" s="2405" t="s">
        <v>2504</v>
      </c>
      <c r="H769" s="1353">
        <f t="shared" ref="H769:I769" si="116">M2812-M2874</f>
        <v>0</v>
      </c>
      <c r="I769" s="1353">
        <f t="shared" si="116"/>
        <v>0</v>
      </c>
      <c r="K769" s="1391">
        <v>791</v>
      </c>
      <c r="L769" s="1391" t="s">
        <v>4692</v>
      </c>
      <c r="AA769">
        <v>100558</v>
      </c>
      <c r="AB769">
        <v>881565</v>
      </c>
      <c r="AC769">
        <v>1753026</v>
      </c>
    </row>
    <row r="770" spans="2:29" ht="12.5">
      <c r="B770" s="5" t="s">
        <v>4693</v>
      </c>
      <c r="C770" s="6" t="s">
        <v>4694</v>
      </c>
      <c r="D770" s="2401">
        <v>0</v>
      </c>
      <c r="E770" s="2402">
        <v>0</v>
      </c>
      <c r="F770" s="2223" t="s">
        <v>4695</v>
      </c>
      <c r="G770" s="2405" t="s">
        <v>2504</v>
      </c>
      <c r="H770" s="1353">
        <f>M2790-M2852</f>
        <v>0</v>
      </c>
      <c r="I770" s="1353">
        <f>N2790-N2852</f>
        <v>0</v>
      </c>
      <c r="K770" s="1391">
        <v>792</v>
      </c>
      <c r="L770" s="1391" t="s">
        <v>4696</v>
      </c>
      <c r="AA770">
        <v>100559</v>
      </c>
      <c r="AB770">
        <v>3688</v>
      </c>
      <c r="AC770">
        <v>7293</v>
      </c>
    </row>
    <row r="771" spans="2:29" ht="12.5">
      <c r="B771" s="5" t="s">
        <v>4697</v>
      </c>
      <c r="C771" s="6" t="s">
        <v>4698</v>
      </c>
      <c r="D771" s="2401">
        <v>0</v>
      </c>
      <c r="E771" s="2402">
        <v>0</v>
      </c>
      <c r="F771" s="2223" t="s">
        <v>4699</v>
      </c>
      <c r="G771" s="2405" t="s">
        <v>2504</v>
      </c>
      <c r="H771" s="1353">
        <f t="shared" ref="H771:I771" si="117">M2791-M2853</f>
        <v>0</v>
      </c>
      <c r="I771" s="1353">
        <f t="shared" si="117"/>
        <v>0</v>
      </c>
      <c r="K771" s="1391">
        <v>793</v>
      </c>
      <c r="L771" s="1391" t="s">
        <v>4700</v>
      </c>
      <c r="AA771">
        <v>100560</v>
      </c>
      <c r="AB771">
        <v>10</v>
      </c>
      <c r="AC771">
        <v>25</v>
      </c>
    </row>
    <row r="772" spans="2:29" ht="12.5">
      <c r="B772" s="5" t="s">
        <v>4701</v>
      </c>
      <c r="C772" s="6" t="s">
        <v>4702</v>
      </c>
      <c r="D772" s="2401">
        <v>0</v>
      </c>
      <c r="E772" s="2402">
        <v>0</v>
      </c>
      <c r="F772" s="2223" t="s">
        <v>4703</v>
      </c>
      <c r="G772" s="2405" t="s">
        <v>2504</v>
      </c>
      <c r="H772" s="1353">
        <f t="shared" ref="H772:I772" si="118">M2792-M2854</f>
        <v>0</v>
      </c>
      <c r="I772" s="1353">
        <f t="shared" si="118"/>
        <v>0</v>
      </c>
      <c r="K772" s="1391">
        <v>794</v>
      </c>
      <c r="L772" s="1391" t="s">
        <v>4704</v>
      </c>
      <c r="AA772">
        <v>100586</v>
      </c>
      <c r="AB772">
        <v>881565</v>
      </c>
      <c r="AC772">
        <v>1753026</v>
      </c>
    </row>
    <row r="773" spans="2:29" ht="12.5">
      <c r="B773" s="5" t="s">
        <v>4705</v>
      </c>
      <c r="C773" s="6" t="s">
        <v>4706</v>
      </c>
      <c r="D773" s="2401">
        <v>0</v>
      </c>
      <c r="E773" s="2402">
        <v>0</v>
      </c>
      <c r="F773" s="2223" t="s">
        <v>4707</v>
      </c>
      <c r="G773" s="2405" t="s">
        <v>2504</v>
      </c>
      <c r="H773" s="1353">
        <f t="shared" ref="H773:I773" si="119">M2793-M2855</f>
        <v>0</v>
      </c>
      <c r="I773" s="1353">
        <f t="shared" si="119"/>
        <v>0</v>
      </c>
      <c r="K773" s="1391">
        <v>795</v>
      </c>
      <c r="L773" s="1391" t="s">
        <v>4708</v>
      </c>
      <c r="AA773">
        <v>100587</v>
      </c>
      <c r="AB773">
        <v>3688</v>
      </c>
      <c r="AC773">
        <v>7293</v>
      </c>
    </row>
    <row r="774" spans="2:29" ht="12.5">
      <c r="B774" s="5" t="s">
        <v>4709</v>
      </c>
      <c r="C774" s="6" t="s">
        <v>4710</v>
      </c>
      <c r="D774" s="2401">
        <v>0</v>
      </c>
      <c r="E774" s="2402">
        <v>0</v>
      </c>
      <c r="F774" s="2223" t="s">
        <v>4711</v>
      </c>
      <c r="G774" s="2405" t="s">
        <v>2504</v>
      </c>
      <c r="H774" s="1353">
        <f t="shared" ref="H774:I774" si="120">M2794-M2856</f>
        <v>0</v>
      </c>
      <c r="I774" s="1353">
        <f t="shared" si="120"/>
        <v>0</v>
      </c>
      <c r="K774" s="1391">
        <v>796</v>
      </c>
      <c r="L774" s="1391" t="s">
        <v>4712</v>
      </c>
      <c r="AA774">
        <v>100588</v>
      </c>
      <c r="AB774">
        <v>10</v>
      </c>
      <c r="AC774">
        <v>25</v>
      </c>
    </row>
    <row r="775" spans="2:29" ht="12.5">
      <c r="B775" s="5" t="s">
        <v>4713</v>
      </c>
      <c r="C775" s="6" t="s">
        <v>4714</v>
      </c>
      <c r="D775" s="2401">
        <v>0</v>
      </c>
      <c r="E775" s="2402">
        <v>0</v>
      </c>
      <c r="F775" s="2223" t="s">
        <v>4715</v>
      </c>
      <c r="G775" s="2405" t="s">
        <v>2504</v>
      </c>
      <c r="H775" s="1353">
        <f t="shared" ref="H775:I775" si="121">M2795-M2857</f>
        <v>0</v>
      </c>
      <c r="I775" s="1353">
        <f t="shared" si="121"/>
        <v>0</v>
      </c>
      <c r="K775" s="1391">
        <v>797</v>
      </c>
      <c r="L775" s="1391" t="s">
        <v>4716</v>
      </c>
      <c r="AA775">
        <v>100603</v>
      </c>
      <c r="AB775">
        <v>45848</v>
      </c>
      <c r="AC775">
        <v>45848</v>
      </c>
    </row>
    <row r="776" spans="2:29" ht="12.5">
      <c r="B776" s="5" t="s">
        <v>4717</v>
      </c>
      <c r="C776" s="6" t="s">
        <v>4718</v>
      </c>
      <c r="D776" s="2401">
        <v>611136</v>
      </c>
      <c r="E776" s="2402">
        <v>2310310</v>
      </c>
      <c r="F776" s="2223" t="s">
        <v>4719</v>
      </c>
      <c r="G776" s="2405" t="s">
        <v>2504</v>
      </c>
      <c r="H776" s="1353">
        <f t="shared" ref="H776:I776" si="122">M2796-M2858</f>
        <v>0</v>
      </c>
      <c r="I776" s="1353">
        <f t="shared" si="122"/>
        <v>0</v>
      </c>
      <c r="K776" s="1391">
        <v>798</v>
      </c>
      <c r="L776" s="1391" t="s">
        <v>4720</v>
      </c>
      <c r="AA776">
        <v>100604</v>
      </c>
      <c r="AB776">
        <v>-712</v>
      </c>
      <c r="AC776">
        <v>-712</v>
      </c>
    </row>
    <row r="777" spans="2:29" ht="12.5">
      <c r="B777" s="5" t="s">
        <v>4721</v>
      </c>
      <c r="C777" s="6" t="s">
        <v>4722</v>
      </c>
      <c r="D777" s="2401">
        <v>0</v>
      </c>
      <c r="E777" s="2402">
        <v>0</v>
      </c>
      <c r="F777" s="2223" t="s">
        <v>4723</v>
      </c>
      <c r="G777" s="2405" t="s">
        <v>2504</v>
      </c>
      <c r="H777" s="1353">
        <f t="shared" ref="H777:I777" si="123">M2797-M2859</f>
        <v>0</v>
      </c>
      <c r="I777" s="1353">
        <f t="shared" si="123"/>
        <v>0</v>
      </c>
      <c r="K777" s="1391">
        <v>799</v>
      </c>
      <c r="L777" s="1391" t="s">
        <v>4724</v>
      </c>
      <c r="AA777">
        <v>100605</v>
      </c>
      <c r="AB777">
        <v>1</v>
      </c>
      <c r="AC777">
        <v>-712</v>
      </c>
    </row>
    <row r="778" spans="2:29" ht="12.5">
      <c r="B778" s="5" t="s">
        <v>4725</v>
      </c>
      <c r="C778" s="6" t="s">
        <v>4726</v>
      </c>
      <c r="D778" s="2401">
        <v>0</v>
      </c>
      <c r="E778" s="2402">
        <v>0</v>
      </c>
      <c r="F778" s="2223" t="s">
        <v>4727</v>
      </c>
      <c r="G778" s="2405" t="s">
        <v>2504</v>
      </c>
      <c r="H778" s="1353">
        <f t="shared" ref="H778:I778" si="124">M2798-M2860</f>
        <v>0</v>
      </c>
      <c r="I778" s="1353">
        <f t="shared" si="124"/>
        <v>0</v>
      </c>
      <c r="K778" s="1391">
        <v>800</v>
      </c>
      <c r="L778" s="1391" t="s">
        <v>4728</v>
      </c>
      <c r="AA778">
        <v>100607</v>
      </c>
      <c r="AB778">
        <v>835717</v>
      </c>
      <c r="AC778">
        <v>1707178</v>
      </c>
    </row>
    <row r="779" spans="2:29" ht="12.5">
      <c r="B779" s="5" t="s">
        <v>4729</v>
      </c>
      <c r="C779" s="6" t="s">
        <v>4730</v>
      </c>
      <c r="D779" s="2401">
        <v>0</v>
      </c>
      <c r="E779" s="2402">
        <v>0</v>
      </c>
      <c r="F779" s="2223" t="s">
        <v>4731</v>
      </c>
      <c r="G779" s="2405" t="s">
        <v>2504</v>
      </c>
      <c r="H779" s="1353">
        <f t="shared" ref="H779:I779" si="125">M2799-M2861</f>
        <v>0</v>
      </c>
      <c r="I779" s="1353">
        <f t="shared" si="125"/>
        <v>0</v>
      </c>
      <c r="K779" s="1391">
        <v>801</v>
      </c>
      <c r="L779" s="1391" t="s">
        <v>4732</v>
      </c>
      <c r="AA779">
        <v>100608</v>
      </c>
      <c r="AB779">
        <v>4400</v>
      </c>
      <c r="AC779">
        <v>8005</v>
      </c>
    </row>
    <row r="780" spans="2:29" ht="12.5">
      <c r="B780" s="5" t="s">
        <v>4733</v>
      </c>
      <c r="C780" s="6" t="s">
        <v>4734</v>
      </c>
      <c r="D780" s="2401">
        <v>0</v>
      </c>
      <c r="E780" s="2402">
        <v>0</v>
      </c>
      <c r="F780" s="2223" t="s">
        <v>4735</v>
      </c>
      <c r="G780" s="2405" t="s">
        <v>2504</v>
      </c>
      <c r="H780" s="1353">
        <f t="shared" ref="H780:I780" si="126">M2800-M2862</f>
        <v>0</v>
      </c>
      <c r="I780" s="1353">
        <f t="shared" si="126"/>
        <v>0</v>
      </c>
      <c r="K780" s="1391">
        <v>802</v>
      </c>
      <c r="L780" s="1391" t="s">
        <v>4736</v>
      </c>
      <c r="AA780">
        <v>100609</v>
      </c>
      <c r="AB780">
        <v>9</v>
      </c>
      <c r="AC780">
        <v>8005</v>
      </c>
    </row>
    <row r="781" spans="2:29">
      <c r="B781" s="5" t="s">
        <v>4737</v>
      </c>
      <c r="C781" s="6" t="s">
        <v>4738</v>
      </c>
      <c r="D781" s="2401">
        <v>0</v>
      </c>
      <c r="E781" s="2402">
        <v>0</v>
      </c>
      <c r="F781" s="2223" t="s">
        <v>4739</v>
      </c>
      <c r="G781" s="2405" t="s">
        <v>2504</v>
      </c>
      <c r="H781" s="1353">
        <f t="shared" ref="H781:I781" si="127">M2801-M2863</f>
        <v>0</v>
      </c>
      <c r="I781" s="1353">
        <f t="shared" si="127"/>
        <v>0</v>
      </c>
      <c r="K781" s="1391">
        <v>803</v>
      </c>
      <c r="L781" s="1391" t="s">
        <v>4740</v>
      </c>
    </row>
    <row r="782" spans="2:29">
      <c r="B782" s="5" t="s">
        <v>4741</v>
      </c>
      <c r="C782" s="6" t="s">
        <v>4742</v>
      </c>
      <c r="D782" s="2401">
        <v>0</v>
      </c>
      <c r="E782" s="2402">
        <v>0</v>
      </c>
      <c r="F782" s="2223" t="s">
        <v>4743</v>
      </c>
      <c r="G782" s="2405" t="s">
        <v>2504</v>
      </c>
      <c r="H782" s="1353">
        <f t="shared" ref="H782:I782" si="128">M2802-M2864</f>
        <v>0</v>
      </c>
      <c r="I782" s="1353">
        <f t="shared" si="128"/>
        <v>0</v>
      </c>
      <c r="K782" s="1391">
        <v>804</v>
      </c>
      <c r="L782" s="1391" t="s">
        <v>4744</v>
      </c>
    </row>
    <row r="783" spans="2:29">
      <c r="B783" s="5" t="s">
        <v>4745</v>
      </c>
      <c r="C783" s="6" t="s">
        <v>4746</v>
      </c>
      <c r="D783" s="2401">
        <v>0</v>
      </c>
      <c r="E783" s="2402">
        <v>0</v>
      </c>
      <c r="F783" s="2223" t="s">
        <v>4747</v>
      </c>
      <c r="G783" s="2405" t="s">
        <v>2504</v>
      </c>
      <c r="H783" s="1353">
        <f t="shared" ref="H783:I783" si="129">M2803-M2865</f>
        <v>0</v>
      </c>
      <c r="I783" s="1353">
        <f t="shared" si="129"/>
        <v>0</v>
      </c>
      <c r="K783" s="1391">
        <v>805</v>
      </c>
      <c r="L783" s="1391" t="s">
        <v>4748</v>
      </c>
    </row>
    <row r="784" spans="2:29">
      <c r="B784" s="5" t="s">
        <v>4749</v>
      </c>
      <c r="C784" s="6" t="s">
        <v>4750</v>
      </c>
      <c r="D784" s="2401">
        <v>0</v>
      </c>
      <c r="E784" s="2402">
        <v>0</v>
      </c>
      <c r="F784" s="2223" t="s">
        <v>4751</v>
      </c>
      <c r="G784" s="2405" t="s">
        <v>2504</v>
      </c>
      <c r="H784" s="1353">
        <f t="shared" ref="H784:I784" si="130">M2804-M2866</f>
        <v>0</v>
      </c>
      <c r="I784" s="1353">
        <f t="shared" si="130"/>
        <v>0</v>
      </c>
      <c r="K784" s="1391">
        <v>806</v>
      </c>
      <c r="L784" s="1391" t="s">
        <v>4752</v>
      </c>
    </row>
    <row r="785" spans="2:12">
      <c r="B785" s="5" t="s">
        <v>4753</v>
      </c>
      <c r="C785" s="6" t="s">
        <v>4754</v>
      </c>
      <c r="D785" s="2401">
        <v>0</v>
      </c>
      <c r="E785" s="2402">
        <v>0</v>
      </c>
      <c r="F785" s="2223" t="s">
        <v>4755</v>
      </c>
      <c r="G785" s="2405" t="s">
        <v>2504</v>
      </c>
      <c r="H785" s="1353">
        <f t="shared" ref="H785:I785" si="131">M2805-M2867</f>
        <v>0</v>
      </c>
      <c r="I785" s="1353">
        <f t="shared" si="131"/>
        <v>0</v>
      </c>
      <c r="K785" s="1391">
        <v>807</v>
      </c>
      <c r="L785" s="1391" t="s">
        <v>4756</v>
      </c>
    </row>
    <row r="786" spans="2:12">
      <c r="B786" s="5" t="s">
        <v>4757</v>
      </c>
      <c r="C786" s="6" t="s">
        <v>4758</v>
      </c>
      <c r="D786" s="2401">
        <v>0</v>
      </c>
      <c r="E786" s="2402">
        <v>0</v>
      </c>
      <c r="F786" s="2223" t="s">
        <v>4759</v>
      </c>
      <c r="G786" s="2405" t="s">
        <v>2504</v>
      </c>
      <c r="H786" s="1353">
        <f t="shared" ref="H786:I786" si="132">M2806-M2868</f>
        <v>0</v>
      </c>
      <c r="I786" s="1353">
        <f t="shared" si="132"/>
        <v>0</v>
      </c>
      <c r="K786" s="1391">
        <v>808</v>
      </c>
      <c r="L786" s="1391" t="s">
        <v>4760</v>
      </c>
    </row>
    <row r="787" spans="2:12">
      <c r="B787" s="5" t="s">
        <v>4761</v>
      </c>
      <c r="C787" s="6" t="s">
        <v>4762</v>
      </c>
      <c r="D787" s="2401">
        <v>0</v>
      </c>
      <c r="E787" s="2402">
        <v>0</v>
      </c>
      <c r="F787" s="2223" t="s">
        <v>4763</v>
      </c>
      <c r="G787" s="2405" t="s">
        <v>2504</v>
      </c>
      <c r="H787" s="1353">
        <f t="shared" ref="H787:I787" si="133">M2807-M2869</f>
        <v>0</v>
      </c>
      <c r="I787" s="1353">
        <f t="shared" si="133"/>
        <v>0</v>
      </c>
      <c r="K787" s="1391">
        <v>809</v>
      </c>
      <c r="L787" s="1391" t="s">
        <v>4764</v>
      </c>
    </row>
    <row r="788" spans="2:12">
      <c r="B788" s="5" t="s">
        <v>4765</v>
      </c>
      <c r="C788" s="6" t="s">
        <v>4766</v>
      </c>
      <c r="D788" s="2401">
        <v>0</v>
      </c>
      <c r="E788" s="2402">
        <v>0</v>
      </c>
      <c r="F788" s="2223" t="s">
        <v>4767</v>
      </c>
      <c r="G788" s="2405" t="s">
        <v>2504</v>
      </c>
      <c r="H788" s="1353">
        <f t="shared" ref="H788:I788" si="134">M2808-M2870</f>
        <v>0</v>
      </c>
      <c r="I788" s="1353">
        <f t="shared" si="134"/>
        <v>0</v>
      </c>
      <c r="K788" s="1391">
        <v>810</v>
      </c>
      <c r="L788" s="1391" t="s">
        <v>4768</v>
      </c>
    </row>
    <row r="789" spans="2:12">
      <c r="B789" s="5" t="s">
        <v>4769</v>
      </c>
      <c r="C789" s="6" t="s">
        <v>4770</v>
      </c>
      <c r="D789" s="2401">
        <v>0</v>
      </c>
      <c r="E789" s="2402">
        <v>0</v>
      </c>
      <c r="F789" s="2223" t="s">
        <v>4771</v>
      </c>
      <c r="G789" s="2405" t="s">
        <v>2504</v>
      </c>
      <c r="H789" s="1353">
        <f t="shared" ref="H789:I789" si="135">M2809-M2871</f>
        <v>0</v>
      </c>
      <c r="I789" s="1353">
        <f t="shared" si="135"/>
        <v>0</v>
      </c>
      <c r="K789" s="1391">
        <v>811</v>
      </c>
      <c r="L789" s="1391" t="s">
        <v>4772</v>
      </c>
    </row>
    <row r="790" spans="2:12">
      <c r="B790" s="5" t="s">
        <v>4773</v>
      </c>
      <c r="C790" s="6" t="s">
        <v>4774</v>
      </c>
      <c r="D790" s="2401"/>
      <c r="E790" s="2402"/>
      <c r="F790" s="2223" t="s">
        <v>4775</v>
      </c>
      <c r="G790" s="2404"/>
      <c r="H790" s="1353"/>
      <c r="I790" s="1353"/>
      <c r="K790" s="1391">
        <v>812</v>
      </c>
      <c r="L790" s="1391" t="s">
        <v>4776</v>
      </c>
    </row>
    <row r="791" spans="2:12">
      <c r="B791" s="5" t="s">
        <v>4777</v>
      </c>
      <c r="C791" s="6" t="s">
        <v>4778</v>
      </c>
      <c r="D791" s="2401"/>
      <c r="E791" s="2402"/>
      <c r="F791" s="2223" t="s">
        <v>4779</v>
      </c>
      <c r="G791" s="2404"/>
      <c r="H791" s="1353"/>
      <c r="I791" s="1353"/>
      <c r="K791" s="1391">
        <v>813</v>
      </c>
      <c r="L791" s="1391" t="s">
        <v>4780</v>
      </c>
    </row>
    <row r="792" spans="2:12">
      <c r="B792" s="5" t="s">
        <v>4781</v>
      </c>
      <c r="C792" s="6" t="s">
        <v>4782</v>
      </c>
      <c r="D792" s="2401">
        <v>0</v>
      </c>
      <c r="E792" s="2402">
        <v>0</v>
      </c>
      <c r="F792" s="2223" t="s">
        <v>4783</v>
      </c>
      <c r="G792" s="2403">
        <v>100298</v>
      </c>
      <c r="H792" s="1353">
        <f>M2813</f>
        <v>0</v>
      </c>
      <c r="I792" s="1353">
        <f>N2813</f>
        <v>0</v>
      </c>
      <c r="K792" s="1391">
        <v>814</v>
      </c>
      <c r="L792" s="1391" t="s">
        <v>4784</v>
      </c>
    </row>
    <row r="793" spans="2:12">
      <c r="B793" s="5" t="s">
        <v>4785</v>
      </c>
      <c r="C793" s="6" t="s">
        <v>4786</v>
      </c>
      <c r="D793" s="2401">
        <v>0</v>
      </c>
      <c r="E793" s="2402">
        <v>0</v>
      </c>
      <c r="F793" s="2223" t="s">
        <v>4787</v>
      </c>
      <c r="G793" s="2403">
        <v>100299</v>
      </c>
      <c r="H793" s="1353">
        <f t="shared" ref="H793:I793" si="136">M2814</f>
        <v>0</v>
      </c>
      <c r="I793" s="1353">
        <f t="shared" si="136"/>
        <v>0</v>
      </c>
      <c r="K793" s="1391">
        <v>815</v>
      </c>
      <c r="L793" s="1391" t="s">
        <v>4788</v>
      </c>
    </row>
    <row r="794" spans="2:12">
      <c r="B794" s="5" t="s">
        <v>4789</v>
      </c>
      <c r="C794" s="6" t="s">
        <v>4790</v>
      </c>
      <c r="D794" s="2401">
        <v>0</v>
      </c>
      <c r="E794" s="2402">
        <v>0</v>
      </c>
      <c r="F794" s="2223" t="s">
        <v>4791</v>
      </c>
      <c r="G794" s="2403">
        <v>100300</v>
      </c>
      <c r="H794" s="1353">
        <f t="shared" ref="H794:I794" si="137">M2815</f>
        <v>0</v>
      </c>
      <c r="I794" s="1353">
        <f t="shared" si="137"/>
        <v>0</v>
      </c>
      <c r="K794" s="1391">
        <v>816</v>
      </c>
      <c r="L794" s="1391" t="s">
        <v>4792</v>
      </c>
    </row>
    <row r="795" spans="2:12">
      <c r="B795" s="5" t="s">
        <v>4793</v>
      </c>
      <c r="C795" s="6" t="s">
        <v>4794</v>
      </c>
      <c r="D795" s="2401">
        <v>0</v>
      </c>
      <c r="E795" s="2402">
        <v>0</v>
      </c>
      <c r="F795" s="2223" t="s">
        <v>4795</v>
      </c>
      <c r="G795" s="2403">
        <v>100301</v>
      </c>
      <c r="H795" s="1353">
        <f t="shared" ref="H795:I795" si="138">M2816</f>
        <v>0</v>
      </c>
      <c r="I795" s="1353">
        <f t="shared" si="138"/>
        <v>0</v>
      </c>
      <c r="K795" s="1391">
        <v>817</v>
      </c>
      <c r="L795" s="1391" t="s">
        <v>4796</v>
      </c>
    </row>
    <row r="796" spans="2:12">
      <c r="B796" s="5" t="s">
        <v>4797</v>
      </c>
      <c r="C796" s="6" t="s">
        <v>4798</v>
      </c>
      <c r="D796" s="2401">
        <v>0</v>
      </c>
      <c r="E796" s="2402">
        <v>0</v>
      </c>
      <c r="F796" s="2223" t="s">
        <v>4799</v>
      </c>
      <c r="G796" s="2403">
        <v>100302</v>
      </c>
      <c r="H796" s="1353">
        <f t="shared" ref="H796:I796" si="139">M2817</f>
        <v>0</v>
      </c>
      <c r="I796" s="1353">
        <f t="shared" si="139"/>
        <v>0</v>
      </c>
      <c r="K796" s="1391">
        <v>818</v>
      </c>
      <c r="L796" s="1391" t="s">
        <v>4800</v>
      </c>
    </row>
    <row r="797" spans="2:12">
      <c r="B797" s="5" t="s">
        <v>4801</v>
      </c>
      <c r="C797" s="6" t="s">
        <v>4802</v>
      </c>
      <c r="D797" s="2401">
        <v>0</v>
      </c>
      <c r="E797" s="2402">
        <v>0</v>
      </c>
      <c r="F797" s="2223" t="s">
        <v>4803</v>
      </c>
      <c r="G797" s="2403">
        <v>100303</v>
      </c>
      <c r="H797" s="1353">
        <f t="shared" ref="H797:I797" si="140">M2818</f>
        <v>0</v>
      </c>
      <c r="I797" s="1353">
        <f t="shared" si="140"/>
        <v>0</v>
      </c>
      <c r="K797" s="1391">
        <v>819</v>
      </c>
      <c r="L797" s="1391" t="s">
        <v>4804</v>
      </c>
    </row>
    <row r="798" spans="2:12">
      <c r="B798" s="5" t="s">
        <v>4805</v>
      </c>
      <c r="C798" s="6" t="s">
        <v>4806</v>
      </c>
      <c r="D798" s="2401">
        <v>0</v>
      </c>
      <c r="E798" s="2402">
        <v>0</v>
      </c>
      <c r="F798" s="2223" t="s">
        <v>4807</v>
      </c>
      <c r="G798" s="2403">
        <v>100304</v>
      </c>
      <c r="H798" s="1353">
        <f t="shared" ref="H798:I798" si="141">M2819</f>
        <v>0</v>
      </c>
      <c r="I798" s="1353">
        <f t="shared" si="141"/>
        <v>0</v>
      </c>
      <c r="K798" s="1391">
        <v>820</v>
      </c>
      <c r="L798" s="1391" t="s">
        <v>4808</v>
      </c>
    </row>
    <row r="799" spans="2:12">
      <c r="B799" s="5" t="s">
        <v>4809</v>
      </c>
      <c r="C799" s="6" t="s">
        <v>4810</v>
      </c>
      <c r="D799" s="2401">
        <v>0</v>
      </c>
      <c r="E799" s="2402">
        <v>0</v>
      </c>
      <c r="F799" s="2223" t="s">
        <v>4811</v>
      </c>
      <c r="G799" s="2403">
        <v>100305</v>
      </c>
      <c r="H799" s="1353">
        <f t="shared" ref="H799:I799" si="142">M2820</f>
        <v>0</v>
      </c>
      <c r="I799" s="1353">
        <f t="shared" si="142"/>
        <v>0</v>
      </c>
      <c r="K799" s="1391">
        <v>821</v>
      </c>
      <c r="L799" s="1391" t="s">
        <v>4812</v>
      </c>
    </row>
    <row r="800" spans="2:12">
      <c r="B800" s="5" t="s">
        <v>4813</v>
      </c>
      <c r="C800" s="6" t="s">
        <v>4814</v>
      </c>
      <c r="D800" s="2401"/>
      <c r="E800" s="2402"/>
      <c r="F800" s="2223" t="s">
        <v>4815</v>
      </c>
      <c r="G800" s="2404"/>
      <c r="H800" s="1353"/>
      <c r="I800" s="1353"/>
      <c r="K800" s="1391">
        <v>822</v>
      </c>
      <c r="L800" s="1391" t="s">
        <v>4816</v>
      </c>
    </row>
    <row r="801" spans="2:12">
      <c r="B801" s="5" t="s">
        <v>4817</v>
      </c>
      <c r="C801" s="6" t="s">
        <v>4818</v>
      </c>
      <c r="D801" s="2401">
        <v>0</v>
      </c>
      <c r="E801" s="2402">
        <v>0</v>
      </c>
      <c r="F801" s="2223" t="s">
        <v>4819</v>
      </c>
      <c r="G801" s="2403">
        <v>100326</v>
      </c>
      <c r="H801" s="1353">
        <f>M2841</f>
        <v>0</v>
      </c>
      <c r="I801" s="1353">
        <f>N2841</f>
        <v>0</v>
      </c>
      <c r="K801" s="1391">
        <v>823</v>
      </c>
      <c r="L801" s="1391" t="s">
        <v>4820</v>
      </c>
    </row>
    <row r="802" spans="2:12">
      <c r="B802" s="5" t="s">
        <v>4821</v>
      </c>
      <c r="C802" s="6" t="s">
        <v>4822</v>
      </c>
      <c r="D802" s="2401">
        <v>0</v>
      </c>
      <c r="E802" s="2402">
        <v>0</v>
      </c>
      <c r="F802" s="2223" t="s">
        <v>4823</v>
      </c>
      <c r="G802" s="2403">
        <v>100327</v>
      </c>
      <c r="H802" s="1353">
        <f t="shared" ref="H802:I802" si="143">M2842</f>
        <v>0</v>
      </c>
      <c r="I802" s="1353">
        <f t="shared" si="143"/>
        <v>0</v>
      </c>
      <c r="K802" s="1391">
        <v>824</v>
      </c>
      <c r="L802" s="1391" t="s">
        <v>4824</v>
      </c>
    </row>
    <row r="803" spans="2:12">
      <c r="B803" s="5" t="s">
        <v>4825</v>
      </c>
      <c r="C803" s="6" t="s">
        <v>4826</v>
      </c>
      <c r="D803" s="2401">
        <v>0</v>
      </c>
      <c r="E803" s="2402">
        <v>0</v>
      </c>
      <c r="F803" s="2223" t="s">
        <v>4827</v>
      </c>
      <c r="G803" s="2403">
        <v>100328</v>
      </c>
      <c r="H803" s="1353">
        <f t="shared" ref="H803:I803" si="144">M2843</f>
        <v>0</v>
      </c>
      <c r="I803" s="1353">
        <f t="shared" si="144"/>
        <v>0</v>
      </c>
      <c r="K803" s="1391">
        <v>825</v>
      </c>
      <c r="L803" s="1391" t="s">
        <v>4828</v>
      </c>
    </row>
    <row r="804" spans="2:12">
      <c r="B804" s="5" t="s">
        <v>4829</v>
      </c>
      <c r="C804" s="6" t="s">
        <v>4830</v>
      </c>
      <c r="D804" s="2401">
        <v>0</v>
      </c>
      <c r="E804" s="2402">
        <v>0</v>
      </c>
      <c r="F804" s="2223" t="s">
        <v>4831</v>
      </c>
      <c r="G804" s="2403">
        <v>100306</v>
      </c>
      <c r="H804" s="1353">
        <f>M2821</f>
        <v>0</v>
      </c>
      <c r="I804" s="1353">
        <f>N2821</f>
        <v>0</v>
      </c>
      <c r="K804" s="1391">
        <v>826</v>
      </c>
      <c r="L804" s="1391" t="s">
        <v>4832</v>
      </c>
    </row>
    <row r="805" spans="2:12">
      <c r="B805" s="5" t="s">
        <v>4833</v>
      </c>
      <c r="C805" s="6" t="s">
        <v>4834</v>
      </c>
      <c r="D805" s="2401">
        <v>0</v>
      </c>
      <c r="E805" s="2402">
        <v>0</v>
      </c>
      <c r="F805" s="2223" t="s">
        <v>4835</v>
      </c>
      <c r="G805" s="2403">
        <v>100307</v>
      </c>
      <c r="H805" s="1353">
        <f t="shared" ref="H805:I805" si="145">M2822</f>
        <v>0</v>
      </c>
      <c r="I805" s="1353">
        <f t="shared" si="145"/>
        <v>0</v>
      </c>
      <c r="K805" s="1391">
        <v>827</v>
      </c>
      <c r="L805" s="1391" t="s">
        <v>4836</v>
      </c>
    </row>
    <row r="806" spans="2:12">
      <c r="B806" s="5" t="s">
        <v>4837</v>
      </c>
      <c r="C806" s="6" t="s">
        <v>4838</v>
      </c>
      <c r="D806" s="2401">
        <v>0</v>
      </c>
      <c r="E806" s="2402">
        <v>0</v>
      </c>
      <c r="F806" s="2223" t="s">
        <v>4839</v>
      </c>
      <c r="G806" s="2403">
        <v>100308</v>
      </c>
      <c r="H806" s="1353">
        <f t="shared" ref="H806:I806" si="146">M2823</f>
        <v>0</v>
      </c>
      <c r="I806" s="1353">
        <f t="shared" si="146"/>
        <v>0</v>
      </c>
      <c r="K806" s="1391">
        <v>828</v>
      </c>
      <c r="L806" s="1391" t="s">
        <v>4840</v>
      </c>
    </row>
    <row r="807" spans="2:12">
      <c r="B807" s="5" t="s">
        <v>4841</v>
      </c>
      <c r="C807" s="6" t="s">
        <v>4842</v>
      </c>
      <c r="D807" s="2401">
        <v>0</v>
      </c>
      <c r="E807" s="2402">
        <v>0</v>
      </c>
      <c r="F807" s="2223" t="s">
        <v>4843</v>
      </c>
      <c r="G807" s="2403">
        <v>100309</v>
      </c>
      <c r="H807" s="1353">
        <f t="shared" ref="H807:I807" si="147">M2824</f>
        <v>0</v>
      </c>
      <c r="I807" s="1353">
        <f t="shared" si="147"/>
        <v>0</v>
      </c>
      <c r="K807" s="1391">
        <v>829</v>
      </c>
      <c r="L807" s="1391" t="s">
        <v>4844</v>
      </c>
    </row>
    <row r="808" spans="2:12">
      <c r="B808" s="5" t="s">
        <v>4845</v>
      </c>
      <c r="C808" s="6" t="s">
        <v>4846</v>
      </c>
      <c r="D808" s="2401">
        <v>0</v>
      </c>
      <c r="E808" s="2402">
        <v>0</v>
      </c>
      <c r="F808" s="2223" t="s">
        <v>4847</v>
      </c>
      <c r="G808" s="2403">
        <v>100310</v>
      </c>
      <c r="H808" s="1353">
        <f t="shared" ref="H808:I808" si="148">M2825</f>
        <v>0</v>
      </c>
      <c r="I808" s="1353">
        <f t="shared" si="148"/>
        <v>0</v>
      </c>
      <c r="K808" s="1391">
        <v>830</v>
      </c>
      <c r="L808" s="1391" t="s">
        <v>4848</v>
      </c>
    </row>
    <row r="809" spans="2:12">
      <c r="B809" s="5" t="s">
        <v>4849</v>
      </c>
      <c r="C809" s="6" t="s">
        <v>4850</v>
      </c>
      <c r="D809" s="2401">
        <v>0</v>
      </c>
      <c r="E809" s="2402">
        <v>0</v>
      </c>
      <c r="F809" s="2223" t="s">
        <v>4851</v>
      </c>
      <c r="G809" s="2403">
        <v>100311</v>
      </c>
      <c r="H809" s="1353">
        <f t="shared" ref="H809:I809" si="149">M2826</f>
        <v>0</v>
      </c>
      <c r="I809" s="1353">
        <f t="shared" si="149"/>
        <v>0</v>
      </c>
      <c r="K809" s="1391">
        <v>831</v>
      </c>
      <c r="L809" s="1391" t="s">
        <v>4852</v>
      </c>
    </row>
    <row r="810" spans="2:12">
      <c r="B810" s="5" t="s">
        <v>4853</v>
      </c>
      <c r="C810" s="6" t="s">
        <v>4854</v>
      </c>
      <c r="D810" s="2401">
        <v>10</v>
      </c>
      <c r="E810" s="2402">
        <v>34</v>
      </c>
      <c r="F810" s="2223" t="s">
        <v>4855</v>
      </c>
      <c r="G810" s="2403">
        <v>100312</v>
      </c>
      <c r="H810" s="1353">
        <f t="shared" ref="H810:I810" si="150">M2827</f>
        <v>0</v>
      </c>
      <c r="I810" s="1353">
        <f t="shared" si="150"/>
        <v>0</v>
      </c>
      <c r="K810" s="1391">
        <v>832</v>
      </c>
      <c r="L810" s="1391" t="s">
        <v>4856</v>
      </c>
    </row>
    <row r="811" spans="2:12">
      <c r="B811" s="5" t="s">
        <v>4857</v>
      </c>
      <c r="C811" s="6" t="s">
        <v>4858</v>
      </c>
      <c r="D811" s="2401">
        <v>0</v>
      </c>
      <c r="E811" s="2402">
        <v>0</v>
      </c>
      <c r="F811" s="2223" t="s">
        <v>4859</v>
      </c>
      <c r="G811" s="2403">
        <v>100313</v>
      </c>
      <c r="H811" s="1353">
        <f t="shared" ref="H811:I811" si="151">M2828</f>
        <v>0</v>
      </c>
      <c r="I811" s="1353">
        <f t="shared" si="151"/>
        <v>0</v>
      </c>
      <c r="K811" s="1391">
        <v>833</v>
      </c>
      <c r="L811" s="1391" t="s">
        <v>4860</v>
      </c>
    </row>
    <row r="812" spans="2:12">
      <c r="B812" s="5" t="s">
        <v>4861</v>
      </c>
      <c r="C812" s="6" t="s">
        <v>4862</v>
      </c>
      <c r="D812" s="2401">
        <v>0</v>
      </c>
      <c r="E812" s="2402">
        <v>0</v>
      </c>
      <c r="F812" s="2223" t="s">
        <v>4863</v>
      </c>
      <c r="G812" s="2403">
        <v>100314</v>
      </c>
      <c r="H812" s="1353">
        <f t="shared" ref="H812:I812" si="152">M2829</f>
        <v>0</v>
      </c>
      <c r="I812" s="1353">
        <f t="shared" si="152"/>
        <v>0</v>
      </c>
      <c r="K812" s="1391">
        <v>834</v>
      </c>
      <c r="L812" s="1391" t="s">
        <v>4864</v>
      </c>
    </row>
    <row r="813" spans="2:12">
      <c r="B813" s="5" t="s">
        <v>4865</v>
      </c>
      <c r="C813" s="6" t="s">
        <v>4866</v>
      </c>
      <c r="D813" s="2401">
        <v>0</v>
      </c>
      <c r="E813" s="2402">
        <v>0</v>
      </c>
      <c r="F813" s="2223" t="s">
        <v>4867</v>
      </c>
      <c r="G813" s="2403">
        <v>100315</v>
      </c>
      <c r="H813" s="1353">
        <f t="shared" ref="H813:I813" si="153">M2830</f>
        <v>0</v>
      </c>
      <c r="I813" s="1353">
        <f t="shared" si="153"/>
        <v>0</v>
      </c>
      <c r="K813" s="1391">
        <v>835</v>
      </c>
      <c r="L813" s="1391" t="s">
        <v>4868</v>
      </c>
    </row>
    <row r="814" spans="2:12">
      <c r="B814" s="5" t="s">
        <v>4869</v>
      </c>
      <c r="C814" s="6" t="s">
        <v>4870</v>
      </c>
      <c r="D814" s="2401">
        <v>0</v>
      </c>
      <c r="E814" s="2402">
        <v>0</v>
      </c>
      <c r="F814" s="2223" t="s">
        <v>4871</v>
      </c>
      <c r="G814" s="2403">
        <v>100316</v>
      </c>
      <c r="H814" s="1353">
        <f t="shared" ref="H814:I814" si="154">M2831</f>
        <v>0</v>
      </c>
      <c r="I814" s="1353">
        <f t="shared" si="154"/>
        <v>0</v>
      </c>
      <c r="K814" s="1391">
        <v>836</v>
      </c>
      <c r="L814" s="1391" t="s">
        <v>4872</v>
      </c>
    </row>
    <row r="815" spans="2:12">
      <c r="B815" s="5" t="s">
        <v>4873</v>
      </c>
      <c r="C815" s="6" t="s">
        <v>4874</v>
      </c>
      <c r="D815" s="2401">
        <v>0</v>
      </c>
      <c r="E815" s="2402">
        <v>0</v>
      </c>
      <c r="F815" s="2223" t="s">
        <v>4875</v>
      </c>
      <c r="G815" s="2403">
        <v>100317</v>
      </c>
      <c r="H815" s="1353">
        <f t="shared" ref="H815:I815" si="155">M2832</f>
        <v>0</v>
      </c>
      <c r="I815" s="1353">
        <f t="shared" si="155"/>
        <v>0</v>
      </c>
      <c r="K815" s="1391">
        <v>837</v>
      </c>
      <c r="L815" s="1391" t="s">
        <v>4876</v>
      </c>
    </row>
    <row r="816" spans="2:12">
      <c r="B816" s="5" t="s">
        <v>4877</v>
      </c>
      <c r="C816" s="6" t="s">
        <v>4878</v>
      </c>
      <c r="D816" s="2401">
        <v>0</v>
      </c>
      <c r="E816" s="2402">
        <v>0</v>
      </c>
      <c r="F816" s="2223" t="s">
        <v>4879</v>
      </c>
      <c r="G816" s="2403">
        <v>100318</v>
      </c>
      <c r="H816" s="1353">
        <f t="shared" ref="H816:I816" si="156">M2833</f>
        <v>0</v>
      </c>
      <c r="I816" s="1353">
        <f t="shared" si="156"/>
        <v>0</v>
      </c>
      <c r="K816" s="1391">
        <v>838</v>
      </c>
      <c r="L816" s="1391" t="s">
        <v>4880</v>
      </c>
    </row>
    <row r="817" spans="2:12">
      <c r="B817" s="5" t="s">
        <v>4881</v>
      </c>
      <c r="C817" s="6" t="s">
        <v>4882</v>
      </c>
      <c r="D817" s="2401">
        <v>0</v>
      </c>
      <c r="E817" s="2402">
        <v>0</v>
      </c>
      <c r="F817" s="2223" t="s">
        <v>4883</v>
      </c>
      <c r="G817" s="2403">
        <v>100319</v>
      </c>
      <c r="H817" s="1353">
        <f t="shared" ref="H817:I817" si="157">M2834</f>
        <v>0</v>
      </c>
      <c r="I817" s="1353">
        <f t="shared" si="157"/>
        <v>0</v>
      </c>
      <c r="K817" s="1391">
        <v>839</v>
      </c>
      <c r="L817" s="1391" t="s">
        <v>4884</v>
      </c>
    </row>
    <row r="818" spans="2:12">
      <c r="B818" s="5" t="s">
        <v>4885</v>
      </c>
      <c r="C818" s="6" t="s">
        <v>4886</v>
      </c>
      <c r="D818" s="2401">
        <v>0</v>
      </c>
      <c r="E818" s="2402">
        <v>0</v>
      </c>
      <c r="F818" s="2223" t="s">
        <v>4887</v>
      </c>
      <c r="G818" s="2403">
        <v>100320</v>
      </c>
      <c r="H818" s="1353">
        <f t="shared" ref="H818:I818" si="158">M2835</f>
        <v>0</v>
      </c>
      <c r="I818" s="1353">
        <f t="shared" si="158"/>
        <v>0</v>
      </c>
      <c r="K818" s="1391">
        <v>840</v>
      </c>
      <c r="L818" s="1391" t="s">
        <v>4888</v>
      </c>
    </row>
    <row r="819" spans="2:12">
      <c r="B819" s="5" t="s">
        <v>4889</v>
      </c>
      <c r="C819" s="6" t="s">
        <v>4890</v>
      </c>
      <c r="D819" s="2401">
        <v>0</v>
      </c>
      <c r="E819" s="2402">
        <v>0</v>
      </c>
      <c r="F819" s="2223" t="s">
        <v>4891</v>
      </c>
      <c r="G819" s="2403">
        <v>100321</v>
      </c>
      <c r="H819" s="1353">
        <f t="shared" ref="H819:I819" si="159">M2836</f>
        <v>0</v>
      </c>
      <c r="I819" s="1353">
        <f t="shared" si="159"/>
        <v>0</v>
      </c>
      <c r="K819" s="1391">
        <v>841</v>
      </c>
      <c r="L819" s="1391" t="s">
        <v>4892</v>
      </c>
    </row>
    <row r="820" spans="2:12">
      <c r="B820" s="5" t="s">
        <v>4893</v>
      </c>
      <c r="C820" s="6" t="s">
        <v>4894</v>
      </c>
      <c r="D820" s="2401">
        <v>0</v>
      </c>
      <c r="E820" s="2402">
        <v>0</v>
      </c>
      <c r="F820" s="2223" t="s">
        <v>4895</v>
      </c>
      <c r="G820" s="2403">
        <v>100322</v>
      </c>
      <c r="H820" s="1353">
        <f t="shared" ref="H820:I820" si="160">M2837</f>
        <v>0</v>
      </c>
      <c r="I820" s="1353">
        <f t="shared" si="160"/>
        <v>0</v>
      </c>
      <c r="K820" s="1391">
        <v>842</v>
      </c>
      <c r="L820" s="1391" t="s">
        <v>4896</v>
      </c>
    </row>
    <row r="821" spans="2:12">
      <c r="B821" s="5" t="s">
        <v>4897</v>
      </c>
      <c r="C821" s="6" t="s">
        <v>4898</v>
      </c>
      <c r="D821" s="2401">
        <v>0</v>
      </c>
      <c r="E821" s="2402">
        <v>0</v>
      </c>
      <c r="F821" s="2223" t="s">
        <v>4899</v>
      </c>
      <c r="G821" s="2403">
        <v>100323</v>
      </c>
      <c r="H821" s="1353">
        <f t="shared" ref="H821:I821" si="161">M2838</f>
        <v>0</v>
      </c>
      <c r="I821" s="1353">
        <f t="shared" si="161"/>
        <v>0</v>
      </c>
      <c r="K821" s="1391">
        <v>843</v>
      </c>
      <c r="L821" s="1391" t="s">
        <v>4900</v>
      </c>
    </row>
    <row r="822" spans="2:12">
      <c r="B822" s="5" t="s">
        <v>4901</v>
      </c>
      <c r="C822" s="6" t="s">
        <v>4902</v>
      </c>
      <c r="D822" s="2401">
        <v>0</v>
      </c>
      <c r="E822" s="2402">
        <v>0</v>
      </c>
      <c r="F822" s="2223" t="s">
        <v>4903</v>
      </c>
      <c r="G822" s="2403">
        <v>100324</v>
      </c>
      <c r="H822" s="1353">
        <f t="shared" ref="H822:I822" si="162">M2839</f>
        <v>0</v>
      </c>
      <c r="I822" s="1353">
        <f t="shared" si="162"/>
        <v>0</v>
      </c>
      <c r="K822" s="1391">
        <v>844</v>
      </c>
      <c r="L822" s="1391" t="s">
        <v>4904</v>
      </c>
    </row>
    <row r="823" spans="2:12">
      <c r="B823" s="5" t="s">
        <v>4905</v>
      </c>
      <c r="C823" s="6" t="s">
        <v>4906</v>
      </c>
      <c r="D823" s="2401">
        <v>0</v>
      </c>
      <c r="E823" s="2402">
        <v>0</v>
      </c>
      <c r="F823" s="2223" t="s">
        <v>4907</v>
      </c>
      <c r="G823" s="2403">
        <v>100325</v>
      </c>
      <c r="H823" s="1353">
        <f t="shared" ref="H823:I823" si="163">M2840</f>
        <v>0</v>
      </c>
      <c r="I823" s="1353">
        <f t="shared" si="163"/>
        <v>0</v>
      </c>
      <c r="K823" s="1391">
        <v>845</v>
      </c>
      <c r="L823" s="1391" t="s">
        <v>4908</v>
      </c>
    </row>
    <row r="824" spans="2:12">
      <c r="B824" s="5" t="s">
        <v>4909</v>
      </c>
      <c r="C824" s="6" t="s">
        <v>4910</v>
      </c>
      <c r="D824" s="2401"/>
      <c r="E824" s="2402"/>
      <c r="F824" s="2223" t="s">
        <v>4911</v>
      </c>
      <c r="G824" s="2404"/>
      <c r="H824" s="1353"/>
      <c r="I824" s="1353"/>
      <c r="K824" s="1391">
        <v>846</v>
      </c>
      <c r="L824" s="1391" t="s">
        <v>4912</v>
      </c>
    </row>
    <row r="825" spans="2:12">
      <c r="B825" s="5" t="s">
        <v>4913</v>
      </c>
      <c r="C825" s="6" t="s">
        <v>4914</v>
      </c>
      <c r="D825" s="2401"/>
      <c r="E825" s="2402"/>
      <c r="F825" s="2223" t="s">
        <v>4915</v>
      </c>
      <c r="G825" s="2404"/>
      <c r="H825" s="1353"/>
      <c r="I825" s="1353"/>
      <c r="K825" s="1391">
        <v>847</v>
      </c>
      <c r="L825" s="1391" t="s">
        <v>4916</v>
      </c>
    </row>
    <row r="826" spans="2:12">
      <c r="B826" s="5" t="s">
        <v>4917</v>
      </c>
      <c r="C826" s="6" t="s">
        <v>492</v>
      </c>
      <c r="D826" s="2401">
        <v>0</v>
      </c>
      <c r="E826" s="2402">
        <v>0</v>
      </c>
      <c r="F826" s="2223" t="s">
        <v>4918</v>
      </c>
      <c r="G826" s="2403">
        <v>100360</v>
      </c>
      <c r="H826" s="1353">
        <f>M2875</f>
        <v>0</v>
      </c>
      <c r="I826" s="1353">
        <f>N2875</f>
        <v>0</v>
      </c>
      <c r="K826" s="1391">
        <v>848</v>
      </c>
      <c r="L826" s="1391" t="s">
        <v>4919</v>
      </c>
    </row>
    <row r="827" spans="2:12">
      <c r="B827" s="5" t="s">
        <v>4920</v>
      </c>
      <c r="C827" s="6" t="s">
        <v>493</v>
      </c>
      <c r="D827" s="2401">
        <v>0</v>
      </c>
      <c r="E827" s="2402">
        <v>0</v>
      </c>
      <c r="F827" s="2223" t="s">
        <v>4921</v>
      </c>
      <c r="G827" s="2403">
        <v>100361</v>
      </c>
      <c r="H827" s="1353">
        <f t="shared" ref="H827:I833" si="164">M2876</f>
        <v>0</v>
      </c>
      <c r="I827" s="1353">
        <f t="shared" si="164"/>
        <v>0</v>
      </c>
      <c r="K827" s="1391">
        <v>849</v>
      </c>
      <c r="L827" s="1391" t="s">
        <v>4922</v>
      </c>
    </row>
    <row r="828" spans="2:12">
      <c r="B828" s="5" t="s">
        <v>4923</v>
      </c>
      <c r="C828" s="6" t="s">
        <v>494</v>
      </c>
      <c r="D828" s="2401">
        <v>0</v>
      </c>
      <c r="E828" s="2402">
        <v>0</v>
      </c>
      <c r="F828" s="2223" t="s">
        <v>4924</v>
      </c>
      <c r="G828" s="2403">
        <v>100362</v>
      </c>
      <c r="H828" s="1353">
        <f t="shared" si="164"/>
        <v>0</v>
      </c>
      <c r="I828" s="1353">
        <f t="shared" si="164"/>
        <v>0</v>
      </c>
      <c r="K828" s="1391">
        <v>850</v>
      </c>
      <c r="L828" s="1391" t="s">
        <v>4925</v>
      </c>
    </row>
    <row r="829" spans="2:12">
      <c r="B829" s="5" t="s">
        <v>4926</v>
      </c>
      <c r="C829" s="6" t="s">
        <v>495</v>
      </c>
      <c r="D829" s="2401">
        <v>0</v>
      </c>
      <c r="E829" s="2402">
        <v>0</v>
      </c>
      <c r="F829" s="2223" t="s">
        <v>4927</v>
      </c>
      <c r="G829" s="2403">
        <v>100363</v>
      </c>
      <c r="H829" s="1353">
        <f t="shared" si="164"/>
        <v>0</v>
      </c>
      <c r="I829" s="1353">
        <f t="shared" si="164"/>
        <v>0</v>
      </c>
      <c r="K829" s="1391">
        <v>851</v>
      </c>
      <c r="L829" s="1391" t="s">
        <v>4928</v>
      </c>
    </row>
    <row r="830" spans="2:12">
      <c r="B830" s="5" t="s">
        <v>4929</v>
      </c>
      <c r="C830" s="6" t="s">
        <v>496</v>
      </c>
      <c r="D830" s="2401">
        <v>0</v>
      </c>
      <c r="E830" s="2402">
        <v>0</v>
      </c>
      <c r="F830" s="2223" t="s">
        <v>4930</v>
      </c>
      <c r="G830" s="2403">
        <v>100364</v>
      </c>
      <c r="H830" s="1353">
        <f t="shared" si="164"/>
        <v>0</v>
      </c>
      <c r="I830" s="1353">
        <f t="shared" si="164"/>
        <v>0</v>
      </c>
      <c r="K830" s="1391">
        <v>852</v>
      </c>
      <c r="L830" s="1391" t="s">
        <v>4931</v>
      </c>
    </row>
    <row r="831" spans="2:12">
      <c r="B831" s="5" t="s">
        <v>4932</v>
      </c>
      <c r="C831" s="6" t="s">
        <v>497</v>
      </c>
      <c r="D831" s="2401">
        <v>0</v>
      </c>
      <c r="E831" s="2402">
        <v>0</v>
      </c>
      <c r="F831" s="2223" t="s">
        <v>4933</v>
      </c>
      <c r="G831" s="2403">
        <v>100365</v>
      </c>
      <c r="H831" s="1353">
        <f t="shared" si="164"/>
        <v>0</v>
      </c>
      <c r="I831" s="1353">
        <f t="shared" si="164"/>
        <v>0</v>
      </c>
      <c r="K831" s="1391">
        <v>853</v>
      </c>
      <c r="L831" s="1391" t="s">
        <v>4934</v>
      </c>
    </row>
    <row r="832" spans="2:12">
      <c r="B832" s="5" t="s">
        <v>4935</v>
      </c>
      <c r="C832" s="6" t="s">
        <v>498</v>
      </c>
      <c r="D832" s="2401">
        <v>0</v>
      </c>
      <c r="E832" s="2402">
        <v>0</v>
      </c>
      <c r="F832" s="2223" t="s">
        <v>4936</v>
      </c>
      <c r="G832" s="2403">
        <v>100366</v>
      </c>
      <c r="H832" s="1353">
        <f t="shared" si="164"/>
        <v>0</v>
      </c>
      <c r="I832" s="1353">
        <f t="shared" si="164"/>
        <v>0</v>
      </c>
      <c r="K832" s="1391">
        <v>854</v>
      </c>
      <c r="L832" s="1391" t="s">
        <v>4937</v>
      </c>
    </row>
    <row r="833" spans="2:12">
      <c r="B833" s="5" t="s">
        <v>4938</v>
      </c>
      <c r="C833" s="6" t="s">
        <v>499</v>
      </c>
      <c r="D833" s="2401">
        <v>0</v>
      </c>
      <c r="E833" s="2402">
        <v>0</v>
      </c>
      <c r="F833" s="2223" t="s">
        <v>4939</v>
      </c>
      <c r="G833" s="2403">
        <v>100367</v>
      </c>
      <c r="H833" s="1353">
        <f t="shared" si="164"/>
        <v>0</v>
      </c>
      <c r="I833" s="1353">
        <f t="shared" si="164"/>
        <v>0</v>
      </c>
      <c r="K833" s="1391">
        <v>855</v>
      </c>
      <c r="L833" s="1391" t="s">
        <v>4940</v>
      </c>
    </row>
    <row r="834" spans="2:12">
      <c r="B834" s="5" t="s">
        <v>4941</v>
      </c>
      <c r="C834" s="6" t="s">
        <v>4942</v>
      </c>
      <c r="D834" s="2401"/>
      <c r="E834" s="2402"/>
      <c r="F834" s="2223" t="s">
        <v>4943</v>
      </c>
      <c r="G834" s="2404"/>
      <c r="H834" s="1353"/>
      <c r="I834" s="1353"/>
      <c r="K834" s="1391">
        <v>856</v>
      </c>
      <c r="L834" s="1391" t="s">
        <v>4944</v>
      </c>
    </row>
    <row r="835" spans="2:12">
      <c r="B835" s="5" t="s">
        <v>4945</v>
      </c>
      <c r="C835" s="6" t="s">
        <v>501</v>
      </c>
      <c r="D835" s="2401">
        <v>0</v>
      </c>
      <c r="E835" s="2402">
        <v>0</v>
      </c>
      <c r="F835" s="2223" t="s">
        <v>4946</v>
      </c>
      <c r="G835" s="2403">
        <v>100388</v>
      </c>
      <c r="H835" s="1353">
        <f>M2903</f>
        <v>0</v>
      </c>
      <c r="I835" s="1353">
        <f>N2903</f>
        <v>0</v>
      </c>
      <c r="K835" s="1391">
        <v>857</v>
      </c>
      <c r="L835" s="1391" t="s">
        <v>4947</v>
      </c>
    </row>
    <row r="836" spans="2:12">
      <c r="B836" s="5" t="s">
        <v>4948</v>
      </c>
      <c r="C836" s="6" t="s">
        <v>502</v>
      </c>
      <c r="D836" s="2401">
        <v>0</v>
      </c>
      <c r="E836" s="2402">
        <v>0</v>
      </c>
      <c r="F836" s="2223" t="s">
        <v>4949</v>
      </c>
      <c r="G836" s="2403">
        <v>100389</v>
      </c>
      <c r="H836" s="1353">
        <f t="shared" ref="H836:I837" si="165">M2904</f>
        <v>0</v>
      </c>
      <c r="I836" s="1353">
        <f t="shared" si="165"/>
        <v>0</v>
      </c>
      <c r="K836" s="1391">
        <v>858</v>
      </c>
      <c r="L836" s="1391" t="s">
        <v>4950</v>
      </c>
    </row>
    <row r="837" spans="2:12">
      <c r="B837" s="5" t="s">
        <v>4951</v>
      </c>
      <c r="C837" s="6" t="s">
        <v>503</v>
      </c>
      <c r="D837" s="2401">
        <v>0</v>
      </c>
      <c r="E837" s="2402">
        <v>0</v>
      </c>
      <c r="F837" s="2223" t="s">
        <v>4952</v>
      </c>
      <c r="G837" s="2403">
        <v>100390</v>
      </c>
      <c r="H837" s="1353">
        <f t="shared" si="165"/>
        <v>0</v>
      </c>
      <c r="I837" s="1353">
        <f t="shared" si="165"/>
        <v>0</v>
      </c>
      <c r="K837" s="1391">
        <v>859</v>
      </c>
      <c r="L837" s="1391" t="s">
        <v>4953</v>
      </c>
    </row>
    <row r="838" spans="2:12">
      <c r="B838" s="5" t="s">
        <v>4954</v>
      </c>
      <c r="C838" s="6" t="s">
        <v>504</v>
      </c>
      <c r="D838" s="2401">
        <v>0</v>
      </c>
      <c r="E838" s="2402">
        <v>0</v>
      </c>
      <c r="F838" s="2223" t="s">
        <v>4955</v>
      </c>
      <c r="G838" s="2403">
        <v>100368</v>
      </c>
      <c r="H838" s="1353">
        <f>M2883</f>
        <v>0</v>
      </c>
      <c r="I838" s="1353">
        <f>N2883</f>
        <v>0</v>
      </c>
      <c r="K838" s="1391">
        <v>860</v>
      </c>
      <c r="L838" s="1391" t="s">
        <v>4956</v>
      </c>
    </row>
    <row r="839" spans="2:12">
      <c r="B839" s="5" t="s">
        <v>4957</v>
      </c>
      <c r="C839" s="6" t="s">
        <v>505</v>
      </c>
      <c r="D839" s="2401">
        <v>0</v>
      </c>
      <c r="E839" s="2402">
        <v>0</v>
      </c>
      <c r="F839" s="2223" t="s">
        <v>4958</v>
      </c>
      <c r="G839" s="2403">
        <v>100369</v>
      </c>
      <c r="H839" s="1353">
        <f t="shared" ref="H839:I839" si="166">M2884</f>
        <v>0</v>
      </c>
      <c r="I839" s="1353">
        <f t="shared" si="166"/>
        <v>0</v>
      </c>
      <c r="K839" s="1391">
        <v>861</v>
      </c>
      <c r="L839" s="1391" t="s">
        <v>4959</v>
      </c>
    </row>
    <row r="840" spans="2:12">
      <c r="B840" s="5" t="s">
        <v>4960</v>
      </c>
      <c r="C840" s="6" t="s">
        <v>506</v>
      </c>
      <c r="D840" s="2401">
        <v>0</v>
      </c>
      <c r="E840" s="2402">
        <v>0</v>
      </c>
      <c r="F840" s="2223" t="s">
        <v>4961</v>
      </c>
      <c r="G840" s="2403">
        <v>100370</v>
      </c>
      <c r="H840" s="1353">
        <f t="shared" ref="H840:I840" si="167">M2885</f>
        <v>0</v>
      </c>
      <c r="I840" s="1353">
        <f t="shared" si="167"/>
        <v>0</v>
      </c>
      <c r="K840" s="1391">
        <v>862</v>
      </c>
      <c r="L840" s="1391" t="s">
        <v>4962</v>
      </c>
    </row>
    <row r="841" spans="2:12">
      <c r="B841" s="5" t="s">
        <v>4963</v>
      </c>
      <c r="C841" s="6" t="s">
        <v>507</v>
      </c>
      <c r="D841" s="2401">
        <v>0</v>
      </c>
      <c r="E841" s="2402">
        <v>0</v>
      </c>
      <c r="F841" s="2223" t="s">
        <v>4964</v>
      </c>
      <c r="G841" s="2403">
        <v>100371</v>
      </c>
      <c r="H841" s="1353">
        <f t="shared" ref="H841:I841" si="168">M2886</f>
        <v>0</v>
      </c>
      <c r="I841" s="1353">
        <f t="shared" si="168"/>
        <v>0</v>
      </c>
      <c r="K841" s="1391">
        <v>863</v>
      </c>
      <c r="L841" s="1391" t="s">
        <v>4965</v>
      </c>
    </row>
    <row r="842" spans="2:12">
      <c r="B842" s="5" t="s">
        <v>4966</v>
      </c>
      <c r="C842" s="6" t="s">
        <v>508</v>
      </c>
      <c r="D842" s="2401">
        <v>0</v>
      </c>
      <c r="E842" s="2402">
        <v>0</v>
      </c>
      <c r="F842" s="2223" t="s">
        <v>4967</v>
      </c>
      <c r="G842" s="2403">
        <v>100372</v>
      </c>
      <c r="H842" s="1353">
        <f t="shared" ref="H842:I842" si="169">M2887</f>
        <v>0</v>
      </c>
      <c r="I842" s="1353">
        <f t="shared" si="169"/>
        <v>0</v>
      </c>
      <c r="K842" s="1391">
        <v>864</v>
      </c>
      <c r="L842" s="1391" t="s">
        <v>4968</v>
      </c>
    </row>
    <row r="843" spans="2:12">
      <c r="B843" s="5" t="s">
        <v>4969</v>
      </c>
      <c r="C843" s="6" t="s">
        <v>509</v>
      </c>
      <c r="D843" s="2401">
        <v>0</v>
      </c>
      <c r="E843" s="2402">
        <v>0</v>
      </c>
      <c r="F843" s="2223" t="s">
        <v>4970</v>
      </c>
      <c r="G843" s="2403">
        <v>100373</v>
      </c>
      <c r="H843" s="1353">
        <f t="shared" ref="H843:I843" si="170">M2888</f>
        <v>0</v>
      </c>
      <c r="I843" s="1353">
        <f t="shared" si="170"/>
        <v>0</v>
      </c>
      <c r="K843" s="1391">
        <v>865</v>
      </c>
      <c r="L843" s="1391" t="s">
        <v>4971</v>
      </c>
    </row>
    <row r="844" spans="2:12">
      <c r="B844" s="5" t="s">
        <v>4972</v>
      </c>
      <c r="C844" s="6" t="s">
        <v>510</v>
      </c>
      <c r="D844" s="2401">
        <v>0</v>
      </c>
      <c r="E844" s="2402">
        <v>0</v>
      </c>
      <c r="F844" s="2223" t="s">
        <v>4973</v>
      </c>
      <c r="G844" s="2403">
        <v>100374</v>
      </c>
      <c r="H844" s="1353">
        <f t="shared" ref="H844:I844" si="171">M2889</f>
        <v>0</v>
      </c>
      <c r="I844" s="1353">
        <f t="shared" si="171"/>
        <v>0</v>
      </c>
      <c r="K844" s="1391">
        <v>866</v>
      </c>
      <c r="L844" s="1391" t="s">
        <v>4974</v>
      </c>
    </row>
    <row r="845" spans="2:12">
      <c r="B845" s="5" t="s">
        <v>4975</v>
      </c>
      <c r="C845" s="6" t="s">
        <v>511</v>
      </c>
      <c r="D845" s="2401">
        <v>0</v>
      </c>
      <c r="E845" s="2402">
        <v>0</v>
      </c>
      <c r="F845" s="2223" t="s">
        <v>4976</v>
      </c>
      <c r="G845" s="2403">
        <v>100375</v>
      </c>
      <c r="H845" s="1353">
        <f t="shared" ref="H845:I845" si="172">M2890</f>
        <v>0</v>
      </c>
      <c r="I845" s="1353">
        <f t="shared" si="172"/>
        <v>0</v>
      </c>
      <c r="K845" s="1391">
        <v>867</v>
      </c>
      <c r="L845" s="1391" t="s">
        <v>4977</v>
      </c>
    </row>
    <row r="846" spans="2:12">
      <c r="B846" s="5" t="s">
        <v>4978</v>
      </c>
      <c r="C846" s="6" t="s">
        <v>512</v>
      </c>
      <c r="D846" s="2401">
        <v>0</v>
      </c>
      <c r="E846" s="2402">
        <v>0</v>
      </c>
      <c r="F846" s="2223" t="s">
        <v>4979</v>
      </c>
      <c r="G846" s="2403">
        <v>100376</v>
      </c>
      <c r="H846" s="1353">
        <f t="shared" ref="H846:I846" si="173">M2891</f>
        <v>0</v>
      </c>
      <c r="I846" s="1353">
        <f t="shared" si="173"/>
        <v>0</v>
      </c>
      <c r="K846" s="1391">
        <v>868</v>
      </c>
      <c r="L846" s="1391" t="s">
        <v>4980</v>
      </c>
    </row>
    <row r="847" spans="2:12">
      <c r="B847" s="5" t="s">
        <v>4981</v>
      </c>
      <c r="C847" s="6" t="s">
        <v>513</v>
      </c>
      <c r="D847" s="2401">
        <v>0</v>
      </c>
      <c r="E847" s="2402">
        <v>0</v>
      </c>
      <c r="F847" s="2223" t="s">
        <v>4982</v>
      </c>
      <c r="G847" s="2403">
        <v>100377</v>
      </c>
      <c r="H847" s="1353">
        <f t="shared" ref="H847:I847" si="174">M2892</f>
        <v>0</v>
      </c>
      <c r="I847" s="1353">
        <f t="shared" si="174"/>
        <v>0</v>
      </c>
      <c r="K847" s="1391">
        <v>869</v>
      </c>
      <c r="L847" s="1391" t="s">
        <v>4983</v>
      </c>
    </row>
    <row r="848" spans="2:12">
      <c r="B848" s="5" t="s">
        <v>4984</v>
      </c>
      <c r="C848" s="6" t="s">
        <v>514</v>
      </c>
      <c r="D848" s="2401">
        <v>0</v>
      </c>
      <c r="E848" s="2402">
        <v>0</v>
      </c>
      <c r="F848" s="2223" t="s">
        <v>4985</v>
      </c>
      <c r="G848" s="2403">
        <v>100378</v>
      </c>
      <c r="H848" s="1353">
        <f t="shared" ref="H848:I848" si="175">M2893</f>
        <v>0</v>
      </c>
      <c r="I848" s="1353">
        <f t="shared" si="175"/>
        <v>0</v>
      </c>
      <c r="K848" s="1391">
        <v>870</v>
      </c>
      <c r="L848" s="1391" t="s">
        <v>4986</v>
      </c>
    </row>
    <row r="849" spans="2:12">
      <c r="B849" s="5" t="s">
        <v>4987</v>
      </c>
      <c r="C849" s="6" t="s">
        <v>515</v>
      </c>
      <c r="D849" s="2401">
        <v>0</v>
      </c>
      <c r="E849" s="2402">
        <v>0</v>
      </c>
      <c r="F849" s="2223" t="s">
        <v>4988</v>
      </c>
      <c r="G849" s="2403">
        <v>100379</v>
      </c>
      <c r="H849" s="1353">
        <f t="shared" ref="H849:I849" si="176">M2894</f>
        <v>0</v>
      </c>
      <c r="I849" s="1353">
        <f t="shared" si="176"/>
        <v>0</v>
      </c>
      <c r="K849" s="1391">
        <v>871</v>
      </c>
      <c r="L849" s="1391" t="s">
        <v>4989</v>
      </c>
    </row>
    <row r="850" spans="2:12">
      <c r="B850" s="5" t="s">
        <v>4990</v>
      </c>
      <c r="C850" s="6" t="s">
        <v>516</v>
      </c>
      <c r="D850" s="2401">
        <v>0</v>
      </c>
      <c r="E850" s="2402">
        <v>0</v>
      </c>
      <c r="F850" s="2223" t="s">
        <v>4991</v>
      </c>
      <c r="G850" s="2403">
        <v>100380</v>
      </c>
      <c r="H850" s="1353">
        <f t="shared" ref="H850:I850" si="177">M2895</f>
        <v>0</v>
      </c>
      <c r="I850" s="1353">
        <f t="shared" si="177"/>
        <v>0</v>
      </c>
      <c r="K850" s="1391">
        <v>872</v>
      </c>
      <c r="L850" s="1391" t="s">
        <v>4992</v>
      </c>
    </row>
    <row r="851" spans="2:12">
      <c r="B851" s="5" t="s">
        <v>4993</v>
      </c>
      <c r="C851" s="6" t="s">
        <v>517</v>
      </c>
      <c r="D851" s="2401">
        <v>0</v>
      </c>
      <c r="E851" s="2402">
        <v>0</v>
      </c>
      <c r="F851" s="2223" t="s">
        <v>4994</v>
      </c>
      <c r="G851" s="2403">
        <v>100381</v>
      </c>
      <c r="H851" s="1353">
        <f t="shared" ref="H851:I851" si="178">M2896</f>
        <v>0</v>
      </c>
      <c r="I851" s="1353">
        <f t="shared" si="178"/>
        <v>0</v>
      </c>
      <c r="K851" s="1391">
        <v>873</v>
      </c>
      <c r="L851" s="1391" t="s">
        <v>4995</v>
      </c>
    </row>
    <row r="852" spans="2:12">
      <c r="B852" s="5" t="s">
        <v>4996</v>
      </c>
      <c r="C852" s="6" t="s">
        <v>518</v>
      </c>
      <c r="D852" s="2401">
        <v>0</v>
      </c>
      <c r="E852" s="2402">
        <v>0</v>
      </c>
      <c r="F852" s="2223" t="s">
        <v>4997</v>
      </c>
      <c r="G852" s="2403">
        <v>100382</v>
      </c>
      <c r="H852" s="1353">
        <f t="shared" ref="H852:I852" si="179">M2897</f>
        <v>0</v>
      </c>
      <c r="I852" s="1353">
        <f t="shared" si="179"/>
        <v>0</v>
      </c>
      <c r="K852" s="1391">
        <v>874</v>
      </c>
      <c r="L852" s="1391" t="s">
        <v>4998</v>
      </c>
    </row>
    <row r="853" spans="2:12">
      <c r="B853" s="5" t="s">
        <v>4999</v>
      </c>
      <c r="C853" s="6" t="s">
        <v>519</v>
      </c>
      <c r="D853" s="2401">
        <v>0</v>
      </c>
      <c r="E853" s="2402">
        <v>0</v>
      </c>
      <c r="F853" s="2223" t="s">
        <v>5000</v>
      </c>
      <c r="G853" s="2403">
        <v>100383</v>
      </c>
      <c r="H853" s="1353">
        <f t="shared" ref="H853:I853" si="180">M2898</f>
        <v>0</v>
      </c>
      <c r="I853" s="1353">
        <f t="shared" si="180"/>
        <v>0</v>
      </c>
      <c r="K853" s="1391">
        <v>875</v>
      </c>
      <c r="L853" s="1391" t="s">
        <v>5001</v>
      </c>
    </row>
    <row r="854" spans="2:12">
      <c r="B854" s="5" t="s">
        <v>5002</v>
      </c>
      <c r="C854" s="6" t="s">
        <v>520</v>
      </c>
      <c r="D854" s="2401">
        <v>0</v>
      </c>
      <c r="E854" s="2402">
        <v>0</v>
      </c>
      <c r="F854" s="2223" t="s">
        <v>5003</v>
      </c>
      <c r="G854" s="2403">
        <v>100384</v>
      </c>
      <c r="H854" s="1353">
        <f t="shared" ref="H854:I854" si="181">M2899</f>
        <v>0</v>
      </c>
      <c r="I854" s="1353">
        <f t="shared" si="181"/>
        <v>0</v>
      </c>
      <c r="K854" s="1391">
        <v>876</v>
      </c>
      <c r="L854" s="1391" t="s">
        <v>5004</v>
      </c>
    </row>
    <row r="855" spans="2:12">
      <c r="B855" s="5" t="s">
        <v>5005</v>
      </c>
      <c r="C855" s="6" t="s">
        <v>521</v>
      </c>
      <c r="D855" s="2401">
        <v>0</v>
      </c>
      <c r="E855" s="2402">
        <v>0</v>
      </c>
      <c r="F855" s="2223" t="s">
        <v>5006</v>
      </c>
      <c r="G855" s="2403">
        <v>100385</v>
      </c>
      <c r="H855" s="1353">
        <f t="shared" ref="H855:I855" si="182">M2900</f>
        <v>0</v>
      </c>
      <c r="I855" s="1353">
        <f t="shared" si="182"/>
        <v>0</v>
      </c>
      <c r="K855" s="1391">
        <v>877</v>
      </c>
      <c r="L855" s="1391" t="s">
        <v>5007</v>
      </c>
    </row>
    <row r="856" spans="2:12">
      <c r="B856" s="5" t="s">
        <v>5008</v>
      </c>
      <c r="C856" s="6" t="s">
        <v>522</v>
      </c>
      <c r="D856" s="2401">
        <v>0</v>
      </c>
      <c r="E856" s="2402">
        <v>0</v>
      </c>
      <c r="F856" s="2223" t="s">
        <v>5009</v>
      </c>
      <c r="G856" s="2403">
        <v>100386</v>
      </c>
      <c r="H856" s="1353">
        <f t="shared" ref="H856:I856" si="183">M2901</f>
        <v>0</v>
      </c>
      <c r="I856" s="1353">
        <f t="shared" si="183"/>
        <v>0</v>
      </c>
      <c r="K856" s="1391">
        <v>878</v>
      </c>
      <c r="L856" s="1391" t="s">
        <v>5010</v>
      </c>
    </row>
    <row r="857" spans="2:12">
      <c r="B857" s="5" t="s">
        <v>5011</v>
      </c>
      <c r="C857" s="6" t="s">
        <v>523</v>
      </c>
      <c r="D857" s="2401">
        <v>0</v>
      </c>
      <c r="E857" s="2402">
        <v>0</v>
      </c>
      <c r="F857" s="2223" t="s">
        <v>5012</v>
      </c>
      <c r="G857" s="2403">
        <v>100387</v>
      </c>
      <c r="H857" s="1353">
        <f t="shared" ref="H857:I857" si="184">M2902</f>
        <v>0</v>
      </c>
      <c r="I857" s="1353">
        <f t="shared" si="184"/>
        <v>0</v>
      </c>
      <c r="K857" s="1391">
        <v>879</v>
      </c>
      <c r="L857" s="1391" t="s">
        <v>5013</v>
      </c>
    </row>
    <row r="858" spans="2:12">
      <c r="B858" s="5" t="s">
        <v>5014</v>
      </c>
      <c r="C858" s="6" t="s">
        <v>5015</v>
      </c>
      <c r="D858" s="2401"/>
      <c r="E858" s="2402"/>
      <c r="F858" s="2223" t="s">
        <v>5016</v>
      </c>
      <c r="G858" s="2404"/>
      <c r="H858" s="1353"/>
      <c r="I858" s="1353"/>
      <c r="K858" s="1391">
        <v>880</v>
      </c>
      <c r="L858" s="1391" t="s">
        <v>5017</v>
      </c>
    </row>
    <row r="859" spans="2:12">
      <c r="B859" s="5" t="s">
        <v>5018</v>
      </c>
      <c r="C859" s="6" t="s">
        <v>5019</v>
      </c>
      <c r="D859" s="2401"/>
      <c r="E859" s="2402"/>
      <c r="F859" s="2223" t="s">
        <v>5020</v>
      </c>
      <c r="G859" s="2404"/>
      <c r="H859" s="1353"/>
      <c r="I859" s="1353"/>
      <c r="K859" s="1391">
        <v>881</v>
      </c>
      <c r="L859" s="1391" t="s">
        <v>5021</v>
      </c>
    </row>
    <row r="860" spans="2:12">
      <c r="B860" s="5" t="s">
        <v>5022</v>
      </c>
      <c r="C860" s="6" t="s">
        <v>5023</v>
      </c>
      <c r="D860" s="2401">
        <v>0</v>
      </c>
      <c r="E860" s="2402">
        <v>0</v>
      </c>
      <c r="F860" s="2223" t="s">
        <v>5024</v>
      </c>
      <c r="G860" s="2405" t="s">
        <v>2504</v>
      </c>
      <c r="H860" s="1353">
        <f>M2875-M2937</f>
        <v>0</v>
      </c>
      <c r="I860" s="1353">
        <f>N2875-N2937</f>
        <v>0</v>
      </c>
      <c r="K860" s="1391">
        <v>882</v>
      </c>
      <c r="L860" s="1391" t="s">
        <v>5025</v>
      </c>
    </row>
    <row r="861" spans="2:12">
      <c r="B861" s="5" t="s">
        <v>5026</v>
      </c>
      <c r="C861" s="6" t="s">
        <v>5027</v>
      </c>
      <c r="D861" s="2401">
        <v>0</v>
      </c>
      <c r="E861" s="2402">
        <v>0</v>
      </c>
      <c r="F861" s="2223" t="s">
        <v>5028</v>
      </c>
      <c r="G861" s="2405" t="s">
        <v>2504</v>
      </c>
      <c r="H861" s="1353">
        <f t="shared" ref="H861:I861" si="185">M2876-M2938</f>
        <v>0</v>
      </c>
      <c r="I861" s="1353">
        <f t="shared" si="185"/>
        <v>0</v>
      </c>
      <c r="K861" s="1391">
        <v>883</v>
      </c>
      <c r="L861" s="1391" t="s">
        <v>5029</v>
      </c>
    </row>
    <row r="862" spans="2:12">
      <c r="B862" s="5" t="s">
        <v>5030</v>
      </c>
      <c r="C862" s="6" t="s">
        <v>5031</v>
      </c>
      <c r="D862" s="2401">
        <v>0</v>
      </c>
      <c r="E862" s="2402">
        <v>0</v>
      </c>
      <c r="F862" s="2223" t="s">
        <v>5032</v>
      </c>
      <c r="G862" s="2405" t="s">
        <v>2504</v>
      </c>
      <c r="H862" s="1353">
        <f t="shared" ref="H862:I862" si="186">M2877-M2939</f>
        <v>0</v>
      </c>
      <c r="I862" s="1353">
        <f t="shared" si="186"/>
        <v>0</v>
      </c>
      <c r="K862" s="1391">
        <v>884</v>
      </c>
      <c r="L862" s="1391" t="s">
        <v>5033</v>
      </c>
    </row>
    <row r="863" spans="2:12">
      <c r="B863" s="5" t="s">
        <v>5034</v>
      </c>
      <c r="C863" s="6" t="s">
        <v>5035</v>
      </c>
      <c r="D863" s="2401">
        <v>0</v>
      </c>
      <c r="E863" s="2402">
        <v>0</v>
      </c>
      <c r="F863" s="2223" t="s">
        <v>5036</v>
      </c>
      <c r="G863" s="2405" t="s">
        <v>2504</v>
      </c>
      <c r="H863" s="1353">
        <f t="shared" ref="H863:I863" si="187">M2878-M2940</f>
        <v>0</v>
      </c>
      <c r="I863" s="1353">
        <f t="shared" si="187"/>
        <v>0</v>
      </c>
      <c r="K863" s="1391">
        <v>885</v>
      </c>
      <c r="L863" s="1391" t="s">
        <v>5037</v>
      </c>
    </row>
    <row r="864" spans="2:12">
      <c r="B864" s="5" t="s">
        <v>5038</v>
      </c>
      <c r="C864" s="6" t="s">
        <v>5039</v>
      </c>
      <c r="D864" s="2401">
        <v>0</v>
      </c>
      <c r="E864" s="2402">
        <v>0</v>
      </c>
      <c r="F864" s="2223" t="s">
        <v>5040</v>
      </c>
      <c r="G864" s="2405" t="s">
        <v>2504</v>
      </c>
      <c r="H864" s="1353">
        <f t="shared" ref="H864:I864" si="188">M2879-M2941</f>
        <v>0</v>
      </c>
      <c r="I864" s="1353">
        <f t="shared" si="188"/>
        <v>0</v>
      </c>
      <c r="K864" s="1391">
        <v>886</v>
      </c>
      <c r="L864" s="1391" t="s">
        <v>5041</v>
      </c>
    </row>
    <row r="865" spans="2:12">
      <c r="B865" s="5" t="s">
        <v>5042</v>
      </c>
      <c r="C865" s="6" t="s">
        <v>5043</v>
      </c>
      <c r="D865" s="2401">
        <v>0</v>
      </c>
      <c r="E865" s="2402">
        <v>0</v>
      </c>
      <c r="F865" s="2223" t="s">
        <v>5044</v>
      </c>
      <c r="G865" s="2405" t="s">
        <v>2504</v>
      </c>
      <c r="H865" s="1353">
        <f t="shared" ref="H865:I865" si="189">M2880-M2942</f>
        <v>0</v>
      </c>
      <c r="I865" s="1353">
        <f t="shared" si="189"/>
        <v>0</v>
      </c>
      <c r="K865" s="1391">
        <v>887</v>
      </c>
      <c r="L865" s="1391" t="s">
        <v>5045</v>
      </c>
    </row>
    <row r="866" spans="2:12">
      <c r="B866" s="5" t="s">
        <v>5046</v>
      </c>
      <c r="C866" s="6" t="s">
        <v>5047</v>
      </c>
      <c r="D866" s="2401">
        <v>0</v>
      </c>
      <c r="E866" s="2402">
        <v>0</v>
      </c>
      <c r="F866" s="2223" t="s">
        <v>5048</v>
      </c>
      <c r="G866" s="2405" t="s">
        <v>2504</v>
      </c>
      <c r="H866" s="1353">
        <f t="shared" ref="H866:I866" si="190">M2881-M2943</f>
        <v>0</v>
      </c>
      <c r="I866" s="1353">
        <f t="shared" si="190"/>
        <v>0</v>
      </c>
      <c r="K866" s="1391">
        <v>888</v>
      </c>
      <c r="L866" s="1391" t="s">
        <v>5049</v>
      </c>
    </row>
    <row r="867" spans="2:12">
      <c r="B867" s="5" t="s">
        <v>5050</v>
      </c>
      <c r="C867" s="6" t="s">
        <v>5051</v>
      </c>
      <c r="D867" s="2401">
        <v>0</v>
      </c>
      <c r="E867" s="2402">
        <v>0</v>
      </c>
      <c r="F867" s="2223" t="s">
        <v>5052</v>
      </c>
      <c r="G867" s="2405" t="s">
        <v>2504</v>
      </c>
      <c r="H867" s="1353">
        <f t="shared" ref="H867:I867" si="191">M2882-M2944</f>
        <v>0</v>
      </c>
      <c r="I867" s="1353">
        <f t="shared" si="191"/>
        <v>0</v>
      </c>
      <c r="K867" s="1391">
        <v>889</v>
      </c>
      <c r="L867" s="1391" t="s">
        <v>5053</v>
      </c>
    </row>
    <row r="868" spans="2:12">
      <c r="B868" s="5" t="s">
        <v>5054</v>
      </c>
      <c r="C868" s="6" t="s">
        <v>5055</v>
      </c>
      <c r="D868" s="2401"/>
      <c r="E868" s="2402"/>
      <c r="F868" s="2223" t="s">
        <v>5056</v>
      </c>
      <c r="G868" s="2404"/>
      <c r="H868" s="1353"/>
      <c r="I868" s="1353"/>
      <c r="K868" s="1391">
        <v>890</v>
      </c>
      <c r="L868" s="1391" t="s">
        <v>5057</v>
      </c>
    </row>
    <row r="869" spans="2:12">
      <c r="B869" s="5" t="s">
        <v>5058</v>
      </c>
      <c r="C869" s="6" t="s">
        <v>5059</v>
      </c>
      <c r="D869" s="2401">
        <v>0</v>
      </c>
      <c r="E869" s="2402">
        <v>0</v>
      </c>
      <c r="F869" s="2223" t="s">
        <v>5060</v>
      </c>
      <c r="G869" s="2405" t="s">
        <v>2504</v>
      </c>
      <c r="H869" s="1353">
        <f>M2903-M2965</f>
        <v>0</v>
      </c>
      <c r="I869" s="1353">
        <f>N2903-N2965</f>
        <v>0</v>
      </c>
      <c r="K869" s="1391">
        <v>891</v>
      </c>
      <c r="L869" s="1391" t="s">
        <v>5061</v>
      </c>
    </row>
    <row r="870" spans="2:12">
      <c r="B870" s="5" t="s">
        <v>5062</v>
      </c>
      <c r="C870" s="6" t="s">
        <v>5063</v>
      </c>
      <c r="D870" s="2401">
        <v>0</v>
      </c>
      <c r="E870" s="2402">
        <v>0</v>
      </c>
      <c r="F870" s="2223" t="s">
        <v>5064</v>
      </c>
      <c r="G870" s="2405" t="s">
        <v>2504</v>
      </c>
      <c r="H870" s="1353">
        <f t="shared" ref="H870:I870" si="192">M2904-M2966</f>
        <v>0</v>
      </c>
      <c r="I870" s="1353">
        <f t="shared" si="192"/>
        <v>0</v>
      </c>
      <c r="K870" s="1391">
        <v>892</v>
      </c>
      <c r="L870" s="1391" t="s">
        <v>5065</v>
      </c>
    </row>
    <row r="871" spans="2:12">
      <c r="B871" s="5" t="s">
        <v>5066</v>
      </c>
      <c r="C871" s="6" t="s">
        <v>5067</v>
      </c>
      <c r="D871" s="2401">
        <v>0</v>
      </c>
      <c r="E871" s="2402">
        <v>0</v>
      </c>
      <c r="F871" s="2223" t="s">
        <v>5068</v>
      </c>
      <c r="G871" s="2405" t="s">
        <v>2504</v>
      </c>
      <c r="H871" s="1353">
        <f t="shared" ref="H871:I871" si="193">M2905-M2967</f>
        <v>0</v>
      </c>
      <c r="I871" s="1353">
        <f t="shared" si="193"/>
        <v>0</v>
      </c>
      <c r="K871" s="1391">
        <v>893</v>
      </c>
      <c r="L871" s="1391" t="s">
        <v>5069</v>
      </c>
    </row>
    <row r="872" spans="2:12">
      <c r="B872" s="5" t="s">
        <v>5070</v>
      </c>
      <c r="C872" s="6" t="s">
        <v>5071</v>
      </c>
      <c r="D872" s="2401">
        <v>0</v>
      </c>
      <c r="E872" s="2402">
        <v>0</v>
      </c>
      <c r="F872" s="2223" t="s">
        <v>5072</v>
      </c>
      <c r="G872" s="2405" t="s">
        <v>2504</v>
      </c>
      <c r="H872" s="1353">
        <f>M2883-M2945</f>
        <v>0</v>
      </c>
      <c r="I872" s="1353">
        <f>N2883-N2945</f>
        <v>0</v>
      </c>
      <c r="K872" s="1391">
        <v>894</v>
      </c>
      <c r="L872" s="1391" t="s">
        <v>5073</v>
      </c>
    </row>
    <row r="873" spans="2:12">
      <c r="B873" s="5" t="s">
        <v>5074</v>
      </c>
      <c r="C873" s="6" t="s">
        <v>5075</v>
      </c>
      <c r="D873" s="2401">
        <v>0</v>
      </c>
      <c r="E873" s="2402">
        <v>0</v>
      </c>
      <c r="F873" s="2223" t="s">
        <v>5076</v>
      </c>
      <c r="G873" s="2405" t="s">
        <v>2504</v>
      </c>
      <c r="H873" s="1353">
        <f t="shared" ref="H873:I873" si="194">M2884-M2946</f>
        <v>0</v>
      </c>
      <c r="I873" s="1353">
        <f t="shared" si="194"/>
        <v>0</v>
      </c>
      <c r="K873" s="1391">
        <v>895</v>
      </c>
      <c r="L873" s="1391" t="s">
        <v>5077</v>
      </c>
    </row>
    <row r="874" spans="2:12">
      <c r="B874" s="5" t="s">
        <v>5078</v>
      </c>
      <c r="C874" s="6" t="s">
        <v>5079</v>
      </c>
      <c r="D874" s="2401">
        <v>0</v>
      </c>
      <c r="E874" s="2402">
        <v>0</v>
      </c>
      <c r="F874" s="2223" t="s">
        <v>5080</v>
      </c>
      <c r="G874" s="2405" t="s">
        <v>2504</v>
      </c>
      <c r="H874" s="1353">
        <f t="shared" ref="H874:I874" si="195">M2885-M2947</f>
        <v>0</v>
      </c>
      <c r="I874" s="1353">
        <f t="shared" si="195"/>
        <v>0</v>
      </c>
      <c r="K874" s="1391">
        <v>896</v>
      </c>
      <c r="L874" s="1391" t="s">
        <v>5081</v>
      </c>
    </row>
    <row r="875" spans="2:12">
      <c r="B875" s="5" t="s">
        <v>5082</v>
      </c>
      <c r="C875" s="6" t="s">
        <v>5083</v>
      </c>
      <c r="D875" s="2401">
        <v>0</v>
      </c>
      <c r="E875" s="2402">
        <v>0</v>
      </c>
      <c r="F875" s="2223" t="s">
        <v>5084</v>
      </c>
      <c r="G875" s="2405" t="s">
        <v>2504</v>
      </c>
      <c r="H875" s="1353">
        <f t="shared" ref="H875:I875" si="196">M2886-M2948</f>
        <v>0</v>
      </c>
      <c r="I875" s="1353">
        <f t="shared" si="196"/>
        <v>0</v>
      </c>
      <c r="K875" s="1391">
        <v>897</v>
      </c>
      <c r="L875" s="1391" t="s">
        <v>5085</v>
      </c>
    </row>
    <row r="876" spans="2:12">
      <c r="B876" s="5" t="s">
        <v>5086</v>
      </c>
      <c r="C876" s="6" t="s">
        <v>5087</v>
      </c>
      <c r="D876" s="2401">
        <v>0</v>
      </c>
      <c r="E876" s="2402">
        <v>0</v>
      </c>
      <c r="F876" s="2223" t="s">
        <v>5088</v>
      </c>
      <c r="G876" s="2405" t="s">
        <v>2504</v>
      </c>
      <c r="H876" s="1353">
        <f t="shared" ref="H876:I876" si="197">M2887-M2949</f>
        <v>0</v>
      </c>
      <c r="I876" s="1353">
        <f t="shared" si="197"/>
        <v>0</v>
      </c>
      <c r="K876" s="1391">
        <v>898</v>
      </c>
      <c r="L876" s="1391" t="s">
        <v>5089</v>
      </c>
    </row>
    <row r="877" spans="2:12">
      <c r="B877" s="5" t="s">
        <v>5090</v>
      </c>
      <c r="C877" s="6" t="s">
        <v>5091</v>
      </c>
      <c r="D877" s="2401">
        <v>0</v>
      </c>
      <c r="E877" s="2402">
        <v>0</v>
      </c>
      <c r="F877" s="2223" t="s">
        <v>5092</v>
      </c>
      <c r="G877" s="2405" t="s">
        <v>2504</v>
      </c>
      <c r="H877" s="1353">
        <f t="shared" ref="H877:I877" si="198">M2888-M2950</f>
        <v>0</v>
      </c>
      <c r="I877" s="1353">
        <f t="shared" si="198"/>
        <v>0</v>
      </c>
      <c r="K877" s="1391">
        <v>899</v>
      </c>
      <c r="L877" s="1391" t="s">
        <v>5093</v>
      </c>
    </row>
    <row r="878" spans="2:12">
      <c r="B878" s="5" t="s">
        <v>5094</v>
      </c>
      <c r="C878" s="6" t="s">
        <v>5095</v>
      </c>
      <c r="D878" s="2401">
        <v>0</v>
      </c>
      <c r="E878" s="2402">
        <v>0</v>
      </c>
      <c r="F878" s="2223" t="s">
        <v>5096</v>
      </c>
      <c r="G878" s="2405" t="s">
        <v>2504</v>
      </c>
      <c r="H878" s="1353">
        <f t="shared" ref="H878:I878" si="199">M2889-M2951</f>
        <v>0</v>
      </c>
      <c r="I878" s="1353">
        <f t="shared" si="199"/>
        <v>0</v>
      </c>
      <c r="K878" s="1391">
        <v>900</v>
      </c>
      <c r="L878" s="1391" t="s">
        <v>5097</v>
      </c>
    </row>
    <row r="879" spans="2:12">
      <c r="B879" s="5" t="s">
        <v>5098</v>
      </c>
      <c r="C879" s="6" t="s">
        <v>5099</v>
      </c>
      <c r="D879" s="2401">
        <v>0</v>
      </c>
      <c r="E879" s="2402">
        <v>0</v>
      </c>
      <c r="F879" s="2223" t="s">
        <v>5100</v>
      </c>
      <c r="G879" s="2405" t="s">
        <v>2504</v>
      </c>
      <c r="H879" s="1353">
        <f t="shared" ref="H879:I879" si="200">M2890-M2952</f>
        <v>0</v>
      </c>
      <c r="I879" s="1353">
        <f t="shared" si="200"/>
        <v>0</v>
      </c>
      <c r="K879" s="1391">
        <v>901</v>
      </c>
      <c r="L879" s="1391" t="s">
        <v>5101</v>
      </c>
    </row>
    <row r="880" spans="2:12">
      <c r="B880" s="5" t="s">
        <v>5102</v>
      </c>
      <c r="C880" s="6" t="s">
        <v>5103</v>
      </c>
      <c r="D880" s="2401">
        <v>0</v>
      </c>
      <c r="E880" s="2402">
        <v>0</v>
      </c>
      <c r="F880" s="2223" t="s">
        <v>5104</v>
      </c>
      <c r="G880" s="2405" t="s">
        <v>2504</v>
      </c>
      <c r="H880" s="1353">
        <f t="shared" ref="H880:I880" si="201">M2891-M2953</f>
        <v>0</v>
      </c>
      <c r="I880" s="1353">
        <f t="shared" si="201"/>
        <v>0</v>
      </c>
      <c r="K880" s="1391">
        <v>902</v>
      </c>
      <c r="L880" s="1391" t="s">
        <v>5105</v>
      </c>
    </row>
    <row r="881" spans="2:12">
      <c r="B881" s="5" t="s">
        <v>5106</v>
      </c>
      <c r="C881" s="6" t="s">
        <v>5107</v>
      </c>
      <c r="D881" s="2401">
        <v>0</v>
      </c>
      <c r="E881" s="2402">
        <v>0</v>
      </c>
      <c r="F881" s="2223" t="s">
        <v>5108</v>
      </c>
      <c r="G881" s="2405" t="s">
        <v>2504</v>
      </c>
      <c r="H881" s="1353">
        <f t="shared" ref="H881:I881" si="202">M2892-M2954</f>
        <v>0</v>
      </c>
      <c r="I881" s="1353">
        <f t="shared" si="202"/>
        <v>0</v>
      </c>
      <c r="K881" s="1391">
        <v>903</v>
      </c>
      <c r="L881" s="1391" t="s">
        <v>5109</v>
      </c>
    </row>
    <row r="882" spans="2:12">
      <c r="B882" s="5" t="s">
        <v>5110</v>
      </c>
      <c r="C882" s="6" t="s">
        <v>5111</v>
      </c>
      <c r="D882" s="2401">
        <v>0</v>
      </c>
      <c r="E882" s="2402">
        <v>0</v>
      </c>
      <c r="F882" s="2223" t="s">
        <v>5112</v>
      </c>
      <c r="G882" s="2405" t="s">
        <v>2504</v>
      </c>
      <c r="H882" s="1353">
        <f t="shared" ref="H882:I882" si="203">M2893-M2955</f>
        <v>0</v>
      </c>
      <c r="I882" s="1353">
        <f t="shared" si="203"/>
        <v>0</v>
      </c>
      <c r="K882" s="1391">
        <v>904</v>
      </c>
      <c r="L882" s="1391" t="s">
        <v>5113</v>
      </c>
    </row>
    <row r="883" spans="2:12">
      <c r="B883" s="5" t="s">
        <v>5114</v>
      </c>
      <c r="C883" s="6" t="s">
        <v>5115</v>
      </c>
      <c r="D883" s="2401">
        <v>0</v>
      </c>
      <c r="E883" s="2402">
        <v>0</v>
      </c>
      <c r="F883" s="2223" t="s">
        <v>5116</v>
      </c>
      <c r="G883" s="2405" t="s">
        <v>2504</v>
      </c>
      <c r="H883" s="1353">
        <f t="shared" ref="H883:I883" si="204">M2894-M2956</f>
        <v>0</v>
      </c>
      <c r="I883" s="1353">
        <f t="shared" si="204"/>
        <v>0</v>
      </c>
      <c r="K883" s="1391">
        <v>905</v>
      </c>
      <c r="L883" s="1391" t="s">
        <v>5117</v>
      </c>
    </row>
    <row r="884" spans="2:12">
      <c r="B884" s="5" t="s">
        <v>5118</v>
      </c>
      <c r="C884" s="6" t="s">
        <v>5119</v>
      </c>
      <c r="D884" s="2401">
        <v>0</v>
      </c>
      <c r="E884" s="2402">
        <v>0</v>
      </c>
      <c r="F884" s="2223" t="s">
        <v>5120</v>
      </c>
      <c r="G884" s="2405" t="s">
        <v>2504</v>
      </c>
      <c r="H884" s="1353">
        <f t="shared" ref="H884:I884" si="205">M2895-M2957</f>
        <v>0</v>
      </c>
      <c r="I884" s="1353">
        <f t="shared" si="205"/>
        <v>0</v>
      </c>
      <c r="K884" s="1391">
        <v>906</v>
      </c>
      <c r="L884" s="1391" t="s">
        <v>5121</v>
      </c>
    </row>
    <row r="885" spans="2:12">
      <c r="B885" s="5" t="s">
        <v>5122</v>
      </c>
      <c r="C885" s="6" t="s">
        <v>5123</v>
      </c>
      <c r="D885" s="2401">
        <v>0</v>
      </c>
      <c r="E885" s="2402">
        <v>0</v>
      </c>
      <c r="F885" s="2223" t="s">
        <v>5124</v>
      </c>
      <c r="G885" s="2405" t="s">
        <v>2504</v>
      </c>
      <c r="H885" s="1353">
        <f t="shared" ref="H885:I885" si="206">M2896-M2958</f>
        <v>0</v>
      </c>
      <c r="I885" s="1353">
        <f t="shared" si="206"/>
        <v>0</v>
      </c>
      <c r="K885" s="1391">
        <v>907</v>
      </c>
      <c r="L885" s="1391" t="s">
        <v>5125</v>
      </c>
    </row>
    <row r="886" spans="2:12">
      <c r="B886" s="5" t="s">
        <v>5126</v>
      </c>
      <c r="C886" s="6" t="s">
        <v>5127</v>
      </c>
      <c r="D886" s="2401">
        <v>0</v>
      </c>
      <c r="E886" s="2402">
        <v>0</v>
      </c>
      <c r="F886" s="2223" t="s">
        <v>5128</v>
      </c>
      <c r="G886" s="2405" t="s">
        <v>2504</v>
      </c>
      <c r="H886" s="1353">
        <f t="shared" ref="H886:I886" si="207">M2897-M2959</f>
        <v>0</v>
      </c>
      <c r="I886" s="1353">
        <f t="shared" si="207"/>
        <v>0</v>
      </c>
      <c r="K886" s="1391">
        <v>908</v>
      </c>
      <c r="L886" s="1391" t="s">
        <v>5129</v>
      </c>
    </row>
    <row r="887" spans="2:12">
      <c r="B887" s="5" t="s">
        <v>5130</v>
      </c>
      <c r="C887" s="6" t="s">
        <v>5131</v>
      </c>
      <c r="D887" s="2401">
        <v>0</v>
      </c>
      <c r="E887" s="2402">
        <v>0</v>
      </c>
      <c r="F887" s="2223" t="s">
        <v>5132</v>
      </c>
      <c r="G887" s="2405" t="s">
        <v>2504</v>
      </c>
      <c r="H887" s="1353">
        <f t="shared" ref="H887:I887" si="208">M2898-M2960</f>
        <v>0</v>
      </c>
      <c r="I887" s="1353">
        <f t="shared" si="208"/>
        <v>0</v>
      </c>
      <c r="K887" s="1391">
        <v>909</v>
      </c>
      <c r="L887" s="1391" t="s">
        <v>5133</v>
      </c>
    </row>
    <row r="888" spans="2:12">
      <c r="B888" s="5" t="s">
        <v>5134</v>
      </c>
      <c r="C888" s="6" t="s">
        <v>5135</v>
      </c>
      <c r="D888" s="2401">
        <v>0</v>
      </c>
      <c r="E888" s="2402">
        <v>0</v>
      </c>
      <c r="F888" s="2223" t="s">
        <v>5136</v>
      </c>
      <c r="G888" s="2405" t="s">
        <v>2504</v>
      </c>
      <c r="H888" s="1353">
        <f t="shared" ref="H888:I888" si="209">M2899-M2961</f>
        <v>0</v>
      </c>
      <c r="I888" s="1353">
        <f t="shared" si="209"/>
        <v>0</v>
      </c>
      <c r="K888" s="1391">
        <v>910</v>
      </c>
      <c r="L888" s="1391" t="s">
        <v>5137</v>
      </c>
    </row>
    <row r="889" spans="2:12">
      <c r="B889" s="5" t="s">
        <v>5138</v>
      </c>
      <c r="C889" s="6" t="s">
        <v>5139</v>
      </c>
      <c r="D889" s="2401">
        <v>0</v>
      </c>
      <c r="E889" s="2402">
        <v>0</v>
      </c>
      <c r="F889" s="2223" t="s">
        <v>5140</v>
      </c>
      <c r="G889" s="2405" t="s">
        <v>2504</v>
      </c>
      <c r="H889" s="1353">
        <f t="shared" ref="H889:I889" si="210">M2900-M2962</f>
        <v>0</v>
      </c>
      <c r="I889" s="1353">
        <f t="shared" si="210"/>
        <v>0</v>
      </c>
      <c r="K889" s="1391">
        <v>913</v>
      </c>
      <c r="L889" s="1391" t="s">
        <v>5141</v>
      </c>
    </row>
    <row r="890" spans="2:12">
      <c r="B890" s="5" t="s">
        <v>5142</v>
      </c>
      <c r="C890" s="6" t="s">
        <v>5143</v>
      </c>
      <c r="D890" s="2401">
        <v>0</v>
      </c>
      <c r="E890" s="2402">
        <v>0</v>
      </c>
      <c r="F890" s="2223" t="s">
        <v>5144</v>
      </c>
      <c r="G890" s="2405" t="s">
        <v>2504</v>
      </c>
      <c r="H890" s="1353">
        <f t="shared" ref="H890:I890" si="211">M2901-M2963</f>
        <v>0</v>
      </c>
      <c r="I890" s="1353">
        <f t="shared" si="211"/>
        <v>0</v>
      </c>
      <c r="K890" s="1391">
        <v>914</v>
      </c>
      <c r="L890" s="1391" t="s">
        <v>5145</v>
      </c>
    </row>
    <row r="891" spans="2:12">
      <c r="B891" s="5" t="s">
        <v>5146</v>
      </c>
      <c r="C891" s="6" t="s">
        <v>5147</v>
      </c>
      <c r="D891" s="2401">
        <v>0</v>
      </c>
      <c r="E891" s="2402">
        <v>0</v>
      </c>
      <c r="F891" s="2223" t="s">
        <v>5148</v>
      </c>
      <c r="G891" s="2405" t="s">
        <v>2504</v>
      </c>
      <c r="H891" s="1353">
        <f t="shared" ref="H891:I891" si="212">M2902-M2964</f>
        <v>0</v>
      </c>
      <c r="I891" s="1353">
        <f t="shared" si="212"/>
        <v>0</v>
      </c>
      <c r="K891" s="1391">
        <v>915</v>
      </c>
      <c r="L891" s="1391" t="s">
        <v>5149</v>
      </c>
    </row>
    <row r="892" spans="2:12">
      <c r="B892" s="5" t="s">
        <v>5150</v>
      </c>
      <c r="C892" s="6" t="s">
        <v>5151</v>
      </c>
      <c r="D892" s="2401"/>
      <c r="E892" s="2402"/>
      <c r="F892" s="2223" t="s">
        <v>5152</v>
      </c>
      <c r="G892" s="2404"/>
      <c r="H892" s="1353"/>
      <c r="I892" s="1353"/>
      <c r="K892" s="1391">
        <v>916</v>
      </c>
      <c r="L892" s="1391" t="s">
        <v>5153</v>
      </c>
    </row>
    <row r="893" spans="2:12">
      <c r="B893" s="5" t="s">
        <v>5154</v>
      </c>
      <c r="C893" s="6" t="s">
        <v>5155</v>
      </c>
      <c r="D893" s="2401"/>
      <c r="E893" s="2402"/>
      <c r="F893" s="2223" t="s">
        <v>5156</v>
      </c>
      <c r="G893" s="2404"/>
      <c r="H893" s="1353"/>
      <c r="I893" s="1353"/>
      <c r="K893" s="1391">
        <v>917</v>
      </c>
      <c r="L893" s="1391" t="s">
        <v>5157</v>
      </c>
    </row>
    <row r="894" spans="2:12">
      <c r="B894" s="5" t="s">
        <v>5158</v>
      </c>
      <c r="C894" s="6" t="s">
        <v>5159</v>
      </c>
      <c r="D894" s="2401">
        <v>0</v>
      </c>
      <c r="E894" s="2402">
        <v>0</v>
      </c>
      <c r="F894" s="2223" t="s">
        <v>5160</v>
      </c>
      <c r="G894" s="2403">
        <v>100391</v>
      </c>
      <c r="H894" s="1353">
        <f>M2906</f>
        <v>0</v>
      </c>
      <c r="I894" s="1353">
        <f>N2906</f>
        <v>0</v>
      </c>
      <c r="K894" s="1391">
        <v>918</v>
      </c>
      <c r="L894" s="1391" t="s">
        <v>5161</v>
      </c>
    </row>
    <row r="895" spans="2:12">
      <c r="B895" s="5" t="s">
        <v>5162</v>
      </c>
      <c r="C895" s="6" t="s">
        <v>5163</v>
      </c>
      <c r="D895" s="2401">
        <v>0</v>
      </c>
      <c r="E895" s="2402">
        <v>0</v>
      </c>
      <c r="F895" s="2223" t="s">
        <v>5164</v>
      </c>
      <c r="G895" s="2403">
        <v>100392</v>
      </c>
      <c r="H895" s="1353">
        <f t="shared" ref="H895:I895" si="213">M2907</f>
        <v>0</v>
      </c>
      <c r="I895" s="1353">
        <f t="shared" si="213"/>
        <v>0</v>
      </c>
      <c r="K895" s="1391">
        <v>919</v>
      </c>
      <c r="L895" s="1391" t="s">
        <v>5165</v>
      </c>
    </row>
    <row r="896" spans="2:12">
      <c r="B896" s="5" t="s">
        <v>5166</v>
      </c>
      <c r="C896" s="6" t="s">
        <v>5167</v>
      </c>
      <c r="D896" s="2401">
        <v>0</v>
      </c>
      <c r="E896" s="2402">
        <v>0</v>
      </c>
      <c r="F896" s="2223" t="s">
        <v>5168</v>
      </c>
      <c r="G896" s="2403">
        <v>100393</v>
      </c>
      <c r="H896" s="1353">
        <f t="shared" ref="H896:I896" si="214">M2908</f>
        <v>0</v>
      </c>
      <c r="I896" s="1353">
        <f t="shared" si="214"/>
        <v>0</v>
      </c>
      <c r="K896" s="1391">
        <v>920</v>
      </c>
      <c r="L896" s="1391" t="s">
        <v>5169</v>
      </c>
    </row>
    <row r="897" spans="2:12">
      <c r="B897" s="5" t="s">
        <v>5170</v>
      </c>
      <c r="C897" s="6" t="s">
        <v>5171</v>
      </c>
      <c r="D897" s="2401">
        <v>0</v>
      </c>
      <c r="E897" s="2402">
        <v>0</v>
      </c>
      <c r="F897" s="2223" t="s">
        <v>5172</v>
      </c>
      <c r="G897" s="2403">
        <v>100394</v>
      </c>
      <c r="H897" s="1353">
        <f t="shared" ref="H897:I897" si="215">M2909</f>
        <v>0</v>
      </c>
      <c r="I897" s="1353">
        <f t="shared" si="215"/>
        <v>0</v>
      </c>
      <c r="K897" s="1391">
        <v>921</v>
      </c>
      <c r="L897" s="1391" t="s">
        <v>5173</v>
      </c>
    </row>
    <row r="898" spans="2:12">
      <c r="B898" s="5" t="s">
        <v>5174</v>
      </c>
      <c r="C898" s="6" t="s">
        <v>5175</v>
      </c>
      <c r="D898" s="2401">
        <v>0</v>
      </c>
      <c r="E898" s="2402">
        <v>0</v>
      </c>
      <c r="F898" s="2223" t="s">
        <v>5176</v>
      </c>
      <c r="G898" s="2403">
        <v>100395</v>
      </c>
      <c r="H898" s="1353">
        <f t="shared" ref="H898:I898" si="216">M2910</f>
        <v>0</v>
      </c>
      <c r="I898" s="1353">
        <f t="shared" si="216"/>
        <v>0</v>
      </c>
      <c r="K898" s="1391">
        <v>922</v>
      </c>
      <c r="L898" s="1391" t="s">
        <v>5177</v>
      </c>
    </row>
    <row r="899" spans="2:12">
      <c r="B899" s="5" t="s">
        <v>5178</v>
      </c>
      <c r="C899" s="6" t="s">
        <v>5179</v>
      </c>
      <c r="D899" s="2401">
        <v>0</v>
      </c>
      <c r="E899" s="2402">
        <v>0</v>
      </c>
      <c r="F899" s="2223" t="s">
        <v>5180</v>
      </c>
      <c r="G899" s="2403">
        <v>100396</v>
      </c>
      <c r="H899" s="1353">
        <f t="shared" ref="H899:I899" si="217">M2911</f>
        <v>0</v>
      </c>
      <c r="I899" s="1353">
        <f t="shared" si="217"/>
        <v>0</v>
      </c>
      <c r="K899" s="1391">
        <v>923</v>
      </c>
      <c r="L899" s="1391" t="s">
        <v>5181</v>
      </c>
    </row>
    <row r="900" spans="2:12">
      <c r="B900" s="5" t="s">
        <v>5182</v>
      </c>
      <c r="C900" s="6" t="s">
        <v>5183</v>
      </c>
      <c r="D900" s="2401">
        <v>0</v>
      </c>
      <c r="E900" s="2402">
        <v>0</v>
      </c>
      <c r="F900" s="2223" t="s">
        <v>5184</v>
      </c>
      <c r="G900" s="2403">
        <v>100397</v>
      </c>
      <c r="H900" s="1353">
        <f t="shared" ref="H900:I900" si="218">M2912</f>
        <v>0</v>
      </c>
      <c r="I900" s="1353">
        <f t="shared" si="218"/>
        <v>0</v>
      </c>
      <c r="K900" s="1391">
        <v>924</v>
      </c>
      <c r="L900" s="1391" t="s">
        <v>5185</v>
      </c>
    </row>
    <row r="901" spans="2:12">
      <c r="B901" s="5" t="s">
        <v>5186</v>
      </c>
      <c r="C901" s="6" t="s">
        <v>5187</v>
      </c>
      <c r="D901" s="2401">
        <v>0</v>
      </c>
      <c r="E901" s="2402">
        <v>0</v>
      </c>
      <c r="F901" s="2223" t="s">
        <v>5188</v>
      </c>
      <c r="G901" s="2403">
        <v>100398</v>
      </c>
      <c r="H901" s="1353">
        <f t="shared" ref="H901:I901" si="219">M2913</f>
        <v>0</v>
      </c>
      <c r="I901" s="1353">
        <f t="shared" si="219"/>
        <v>0</v>
      </c>
      <c r="K901" s="1391">
        <v>925</v>
      </c>
      <c r="L901" s="1391" t="s">
        <v>5189</v>
      </c>
    </row>
    <row r="902" spans="2:12">
      <c r="B902" s="5" t="s">
        <v>5190</v>
      </c>
      <c r="C902" s="6" t="s">
        <v>5191</v>
      </c>
      <c r="D902" s="2401"/>
      <c r="E902" s="2402"/>
      <c r="F902" s="2223" t="s">
        <v>5192</v>
      </c>
      <c r="G902" s="2404"/>
      <c r="H902" s="1353"/>
      <c r="I902" s="1353"/>
      <c r="K902" s="1391">
        <v>926</v>
      </c>
      <c r="L902" s="1391" t="s">
        <v>5193</v>
      </c>
    </row>
    <row r="903" spans="2:12">
      <c r="B903" s="5" t="s">
        <v>5194</v>
      </c>
      <c r="C903" s="6" t="s">
        <v>5195</v>
      </c>
      <c r="D903" s="2401">
        <v>0</v>
      </c>
      <c r="E903" s="2402">
        <v>0</v>
      </c>
      <c r="F903" s="2223" t="s">
        <v>5196</v>
      </c>
      <c r="G903" s="2403">
        <v>100419</v>
      </c>
      <c r="H903" s="1353">
        <f>M2934</f>
        <v>0</v>
      </c>
      <c r="I903" s="1353">
        <f>N2934</f>
        <v>0</v>
      </c>
      <c r="K903" s="1391">
        <v>927</v>
      </c>
      <c r="L903" s="1391" t="s">
        <v>5197</v>
      </c>
    </row>
    <row r="904" spans="2:12">
      <c r="B904" s="5" t="s">
        <v>5198</v>
      </c>
      <c r="C904" s="6" t="s">
        <v>5199</v>
      </c>
      <c r="D904" s="2401">
        <v>0</v>
      </c>
      <c r="E904" s="2402">
        <v>0</v>
      </c>
      <c r="F904" s="2223" t="s">
        <v>5200</v>
      </c>
      <c r="G904" s="2403">
        <v>100420</v>
      </c>
      <c r="H904" s="1353">
        <f t="shared" ref="H904:I904" si="220">M2935</f>
        <v>0</v>
      </c>
      <c r="I904" s="1353">
        <f t="shared" si="220"/>
        <v>0</v>
      </c>
      <c r="K904" s="1391">
        <v>928</v>
      </c>
      <c r="L904" s="1391" t="s">
        <v>5201</v>
      </c>
    </row>
    <row r="905" spans="2:12">
      <c r="B905" s="5" t="s">
        <v>5202</v>
      </c>
      <c r="C905" s="6" t="s">
        <v>5203</v>
      </c>
      <c r="D905" s="2401">
        <v>0</v>
      </c>
      <c r="E905" s="2402">
        <v>0</v>
      </c>
      <c r="F905" s="2223" t="s">
        <v>5204</v>
      </c>
      <c r="G905" s="2403">
        <v>100421</v>
      </c>
      <c r="H905" s="1353">
        <f t="shared" ref="H905:I905" si="221">M2936</f>
        <v>0</v>
      </c>
      <c r="I905" s="1353">
        <f t="shared" si="221"/>
        <v>0</v>
      </c>
      <c r="K905" s="1391">
        <v>929</v>
      </c>
      <c r="L905" s="1391" t="s">
        <v>5205</v>
      </c>
    </row>
    <row r="906" spans="2:12">
      <c r="B906" s="5" t="s">
        <v>5206</v>
      </c>
      <c r="C906" s="6" t="s">
        <v>5207</v>
      </c>
      <c r="D906" s="2401">
        <v>0</v>
      </c>
      <c r="E906" s="2402">
        <v>0</v>
      </c>
      <c r="F906" s="2223" t="s">
        <v>5208</v>
      </c>
      <c r="G906" s="2403">
        <v>100399</v>
      </c>
      <c r="H906" s="1353">
        <f>M2914</f>
        <v>0</v>
      </c>
      <c r="I906" s="1353">
        <f>N2914</f>
        <v>0</v>
      </c>
      <c r="K906" s="1391">
        <v>930</v>
      </c>
      <c r="L906" s="1391" t="s">
        <v>5209</v>
      </c>
    </row>
    <row r="907" spans="2:12">
      <c r="B907" s="5" t="s">
        <v>5210</v>
      </c>
      <c r="C907" s="6" t="s">
        <v>5211</v>
      </c>
      <c r="D907" s="2401">
        <v>0</v>
      </c>
      <c r="E907" s="2402">
        <v>0</v>
      </c>
      <c r="F907" s="2223" t="s">
        <v>5212</v>
      </c>
      <c r="G907" s="2403">
        <v>100400</v>
      </c>
      <c r="H907" s="1353">
        <f t="shared" ref="H907:I907" si="222">M2915</f>
        <v>0</v>
      </c>
      <c r="I907" s="1353">
        <f t="shared" si="222"/>
        <v>0</v>
      </c>
      <c r="K907" s="1391">
        <v>931</v>
      </c>
      <c r="L907" s="1391" t="s">
        <v>5213</v>
      </c>
    </row>
    <row r="908" spans="2:12">
      <c r="B908" s="5" t="s">
        <v>5214</v>
      </c>
      <c r="C908" s="6" t="s">
        <v>5215</v>
      </c>
      <c r="D908" s="2401">
        <v>0</v>
      </c>
      <c r="E908" s="2402">
        <v>0</v>
      </c>
      <c r="F908" s="2223" t="s">
        <v>5216</v>
      </c>
      <c r="G908" s="2403">
        <v>100401</v>
      </c>
      <c r="H908" s="1353">
        <f t="shared" ref="H908:I908" si="223">M2916</f>
        <v>0</v>
      </c>
      <c r="I908" s="1353">
        <f t="shared" si="223"/>
        <v>0</v>
      </c>
      <c r="K908" s="1391">
        <v>932</v>
      </c>
      <c r="L908" s="1391" t="s">
        <v>5217</v>
      </c>
    </row>
    <row r="909" spans="2:12">
      <c r="B909" s="5" t="s">
        <v>5218</v>
      </c>
      <c r="C909" s="6" t="s">
        <v>5219</v>
      </c>
      <c r="D909" s="2401">
        <v>0</v>
      </c>
      <c r="E909" s="2402">
        <v>0</v>
      </c>
      <c r="F909" s="2223" t="s">
        <v>5220</v>
      </c>
      <c r="G909" s="2403">
        <v>100402</v>
      </c>
      <c r="H909" s="1353">
        <f t="shared" ref="H909:I909" si="224">M2917</f>
        <v>0</v>
      </c>
      <c r="I909" s="1353">
        <f t="shared" si="224"/>
        <v>0</v>
      </c>
      <c r="K909" s="1391">
        <v>933</v>
      </c>
      <c r="L909" s="1391" t="s">
        <v>5221</v>
      </c>
    </row>
    <row r="910" spans="2:12">
      <c r="B910" s="5" t="s">
        <v>5222</v>
      </c>
      <c r="C910" s="6" t="s">
        <v>5223</v>
      </c>
      <c r="D910" s="2401">
        <v>0</v>
      </c>
      <c r="E910" s="2402">
        <v>0</v>
      </c>
      <c r="F910" s="2223" t="s">
        <v>5224</v>
      </c>
      <c r="G910" s="2403">
        <v>100403</v>
      </c>
      <c r="H910" s="1353">
        <f t="shared" ref="H910:I910" si="225">M2918</f>
        <v>0</v>
      </c>
      <c r="I910" s="1353">
        <f t="shared" si="225"/>
        <v>0</v>
      </c>
      <c r="K910" s="1391">
        <v>934</v>
      </c>
      <c r="L910" s="1391" t="s">
        <v>5225</v>
      </c>
    </row>
    <row r="911" spans="2:12">
      <c r="B911" s="5" t="s">
        <v>5226</v>
      </c>
      <c r="C911" s="6" t="s">
        <v>5227</v>
      </c>
      <c r="D911" s="2401">
        <v>0</v>
      </c>
      <c r="E911" s="2402">
        <v>0</v>
      </c>
      <c r="F911" s="2223" t="s">
        <v>5228</v>
      </c>
      <c r="G911" s="2403">
        <v>100404</v>
      </c>
      <c r="H911" s="1353">
        <f t="shared" ref="H911:I911" si="226">M2919</f>
        <v>0</v>
      </c>
      <c r="I911" s="1353">
        <f t="shared" si="226"/>
        <v>0</v>
      </c>
      <c r="K911" s="1391">
        <v>935</v>
      </c>
      <c r="L911" s="1391" t="s">
        <v>5229</v>
      </c>
    </row>
    <row r="912" spans="2:12">
      <c r="B912" s="5" t="s">
        <v>5230</v>
      </c>
      <c r="C912" s="6" t="s">
        <v>5231</v>
      </c>
      <c r="D912" s="2401">
        <v>0</v>
      </c>
      <c r="E912" s="2402">
        <v>0</v>
      </c>
      <c r="F912" s="2223" t="s">
        <v>5232</v>
      </c>
      <c r="G912" s="2403">
        <v>100405</v>
      </c>
      <c r="H912" s="1353">
        <f t="shared" ref="H912:I912" si="227">M2920</f>
        <v>0</v>
      </c>
      <c r="I912" s="1353">
        <f t="shared" si="227"/>
        <v>0</v>
      </c>
      <c r="K912" s="1391">
        <v>936</v>
      </c>
      <c r="L912" s="1391" t="s">
        <v>5233</v>
      </c>
    </row>
    <row r="913" spans="2:12">
      <c r="B913" s="5" t="s">
        <v>5234</v>
      </c>
      <c r="C913" s="6" t="s">
        <v>5235</v>
      </c>
      <c r="D913" s="2401">
        <v>0</v>
      </c>
      <c r="E913" s="2402">
        <v>0</v>
      </c>
      <c r="F913" s="2223" t="s">
        <v>5236</v>
      </c>
      <c r="G913" s="2403">
        <v>100406</v>
      </c>
      <c r="H913" s="1353">
        <f t="shared" ref="H913:I913" si="228">M2921</f>
        <v>0</v>
      </c>
      <c r="I913" s="1353">
        <f t="shared" si="228"/>
        <v>0</v>
      </c>
      <c r="K913" s="1391">
        <v>937</v>
      </c>
      <c r="L913" s="1391" t="s">
        <v>5237</v>
      </c>
    </row>
    <row r="914" spans="2:12">
      <c r="B914" s="5" t="s">
        <v>5238</v>
      </c>
      <c r="C914" s="6" t="s">
        <v>5239</v>
      </c>
      <c r="D914" s="2401">
        <v>0</v>
      </c>
      <c r="E914" s="2402">
        <v>0</v>
      </c>
      <c r="F914" s="2223" t="s">
        <v>5240</v>
      </c>
      <c r="G914" s="2403">
        <v>100407</v>
      </c>
      <c r="H914" s="1353">
        <f t="shared" ref="H914:I914" si="229">M2922</f>
        <v>0</v>
      </c>
      <c r="I914" s="1353">
        <f t="shared" si="229"/>
        <v>0</v>
      </c>
      <c r="K914" s="1391">
        <v>938</v>
      </c>
      <c r="L914" s="1391" t="s">
        <v>5241</v>
      </c>
    </row>
    <row r="915" spans="2:12">
      <c r="B915" s="5" t="s">
        <v>5242</v>
      </c>
      <c r="C915" s="6" t="s">
        <v>5243</v>
      </c>
      <c r="D915" s="2401">
        <v>0</v>
      </c>
      <c r="E915" s="2402">
        <v>0</v>
      </c>
      <c r="F915" s="2223" t="s">
        <v>5244</v>
      </c>
      <c r="G915" s="2403">
        <v>100408</v>
      </c>
      <c r="H915" s="1353">
        <f t="shared" ref="H915:I915" si="230">M2923</f>
        <v>0</v>
      </c>
      <c r="I915" s="1353">
        <f t="shared" si="230"/>
        <v>0</v>
      </c>
      <c r="K915" s="1391">
        <v>939</v>
      </c>
      <c r="L915" s="1391" t="s">
        <v>5245</v>
      </c>
    </row>
    <row r="916" spans="2:12">
      <c r="B916" s="5" t="s">
        <v>5246</v>
      </c>
      <c r="C916" s="6" t="s">
        <v>5247</v>
      </c>
      <c r="D916" s="2401">
        <v>0</v>
      </c>
      <c r="E916" s="2402">
        <v>0</v>
      </c>
      <c r="F916" s="2223" t="s">
        <v>5248</v>
      </c>
      <c r="G916" s="2403">
        <v>100409</v>
      </c>
      <c r="H916" s="1353">
        <f t="shared" ref="H916:I916" si="231">M2924</f>
        <v>0</v>
      </c>
      <c r="I916" s="1353">
        <f t="shared" si="231"/>
        <v>0</v>
      </c>
      <c r="K916" s="1391">
        <v>940</v>
      </c>
      <c r="L916" s="1391" t="s">
        <v>5249</v>
      </c>
    </row>
    <row r="917" spans="2:12">
      <c r="B917" s="5" t="s">
        <v>5250</v>
      </c>
      <c r="C917" s="6" t="s">
        <v>5251</v>
      </c>
      <c r="D917" s="2401">
        <v>0</v>
      </c>
      <c r="E917" s="2402">
        <v>0</v>
      </c>
      <c r="F917" s="2223" t="s">
        <v>5252</v>
      </c>
      <c r="G917" s="2403">
        <v>100410</v>
      </c>
      <c r="H917" s="1353">
        <f t="shared" ref="H917:I917" si="232">M2925</f>
        <v>0</v>
      </c>
      <c r="I917" s="1353">
        <f t="shared" si="232"/>
        <v>0</v>
      </c>
      <c r="K917" s="1391">
        <v>941</v>
      </c>
      <c r="L917" s="1391" t="s">
        <v>5253</v>
      </c>
    </row>
    <row r="918" spans="2:12">
      <c r="B918" s="5" t="s">
        <v>5254</v>
      </c>
      <c r="C918" s="6" t="s">
        <v>5255</v>
      </c>
      <c r="D918" s="2401">
        <v>0</v>
      </c>
      <c r="E918" s="2402">
        <v>0</v>
      </c>
      <c r="F918" s="2223" t="s">
        <v>5256</v>
      </c>
      <c r="G918" s="2403">
        <v>100411</v>
      </c>
      <c r="H918" s="1353">
        <f t="shared" ref="H918:I918" si="233">M2926</f>
        <v>0</v>
      </c>
      <c r="I918" s="1353">
        <f t="shared" si="233"/>
        <v>0</v>
      </c>
      <c r="K918" s="1391">
        <v>942</v>
      </c>
      <c r="L918" s="1391" t="s">
        <v>5257</v>
      </c>
    </row>
    <row r="919" spans="2:12">
      <c r="B919" s="5" t="s">
        <v>5258</v>
      </c>
      <c r="C919" s="6" t="s">
        <v>5259</v>
      </c>
      <c r="D919" s="2401">
        <v>0</v>
      </c>
      <c r="E919" s="2402">
        <v>0</v>
      </c>
      <c r="F919" s="2223" t="s">
        <v>5260</v>
      </c>
      <c r="G919" s="2403">
        <v>100412</v>
      </c>
      <c r="H919" s="1353">
        <f t="shared" ref="H919:I919" si="234">M2927</f>
        <v>0</v>
      </c>
      <c r="I919" s="1353">
        <f t="shared" si="234"/>
        <v>0</v>
      </c>
      <c r="K919" s="1391">
        <v>943</v>
      </c>
      <c r="L919" s="1391" t="s">
        <v>5261</v>
      </c>
    </row>
    <row r="920" spans="2:12">
      <c r="B920" s="5" t="s">
        <v>5262</v>
      </c>
      <c r="C920" s="6" t="s">
        <v>5263</v>
      </c>
      <c r="D920" s="2401">
        <v>0</v>
      </c>
      <c r="E920" s="2402">
        <v>0</v>
      </c>
      <c r="F920" s="2223" t="s">
        <v>5264</v>
      </c>
      <c r="G920" s="2403">
        <v>100413</v>
      </c>
      <c r="H920" s="1353">
        <f t="shared" ref="H920:I920" si="235">M2928</f>
        <v>0</v>
      </c>
      <c r="I920" s="1353">
        <f t="shared" si="235"/>
        <v>0</v>
      </c>
      <c r="K920" s="1391">
        <v>944</v>
      </c>
      <c r="L920" s="1391" t="s">
        <v>5265</v>
      </c>
    </row>
    <row r="921" spans="2:12">
      <c r="B921" s="5" t="s">
        <v>5266</v>
      </c>
      <c r="C921" s="6" t="s">
        <v>5267</v>
      </c>
      <c r="D921" s="2401">
        <v>0</v>
      </c>
      <c r="E921" s="2402">
        <v>0</v>
      </c>
      <c r="F921" s="2223" t="s">
        <v>5268</v>
      </c>
      <c r="G921" s="2403">
        <v>100414</v>
      </c>
      <c r="H921" s="1353">
        <f t="shared" ref="H921:I921" si="236">M2929</f>
        <v>0</v>
      </c>
      <c r="I921" s="1353">
        <f t="shared" si="236"/>
        <v>0</v>
      </c>
      <c r="K921" s="1391">
        <v>945</v>
      </c>
      <c r="L921" s="1391" t="s">
        <v>5269</v>
      </c>
    </row>
    <row r="922" spans="2:12">
      <c r="B922" s="5" t="s">
        <v>5270</v>
      </c>
      <c r="C922" s="6" t="s">
        <v>5271</v>
      </c>
      <c r="D922" s="2401">
        <v>0</v>
      </c>
      <c r="E922" s="2402">
        <v>0</v>
      </c>
      <c r="F922" s="2223" t="s">
        <v>5272</v>
      </c>
      <c r="G922" s="2403">
        <v>100415</v>
      </c>
      <c r="H922" s="1353">
        <f t="shared" ref="H922:I922" si="237">M2930</f>
        <v>0</v>
      </c>
      <c r="I922" s="1353">
        <f t="shared" si="237"/>
        <v>0</v>
      </c>
      <c r="K922" s="1391">
        <v>946</v>
      </c>
      <c r="L922" s="1391" t="s">
        <v>5273</v>
      </c>
    </row>
    <row r="923" spans="2:12">
      <c r="B923" s="5" t="s">
        <v>5274</v>
      </c>
      <c r="C923" s="6" t="s">
        <v>5275</v>
      </c>
      <c r="D923" s="2401">
        <v>0</v>
      </c>
      <c r="E923" s="2402">
        <v>0</v>
      </c>
      <c r="F923" s="2223" t="s">
        <v>5276</v>
      </c>
      <c r="G923" s="2403">
        <v>100416</v>
      </c>
      <c r="H923" s="1353">
        <f t="shared" ref="H923:I923" si="238">M2931</f>
        <v>0</v>
      </c>
      <c r="I923" s="1353">
        <f t="shared" si="238"/>
        <v>0</v>
      </c>
      <c r="K923" s="1391">
        <v>947</v>
      </c>
      <c r="L923" s="1391" t="s">
        <v>5277</v>
      </c>
    </row>
    <row r="924" spans="2:12">
      <c r="B924" s="5" t="s">
        <v>5278</v>
      </c>
      <c r="C924" s="6" t="s">
        <v>5279</v>
      </c>
      <c r="D924" s="2401">
        <v>0</v>
      </c>
      <c r="E924" s="2402">
        <v>0</v>
      </c>
      <c r="F924" s="2223" t="s">
        <v>5280</v>
      </c>
      <c r="G924" s="2403">
        <v>100417</v>
      </c>
      <c r="H924" s="1353">
        <f t="shared" ref="H924:I924" si="239">M2932</f>
        <v>0</v>
      </c>
      <c r="I924" s="1353">
        <f t="shared" si="239"/>
        <v>0</v>
      </c>
      <c r="K924" s="1391">
        <v>948</v>
      </c>
      <c r="L924" s="1391" t="s">
        <v>5281</v>
      </c>
    </row>
    <row r="925" spans="2:12">
      <c r="B925" s="5" t="s">
        <v>5282</v>
      </c>
      <c r="C925" s="6" t="s">
        <v>5283</v>
      </c>
      <c r="D925" s="2401">
        <v>0</v>
      </c>
      <c r="E925" s="2402">
        <v>0</v>
      </c>
      <c r="F925" s="2223" t="s">
        <v>5284</v>
      </c>
      <c r="G925" s="2403">
        <v>100418</v>
      </c>
      <c r="H925" s="1353">
        <f t="shared" ref="H925:I925" si="240">M2933</f>
        <v>0</v>
      </c>
      <c r="I925" s="1353">
        <f t="shared" si="240"/>
        <v>0</v>
      </c>
      <c r="K925" s="1391">
        <v>949</v>
      </c>
      <c r="L925" s="1391" t="s">
        <v>5285</v>
      </c>
    </row>
    <row r="926" spans="2:12">
      <c r="B926" s="5" t="s">
        <v>5286</v>
      </c>
      <c r="C926" s="6" t="s">
        <v>5287</v>
      </c>
      <c r="D926" s="2401"/>
      <c r="E926" s="2402"/>
      <c r="F926" s="2223" t="s">
        <v>5288</v>
      </c>
      <c r="G926" s="2404"/>
      <c r="H926" s="1353"/>
      <c r="I926" s="1353"/>
      <c r="K926" s="1391">
        <v>950</v>
      </c>
      <c r="L926" s="1391" t="s">
        <v>5289</v>
      </c>
    </row>
    <row r="927" spans="2:12">
      <c r="B927" s="5" t="s">
        <v>5290</v>
      </c>
      <c r="C927" s="6" t="s">
        <v>5287</v>
      </c>
      <c r="D927" s="2401"/>
      <c r="E927" s="2402"/>
      <c r="F927" s="2223" t="s">
        <v>5291</v>
      </c>
      <c r="G927" s="2404"/>
      <c r="H927" s="1353"/>
      <c r="I927" s="1353"/>
      <c r="K927" s="1391">
        <v>951</v>
      </c>
      <c r="L927" s="1391" t="s">
        <v>5292</v>
      </c>
    </row>
    <row r="928" spans="2:12">
      <c r="B928" s="1074" t="s">
        <v>5293</v>
      </c>
      <c r="C928" s="6" t="s">
        <v>5294</v>
      </c>
      <c r="D928" s="1347">
        <v>0</v>
      </c>
      <c r="E928" s="1346">
        <v>0</v>
      </c>
      <c r="F928" s="1342" t="s">
        <v>2964</v>
      </c>
      <c r="G928" s="1408">
        <v>292</v>
      </c>
      <c r="H928" s="1353">
        <f>M279</f>
        <v>0</v>
      </c>
      <c r="I928" s="1353">
        <f>N279</f>
        <v>0</v>
      </c>
      <c r="K928" s="1391">
        <v>952</v>
      </c>
      <c r="L928" s="1391" t="s">
        <v>5295</v>
      </c>
    </row>
    <row r="929" spans="2:12">
      <c r="B929" s="5" t="s">
        <v>5296</v>
      </c>
      <c r="C929" s="6" t="s">
        <v>5297</v>
      </c>
      <c r="D929" s="1347">
        <v>3</v>
      </c>
      <c r="E929" s="1346">
        <v>18</v>
      </c>
      <c r="F929" s="1342" t="s">
        <v>2968</v>
      </c>
      <c r="G929" s="1408">
        <v>293</v>
      </c>
      <c r="H929" s="1353">
        <f>M280</f>
        <v>0</v>
      </c>
      <c r="I929" s="1353">
        <f>N280</f>
        <v>0</v>
      </c>
      <c r="K929" s="1391">
        <v>953</v>
      </c>
      <c r="L929" s="1391" t="s">
        <v>5298</v>
      </c>
    </row>
    <row r="930" spans="2:12">
      <c r="B930" s="5" t="s">
        <v>5299</v>
      </c>
      <c r="C930" s="6" t="s">
        <v>5300</v>
      </c>
      <c r="D930" s="1347">
        <v>62</v>
      </c>
      <c r="E930" s="1346">
        <v>263</v>
      </c>
      <c r="F930" s="1342" t="s">
        <v>3000</v>
      </c>
      <c r="G930" s="1408">
        <v>301</v>
      </c>
      <c r="H930" s="1353">
        <f>M288</f>
        <v>0</v>
      </c>
      <c r="I930" s="1353">
        <f>N288</f>
        <v>0</v>
      </c>
      <c r="K930" s="1391">
        <v>954</v>
      </c>
      <c r="L930" s="1391" t="s">
        <v>5301</v>
      </c>
    </row>
    <row r="931" spans="2:12">
      <c r="B931" s="1074" t="s">
        <v>5302</v>
      </c>
      <c r="C931" s="6" t="s">
        <v>5303</v>
      </c>
      <c r="D931" s="1347">
        <v>0</v>
      </c>
      <c r="E931" s="1346">
        <v>0</v>
      </c>
      <c r="F931" s="1342" t="s">
        <v>2980</v>
      </c>
      <c r="G931" s="1408">
        <v>296</v>
      </c>
      <c r="H931" s="1353">
        <f>M283</f>
        <v>0</v>
      </c>
      <c r="I931" s="1353">
        <f>N283</f>
        <v>0</v>
      </c>
      <c r="K931" s="1391">
        <v>955</v>
      </c>
      <c r="L931" s="1391" t="s">
        <v>5304</v>
      </c>
    </row>
    <row r="932" spans="2:12">
      <c r="B932" s="5" t="s">
        <v>5305</v>
      </c>
      <c r="C932" s="6" t="s">
        <v>5306</v>
      </c>
      <c r="D932" s="1347">
        <v>7</v>
      </c>
      <c r="E932" s="1346">
        <v>28</v>
      </c>
      <c r="F932" s="1342" t="s">
        <v>2984</v>
      </c>
      <c r="G932" s="1408">
        <v>297</v>
      </c>
      <c r="H932" s="1353">
        <f>M284</f>
        <v>0</v>
      </c>
      <c r="I932" s="1353">
        <f>N284</f>
        <v>0</v>
      </c>
      <c r="K932" s="1391">
        <v>956</v>
      </c>
      <c r="L932" s="1391" t="s">
        <v>5307</v>
      </c>
    </row>
    <row r="933" spans="2:12">
      <c r="B933" s="5" t="s">
        <v>5308</v>
      </c>
      <c r="C933" s="6" t="s">
        <v>5309</v>
      </c>
      <c r="D933" s="1347">
        <v>47</v>
      </c>
      <c r="E933" s="1346">
        <v>54</v>
      </c>
      <c r="F933" s="1342" t="s">
        <v>3008</v>
      </c>
      <c r="G933" s="1408">
        <v>303</v>
      </c>
      <c r="H933" s="1353">
        <f>M290</f>
        <v>0</v>
      </c>
      <c r="I933" s="1353">
        <f>N290</f>
        <v>0</v>
      </c>
      <c r="K933" s="1391">
        <v>957</v>
      </c>
      <c r="L933" s="1391" t="s">
        <v>5310</v>
      </c>
    </row>
    <row r="934" spans="2:12">
      <c r="B934" s="5" t="s">
        <v>5311</v>
      </c>
      <c r="C934" s="6" t="s">
        <v>5312</v>
      </c>
      <c r="D934" s="1347">
        <v>119</v>
      </c>
      <c r="E934" s="1346">
        <v>363</v>
      </c>
      <c r="F934" s="1342" t="s">
        <v>3020</v>
      </c>
      <c r="G934" s="1408">
        <v>306</v>
      </c>
      <c r="H934" s="1353">
        <f>M293</f>
        <v>0</v>
      </c>
      <c r="I934" s="1353">
        <f>N293</f>
        <v>0</v>
      </c>
      <c r="K934" s="1391">
        <v>958</v>
      </c>
      <c r="L934" s="1391" t="s">
        <v>5313</v>
      </c>
    </row>
    <row r="935" spans="2:12">
      <c r="B935" s="5" t="s">
        <v>5314</v>
      </c>
      <c r="C935" s="6" t="s">
        <v>725</v>
      </c>
      <c r="D935" s="1347">
        <v>275</v>
      </c>
      <c r="E935" s="1346">
        <v>802</v>
      </c>
      <c r="F935" s="2223" t="s">
        <v>3028</v>
      </c>
      <c r="G935" s="2403">
        <v>308</v>
      </c>
      <c r="H935" s="1353">
        <f>M295</f>
        <v>0</v>
      </c>
      <c r="I935" s="1353">
        <f>N295</f>
        <v>0</v>
      </c>
      <c r="K935" s="1391">
        <v>959</v>
      </c>
      <c r="L935" s="1391" t="s">
        <v>5315</v>
      </c>
    </row>
    <row r="936" spans="2:12">
      <c r="B936" s="5" t="s">
        <v>5316</v>
      </c>
      <c r="C936" s="6" t="s">
        <v>727</v>
      </c>
      <c r="D936" s="1347">
        <v>0</v>
      </c>
      <c r="E936" s="1346">
        <v>0</v>
      </c>
      <c r="F936" s="2223" t="s">
        <v>5317</v>
      </c>
      <c r="G936" s="2403">
        <v>100228</v>
      </c>
      <c r="H936" s="1353">
        <f>M2738</f>
        <v>0</v>
      </c>
      <c r="I936" s="1353">
        <f>N2738</f>
        <v>0</v>
      </c>
      <c r="K936" s="1391">
        <v>960</v>
      </c>
      <c r="L936" s="1391" t="s">
        <v>5318</v>
      </c>
    </row>
    <row r="937" spans="2:12">
      <c r="B937" s="5" t="s">
        <v>5319</v>
      </c>
      <c r="C937" s="6" t="s">
        <v>729</v>
      </c>
      <c r="D937" s="1347">
        <v>-5</v>
      </c>
      <c r="E937" s="1346">
        <v>-9</v>
      </c>
      <c r="F937" s="2223" t="s">
        <v>3032</v>
      </c>
      <c r="G937" s="2403">
        <v>309</v>
      </c>
      <c r="H937" s="1353">
        <f>M296</f>
        <v>0</v>
      </c>
      <c r="I937" s="1353">
        <f>N296</f>
        <v>0</v>
      </c>
      <c r="K937" s="1391">
        <v>961</v>
      </c>
      <c r="L937" s="1391" t="s">
        <v>5320</v>
      </c>
    </row>
    <row r="938" spans="2:12">
      <c r="B938" s="5" t="s">
        <v>5321</v>
      </c>
      <c r="C938" s="6" t="s">
        <v>731</v>
      </c>
      <c r="D938" s="1347">
        <v>0</v>
      </c>
      <c r="E938" s="1346">
        <v>0</v>
      </c>
      <c r="F938" s="2223" t="s">
        <v>5322</v>
      </c>
      <c r="G938" s="2403">
        <v>100232</v>
      </c>
      <c r="H938" s="1353">
        <f>M2742</f>
        <v>0</v>
      </c>
      <c r="I938" s="1353">
        <f>M2742</f>
        <v>0</v>
      </c>
      <c r="K938" s="1391">
        <v>962</v>
      </c>
      <c r="L938" s="1391" t="s">
        <v>5323</v>
      </c>
    </row>
    <row r="939" spans="2:12">
      <c r="B939" s="5" t="s">
        <v>5324</v>
      </c>
      <c r="C939" s="6" t="s">
        <v>733</v>
      </c>
      <c r="D939" s="1347">
        <v>0</v>
      </c>
      <c r="E939" s="1346">
        <v>0</v>
      </c>
      <c r="F939" s="2223" t="s">
        <v>3036</v>
      </c>
      <c r="G939" s="2403">
        <v>310</v>
      </c>
      <c r="H939" s="1353">
        <f>M297</f>
        <v>0</v>
      </c>
      <c r="I939" s="1353">
        <f>N297</f>
        <v>0</v>
      </c>
      <c r="K939" s="1391">
        <v>963</v>
      </c>
      <c r="L939" s="1391" t="s">
        <v>5325</v>
      </c>
    </row>
    <row r="940" spans="2:12">
      <c r="B940" s="5" t="s">
        <v>5326</v>
      </c>
      <c r="C940" s="6" t="s">
        <v>735</v>
      </c>
      <c r="D940" s="1347">
        <v>0</v>
      </c>
      <c r="E940" s="1346">
        <v>0</v>
      </c>
      <c r="F940" s="2223" t="s">
        <v>5327</v>
      </c>
      <c r="G940" s="2403">
        <v>99615</v>
      </c>
      <c r="H940" s="1353">
        <f>M2746</f>
        <v>0</v>
      </c>
      <c r="I940" s="1353">
        <f>N2746</f>
        <v>0</v>
      </c>
      <c r="K940" s="1391">
        <v>964</v>
      </c>
      <c r="L940" s="1391" t="s">
        <v>5328</v>
      </c>
    </row>
    <row r="941" spans="2:12">
      <c r="B941" s="5" t="s">
        <v>5329</v>
      </c>
      <c r="C941" s="6" t="s">
        <v>737</v>
      </c>
      <c r="D941" s="1347">
        <v>0</v>
      </c>
      <c r="E941" s="1346">
        <v>0</v>
      </c>
      <c r="F941" s="2223" t="s">
        <v>5330</v>
      </c>
      <c r="G941" s="2403">
        <v>100237</v>
      </c>
      <c r="H941" s="1353">
        <f>M2750</f>
        <v>0</v>
      </c>
      <c r="I941" s="1353">
        <f>N2750</f>
        <v>0</v>
      </c>
      <c r="K941" s="1391">
        <v>965</v>
      </c>
      <c r="L941" s="1391" t="s">
        <v>5331</v>
      </c>
    </row>
    <row r="942" spans="2:12">
      <c r="B942" s="1074" t="s">
        <v>5332</v>
      </c>
      <c r="C942" s="6" t="s">
        <v>740</v>
      </c>
      <c r="D942" s="1347">
        <v>0</v>
      </c>
      <c r="E942" s="1346">
        <v>0</v>
      </c>
      <c r="F942" s="2223" t="s">
        <v>3040</v>
      </c>
      <c r="G942" s="2403">
        <v>311</v>
      </c>
      <c r="H942" s="1353">
        <f>M298</f>
        <v>0</v>
      </c>
      <c r="I942" s="1353">
        <f>N298</f>
        <v>0</v>
      </c>
      <c r="K942" s="1391">
        <v>966</v>
      </c>
      <c r="L942" s="1391" t="s">
        <v>5333</v>
      </c>
    </row>
    <row r="943" spans="2:12">
      <c r="B943" s="1074" t="s">
        <v>5334</v>
      </c>
      <c r="C943" s="6" t="s">
        <v>742</v>
      </c>
      <c r="D943" s="1347">
        <v>0</v>
      </c>
      <c r="E943" s="1346">
        <v>0</v>
      </c>
      <c r="F943" s="2223" t="s">
        <v>5335</v>
      </c>
      <c r="G943" s="2403">
        <v>100241</v>
      </c>
      <c r="H943" s="1353">
        <f>M2754</f>
        <v>0</v>
      </c>
      <c r="I943" s="1353">
        <f>N2754</f>
        <v>0</v>
      </c>
      <c r="K943" s="1391">
        <v>967</v>
      </c>
      <c r="L943" s="1391" t="s">
        <v>5336</v>
      </c>
    </row>
    <row r="944" spans="2:12">
      <c r="B944" s="1074" t="s">
        <v>5337</v>
      </c>
      <c r="C944" s="6" t="s">
        <v>744</v>
      </c>
      <c r="D944" s="1347">
        <v>0</v>
      </c>
      <c r="E944" s="1346">
        <v>0</v>
      </c>
      <c r="F944" s="2223" t="s">
        <v>3044</v>
      </c>
      <c r="G944" s="2403">
        <v>312</v>
      </c>
      <c r="H944" s="1353">
        <f>M299</f>
        <v>0</v>
      </c>
      <c r="I944" s="1353">
        <f>N299</f>
        <v>0</v>
      </c>
      <c r="K944" s="1391">
        <v>968</v>
      </c>
      <c r="L944" s="1391" t="s">
        <v>5338</v>
      </c>
    </row>
    <row r="945" spans="2:12">
      <c r="B945" s="1074" t="s">
        <v>5339</v>
      </c>
      <c r="C945" s="6" t="s">
        <v>747</v>
      </c>
      <c r="D945" s="1347">
        <v>0</v>
      </c>
      <c r="E945" s="1346">
        <v>0</v>
      </c>
      <c r="F945" s="2223" t="s">
        <v>5340</v>
      </c>
      <c r="G945" s="2403">
        <v>100245</v>
      </c>
      <c r="H945" s="1353">
        <f>M2758</f>
        <v>0</v>
      </c>
      <c r="I945" s="1353">
        <f>N2758</f>
        <v>0</v>
      </c>
      <c r="K945" s="1391">
        <v>969</v>
      </c>
      <c r="L945" s="1391" t="s">
        <v>5341</v>
      </c>
    </row>
    <row r="946" spans="2:12">
      <c r="B946" s="1074" t="s">
        <v>5342</v>
      </c>
      <c r="C946" s="6" t="s">
        <v>749</v>
      </c>
      <c r="D946" s="1347">
        <v>0</v>
      </c>
      <c r="E946" s="1346">
        <v>0</v>
      </c>
      <c r="F946" s="1342" t="s">
        <v>3048</v>
      </c>
      <c r="G946" s="1408">
        <v>313</v>
      </c>
      <c r="H946" s="1353">
        <f>M300</f>
        <v>0</v>
      </c>
      <c r="I946" s="1353">
        <f>N300</f>
        <v>0</v>
      </c>
      <c r="K946" s="1391">
        <v>970</v>
      </c>
      <c r="L946" s="1391" t="s">
        <v>5343</v>
      </c>
    </row>
    <row r="947" spans="2:12">
      <c r="B947" s="5" t="s">
        <v>5344</v>
      </c>
      <c r="C947" s="6" t="s">
        <v>5345</v>
      </c>
      <c r="D947" s="1347">
        <v>190</v>
      </c>
      <c r="E947" s="1346">
        <v>686</v>
      </c>
      <c r="F947" s="1342" t="s">
        <v>5346</v>
      </c>
      <c r="G947" s="1391">
        <v>7456</v>
      </c>
      <c r="H947" s="1353">
        <f>M2677</f>
        <v>0</v>
      </c>
      <c r="I947" s="1353">
        <f>N2677</f>
        <v>0</v>
      </c>
      <c r="K947" s="1391">
        <v>971</v>
      </c>
      <c r="L947" s="1391" t="s">
        <v>5347</v>
      </c>
    </row>
    <row r="948" spans="2:12">
      <c r="B948" s="5" t="s">
        <v>5348</v>
      </c>
      <c r="C948" s="6" t="s">
        <v>5349</v>
      </c>
      <c r="D948" s="1347">
        <v>284</v>
      </c>
      <c r="E948" s="1346">
        <v>1069</v>
      </c>
      <c r="F948" s="1342" t="s">
        <v>5350</v>
      </c>
      <c r="G948" s="1391">
        <v>7459</v>
      </c>
      <c r="H948" s="1353">
        <f>M2680</f>
        <v>0</v>
      </c>
      <c r="I948" s="1353">
        <f>N2680</f>
        <v>0</v>
      </c>
      <c r="K948" s="1391">
        <v>972</v>
      </c>
      <c r="L948" s="1391" t="s">
        <v>5351</v>
      </c>
    </row>
    <row r="949" spans="2:12">
      <c r="B949" s="5" t="s">
        <v>5352</v>
      </c>
      <c r="C949" s="6" t="s">
        <v>5353</v>
      </c>
      <c r="D949" s="1347">
        <v>0</v>
      </c>
      <c r="E949" s="1346">
        <v>0</v>
      </c>
      <c r="F949" s="1342" t="s">
        <v>3052</v>
      </c>
      <c r="G949" s="1408">
        <v>316</v>
      </c>
      <c r="H949" s="1353">
        <f>M301</f>
        <v>0</v>
      </c>
      <c r="I949" s="1353">
        <f>N301</f>
        <v>0</v>
      </c>
      <c r="K949" s="1391">
        <v>973</v>
      </c>
      <c r="L949" s="1391" t="s">
        <v>5354</v>
      </c>
    </row>
    <row r="950" spans="2:12">
      <c r="B950" s="5" t="s">
        <v>5355</v>
      </c>
      <c r="C950" s="6" t="s">
        <v>5356</v>
      </c>
      <c r="D950" s="1347">
        <v>744</v>
      </c>
      <c r="E950" s="1346">
        <v>2548</v>
      </c>
      <c r="F950" s="1342" t="s">
        <v>5357</v>
      </c>
      <c r="G950" s="1409"/>
      <c r="H950" s="1353"/>
      <c r="I950" s="1353"/>
      <c r="K950" s="1391">
        <v>974</v>
      </c>
      <c r="L950" s="1391" t="s">
        <v>5358</v>
      </c>
    </row>
    <row r="951" spans="2:12">
      <c r="B951" s="5" t="s">
        <v>5359</v>
      </c>
      <c r="C951" s="6" t="s">
        <v>5360</v>
      </c>
      <c r="D951" s="1347">
        <v>37</v>
      </c>
      <c r="E951" s="1346">
        <v>115</v>
      </c>
      <c r="F951" s="1342" t="s">
        <v>3056</v>
      </c>
      <c r="G951" s="1408">
        <v>317</v>
      </c>
      <c r="H951" s="1353">
        <f t="shared" ref="H951:I953" si="241">M302</f>
        <v>0</v>
      </c>
      <c r="I951" s="1353">
        <f t="shared" si="241"/>
        <v>0</v>
      </c>
      <c r="K951" s="1391">
        <v>975</v>
      </c>
      <c r="L951" s="1391" t="s">
        <v>5361</v>
      </c>
    </row>
    <row r="952" spans="2:12">
      <c r="B952" s="5" t="s">
        <v>5344</v>
      </c>
      <c r="C952" s="6" t="s">
        <v>5362</v>
      </c>
      <c r="D952" s="1347">
        <v>0</v>
      </c>
      <c r="E952" s="1346">
        <v>0</v>
      </c>
      <c r="F952" s="1342" t="s">
        <v>3060</v>
      </c>
      <c r="G952" s="1408">
        <v>318</v>
      </c>
      <c r="H952" s="1353">
        <f t="shared" si="241"/>
        <v>0</v>
      </c>
      <c r="I952" s="1353">
        <f t="shared" si="241"/>
        <v>0</v>
      </c>
      <c r="K952" s="1391">
        <v>976</v>
      </c>
      <c r="L952" s="1391" t="s">
        <v>5363</v>
      </c>
    </row>
    <row r="953" spans="2:12">
      <c r="B953" s="5" t="s">
        <v>5348</v>
      </c>
      <c r="C953" s="6" t="s">
        <v>5364</v>
      </c>
      <c r="D953" s="1347">
        <v>13</v>
      </c>
      <c r="E953" s="1346">
        <v>36</v>
      </c>
      <c r="F953" s="1342" t="s">
        <v>3064</v>
      </c>
      <c r="G953" s="1408">
        <v>319</v>
      </c>
      <c r="H953" s="1353">
        <f t="shared" si="241"/>
        <v>0</v>
      </c>
      <c r="I953" s="1353">
        <f t="shared" si="241"/>
        <v>0</v>
      </c>
      <c r="K953" s="1391">
        <v>977</v>
      </c>
      <c r="L953" s="1391" t="s">
        <v>5365</v>
      </c>
    </row>
    <row r="954" spans="2:12">
      <c r="B954" s="5" t="s">
        <v>5366</v>
      </c>
      <c r="C954" s="6" t="s">
        <v>5367</v>
      </c>
      <c r="D954" s="1347">
        <v>50</v>
      </c>
      <c r="E954" s="1346">
        <v>151</v>
      </c>
      <c r="F954" s="1342" t="s">
        <v>5368</v>
      </c>
      <c r="G954" s="1409"/>
      <c r="H954" s="1353"/>
      <c r="I954" s="1353"/>
      <c r="K954" s="1391">
        <v>978</v>
      </c>
      <c r="L954" s="1391" t="s">
        <v>5369</v>
      </c>
    </row>
    <row r="955" spans="2:12">
      <c r="B955" s="5" t="s">
        <v>5370</v>
      </c>
      <c r="C955" s="6" t="s">
        <v>5371</v>
      </c>
      <c r="D955" s="1347">
        <v>0</v>
      </c>
      <c r="E955" s="1346">
        <v>0</v>
      </c>
      <c r="F955" s="1342" t="s">
        <v>3072</v>
      </c>
      <c r="G955" s="1408">
        <v>321</v>
      </c>
      <c r="H955" s="1353">
        <f t="shared" ref="H955:H964" si="242">M306</f>
        <v>0</v>
      </c>
      <c r="I955" s="1353">
        <f t="shared" ref="I955:I964" si="243">N306</f>
        <v>0</v>
      </c>
      <c r="K955" s="1391">
        <v>979</v>
      </c>
      <c r="L955" s="1391" t="s">
        <v>5372</v>
      </c>
    </row>
    <row r="956" spans="2:12">
      <c r="B956" s="5" t="s">
        <v>5373</v>
      </c>
      <c r="C956" s="6" t="s">
        <v>5374</v>
      </c>
      <c r="D956" s="1347">
        <v>2</v>
      </c>
      <c r="E956" s="1346">
        <v>3</v>
      </c>
      <c r="F956" s="1342" t="s">
        <v>3076</v>
      </c>
      <c r="G956" s="1408">
        <v>322</v>
      </c>
      <c r="H956" s="1353">
        <f t="shared" si="242"/>
        <v>0</v>
      </c>
      <c r="I956" s="1353">
        <f t="shared" si="243"/>
        <v>0</v>
      </c>
      <c r="K956" s="1391">
        <v>980</v>
      </c>
      <c r="L956" s="1391" t="s">
        <v>5375</v>
      </c>
    </row>
    <row r="957" spans="2:12">
      <c r="B957" s="5" t="s">
        <v>5376</v>
      </c>
      <c r="C957" s="6" t="s">
        <v>5377</v>
      </c>
      <c r="D957" s="1347">
        <v>0</v>
      </c>
      <c r="E957" s="1346">
        <v>0</v>
      </c>
      <c r="F957" s="1342" t="s">
        <v>3080</v>
      </c>
      <c r="G957" s="1408">
        <v>323</v>
      </c>
      <c r="H957" s="1353">
        <f t="shared" si="242"/>
        <v>0</v>
      </c>
      <c r="I957" s="1353">
        <f t="shared" si="243"/>
        <v>0</v>
      </c>
      <c r="K957" s="1391">
        <v>981</v>
      </c>
      <c r="L957" s="1391" t="s">
        <v>5378</v>
      </c>
    </row>
    <row r="958" spans="2:12">
      <c r="B958" s="5" t="s">
        <v>5379</v>
      </c>
      <c r="C958" s="6" t="s">
        <v>5380</v>
      </c>
      <c r="D958" s="1347">
        <v>7</v>
      </c>
      <c r="E958" s="1346">
        <v>31</v>
      </c>
      <c r="F958" s="1342" t="s">
        <v>3084</v>
      </c>
      <c r="G958" s="1408">
        <v>324</v>
      </c>
      <c r="H958" s="1353">
        <f t="shared" si="242"/>
        <v>0</v>
      </c>
      <c r="I958" s="1353">
        <f t="shared" si="243"/>
        <v>0</v>
      </c>
      <c r="K958" s="1391">
        <v>982</v>
      </c>
      <c r="L958" s="1391" t="s">
        <v>5381</v>
      </c>
    </row>
    <row r="959" spans="2:12">
      <c r="B959" s="5" t="s">
        <v>5382</v>
      </c>
      <c r="C959" s="6" t="s">
        <v>5383</v>
      </c>
      <c r="D959" s="1347">
        <v>13</v>
      </c>
      <c r="E959" s="1346">
        <v>30</v>
      </c>
      <c r="F959" s="1342" t="s">
        <v>3088</v>
      </c>
      <c r="G959" s="1408">
        <v>325</v>
      </c>
      <c r="H959" s="1353">
        <f t="shared" si="242"/>
        <v>0</v>
      </c>
      <c r="I959" s="1353">
        <f t="shared" si="243"/>
        <v>0</v>
      </c>
      <c r="K959" s="1391">
        <v>983</v>
      </c>
      <c r="L959" s="1391" t="s">
        <v>5384</v>
      </c>
    </row>
    <row r="960" spans="2:12">
      <c r="B960" s="5" t="s">
        <v>5385</v>
      </c>
      <c r="C960" s="6" t="s">
        <v>5386</v>
      </c>
      <c r="D960" s="1347">
        <v>3</v>
      </c>
      <c r="E960" s="1346">
        <v>7</v>
      </c>
      <c r="F960" s="1342" t="s">
        <v>3092</v>
      </c>
      <c r="G960" s="1408">
        <v>326</v>
      </c>
      <c r="H960" s="1353">
        <f t="shared" si="242"/>
        <v>0</v>
      </c>
      <c r="I960" s="1353">
        <f t="shared" si="243"/>
        <v>0</v>
      </c>
      <c r="K960" s="1391">
        <v>984</v>
      </c>
      <c r="L960" s="1391" t="s">
        <v>5387</v>
      </c>
    </row>
    <row r="961" spans="2:12">
      <c r="B961" s="5" t="s">
        <v>5388</v>
      </c>
      <c r="C961" s="6" t="s">
        <v>5389</v>
      </c>
      <c r="D961" s="1347">
        <v>0</v>
      </c>
      <c r="E961" s="1346">
        <v>0</v>
      </c>
      <c r="F961" s="1342" t="s">
        <v>3096</v>
      </c>
      <c r="G961" s="1408">
        <v>327</v>
      </c>
      <c r="H961" s="1353">
        <f t="shared" si="242"/>
        <v>0</v>
      </c>
      <c r="I961" s="1353">
        <f t="shared" si="243"/>
        <v>0</v>
      </c>
      <c r="K961" s="1391">
        <v>985</v>
      </c>
      <c r="L961" s="1391" t="s">
        <v>5390</v>
      </c>
    </row>
    <row r="962" spans="2:12">
      <c r="B962" s="5" t="s">
        <v>5376</v>
      </c>
      <c r="C962" s="6" t="s">
        <v>5391</v>
      </c>
      <c r="D962" s="1347">
        <v>0</v>
      </c>
      <c r="E962" s="1346">
        <v>0</v>
      </c>
      <c r="F962" s="1342" t="s">
        <v>3100</v>
      </c>
      <c r="G962" s="1408">
        <v>328</v>
      </c>
      <c r="H962" s="1353">
        <f t="shared" si="242"/>
        <v>0</v>
      </c>
      <c r="I962" s="1353">
        <f t="shared" si="243"/>
        <v>0</v>
      </c>
      <c r="K962" s="1391">
        <v>986</v>
      </c>
      <c r="L962" s="1391" t="s">
        <v>5392</v>
      </c>
    </row>
    <row r="963" spans="2:12">
      <c r="B963" s="5" t="s">
        <v>5379</v>
      </c>
      <c r="C963" s="6" t="s">
        <v>5393</v>
      </c>
      <c r="D963" s="1347">
        <v>2</v>
      </c>
      <c r="E963" s="1346">
        <v>9</v>
      </c>
      <c r="F963" s="1342" t="s">
        <v>3105</v>
      </c>
      <c r="G963" s="1408">
        <v>329</v>
      </c>
      <c r="H963" s="1353">
        <f t="shared" si="242"/>
        <v>0</v>
      </c>
      <c r="I963" s="1353">
        <f t="shared" si="243"/>
        <v>0</v>
      </c>
      <c r="K963" s="1391">
        <v>987</v>
      </c>
      <c r="L963" s="1391" t="s">
        <v>5394</v>
      </c>
    </row>
    <row r="964" spans="2:12">
      <c r="B964" s="5" t="s">
        <v>5382</v>
      </c>
      <c r="C964" s="6" t="s">
        <v>5395</v>
      </c>
      <c r="D964" s="1347">
        <v>0</v>
      </c>
      <c r="E964" s="1346">
        <v>0</v>
      </c>
      <c r="F964" s="1342" t="s">
        <v>3109</v>
      </c>
      <c r="G964" s="1408">
        <v>330</v>
      </c>
      <c r="H964" s="1353">
        <f t="shared" si="242"/>
        <v>0</v>
      </c>
      <c r="I964" s="1353">
        <f t="shared" si="243"/>
        <v>0</v>
      </c>
      <c r="K964" s="1391">
        <v>988</v>
      </c>
      <c r="L964" s="1391" t="s">
        <v>5396</v>
      </c>
    </row>
    <row r="965" spans="2:12">
      <c r="B965" s="5" t="s">
        <v>5397</v>
      </c>
      <c r="C965" s="6" t="s">
        <v>5398</v>
      </c>
      <c r="D965" s="1347">
        <v>27</v>
      </c>
      <c r="E965" s="1346">
        <v>80</v>
      </c>
      <c r="F965" s="1342" t="s">
        <v>5399</v>
      </c>
      <c r="G965" s="1409"/>
      <c r="H965" s="1353"/>
      <c r="I965" s="1353"/>
      <c r="K965" s="1391">
        <v>989</v>
      </c>
      <c r="L965" s="1391" t="s">
        <v>5400</v>
      </c>
    </row>
    <row r="966" spans="2:12">
      <c r="B966" s="5" t="s">
        <v>5401</v>
      </c>
      <c r="C966" s="6" t="s">
        <v>5402</v>
      </c>
      <c r="D966" s="1347">
        <v>0</v>
      </c>
      <c r="E966" s="1346">
        <v>0</v>
      </c>
      <c r="F966" s="1342" t="s">
        <v>5338</v>
      </c>
      <c r="G966" s="1408">
        <v>968</v>
      </c>
      <c r="H966" s="1353">
        <f>M944</f>
        <v>0</v>
      </c>
      <c r="I966" s="1353">
        <f>N944</f>
        <v>0</v>
      </c>
      <c r="K966" s="1391">
        <v>990</v>
      </c>
      <c r="L966" s="1391" t="s">
        <v>5403</v>
      </c>
    </row>
    <row r="967" spans="2:12">
      <c r="B967" s="5" t="s">
        <v>5404</v>
      </c>
      <c r="C967" s="6" t="s">
        <v>5405</v>
      </c>
      <c r="D967" s="1347">
        <v>0</v>
      </c>
      <c r="E967" s="1346">
        <v>0</v>
      </c>
      <c r="F967" s="1342" t="s">
        <v>5406</v>
      </c>
      <c r="G967" s="1408">
        <v>1027</v>
      </c>
      <c r="H967" s="1353">
        <f>M1003</f>
        <v>0</v>
      </c>
      <c r="I967" s="1353">
        <f>N1003</f>
        <v>0</v>
      </c>
      <c r="K967" s="1391">
        <v>991</v>
      </c>
      <c r="L967" s="1391" t="s">
        <v>5407</v>
      </c>
    </row>
    <row r="968" spans="2:12">
      <c r="B968" s="5" t="s">
        <v>5408</v>
      </c>
      <c r="C968" s="6" t="s">
        <v>5409</v>
      </c>
      <c r="D968" s="1347">
        <v>0</v>
      </c>
      <c r="E968" s="1346">
        <v>0</v>
      </c>
      <c r="F968" s="1342" t="s">
        <v>5410</v>
      </c>
      <c r="G968" s="1408">
        <v>1086</v>
      </c>
      <c r="H968" s="1353">
        <f>M1062</f>
        <v>0</v>
      </c>
      <c r="I968" s="1353">
        <f>N1062</f>
        <v>0</v>
      </c>
      <c r="K968" s="1391">
        <v>992</v>
      </c>
      <c r="L968" s="1391" t="s">
        <v>5411</v>
      </c>
    </row>
    <row r="969" spans="2:12">
      <c r="B969" s="5" t="s">
        <v>5412</v>
      </c>
      <c r="C969" s="6" t="s">
        <v>5413</v>
      </c>
      <c r="D969" s="1347">
        <v>0</v>
      </c>
      <c r="E969" s="1346">
        <v>0</v>
      </c>
      <c r="F969" s="1342" t="s">
        <v>5414</v>
      </c>
      <c r="G969" s="1408">
        <v>1142</v>
      </c>
      <c r="H969" s="1353">
        <f>M1118</f>
        <v>0</v>
      </c>
      <c r="I969" s="1353">
        <f>N1118</f>
        <v>0</v>
      </c>
      <c r="K969" s="1391">
        <v>993</v>
      </c>
      <c r="L969" s="1391" t="s">
        <v>5415</v>
      </c>
    </row>
    <row r="970" spans="2:12">
      <c r="B970" s="5" t="s">
        <v>5416</v>
      </c>
      <c r="C970" s="6" t="s">
        <v>5417</v>
      </c>
      <c r="D970" s="1347">
        <v>0</v>
      </c>
      <c r="E970" s="1346">
        <v>0</v>
      </c>
      <c r="F970" s="1342" t="s">
        <v>5418</v>
      </c>
      <c r="G970" s="1408">
        <v>1195</v>
      </c>
      <c r="H970" s="1353">
        <f>M1171</f>
        <v>0</v>
      </c>
      <c r="I970" s="1353">
        <f>N1171</f>
        <v>0</v>
      </c>
      <c r="K970" s="1391">
        <v>994</v>
      </c>
      <c r="L970" s="1391" t="s">
        <v>5419</v>
      </c>
    </row>
    <row r="971" spans="2:12">
      <c r="B971" s="5" t="s">
        <v>5420</v>
      </c>
      <c r="C971" s="6" t="s">
        <v>5421</v>
      </c>
      <c r="D971" s="1347">
        <v>0</v>
      </c>
      <c r="E971" s="1346">
        <v>0</v>
      </c>
      <c r="F971" s="1342" t="s">
        <v>5422</v>
      </c>
      <c r="G971" s="1408">
        <v>1248</v>
      </c>
      <c r="H971" s="1353">
        <f>M1224</f>
        <v>0</v>
      </c>
      <c r="I971" s="1353">
        <f>N1224</f>
        <v>0</v>
      </c>
      <c r="K971" s="1391">
        <v>995</v>
      </c>
      <c r="L971" s="1391" t="s">
        <v>5423</v>
      </c>
    </row>
    <row r="972" spans="2:12">
      <c r="B972" s="5" t="s">
        <v>5424</v>
      </c>
      <c r="C972" s="6" t="s">
        <v>5425</v>
      </c>
      <c r="D972" s="1347">
        <v>7312</v>
      </c>
      <c r="E972" s="1346">
        <v>25957</v>
      </c>
      <c r="F972" s="1342" t="s">
        <v>5426</v>
      </c>
      <c r="G972" s="1408">
        <v>1141</v>
      </c>
      <c r="H972" s="1353">
        <f>M1117</f>
        <v>0</v>
      </c>
      <c r="I972" s="1353">
        <f>N1117</f>
        <v>0</v>
      </c>
      <c r="K972" s="1391">
        <v>996</v>
      </c>
      <c r="L972" s="1391" t="s">
        <v>5427</v>
      </c>
    </row>
    <row r="973" spans="2:12">
      <c r="B973" s="5" t="s">
        <v>5428</v>
      </c>
      <c r="C973" s="6" t="s">
        <v>5429</v>
      </c>
      <c r="D973" s="1347">
        <v>0</v>
      </c>
      <c r="E973" s="1346">
        <v>0</v>
      </c>
      <c r="F973" s="1342" t="s">
        <v>5430</v>
      </c>
      <c r="G973" s="1408">
        <v>1194</v>
      </c>
      <c r="H973" s="1353">
        <f>M1170</f>
        <v>0</v>
      </c>
      <c r="I973" s="1353">
        <f>N1170</f>
        <v>0</v>
      </c>
      <c r="K973" s="1391">
        <v>997</v>
      </c>
      <c r="L973" s="1391" t="s">
        <v>5431</v>
      </c>
    </row>
    <row r="974" spans="2:12">
      <c r="B974" s="5" t="s">
        <v>5432</v>
      </c>
      <c r="C974" s="6" t="s">
        <v>5433</v>
      </c>
      <c r="D974" s="1347">
        <v>-7312</v>
      </c>
      <c r="E974" s="1346">
        <v>-25957</v>
      </c>
      <c r="F974" s="1342" t="s">
        <v>5434</v>
      </c>
      <c r="G974" s="1408">
        <v>1247</v>
      </c>
      <c r="H974" s="1353">
        <f>M1223</f>
        <v>0</v>
      </c>
      <c r="I974" s="1353">
        <f>N1223</f>
        <v>0</v>
      </c>
      <c r="K974" s="1391">
        <v>998</v>
      </c>
      <c r="L974" s="1391" t="s">
        <v>5435</v>
      </c>
    </row>
    <row r="975" spans="2:12">
      <c r="B975" s="5" t="s">
        <v>5436</v>
      </c>
      <c r="C975" s="6" t="s">
        <v>5437</v>
      </c>
      <c r="D975" s="1347">
        <v>0</v>
      </c>
      <c r="E975" s="1346">
        <v>0</v>
      </c>
      <c r="F975" s="1342" t="s">
        <v>3875</v>
      </c>
      <c r="G975" s="1408">
        <v>548</v>
      </c>
      <c r="H975" s="1353">
        <f>M530</f>
        <v>0</v>
      </c>
      <c r="I975" s="1353">
        <f>N530</f>
        <v>0</v>
      </c>
      <c r="K975" s="1391">
        <v>999</v>
      </c>
      <c r="L975" s="1391" t="s">
        <v>5438</v>
      </c>
    </row>
    <row r="976" spans="2:12">
      <c r="B976" s="5" t="s">
        <v>5439</v>
      </c>
      <c r="C976" s="6" t="s">
        <v>5440</v>
      </c>
      <c r="D976" s="1347">
        <v>0</v>
      </c>
      <c r="E976" s="1346">
        <v>0</v>
      </c>
      <c r="F976" s="1342" t="s">
        <v>3879</v>
      </c>
      <c r="G976" s="1408">
        <v>549</v>
      </c>
      <c r="H976" s="1353">
        <f>M531</f>
        <v>0</v>
      </c>
      <c r="I976" s="1353">
        <f>N531</f>
        <v>0</v>
      </c>
      <c r="K976" s="1391">
        <v>1000</v>
      </c>
      <c r="L976" s="1391" t="s">
        <v>5441</v>
      </c>
    </row>
    <row r="977" spans="2:12">
      <c r="B977" s="5" t="s">
        <v>5442</v>
      </c>
      <c r="C977" s="6" t="s">
        <v>5443</v>
      </c>
      <c r="D977" s="1350">
        <v>0</v>
      </c>
      <c r="E977" s="1346">
        <v>0</v>
      </c>
      <c r="F977" s="1342" t="s">
        <v>3923</v>
      </c>
      <c r="G977" s="1408">
        <v>560</v>
      </c>
      <c r="H977" s="1415">
        <f t="shared" ref="H977:I982" si="244">M542</f>
        <v>0</v>
      </c>
      <c r="I977" s="1353">
        <f t="shared" si="244"/>
        <v>0</v>
      </c>
      <c r="K977" s="1391">
        <v>1001</v>
      </c>
      <c r="L977" s="1391" t="s">
        <v>5444</v>
      </c>
    </row>
    <row r="978" spans="2:12">
      <c r="B978" s="5" t="s">
        <v>5445</v>
      </c>
      <c r="C978" s="6" t="s">
        <v>5446</v>
      </c>
      <c r="D978" s="1347">
        <v>0</v>
      </c>
      <c r="E978" s="1346">
        <v>0</v>
      </c>
      <c r="F978" s="1342" t="s">
        <v>3927</v>
      </c>
      <c r="G978" s="1408">
        <v>561</v>
      </c>
      <c r="H978" s="1353">
        <f t="shared" si="244"/>
        <v>0</v>
      </c>
      <c r="I978" s="1353">
        <f t="shared" si="244"/>
        <v>0</v>
      </c>
      <c r="K978" s="1391">
        <v>1002</v>
      </c>
      <c r="L978" s="1391" t="s">
        <v>5447</v>
      </c>
    </row>
    <row r="979" spans="2:12">
      <c r="B979" s="5" t="s">
        <v>5448</v>
      </c>
      <c r="C979" s="6" t="s">
        <v>5449</v>
      </c>
      <c r="D979" s="1347">
        <v>0</v>
      </c>
      <c r="E979" s="1346">
        <v>0</v>
      </c>
      <c r="F979" s="1342" t="s">
        <v>3931</v>
      </c>
      <c r="G979" s="1408">
        <v>562</v>
      </c>
      <c r="H979" s="1353">
        <f t="shared" si="244"/>
        <v>0</v>
      </c>
      <c r="I979" s="1353">
        <f t="shared" si="244"/>
        <v>0</v>
      </c>
      <c r="K979" s="1391">
        <v>1003</v>
      </c>
      <c r="L979" s="1391" t="s">
        <v>5450</v>
      </c>
    </row>
    <row r="980" spans="2:12">
      <c r="B980" s="5" t="s">
        <v>5451</v>
      </c>
      <c r="C980" s="6" t="s">
        <v>5452</v>
      </c>
      <c r="D980" s="1347">
        <v>0</v>
      </c>
      <c r="E980" s="1345">
        <v>0</v>
      </c>
      <c r="F980" s="1342" t="s">
        <v>5453</v>
      </c>
      <c r="G980" s="1391">
        <v>563</v>
      </c>
      <c r="H980" s="1353">
        <f t="shared" si="244"/>
        <v>0</v>
      </c>
      <c r="I980" s="1353">
        <f t="shared" si="244"/>
        <v>0</v>
      </c>
      <c r="K980" s="1391">
        <v>1004</v>
      </c>
      <c r="L980" s="1391" t="s">
        <v>5454</v>
      </c>
    </row>
    <row r="981" spans="2:12">
      <c r="B981" s="5" t="s">
        <v>5455</v>
      </c>
      <c r="C981" s="6" t="s">
        <v>5456</v>
      </c>
      <c r="D981" s="1347">
        <v>0</v>
      </c>
      <c r="E981" s="1346">
        <v>0</v>
      </c>
      <c r="F981" s="1342" t="s">
        <v>3939</v>
      </c>
      <c r="G981" s="1408">
        <v>564</v>
      </c>
      <c r="H981" s="1353">
        <f t="shared" si="244"/>
        <v>0</v>
      </c>
      <c r="I981" s="1353">
        <f t="shared" si="244"/>
        <v>0</v>
      </c>
      <c r="K981" s="1391">
        <v>1005</v>
      </c>
      <c r="L981" s="1391" t="s">
        <v>5457</v>
      </c>
    </row>
    <row r="982" spans="2:12">
      <c r="B982" s="5" t="s">
        <v>5458</v>
      </c>
      <c r="C982" s="6" t="s">
        <v>5459</v>
      </c>
      <c r="D982" s="1347">
        <v>0</v>
      </c>
      <c r="E982" s="1346">
        <v>0</v>
      </c>
      <c r="F982" s="1342" t="s">
        <v>3943</v>
      </c>
      <c r="G982" s="1408">
        <v>565</v>
      </c>
      <c r="H982" s="1353">
        <f t="shared" si="244"/>
        <v>0</v>
      </c>
      <c r="I982" s="1353">
        <f t="shared" si="244"/>
        <v>0</v>
      </c>
      <c r="K982" s="1391">
        <v>1006</v>
      </c>
      <c r="L982" s="1391" t="s">
        <v>5460</v>
      </c>
    </row>
    <row r="983" spans="2:12">
      <c r="B983" s="5" t="s">
        <v>5436</v>
      </c>
      <c r="C983" s="6" t="s">
        <v>5461</v>
      </c>
      <c r="D983" s="1347">
        <v>0</v>
      </c>
      <c r="E983" s="1346">
        <v>0</v>
      </c>
      <c r="F983" s="1342" t="s">
        <v>3883</v>
      </c>
      <c r="G983" s="1408">
        <v>550</v>
      </c>
      <c r="H983" s="1353">
        <f>M532</f>
        <v>0</v>
      </c>
      <c r="I983" s="1353">
        <f>N532</f>
        <v>0</v>
      </c>
      <c r="K983" s="1391">
        <v>1007</v>
      </c>
      <c r="L983" s="1391" t="s">
        <v>5462</v>
      </c>
    </row>
    <row r="984" spans="2:12">
      <c r="B984" s="5" t="s">
        <v>5439</v>
      </c>
      <c r="C984" s="6" t="s">
        <v>5463</v>
      </c>
      <c r="D984" s="1347">
        <v>0</v>
      </c>
      <c r="E984" s="1346">
        <v>0</v>
      </c>
      <c r="F984" s="1342" t="s">
        <v>3887</v>
      </c>
      <c r="G984" s="1408">
        <v>551</v>
      </c>
      <c r="H984" s="1353">
        <f>M533</f>
        <v>0</v>
      </c>
      <c r="I984" s="1353">
        <f>N533</f>
        <v>0</v>
      </c>
      <c r="K984" s="1391">
        <v>1008</v>
      </c>
      <c r="L984" s="1391" t="s">
        <v>5464</v>
      </c>
    </row>
    <row r="985" spans="2:12">
      <c r="B985" s="5" t="s">
        <v>5442</v>
      </c>
      <c r="C985" s="6" t="s">
        <v>5465</v>
      </c>
      <c r="D985" s="1350">
        <v>0</v>
      </c>
      <c r="E985" s="1346">
        <v>0</v>
      </c>
      <c r="F985" s="1342" t="s">
        <v>3947</v>
      </c>
      <c r="G985" s="1408">
        <v>566</v>
      </c>
      <c r="H985" s="1415">
        <f t="shared" ref="H985:I990" si="245">M548</f>
        <v>0</v>
      </c>
      <c r="I985" s="1353">
        <f t="shared" si="245"/>
        <v>0</v>
      </c>
      <c r="K985" s="1391">
        <v>1009</v>
      </c>
      <c r="L985" s="1391" t="s">
        <v>5466</v>
      </c>
    </row>
    <row r="986" spans="2:12">
      <c r="B986" s="5" t="s">
        <v>5445</v>
      </c>
      <c r="C986" s="6" t="s">
        <v>5467</v>
      </c>
      <c r="D986" s="1347">
        <v>0</v>
      </c>
      <c r="E986" s="1346">
        <v>0</v>
      </c>
      <c r="F986" s="1342" t="s">
        <v>3951</v>
      </c>
      <c r="G986" s="1408">
        <v>567</v>
      </c>
      <c r="H986" s="1353">
        <f t="shared" si="245"/>
        <v>0</v>
      </c>
      <c r="I986" s="1353">
        <f t="shared" si="245"/>
        <v>0</v>
      </c>
      <c r="K986" s="1391">
        <v>1010</v>
      </c>
      <c r="L986" s="1391" t="s">
        <v>5468</v>
      </c>
    </row>
    <row r="987" spans="2:12">
      <c r="B987" s="5" t="s">
        <v>5448</v>
      </c>
      <c r="C987" s="6" t="s">
        <v>5469</v>
      </c>
      <c r="D987" s="1347">
        <v>0</v>
      </c>
      <c r="E987" s="1346">
        <v>0</v>
      </c>
      <c r="F987" s="1342" t="s">
        <v>3955</v>
      </c>
      <c r="G987" s="1408">
        <v>568</v>
      </c>
      <c r="H987" s="1353">
        <f t="shared" si="245"/>
        <v>0</v>
      </c>
      <c r="I987" s="1353">
        <f t="shared" si="245"/>
        <v>0</v>
      </c>
      <c r="K987" s="1391">
        <v>1011</v>
      </c>
      <c r="L987" s="1391" t="s">
        <v>5470</v>
      </c>
    </row>
    <row r="988" spans="2:12">
      <c r="B988" s="5" t="s">
        <v>5451</v>
      </c>
      <c r="C988" s="6" t="s">
        <v>5471</v>
      </c>
      <c r="D988" s="1347">
        <v>0</v>
      </c>
      <c r="E988" s="1345">
        <v>0</v>
      </c>
      <c r="F988" s="1342" t="s">
        <v>5472</v>
      </c>
      <c r="G988" s="1391">
        <v>569</v>
      </c>
      <c r="H988" s="1353">
        <f t="shared" si="245"/>
        <v>0</v>
      </c>
      <c r="I988" s="1353">
        <f t="shared" si="245"/>
        <v>0</v>
      </c>
      <c r="K988" s="1391">
        <v>1012</v>
      </c>
      <c r="L988" s="1391" t="s">
        <v>5473</v>
      </c>
    </row>
    <row r="989" spans="2:12">
      <c r="B989" s="5" t="s">
        <v>5455</v>
      </c>
      <c r="C989" s="6" t="s">
        <v>5474</v>
      </c>
      <c r="D989" s="1347">
        <v>0</v>
      </c>
      <c r="E989" s="1346">
        <v>0</v>
      </c>
      <c r="F989" s="1342" t="s">
        <v>3963</v>
      </c>
      <c r="G989" s="1408">
        <v>570</v>
      </c>
      <c r="H989" s="1353">
        <f t="shared" si="245"/>
        <v>0</v>
      </c>
      <c r="I989" s="1353">
        <f t="shared" si="245"/>
        <v>0</v>
      </c>
      <c r="K989" s="1391">
        <v>1013</v>
      </c>
      <c r="L989" s="1391" t="s">
        <v>5475</v>
      </c>
    </row>
    <row r="990" spans="2:12">
      <c r="B990" s="5" t="s">
        <v>5458</v>
      </c>
      <c r="C990" s="6" t="s">
        <v>5476</v>
      </c>
      <c r="D990" s="1347">
        <v>0</v>
      </c>
      <c r="E990" s="1346">
        <v>0</v>
      </c>
      <c r="F990" s="1342" t="s">
        <v>3967</v>
      </c>
      <c r="G990" s="1408">
        <v>571</v>
      </c>
      <c r="H990" s="1353">
        <f t="shared" si="245"/>
        <v>0</v>
      </c>
      <c r="I990" s="1353">
        <f t="shared" si="245"/>
        <v>0</v>
      </c>
      <c r="K990" s="1391">
        <v>1014</v>
      </c>
      <c r="L990" s="1391" t="s">
        <v>5477</v>
      </c>
    </row>
    <row r="991" spans="2:12">
      <c r="B991" s="5" t="s">
        <v>5436</v>
      </c>
      <c r="C991" s="6" t="s">
        <v>5478</v>
      </c>
      <c r="D991" s="1347">
        <v>0</v>
      </c>
      <c r="E991" s="1346">
        <v>0</v>
      </c>
      <c r="F991" s="1342" t="s">
        <v>3891</v>
      </c>
      <c r="G991" s="1408">
        <v>552</v>
      </c>
      <c r="H991" s="1353">
        <f>M534</f>
        <v>0</v>
      </c>
      <c r="I991" s="1353">
        <f>N534</f>
        <v>0</v>
      </c>
      <c r="K991" s="1391">
        <v>1015</v>
      </c>
      <c r="L991" s="1391" t="s">
        <v>5479</v>
      </c>
    </row>
    <row r="992" spans="2:12">
      <c r="B992" s="5" t="s">
        <v>5439</v>
      </c>
      <c r="C992" s="6" t="s">
        <v>5480</v>
      </c>
      <c r="D992" s="1347">
        <v>0</v>
      </c>
      <c r="E992" s="1346">
        <v>0</v>
      </c>
      <c r="F992" s="1342" t="s">
        <v>3895</v>
      </c>
      <c r="G992" s="1408">
        <v>553</v>
      </c>
      <c r="H992" s="1353">
        <f>M535</f>
        <v>0</v>
      </c>
      <c r="I992" s="1353">
        <f>N535</f>
        <v>0</v>
      </c>
      <c r="K992" s="1391">
        <v>1016</v>
      </c>
      <c r="L992" s="1391" t="s">
        <v>5481</v>
      </c>
    </row>
    <row r="993" spans="2:12">
      <c r="B993" s="5" t="s">
        <v>5442</v>
      </c>
      <c r="C993" s="6" t="s">
        <v>5482</v>
      </c>
      <c r="D993" s="1350">
        <v>0</v>
      </c>
      <c r="E993" s="1346">
        <v>0</v>
      </c>
      <c r="F993" s="1342" t="s">
        <v>3971</v>
      </c>
      <c r="G993" s="1408">
        <v>572</v>
      </c>
      <c r="H993" s="1415">
        <f t="shared" ref="H993:I997" si="246">M554</f>
        <v>0</v>
      </c>
      <c r="I993" s="1353">
        <f t="shared" si="246"/>
        <v>0</v>
      </c>
      <c r="K993" s="1391">
        <v>1017</v>
      </c>
      <c r="L993" s="1391" t="s">
        <v>5483</v>
      </c>
    </row>
    <row r="994" spans="2:12">
      <c r="B994" s="5" t="s">
        <v>5445</v>
      </c>
      <c r="C994" s="6" t="s">
        <v>5484</v>
      </c>
      <c r="D994" s="1347">
        <v>0</v>
      </c>
      <c r="E994" s="1346">
        <v>0</v>
      </c>
      <c r="F994" s="1342" t="s">
        <v>3975</v>
      </c>
      <c r="G994" s="1408">
        <v>573</v>
      </c>
      <c r="H994" s="1353">
        <f t="shared" si="246"/>
        <v>0</v>
      </c>
      <c r="I994" s="1353">
        <f t="shared" si="246"/>
        <v>0</v>
      </c>
      <c r="K994" s="1391">
        <v>1018</v>
      </c>
      <c r="L994" s="1391" t="s">
        <v>5485</v>
      </c>
    </row>
    <row r="995" spans="2:12">
      <c r="B995" s="5" t="s">
        <v>5448</v>
      </c>
      <c r="C995" s="6" t="s">
        <v>5486</v>
      </c>
      <c r="D995" s="1347">
        <v>0</v>
      </c>
      <c r="E995" s="1346">
        <v>0</v>
      </c>
      <c r="F995" s="1342" t="s">
        <v>3979</v>
      </c>
      <c r="G995" s="1408">
        <v>574</v>
      </c>
      <c r="H995" s="1353">
        <f t="shared" si="246"/>
        <v>0</v>
      </c>
      <c r="I995" s="1353">
        <f t="shared" si="246"/>
        <v>0</v>
      </c>
      <c r="K995" s="1391">
        <v>1019</v>
      </c>
      <c r="L995" s="1391" t="s">
        <v>5487</v>
      </c>
    </row>
    <row r="996" spans="2:12">
      <c r="B996" s="5" t="s">
        <v>5451</v>
      </c>
      <c r="C996" s="6" t="s">
        <v>5488</v>
      </c>
      <c r="D996" s="1347">
        <v>0</v>
      </c>
      <c r="E996" s="1345">
        <v>0</v>
      </c>
      <c r="F996" s="1342" t="s">
        <v>5489</v>
      </c>
      <c r="G996" s="1391">
        <v>575</v>
      </c>
      <c r="H996" s="1353">
        <f t="shared" si="246"/>
        <v>0</v>
      </c>
      <c r="I996" s="1353">
        <f t="shared" si="246"/>
        <v>0</v>
      </c>
      <c r="K996" s="1391">
        <v>1020</v>
      </c>
      <c r="L996" s="1391" t="s">
        <v>5490</v>
      </c>
    </row>
    <row r="997" spans="2:12">
      <c r="B997" s="5" t="s">
        <v>5455</v>
      </c>
      <c r="C997" s="6" t="s">
        <v>5491</v>
      </c>
      <c r="D997" s="1347">
        <v>0</v>
      </c>
      <c r="E997" s="1346">
        <v>0</v>
      </c>
      <c r="F997" s="1342" t="s">
        <v>3987</v>
      </c>
      <c r="G997" s="1408">
        <v>576</v>
      </c>
      <c r="H997" s="1353">
        <f t="shared" si="246"/>
        <v>0</v>
      </c>
      <c r="I997" s="1353">
        <f t="shared" si="246"/>
        <v>0</v>
      </c>
      <c r="K997" s="1391">
        <v>1021</v>
      </c>
      <c r="L997" s="1391" t="s">
        <v>5492</v>
      </c>
    </row>
    <row r="998" spans="2:12">
      <c r="B998" s="5" t="s">
        <v>5493</v>
      </c>
      <c r="C998" s="6" t="s">
        <v>5494</v>
      </c>
      <c r="D998" s="1350">
        <v>0</v>
      </c>
      <c r="E998" s="1346">
        <v>0</v>
      </c>
      <c r="F998" s="1342" t="s">
        <v>3899</v>
      </c>
      <c r="G998" s="1408">
        <v>554</v>
      </c>
      <c r="H998" s="1415">
        <f t="shared" ref="H998:I1003" si="247">M536</f>
        <v>0</v>
      </c>
      <c r="I998" s="1353">
        <f t="shared" si="247"/>
        <v>0</v>
      </c>
      <c r="K998" s="1391">
        <v>1022</v>
      </c>
      <c r="L998" s="1391" t="s">
        <v>5495</v>
      </c>
    </row>
    <row r="999" spans="2:12">
      <c r="B999" s="5" t="s">
        <v>5496</v>
      </c>
      <c r="C999" s="6" t="s">
        <v>5497</v>
      </c>
      <c r="D999" s="1347">
        <v>0</v>
      </c>
      <c r="E999" s="1351">
        <v>0</v>
      </c>
      <c r="F999" s="1342" t="s">
        <v>3903</v>
      </c>
      <c r="G999" s="1408">
        <v>555</v>
      </c>
      <c r="H999" s="1353">
        <f t="shared" si="247"/>
        <v>0</v>
      </c>
      <c r="I999" s="1415">
        <f t="shared" si="247"/>
        <v>0</v>
      </c>
      <c r="K999" s="1391">
        <v>1023</v>
      </c>
      <c r="L999" s="1391" t="s">
        <v>5498</v>
      </c>
    </row>
    <row r="1000" spans="2:12">
      <c r="B1000" s="5" t="s">
        <v>5499</v>
      </c>
      <c r="C1000" s="6" t="s">
        <v>5500</v>
      </c>
      <c r="D1000" s="1347">
        <v>0</v>
      </c>
      <c r="E1000" s="1351">
        <v>0</v>
      </c>
      <c r="F1000" s="1342" t="s">
        <v>3907</v>
      </c>
      <c r="G1000" s="1408">
        <v>556</v>
      </c>
      <c r="H1000" s="1353">
        <f t="shared" si="247"/>
        <v>0</v>
      </c>
      <c r="I1000" s="1415">
        <f t="shared" si="247"/>
        <v>0</v>
      </c>
      <c r="K1000" s="1391">
        <v>1024</v>
      </c>
      <c r="L1000" s="1391" t="s">
        <v>5501</v>
      </c>
    </row>
    <row r="1001" spans="2:12">
      <c r="B1001" s="5" t="s">
        <v>5502</v>
      </c>
      <c r="C1001" s="6" t="s">
        <v>5503</v>
      </c>
      <c r="D1001" s="1347">
        <v>0</v>
      </c>
      <c r="E1001" s="1350">
        <v>0</v>
      </c>
      <c r="F1001" s="1342" t="s">
        <v>3911</v>
      </c>
      <c r="G1001" s="1408">
        <v>557</v>
      </c>
      <c r="H1001" s="1353">
        <f t="shared" si="247"/>
        <v>0</v>
      </c>
      <c r="I1001" s="1415">
        <f t="shared" si="247"/>
        <v>0</v>
      </c>
      <c r="K1001" s="1391">
        <v>1025</v>
      </c>
      <c r="L1001" s="1391" t="s">
        <v>5504</v>
      </c>
    </row>
    <row r="1002" spans="2:12">
      <c r="B1002" s="5" t="s">
        <v>5505</v>
      </c>
      <c r="C1002" s="6" t="s">
        <v>5506</v>
      </c>
      <c r="D1002" s="1347">
        <v>0</v>
      </c>
      <c r="E1002" s="1351">
        <v>0</v>
      </c>
      <c r="F1002" s="1342" t="s">
        <v>3915</v>
      </c>
      <c r="G1002" s="1408">
        <v>558</v>
      </c>
      <c r="H1002" s="1353">
        <f t="shared" si="247"/>
        <v>0</v>
      </c>
      <c r="I1002" s="1415">
        <f t="shared" si="247"/>
        <v>0</v>
      </c>
      <c r="K1002" s="1391">
        <v>1026</v>
      </c>
      <c r="L1002" s="1391" t="s">
        <v>5507</v>
      </c>
    </row>
    <row r="1003" spans="2:12">
      <c r="B1003" s="5" t="s">
        <v>5508</v>
      </c>
      <c r="C1003" s="6" t="s">
        <v>5509</v>
      </c>
      <c r="D1003" s="1347">
        <v>0</v>
      </c>
      <c r="E1003" s="1351">
        <v>0</v>
      </c>
      <c r="F1003" s="1342" t="s">
        <v>3919</v>
      </c>
      <c r="G1003" s="1408">
        <v>559</v>
      </c>
      <c r="H1003" s="1353">
        <f t="shared" si="247"/>
        <v>0</v>
      </c>
      <c r="I1003" s="1415">
        <f t="shared" si="247"/>
        <v>0</v>
      </c>
      <c r="K1003" s="1391">
        <v>1027</v>
      </c>
      <c r="L1003" s="1391" t="s">
        <v>5406</v>
      </c>
    </row>
    <row r="1004" spans="2:12">
      <c r="B1004" s="5" t="s">
        <v>5510</v>
      </c>
      <c r="C1004" s="6" t="s">
        <v>5511</v>
      </c>
      <c r="D1004" s="1345">
        <v>0</v>
      </c>
      <c r="E1004" s="1346">
        <v>0</v>
      </c>
      <c r="F1004" s="1342" t="s">
        <v>4083</v>
      </c>
      <c r="G1004" s="1408">
        <v>601</v>
      </c>
      <c r="H1004" s="1353">
        <f t="shared" ref="H1004:I1007" si="248">M582</f>
        <v>0</v>
      </c>
      <c r="I1004" s="1353">
        <f t="shared" si="248"/>
        <v>0</v>
      </c>
      <c r="K1004" s="1391">
        <v>1028</v>
      </c>
      <c r="L1004" s="1391" t="s">
        <v>5512</v>
      </c>
    </row>
    <row r="1005" spans="2:12">
      <c r="B1005" s="5" t="s">
        <v>5513</v>
      </c>
      <c r="C1005" s="6" t="s">
        <v>5514</v>
      </c>
      <c r="D1005" s="1345">
        <v>0</v>
      </c>
      <c r="E1005" s="1346">
        <v>0</v>
      </c>
      <c r="F1005" s="1342" t="s">
        <v>4087</v>
      </c>
      <c r="G1005" s="1408">
        <v>602</v>
      </c>
      <c r="H1005" s="1353">
        <f t="shared" si="248"/>
        <v>0</v>
      </c>
      <c r="I1005" s="1353">
        <f t="shared" si="248"/>
        <v>0</v>
      </c>
      <c r="K1005" s="1391">
        <v>1029</v>
      </c>
      <c r="L1005" s="1391" t="s">
        <v>5515</v>
      </c>
    </row>
    <row r="1006" spans="2:12">
      <c r="B1006" s="5" t="s">
        <v>5516</v>
      </c>
      <c r="C1006" s="6" t="s">
        <v>5517</v>
      </c>
      <c r="D1006" s="1345">
        <v>0</v>
      </c>
      <c r="E1006" s="1346">
        <v>0</v>
      </c>
      <c r="F1006" s="1342" t="s">
        <v>4091</v>
      </c>
      <c r="G1006" s="1408">
        <v>603</v>
      </c>
      <c r="H1006" s="1353">
        <f t="shared" si="248"/>
        <v>0</v>
      </c>
      <c r="I1006" s="1353">
        <f t="shared" si="248"/>
        <v>0</v>
      </c>
      <c r="K1006" s="1391">
        <v>1030</v>
      </c>
      <c r="L1006" s="1391" t="s">
        <v>5518</v>
      </c>
    </row>
    <row r="1007" spans="2:12">
      <c r="B1007" s="5" t="s">
        <v>5519</v>
      </c>
      <c r="C1007" s="6" t="s">
        <v>5520</v>
      </c>
      <c r="D1007" s="1345">
        <v>0</v>
      </c>
      <c r="E1007" s="1346">
        <v>0</v>
      </c>
      <c r="F1007" s="1342" t="s">
        <v>4095</v>
      </c>
      <c r="G1007" s="1408">
        <v>604</v>
      </c>
      <c r="H1007" s="1353">
        <f t="shared" si="248"/>
        <v>0</v>
      </c>
      <c r="I1007" s="1353">
        <f t="shared" si="248"/>
        <v>0</v>
      </c>
      <c r="K1007" s="1391">
        <v>1031</v>
      </c>
      <c r="L1007" s="1391" t="s">
        <v>5521</v>
      </c>
    </row>
    <row r="1008" spans="2:12">
      <c r="B1008" s="5" t="s">
        <v>5510</v>
      </c>
      <c r="C1008" s="6" t="s">
        <v>5522</v>
      </c>
      <c r="D1008" s="1345">
        <v>0</v>
      </c>
      <c r="E1008" s="1346">
        <v>0</v>
      </c>
      <c r="F1008" s="1342" t="s">
        <v>4067</v>
      </c>
      <c r="G1008" s="1408">
        <v>597</v>
      </c>
      <c r="H1008" s="1353">
        <f t="shared" ref="H1008:I1011" si="249">M578</f>
        <v>0</v>
      </c>
      <c r="I1008" s="1353">
        <f t="shared" si="249"/>
        <v>0</v>
      </c>
      <c r="K1008" s="1391">
        <v>1032</v>
      </c>
      <c r="L1008" s="1391" t="s">
        <v>5523</v>
      </c>
    </row>
    <row r="1009" spans="2:12">
      <c r="B1009" s="5" t="s">
        <v>5513</v>
      </c>
      <c r="C1009" s="6" t="s">
        <v>5524</v>
      </c>
      <c r="D1009" s="1345">
        <v>0</v>
      </c>
      <c r="E1009" s="1346">
        <v>0</v>
      </c>
      <c r="F1009" s="1342" t="s">
        <v>4071</v>
      </c>
      <c r="G1009" s="1408">
        <v>598</v>
      </c>
      <c r="H1009" s="1353">
        <f t="shared" si="249"/>
        <v>0</v>
      </c>
      <c r="I1009" s="1353">
        <f t="shared" si="249"/>
        <v>0</v>
      </c>
      <c r="K1009" s="1391">
        <v>1033</v>
      </c>
      <c r="L1009" s="1391" t="s">
        <v>5525</v>
      </c>
    </row>
    <row r="1010" spans="2:12">
      <c r="B1010" s="5" t="s">
        <v>5516</v>
      </c>
      <c r="C1010" s="6" t="s">
        <v>5526</v>
      </c>
      <c r="D1010" s="1345">
        <v>0</v>
      </c>
      <c r="E1010" s="1346">
        <v>0</v>
      </c>
      <c r="F1010" s="1342" t="s">
        <v>4075</v>
      </c>
      <c r="G1010" s="1408">
        <v>599</v>
      </c>
      <c r="H1010" s="1353">
        <f t="shared" si="249"/>
        <v>0</v>
      </c>
      <c r="I1010" s="1353">
        <f t="shared" si="249"/>
        <v>0</v>
      </c>
      <c r="K1010" s="1391">
        <v>1034</v>
      </c>
      <c r="L1010" s="1391" t="s">
        <v>5527</v>
      </c>
    </row>
    <row r="1011" spans="2:12">
      <c r="B1011" s="5" t="s">
        <v>5519</v>
      </c>
      <c r="C1011" s="6" t="s">
        <v>5528</v>
      </c>
      <c r="D1011" s="1345">
        <v>0</v>
      </c>
      <c r="E1011" s="1346">
        <v>0</v>
      </c>
      <c r="F1011" s="1342" t="s">
        <v>4079</v>
      </c>
      <c r="G1011" s="1408">
        <v>600</v>
      </c>
      <c r="H1011" s="1353">
        <f t="shared" si="249"/>
        <v>0</v>
      </c>
      <c r="I1011" s="1353">
        <f t="shared" si="249"/>
        <v>0</v>
      </c>
      <c r="K1011" s="1391">
        <v>1035</v>
      </c>
      <c r="L1011" s="1391" t="s">
        <v>5529</v>
      </c>
    </row>
    <row r="1012" spans="2:12">
      <c r="B1012" s="5" t="s">
        <v>5530</v>
      </c>
      <c r="C1012" s="6" t="s">
        <v>5531</v>
      </c>
      <c r="D1012" s="1345">
        <v>0</v>
      </c>
      <c r="E1012" s="1346">
        <v>0</v>
      </c>
      <c r="F1012" s="1342" t="s">
        <v>5532</v>
      </c>
      <c r="G1012" s="1413" t="s">
        <v>5533</v>
      </c>
      <c r="H1012" s="1353">
        <f t="shared" ref="H1012:I1014" si="250">M593+M589</f>
        <v>0</v>
      </c>
      <c r="I1012" s="1353">
        <f t="shared" si="250"/>
        <v>0</v>
      </c>
      <c r="K1012" s="1391">
        <v>1036</v>
      </c>
      <c r="L1012" s="1391" t="s">
        <v>5534</v>
      </c>
    </row>
    <row r="1013" spans="2:12">
      <c r="B1013" s="5" t="s">
        <v>5535</v>
      </c>
      <c r="C1013" s="6" t="s">
        <v>5536</v>
      </c>
      <c r="D1013" s="1345">
        <v>0</v>
      </c>
      <c r="E1013" s="1346">
        <v>0</v>
      </c>
      <c r="F1013" s="1342" t="s">
        <v>5537</v>
      </c>
      <c r="G1013" s="1413" t="s">
        <v>5538</v>
      </c>
      <c r="H1013" s="1353">
        <f t="shared" si="250"/>
        <v>0</v>
      </c>
      <c r="I1013" s="1353">
        <f t="shared" si="250"/>
        <v>0</v>
      </c>
      <c r="K1013" s="1391">
        <v>1037</v>
      </c>
      <c r="L1013" s="1391" t="s">
        <v>5539</v>
      </c>
    </row>
    <row r="1014" spans="2:12">
      <c r="B1014" s="5" t="s">
        <v>5540</v>
      </c>
      <c r="C1014" s="6" t="s">
        <v>5541</v>
      </c>
      <c r="D1014" s="1345">
        <v>0</v>
      </c>
      <c r="E1014" s="1346">
        <v>0</v>
      </c>
      <c r="F1014" s="1342" t="s">
        <v>5542</v>
      </c>
      <c r="G1014" s="1413" t="s">
        <v>5543</v>
      </c>
      <c r="H1014" s="1353">
        <f t="shared" si="250"/>
        <v>0</v>
      </c>
      <c r="I1014" s="1353">
        <f t="shared" si="250"/>
        <v>0</v>
      </c>
      <c r="K1014" s="1391">
        <v>1038</v>
      </c>
      <c r="L1014" s="1391" t="s">
        <v>5544</v>
      </c>
    </row>
    <row r="1015" spans="2:12">
      <c r="B1015" s="5" t="s">
        <v>5530</v>
      </c>
      <c r="C1015" s="6" t="s">
        <v>5545</v>
      </c>
      <c r="D1015" s="1345">
        <v>0</v>
      </c>
      <c r="E1015" s="1346">
        <v>0</v>
      </c>
      <c r="F1015" s="1342" t="s">
        <v>4111</v>
      </c>
      <c r="G1015" s="1408">
        <v>609</v>
      </c>
      <c r="H1015" s="1353">
        <f t="shared" ref="H1015:I1017" si="251">M589</f>
        <v>0</v>
      </c>
      <c r="I1015" s="1353">
        <f t="shared" si="251"/>
        <v>0</v>
      </c>
      <c r="K1015" s="1391">
        <v>1039</v>
      </c>
      <c r="L1015" s="1391" t="s">
        <v>5546</v>
      </c>
    </row>
    <row r="1016" spans="2:12">
      <c r="B1016" s="5" t="s">
        <v>5535</v>
      </c>
      <c r="C1016" s="6" t="s">
        <v>5547</v>
      </c>
      <c r="D1016" s="1345">
        <v>0</v>
      </c>
      <c r="E1016" s="1346">
        <v>0</v>
      </c>
      <c r="F1016" s="1342" t="s">
        <v>4115</v>
      </c>
      <c r="G1016" s="1408">
        <v>610</v>
      </c>
      <c r="H1016" s="1353">
        <f t="shared" si="251"/>
        <v>0</v>
      </c>
      <c r="I1016" s="1353">
        <f t="shared" si="251"/>
        <v>0</v>
      </c>
      <c r="K1016" s="1391">
        <v>1040</v>
      </c>
      <c r="L1016" s="1391" t="s">
        <v>5548</v>
      </c>
    </row>
    <row r="1017" spans="2:12">
      <c r="B1017" s="5" t="s">
        <v>5540</v>
      </c>
      <c r="C1017" s="6" t="s">
        <v>5549</v>
      </c>
      <c r="D1017" s="1345">
        <v>0</v>
      </c>
      <c r="E1017" s="1346">
        <v>0</v>
      </c>
      <c r="F1017" s="1342" t="s">
        <v>4119</v>
      </c>
      <c r="G1017" s="1408">
        <v>611</v>
      </c>
      <c r="H1017" s="1353">
        <f t="shared" si="251"/>
        <v>0</v>
      </c>
      <c r="I1017" s="1353">
        <f t="shared" si="251"/>
        <v>0</v>
      </c>
      <c r="K1017" s="1391">
        <v>1041</v>
      </c>
      <c r="L1017" s="1391" t="s">
        <v>5550</v>
      </c>
    </row>
    <row r="1018" spans="2:12">
      <c r="B1018" s="5" t="s">
        <v>5530</v>
      </c>
      <c r="C1018" s="6" t="s">
        <v>5551</v>
      </c>
      <c r="D1018" s="1345">
        <v>0</v>
      </c>
      <c r="E1018" s="1346">
        <v>0</v>
      </c>
      <c r="F1018" s="1342" t="s">
        <v>4099</v>
      </c>
      <c r="G1018" s="1408">
        <v>605</v>
      </c>
      <c r="H1018" s="1353">
        <f t="shared" ref="H1018:I1020" si="252">M586</f>
        <v>0</v>
      </c>
      <c r="I1018" s="1353">
        <f t="shared" si="252"/>
        <v>0</v>
      </c>
      <c r="K1018" s="1391">
        <v>1042</v>
      </c>
      <c r="L1018" s="1391" t="s">
        <v>5552</v>
      </c>
    </row>
    <row r="1019" spans="2:12">
      <c r="B1019" s="5" t="s">
        <v>5535</v>
      </c>
      <c r="C1019" s="6" t="s">
        <v>5553</v>
      </c>
      <c r="D1019" s="1345">
        <v>0</v>
      </c>
      <c r="E1019" s="1346">
        <v>0</v>
      </c>
      <c r="F1019" s="1342" t="s">
        <v>4103</v>
      </c>
      <c r="G1019" s="1408">
        <v>606</v>
      </c>
      <c r="H1019" s="1353">
        <f t="shared" si="252"/>
        <v>0</v>
      </c>
      <c r="I1019" s="1353">
        <f t="shared" si="252"/>
        <v>0</v>
      </c>
      <c r="K1019" s="1391">
        <v>1043</v>
      </c>
      <c r="L1019" s="1391" t="s">
        <v>5554</v>
      </c>
    </row>
    <row r="1020" spans="2:12">
      <c r="B1020" s="5" t="s">
        <v>5540</v>
      </c>
      <c r="C1020" s="6" t="s">
        <v>5555</v>
      </c>
      <c r="D1020" s="1345">
        <v>0</v>
      </c>
      <c r="E1020" s="1346">
        <v>0</v>
      </c>
      <c r="F1020" s="1342" t="s">
        <v>4107</v>
      </c>
      <c r="G1020" s="1408">
        <v>607</v>
      </c>
      <c r="H1020" s="1353">
        <f t="shared" si="252"/>
        <v>0</v>
      </c>
      <c r="I1020" s="1353">
        <f t="shared" si="252"/>
        <v>0</v>
      </c>
      <c r="K1020" s="1391">
        <v>1044</v>
      </c>
      <c r="L1020" s="1391" t="s">
        <v>5556</v>
      </c>
    </row>
    <row r="1021" spans="2:12">
      <c r="B1021" s="5" t="s">
        <v>5557</v>
      </c>
      <c r="C1021" s="6" t="s">
        <v>5558</v>
      </c>
      <c r="D1021" s="1345">
        <v>0</v>
      </c>
      <c r="E1021" s="1346">
        <v>0</v>
      </c>
      <c r="F1021" s="1342" t="s">
        <v>4007</v>
      </c>
      <c r="G1021" s="1408">
        <v>582</v>
      </c>
      <c r="H1021" s="1353">
        <f>M563</f>
        <v>0</v>
      </c>
      <c r="I1021" s="1353">
        <f>N563</f>
        <v>0</v>
      </c>
      <c r="K1021" s="1391">
        <v>1045</v>
      </c>
      <c r="L1021" s="1391" t="s">
        <v>5559</v>
      </c>
    </row>
    <row r="1022" spans="2:12">
      <c r="B1022" s="5" t="s">
        <v>5560</v>
      </c>
      <c r="C1022" s="6" t="s">
        <v>5561</v>
      </c>
      <c r="D1022" s="1345">
        <v>0</v>
      </c>
      <c r="E1022" s="1346">
        <v>0</v>
      </c>
      <c r="F1022" s="1342" t="s">
        <v>4011</v>
      </c>
      <c r="G1022" s="1408">
        <v>583</v>
      </c>
      <c r="H1022" s="1353">
        <f>M564</f>
        <v>0</v>
      </c>
      <c r="I1022" s="1353">
        <f>N564</f>
        <v>0</v>
      </c>
      <c r="K1022" s="1391">
        <v>1046</v>
      </c>
      <c r="L1022" s="1391" t="s">
        <v>5562</v>
      </c>
    </row>
    <row r="1023" spans="2:12">
      <c r="B1023" s="5" t="s">
        <v>5563</v>
      </c>
      <c r="C1023" s="6" t="s">
        <v>5564</v>
      </c>
      <c r="D1023" s="1345">
        <v>0</v>
      </c>
      <c r="E1023" s="1346">
        <v>0</v>
      </c>
      <c r="F1023" s="1342" t="s">
        <v>5565</v>
      </c>
      <c r="G1023" s="1391">
        <v>7457</v>
      </c>
      <c r="H1023" s="1353">
        <f>M2678</f>
        <v>0</v>
      </c>
      <c r="I1023" s="1353">
        <f>N2678</f>
        <v>0</v>
      </c>
      <c r="K1023" s="1391">
        <v>1047</v>
      </c>
      <c r="L1023" s="1391" t="s">
        <v>5566</v>
      </c>
    </row>
    <row r="1024" spans="2:12">
      <c r="B1024" s="5" t="s">
        <v>5567</v>
      </c>
      <c r="C1024" s="6" t="s">
        <v>5568</v>
      </c>
      <c r="D1024" s="1345">
        <v>0</v>
      </c>
      <c r="E1024" s="1346">
        <v>0</v>
      </c>
      <c r="F1024" s="1342" t="s">
        <v>4003</v>
      </c>
      <c r="G1024" s="1408">
        <v>581</v>
      </c>
      <c r="H1024" s="1353">
        <f>M562</f>
        <v>0</v>
      </c>
      <c r="I1024" s="1353">
        <f>N562</f>
        <v>0</v>
      </c>
      <c r="K1024" s="1391">
        <v>1048</v>
      </c>
      <c r="L1024" s="1391" t="s">
        <v>5569</v>
      </c>
    </row>
    <row r="1025" spans="1:12">
      <c r="B1025" s="5" t="s">
        <v>5557</v>
      </c>
      <c r="C1025" s="6" t="s">
        <v>5570</v>
      </c>
      <c r="D1025" s="1345">
        <v>0</v>
      </c>
      <c r="E1025" s="1346">
        <v>0</v>
      </c>
      <c r="F1025" s="1342" t="s">
        <v>4019</v>
      </c>
      <c r="G1025" s="1408">
        <v>585</v>
      </c>
      <c r="H1025" s="1353">
        <f>M566</f>
        <v>0</v>
      </c>
      <c r="I1025" s="1353">
        <f>N566</f>
        <v>0</v>
      </c>
      <c r="K1025" s="1391">
        <v>1049</v>
      </c>
      <c r="L1025" s="1391" t="s">
        <v>5571</v>
      </c>
    </row>
    <row r="1026" spans="1:12">
      <c r="B1026" s="5" t="s">
        <v>5560</v>
      </c>
      <c r="C1026" s="6" t="s">
        <v>5572</v>
      </c>
      <c r="D1026" s="1345">
        <v>0</v>
      </c>
      <c r="E1026" s="1346">
        <v>0</v>
      </c>
      <c r="F1026" s="1342" t="s">
        <v>4023</v>
      </c>
      <c r="G1026" s="1408">
        <v>586</v>
      </c>
      <c r="H1026" s="1353">
        <f>M567</f>
        <v>0</v>
      </c>
      <c r="I1026" s="1353">
        <f>N567</f>
        <v>0</v>
      </c>
      <c r="K1026" s="1391">
        <v>1050</v>
      </c>
      <c r="L1026" s="1391" t="s">
        <v>5573</v>
      </c>
    </row>
    <row r="1027" spans="1:12">
      <c r="B1027" s="5" t="s">
        <v>5557</v>
      </c>
      <c r="C1027" s="6" t="s">
        <v>5574</v>
      </c>
      <c r="D1027" s="1345">
        <v>0</v>
      </c>
      <c r="E1027" s="1346">
        <v>0</v>
      </c>
      <c r="F1027" s="1342" t="s">
        <v>4031</v>
      </c>
      <c r="G1027" s="1408">
        <v>588</v>
      </c>
      <c r="H1027" s="1353">
        <f>M569</f>
        <v>0</v>
      </c>
      <c r="I1027" s="1353">
        <f>N569</f>
        <v>0</v>
      </c>
      <c r="K1027" s="1391">
        <v>1051</v>
      </c>
      <c r="L1027" s="1391" t="s">
        <v>5575</v>
      </c>
    </row>
    <row r="1028" spans="1:12">
      <c r="B1028" s="5" t="s">
        <v>5560</v>
      </c>
      <c r="C1028" s="6" t="s">
        <v>5576</v>
      </c>
      <c r="D1028" s="1345">
        <v>0</v>
      </c>
      <c r="E1028" s="1346">
        <v>0</v>
      </c>
      <c r="F1028" s="1342" t="s">
        <v>4035</v>
      </c>
      <c r="G1028" s="1408">
        <v>589</v>
      </c>
      <c r="H1028" s="1353">
        <f>M570</f>
        <v>0</v>
      </c>
      <c r="I1028" s="1353">
        <f>N570</f>
        <v>0</v>
      </c>
      <c r="K1028" s="1391">
        <v>1052</v>
      </c>
      <c r="L1028" s="1391" t="s">
        <v>5577</v>
      </c>
    </row>
    <row r="1029" spans="1:12">
      <c r="B1029" s="5" t="s">
        <v>5557</v>
      </c>
      <c r="C1029" s="6" t="s">
        <v>5578</v>
      </c>
      <c r="D1029" s="1345">
        <v>0</v>
      </c>
      <c r="E1029" s="1346">
        <v>0</v>
      </c>
      <c r="F1029" s="1342" t="s">
        <v>4043</v>
      </c>
      <c r="G1029" s="1408">
        <v>591</v>
      </c>
      <c r="H1029" s="1353">
        <f>M572</f>
        <v>0</v>
      </c>
      <c r="I1029" s="1353">
        <f>N572</f>
        <v>0</v>
      </c>
      <c r="K1029" s="1391">
        <v>1053</v>
      </c>
      <c r="L1029" s="1391" t="s">
        <v>5579</v>
      </c>
    </row>
    <row r="1030" spans="1:12">
      <c r="B1030" s="5" t="s">
        <v>5560</v>
      </c>
      <c r="C1030" s="6" t="s">
        <v>5580</v>
      </c>
      <c r="D1030" s="1345">
        <v>0</v>
      </c>
      <c r="E1030" s="1346">
        <v>0</v>
      </c>
      <c r="F1030" s="1342" t="s">
        <v>4047</v>
      </c>
      <c r="G1030" s="1408">
        <v>592</v>
      </c>
      <c r="H1030" s="1353">
        <f>M573</f>
        <v>0</v>
      </c>
      <c r="I1030" s="1353">
        <f>N573</f>
        <v>0</v>
      </c>
      <c r="K1030" s="1391">
        <v>1054</v>
      </c>
      <c r="L1030" s="1391" t="s">
        <v>5581</v>
      </c>
    </row>
    <row r="1031" spans="1:12">
      <c r="B1031" s="5" t="s">
        <v>5557</v>
      </c>
      <c r="C1031" s="6" t="s">
        <v>5582</v>
      </c>
      <c r="D1031" s="1345">
        <v>0</v>
      </c>
      <c r="E1031" s="1346">
        <v>0</v>
      </c>
      <c r="F1031" s="1342" t="s">
        <v>4055</v>
      </c>
      <c r="G1031" s="1408">
        <v>594</v>
      </c>
      <c r="H1031" s="1353">
        <f>M575</f>
        <v>0</v>
      </c>
      <c r="I1031" s="1353">
        <f>N575</f>
        <v>0</v>
      </c>
      <c r="K1031" s="1391">
        <v>1055</v>
      </c>
      <c r="L1031" s="1391" t="s">
        <v>5583</v>
      </c>
    </row>
    <row r="1032" spans="1:12">
      <c r="B1032" s="5" t="s">
        <v>5560</v>
      </c>
      <c r="C1032" s="6" t="s">
        <v>5584</v>
      </c>
      <c r="D1032" s="1345">
        <v>0</v>
      </c>
      <c r="E1032" s="1346">
        <v>0</v>
      </c>
      <c r="F1032" s="1342" t="s">
        <v>4059</v>
      </c>
      <c r="G1032" s="1408">
        <v>595</v>
      </c>
      <c r="H1032" s="1353">
        <f>M576</f>
        <v>0</v>
      </c>
      <c r="I1032" s="1353">
        <f>N576</f>
        <v>0</v>
      </c>
      <c r="K1032" s="1391">
        <v>1056</v>
      </c>
      <c r="L1032" s="1391" t="s">
        <v>5585</v>
      </c>
    </row>
    <row r="1033" spans="1:12">
      <c r="B1033" s="5" t="s">
        <v>5373</v>
      </c>
      <c r="C1033" s="6">
        <v>541</v>
      </c>
      <c r="D1033" s="1347">
        <v>0</v>
      </c>
      <c r="E1033" s="1346">
        <v>0</v>
      </c>
      <c r="F1033" s="1342" t="s">
        <v>4143</v>
      </c>
      <c r="G1033" s="1408">
        <v>617</v>
      </c>
      <c r="H1033" s="1353">
        <f t="shared" ref="H1033:I1036" si="253">M597</f>
        <v>0</v>
      </c>
      <c r="I1033" s="1353">
        <f t="shared" si="253"/>
        <v>0</v>
      </c>
      <c r="K1033" s="1391">
        <v>1057</v>
      </c>
      <c r="L1033" s="1391" t="s">
        <v>5586</v>
      </c>
    </row>
    <row r="1034" spans="1:12" ht="12.75" customHeight="1">
      <c r="B1034" s="5" t="s">
        <v>5376</v>
      </c>
      <c r="C1034" s="6">
        <v>542</v>
      </c>
      <c r="D1034" s="1347">
        <v>0</v>
      </c>
      <c r="E1034" s="1346">
        <v>0</v>
      </c>
      <c r="F1034" s="1342" t="s">
        <v>4147</v>
      </c>
      <c r="G1034" s="1408">
        <v>618</v>
      </c>
      <c r="H1034" s="1353">
        <f t="shared" si="253"/>
        <v>0</v>
      </c>
      <c r="I1034" s="1353">
        <f t="shared" si="253"/>
        <v>0</v>
      </c>
      <c r="K1034" s="1391">
        <v>1058</v>
      </c>
      <c r="L1034" s="1391" t="s">
        <v>5587</v>
      </c>
    </row>
    <row r="1035" spans="1:12">
      <c r="B1035" s="5" t="s">
        <v>5379</v>
      </c>
      <c r="C1035" s="6">
        <v>543</v>
      </c>
      <c r="D1035" s="1347">
        <v>0</v>
      </c>
      <c r="E1035" s="1346">
        <v>0</v>
      </c>
      <c r="F1035" s="1342" t="s">
        <v>4151</v>
      </c>
      <c r="G1035" s="1408">
        <v>619</v>
      </c>
      <c r="H1035" s="1353">
        <f t="shared" si="253"/>
        <v>0</v>
      </c>
      <c r="I1035" s="1353">
        <f t="shared" si="253"/>
        <v>0</v>
      </c>
      <c r="K1035" s="1391">
        <v>1059</v>
      </c>
      <c r="L1035" s="1391" t="s">
        <v>5588</v>
      </c>
    </row>
    <row r="1036" spans="1:12">
      <c r="B1036" s="5" t="s">
        <v>5382</v>
      </c>
      <c r="C1036" s="6">
        <v>544</v>
      </c>
      <c r="D1036" s="1347">
        <v>0</v>
      </c>
      <c r="E1036" s="1346">
        <v>0</v>
      </c>
      <c r="F1036" s="1342" t="s">
        <v>4155</v>
      </c>
      <c r="G1036" s="1408">
        <v>620</v>
      </c>
      <c r="H1036" s="1353">
        <f t="shared" si="253"/>
        <v>0</v>
      </c>
      <c r="I1036" s="1353">
        <f t="shared" si="253"/>
        <v>0</v>
      </c>
      <c r="K1036" s="1391">
        <v>1060</v>
      </c>
      <c r="L1036" s="1391" t="s">
        <v>5589</v>
      </c>
    </row>
    <row r="1037" spans="1:12">
      <c r="B1037" s="5" t="s">
        <v>5590</v>
      </c>
      <c r="C1037" s="6" t="s">
        <v>5591</v>
      </c>
      <c r="D1037" s="1347">
        <v>0</v>
      </c>
      <c r="E1037" s="1346">
        <v>0</v>
      </c>
      <c r="F1037" s="1342" t="s">
        <v>5592</v>
      </c>
      <c r="G1037" s="1409"/>
      <c r="H1037" s="1353"/>
      <c r="I1037" s="1353"/>
      <c r="K1037" s="1391">
        <v>1061</v>
      </c>
      <c r="L1037" s="1391" t="s">
        <v>5593</v>
      </c>
    </row>
    <row r="1038" spans="1:12" ht="10.5">
      <c r="A1038" s="1352" t="s">
        <v>5594</v>
      </c>
      <c r="B1038" s="5"/>
      <c r="C1038" s="218"/>
      <c r="D1038" s="1353"/>
      <c r="E1038" s="1346"/>
      <c r="F1038" s="1342"/>
      <c r="G1038" s="1409"/>
      <c r="H1038" s="1353"/>
      <c r="I1038" s="1353"/>
      <c r="K1038" s="1391">
        <v>1062</v>
      </c>
      <c r="L1038" s="1391" t="s">
        <v>5595</v>
      </c>
    </row>
    <row r="1039" spans="1:12">
      <c r="A1039" s="611" t="s">
        <v>5596</v>
      </c>
      <c r="B1039" s="24" t="s">
        <v>5597</v>
      </c>
      <c r="C1039" s="25">
        <v>200</v>
      </c>
      <c r="D1039" s="1354">
        <v>0</v>
      </c>
      <c r="E1039" s="1346">
        <v>-2762</v>
      </c>
      <c r="F1039" s="611" t="s">
        <v>4203</v>
      </c>
      <c r="G1039" s="1408">
        <v>632</v>
      </c>
      <c r="H1039" s="1353">
        <f t="shared" ref="H1039:I1042" si="254">M612</f>
        <v>0</v>
      </c>
      <c r="I1039" s="1353">
        <f t="shared" si="254"/>
        <v>0</v>
      </c>
      <c r="K1039" s="1391">
        <v>1063</v>
      </c>
      <c r="L1039" s="1391" t="s">
        <v>5598</v>
      </c>
    </row>
    <row r="1040" spans="1:12">
      <c r="B1040" s="5" t="s">
        <v>5599</v>
      </c>
      <c r="C1040" s="26">
        <v>202</v>
      </c>
      <c r="D1040" s="1354">
        <v>0</v>
      </c>
      <c r="E1040" s="1346">
        <v>983368</v>
      </c>
      <c r="F1040" s="611" t="s">
        <v>4207</v>
      </c>
      <c r="G1040" s="1408">
        <v>633</v>
      </c>
      <c r="H1040" s="1353">
        <f t="shared" si="254"/>
        <v>0</v>
      </c>
      <c r="I1040" s="1353">
        <f t="shared" si="254"/>
        <v>0</v>
      </c>
      <c r="K1040" s="1391">
        <v>1064</v>
      </c>
      <c r="L1040" s="1391" t="s">
        <v>5600</v>
      </c>
    </row>
    <row r="1041" spans="2:12">
      <c r="B1041" s="5" t="s">
        <v>5601</v>
      </c>
      <c r="C1041" s="26">
        <v>205</v>
      </c>
      <c r="D1041" s="1354">
        <v>0</v>
      </c>
      <c r="E1041" s="1346">
        <v>714323</v>
      </c>
      <c r="F1041" s="611" t="s">
        <v>4211</v>
      </c>
      <c r="G1041" s="1408">
        <v>634</v>
      </c>
      <c r="H1041" s="1353">
        <f t="shared" si="254"/>
        <v>0</v>
      </c>
      <c r="I1041" s="1353">
        <f t="shared" si="254"/>
        <v>0</v>
      </c>
      <c r="K1041" s="1391">
        <v>1065</v>
      </c>
      <c r="L1041" s="1391" t="s">
        <v>5602</v>
      </c>
    </row>
    <row r="1042" spans="2:12">
      <c r="B1042" s="5" t="s">
        <v>5603</v>
      </c>
      <c r="C1042" s="26">
        <v>260</v>
      </c>
      <c r="D1042" s="1354">
        <v>0</v>
      </c>
      <c r="E1042" s="1346">
        <v>0</v>
      </c>
      <c r="F1042" s="611" t="s">
        <v>4213</v>
      </c>
      <c r="G1042" s="1408">
        <v>635</v>
      </c>
      <c r="H1042" s="1353">
        <f t="shared" si="254"/>
        <v>0</v>
      </c>
      <c r="I1042" s="1353">
        <f t="shared" si="254"/>
        <v>0</v>
      </c>
      <c r="K1042" s="1391">
        <v>1066</v>
      </c>
      <c r="L1042" s="1391" t="s">
        <v>5604</v>
      </c>
    </row>
    <row r="1043" spans="2:12">
      <c r="B1043" s="5" t="s">
        <v>5605</v>
      </c>
      <c r="C1043" s="26" t="s">
        <v>5606</v>
      </c>
      <c r="D1043" s="1354">
        <v>0</v>
      </c>
      <c r="E1043" s="1346">
        <v>0</v>
      </c>
      <c r="F1043" s="611" t="s">
        <v>5607</v>
      </c>
      <c r="G1043" s="1391">
        <v>476</v>
      </c>
      <c r="H1043" s="1353">
        <f>M458</f>
        <v>0</v>
      </c>
      <c r="I1043" s="1353">
        <f>N458</f>
        <v>0</v>
      </c>
      <c r="K1043" s="1391">
        <v>1067</v>
      </c>
      <c r="L1043" s="1391" t="s">
        <v>5608</v>
      </c>
    </row>
    <row r="1044" spans="2:12">
      <c r="B1044" s="5" t="s">
        <v>5609</v>
      </c>
      <c r="C1044" s="26" t="s">
        <v>5610</v>
      </c>
      <c r="D1044" s="1354">
        <v>0</v>
      </c>
      <c r="E1044" s="1346">
        <v>0</v>
      </c>
      <c r="F1044" s="611" t="s">
        <v>5611</v>
      </c>
      <c r="G1044" s="1391">
        <v>481</v>
      </c>
      <c r="H1044" s="1353">
        <f>M463</f>
        <v>0</v>
      </c>
      <c r="I1044" s="1353">
        <f>N463</f>
        <v>0</v>
      </c>
      <c r="K1044" s="1391">
        <v>1068</v>
      </c>
      <c r="L1044" s="1391" t="s">
        <v>5612</v>
      </c>
    </row>
    <row r="1045" spans="2:12">
      <c r="B1045" s="5" t="s">
        <v>5613</v>
      </c>
      <c r="C1045" s="26" t="s">
        <v>5614</v>
      </c>
      <c r="D1045" s="1354">
        <v>0</v>
      </c>
      <c r="E1045" s="1346">
        <v>2340799</v>
      </c>
      <c r="F1045" s="611" t="s">
        <v>5615</v>
      </c>
      <c r="G1045" s="1391">
        <v>486</v>
      </c>
      <c r="H1045" s="1353">
        <f>M468</f>
        <v>0</v>
      </c>
      <c r="I1045" s="1353">
        <f>N468</f>
        <v>0</v>
      </c>
      <c r="K1045" s="1391">
        <v>1069</v>
      </c>
      <c r="L1045" s="1391" t="s">
        <v>5616</v>
      </c>
    </row>
    <row r="1046" spans="2:12">
      <c r="B1046" s="5" t="s">
        <v>5617</v>
      </c>
      <c r="C1046" s="26" t="s">
        <v>5618</v>
      </c>
      <c r="D1046" s="1354">
        <v>0</v>
      </c>
      <c r="E1046" s="1346">
        <v>0</v>
      </c>
      <c r="F1046" s="611" t="s">
        <v>5619</v>
      </c>
      <c r="G1046" s="1391">
        <v>491</v>
      </c>
      <c r="H1046" s="1353">
        <f>M473</f>
        <v>0</v>
      </c>
      <c r="I1046" s="1353">
        <f>N473</f>
        <v>0</v>
      </c>
      <c r="K1046" s="1391">
        <v>1070</v>
      </c>
      <c r="L1046" s="1391" t="s">
        <v>5620</v>
      </c>
    </row>
    <row r="1047" spans="2:12">
      <c r="B1047" s="5" t="s">
        <v>5621</v>
      </c>
      <c r="C1047" s="26" t="s">
        <v>5622</v>
      </c>
      <c r="D1047" s="1354">
        <v>0</v>
      </c>
      <c r="E1047" s="1346">
        <v>282350</v>
      </c>
      <c r="F1047" s="611" t="s">
        <v>5623</v>
      </c>
      <c r="G1047" s="1391">
        <v>496</v>
      </c>
      <c r="H1047" s="1353">
        <f>M478</f>
        <v>0</v>
      </c>
      <c r="I1047" s="1353">
        <f>N478</f>
        <v>0</v>
      </c>
      <c r="K1047" s="1391">
        <v>1071</v>
      </c>
      <c r="L1047" s="1391" t="s">
        <v>5624</v>
      </c>
    </row>
    <row r="1048" spans="2:12">
      <c r="B1048" s="5" t="s">
        <v>2115</v>
      </c>
      <c r="C1048" s="26" t="s">
        <v>5625</v>
      </c>
      <c r="D1048" s="1354">
        <v>0</v>
      </c>
      <c r="E1048" s="1346">
        <v>17464</v>
      </c>
      <c r="F1048" s="611" t="s">
        <v>5626</v>
      </c>
      <c r="G1048" s="1391">
        <v>501</v>
      </c>
      <c r="H1048" s="1353">
        <f>M483</f>
        <v>0</v>
      </c>
      <c r="I1048" s="1353">
        <f>N483</f>
        <v>0</v>
      </c>
      <c r="K1048" s="1391">
        <v>1072</v>
      </c>
      <c r="L1048" s="1391" t="s">
        <v>5627</v>
      </c>
    </row>
    <row r="1049" spans="2:12">
      <c r="B1049" s="5" t="s">
        <v>5628</v>
      </c>
      <c r="C1049" s="26" t="s">
        <v>5629</v>
      </c>
      <c r="D1049" s="1354">
        <v>0</v>
      </c>
      <c r="E1049" s="1346">
        <v>0</v>
      </c>
      <c r="F1049" s="611" t="s">
        <v>3727</v>
      </c>
      <c r="G1049" s="1408">
        <v>511</v>
      </c>
      <c r="H1049" s="1353">
        <f t="shared" ref="H1049:I1051" si="255">M493</f>
        <v>0</v>
      </c>
      <c r="I1049" s="1353">
        <f t="shared" si="255"/>
        <v>0</v>
      </c>
      <c r="K1049" s="1391">
        <v>1073</v>
      </c>
      <c r="L1049" s="1391" t="s">
        <v>5630</v>
      </c>
    </row>
    <row r="1050" spans="2:12">
      <c r="B1050" s="5" t="s">
        <v>5631</v>
      </c>
      <c r="C1050" s="26">
        <v>340</v>
      </c>
      <c r="D1050" s="1354">
        <v>0</v>
      </c>
      <c r="E1050" s="1346">
        <v>0</v>
      </c>
      <c r="F1050" s="611" t="s">
        <v>3731</v>
      </c>
      <c r="G1050" s="1408">
        <v>512</v>
      </c>
      <c r="H1050" s="1353">
        <f t="shared" si="255"/>
        <v>0</v>
      </c>
      <c r="I1050" s="1353">
        <f t="shared" si="255"/>
        <v>0</v>
      </c>
      <c r="K1050" s="1391">
        <v>1074</v>
      </c>
      <c r="L1050" s="1391" t="s">
        <v>5632</v>
      </c>
    </row>
    <row r="1051" spans="2:12">
      <c r="B1051" s="5" t="s">
        <v>5633</v>
      </c>
      <c r="C1051" s="26" t="s">
        <v>5634</v>
      </c>
      <c r="D1051" s="1354">
        <v>0</v>
      </c>
      <c r="E1051" s="1346">
        <v>2640613</v>
      </c>
      <c r="F1051" s="611" t="s">
        <v>3735</v>
      </c>
      <c r="G1051" s="1408">
        <v>513</v>
      </c>
      <c r="H1051" s="1353">
        <f t="shared" si="255"/>
        <v>0</v>
      </c>
      <c r="I1051" s="1353">
        <f t="shared" si="255"/>
        <v>0</v>
      </c>
      <c r="K1051" s="1391">
        <v>1075</v>
      </c>
      <c r="L1051" s="1391" t="s">
        <v>5635</v>
      </c>
    </row>
    <row r="1052" spans="2:12">
      <c r="B1052" s="5" t="s">
        <v>5636</v>
      </c>
      <c r="C1052" s="26">
        <v>261</v>
      </c>
      <c r="D1052" s="1354">
        <v>0</v>
      </c>
      <c r="E1052" s="1346">
        <v>329064</v>
      </c>
      <c r="F1052" s="611" t="s">
        <v>4217</v>
      </c>
      <c r="G1052" s="1408">
        <v>638</v>
      </c>
      <c r="H1052" s="1353">
        <f t="shared" ref="H1052:I1055" si="256">M617</f>
        <v>0</v>
      </c>
      <c r="I1052" s="1353">
        <f t="shared" si="256"/>
        <v>0</v>
      </c>
      <c r="K1052" s="1391">
        <v>1076</v>
      </c>
      <c r="L1052" s="1391" t="s">
        <v>5637</v>
      </c>
    </row>
    <row r="1053" spans="2:12">
      <c r="B1053" s="5" t="s">
        <v>5638</v>
      </c>
      <c r="C1053" s="26">
        <v>262</v>
      </c>
      <c r="D1053" s="1354">
        <v>0</v>
      </c>
      <c r="E1053" s="1346">
        <v>0</v>
      </c>
      <c r="F1053" s="611" t="s">
        <v>4219</v>
      </c>
      <c r="G1053" s="1408">
        <v>639</v>
      </c>
      <c r="H1053" s="1353">
        <f t="shared" si="256"/>
        <v>0</v>
      </c>
      <c r="I1053" s="1353">
        <f t="shared" si="256"/>
        <v>0</v>
      </c>
      <c r="K1053" s="1391">
        <v>1077</v>
      </c>
      <c r="L1053" s="1391" t="s">
        <v>5639</v>
      </c>
    </row>
    <row r="1054" spans="2:12">
      <c r="B1054" s="5" t="s">
        <v>5640</v>
      </c>
      <c r="C1054" s="26">
        <v>263</v>
      </c>
      <c r="D1054" s="1354">
        <v>0</v>
      </c>
      <c r="E1054" s="1346">
        <v>10933</v>
      </c>
      <c r="F1054" s="611" t="s">
        <v>4221</v>
      </c>
      <c r="G1054" s="1408">
        <v>640</v>
      </c>
      <c r="H1054" s="1353">
        <f t="shared" si="256"/>
        <v>0</v>
      </c>
      <c r="I1054" s="1353">
        <f t="shared" si="256"/>
        <v>0</v>
      </c>
      <c r="K1054" s="1391">
        <v>1078</v>
      </c>
      <c r="L1054" s="1391" t="s">
        <v>5641</v>
      </c>
    </row>
    <row r="1055" spans="2:12">
      <c r="B1055" s="5" t="s">
        <v>5642</v>
      </c>
      <c r="C1055" s="26">
        <v>264</v>
      </c>
      <c r="D1055" s="1354">
        <v>0</v>
      </c>
      <c r="E1055" s="1346">
        <v>132</v>
      </c>
      <c r="F1055" s="611" t="s">
        <v>4223</v>
      </c>
      <c r="G1055" s="1408">
        <v>641</v>
      </c>
      <c r="H1055" s="1353">
        <f t="shared" si="256"/>
        <v>0</v>
      </c>
      <c r="I1055" s="1353">
        <f t="shared" si="256"/>
        <v>0</v>
      </c>
      <c r="K1055" s="1391">
        <v>1079</v>
      </c>
      <c r="L1055" s="1391" t="s">
        <v>5643</v>
      </c>
    </row>
    <row r="1056" spans="2:12">
      <c r="B1056" s="1074" t="s">
        <v>5644</v>
      </c>
      <c r="C1056" s="26">
        <v>265</v>
      </c>
      <c r="D1056" s="1354">
        <v>0</v>
      </c>
      <c r="E1056" s="1346">
        <v>349581</v>
      </c>
      <c r="F1056" s="611" t="s">
        <v>5645</v>
      </c>
      <c r="G1056" s="1408">
        <v>1761</v>
      </c>
      <c r="H1056" s="1353">
        <f>M2707</f>
        <v>0</v>
      </c>
      <c r="I1056" s="1353">
        <f>N2707</f>
        <v>0</v>
      </c>
      <c r="K1056" s="1391">
        <v>1080</v>
      </c>
      <c r="L1056" s="1391" t="s">
        <v>5646</v>
      </c>
    </row>
    <row r="1057" spans="2:12">
      <c r="B1057" s="5" t="s">
        <v>5647</v>
      </c>
      <c r="C1057" s="26">
        <v>230</v>
      </c>
      <c r="D1057" s="1354">
        <v>0</v>
      </c>
      <c r="E1057" s="1346">
        <v>0</v>
      </c>
      <c r="F1057" s="611" t="s">
        <v>4227</v>
      </c>
      <c r="G1057" s="1408">
        <v>643</v>
      </c>
      <c r="H1057" s="1353">
        <f t="shared" ref="H1057:H1071" si="257">M622</f>
        <v>0</v>
      </c>
      <c r="I1057" s="1353">
        <f t="shared" ref="I1057:I1071" si="258">N622</f>
        <v>0</v>
      </c>
      <c r="K1057" s="1391">
        <v>1081</v>
      </c>
      <c r="L1057" s="1391" t="s">
        <v>5648</v>
      </c>
    </row>
    <row r="1058" spans="2:12">
      <c r="B1058" s="5" t="s">
        <v>5649</v>
      </c>
      <c r="C1058" s="26">
        <v>231</v>
      </c>
      <c r="D1058" s="1354">
        <v>0</v>
      </c>
      <c r="E1058" s="1346">
        <v>101989</v>
      </c>
      <c r="F1058" s="611" t="s">
        <v>4231</v>
      </c>
      <c r="G1058" s="1408">
        <v>644</v>
      </c>
      <c r="H1058" s="1353">
        <f t="shared" si="257"/>
        <v>0</v>
      </c>
      <c r="I1058" s="1353">
        <f t="shared" si="258"/>
        <v>0</v>
      </c>
      <c r="K1058" s="1391">
        <v>1082</v>
      </c>
      <c r="L1058" s="1391" t="s">
        <v>5650</v>
      </c>
    </row>
    <row r="1059" spans="2:12">
      <c r="B1059" s="5" t="s">
        <v>5651</v>
      </c>
      <c r="C1059" s="26">
        <v>237</v>
      </c>
      <c r="D1059" s="1354">
        <v>0</v>
      </c>
      <c r="E1059" s="1346">
        <v>10026181</v>
      </c>
      <c r="F1059" s="611" t="s">
        <v>4233</v>
      </c>
      <c r="G1059" s="1408">
        <v>645</v>
      </c>
      <c r="H1059" s="1353">
        <f t="shared" si="257"/>
        <v>0</v>
      </c>
      <c r="I1059" s="1353">
        <f t="shared" si="258"/>
        <v>0</v>
      </c>
      <c r="K1059" s="1391">
        <v>1083</v>
      </c>
      <c r="L1059" s="1391" t="s">
        <v>5652</v>
      </c>
    </row>
    <row r="1060" spans="2:12">
      <c r="B1060" s="5" t="s">
        <v>5653</v>
      </c>
      <c r="C1060" s="26">
        <v>235</v>
      </c>
      <c r="D1060" s="1354">
        <v>0</v>
      </c>
      <c r="E1060" s="1346">
        <v>0</v>
      </c>
      <c r="F1060" s="611" t="s">
        <v>4235</v>
      </c>
      <c r="G1060" s="1408">
        <v>646</v>
      </c>
      <c r="H1060" s="1353">
        <f t="shared" si="257"/>
        <v>0</v>
      </c>
      <c r="I1060" s="1353">
        <f t="shared" si="258"/>
        <v>0</v>
      </c>
      <c r="K1060" s="1391">
        <v>1084</v>
      </c>
      <c r="L1060" s="1391" t="s">
        <v>5654</v>
      </c>
    </row>
    <row r="1061" spans="2:12">
      <c r="B1061" s="5" t="s">
        <v>5655</v>
      </c>
      <c r="C1061" s="26">
        <v>238</v>
      </c>
      <c r="D1061" s="1354">
        <v>0</v>
      </c>
      <c r="E1061" s="1346">
        <v>0</v>
      </c>
      <c r="F1061" s="611" t="s">
        <v>4237</v>
      </c>
      <c r="G1061" s="1408">
        <v>647</v>
      </c>
      <c r="H1061" s="1353">
        <f t="shared" si="257"/>
        <v>0</v>
      </c>
      <c r="I1061" s="1353">
        <f t="shared" si="258"/>
        <v>0</v>
      </c>
      <c r="K1061" s="1391">
        <v>1085</v>
      </c>
      <c r="L1061" s="1391" t="s">
        <v>5656</v>
      </c>
    </row>
    <row r="1062" spans="2:12">
      <c r="B1062" s="5" t="s">
        <v>5657</v>
      </c>
      <c r="C1062" s="26">
        <v>240</v>
      </c>
      <c r="D1062" s="1354">
        <v>0</v>
      </c>
      <c r="E1062" s="1346">
        <v>745411</v>
      </c>
      <c r="F1062" s="611" t="s">
        <v>4239</v>
      </c>
      <c r="G1062" s="1408">
        <v>648</v>
      </c>
      <c r="H1062" s="1353">
        <f t="shared" si="257"/>
        <v>0</v>
      </c>
      <c r="I1062" s="1353">
        <f t="shared" si="258"/>
        <v>0</v>
      </c>
      <c r="K1062" s="1391">
        <v>1086</v>
      </c>
      <c r="L1062" s="1391" t="s">
        <v>5410</v>
      </c>
    </row>
    <row r="1063" spans="2:12">
      <c r="B1063" s="5" t="s">
        <v>5658</v>
      </c>
      <c r="C1063" s="26">
        <v>241</v>
      </c>
      <c r="D1063" s="1354">
        <v>0</v>
      </c>
      <c r="E1063" s="1346">
        <v>9498359</v>
      </c>
      <c r="F1063" s="611" t="s">
        <v>4241</v>
      </c>
      <c r="G1063" s="1408">
        <v>649</v>
      </c>
      <c r="H1063" s="1353">
        <f t="shared" si="257"/>
        <v>0</v>
      </c>
      <c r="I1063" s="1353">
        <f t="shared" si="258"/>
        <v>0</v>
      </c>
      <c r="K1063" s="1391">
        <v>1087</v>
      </c>
      <c r="L1063" s="1391" t="s">
        <v>5659</v>
      </c>
    </row>
    <row r="1064" spans="2:12">
      <c r="B1064" s="5" t="s">
        <v>2010</v>
      </c>
      <c r="C1064" s="26">
        <v>242</v>
      </c>
      <c r="D1064" s="1354">
        <v>0</v>
      </c>
      <c r="E1064" s="1346">
        <v>382979</v>
      </c>
      <c r="F1064" s="611" t="s">
        <v>4243</v>
      </c>
      <c r="G1064" s="1408">
        <v>650</v>
      </c>
      <c r="H1064" s="1353">
        <f t="shared" si="257"/>
        <v>0</v>
      </c>
      <c r="I1064" s="1353">
        <f t="shared" si="258"/>
        <v>0</v>
      </c>
      <c r="K1064" s="1391">
        <v>1088</v>
      </c>
      <c r="L1064" s="1391" t="s">
        <v>5660</v>
      </c>
    </row>
    <row r="1065" spans="2:12">
      <c r="B1065" s="5" t="s">
        <v>2019</v>
      </c>
      <c r="C1065" s="26">
        <v>243</v>
      </c>
      <c r="D1065" s="1354">
        <v>0</v>
      </c>
      <c r="E1065" s="1346">
        <v>25824</v>
      </c>
      <c r="F1065" s="611" t="s">
        <v>4245</v>
      </c>
      <c r="G1065" s="1408">
        <v>651</v>
      </c>
      <c r="H1065" s="1353">
        <f t="shared" si="257"/>
        <v>0</v>
      </c>
      <c r="I1065" s="1353">
        <f t="shared" si="258"/>
        <v>0</v>
      </c>
      <c r="K1065" s="1391">
        <v>1089</v>
      </c>
      <c r="L1065" s="1391" t="s">
        <v>5661</v>
      </c>
    </row>
    <row r="1066" spans="2:12">
      <c r="B1066" s="5" t="s">
        <v>2023</v>
      </c>
      <c r="C1066" s="26">
        <v>244</v>
      </c>
      <c r="D1066" s="1354">
        <v>0</v>
      </c>
      <c r="E1066" s="1346">
        <v>37726</v>
      </c>
      <c r="F1066" s="611" t="s">
        <v>4247</v>
      </c>
      <c r="G1066" s="1408">
        <v>652</v>
      </c>
      <c r="H1066" s="1353">
        <f t="shared" si="257"/>
        <v>0</v>
      </c>
      <c r="I1066" s="1353">
        <f t="shared" si="258"/>
        <v>0</v>
      </c>
      <c r="K1066" s="1391">
        <v>1090</v>
      </c>
      <c r="L1066" s="1391" t="s">
        <v>5662</v>
      </c>
    </row>
    <row r="1067" spans="2:12">
      <c r="B1067" s="5" t="s">
        <v>2027</v>
      </c>
      <c r="C1067" s="26">
        <v>245</v>
      </c>
      <c r="D1067" s="1354">
        <v>0</v>
      </c>
      <c r="E1067" s="1346">
        <v>24835</v>
      </c>
      <c r="F1067" s="611" t="s">
        <v>4249</v>
      </c>
      <c r="G1067" s="1408">
        <v>653</v>
      </c>
      <c r="H1067" s="1353">
        <f t="shared" si="257"/>
        <v>0</v>
      </c>
      <c r="I1067" s="1353">
        <f t="shared" si="258"/>
        <v>0</v>
      </c>
      <c r="K1067" s="1391">
        <v>1091</v>
      </c>
      <c r="L1067" s="1391" t="s">
        <v>5663</v>
      </c>
    </row>
    <row r="1068" spans="2:12">
      <c r="B1068" s="5" t="s">
        <v>5664</v>
      </c>
      <c r="C1068" s="26">
        <v>246</v>
      </c>
      <c r="D1068" s="1354">
        <v>0</v>
      </c>
      <c r="E1068" s="1346">
        <v>51930</v>
      </c>
      <c r="F1068" s="611" t="s">
        <v>4251</v>
      </c>
      <c r="G1068" s="1408">
        <v>654</v>
      </c>
      <c r="H1068" s="1353">
        <f t="shared" si="257"/>
        <v>0</v>
      </c>
      <c r="I1068" s="1353">
        <f t="shared" si="258"/>
        <v>0</v>
      </c>
      <c r="K1068" s="1391">
        <v>1092</v>
      </c>
      <c r="L1068" s="1391" t="s">
        <v>5665</v>
      </c>
    </row>
    <row r="1069" spans="2:12">
      <c r="B1069" s="5" t="s">
        <v>5666</v>
      </c>
      <c r="C1069" s="26">
        <v>247</v>
      </c>
      <c r="D1069" s="1354">
        <v>0</v>
      </c>
      <c r="E1069" s="1346">
        <v>17981</v>
      </c>
      <c r="F1069" s="611" t="s">
        <v>4253</v>
      </c>
      <c r="G1069" s="1408">
        <v>655</v>
      </c>
      <c r="H1069" s="1353">
        <f t="shared" si="257"/>
        <v>0</v>
      </c>
      <c r="I1069" s="1353">
        <f t="shared" si="258"/>
        <v>0</v>
      </c>
      <c r="K1069" s="1391">
        <v>1093</v>
      </c>
      <c r="L1069" s="1391" t="s">
        <v>5667</v>
      </c>
    </row>
    <row r="1070" spans="2:12">
      <c r="B1070" s="5" t="s">
        <v>4430</v>
      </c>
      <c r="C1070" s="26">
        <v>252</v>
      </c>
      <c r="D1070" s="1354">
        <v>0</v>
      </c>
      <c r="E1070" s="1346">
        <v>0</v>
      </c>
      <c r="F1070" s="611" t="s">
        <v>4255</v>
      </c>
      <c r="G1070" s="1408">
        <v>656</v>
      </c>
      <c r="H1070" s="1353">
        <f t="shared" si="257"/>
        <v>0</v>
      </c>
      <c r="I1070" s="1353">
        <f t="shared" si="258"/>
        <v>0</v>
      </c>
      <c r="K1070" s="1391">
        <v>1094</v>
      </c>
      <c r="L1070" s="1391" t="s">
        <v>5668</v>
      </c>
    </row>
    <row r="1071" spans="2:12">
      <c r="B1071" s="5" t="s">
        <v>2031</v>
      </c>
      <c r="C1071" s="26">
        <v>258</v>
      </c>
      <c r="D1071" s="1354">
        <v>0</v>
      </c>
      <c r="E1071" s="1346">
        <v>0</v>
      </c>
      <c r="F1071" s="611" t="s">
        <v>4257</v>
      </c>
      <c r="G1071" s="1408">
        <v>657</v>
      </c>
      <c r="H1071" s="1353">
        <f t="shared" si="257"/>
        <v>0</v>
      </c>
      <c r="I1071" s="1353">
        <f t="shared" si="258"/>
        <v>0</v>
      </c>
      <c r="K1071" s="1391">
        <v>1095</v>
      </c>
      <c r="L1071" s="1391" t="s">
        <v>5669</v>
      </c>
    </row>
    <row r="1072" spans="2:12">
      <c r="B1072" s="5" t="s">
        <v>5670</v>
      </c>
      <c r="C1072" s="26">
        <v>270</v>
      </c>
      <c r="D1072" s="1354">
        <v>0</v>
      </c>
      <c r="E1072" s="1346">
        <v>138420</v>
      </c>
      <c r="F1072" s="611" t="s">
        <v>4261</v>
      </c>
      <c r="G1072" s="1408">
        <v>660</v>
      </c>
      <c r="H1072" s="1353">
        <f t="shared" ref="H1072:I1074" si="259">M638</f>
        <v>0</v>
      </c>
      <c r="I1072" s="1353">
        <f t="shared" si="259"/>
        <v>0</v>
      </c>
      <c r="K1072" s="1391">
        <v>1096</v>
      </c>
      <c r="L1072" s="1391" t="s">
        <v>5671</v>
      </c>
    </row>
    <row r="1073" spans="2:12">
      <c r="B1073" s="5" t="s">
        <v>5672</v>
      </c>
      <c r="C1073" s="26">
        <v>271</v>
      </c>
      <c r="D1073" s="1354">
        <v>0</v>
      </c>
      <c r="E1073" s="1346">
        <v>0</v>
      </c>
      <c r="F1073" s="611" t="s">
        <v>4263</v>
      </c>
      <c r="G1073" s="1408">
        <v>661</v>
      </c>
      <c r="H1073" s="1353">
        <f t="shared" si="259"/>
        <v>0</v>
      </c>
      <c r="I1073" s="1353">
        <f t="shared" si="259"/>
        <v>0</v>
      </c>
      <c r="K1073" s="1391">
        <v>1097</v>
      </c>
      <c r="L1073" s="1391" t="s">
        <v>5673</v>
      </c>
    </row>
    <row r="1074" spans="2:12">
      <c r="B1074" s="5" t="s">
        <v>5674</v>
      </c>
      <c r="C1074" s="26">
        <v>274</v>
      </c>
      <c r="D1074" s="1354">
        <v>0</v>
      </c>
      <c r="E1074" s="1346">
        <v>403556</v>
      </c>
      <c r="F1074" s="611" t="s">
        <v>4265</v>
      </c>
      <c r="G1074" s="1408">
        <v>662</v>
      </c>
      <c r="H1074" s="1353">
        <f t="shared" si="259"/>
        <v>0</v>
      </c>
      <c r="I1074" s="1353">
        <f t="shared" si="259"/>
        <v>0</v>
      </c>
      <c r="K1074" s="1391">
        <v>1098</v>
      </c>
      <c r="L1074" s="1391" t="s">
        <v>5675</v>
      </c>
    </row>
    <row r="1075" spans="2:12">
      <c r="B1075" s="5" t="s">
        <v>5676</v>
      </c>
      <c r="C1075" s="26">
        <v>275</v>
      </c>
      <c r="D1075" s="1354">
        <v>0</v>
      </c>
      <c r="E1075" s="1346">
        <v>0</v>
      </c>
      <c r="F1075" s="611" t="s">
        <v>4269</v>
      </c>
      <c r="G1075" s="1408">
        <v>664</v>
      </c>
      <c r="H1075" s="1353">
        <f t="shared" ref="H1075:I1077" si="260">M642</f>
        <v>0</v>
      </c>
      <c r="I1075" s="1353">
        <f t="shared" si="260"/>
        <v>0</v>
      </c>
      <c r="K1075" s="1391">
        <v>1099</v>
      </c>
      <c r="L1075" s="1391" t="s">
        <v>5677</v>
      </c>
    </row>
    <row r="1076" spans="2:12">
      <c r="B1076" s="5" t="s">
        <v>5678</v>
      </c>
      <c r="C1076" s="26">
        <v>277</v>
      </c>
      <c r="D1076" s="1354">
        <v>0</v>
      </c>
      <c r="E1076" s="1346">
        <v>0</v>
      </c>
      <c r="F1076" s="611" t="s">
        <v>4271</v>
      </c>
      <c r="G1076" s="1408">
        <v>665</v>
      </c>
      <c r="H1076" s="1353">
        <f t="shared" si="260"/>
        <v>0</v>
      </c>
      <c r="I1076" s="1353">
        <f t="shared" si="260"/>
        <v>0</v>
      </c>
      <c r="K1076" s="1391">
        <v>1100</v>
      </c>
      <c r="L1076" s="1391" t="s">
        <v>5679</v>
      </c>
    </row>
    <row r="1077" spans="2:12">
      <c r="B1077" s="5" t="s">
        <v>5680</v>
      </c>
      <c r="C1077" s="26">
        <v>347</v>
      </c>
      <c r="D1077" s="1354">
        <v>0</v>
      </c>
      <c r="E1077" s="1346">
        <v>0</v>
      </c>
      <c r="F1077" s="611" t="s">
        <v>4273</v>
      </c>
      <c r="G1077" s="1408">
        <v>666</v>
      </c>
      <c r="H1077" s="1353">
        <f t="shared" si="260"/>
        <v>0</v>
      </c>
      <c r="I1077" s="1353">
        <f t="shared" si="260"/>
        <v>0</v>
      </c>
      <c r="K1077" s="1391">
        <v>1101</v>
      </c>
      <c r="L1077" s="1391" t="s">
        <v>5681</v>
      </c>
    </row>
    <row r="1078" spans="2:12">
      <c r="B1078" s="5" t="s">
        <v>5682</v>
      </c>
      <c r="C1078" s="26">
        <v>280</v>
      </c>
      <c r="D1078" s="1354">
        <v>0</v>
      </c>
      <c r="E1078" s="1346">
        <v>0</v>
      </c>
      <c r="F1078" s="611" t="s">
        <v>4277</v>
      </c>
      <c r="G1078" s="1408">
        <v>668</v>
      </c>
      <c r="H1078" s="1353">
        <f t="shared" ref="H1078:H1087" si="261">M646</f>
        <v>0</v>
      </c>
      <c r="I1078" s="1353">
        <f t="shared" ref="I1078:I1087" si="262">N646</f>
        <v>0</v>
      </c>
      <c r="K1078" s="1391">
        <v>1102</v>
      </c>
      <c r="L1078" s="1391" t="s">
        <v>5683</v>
      </c>
    </row>
    <row r="1079" spans="2:12">
      <c r="B1079" s="5" t="s">
        <v>5684</v>
      </c>
      <c r="C1079" s="26">
        <v>281</v>
      </c>
      <c r="D1079" s="1354">
        <v>0</v>
      </c>
      <c r="E1079" s="1346">
        <v>233357</v>
      </c>
      <c r="F1079" s="611" t="s">
        <v>4281</v>
      </c>
      <c r="G1079" s="1408">
        <v>669</v>
      </c>
      <c r="H1079" s="1353">
        <f t="shared" si="261"/>
        <v>0</v>
      </c>
      <c r="I1079" s="1353">
        <f t="shared" si="262"/>
        <v>0</v>
      </c>
      <c r="K1079" s="1391">
        <v>1103</v>
      </c>
      <c r="L1079" s="1391" t="s">
        <v>5685</v>
      </c>
    </row>
    <row r="1080" spans="2:12">
      <c r="B1080" s="5" t="s">
        <v>5686</v>
      </c>
      <c r="C1080" s="26">
        <v>286</v>
      </c>
      <c r="D1080" s="1354">
        <v>0</v>
      </c>
      <c r="E1080" s="1346">
        <v>0</v>
      </c>
      <c r="F1080" s="611" t="s">
        <v>4283</v>
      </c>
      <c r="G1080" s="1408">
        <v>670</v>
      </c>
      <c r="H1080" s="1353">
        <f t="shared" si="261"/>
        <v>0</v>
      </c>
      <c r="I1080" s="1353">
        <f t="shared" si="262"/>
        <v>0</v>
      </c>
      <c r="K1080" s="1391">
        <v>1104</v>
      </c>
      <c r="L1080" s="1391" t="s">
        <v>5687</v>
      </c>
    </row>
    <row r="1081" spans="2:12">
      <c r="B1081" s="5" t="s">
        <v>5688</v>
      </c>
      <c r="C1081" s="26">
        <v>287</v>
      </c>
      <c r="D1081" s="1354">
        <v>0</v>
      </c>
      <c r="E1081" s="1346">
        <v>58570</v>
      </c>
      <c r="F1081" s="611" t="s">
        <v>4287</v>
      </c>
      <c r="G1081" s="1408">
        <v>671</v>
      </c>
      <c r="H1081" s="1353">
        <f t="shared" si="261"/>
        <v>0</v>
      </c>
      <c r="I1081" s="1353">
        <f t="shared" si="262"/>
        <v>0</v>
      </c>
      <c r="K1081" s="1391">
        <v>1105</v>
      </c>
      <c r="L1081" s="1391" t="s">
        <v>5689</v>
      </c>
    </row>
    <row r="1082" spans="2:12">
      <c r="B1082" s="5" t="s">
        <v>5690</v>
      </c>
      <c r="C1082" s="26">
        <v>288</v>
      </c>
      <c r="D1082" s="1354">
        <v>0</v>
      </c>
      <c r="E1082" s="1346">
        <v>7207</v>
      </c>
      <c r="F1082" s="611" t="s">
        <v>4291</v>
      </c>
      <c r="G1082" s="1408">
        <v>672</v>
      </c>
      <c r="H1082" s="1353">
        <f t="shared" si="261"/>
        <v>0</v>
      </c>
      <c r="I1082" s="1353">
        <f t="shared" si="262"/>
        <v>0</v>
      </c>
      <c r="K1082" s="1391">
        <v>1106</v>
      </c>
      <c r="L1082" s="1391" t="s">
        <v>5691</v>
      </c>
    </row>
    <row r="1083" spans="2:12">
      <c r="B1083" s="5" t="s">
        <v>5692</v>
      </c>
      <c r="C1083" s="26">
        <v>282</v>
      </c>
      <c r="D1083" s="1354">
        <v>0</v>
      </c>
      <c r="E1083" s="1346">
        <v>698014</v>
      </c>
      <c r="F1083" s="611" t="s">
        <v>4295</v>
      </c>
      <c r="G1083" s="1408">
        <v>673</v>
      </c>
      <c r="H1083" s="1353">
        <f t="shared" si="261"/>
        <v>0</v>
      </c>
      <c r="I1083" s="1353">
        <f t="shared" si="262"/>
        <v>0</v>
      </c>
      <c r="K1083" s="1391">
        <v>1107</v>
      </c>
      <c r="L1083" s="1391" t="s">
        <v>5693</v>
      </c>
    </row>
    <row r="1084" spans="2:12">
      <c r="B1084" s="5" t="s">
        <v>5694</v>
      </c>
      <c r="C1084" s="26">
        <v>283</v>
      </c>
      <c r="D1084" s="1354">
        <v>0</v>
      </c>
      <c r="E1084" s="1346">
        <v>0</v>
      </c>
      <c r="F1084" s="611" t="s">
        <v>4299</v>
      </c>
      <c r="G1084" s="1408">
        <v>674</v>
      </c>
      <c r="H1084" s="1353">
        <f t="shared" si="261"/>
        <v>0</v>
      </c>
      <c r="I1084" s="1353">
        <f t="shared" si="262"/>
        <v>0</v>
      </c>
      <c r="K1084" s="1391">
        <v>1108</v>
      </c>
      <c r="L1084" s="1391" t="s">
        <v>5695</v>
      </c>
    </row>
    <row r="1085" spans="2:12">
      <c r="B1085" s="5" t="s">
        <v>5696</v>
      </c>
      <c r="C1085" s="26">
        <v>284</v>
      </c>
      <c r="D1085" s="1354">
        <v>0</v>
      </c>
      <c r="E1085" s="1346">
        <v>49360</v>
      </c>
      <c r="F1085" s="611" t="s">
        <v>4303</v>
      </c>
      <c r="G1085" s="1408">
        <v>675</v>
      </c>
      <c r="H1085" s="1353">
        <f t="shared" si="261"/>
        <v>0</v>
      </c>
      <c r="I1085" s="1353">
        <f t="shared" si="262"/>
        <v>0</v>
      </c>
      <c r="K1085" s="1391">
        <v>1109</v>
      </c>
      <c r="L1085" s="1391" t="s">
        <v>5697</v>
      </c>
    </row>
    <row r="1086" spans="2:12">
      <c r="B1086" s="5" t="s">
        <v>5698</v>
      </c>
      <c r="C1086" s="26">
        <v>285</v>
      </c>
      <c r="D1086" s="1354">
        <v>0</v>
      </c>
      <c r="E1086" s="1346">
        <v>73638</v>
      </c>
      <c r="F1086" s="611" t="s">
        <v>4307</v>
      </c>
      <c r="G1086" s="1408">
        <v>676</v>
      </c>
      <c r="H1086" s="1353">
        <f t="shared" si="261"/>
        <v>0</v>
      </c>
      <c r="I1086" s="1353">
        <f t="shared" si="262"/>
        <v>0</v>
      </c>
      <c r="K1086" s="1391">
        <v>1110</v>
      </c>
      <c r="L1086" s="1391" t="s">
        <v>5699</v>
      </c>
    </row>
    <row r="1087" spans="2:12">
      <c r="B1087" s="5" t="s">
        <v>5700</v>
      </c>
      <c r="C1087" s="26">
        <v>289</v>
      </c>
      <c r="D1087" s="1354">
        <v>0</v>
      </c>
      <c r="E1087" s="1346">
        <v>48744</v>
      </c>
      <c r="F1087" s="611" t="s">
        <v>4310</v>
      </c>
      <c r="G1087" s="1408">
        <v>677</v>
      </c>
      <c r="H1087" s="1353">
        <f t="shared" si="261"/>
        <v>0</v>
      </c>
      <c r="I1087" s="1353">
        <f t="shared" si="262"/>
        <v>0</v>
      </c>
      <c r="K1087" s="1391">
        <v>1111</v>
      </c>
      <c r="L1087" s="1391" t="s">
        <v>5701</v>
      </c>
    </row>
    <row r="1088" spans="2:12">
      <c r="B1088" s="5" t="s">
        <v>5702</v>
      </c>
      <c r="C1088" s="26">
        <v>351</v>
      </c>
      <c r="D1088" s="1354">
        <v>0</v>
      </c>
      <c r="E1088" s="1346">
        <v>-56920</v>
      </c>
      <c r="F1088" s="611" t="s">
        <v>4316</v>
      </c>
      <c r="G1088" s="1408">
        <v>679</v>
      </c>
      <c r="H1088" s="1353">
        <f t="shared" ref="H1088:H1096" si="263">M657</f>
        <v>0</v>
      </c>
      <c r="I1088" s="1353">
        <f t="shared" ref="I1088:I1096" si="264">N657</f>
        <v>0</v>
      </c>
      <c r="K1088" s="1391">
        <v>1112</v>
      </c>
      <c r="L1088" s="1391" t="s">
        <v>5703</v>
      </c>
    </row>
    <row r="1089" spans="1:12">
      <c r="B1089" s="5" t="s">
        <v>5704</v>
      </c>
      <c r="C1089" s="26">
        <v>356</v>
      </c>
      <c r="D1089" s="1354">
        <v>0</v>
      </c>
      <c r="E1089" s="1346">
        <v>0</v>
      </c>
      <c r="F1089" s="611" t="s">
        <v>4320</v>
      </c>
      <c r="G1089" s="1408">
        <v>680</v>
      </c>
      <c r="H1089" s="1353">
        <f t="shared" si="263"/>
        <v>0</v>
      </c>
      <c r="I1089" s="1353">
        <f t="shared" si="264"/>
        <v>0</v>
      </c>
      <c r="K1089" s="1391">
        <v>1113</v>
      </c>
      <c r="L1089" s="1391" t="s">
        <v>5705</v>
      </c>
    </row>
    <row r="1090" spans="1:12">
      <c r="B1090" s="5" t="s">
        <v>5706</v>
      </c>
      <c r="C1090" s="26">
        <v>357</v>
      </c>
      <c r="D1090" s="1354">
        <v>0</v>
      </c>
      <c r="E1090" s="1346">
        <v>-21280</v>
      </c>
      <c r="F1090" s="611" t="s">
        <v>4324</v>
      </c>
      <c r="G1090" s="1408">
        <v>681</v>
      </c>
      <c r="H1090" s="1353">
        <f t="shared" si="263"/>
        <v>0</v>
      </c>
      <c r="I1090" s="1353">
        <f t="shared" si="264"/>
        <v>0</v>
      </c>
      <c r="K1090" s="1391">
        <v>1114</v>
      </c>
      <c r="L1090" s="1391" t="s">
        <v>5707</v>
      </c>
    </row>
    <row r="1091" spans="1:12">
      <c r="B1091" s="5" t="s">
        <v>5708</v>
      </c>
      <c r="C1091" s="26">
        <v>358</v>
      </c>
      <c r="D1091" s="1354">
        <v>0</v>
      </c>
      <c r="E1091" s="1346">
        <v>-2902</v>
      </c>
      <c r="F1091" s="611" t="s">
        <v>4328</v>
      </c>
      <c r="G1091" s="1416">
        <v>682</v>
      </c>
      <c r="H1091" s="1353">
        <f t="shared" si="263"/>
        <v>0</v>
      </c>
      <c r="I1091" s="1353">
        <f t="shared" si="264"/>
        <v>0</v>
      </c>
      <c r="K1091" s="1391">
        <v>1115</v>
      </c>
      <c r="L1091" s="1391" t="s">
        <v>5709</v>
      </c>
    </row>
    <row r="1092" spans="1:12">
      <c r="B1092" s="5" t="s">
        <v>5710</v>
      </c>
      <c r="C1092" s="26">
        <v>352</v>
      </c>
      <c r="D1092" s="1354">
        <v>0</v>
      </c>
      <c r="E1092" s="1346">
        <v>-237755</v>
      </c>
      <c r="F1092" s="611" t="s">
        <v>4332</v>
      </c>
      <c r="G1092" s="1416">
        <v>683</v>
      </c>
      <c r="H1092" s="1353">
        <f t="shared" si="263"/>
        <v>0</v>
      </c>
      <c r="I1092" s="1353">
        <f t="shared" si="264"/>
        <v>0</v>
      </c>
      <c r="K1092" s="1391">
        <v>1116</v>
      </c>
      <c r="L1092" s="1391" t="s">
        <v>5711</v>
      </c>
    </row>
    <row r="1093" spans="1:12">
      <c r="B1093" s="5" t="s">
        <v>5712</v>
      </c>
      <c r="C1093" s="26">
        <v>353</v>
      </c>
      <c r="D1093" s="1354">
        <v>0</v>
      </c>
      <c r="E1093" s="1346">
        <v>0</v>
      </c>
      <c r="F1093" s="611" t="s">
        <v>4335</v>
      </c>
      <c r="G1093" s="1416">
        <v>684</v>
      </c>
      <c r="H1093" s="1353">
        <f t="shared" si="263"/>
        <v>0</v>
      </c>
      <c r="I1093" s="1353">
        <f t="shared" si="264"/>
        <v>0</v>
      </c>
      <c r="K1093" s="1391">
        <v>1117</v>
      </c>
      <c r="L1093" s="1391" t="s">
        <v>5713</v>
      </c>
    </row>
    <row r="1094" spans="1:12">
      <c r="B1094" s="5" t="s">
        <v>5714</v>
      </c>
      <c r="C1094" s="26">
        <v>354</v>
      </c>
      <c r="D1094" s="1354">
        <v>0</v>
      </c>
      <c r="E1094" s="1346">
        <v>-13439</v>
      </c>
      <c r="F1094" s="611" t="s">
        <v>4339</v>
      </c>
      <c r="G1094" s="1416">
        <v>685</v>
      </c>
      <c r="H1094" s="1353">
        <f t="shared" si="263"/>
        <v>0</v>
      </c>
      <c r="I1094" s="1353">
        <f t="shared" si="264"/>
        <v>0</v>
      </c>
      <c r="K1094" s="1391">
        <v>1118</v>
      </c>
      <c r="L1094" s="1391" t="s">
        <v>5715</v>
      </c>
    </row>
    <row r="1095" spans="1:12">
      <c r="B1095" s="5" t="s">
        <v>5716</v>
      </c>
      <c r="C1095" s="26">
        <v>355</v>
      </c>
      <c r="D1095" s="1354">
        <v>0</v>
      </c>
      <c r="E1095" s="1346">
        <v>-36719</v>
      </c>
      <c r="F1095" s="611" t="s">
        <v>4343</v>
      </c>
      <c r="G1095" s="1416">
        <v>686</v>
      </c>
      <c r="H1095" s="1353">
        <f t="shared" si="263"/>
        <v>0</v>
      </c>
      <c r="I1095" s="1353">
        <f t="shared" si="264"/>
        <v>0</v>
      </c>
      <c r="K1095" s="1391">
        <v>1119</v>
      </c>
      <c r="L1095" s="1391" t="s">
        <v>5717</v>
      </c>
    </row>
    <row r="1096" spans="1:12">
      <c r="B1096" s="5" t="s">
        <v>5718</v>
      </c>
      <c r="C1096" s="26">
        <v>359</v>
      </c>
      <c r="D1096" s="1354">
        <v>0</v>
      </c>
      <c r="E1096" s="1346">
        <v>-2463</v>
      </c>
      <c r="F1096" s="611" t="s">
        <v>4347</v>
      </c>
      <c r="G1096" s="1408">
        <v>687</v>
      </c>
      <c r="H1096" s="1353">
        <f t="shared" si="263"/>
        <v>0</v>
      </c>
      <c r="I1096" s="1353">
        <f t="shared" si="264"/>
        <v>0</v>
      </c>
      <c r="K1096" s="1391">
        <v>1120</v>
      </c>
      <c r="L1096" s="1391" t="s">
        <v>5719</v>
      </c>
    </row>
    <row r="1097" spans="1:12">
      <c r="B1097" s="5" t="s">
        <v>5720</v>
      </c>
      <c r="C1097" s="26" t="s">
        <v>5721</v>
      </c>
      <c r="D1097" s="1354">
        <v>0</v>
      </c>
      <c r="E1097" s="1346">
        <v>797412</v>
      </c>
      <c r="F1097" s="611" t="s">
        <v>4395</v>
      </c>
      <c r="G1097" s="1408">
        <v>699</v>
      </c>
      <c r="H1097" s="1353">
        <f t="shared" ref="H1097:I1101" si="265">M677</f>
        <v>0</v>
      </c>
      <c r="I1097" s="1353">
        <f t="shared" si="265"/>
        <v>0</v>
      </c>
      <c r="K1097" s="1391">
        <v>1121</v>
      </c>
      <c r="L1097" s="1391" t="s">
        <v>5722</v>
      </c>
    </row>
    <row r="1098" spans="1:12">
      <c r="B1098" s="5" t="s">
        <v>5723</v>
      </c>
      <c r="C1098" s="26">
        <v>291</v>
      </c>
      <c r="D1098" s="1354">
        <v>0</v>
      </c>
      <c r="E1098" s="1346">
        <v>0</v>
      </c>
      <c r="F1098" s="611" t="s">
        <v>4399</v>
      </c>
      <c r="G1098" s="1408">
        <v>700</v>
      </c>
      <c r="H1098" s="1353">
        <f t="shared" si="265"/>
        <v>0</v>
      </c>
      <c r="I1098" s="1353">
        <f t="shared" si="265"/>
        <v>0</v>
      </c>
      <c r="K1098" s="1391">
        <v>1122</v>
      </c>
      <c r="L1098" s="1391" t="s">
        <v>5724</v>
      </c>
    </row>
    <row r="1099" spans="1:12">
      <c r="B1099" s="5" t="s">
        <v>5725</v>
      </c>
      <c r="C1099" s="26">
        <v>293</v>
      </c>
      <c r="D1099" s="1354">
        <v>0</v>
      </c>
      <c r="E1099" s="1346">
        <v>0</v>
      </c>
      <c r="F1099" s="611" t="s">
        <v>4403</v>
      </c>
      <c r="G1099" s="1408">
        <v>701</v>
      </c>
      <c r="H1099" s="1353">
        <f t="shared" si="265"/>
        <v>0</v>
      </c>
      <c r="I1099" s="1353">
        <f t="shared" si="265"/>
        <v>0</v>
      </c>
      <c r="K1099" s="1391">
        <v>1123</v>
      </c>
      <c r="L1099" s="1391" t="s">
        <v>5726</v>
      </c>
    </row>
    <row r="1100" spans="1:12">
      <c r="B1100" s="5" t="s">
        <v>5727</v>
      </c>
      <c r="C1100" s="26">
        <v>294</v>
      </c>
      <c r="D1100" s="1354">
        <v>0</v>
      </c>
      <c r="E1100" s="1346">
        <v>0</v>
      </c>
      <c r="F1100" s="611" t="s">
        <v>4407</v>
      </c>
      <c r="G1100" s="1408">
        <v>702</v>
      </c>
      <c r="H1100" s="1353">
        <f t="shared" si="265"/>
        <v>0</v>
      </c>
      <c r="I1100" s="1353">
        <f t="shared" si="265"/>
        <v>0</v>
      </c>
      <c r="K1100" s="1391">
        <v>1124</v>
      </c>
      <c r="L1100" s="1391" t="s">
        <v>5728</v>
      </c>
    </row>
    <row r="1101" spans="1:12">
      <c r="B1101" s="5" t="s">
        <v>5729</v>
      </c>
      <c r="C1101" s="26">
        <v>296</v>
      </c>
      <c r="D1101" s="1354">
        <v>0</v>
      </c>
      <c r="E1101" s="1346">
        <v>2974795</v>
      </c>
      <c r="F1101" s="611" t="s">
        <v>4411</v>
      </c>
      <c r="G1101" s="1408">
        <v>703</v>
      </c>
      <c r="H1101" s="1353">
        <f t="shared" si="265"/>
        <v>0</v>
      </c>
      <c r="I1101" s="1353">
        <f t="shared" si="265"/>
        <v>0</v>
      </c>
      <c r="K1101" s="1391">
        <v>1125</v>
      </c>
      <c r="L1101" s="1391" t="s">
        <v>5730</v>
      </c>
    </row>
    <row r="1102" spans="1:12">
      <c r="B1102" s="5" t="s">
        <v>5731</v>
      </c>
      <c r="C1102" s="26" t="s">
        <v>5732</v>
      </c>
      <c r="D1102" s="1354">
        <v>0</v>
      </c>
      <c r="E1102" s="1346">
        <v>30252650</v>
      </c>
      <c r="F1102" s="611" t="s">
        <v>4417</v>
      </c>
      <c r="G1102" s="1408">
        <v>705</v>
      </c>
      <c r="H1102" s="1353">
        <f t="shared" ref="H1102:H1111" si="266">M683</f>
        <v>0</v>
      </c>
      <c r="I1102" s="1353">
        <f t="shared" ref="I1102:I1111" si="267">N683</f>
        <v>0</v>
      </c>
      <c r="K1102" s="1391">
        <v>1126</v>
      </c>
      <c r="L1102" s="1391" t="s">
        <v>5733</v>
      </c>
    </row>
    <row r="1103" spans="1:12">
      <c r="A1103" s="611" t="s">
        <v>5734</v>
      </c>
      <c r="B1103" s="5" t="s">
        <v>5735</v>
      </c>
      <c r="C1103" s="26">
        <v>202</v>
      </c>
      <c r="D1103" s="1354">
        <v>0</v>
      </c>
      <c r="E1103" s="1346">
        <v>0</v>
      </c>
      <c r="F1103" s="611" t="s">
        <v>4420</v>
      </c>
      <c r="G1103" s="1408">
        <v>706</v>
      </c>
      <c r="H1103" s="1353">
        <f t="shared" si="266"/>
        <v>0</v>
      </c>
      <c r="I1103" s="1353">
        <f t="shared" si="267"/>
        <v>0</v>
      </c>
      <c r="K1103" s="1391">
        <v>1127</v>
      </c>
      <c r="L1103" s="1391" t="s">
        <v>5736</v>
      </c>
    </row>
    <row r="1104" spans="1:12">
      <c r="B1104" s="5" t="s">
        <v>5737</v>
      </c>
      <c r="C1104" s="26">
        <v>300</v>
      </c>
      <c r="D1104" s="1354">
        <v>0</v>
      </c>
      <c r="E1104" s="1346">
        <v>-37952</v>
      </c>
      <c r="F1104" s="611" t="s">
        <v>4423</v>
      </c>
      <c r="G1104" s="1408">
        <v>707</v>
      </c>
      <c r="H1104" s="1353">
        <f t="shared" si="266"/>
        <v>0</v>
      </c>
      <c r="I1104" s="1353">
        <f t="shared" si="267"/>
        <v>0</v>
      </c>
      <c r="K1104" s="1391">
        <v>1128</v>
      </c>
      <c r="L1104" s="1391" t="s">
        <v>5738</v>
      </c>
    </row>
    <row r="1105" spans="2:12">
      <c r="B1105" s="5" t="s">
        <v>5739</v>
      </c>
      <c r="C1105" s="26">
        <v>220</v>
      </c>
      <c r="D1105" s="1354">
        <v>0</v>
      </c>
      <c r="E1105" s="1346">
        <v>0</v>
      </c>
      <c r="F1105" s="611" t="s">
        <v>4426</v>
      </c>
      <c r="G1105" s="1408">
        <v>708</v>
      </c>
      <c r="H1105" s="1353">
        <f t="shared" si="266"/>
        <v>0</v>
      </c>
      <c r="I1105" s="1353">
        <f t="shared" si="267"/>
        <v>0</v>
      </c>
      <c r="K1105" s="1391">
        <v>1129</v>
      </c>
      <c r="L1105" s="1391" t="s">
        <v>5740</v>
      </c>
    </row>
    <row r="1106" spans="2:12">
      <c r="B1106" s="5" t="s">
        <v>5741</v>
      </c>
      <c r="C1106" s="26">
        <v>220</v>
      </c>
      <c r="D1106" s="1354">
        <v>0</v>
      </c>
      <c r="E1106" s="1346">
        <v>0</v>
      </c>
      <c r="F1106" s="611" t="s">
        <v>4429</v>
      </c>
      <c r="G1106" s="1408">
        <v>709</v>
      </c>
      <c r="H1106" s="1353">
        <f t="shared" si="266"/>
        <v>0</v>
      </c>
      <c r="I1106" s="1353">
        <f t="shared" si="267"/>
        <v>0</v>
      </c>
      <c r="K1106" s="1391">
        <v>1130</v>
      </c>
      <c r="L1106" s="1391" t="s">
        <v>5742</v>
      </c>
    </row>
    <row r="1107" spans="2:12">
      <c r="B1107" s="5" t="s">
        <v>5743</v>
      </c>
      <c r="C1107" s="26">
        <v>305</v>
      </c>
      <c r="D1107" s="1354">
        <v>0</v>
      </c>
      <c r="E1107" s="1346">
        <v>0</v>
      </c>
      <c r="F1107" s="611" t="s">
        <v>4432</v>
      </c>
      <c r="G1107" s="1408">
        <v>710</v>
      </c>
      <c r="H1107" s="1353">
        <f t="shared" si="266"/>
        <v>0</v>
      </c>
      <c r="I1107" s="1353">
        <f t="shared" si="267"/>
        <v>0</v>
      </c>
      <c r="K1107" s="1391">
        <v>1131</v>
      </c>
      <c r="L1107" s="1391" t="s">
        <v>5744</v>
      </c>
    </row>
    <row r="1108" spans="2:12">
      <c r="B1108" s="5" t="s">
        <v>5745</v>
      </c>
      <c r="C1108" s="26">
        <v>310</v>
      </c>
      <c r="D1108" s="1354">
        <v>0</v>
      </c>
      <c r="E1108" s="1346">
        <v>14283351</v>
      </c>
      <c r="F1108" s="611" t="s">
        <v>4435</v>
      </c>
      <c r="G1108" s="1408">
        <v>711</v>
      </c>
      <c r="H1108" s="1353">
        <f t="shared" si="266"/>
        <v>0</v>
      </c>
      <c r="I1108" s="1353">
        <f t="shared" si="267"/>
        <v>0</v>
      </c>
      <c r="K1108" s="1391">
        <v>1132</v>
      </c>
      <c r="L1108" s="1391" t="s">
        <v>5746</v>
      </c>
    </row>
    <row r="1109" spans="2:12">
      <c r="B1109" s="5" t="s">
        <v>5747</v>
      </c>
      <c r="C1109" s="26">
        <v>311</v>
      </c>
      <c r="D1109" s="1354">
        <v>0</v>
      </c>
      <c r="E1109" s="1346">
        <v>10642333</v>
      </c>
      <c r="F1109" s="611" t="s">
        <v>4438</v>
      </c>
      <c r="G1109" s="1408">
        <v>712</v>
      </c>
      <c r="H1109" s="1353">
        <f t="shared" si="266"/>
        <v>0</v>
      </c>
      <c r="I1109" s="1353">
        <f t="shared" si="267"/>
        <v>0</v>
      </c>
      <c r="K1109" s="1391">
        <v>1133</v>
      </c>
      <c r="L1109" s="1391" t="s">
        <v>5748</v>
      </c>
    </row>
    <row r="1110" spans="2:12">
      <c r="B1110" s="5" t="s">
        <v>5749</v>
      </c>
      <c r="C1110" s="26">
        <v>312</v>
      </c>
      <c r="D1110" s="1354">
        <v>0</v>
      </c>
      <c r="E1110" s="1346">
        <v>0</v>
      </c>
      <c r="F1110" s="611" t="s">
        <v>4441</v>
      </c>
      <c r="G1110" s="1408">
        <v>713</v>
      </c>
      <c r="H1110" s="1353">
        <f t="shared" si="266"/>
        <v>0</v>
      </c>
      <c r="I1110" s="1353">
        <f t="shared" si="267"/>
        <v>0</v>
      </c>
      <c r="K1110" s="1391">
        <v>1134</v>
      </c>
      <c r="L1110" s="1391" t="s">
        <v>5750</v>
      </c>
    </row>
    <row r="1111" spans="2:12">
      <c r="B1111" s="5" t="s">
        <v>5751</v>
      </c>
      <c r="C1111" s="26">
        <v>314</v>
      </c>
      <c r="D1111" s="1354">
        <v>0</v>
      </c>
      <c r="E1111" s="1346">
        <v>0</v>
      </c>
      <c r="F1111" s="611" t="s">
        <v>4444</v>
      </c>
      <c r="G1111" s="1408">
        <v>714</v>
      </c>
      <c r="H1111" s="1353">
        <f t="shared" si="266"/>
        <v>0</v>
      </c>
      <c r="I1111" s="1353">
        <f t="shared" si="267"/>
        <v>0</v>
      </c>
      <c r="K1111" s="1391">
        <v>1135</v>
      </c>
      <c r="L1111" s="1391" t="s">
        <v>5752</v>
      </c>
    </row>
    <row r="1112" spans="2:12">
      <c r="B1112" s="1074" t="s">
        <v>5753</v>
      </c>
      <c r="C1112" s="26">
        <v>315</v>
      </c>
      <c r="D1112" s="1354">
        <v>0</v>
      </c>
      <c r="E1112" s="1346">
        <v>-211927</v>
      </c>
      <c r="F1112" s="611" t="s">
        <v>5754</v>
      </c>
      <c r="G1112" s="1408">
        <v>1762</v>
      </c>
      <c r="H1112" s="1353">
        <f>M2708</f>
        <v>0</v>
      </c>
      <c r="I1112" s="1353">
        <f>N2708</f>
        <v>0</v>
      </c>
      <c r="K1112" s="1391">
        <v>1136</v>
      </c>
      <c r="L1112" s="1391" t="s">
        <v>5755</v>
      </c>
    </row>
    <row r="1113" spans="2:12">
      <c r="B1113" s="5" t="s">
        <v>5756</v>
      </c>
      <c r="C1113" s="26">
        <v>320</v>
      </c>
      <c r="D1113" s="1354">
        <v>0</v>
      </c>
      <c r="E1113" s="1346">
        <v>0</v>
      </c>
      <c r="F1113" s="611" t="s">
        <v>4447</v>
      </c>
      <c r="G1113" s="1408">
        <v>715</v>
      </c>
      <c r="H1113" s="1353">
        <f t="shared" ref="H1113:H1123" si="268">M693</f>
        <v>0</v>
      </c>
      <c r="I1113" s="1353">
        <f t="shared" ref="I1113:I1123" si="269">N693</f>
        <v>0</v>
      </c>
      <c r="K1113" s="1391">
        <v>1137</v>
      </c>
      <c r="L1113" s="1391" t="s">
        <v>5757</v>
      </c>
    </row>
    <row r="1114" spans="2:12">
      <c r="B1114" s="5" t="s">
        <v>5758</v>
      </c>
      <c r="C1114" s="26">
        <v>321</v>
      </c>
      <c r="D1114" s="1354">
        <v>0</v>
      </c>
      <c r="E1114" s="1346">
        <v>-15384</v>
      </c>
      <c r="F1114" s="611" t="s">
        <v>4450</v>
      </c>
      <c r="G1114" s="1408">
        <v>716</v>
      </c>
      <c r="H1114" s="1353">
        <f t="shared" si="268"/>
        <v>0</v>
      </c>
      <c r="I1114" s="1353">
        <f t="shared" si="269"/>
        <v>0</v>
      </c>
      <c r="K1114" s="1391">
        <v>1138</v>
      </c>
      <c r="L1114" s="1391" t="s">
        <v>5759</v>
      </c>
    </row>
    <row r="1115" spans="2:12">
      <c r="B1115" s="5" t="s">
        <v>5760</v>
      </c>
      <c r="C1115" s="26">
        <v>322</v>
      </c>
      <c r="D1115" s="1354">
        <v>0</v>
      </c>
      <c r="E1115" s="1346">
        <v>0</v>
      </c>
      <c r="F1115" s="611" t="s">
        <v>4453</v>
      </c>
      <c r="G1115" s="1408">
        <v>717</v>
      </c>
      <c r="H1115" s="1353">
        <f t="shared" si="268"/>
        <v>0</v>
      </c>
      <c r="I1115" s="1353">
        <f t="shared" si="269"/>
        <v>0</v>
      </c>
      <c r="K1115" s="1391">
        <v>1139</v>
      </c>
      <c r="L1115" s="1391" t="s">
        <v>5761</v>
      </c>
    </row>
    <row r="1116" spans="2:12">
      <c r="B1116" s="5" t="s">
        <v>5762</v>
      </c>
      <c r="C1116" s="26">
        <v>323</v>
      </c>
      <c r="D1116" s="1354">
        <v>0</v>
      </c>
      <c r="E1116" s="1346">
        <v>4995</v>
      </c>
      <c r="F1116" s="611" t="s">
        <v>4456</v>
      </c>
      <c r="G1116" s="1408">
        <v>718</v>
      </c>
      <c r="H1116" s="1353">
        <f t="shared" si="268"/>
        <v>0</v>
      </c>
      <c r="I1116" s="1353">
        <f t="shared" si="269"/>
        <v>0</v>
      </c>
      <c r="K1116" s="1391">
        <v>1140</v>
      </c>
      <c r="L1116" s="1391" t="s">
        <v>5763</v>
      </c>
    </row>
    <row r="1117" spans="2:12">
      <c r="B1117" s="5" t="s">
        <v>5764</v>
      </c>
      <c r="C1117" s="26">
        <v>324</v>
      </c>
      <c r="D1117" s="1354">
        <v>0</v>
      </c>
      <c r="E1117" s="1346">
        <v>-8171</v>
      </c>
      <c r="F1117" s="611" t="s">
        <v>4459</v>
      </c>
      <c r="G1117" s="1408">
        <v>719</v>
      </c>
      <c r="H1117" s="1353">
        <f t="shared" si="268"/>
        <v>0</v>
      </c>
      <c r="I1117" s="1353">
        <f t="shared" si="269"/>
        <v>0</v>
      </c>
      <c r="K1117" s="1391">
        <v>1141</v>
      </c>
      <c r="L1117" s="1391" t="s">
        <v>5426</v>
      </c>
    </row>
    <row r="1118" spans="2:12">
      <c r="B1118" s="5" t="s">
        <v>5765</v>
      </c>
      <c r="C1118" s="26">
        <v>325</v>
      </c>
      <c r="D1118" s="1354">
        <v>0</v>
      </c>
      <c r="E1118" s="1346">
        <v>31762</v>
      </c>
      <c r="F1118" s="611" t="s">
        <v>4462</v>
      </c>
      <c r="G1118" s="1408">
        <v>720</v>
      </c>
      <c r="H1118" s="1353">
        <f t="shared" si="268"/>
        <v>0</v>
      </c>
      <c r="I1118" s="1353">
        <f t="shared" si="269"/>
        <v>0</v>
      </c>
      <c r="K1118" s="1391">
        <v>1142</v>
      </c>
      <c r="L1118" s="1391" t="s">
        <v>5414</v>
      </c>
    </row>
    <row r="1119" spans="2:12">
      <c r="B1119" s="5" t="s">
        <v>5766</v>
      </c>
      <c r="C1119" s="26">
        <v>327</v>
      </c>
      <c r="D1119" s="1354">
        <v>0</v>
      </c>
      <c r="E1119" s="1346">
        <v>0</v>
      </c>
      <c r="F1119" s="611" t="s">
        <v>4465</v>
      </c>
      <c r="G1119" s="1408">
        <v>721</v>
      </c>
      <c r="H1119" s="1353">
        <f t="shared" si="268"/>
        <v>0</v>
      </c>
      <c r="I1119" s="1353">
        <f t="shared" si="269"/>
        <v>0</v>
      </c>
      <c r="K1119" s="1391">
        <v>1143</v>
      </c>
      <c r="L1119" s="1391" t="s">
        <v>5767</v>
      </c>
    </row>
    <row r="1120" spans="2:12">
      <c r="B1120" s="5" t="s">
        <v>5768</v>
      </c>
      <c r="C1120" s="26">
        <v>328</v>
      </c>
      <c r="D1120" s="1354">
        <v>0</v>
      </c>
      <c r="E1120" s="1346">
        <v>0</v>
      </c>
      <c r="F1120" s="611" t="s">
        <v>4468</v>
      </c>
      <c r="G1120" s="1408">
        <v>722</v>
      </c>
      <c r="H1120" s="1353">
        <f t="shared" si="268"/>
        <v>0</v>
      </c>
      <c r="I1120" s="1353">
        <f t="shared" si="269"/>
        <v>0</v>
      </c>
      <c r="K1120" s="1391">
        <v>1144</v>
      </c>
      <c r="L1120" s="1391" t="s">
        <v>5769</v>
      </c>
    </row>
    <row r="1121" spans="1:12">
      <c r="B1121" s="5" t="s">
        <v>5770</v>
      </c>
      <c r="C1121" s="26">
        <v>329</v>
      </c>
      <c r="D1121" s="1354">
        <v>0</v>
      </c>
      <c r="E1121" s="1346">
        <v>0</v>
      </c>
      <c r="F1121" s="611" t="s">
        <v>4471</v>
      </c>
      <c r="G1121" s="1408">
        <v>723</v>
      </c>
      <c r="H1121" s="1353">
        <f t="shared" si="268"/>
        <v>0</v>
      </c>
      <c r="I1121" s="1353">
        <f t="shared" si="269"/>
        <v>0</v>
      </c>
      <c r="K1121" s="1391">
        <v>1145</v>
      </c>
      <c r="L1121" s="1391" t="s">
        <v>5771</v>
      </c>
    </row>
    <row r="1122" spans="1:12">
      <c r="B1122" s="5" t="s">
        <v>5772</v>
      </c>
      <c r="C1122" s="26">
        <v>330</v>
      </c>
      <c r="D1122" s="1354">
        <v>0</v>
      </c>
      <c r="E1122" s="1346">
        <v>0</v>
      </c>
      <c r="F1122" s="611" t="s">
        <v>4474</v>
      </c>
      <c r="G1122" s="1408">
        <v>724</v>
      </c>
      <c r="H1122" s="1353">
        <f t="shared" si="268"/>
        <v>0</v>
      </c>
      <c r="I1122" s="1353">
        <f t="shared" si="269"/>
        <v>0</v>
      </c>
      <c r="K1122" s="1391">
        <v>1146</v>
      </c>
      <c r="L1122" s="1391" t="s">
        <v>5773</v>
      </c>
    </row>
    <row r="1123" spans="1:12">
      <c r="B1123" s="5" t="s">
        <v>5774</v>
      </c>
      <c r="C1123" s="26">
        <v>331</v>
      </c>
      <c r="D1123" s="1354">
        <v>0</v>
      </c>
      <c r="E1123" s="1346">
        <v>274820</v>
      </c>
      <c r="F1123" s="611" t="s">
        <v>4477</v>
      </c>
      <c r="G1123" s="1408">
        <v>725</v>
      </c>
      <c r="H1123" s="1353">
        <f t="shared" si="268"/>
        <v>0</v>
      </c>
      <c r="I1123" s="1353">
        <f t="shared" si="269"/>
        <v>0</v>
      </c>
      <c r="K1123" s="1391">
        <v>1147</v>
      </c>
      <c r="L1123" s="1391" t="s">
        <v>5775</v>
      </c>
    </row>
    <row r="1124" spans="1:12">
      <c r="B1124" s="5" t="s">
        <v>5776</v>
      </c>
      <c r="C1124" s="26">
        <v>332</v>
      </c>
      <c r="D1124" s="1354">
        <v>0</v>
      </c>
      <c r="E1124" s="1346">
        <v>0</v>
      </c>
      <c r="F1124" s="611" t="s">
        <v>5777</v>
      </c>
      <c r="G1124" s="1408">
        <v>1760</v>
      </c>
      <c r="H1124" s="1353">
        <f>M1729</f>
        <v>0</v>
      </c>
      <c r="I1124" s="1353">
        <f>N1729</f>
        <v>0</v>
      </c>
      <c r="K1124" s="1391">
        <v>1148</v>
      </c>
      <c r="L1124" s="1391" t="s">
        <v>5778</v>
      </c>
    </row>
    <row r="1125" spans="1:12">
      <c r="B1125" s="5" t="s">
        <v>5779</v>
      </c>
      <c r="C1125" s="26">
        <v>334</v>
      </c>
      <c r="D1125" s="1354">
        <v>0</v>
      </c>
      <c r="E1125" s="1346">
        <v>500000</v>
      </c>
      <c r="F1125" s="611" t="s">
        <v>4483</v>
      </c>
      <c r="G1125" s="1408">
        <v>727</v>
      </c>
      <c r="H1125" s="1353">
        <f>M705</f>
        <v>0</v>
      </c>
      <c r="I1125" s="1353">
        <f>N705</f>
        <v>0</v>
      </c>
      <c r="K1125" s="1391">
        <v>1149</v>
      </c>
      <c r="L1125" s="1391" t="s">
        <v>5780</v>
      </c>
    </row>
    <row r="1126" spans="1:12">
      <c r="B1126" s="5" t="s">
        <v>5781</v>
      </c>
      <c r="C1126" s="26">
        <v>333</v>
      </c>
      <c r="D1126" s="1354">
        <v>0</v>
      </c>
      <c r="E1126" s="1346">
        <v>-21293</v>
      </c>
      <c r="F1126" s="611" t="s">
        <v>4486</v>
      </c>
      <c r="G1126" s="1408">
        <v>728</v>
      </c>
      <c r="H1126" s="1353">
        <f>M706</f>
        <v>0</v>
      </c>
      <c r="I1126" s="1353">
        <f>N706</f>
        <v>0</v>
      </c>
      <c r="K1126" s="1391">
        <v>1150</v>
      </c>
      <c r="L1126" s="1391" t="s">
        <v>5782</v>
      </c>
    </row>
    <row r="1127" spans="1:12">
      <c r="B1127" s="5" t="s">
        <v>5783</v>
      </c>
      <c r="C1127" s="26">
        <v>335</v>
      </c>
      <c r="D1127" s="1354">
        <v>0</v>
      </c>
      <c r="E1127" s="1346">
        <v>0</v>
      </c>
      <c r="F1127" s="611" t="s">
        <v>4492</v>
      </c>
      <c r="G1127" s="1408">
        <v>730</v>
      </c>
      <c r="H1127" s="1353">
        <f>M708</f>
        <v>0</v>
      </c>
      <c r="I1127" s="1353">
        <f>N708</f>
        <v>0</v>
      </c>
      <c r="K1127" s="1391">
        <v>1151</v>
      </c>
      <c r="L1127" s="1391" t="s">
        <v>5784</v>
      </c>
    </row>
    <row r="1128" spans="1:12">
      <c r="A1128" s="611" t="s">
        <v>5785</v>
      </c>
      <c r="B1128" s="5" t="s">
        <v>5786</v>
      </c>
      <c r="C1128" s="26">
        <v>360</v>
      </c>
      <c r="D1128" s="1354">
        <v>0</v>
      </c>
      <c r="E1128" s="1346">
        <v>3100020</v>
      </c>
      <c r="F1128" s="611" t="s">
        <v>4498</v>
      </c>
      <c r="G1128" s="1408">
        <v>732</v>
      </c>
      <c r="H1128" s="1353">
        <f t="shared" ref="H1128:I1133" si="270">M710</f>
        <v>0</v>
      </c>
      <c r="I1128" s="1353">
        <f t="shared" si="270"/>
        <v>0</v>
      </c>
      <c r="K1128" s="1391">
        <v>1152</v>
      </c>
      <c r="L1128" s="1391" t="s">
        <v>5787</v>
      </c>
    </row>
    <row r="1129" spans="1:12">
      <c r="B1129" s="5" t="s">
        <v>5788</v>
      </c>
      <c r="C1129" s="26">
        <v>370</v>
      </c>
      <c r="D1129" s="1354">
        <v>0</v>
      </c>
      <c r="E1129" s="1346">
        <v>1239791</v>
      </c>
      <c r="F1129" s="611" t="s">
        <v>4501</v>
      </c>
      <c r="G1129" s="1408">
        <v>733</v>
      </c>
      <c r="H1129" s="1353">
        <f t="shared" si="270"/>
        <v>0</v>
      </c>
      <c r="I1129" s="1353">
        <f t="shared" si="270"/>
        <v>0</v>
      </c>
      <c r="K1129" s="1391">
        <v>1153</v>
      </c>
      <c r="L1129" s="1391" t="s">
        <v>5789</v>
      </c>
    </row>
    <row r="1130" spans="1:12">
      <c r="B1130" s="5" t="s">
        <v>5790</v>
      </c>
      <c r="C1130" s="26">
        <v>375</v>
      </c>
      <c r="D1130" s="1354">
        <v>0</v>
      </c>
      <c r="E1130" s="1346">
        <v>0</v>
      </c>
      <c r="F1130" s="611" t="s">
        <v>4504</v>
      </c>
      <c r="G1130" s="1408">
        <v>734</v>
      </c>
      <c r="H1130" s="1353">
        <f t="shared" si="270"/>
        <v>0</v>
      </c>
      <c r="I1130" s="1353">
        <f t="shared" si="270"/>
        <v>0</v>
      </c>
      <c r="K1130" s="1391">
        <v>1154</v>
      </c>
      <c r="L1130" s="1391" t="s">
        <v>5791</v>
      </c>
    </row>
    <row r="1131" spans="1:12">
      <c r="B1131" s="5" t="s">
        <v>5792</v>
      </c>
      <c r="C1131" s="26">
        <v>380</v>
      </c>
      <c r="D1131" s="1354">
        <v>0</v>
      </c>
      <c r="E1131" s="1346">
        <v>0</v>
      </c>
      <c r="F1131" s="611" t="s">
        <v>4507</v>
      </c>
      <c r="G1131" s="1408">
        <v>735</v>
      </c>
      <c r="H1131" s="1353">
        <f t="shared" si="270"/>
        <v>0</v>
      </c>
      <c r="I1131" s="1353">
        <f t="shared" si="270"/>
        <v>0</v>
      </c>
      <c r="K1131" s="1391">
        <v>1155</v>
      </c>
      <c r="L1131" s="1391" t="s">
        <v>5793</v>
      </c>
    </row>
    <row r="1132" spans="1:12">
      <c r="B1132" s="5" t="s">
        <v>5794</v>
      </c>
      <c r="C1132" s="26">
        <v>390</v>
      </c>
      <c r="D1132" s="1354">
        <v>0</v>
      </c>
      <c r="E1132" s="1346">
        <v>0</v>
      </c>
      <c r="F1132" s="611" t="s">
        <v>4510</v>
      </c>
      <c r="G1132" s="1408">
        <v>736</v>
      </c>
      <c r="H1132" s="1353">
        <f t="shared" si="270"/>
        <v>0</v>
      </c>
      <c r="I1132" s="1353">
        <f t="shared" si="270"/>
        <v>0</v>
      </c>
      <c r="K1132" s="1391">
        <v>1156</v>
      </c>
      <c r="L1132" s="1391" t="s">
        <v>5795</v>
      </c>
    </row>
    <row r="1133" spans="1:12">
      <c r="B1133" s="1074" t="s">
        <v>5796</v>
      </c>
      <c r="C1133" s="26" t="s">
        <v>5797</v>
      </c>
      <c r="D1133" s="1354">
        <v>0</v>
      </c>
      <c r="E1133" s="1346">
        <v>5</v>
      </c>
      <c r="F1133" s="1355" t="s">
        <v>5798</v>
      </c>
      <c r="G1133" s="1391">
        <v>737</v>
      </c>
      <c r="H1133" s="1353">
        <f t="shared" si="270"/>
        <v>0</v>
      </c>
      <c r="I1133" s="1353">
        <f t="shared" si="270"/>
        <v>0</v>
      </c>
      <c r="K1133" s="1391">
        <v>1157</v>
      </c>
      <c r="L1133" s="1391" t="s">
        <v>5799</v>
      </c>
    </row>
    <row r="1134" spans="1:12">
      <c r="B1134" s="5" t="s">
        <v>5800</v>
      </c>
      <c r="C1134" s="26" t="s">
        <v>5801</v>
      </c>
      <c r="D1134" s="1354">
        <v>0</v>
      </c>
      <c r="E1134" s="1346">
        <v>30252650</v>
      </c>
      <c r="F1134" s="611" t="s">
        <v>4522</v>
      </c>
      <c r="G1134" s="1408">
        <v>740</v>
      </c>
      <c r="H1134" s="1353">
        <f>M718</f>
        <v>0</v>
      </c>
      <c r="I1134" s="1353">
        <f>N718</f>
        <v>0</v>
      </c>
      <c r="K1134" s="1391">
        <v>1158</v>
      </c>
      <c r="L1134" s="1391" t="s">
        <v>5802</v>
      </c>
    </row>
    <row r="1135" spans="1:12">
      <c r="A1135" s="611" t="s">
        <v>5803</v>
      </c>
      <c r="B1135" s="5" t="s">
        <v>5804</v>
      </c>
      <c r="C1135" s="26" t="s">
        <v>5805</v>
      </c>
      <c r="D1135" s="1347">
        <v>34342</v>
      </c>
      <c r="E1135" s="1346">
        <v>125094</v>
      </c>
      <c r="F1135" s="611" t="s">
        <v>5141</v>
      </c>
      <c r="G1135" s="1408">
        <v>913</v>
      </c>
      <c r="H1135" s="1353">
        <f t="shared" ref="H1135:I1137" si="271">M889</f>
        <v>0</v>
      </c>
      <c r="I1135" s="1353">
        <f t="shared" si="271"/>
        <v>0</v>
      </c>
      <c r="K1135" s="1391">
        <v>1159</v>
      </c>
      <c r="L1135" s="1391" t="s">
        <v>5806</v>
      </c>
    </row>
    <row r="1136" spans="1:12">
      <c r="B1136" s="5" t="s">
        <v>5807</v>
      </c>
      <c r="C1136" s="26" t="s">
        <v>5808</v>
      </c>
      <c r="D1136" s="1347">
        <v>-11024</v>
      </c>
      <c r="E1136" s="1346">
        <v>-40131</v>
      </c>
      <c r="F1136" s="611" t="s">
        <v>5145</v>
      </c>
      <c r="G1136" s="1408">
        <v>914</v>
      </c>
      <c r="H1136" s="1353">
        <f t="shared" si="271"/>
        <v>0</v>
      </c>
      <c r="I1136" s="1353">
        <f t="shared" si="271"/>
        <v>0</v>
      </c>
      <c r="K1136" s="1391">
        <v>1160</v>
      </c>
      <c r="L1136" s="1391" t="s">
        <v>5809</v>
      </c>
    </row>
    <row r="1137" spans="2:12">
      <c r="B1137" s="5" t="s">
        <v>5810</v>
      </c>
      <c r="C1137" s="26" t="s">
        <v>5811</v>
      </c>
      <c r="D1137" s="1347">
        <v>3303</v>
      </c>
      <c r="E1137" s="1346">
        <v>19427</v>
      </c>
      <c r="F1137" s="611" t="s">
        <v>5149</v>
      </c>
      <c r="G1137" s="1408">
        <v>915</v>
      </c>
      <c r="H1137" s="1353">
        <f t="shared" si="271"/>
        <v>0</v>
      </c>
      <c r="I1137" s="1353">
        <f t="shared" si="271"/>
        <v>0</v>
      </c>
      <c r="K1137" s="1391">
        <v>1161</v>
      </c>
      <c r="L1137" s="1391" t="s">
        <v>5812</v>
      </c>
    </row>
    <row r="1138" spans="2:12">
      <c r="B1138" s="5" t="s">
        <v>5813</v>
      </c>
      <c r="C1138" s="26" t="s">
        <v>5814</v>
      </c>
      <c r="D1138" s="1347">
        <v>10154</v>
      </c>
      <c r="E1138" s="1346">
        <v>40052</v>
      </c>
      <c r="F1138" s="611" t="s">
        <v>5157</v>
      </c>
      <c r="G1138" s="1408">
        <v>917</v>
      </c>
      <c r="H1138" s="1353">
        <f t="shared" ref="H1138:H1146" si="272">M893</f>
        <v>0</v>
      </c>
      <c r="I1138" s="1353">
        <f t="shared" ref="I1138:I1146" si="273">N893</f>
        <v>0</v>
      </c>
      <c r="K1138" s="1391">
        <v>1162</v>
      </c>
      <c r="L1138" s="1391" t="s">
        <v>5815</v>
      </c>
    </row>
    <row r="1139" spans="2:12">
      <c r="B1139" s="5" t="s">
        <v>5816</v>
      </c>
      <c r="C1139" s="26" t="s">
        <v>5817</v>
      </c>
      <c r="D1139" s="1347">
        <v>22658</v>
      </c>
      <c r="E1139" s="1346">
        <v>64451</v>
      </c>
      <c r="F1139" s="611" t="s">
        <v>5161</v>
      </c>
      <c r="G1139" s="1408">
        <v>918</v>
      </c>
      <c r="H1139" s="1353">
        <f t="shared" si="272"/>
        <v>0</v>
      </c>
      <c r="I1139" s="1353">
        <f t="shared" si="273"/>
        <v>0</v>
      </c>
      <c r="K1139" s="1391">
        <v>1163</v>
      </c>
      <c r="L1139" s="1391" t="s">
        <v>5818</v>
      </c>
    </row>
    <row r="1140" spans="2:12">
      <c r="B1140" s="5" t="s">
        <v>5819</v>
      </c>
      <c r="C1140" s="26" t="s">
        <v>5820</v>
      </c>
      <c r="D1140" s="1347">
        <v>34496</v>
      </c>
      <c r="E1140" s="1346">
        <v>117595</v>
      </c>
      <c r="F1140" s="611" t="s">
        <v>5165</v>
      </c>
      <c r="G1140" s="1408">
        <v>919</v>
      </c>
      <c r="H1140" s="1353">
        <f t="shared" si="272"/>
        <v>0</v>
      </c>
      <c r="I1140" s="1353">
        <f t="shared" si="273"/>
        <v>0</v>
      </c>
      <c r="K1140" s="1391">
        <v>1164</v>
      </c>
      <c r="L1140" s="1391" t="s">
        <v>5821</v>
      </c>
    </row>
    <row r="1141" spans="2:12">
      <c r="B1141" s="5" t="s">
        <v>5822</v>
      </c>
      <c r="C1141" s="26" t="s">
        <v>5823</v>
      </c>
      <c r="D1141" s="1347">
        <v>9783</v>
      </c>
      <c r="E1141" s="1346">
        <v>19523</v>
      </c>
      <c r="F1141" s="611" t="s">
        <v>5169</v>
      </c>
      <c r="G1141" s="1408">
        <v>920</v>
      </c>
      <c r="H1141" s="1353">
        <f t="shared" si="272"/>
        <v>0</v>
      </c>
      <c r="I1141" s="1353">
        <f t="shared" si="273"/>
        <v>0</v>
      </c>
      <c r="K1141" s="1391">
        <v>1165</v>
      </c>
      <c r="L1141" s="1391" t="s">
        <v>5824</v>
      </c>
    </row>
    <row r="1142" spans="2:12">
      <c r="B1142" s="5" t="s">
        <v>5825</v>
      </c>
      <c r="C1142" s="26" t="s">
        <v>5826</v>
      </c>
      <c r="D1142" s="1347">
        <v>9842</v>
      </c>
      <c r="E1142" s="1346">
        <v>30832</v>
      </c>
      <c r="F1142" s="611" t="s">
        <v>5173</v>
      </c>
      <c r="G1142" s="1408">
        <v>921</v>
      </c>
      <c r="H1142" s="1353">
        <f t="shared" si="272"/>
        <v>0</v>
      </c>
      <c r="I1142" s="1353">
        <f t="shared" si="273"/>
        <v>0</v>
      </c>
      <c r="K1142" s="1391">
        <v>1166</v>
      </c>
      <c r="L1142" s="1391" t="s">
        <v>5827</v>
      </c>
    </row>
    <row r="1143" spans="2:12">
      <c r="B1143" s="5" t="s">
        <v>5828</v>
      </c>
      <c r="C1143" s="26" t="s">
        <v>5829</v>
      </c>
      <c r="D1143" s="1347">
        <v>0</v>
      </c>
      <c r="E1143" s="1346">
        <v>0</v>
      </c>
      <c r="F1143" s="611" t="s">
        <v>5177</v>
      </c>
      <c r="G1143" s="1408">
        <v>922</v>
      </c>
      <c r="H1143" s="1353">
        <f t="shared" si="272"/>
        <v>0</v>
      </c>
      <c r="I1143" s="1353">
        <f t="shared" si="273"/>
        <v>0</v>
      </c>
      <c r="K1143" s="1391">
        <v>1167</v>
      </c>
      <c r="L1143" s="1391" t="s">
        <v>5830</v>
      </c>
    </row>
    <row r="1144" spans="2:12">
      <c r="B1144" s="5" t="s">
        <v>5831</v>
      </c>
      <c r="C1144" s="26" t="s">
        <v>5832</v>
      </c>
      <c r="D1144" s="1347">
        <v>3870</v>
      </c>
      <c r="E1144" s="1346">
        <v>13285</v>
      </c>
      <c r="F1144" s="611" t="s">
        <v>5181</v>
      </c>
      <c r="G1144" s="1408">
        <v>923</v>
      </c>
      <c r="H1144" s="1353">
        <f t="shared" si="272"/>
        <v>0</v>
      </c>
      <c r="I1144" s="1353">
        <f t="shared" si="273"/>
        <v>0</v>
      </c>
      <c r="K1144" s="1391">
        <v>1168</v>
      </c>
      <c r="L1144" s="1391" t="s">
        <v>5833</v>
      </c>
    </row>
    <row r="1145" spans="2:12">
      <c r="B1145" s="5" t="s">
        <v>5834</v>
      </c>
      <c r="C1145" s="26" t="s">
        <v>5835</v>
      </c>
      <c r="D1145" s="1347">
        <v>9446</v>
      </c>
      <c r="E1145" s="1346">
        <v>29885</v>
      </c>
      <c r="F1145" s="611" t="s">
        <v>5185</v>
      </c>
      <c r="G1145" s="1408">
        <v>924</v>
      </c>
      <c r="H1145" s="1353">
        <f t="shared" si="272"/>
        <v>0</v>
      </c>
      <c r="I1145" s="1353">
        <f t="shared" si="273"/>
        <v>0</v>
      </c>
      <c r="K1145" s="1391">
        <v>1169</v>
      </c>
      <c r="L1145" s="1391" t="s">
        <v>5836</v>
      </c>
    </row>
    <row r="1146" spans="2:12">
      <c r="B1146" s="5" t="s">
        <v>5837</v>
      </c>
      <c r="C1146" s="26" t="s">
        <v>5838</v>
      </c>
      <c r="D1146" s="1347">
        <v>0</v>
      </c>
      <c r="E1146" s="1346">
        <v>0</v>
      </c>
      <c r="F1146" s="611" t="s">
        <v>5189</v>
      </c>
      <c r="G1146" s="1408">
        <v>925</v>
      </c>
      <c r="H1146" s="1353">
        <f t="shared" si="272"/>
        <v>0</v>
      </c>
      <c r="I1146" s="1353">
        <f t="shared" si="273"/>
        <v>0</v>
      </c>
      <c r="K1146" s="1391">
        <v>1170</v>
      </c>
      <c r="L1146" s="1391" t="s">
        <v>5839</v>
      </c>
    </row>
    <row r="1147" spans="2:12">
      <c r="B1147" s="5" t="s">
        <v>5840</v>
      </c>
      <c r="C1147" s="26" t="s">
        <v>5841</v>
      </c>
      <c r="D1147" s="1347">
        <v>-3143</v>
      </c>
      <c r="E1147" s="1346">
        <v>28552</v>
      </c>
      <c r="F1147" s="611" t="s">
        <v>5197</v>
      </c>
      <c r="G1147" s="1408">
        <v>927</v>
      </c>
      <c r="H1147" s="1353">
        <f t="shared" ref="H1147:H1167" si="274">M903</f>
        <v>0</v>
      </c>
      <c r="I1147" s="1353">
        <f t="shared" ref="I1147:I1167" si="275">N903</f>
        <v>0</v>
      </c>
      <c r="K1147" s="1391">
        <v>1171</v>
      </c>
      <c r="L1147" s="1391" t="s">
        <v>5842</v>
      </c>
    </row>
    <row r="1148" spans="2:12">
      <c r="B1148" s="5" t="s">
        <v>5843</v>
      </c>
      <c r="C1148" s="26" t="s">
        <v>5844</v>
      </c>
      <c r="D1148" s="1347">
        <v>849</v>
      </c>
      <c r="E1148" s="1346">
        <v>3843</v>
      </c>
      <c r="F1148" s="611" t="s">
        <v>5201</v>
      </c>
      <c r="G1148" s="1408">
        <v>928</v>
      </c>
      <c r="H1148" s="1353">
        <f t="shared" si="274"/>
        <v>0</v>
      </c>
      <c r="I1148" s="1353">
        <f t="shared" si="275"/>
        <v>0</v>
      </c>
      <c r="K1148" s="1391">
        <v>1172</v>
      </c>
      <c r="L1148" s="1391" t="s">
        <v>5845</v>
      </c>
    </row>
    <row r="1149" spans="2:12">
      <c r="B1149" s="5" t="s">
        <v>5846</v>
      </c>
      <c r="C1149" s="26" t="s">
        <v>5847</v>
      </c>
      <c r="D1149" s="1347">
        <v>2785</v>
      </c>
      <c r="E1149" s="1346">
        <v>8038</v>
      </c>
      <c r="F1149" s="611" t="s">
        <v>5205</v>
      </c>
      <c r="G1149" s="1408">
        <v>929</v>
      </c>
      <c r="H1149" s="1353">
        <f t="shared" si="274"/>
        <v>0</v>
      </c>
      <c r="I1149" s="1353">
        <f t="shared" si="275"/>
        <v>0</v>
      </c>
      <c r="K1149" s="1391">
        <v>1173</v>
      </c>
      <c r="L1149" s="1391" t="s">
        <v>5848</v>
      </c>
    </row>
    <row r="1150" spans="2:12">
      <c r="B1150" s="5" t="s">
        <v>5849</v>
      </c>
      <c r="C1150" s="26" t="s">
        <v>5850</v>
      </c>
      <c r="D1150" s="1347">
        <v>0</v>
      </c>
      <c r="E1150" s="1346">
        <v>0</v>
      </c>
      <c r="F1150" s="611" t="s">
        <v>5209</v>
      </c>
      <c r="G1150" s="1408">
        <v>930</v>
      </c>
      <c r="H1150" s="1353">
        <f t="shared" si="274"/>
        <v>0</v>
      </c>
      <c r="I1150" s="1353">
        <f t="shared" si="275"/>
        <v>0</v>
      </c>
      <c r="K1150" s="1391">
        <v>1174</v>
      </c>
      <c r="L1150" s="1391" t="s">
        <v>5851</v>
      </c>
    </row>
    <row r="1151" spans="2:12">
      <c r="B1151" s="5" t="s">
        <v>4418</v>
      </c>
      <c r="C1151" s="26" t="s">
        <v>5852</v>
      </c>
      <c r="D1151" s="1347">
        <v>5193</v>
      </c>
      <c r="E1151" s="1346">
        <v>19675</v>
      </c>
      <c r="F1151" s="611" t="s">
        <v>5213</v>
      </c>
      <c r="G1151" s="1408">
        <v>931</v>
      </c>
      <c r="H1151" s="1353">
        <f t="shared" si="274"/>
        <v>0</v>
      </c>
      <c r="I1151" s="1353">
        <f t="shared" si="275"/>
        <v>0</v>
      </c>
      <c r="K1151" s="1391">
        <v>1175</v>
      </c>
      <c r="L1151" s="1391" t="s">
        <v>5853</v>
      </c>
    </row>
    <row r="1152" spans="2:12">
      <c r="B1152" s="5" t="s">
        <v>5854</v>
      </c>
      <c r="C1152" s="26" t="s">
        <v>5855</v>
      </c>
      <c r="D1152" s="1347">
        <v>0</v>
      </c>
      <c r="E1152" s="1346">
        <v>-45212</v>
      </c>
      <c r="F1152" s="611" t="s">
        <v>5217</v>
      </c>
      <c r="G1152" s="1408">
        <v>932</v>
      </c>
      <c r="H1152" s="1353">
        <f t="shared" si="274"/>
        <v>0</v>
      </c>
      <c r="I1152" s="1353">
        <f t="shared" si="275"/>
        <v>0</v>
      </c>
      <c r="K1152" s="1391">
        <v>1176</v>
      </c>
      <c r="L1152" s="1391" t="s">
        <v>5856</v>
      </c>
    </row>
    <row r="1153" spans="2:12">
      <c r="B1153" s="5" t="s">
        <v>36</v>
      </c>
      <c r="C1153" s="26" t="s">
        <v>5857</v>
      </c>
      <c r="D1153" s="1347">
        <v>150</v>
      </c>
      <c r="E1153" s="1346">
        <v>150</v>
      </c>
      <c r="F1153" s="611" t="s">
        <v>5221</v>
      </c>
      <c r="G1153" s="1408">
        <v>933</v>
      </c>
      <c r="H1153" s="1353">
        <f t="shared" si="274"/>
        <v>0</v>
      </c>
      <c r="I1153" s="1353">
        <f t="shared" si="275"/>
        <v>0</v>
      </c>
      <c r="K1153" s="1391">
        <v>1177</v>
      </c>
      <c r="L1153" s="1391" t="s">
        <v>5858</v>
      </c>
    </row>
    <row r="1154" spans="2:12">
      <c r="B1154" s="5" t="s">
        <v>5859</v>
      </c>
      <c r="C1154" s="26" t="s">
        <v>5860</v>
      </c>
      <c r="D1154" s="1347">
        <v>5711</v>
      </c>
      <c r="E1154" s="1346">
        <v>19404</v>
      </c>
      <c r="F1154" s="611" t="s">
        <v>5225</v>
      </c>
      <c r="G1154" s="1408">
        <v>934</v>
      </c>
      <c r="H1154" s="1353">
        <f t="shared" si="274"/>
        <v>0</v>
      </c>
      <c r="I1154" s="1353">
        <f t="shared" si="275"/>
        <v>0</v>
      </c>
      <c r="K1154" s="1391">
        <v>1178</v>
      </c>
      <c r="L1154" s="1391" t="s">
        <v>5861</v>
      </c>
    </row>
    <row r="1155" spans="2:12">
      <c r="B1155" s="5" t="s">
        <v>5862</v>
      </c>
      <c r="C1155" s="26" t="s">
        <v>5863</v>
      </c>
      <c r="D1155" s="1347">
        <v>1676</v>
      </c>
      <c r="E1155" s="1346">
        <v>4129</v>
      </c>
      <c r="F1155" s="611" t="s">
        <v>5229</v>
      </c>
      <c r="G1155" s="1408">
        <v>935</v>
      </c>
      <c r="H1155" s="1353">
        <f t="shared" si="274"/>
        <v>0</v>
      </c>
      <c r="I1155" s="1353">
        <f t="shared" si="275"/>
        <v>0</v>
      </c>
      <c r="K1155" s="1391">
        <v>1179</v>
      </c>
      <c r="L1155" s="1391" t="s">
        <v>5864</v>
      </c>
    </row>
    <row r="1156" spans="2:12">
      <c r="B1156" s="5" t="s">
        <v>5865</v>
      </c>
      <c r="C1156" s="26" t="s">
        <v>5866</v>
      </c>
      <c r="D1156" s="1347">
        <v>715</v>
      </c>
      <c r="E1156" s="1346">
        <v>2578</v>
      </c>
      <c r="F1156" s="611" t="s">
        <v>5233</v>
      </c>
      <c r="G1156" s="1408">
        <v>936</v>
      </c>
      <c r="H1156" s="1353">
        <f t="shared" si="274"/>
        <v>0</v>
      </c>
      <c r="I1156" s="1353">
        <f t="shared" si="275"/>
        <v>0</v>
      </c>
      <c r="K1156" s="1391">
        <v>1180</v>
      </c>
      <c r="L1156" s="1391" t="s">
        <v>5867</v>
      </c>
    </row>
    <row r="1157" spans="2:12">
      <c r="B1157" s="5" t="s">
        <v>5868</v>
      </c>
      <c r="C1157" s="26" t="s">
        <v>5869</v>
      </c>
      <c r="D1157" s="1347">
        <v>45</v>
      </c>
      <c r="E1157" s="1346">
        <v>417</v>
      </c>
      <c r="F1157" s="611" t="s">
        <v>5237</v>
      </c>
      <c r="G1157" s="1408">
        <v>937</v>
      </c>
      <c r="H1157" s="1353">
        <f t="shared" si="274"/>
        <v>0</v>
      </c>
      <c r="I1157" s="1353">
        <f t="shared" si="275"/>
        <v>0</v>
      </c>
      <c r="K1157" s="1391">
        <v>1181</v>
      </c>
      <c r="L1157" s="1391" t="s">
        <v>5870</v>
      </c>
    </row>
    <row r="1158" spans="2:12">
      <c r="B1158" s="5" t="s">
        <v>5871</v>
      </c>
      <c r="C1158" s="26" t="s">
        <v>5872</v>
      </c>
      <c r="D1158" s="1347">
        <v>600</v>
      </c>
      <c r="E1158" s="1346">
        <v>900</v>
      </c>
      <c r="F1158" s="611" t="s">
        <v>5241</v>
      </c>
      <c r="G1158" s="1408">
        <v>938</v>
      </c>
      <c r="H1158" s="1353">
        <f t="shared" si="274"/>
        <v>0</v>
      </c>
      <c r="I1158" s="1353">
        <f t="shared" si="275"/>
        <v>0</v>
      </c>
      <c r="K1158" s="1391">
        <v>1182</v>
      </c>
      <c r="L1158" s="1391" t="s">
        <v>5873</v>
      </c>
    </row>
    <row r="1159" spans="2:12">
      <c r="B1159" s="5" t="s">
        <v>5874</v>
      </c>
      <c r="C1159" s="26" t="s">
        <v>5875</v>
      </c>
      <c r="D1159" s="1347">
        <v>284</v>
      </c>
      <c r="E1159" s="1346">
        <v>754</v>
      </c>
      <c r="F1159" s="611" t="s">
        <v>5245</v>
      </c>
      <c r="G1159" s="1408">
        <v>939</v>
      </c>
      <c r="H1159" s="1353">
        <f t="shared" si="274"/>
        <v>0</v>
      </c>
      <c r="I1159" s="1353">
        <f t="shared" si="275"/>
        <v>0</v>
      </c>
      <c r="K1159" s="1391">
        <v>1183</v>
      </c>
      <c r="L1159" s="1391" t="s">
        <v>5876</v>
      </c>
    </row>
    <row r="1160" spans="2:12">
      <c r="B1160" s="5" t="s">
        <v>5877</v>
      </c>
      <c r="C1160" s="26" t="s">
        <v>5878</v>
      </c>
      <c r="D1160" s="1347">
        <v>675</v>
      </c>
      <c r="E1160" s="1346">
        <v>2507</v>
      </c>
      <c r="F1160" s="611" t="s">
        <v>5249</v>
      </c>
      <c r="G1160" s="1408">
        <v>940</v>
      </c>
      <c r="H1160" s="1353">
        <f t="shared" si="274"/>
        <v>0</v>
      </c>
      <c r="I1160" s="1353">
        <f t="shared" si="275"/>
        <v>0</v>
      </c>
      <c r="K1160" s="1391">
        <v>1184</v>
      </c>
      <c r="L1160" s="1391" t="s">
        <v>5879</v>
      </c>
    </row>
    <row r="1161" spans="2:12">
      <c r="B1161" s="5" t="s">
        <v>5880</v>
      </c>
      <c r="C1161" s="26" t="s">
        <v>5881</v>
      </c>
      <c r="D1161" s="1347">
        <v>58899</v>
      </c>
      <c r="E1161" s="1346">
        <v>236575</v>
      </c>
      <c r="F1161" s="611" t="s">
        <v>5253</v>
      </c>
      <c r="G1161" s="1408">
        <v>941</v>
      </c>
      <c r="H1161" s="1353">
        <f t="shared" si="274"/>
        <v>0</v>
      </c>
      <c r="I1161" s="1353">
        <f t="shared" si="275"/>
        <v>0</v>
      </c>
      <c r="K1161" s="1391">
        <v>1185</v>
      </c>
      <c r="L1161" s="1391" t="s">
        <v>5882</v>
      </c>
    </row>
    <row r="1162" spans="2:12">
      <c r="B1162" s="5" t="s">
        <v>5883</v>
      </c>
      <c r="C1162" s="26" t="s">
        <v>5884</v>
      </c>
      <c r="D1162" s="1347">
        <v>-86777</v>
      </c>
      <c r="E1162" s="1346">
        <v>-280611</v>
      </c>
      <c r="F1162" s="611" t="s">
        <v>5257</v>
      </c>
      <c r="G1162" s="1408">
        <v>942</v>
      </c>
      <c r="H1162" s="1353">
        <f t="shared" si="274"/>
        <v>0</v>
      </c>
      <c r="I1162" s="1353">
        <f t="shared" si="275"/>
        <v>0</v>
      </c>
      <c r="K1162" s="1391">
        <v>1186</v>
      </c>
      <c r="L1162" s="1391" t="s">
        <v>5885</v>
      </c>
    </row>
    <row r="1163" spans="2:12">
      <c r="B1163" s="5" t="s">
        <v>5886</v>
      </c>
      <c r="C1163" s="26" t="s">
        <v>5887</v>
      </c>
      <c r="D1163" s="1347">
        <v>1133</v>
      </c>
      <c r="E1163" s="1346">
        <v>3869</v>
      </c>
      <c r="F1163" s="611" t="s">
        <v>5261</v>
      </c>
      <c r="G1163" s="1408">
        <v>943</v>
      </c>
      <c r="H1163" s="1353">
        <f t="shared" si="274"/>
        <v>0</v>
      </c>
      <c r="I1163" s="1353">
        <f t="shared" si="275"/>
        <v>0</v>
      </c>
      <c r="K1163" s="1391">
        <v>1187</v>
      </c>
      <c r="L1163" s="1391" t="s">
        <v>5888</v>
      </c>
    </row>
    <row r="1164" spans="2:12">
      <c r="B1164" s="5" t="s">
        <v>5889</v>
      </c>
      <c r="C1164" s="26" t="s">
        <v>5890</v>
      </c>
      <c r="D1164" s="1347">
        <v>0</v>
      </c>
      <c r="E1164" s="1346">
        <v>0</v>
      </c>
      <c r="F1164" s="611" t="s">
        <v>5265</v>
      </c>
      <c r="G1164" s="1408">
        <v>944</v>
      </c>
      <c r="H1164" s="1353">
        <f t="shared" si="274"/>
        <v>0</v>
      </c>
      <c r="I1164" s="1353">
        <f t="shared" si="275"/>
        <v>0</v>
      </c>
      <c r="K1164" s="1391">
        <v>1188</v>
      </c>
      <c r="L1164" s="1391" t="s">
        <v>5891</v>
      </c>
    </row>
    <row r="1165" spans="2:12">
      <c r="B1165" s="5" t="s">
        <v>5892</v>
      </c>
      <c r="C1165" s="26" t="s">
        <v>5893</v>
      </c>
      <c r="D1165" s="1347">
        <v>0</v>
      </c>
      <c r="E1165" s="1346">
        <v>0</v>
      </c>
      <c r="F1165" s="611" t="s">
        <v>5269</v>
      </c>
      <c r="G1165" s="1408">
        <v>945</v>
      </c>
      <c r="H1165" s="1353">
        <f t="shared" si="274"/>
        <v>0</v>
      </c>
      <c r="I1165" s="1353">
        <f t="shared" si="275"/>
        <v>0</v>
      </c>
      <c r="K1165" s="1391">
        <v>1189</v>
      </c>
      <c r="L1165" s="1391" t="s">
        <v>5894</v>
      </c>
    </row>
    <row r="1166" spans="2:12">
      <c r="B1166" s="5" t="s">
        <v>5895</v>
      </c>
      <c r="C1166" s="26" t="s">
        <v>5896</v>
      </c>
      <c r="D1166" s="1347">
        <v>10</v>
      </c>
      <c r="E1166" s="1346">
        <v>138</v>
      </c>
      <c r="F1166" s="611" t="s">
        <v>5273</v>
      </c>
      <c r="G1166" s="1408">
        <v>946</v>
      </c>
      <c r="H1166" s="1353">
        <f t="shared" si="274"/>
        <v>0</v>
      </c>
      <c r="I1166" s="1353">
        <f t="shared" si="275"/>
        <v>0</v>
      </c>
      <c r="K1166" s="1391">
        <v>1190</v>
      </c>
      <c r="L1166" s="1391" t="s">
        <v>5897</v>
      </c>
    </row>
    <row r="1167" spans="2:12">
      <c r="B1167" s="5" t="s">
        <v>5898</v>
      </c>
      <c r="C1167" s="26" t="s">
        <v>5899</v>
      </c>
      <c r="D1167" s="1347">
        <v>0</v>
      </c>
      <c r="E1167" s="1346">
        <v>234</v>
      </c>
      <c r="F1167" s="611" t="s">
        <v>5277</v>
      </c>
      <c r="G1167" s="1408">
        <v>947</v>
      </c>
      <c r="H1167" s="1353">
        <f t="shared" si="274"/>
        <v>0</v>
      </c>
      <c r="I1167" s="1353">
        <f t="shared" si="275"/>
        <v>0</v>
      </c>
      <c r="K1167" s="1391">
        <v>1191</v>
      </c>
      <c r="L1167" s="1391" t="s">
        <v>5900</v>
      </c>
    </row>
    <row r="1168" spans="2:12">
      <c r="B1168" s="5" t="s">
        <v>5901</v>
      </c>
      <c r="C1168" s="26" t="s">
        <v>5902</v>
      </c>
      <c r="D1168" s="1347">
        <v>14220</v>
      </c>
      <c r="E1168" s="1346">
        <v>55530</v>
      </c>
      <c r="F1168" s="611" t="s">
        <v>5285</v>
      </c>
      <c r="G1168" s="1408">
        <v>949</v>
      </c>
      <c r="H1168" s="1353">
        <f t="shared" ref="H1168:I1174" si="276">M925</f>
        <v>0</v>
      </c>
      <c r="I1168" s="1353">
        <f t="shared" si="276"/>
        <v>0</v>
      </c>
      <c r="K1168" s="1391">
        <v>1192</v>
      </c>
      <c r="L1168" s="1391" t="s">
        <v>5903</v>
      </c>
    </row>
    <row r="1169" spans="2:12">
      <c r="B1169" s="5" t="s">
        <v>5904</v>
      </c>
      <c r="C1169" s="26" t="s">
        <v>5905</v>
      </c>
      <c r="D1169" s="1347">
        <v>0</v>
      </c>
      <c r="E1169" s="1346">
        <v>0</v>
      </c>
      <c r="F1169" s="611" t="s">
        <v>5289</v>
      </c>
      <c r="G1169" s="1408">
        <v>950</v>
      </c>
      <c r="H1169" s="1353">
        <f t="shared" si="276"/>
        <v>0</v>
      </c>
      <c r="I1169" s="1353">
        <f t="shared" si="276"/>
        <v>0</v>
      </c>
      <c r="K1169" s="1391">
        <v>1193</v>
      </c>
      <c r="L1169" s="1391" t="s">
        <v>5906</v>
      </c>
    </row>
    <row r="1170" spans="2:12">
      <c r="B1170" s="5" t="s">
        <v>5907</v>
      </c>
      <c r="C1170" s="26" t="s">
        <v>5908</v>
      </c>
      <c r="D1170" s="1347">
        <v>849</v>
      </c>
      <c r="E1170" s="1346">
        <v>9001</v>
      </c>
      <c r="F1170" s="611" t="s">
        <v>5292</v>
      </c>
      <c r="G1170" s="1408">
        <v>951</v>
      </c>
      <c r="H1170" s="1353">
        <f t="shared" si="276"/>
        <v>0</v>
      </c>
      <c r="I1170" s="1353">
        <f t="shared" si="276"/>
        <v>0</v>
      </c>
      <c r="K1170" s="1391">
        <v>1194</v>
      </c>
      <c r="L1170" s="1391" t="s">
        <v>5430</v>
      </c>
    </row>
    <row r="1171" spans="2:12">
      <c r="B1171" s="5" t="s">
        <v>5909</v>
      </c>
      <c r="C1171" s="26" t="s">
        <v>5910</v>
      </c>
      <c r="D1171" s="1347">
        <v>23</v>
      </c>
      <c r="E1171" s="1346">
        <v>92</v>
      </c>
      <c r="F1171" s="611" t="s">
        <v>5295</v>
      </c>
      <c r="G1171" s="1408">
        <v>952</v>
      </c>
      <c r="H1171" s="1353">
        <f t="shared" si="276"/>
        <v>0</v>
      </c>
      <c r="I1171" s="1353">
        <f t="shared" si="276"/>
        <v>0</v>
      </c>
      <c r="K1171" s="1391">
        <v>1195</v>
      </c>
      <c r="L1171" s="1391" t="s">
        <v>5418</v>
      </c>
    </row>
    <row r="1172" spans="2:12">
      <c r="B1172" s="5" t="s">
        <v>5911</v>
      </c>
      <c r="C1172" s="26" t="s">
        <v>5912</v>
      </c>
      <c r="D1172" s="1347">
        <v>1800</v>
      </c>
      <c r="E1172" s="1346">
        <v>7200</v>
      </c>
      <c r="F1172" s="611" t="s">
        <v>5298</v>
      </c>
      <c r="G1172" s="1408">
        <v>953</v>
      </c>
      <c r="H1172" s="1353">
        <f t="shared" si="276"/>
        <v>0</v>
      </c>
      <c r="I1172" s="1353">
        <f t="shared" si="276"/>
        <v>0</v>
      </c>
      <c r="K1172" s="1391">
        <v>1196</v>
      </c>
      <c r="L1172" s="1391" t="s">
        <v>5913</v>
      </c>
    </row>
    <row r="1173" spans="2:12">
      <c r="B1173" s="5" t="s">
        <v>5914</v>
      </c>
      <c r="C1173" s="26" t="s">
        <v>5915</v>
      </c>
      <c r="D1173" s="1347">
        <v>1224</v>
      </c>
      <c r="E1173" s="1346">
        <v>4896</v>
      </c>
      <c r="F1173" s="611" t="s">
        <v>5301</v>
      </c>
      <c r="G1173" s="1408">
        <v>954</v>
      </c>
      <c r="H1173" s="1353">
        <f t="shared" si="276"/>
        <v>0</v>
      </c>
      <c r="I1173" s="1353">
        <f t="shared" si="276"/>
        <v>0</v>
      </c>
      <c r="K1173" s="1391">
        <v>1197</v>
      </c>
      <c r="L1173" s="1391" t="s">
        <v>5916</v>
      </c>
    </row>
    <row r="1174" spans="2:12">
      <c r="B1174" s="5" t="s">
        <v>5917</v>
      </c>
      <c r="C1174" s="26" t="s">
        <v>5918</v>
      </c>
      <c r="D1174" s="1347">
        <v>0</v>
      </c>
      <c r="E1174" s="1346">
        <v>0</v>
      </c>
      <c r="F1174" s="611" t="s">
        <v>5304</v>
      </c>
      <c r="G1174" s="1408">
        <v>955</v>
      </c>
      <c r="H1174" s="1353">
        <f t="shared" si="276"/>
        <v>0</v>
      </c>
      <c r="I1174" s="1353">
        <f t="shared" si="276"/>
        <v>0</v>
      </c>
      <c r="K1174" s="1391">
        <v>1198</v>
      </c>
      <c r="L1174" s="1391" t="s">
        <v>5919</v>
      </c>
    </row>
    <row r="1175" spans="2:12">
      <c r="B1175" s="5" t="s">
        <v>5920</v>
      </c>
      <c r="C1175" s="26" t="s">
        <v>5921</v>
      </c>
      <c r="D1175" s="1347">
        <v>2995</v>
      </c>
      <c r="E1175" s="1346">
        <v>11825</v>
      </c>
      <c r="F1175" s="611" t="s">
        <v>5310</v>
      </c>
      <c r="G1175" s="1408">
        <v>957</v>
      </c>
      <c r="H1175" s="1353">
        <f t="shared" ref="H1175:I1180" si="277">M933</f>
        <v>0</v>
      </c>
      <c r="I1175" s="1353">
        <f t="shared" si="277"/>
        <v>0</v>
      </c>
      <c r="K1175" s="1391">
        <v>1199</v>
      </c>
      <c r="L1175" s="1391" t="s">
        <v>5922</v>
      </c>
    </row>
    <row r="1176" spans="2:12">
      <c r="B1176" s="5" t="s">
        <v>5923</v>
      </c>
      <c r="C1176" s="26" t="s">
        <v>5924</v>
      </c>
      <c r="D1176" s="1347">
        <v>4177</v>
      </c>
      <c r="E1176" s="1346">
        <v>16526</v>
      </c>
      <c r="F1176" s="611" t="s">
        <v>5313</v>
      </c>
      <c r="G1176" s="1408">
        <v>958</v>
      </c>
      <c r="H1176" s="1353">
        <f t="shared" si="277"/>
        <v>0</v>
      </c>
      <c r="I1176" s="1353">
        <f t="shared" si="277"/>
        <v>0</v>
      </c>
      <c r="K1176" s="1391">
        <v>1200</v>
      </c>
      <c r="L1176" s="1391" t="s">
        <v>5925</v>
      </c>
    </row>
    <row r="1177" spans="2:12">
      <c r="B1177" s="5" t="s">
        <v>5926</v>
      </c>
      <c r="C1177" s="26" t="s">
        <v>5927</v>
      </c>
      <c r="D1177" s="1347">
        <v>0</v>
      </c>
      <c r="E1177" s="1346">
        <v>0</v>
      </c>
      <c r="F1177" s="611" t="s">
        <v>5315</v>
      </c>
      <c r="G1177" s="1408">
        <v>959</v>
      </c>
      <c r="H1177" s="1353">
        <f t="shared" si="277"/>
        <v>0</v>
      </c>
      <c r="I1177" s="1353">
        <f t="shared" si="277"/>
        <v>0</v>
      </c>
      <c r="K1177" s="1391">
        <v>1201</v>
      </c>
      <c r="L1177" s="1391" t="s">
        <v>5928</v>
      </c>
    </row>
    <row r="1178" spans="2:12">
      <c r="B1178" s="5" t="s">
        <v>5929</v>
      </c>
      <c r="C1178" s="26" t="s">
        <v>5930</v>
      </c>
      <c r="D1178" s="1347">
        <v>0</v>
      </c>
      <c r="E1178" s="1346">
        <v>441</v>
      </c>
      <c r="F1178" s="611" t="s">
        <v>5318</v>
      </c>
      <c r="G1178" s="1408">
        <v>960</v>
      </c>
      <c r="H1178" s="1353">
        <f t="shared" si="277"/>
        <v>0</v>
      </c>
      <c r="I1178" s="1353">
        <f t="shared" si="277"/>
        <v>0</v>
      </c>
      <c r="K1178" s="1391">
        <v>1202</v>
      </c>
      <c r="L1178" s="1391" t="s">
        <v>5931</v>
      </c>
    </row>
    <row r="1179" spans="2:12">
      <c r="B1179" s="5" t="s">
        <v>5932</v>
      </c>
      <c r="C1179" s="26" t="s">
        <v>5933</v>
      </c>
      <c r="D1179" s="1347">
        <v>4053</v>
      </c>
      <c r="E1179" s="1346">
        <v>16212</v>
      </c>
      <c r="F1179" s="611" t="s">
        <v>5320</v>
      </c>
      <c r="G1179" s="1408">
        <v>961</v>
      </c>
      <c r="H1179" s="1353">
        <f t="shared" si="277"/>
        <v>0</v>
      </c>
      <c r="I1179" s="1353">
        <f t="shared" si="277"/>
        <v>0</v>
      </c>
      <c r="K1179" s="1391">
        <v>1203</v>
      </c>
      <c r="L1179" s="1391" t="s">
        <v>5934</v>
      </c>
    </row>
    <row r="1180" spans="2:12">
      <c r="B1180" s="5" t="s">
        <v>5935</v>
      </c>
      <c r="C1180" s="26" t="s">
        <v>5936</v>
      </c>
      <c r="D1180" s="1347">
        <v>0</v>
      </c>
      <c r="E1180" s="1346">
        <v>0</v>
      </c>
      <c r="F1180" s="611" t="s">
        <v>5323</v>
      </c>
      <c r="G1180" s="1408">
        <v>962</v>
      </c>
      <c r="H1180" s="1353">
        <f t="shared" si="277"/>
        <v>0</v>
      </c>
      <c r="I1180" s="1353">
        <f t="shared" si="277"/>
        <v>0</v>
      </c>
      <c r="K1180" s="1391">
        <v>1204</v>
      </c>
      <c r="L1180" s="1391" t="s">
        <v>5937</v>
      </c>
    </row>
    <row r="1181" spans="2:12">
      <c r="B1181" s="5" t="s">
        <v>5938</v>
      </c>
      <c r="C1181" s="26" t="s">
        <v>5939</v>
      </c>
      <c r="D1181" s="1347">
        <v>24809</v>
      </c>
      <c r="E1181" s="1346">
        <v>75606</v>
      </c>
      <c r="F1181" s="611" t="s">
        <v>5341</v>
      </c>
      <c r="G1181" s="1408">
        <v>969</v>
      </c>
      <c r="H1181" s="1353">
        <f>M945</f>
        <v>0</v>
      </c>
      <c r="I1181" s="1353">
        <f>N945</f>
        <v>0</v>
      </c>
      <c r="K1181" s="1391">
        <v>1205</v>
      </c>
      <c r="L1181" s="1391" t="s">
        <v>5940</v>
      </c>
    </row>
    <row r="1182" spans="2:12">
      <c r="B1182" s="5" t="s">
        <v>5941</v>
      </c>
      <c r="C1182" s="26" t="s">
        <v>5942</v>
      </c>
      <c r="D1182" s="1347">
        <v>0</v>
      </c>
      <c r="E1182" s="1346">
        <v>0</v>
      </c>
      <c r="F1182" s="611" t="s">
        <v>4728</v>
      </c>
      <c r="G1182" s="1408">
        <v>800</v>
      </c>
      <c r="H1182" s="1353">
        <f>M778</f>
        <v>0</v>
      </c>
      <c r="I1182" s="1353">
        <f>N778</f>
        <v>0</v>
      </c>
      <c r="K1182" s="1391">
        <v>1206</v>
      </c>
      <c r="L1182" s="1391" t="s">
        <v>5943</v>
      </c>
    </row>
    <row r="1183" spans="2:12">
      <c r="B1183" s="5" t="s">
        <v>5944</v>
      </c>
      <c r="C1183" s="26" t="s">
        <v>5945</v>
      </c>
      <c r="D1183" s="1347">
        <v>0</v>
      </c>
      <c r="E1183" s="1346">
        <v>0</v>
      </c>
      <c r="F1183" s="611" t="s">
        <v>4732</v>
      </c>
      <c r="G1183" s="1408">
        <v>801</v>
      </c>
      <c r="H1183" s="1353">
        <f>M779</f>
        <v>0</v>
      </c>
      <c r="I1183" s="1353">
        <f>N779</f>
        <v>0</v>
      </c>
      <c r="K1183" s="1391">
        <v>1207</v>
      </c>
      <c r="L1183" s="1391" t="s">
        <v>5946</v>
      </c>
    </row>
    <row r="1184" spans="2:12">
      <c r="B1184" s="5" t="s">
        <v>5947</v>
      </c>
      <c r="C1184" s="26" t="s">
        <v>5948</v>
      </c>
      <c r="D1184" s="1347">
        <v>0</v>
      </c>
      <c r="E1184" s="1346">
        <v>0</v>
      </c>
      <c r="F1184" s="611" t="s">
        <v>4740</v>
      </c>
      <c r="G1184" s="1408">
        <v>803</v>
      </c>
      <c r="H1184" s="1353">
        <f>M781</f>
        <v>0</v>
      </c>
      <c r="I1184" s="1353">
        <f>N781</f>
        <v>0</v>
      </c>
      <c r="K1184" s="1391">
        <v>1208</v>
      </c>
      <c r="L1184" s="1391" t="s">
        <v>5949</v>
      </c>
    </row>
    <row r="1185" spans="2:12">
      <c r="B1185" s="5" t="s">
        <v>5804</v>
      </c>
      <c r="C1185" s="26" t="s">
        <v>5950</v>
      </c>
      <c r="D1185" s="1347">
        <v>6802</v>
      </c>
      <c r="E1185" s="1346">
        <v>27746</v>
      </c>
      <c r="F1185" s="611" t="s">
        <v>5351</v>
      </c>
      <c r="G1185" s="1408">
        <v>972</v>
      </c>
      <c r="H1185" s="1353">
        <f t="shared" ref="H1185:I1187" si="278">M948</f>
        <v>0</v>
      </c>
      <c r="I1185" s="1353">
        <f t="shared" si="278"/>
        <v>0</v>
      </c>
      <c r="K1185" s="1391">
        <v>1209</v>
      </c>
      <c r="L1185" s="1391" t="s">
        <v>5951</v>
      </c>
    </row>
    <row r="1186" spans="2:12">
      <c r="B1186" s="5" t="s">
        <v>5807</v>
      </c>
      <c r="C1186" s="26" t="s">
        <v>5952</v>
      </c>
      <c r="D1186" s="1347">
        <v>10188</v>
      </c>
      <c r="E1186" s="1346">
        <v>40757</v>
      </c>
      <c r="F1186" s="611" t="s">
        <v>5354</v>
      </c>
      <c r="G1186" s="1408">
        <v>973</v>
      </c>
      <c r="H1186" s="1353">
        <f t="shared" si="278"/>
        <v>0</v>
      </c>
      <c r="I1186" s="1353">
        <f t="shared" si="278"/>
        <v>0</v>
      </c>
      <c r="K1186" s="1391">
        <v>1210</v>
      </c>
      <c r="L1186" s="1391" t="s">
        <v>5953</v>
      </c>
    </row>
    <row r="1187" spans="2:12">
      <c r="B1187" s="5" t="s">
        <v>5810</v>
      </c>
      <c r="C1187" s="26" t="s">
        <v>5954</v>
      </c>
      <c r="D1187" s="1347">
        <v>339</v>
      </c>
      <c r="E1187" s="1346">
        <v>1930</v>
      </c>
      <c r="F1187" s="611" t="s">
        <v>5358</v>
      </c>
      <c r="G1187" s="1408">
        <v>974</v>
      </c>
      <c r="H1187" s="1353">
        <f t="shared" si="278"/>
        <v>0</v>
      </c>
      <c r="I1187" s="1353">
        <f t="shared" si="278"/>
        <v>0</v>
      </c>
      <c r="K1187" s="1391">
        <v>1211</v>
      </c>
      <c r="L1187" s="1391" t="s">
        <v>5955</v>
      </c>
    </row>
    <row r="1188" spans="2:12">
      <c r="B1188" s="5" t="s">
        <v>5813</v>
      </c>
      <c r="C1188" s="26" t="s">
        <v>5956</v>
      </c>
      <c r="D1188" s="1347">
        <v>6769</v>
      </c>
      <c r="E1188" s="1346">
        <v>26701</v>
      </c>
      <c r="F1188" s="611" t="s">
        <v>5363</v>
      </c>
      <c r="G1188" s="1408">
        <v>976</v>
      </c>
      <c r="H1188" s="1353">
        <f t="shared" ref="H1188:H1196" si="279">M952</f>
        <v>0</v>
      </c>
      <c r="I1188" s="1353">
        <f t="shared" ref="I1188:I1196" si="280">N952</f>
        <v>0</v>
      </c>
      <c r="K1188" s="1391">
        <v>1212</v>
      </c>
      <c r="L1188" s="1391" t="s">
        <v>5957</v>
      </c>
    </row>
    <row r="1189" spans="2:12">
      <c r="B1189" s="5" t="s">
        <v>5816</v>
      </c>
      <c r="C1189" s="26" t="s">
        <v>5958</v>
      </c>
      <c r="D1189" s="1347">
        <v>25943</v>
      </c>
      <c r="E1189" s="1346">
        <v>74170</v>
      </c>
      <c r="F1189" s="611" t="s">
        <v>5365</v>
      </c>
      <c r="G1189" s="1408">
        <v>977</v>
      </c>
      <c r="H1189" s="1353">
        <f t="shared" si="279"/>
        <v>0</v>
      </c>
      <c r="I1189" s="1353">
        <f t="shared" si="280"/>
        <v>0</v>
      </c>
      <c r="K1189" s="1391">
        <v>1213</v>
      </c>
      <c r="L1189" s="1391" t="s">
        <v>5959</v>
      </c>
    </row>
    <row r="1190" spans="2:12">
      <c r="B1190" s="5" t="s">
        <v>5819</v>
      </c>
      <c r="C1190" s="26" t="s">
        <v>5960</v>
      </c>
      <c r="D1190" s="1347">
        <v>10161</v>
      </c>
      <c r="E1190" s="1346">
        <v>35757</v>
      </c>
      <c r="F1190" s="611" t="s">
        <v>5369</v>
      </c>
      <c r="G1190" s="1408">
        <v>978</v>
      </c>
      <c r="H1190" s="1353">
        <f t="shared" si="279"/>
        <v>0</v>
      </c>
      <c r="I1190" s="1353">
        <f t="shared" si="280"/>
        <v>0</v>
      </c>
      <c r="K1190" s="1391">
        <v>1214</v>
      </c>
      <c r="L1190" s="1391" t="s">
        <v>5961</v>
      </c>
    </row>
    <row r="1191" spans="2:12">
      <c r="B1191" s="5" t="s">
        <v>5822</v>
      </c>
      <c r="C1191" s="26" t="s">
        <v>5962</v>
      </c>
      <c r="D1191" s="1347">
        <v>0</v>
      </c>
      <c r="E1191" s="1346">
        <v>0</v>
      </c>
      <c r="F1191" s="611" t="s">
        <v>5372</v>
      </c>
      <c r="G1191" s="1408">
        <v>979</v>
      </c>
      <c r="H1191" s="1353">
        <f t="shared" si="279"/>
        <v>0</v>
      </c>
      <c r="I1191" s="1353">
        <f t="shared" si="280"/>
        <v>0</v>
      </c>
      <c r="K1191" s="1391">
        <v>1215</v>
      </c>
      <c r="L1191" s="1391" t="s">
        <v>5963</v>
      </c>
    </row>
    <row r="1192" spans="2:12">
      <c r="B1192" s="5" t="s">
        <v>5825</v>
      </c>
      <c r="C1192" s="26" t="s">
        <v>5964</v>
      </c>
      <c r="D1192" s="1347">
        <v>5901</v>
      </c>
      <c r="E1192" s="1346">
        <v>17364</v>
      </c>
      <c r="F1192" s="611" t="s">
        <v>5375</v>
      </c>
      <c r="G1192" s="1408">
        <v>980</v>
      </c>
      <c r="H1192" s="1353">
        <f t="shared" si="279"/>
        <v>0</v>
      </c>
      <c r="I1192" s="1353">
        <f t="shared" si="280"/>
        <v>0</v>
      </c>
      <c r="K1192" s="1391">
        <v>1216</v>
      </c>
      <c r="L1192" s="1391" t="s">
        <v>5965</v>
      </c>
    </row>
    <row r="1193" spans="2:12">
      <c r="B1193" s="5" t="s">
        <v>5828</v>
      </c>
      <c r="C1193" s="26" t="s">
        <v>5966</v>
      </c>
      <c r="D1193" s="1347">
        <v>0</v>
      </c>
      <c r="E1193" s="1346">
        <v>0</v>
      </c>
      <c r="F1193" s="611" t="s">
        <v>5378</v>
      </c>
      <c r="G1193" s="1408">
        <v>981</v>
      </c>
      <c r="H1193" s="1353">
        <f t="shared" si="279"/>
        <v>0</v>
      </c>
      <c r="I1193" s="1353">
        <f t="shared" si="280"/>
        <v>0</v>
      </c>
      <c r="K1193" s="1391">
        <v>1217</v>
      </c>
      <c r="L1193" s="1391" t="s">
        <v>5967</v>
      </c>
    </row>
    <row r="1194" spans="2:12">
      <c r="B1194" s="5" t="s">
        <v>5831</v>
      </c>
      <c r="C1194" s="26" t="s">
        <v>5968</v>
      </c>
      <c r="D1194" s="1347">
        <v>1136</v>
      </c>
      <c r="E1194" s="1346">
        <v>2989</v>
      </c>
      <c r="F1194" s="611" t="s">
        <v>5381</v>
      </c>
      <c r="G1194" s="1408">
        <v>982</v>
      </c>
      <c r="H1194" s="1353">
        <f t="shared" si="279"/>
        <v>0</v>
      </c>
      <c r="I1194" s="1353">
        <f t="shared" si="280"/>
        <v>0</v>
      </c>
      <c r="K1194" s="1391">
        <v>1218</v>
      </c>
      <c r="L1194" s="1391" t="s">
        <v>5969</v>
      </c>
    </row>
    <row r="1195" spans="2:12">
      <c r="B1195" s="5" t="s">
        <v>5834</v>
      </c>
      <c r="C1195" s="26" t="s">
        <v>5970</v>
      </c>
      <c r="D1195" s="1347">
        <v>158</v>
      </c>
      <c r="E1195" s="1346">
        <v>13137</v>
      </c>
      <c r="F1195" s="611" t="s">
        <v>5384</v>
      </c>
      <c r="G1195" s="1408">
        <v>983</v>
      </c>
      <c r="H1195" s="1353">
        <f t="shared" si="279"/>
        <v>0</v>
      </c>
      <c r="I1195" s="1353">
        <f t="shared" si="280"/>
        <v>0</v>
      </c>
      <c r="K1195" s="1391">
        <v>1219</v>
      </c>
      <c r="L1195" s="1391" t="s">
        <v>5971</v>
      </c>
    </row>
    <row r="1196" spans="2:12">
      <c r="B1196" s="5" t="s">
        <v>5837</v>
      </c>
      <c r="C1196" s="26" t="s">
        <v>5972</v>
      </c>
      <c r="D1196" s="1347">
        <v>0</v>
      </c>
      <c r="E1196" s="1346">
        <v>0</v>
      </c>
      <c r="F1196" s="611" t="s">
        <v>5387</v>
      </c>
      <c r="G1196" s="1408">
        <v>984</v>
      </c>
      <c r="H1196" s="1353">
        <f t="shared" si="279"/>
        <v>0</v>
      </c>
      <c r="I1196" s="1353">
        <f t="shared" si="280"/>
        <v>0</v>
      </c>
      <c r="K1196" s="1391">
        <v>1220</v>
      </c>
      <c r="L1196" s="1391" t="s">
        <v>5973</v>
      </c>
    </row>
    <row r="1197" spans="2:12">
      <c r="B1197" s="5" t="s">
        <v>5840</v>
      </c>
      <c r="C1197" s="26" t="s">
        <v>5974</v>
      </c>
      <c r="D1197" s="1347">
        <v>2634</v>
      </c>
      <c r="E1197" s="1346">
        <v>7999</v>
      </c>
      <c r="F1197" s="611" t="s">
        <v>5392</v>
      </c>
      <c r="G1197" s="1408">
        <v>986</v>
      </c>
      <c r="H1197" s="1353">
        <f t="shared" ref="H1197:H1217" si="281">M962</f>
        <v>0</v>
      </c>
      <c r="I1197" s="1353">
        <f t="shared" ref="I1197:I1217" si="282">N962</f>
        <v>0</v>
      </c>
      <c r="K1197" s="1391">
        <v>1221</v>
      </c>
      <c r="L1197" s="1391" t="s">
        <v>5975</v>
      </c>
    </row>
    <row r="1198" spans="2:12">
      <c r="B1198" s="5" t="s">
        <v>5843</v>
      </c>
      <c r="C1198" s="26" t="s">
        <v>5976</v>
      </c>
      <c r="D1198" s="1347">
        <v>286</v>
      </c>
      <c r="E1198" s="1346">
        <v>2820</v>
      </c>
      <c r="F1198" s="611" t="s">
        <v>5394</v>
      </c>
      <c r="G1198" s="1408">
        <v>987</v>
      </c>
      <c r="H1198" s="1353">
        <f t="shared" si="281"/>
        <v>0</v>
      </c>
      <c r="I1198" s="1353">
        <f t="shared" si="282"/>
        <v>0</v>
      </c>
      <c r="K1198" s="1391">
        <v>1222</v>
      </c>
      <c r="L1198" s="1391" t="s">
        <v>5977</v>
      </c>
    </row>
    <row r="1199" spans="2:12">
      <c r="B1199" s="5" t="s">
        <v>5846</v>
      </c>
      <c r="C1199" s="26" t="s">
        <v>5978</v>
      </c>
      <c r="D1199" s="1347">
        <v>2128</v>
      </c>
      <c r="E1199" s="1346">
        <v>4976</v>
      </c>
      <c r="F1199" s="611" t="s">
        <v>5396</v>
      </c>
      <c r="G1199" s="1408">
        <v>988</v>
      </c>
      <c r="H1199" s="1353">
        <f t="shared" si="281"/>
        <v>0</v>
      </c>
      <c r="I1199" s="1353">
        <f t="shared" si="282"/>
        <v>0</v>
      </c>
      <c r="K1199" s="1391">
        <v>1223</v>
      </c>
      <c r="L1199" s="1391" t="s">
        <v>5979</v>
      </c>
    </row>
    <row r="1200" spans="2:12">
      <c r="B1200" s="5" t="s">
        <v>5849</v>
      </c>
      <c r="C1200" s="26" t="s">
        <v>5980</v>
      </c>
      <c r="D1200" s="1347">
        <v>0</v>
      </c>
      <c r="E1200" s="1346">
        <v>0</v>
      </c>
      <c r="F1200" s="611" t="s">
        <v>5400</v>
      </c>
      <c r="G1200" s="1408">
        <v>989</v>
      </c>
      <c r="H1200" s="1353">
        <f t="shared" si="281"/>
        <v>0</v>
      </c>
      <c r="I1200" s="1353">
        <f t="shared" si="282"/>
        <v>0</v>
      </c>
      <c r="K1200" s="1391">
        <v>1224</v>
      </c>
      <c r="L1200" s="1391" t="s">
        <v>5981</v>
      </c>
    </row>
    <row r="1201" spans="2:12">
      <c r="B1201" s="5" t="s">
        <v>4418</v>
      </c>
      <c r="C1201" s="26" t="s">
        <v>5982</v>
      </c>
      <c r="D1201" s="1347">
        <v>8991</v>
      </c>
      <c r="E1201" s="1346">
        <v>42551</v>
      </c>
      <c r="F1201" s="611" t="s">
        <v>5403</v>
      </c>
      <c r="G1201" s="1408">
        <v>990</v>
      </c>
      <c r="H1201" s="1353">
        <f t="shared" si="281"/>
        <v>0</v>
      </c>
      <c r="I1201" s="1353">
        <f t="shared" si="282"/>
        <v>0</v>
      </c>
      <c r="K1201" s="1391">
        <v>1225</v>
      </c>
      <c r="L1201" s="1391" t="s">
        <v>5983</v>
      </c>
    </row>
    <row r="1202" spans="2:12">
      <c r="B1202" s="5" t="s">
        <v>5854</v>
      </c>
      <c r="C1202" s="26" t="s">
        <v>5984</v>
      </c>
      <c r="D1202" s="1347">
        <v>0</v>
      </c>
      <c r="E1202" s="1346">
        <v>0</v>
      </c>
      <c r="F1202" s="611" t="s">
        <v>5407</v>
      </c>
      <c r="G1202" s="1408">
        <v>991</v>
      </c>
      <c r="H1202" s="1353">
        <f t="shared" si="281"/>
        <v>0</v>
      </c>
      <c r="I1202" s="1353">
        <f t="shared" si="282"/>
        <v>0</v>
      </c>
      <c r="K1202" s="1391">
        <v>1226</v>
      </c>
      <c r="L1202" s="1391" t="s">
        <v>5985</v>
      </c>
    </row>
    <row r="1203" spans="2:12">
      <c r="B1203" s="5" t="s">
        <v>36</v>
      </c>
      <c r="C1203" s="26" t="s">
        <v>5986</v>
      </c>
      <c r="D1203" s="1347">
        <v>100</v>
      </c>
      <c r="E1203" s="1346">
        <v>100</v>
      </c>
      <c r="F1203" s="611" t="s">
        <v>5411</v>
      </c>
      <c r="G1203" s="1408">
        <v>992</v>
      </c>
      <c r="H1203" s="1353">
        <f t="shared" si="281"/>
        <v>0</v>
      </c>
      <c r="I1203" s="1353">
        <f t="shared" si="282"/>
        <v>0</v>
      </c>
      <c r="K1203" s="1391">
        <v>1227</v>
      </c>
      <c r="L1203" s="1391" t="s">
        <v>5987</v>
      </c>
    </row>
    <row r="1204" spans="2:12">
      <c r="B1204" s="5" t="s">
        <v>5859</v>
      </c>
      <c r="C1204" s="26" t="s">
        <v>5988</v>
      </c>
      <c r="D1204" s="1347">
        <v>4334</v>
      </c>
      <c r="E1204" s="1346">
        <v>14843</v>
      </c>
      <c r="F1204" s="611" t="s">
        <v>5415</v>
      </c>
      <c r="G1204" s="1408">
        <v>993</v>
      </c>
      <c r="H1204" s="1353">
        <f t="shared" si="281"/>
        <v>0</v>
      </c>
      <c r="I1204" s="1353">
        <f t="shared" si="282"/>
        <v>0</v>
      </c>
      <c r="K1204" s="1391">
        <v>1228</v>
      </c>
      <c r="L1204" s="1391" t="s">
        <v>5989</v>
      </c>
    </row>
    <row r="1205" spans="2:12">
      <c r="B1205" s="5" t="s">
        <v>5862</v>
      </c>
      <c r="C1205" s="26" t="s">
        <v>5990</v>
      </c>
      <c r="D1205" s="1347">
        <v>0</v>
      </c>
      <c r="E1205" s="1346">
        <v>0</v>
      </c>
      <c r="F1205" s="611" t="s">
        <v>5419</v>
      </c>
      <c r="G1205" s="1408">
        <v>994</v>
      </c>
      <c r="H1205" s="1353">
        <f t="shared" si="281"/>
        <v>0</v>
      </c>
      <c r="I1205" s="1353">
        <f t="shared" si="282"/>
        <v>0</v>
      </c>
      <c r="K1205" s="1391">
        <v>1229</v>
      </c>
      <c r="L1205" s="1391" t="s">
        <v>5991</v>
      </c>
    </row>
    <row r="1206" spans="2:12">
      <c r="B1206" s="5" t="s">
        <v>5865</v>
      </c>
      <c r="C1206" s="26" t="s">
        <v>5992</v>
      </c>
      <c r="D1206" s="1347">
        <v>552</v>
      </c>
      <c r="E1206" s="1346">
        <v>1561</v>
      </c>
      <c r="F1206" s="611" t="s">
        <v>5423</v>
      </c>
      <c r="G1206" s="1408">
        <v>995</v>
      </c>
      <c r="H1206" s="1353">
        <f t="shared" si="281"/>
        <v>0</v>
      </c>
      <c r="I1206" s="1353">
        <f t="shared" si="282"/>
        <v>0</v>
      </c>
      <c r="K1206" s="1391">
        <v>1230</v>
      </c>
      <c r="L1206" s="1391" t="s">
        <v>5993</v>
      </c>
    </row>
    <row r="1207" spans="2:12">
      <c r="B1207" s="5" t="s">
        <v>5868</v>
      </c>
      <c r="C1207" s="26" t="s">
        <v>5994</v>
      </c>
      <c r="D1207" s="1347">
        <v>260</v>
      </c>
      <c r="E1207" s="1346">
        <v>1937</v>
      </c>
      <c r="F1207" s="611" t="s">
        <v>5427</v>
      </c>
      <c r="G1207" s="1408">
        <v>996</v>
      </c>
      <c r="H1207" s="1353">
        <f t="shared" si="281"/>
        <v>0</v>
      </c>
      <c r="I1207" s="1353">
        <f t="shared" si="282"/>
        <v>0</v>
      </c>
      <c r="K1207" s="1391">
        <v>1231</v>
      </c>
      <c r="L1207" s="1391" t="s">
        <v>5995</v>
      </c>
    </row>
    <row r="1208" spans="2:12">
      <c r="B1208" s="5" t="s">
        <v>5871</v>
      </c>
      <c r="C1208" s="26" t="s">
        <v>5996</v>
      </c>
      <c r="D1208" s="1347">
        <v>400</v>
      </c>
      <c r="E1208" s="1346">
        <v>600</v>
      </c>
      <c r="F1208" s="611" t="s">
        <v>5431</v>
      </c>
      <c r="G1208" s="1408">
        <v>997</v>
      </c>
      <c r="H1208" s="1353">
        <f t="shared" si="281"/>
        <v>0</v>
      </c>
      <c r="I1208" s="1353">
        <f t="shared" si="282"/>
        <v>0</v>
      </c>
      <c r="K1208" s="1391">
        <v>1232</v>
      </c>
      <c r="L1208" s="1391" t="s">
        <v>5997</v>
      </c>
    </row>
    <row r="1209" spans="2:12">
      <c r="B1209" s="5" t="s">
        <v>5874</v>
      </c>
      <c r="C1209" s="26" t="s">
        <v>5998</v>
      </c>
      <c r="D1209" s="1347">
        <v>189</v>
      </c>
      <c r="E1209" s="1346">
        <v>503</v>
      </c>
      <c r="F1209" s="611" t="s">
        <v>5435</v>
      </c>
      <c r="G1209" s="1408">
        <v>998</v>
      </c>
      <c r="H1209" s="1353">
        <f t="shared" si="281"/>
        <v>0</v>
      </c>
      <c r="I1209" s="1353">
        <f t="shared" si="282"/>
        <v>0</v>
      </c>
      <c r="K1209" s="1391">
        <v>1233</v>
      </c>
      <c r="L1209" s="1391" t="s">
        <v>5999</v>
      </c>
    </row>
    <row r="1210" spans="2:12">
      <c r="B1210" s="5" t="s">
        <v>5877</v>
      </c>
      <c r="C1210" s="26" t="s">
        <v>6000</v>
      </c>
      <c r="D1210" s="1347">
        <v>0</v>
      </c>
      <c r="E1210" s="1346">
        <v>26</v>
      </c>
      <c r="F1210" s="611" t="s">
        <v>5438</v>
      </c>
      <c r="G1210" s="1408">
        <v>999</v>
      </c>
      <c r="H1210" s="1353">
        <f t="shared" si="281"/>
        <v>0</v>
      </c>
      <c r="I1210" s="1353">
        <f t="shared" si="282"/>
        <v>0</v>
      </c>
      <c r="K1210" s="1391">
        <v>1234</v>
      </c>
      <c r="L1210" s="1391" t="s">
        <v>6001</v>
      </c>
    </row>
    <row r="1211" spans="2:12">
      <c r="B1211" s="5" t="s">
        <v>5880</v>
      </c>
      <c r="C1211" s="26" t="s">
        <v>6002</v>
      </c>
      <c r="D1211" s="1347">
        <v>41301</v>
      </c>
      <c r="E1211" s="1346">
        <v>185951</v>
      </c>
      <c r="F1211" s="611" t="s">
        <v>5441</v>
      </c>
      <c r="G1211" s="1408">
        <v>1000</v>
      </c>
      <c r="H1211" s="1353">
        <f t="shared" si="281"/>
        <v>0</v>
      </c>
      <c r="I1211" s="1353">
        <f t="shared" si="282"/>
        <v>0</v>
      </c>
      <c r="K1211" s="1391">
        <v>1235</v>
      </c>
      <c r="L1211" s="1391" t="s">
        <v>6003</v>
      </c>
    </row>
    <row r="1212" spans="2:12">
      <c r="B1212" s="5" t="s">
        <v>5883</v>
      </c>
      <c r="C1212" s="26" t="s">
        <v>6004</v>
      </c>
      <c r="D1212" s="1347">
        <v>0</v>
      </c>
      <c r="E1212" s="1346">
        <v>0</v>
      </c>
      <c r="F1212" s="611" t="s">
        <v>5444</v>
      </c>
      <c r="G1212" s="1408">
        <v>1001</v>
      </c>
      <c r="H1212" s="1353">
        <f t="shared" si="281"/>
        <v>0</v>
      </c>
      <c r="I1212" s="1353">
        <f t="shared" si="282"/>
        <v>0</v>
      </c>
      <c r="K1212" s="1391">
        <v>1236</v>
      </c>
      <c r="L1212" s="1391" t="s">
        <v>6005</v>
      </c>
    </row>
    <row r="1213" spans="2:12">
      <c r="B1213" s="5" t="s">
        <v>5886</v>
      </c>
      <c r="C1213" s="26" t="s">
        <v>6006</v>
      </c>
      <c r="D1213" s="1347">
        <v>755</v>
      </c>
      <c r="E1213" s="1346">
        <v>2580</v>
      </c>
      <c r="F1213" s="611" t="s">
        <v>5447</v>
      </c>
      <c r="G1213" s="1408">
        <v>1002</v>
      </c>
      <c r="H1213" s="1353">
        <f t="shared" si="281"/>
        <v>0</v>
      </c>
      <c r="I1213" s="1353">
        <f t="shared" si="282"/>
        <v>0</v>
      </c>
      <c r="K1213" s="1391">
        <v>1237</v>
      </c>
      <c r="L1213" s="1391" t="s">
        <v>6007</v>
      </c>
    </row>
    <row r="1214" spans="2:12">
      <c r="B1214" s="5" t="s">
        <v>5889</v>
      </c>
      <c r="C1214" s="26" t="s">
        <v>6008</v>
      </c>
      <c r="D1214" s="1347">
        <v>0</v>
      </c>
      <c r="E1214" s="1346">
        <v>0</v>
      </c>
      <c r="F1214" s="611" t="s">
        <v>5450</v>
      </c>
      <c r="G1214" s="1408">
        <v>1003</v>
      </c>
      <c r="H1214" s="1353">
        <f t="shared" si="281"/>
        <v>0</v>
      </c>
      <c r="I1214" s="1353">
        <f t="shared" si="282"/>
        <v>0</v>
      </c>
      <c r="K1214" s="1391">
        <v>1238</v>
      </c>
      <c r="L1214" s="1391" t="s">
        <v>6009</v>
      </c>
    </row>
    <row r="1215" spans="2:12">
      <c r="B1215" s="5" t="s">
        <v>5892</v>
      </c>
      <c r="C1215" s="26" t="s">
        <v>6010</v>
      </c>
      <c r="D1215" s="1347">
        <v>0</v>
      </c>
      <c r="E1215" s="1346">
        <v>0</v>
      </c>
      <c r="F1215" s="611" t="s">
        <v>5454</v>
      </c>
      <c r="G1215" s="1408">
        <v>1004</v>
      </c>
      <c r="H1215" s="1353">
        <f t="shared" si="281"/>
        <v>0</v>
      </c>
      <c r="I1215" s="1353">
        <f t="shared" si="282"/>
        <v>0</v>
      </c>
      <c r="K1215" s="1391">
        <v>1239</v>
      </c>
      <c r="L1215" s="1391" t="s">
        <v>6011</v>
      </c>
    </row>
    <row r="1216" spans="2:12">
      <c r="B1216" s="5" t="s">
        <v>5895</v>
      </c>
      <c r="C1216" s="26" t="s">
        <v>6012</v>
      </c>
      <c r="D1216" s="1347">
        <v>778</v>
      </c>
      <c r="E1216" s="1346">
        <v>2835</v>
      </c>
      <c r="F1216" s="611" t="s">
        <v>5457</v>
      </c>
      <c r="G1216" s="1408">
        <v>1005</v>
      </c>
      <c r="H1216" s="1353">
        <f t="shared" si="281"/>
        <v>0</v>
      </c>
      <c r="I1216" s="1353">
        <f t="shared" si="282"/>
        <v>0</v>
      </c>
      <c r="K1216" s="1391">
        <v>1240</v>
      </c>
      <c r="L1216" s="1391" t="s">
        <v>6013</v>
      </c>
    </row>
    <row r="1217" spans="2:12">
      <c r="B1217" s="5" t="s">
        <v>5898</v>
      </c>
      <c r="C1217" s="26" t="s">
        <v>6014</v>
      </c>
      <c r="D1217" s="1347">
        <v>0</v>
      </c>
      <c r="E1217" s="1346">
        <v>156</v>
      </c>
      <c r="F1217" s="611" t="s">
        <v>5460</v>
      </c>
      <c r="G1217" s="1408">
        <v>1006</v>
      </c>
      <c r="H1217" s="1353">
        <f t="shared" si="281"/>
        <v>0</v>
      </c>
      <c r="I1217" s="1353">
        <f t="shared" si="282"/>
        <v>0</v>
      </c>
      <c r="K1217" s="1391">
        <v>1241</v>
      </c>
      <c r="L1217" s="1391" t="s">
        <v>6015</v>
      </c>
    </row>
    <row r="1218" spans="2:12">
      <c r="B1218" s="5" t="s">
        <v>5901</v>
      </c>
      <c r="C1218" s="26" t="s">
        <v>6016</v>
      </c>
      <c r="D1218" s="1347">
        <v>9480</v>
      </c>
      <c r="E1218" s="1346">
        <v>37020</v>
      </c>
      <c r="F1218" s="611" t="s">
        <v>5464</v>
      </c>
      <c r="G1218" s="1408">
        <v>1008</v>
      </c>
      <c r="H1218" s="1353">
        <f t="shared" ref="H1218:I1224" si="283">M984</f>
        <v>0</v>
      </c>
      <c r="I1218" s="1353">
        <f t="shared" si="283"/>
        <v>0</v>
      </c>
      <c r="K1218" s="1391">
        <v>1242</v>
      </c>
      <c r="L1218" s="1391" t="s">
        <v>6017</v>
      </c>
    </row>
    <row r="1219" spans="2:12">
      <c r="B1219" s="5" t="s">
        <v>5904</v>
      </c>
      <c r="C1219" s="26" t="s">
        <v>6018</v>
      </c>
      <c r="D1219" s="1347">
        <v>0</v>
      </c>
      <c r="E1219" s="1346">
        <v>0</v>
      </c>
      <c r="F1219" s="611" t="s">
        <v>5466</v>
      </c>
      <c r="G1219" s="1408">
        <v>1009</v>
      </c>
      <c r="H1219" s="1353">
        <f t="shared" si="283"/>
        <v>0</v>
      </c>
      <c r="I1219" s="1353">
        <f t="shared" si="283"/>
        <v>0</v>
      </c>
      <c r="K1219" s="1391">
        <v>1243</v>
      </c>
      <c r="L1219" s="1391" t="s">
        <v>6019</v>
      </c>
    </row>
    <row r="1220" spans="2:12">
      <c r="B1220" s="5" t="s">
        <v>5907</v>
      </c>
      <c r="C1220" s="26" t="s">
        <v>6020</v>
      </c>
      <c r="D1220" s="1347">
        <v>566</v>
      </c>
      <c r="E1220" s="1346">
        <v>6332</v>
      </c>
      <c r="F1220" s="611" t="s">
        <v>5468</v>
      </c>
      <c r="G1220" s="1408">
        <v>1010</v>
      </c>
      <c r="H1220" s="1353">
        <f t="shared" si="283"/>
        <v>0</v>
      </c>
      <c r="I1220" s="1353">
        <f t="shared" si="283"/>
        <v>0</v>
      </c>
      <c r="K1220" s="1391">
        <v>1244</v>
      </c>
      <c r="L1220" s="1391" t="s">
        <v>6021</v>
      </c>
    </row>
    <row r="1221" spans="2:12">
      <c r="B1221" s="5" t="s">
        <v>5909</v>
      </c>
      <c r="C1221" s="26" t="s">
        <v>6022</v>
      </c>
      <c r="D1221" s="1347">
        <v>15</v>
      </c>
      <c r="E1221" s="1346">
        <v>62</v>
      </c>
      <c r="F1221" s="611" t="s">
        <v>5470</v>
      </c>
      <c r="G1221" s="1408">
        <v>1011</v>
      </c>
      <c r="H1221" s="1353">
        <f t="shared" si="283"/>
        <v>0</v>
      </c>
      <c r="I1221" s="1353">
        <f t="shared" si="283"/>
        <v>0</v>
      </c>
      <c r="K1221" s="1391">
        <v>1245</v>
      </c>
      <c r="L1221" s="1391" t="s">
        <v>6023</v>
      </c>
    </row>
    <row r="1222" spans="2:12">
      <c r="B1222" s="5" t="s">
        <v>5911</v>
      </c>
      <c r="C1222" s="26" t="s">
        <v>6024</v>
      </c>
      <c r="D1222" s="1347">
        <v>1200</v>
      </c>
      <c r="E1222" s="1346">
        <v>4800</v>
      </c>
      <c r="F1222" s="611" t="s">
        <v>5473</v>
      </c>
      <c r="G1222" s="1408">
        <v>1012</v>
      </c>
      <c r="H1222" s="1353">
        <f t="shared" si="283"/>
        <v>0</v>
      </c>
      <c r="I1222" s="1353">
        <f t="shared" si="283"/>
        <v>0</v>
      </c>
      <c r="K1222" s="1391">
        <v>1246</v>
      </c>
      <c r="L1222" s="1391" t="s">
        <v>6025</v>
      </c>
    </row>
    <row r="1223" spans="2:12">
      <c r="B1223" s="5" t="s">
        <v>5914</v>
      </c>
      <c r="C1223" s="26" t="s">
        <v>6026</v>
      </c>
      <c r="D1223" s="1347">
        <v>816</v>
      </c>
      <c r="E1223" s="1346">
        <v>3264</v>
      </c>
      <c r="F1223" s="611" t="s">
        <v>5475</v>
      </c>
      <c r="G1223" s="1408">
        <v>1013</v>
      </c>
      <c r="H1223" s="1353">
        <f t="shared" si="283"/>
        <v>0</v>
      </c>
      <c r="I1223" s="1353">
        <f t="shared" si="283"/>
        <v>0</v>
      </c>
      <c r="K1223" s="1391">
        <v>1247</v>
      </c>
      <c r="L1223" s="1391" t="s">
        <v>5434</v>
      </c>
    </row>
    <row r="1224" spans="2:12">
      <c r="B1224" s="5" t="s">
        <v>5917</v>
      </c>
      <c r="C1224" s="26" t="s">
        <v>6027</v>
      </c>
      <c r="D1224" s="1347">
        <v>0</v>
      </c>
      <c r="E1224" s="1346">
        <v>0</v>
      </c>
      <c r="F1224" s="611" t="s">
        <v>5477</v>
      </c>
      <c r="G1224" s="1408">
        <v>1014</v>
      </c>
      <c r="H1224" s="1353">
        <f t="shared" si="283"/>
        <v>0</v>
      </c>
      <c r="I1224" s="1353">
        <f t="shared" si="283"/>
        <v>0</v>
      </c>
      <c r="K1224" s="1391">
        <v>1248</v>
      </c>
      <c r="L1224" s="1391" t="s">
        <v>5422</v>
      </c>
    </row>
    <row r="1225" spans="2:12">
      <c r="B1225" s="5" t="s">
        <v>5920</v>
      </c>
      <c r="C1225" s="26" t="s">
        <v>6028</v>
      </c>
      <c r="D1225" s="1347">
        <v>1997</v>
      </c>
      <c r="E1225" s="1346">
        <v>7883</v>
      </c>
      <c r="F1225" s="611" t="s">
        <v>5481</v>
      </c>
      <c r="G1225" s="1408">
        <v>1016</v>
      </c>
      <c r="H1225" s="1353">
        <f t="shared" ref="H1225:I1230" si="284">M992</f>
        <v>0</v>
      </c>
      <c r="I1225" s="1353">
        <f t="shared" si="284"/>
        <v>0</v>
      </c>
      <c r="K1225" s="1391">
        <v>1249</v>
      </c>
      <c r="L1225" s="1391" t="s">
        <v>6029</v>
      </c>
    </row>
    <row r="1226" spans="2:12">
      <c r="B1226" s="5" t="s">
        <v>5923</v>
      </c>
      <c r="C1226" s="26" t="s">
        <v>6030</v>
      </c>
      <c r="D1226" s="1347">
        <v>2911</v>
      </c>
      <c r="E1226" s="1346">
        <v>12561</v>
      </c>
      <c r="F1226" s="611" t="s">
        <v>5483</v>
      </c>
      <c r="G1226" s="1408">
        <v>1017</v>
      </c>
      <c r="H1226" s="1353">
        <f t="shared" si="284"/>
        <v>0</v>
      </c>
      <c r="I1226" s="1353">
        <f t="shared" si="284"/>
        <v>0</v>
      </c>
      <c r="K1226" s="1391">
        <v>1250</v>
      </c>
      <c r="L1226" s="1391" t="s">
        <v>6031</v>
      </c>
    </row>
    <row r="1227" spans="2:12">
      <c r="B1227" s="5" t="s">
        <v>5926</v>
      </c>
      <c r="C1227" s="26" t="s">
        <v>6032</v>
      </c>
      <c r="D1227" s="1347">
        <v>0</v>
      </c>
      <c r="E1227" s="1346">
        <v>0</v>
      </c>
      <c r="F1227" s="611" t="s">
        <v>5485</v>
      </c>
      <c r="G1227" s="1408">
        <v>1018</v>
      </c>
      <c r="H1227" s="1353">
        <f t="shared" si="284"/>
        <v>0</v>
      </c>
      <c r="I1227" s="1353">
        <f t="shared" si="284"/>
        <v>0</v>
      </c>
      <c r="K1227" s="1391">
        <v>1251</v>
      </c>
      <c r="L1227" s="1391" t="s">
        <v>6033</v>
      </c>
    </row>
    <row r="1228" spans="2:12">
      <c r="B1228" s="5" t="s">
        <v>5929</v>
      </c>
      <c r="C1228" s="26" t="s">
        <v>6034</v>
      </c>
      <c r="D1228" s="1347">
        <v>0</v>
      </c>
      <c r="E1228" s="1346">
        <v>294</v>
      </c>
      <c r="F1228" s="611" t="s">
        <v>5487</v>
      </c>
      <c r="G1228" s="1408">
        <v>1019</v>
      </c>
      <c r="H1228" s="1353">
        <f t="shared" si="284"/>
        <v>0</v>
      </c>
      <c r="I1228" s="1353">
        <f t="shared" si="284"/>
        <v>0</v>
      </c>
      <c r="K1228" s="1391">
        <v>1252</v>
      </c>
      <c r="L1228" s="1391" t="s">
        <v>6035</v>
      </c>
    </row>
    <row r="1229" spans="2:12">
      <c r="B1229" s="5" t="s">
        <v>5932</v>
      </c>
      <c r="C1229" s="26" t="s">
        <v>6036</v>
      </c>
      <c r="D1229" s="1347">
        <v>2702</v>
      </c>
      <c r="E1229" s="1346">
        <v>10808</v>
      </c>
      <c r="F1229" s="611" t="s">
        <v>5490</v>
      </c>
      <c r="G1229" s="1408">
        <v>1020</v>
      </c>
      <c r="H1229" s="1353">
        <f t="shared" si="284"/>
        <v>0</v>
      </c>
      <c r="I1229" s="1353">
        <f t="shared" si="284"/>
        <v>0</v>
      </c>
      <c r="K1229" s="1391">
        <v>1253</v>
      </c>
      <c r="L1229" s="1391" t="s">
        <v>6037</v>
      </c>
    </row>
    <row r="1230" spans="2:12">
      <c r="B1230" s="5" t="s">
        <v>5935</v>
      </c>
      <c r="C1230" s="26" t="s">
        <v>6038</v>
      </c>
      <c r="D1230" s="1347">
        <v>0</v>
      </c>
      <c r="E1230" s="1346">
        <v>0</v>
      </c>
      <c r="F1230" s="611" t="s">
        <v>5492</v>
      </c>
      <c r="G1230" s="1408">
        <v>1021</v>
      </c>
      <c r="H1230" s="1353">
        <f t="shared" si="284"/>
        <v>0</v>
      </c>
      <c r="I1230" s="1353">
        <f t="shared" si="284"/>
        <v>0</v>
      </c>
      <c r="K1230" s="1391">
        <v>1254</v>
      </c>
      <c r="L1230" s="1391" t="s">
        <v>6039</v>
      </c>
    </row>
    <row r="1231" spans="2:12">
      <c r="B1231" s="5" t="s">
        <v>5938</v>
      </c>
      <c r="C1231" s="26" t="s">
        <v>6040</v>
      </c>
      <c r="D1231" s="1347">
        <v>75838</v>
      </c>
      <c r="E1231" s="1346">
        <v>212751</v>
      </c>
      <c r="F1231" s="611" t="s">
        <v>5512</v>
      </c>
      <c r="G1231" s="1408">
        <v>1028</v>
      </c>
      <c r="H1231" s="1353">
        <f>M1004</f>
        <v>0</v>
      </c>
      <c r="I1231" s="1353">
        <f>N1004</f>
        <v>0</v>
      </c>
      <c r="K1231" s="1391">
        <v>1255</v>
      </c>
      <c r="L1231" s="1391" t="s">
        <v>6041</v>
      </c>
    </row>
    <row r="1232" spans="2:12">
      <c r="B1232" s="5" t="s">
        <v>5804</v>
      </c>
      <c r="C1232" s="26" t="s">
        <v>6042</v>
      </c>
      <c r="D1232" s="1347">
        <v>0</v>
      </c>
      <c r="E1232" s="1346">
        <v>0</v>
      </c>
      <c r="F1232" s="611" t="s">
        <v>5521</v>
      </c>
      <c r="G1232" s="1408">
        <v>1031</v>
      </c>
      <c r="H1232" s="1353">
        <f t="shared" ref="H1232:I1234" si="285">M1007</f>
        <v>0</v>
      </c>
      <c r="I1232" s="1353">
        <f t="shared" si="285"/>
        <v>0</v>
      </c>
      <c r="K1232" s="1391">
        <v>1256</v>
      </c>
      <c r="L1232" s="1391" t="s">
        <v>6043</v>
      </c>
    </row>
    <row r="1233" spans="2:12">
      <c r="B1233" s="5" t="s">
        <v>5807</v>
      </c>
      <c r="C1233" s="26" t="s">
        <v>6044</v>
      </c>
      <c r="D1233" s="1347">
        <v>0</v>
      </c>
      <c r="E1233" s="1346">
        <v>0</v>
      </c>
      <c r="F1233" s="611" t="s">
        <v>5523</v>
      </c>
      <c r="G1233" s="1408">
        <v>1032</v>
      </c>
      <c r="H1233" s="1353">
        <f t="shared" si="285"/>
        <v>0</v>
      </c>
      <c r="I1233" s="1353">
        <f t="shared" si="285"/>
        <v>0</v>
      </c>
      <c r="K1233" s="1391">
        <v>1257</v>
      </c>
      <c r="L1233" s="1391" t="s">
        <v>6045</v>
      </c>
    </row>
    <row r="1234" spans="2:12">
      <c r="B1234" s="5" t="s">
        <v>5810</v>
      </c>
      <c r="C1234" s="26" t="s">
        <v>6046</v>
      </c>
      <c r="D1234" s="1347">
        <v>0</v>
      </c>
      <c r="E1234" s="1346">
        <v>0</v>
      </c>
      <c r="F1234" s="611" t="s">
        <v>5525</v>
      </c>
      <c r="G1234" s="1408">
        <v>1033</v>
      </c>
      <c r="H1234" s="1353">
        <f t="shared" si="285"/>
        <v>0</v>
      </c>
      <c r="I1234" s="1353">
        <f t="shared" si="285"/>
        <v>0</v>
      </c>
      <c r="K1234" s="1391">
        <v>1258</v>
      </c>
      <c r="L1234" s="1391" t="s">
        <v>6047</v>
      </c>
    </row>
    <row r="1235" spans="2:12">
      <c r="B1235" s="5" t="s">
        <v>5813</v>
      </c>
      <c r="C1235" s="26" t="s">
        <v>6048</v>
      </c>
      <c r="D1235" s="1347">
        <v>0</v>
      </c>
      <c r="E1235" s="1346">
        <v>0</v>
      </c>
      <c r="F1235" s="611" t="s">
        <v>5529</v>
      </c>
      <c r="G1235" s="1408">
        <v>1035</v>
      </c>
      <c r="H1235" s="1353">
        <f t="shared" ref="H1235:H1243" si="286">M1011</f>
        <v>0</v>
      </c>
      <c r="I1235" s="1353">
        <f t="shared" ref="I1235:I1243" si="287">N1011</f>
        <v>0</v>
      </c>
      <c r="K1235" s="1391">
        <v>1259</v>
      </c>
      <c r="L1235" s="1391" t="s">
        <v>6049</v>
      </c>
    </row>
    <row r="1236" spans="2:12">
      <c r="B1236" s="5" t="s">
        <v>5816</v>
      </c>
      <c r="C1236" s="26" t="s">
        <v>6050</v>
      </c>
      <c r="D1236" s="1347">
        <v>0</v>
      </c>
      <c r="E1236" s="1346">
        <v>0</v>
      </c>
      <c r="F1236" s="611" t="s">
        <v>5534</v>
      </c>
      <c r="G1236" s="1408">
        <v>1036</v>
      </c>
      <c r="H1236" s="1353">
        <f t="shared" si="286"/>
        <v>0</v>
      </c>
      <c r="I1236" s="1353">
        <f t="shared" si="287"/>
        <v>0</v>
      </c>
      <c r="K1236" s="1391">
        <v>1260</v>
      </c>
      <c r="L1236" s="1391" t="s">
        <v>6051</v>
      </c>
    </row>
    <row r="1237" spans="2:12">
      <c r="B1237" s="5" t="s">
        <v>5819</v>
      </c>
      <c r="C1237" s="26" t="s">
        <v>6052</v>
      </c>
      <c r="D1237" s="1347">
        <v>0</v>
      </c>
      <c r="E1237" s="1346">
        <v>0</v>
      </c>
      <c r="F1237" s="611" t="s">
        <v>5539</v>
      </c>
      <c r="G1237" s="1408">
        <v>1037</v>
      </c>
      <c r="H1237" s="1353">
        <f t="shared" si="286"/>
        <v>0</v>
      </c>
      <c r="I1237" s="1353">
        <f t="shared" si="287"/>
        <v>0</v>
      </c>
      <c r="K1237" s="1391">
        <v>1261</v>
      </c>
      <c r="L1237" s="1391" t="s">
        <v>6053</v>
      </c>
    </row>
    <row r="1238" spans="2:12">
      <c r="B1238" s="5" t="s">
        <v>5822</v>
      </c>
      <c r="C1238" s="26" t="s">
        <v>6054</v>
      </c>
      <c r="D1238" s="1347">
        <v>0</v>
      </c>
      <c r="E1238" s="1346">
        <v>0</v>
      </c>
      <c r="F1238" s="611" t="s">
        <v>5544</v>
      </c>
      <c r="G1238" s="1408">
        <v>1038</v>
      </c>
      <c r="H1238" s="1353">
        <f t="shared" si="286"/>
        <v>0</v>
      </c>
      <c r="I1238" s="1353">
        <f t="shared" si="287"/>
        <v>0</v>
      </c>
      <c r="K1238" s="1391">
        <v>1262</v>
      </c>
      <c r="L1238" s="1391" t="s">
        <v>6055</v>
      </c>
    </row>
    <row r="1239" spans="2:12">
      <c r="B1239" s="5" t="s">
        <v>5825</v>
      </c>
      <c r="C1239" s="26" t="s">
        <v>6056</v>
      </c>
      <c r="D1239" s="1347">
        <v>0</v>
      </c>
      <c r="E1239" s="1346">
        <v>0</v>
      </c>
      <c r="F1239" s="611" t="s">
        <v>5546</v>
      </c>
      <c r="G1239" s="1408">
        <v>1039</v>
      </c>
      <c r="H1239" s="1353">
        <f t="shared" si="286"/>
        <v>0</v>
      </c>
      <c r="I1239" s="1353">
        <f t="shared" si="287"/>
        <v>0</v>
      </c>
      <c r="K1239" s="1391">
        <v>1263</v>
      </c>
      <c r="L1239" s="1391" t="s">
        <v>6057</v>
      </c>
    </row>
    <row r="1240" spans="2:12">
      <c r="B1240" s="5" t="s">
        <v>5828</v>
      </c>
      <c r="C1240" s="26" t="s">
        <v>6058</v>
      </c>
      <c r="D1240" s="1347">
        <v>0</v>
      </c>
      <c r="E1240" s="1346">
        <v>0</v>
      </c>
      <c r="F1240" s="611" t="s">
        <v>5548</v>
      </c>
      <c r="G1240" s="1408">
        <v>1040</v>
      </c>
      <c r="H1240" s="1353">
        <f t="shared" si="286"/>
        <v>0</v>
      </c>
      <c r="I1240" s="1353">
        <f t="shared" si="287"/>
        <v>0</v>
      </c>
      <c r="K1240" s="1391">
        <v>1264</v>
      </c>
      <c r="L1240" s="1391" t="s">
        <v>6059</v>
      </c>
    </row>
    <row r="1241" spans="2:12">
      <c r="B1241" s="5" t="s">
        <v>5831</v>
      </c>
      <c r="C1241" s="26" t="s">
        <v>6060</v>
      </c>
      <c r="D1241" s="1347">
        <v>0</v>
      </c>
      <c r="E1241" s="1346">
        <v>0</v>
      </c>
      <c r="F1241" s="611" t="s">
        <v>5550</v>
      </c>
      <c r="G1241" s="1408">
        <v>1041</v>
      </c>
      <c r="H1241" s="1353">
        <f t="shared" si="286"/>
        <v>0</v>
      </c>
      <c r="I1241" s="1353">
        <f t="shared" si="287"/>
        <v>0</v>
      </c>
      <c r="K1241" s="1391">
        <v>1265</v>
      </c>
      <c r="L1241" s="1391" t="s">
        <v>6061</v>
      </c>
    </row>
    <row r="1242" spans="2:12">
      <c r="B1242" s="5" t="s">
        <v>5834</v>
      </c>
      <c r="C1242" s="26" t="s">
        <v>6062</v>
      </c>
      <c r="D1242" s="1347">
        <v>0</v>
      </c>
      <c r="E1242" s="1346">
        <v>0</v>
      </c>
      <c r="F1242" s="611" t="s">
        <v>5552</v>
      </c>
      <c r="G1242" s="1408">
        <v>1042</v>
      </c>
      <c r="H1242" s="1353">
        <f t="shared" si="286"/>
        <v>0</v>
      </c>
      <c r="I1242" s="1353">
        <f t="shared" si="287"/>
        <v>0</v>
      </c>
      <c r="K1242" s="1391">
        <v>1266</v>
      </c>
      <c r="L1242" s="1391" t="s">
        <v>6063</v>
      </c>
    </row>
    <row r="1243" spans="2:12">
      <c r="B1243" s="5" t="s">
        <v>5837</v>
      </c>
      <c r="C1243" s="26" t="s">
        <v>6064</v>
      </c>
      <c r="D1243" s="1347">
        <v>0</v>
      </c>
      <c r="E1243" s="1346">
        <v>0</v>
      </c>
      <c r="F1243" s="611" t="s">
        <v>5554</v>
      </c>
      <c r="G1243" s="1408">
        <v>1043</v>
      </c>
      <c r="H1243" s="1353">
        <f t="shared" si="286"/>
        <v>0</v>
      </c>
      <c r="I1243" s="1353">
        <f t="shared" si="287"/>
        <v>0</v>
      </c>
      <c r="K1243" s="1391">
        <v>1267</v>
      </c>
      <c r="L1243" s="1391" t="s">
        <v>6065</v>
      </c>
    </row>
    <row r="1244" spans="2:12">
      <c r="B1244" s="5" t="s">
        <v>5840</v>
      </c>
      <c r="C1244" s="26" t="s">
        <v>6066</v>
      </c>
      <c r="D1244" s="1347">
        <v>0</v>
      </c>
      <c r="E1244" s="1346">
        <v>0</v>
      </c>
      <c r="F1244" s="611" t="s">
        <v>5559</v>
      </c>
      <c r="G1244" s="1408">
        <v>1045</v>
      </c>
      <c r="H1244" s="1353">
        <f t="shared" ref="H1244:H1264" si="288">M1021</f>
        <v>0</v>
      </c>
      <c r="I1244" s="1353">
        <f t="shared" ref="I1244:I1264" si="289">N1021</f>
        <v>0</v>
      </c>
      <c r="K1244" s="1391">
        <v>1268</v>
      </c>
      <c r="L1244" s="1391" t="s">
        <v>6067</v>
      </c>
    </row>
    <row r="1245" spans="2:12">
      <c r="B1245" s="5" t="s">
        <v>5843</v>
      </c>
      <c r="C1245" s="26" t="s">
        <v>6068</v>
      </c>
      <c r="D1245" s="1347">
        <v>0</v>
      </c>
      <c r="E1245" s="1346">
        <v>0</v>
      </c>
      <c r="F1245" s="611" t="s">
        <v>5562</v>
      </c>
      <c r="G1245" s="1408">
        <v>1046</v>
      </c>
      <c r="H1245" s="1353">
        <f t="shared" si="288"/>
        <v>0</v>
      </c>
      <c r="I1245" s="1353">
        <f t="shared" si="289"/>
        <v>0</v>
      </c>
      <c r="K1245" s="1391">
        <v>1269</v>
      </c>
      <c r="L1245" s="1391" t="s">
        <v>6069</v>
      </c>
    </row>
    <row r="1246" spans="2:12">
      <c r="B1246" s="5" t="s">
        <v>5846</v>
      </c>
      <c r="C1246" s="26" t="s">
        <v>6070</v>
      </c>
      <c r="D1246" s="1347">
        <v>0</v>
      </c>
      <c r="E1246" s="1346">
        <v>0</v>
      </c>
      <c r="F1246" s="611" t="s">
        <v>5566</v>
      </c>
      <c r="G1246" s="1408">
        <v>1047</v>
      </c>
      <c r="H1246" s="1353">
        <f t="shared" si="288"/>
        <v>0</v>
      </c>
      <c r="I1246" s="1353">
        <f t="shared" si="289"/>
        <v>0</v>
      </c>
      <c r="K1246" s="1391">
        <v>1270</v>
      </c>
      <c r="L1246" s="1391" t="s">
        <v>6071</v>
      </c>
    </row>
    <row r="1247" spans="2:12">
      <c r="B1247" s="5" t="s">
        <v>5849</v>
      </c>
      <c r="C1247" s="26" t="s">
        <v>6072</v>
      </c>
      <c r="D1247" s="1347">
        <v>0</v>
      </c>
      <c r="E1247" s="1346">
        <v>0</v>
      </c>
      <c r="F1247" s="611" t="s">
        <v>5569</v>
      </c>
      <c r="G1247" s="1408">
        <v>1048</v>
      </c>
      <c r="H1247" s="1353">
        <f t="shared" si="288"/>
        <v>0</v>
      </c>
      <c r="I1247" s="1353">
        <f t="shared" si="289"/>
        <v>0</v>
      </c>
      <c r="K1247" s="1391">
        <v>1271</v>
      </c>
      <c r="L1247" s="1391" t="s">
        <v>6073</v>
      </c>
    </row>
    <row r="1248" spans="2:12">
      <c r="B1248" s="5" t="s">
        <v>4418</v>
      </c>
      <c r="C1248" s="26" t="s">
        <v>6074</v>
      </c>
      <c r="D1248" s="1347">
        <v>0</v>
      </c>
      <c r="E1248" s="1346">
        <v>0</v>
      </c>
      <c r="F1248" s="611" t="s">
        <v>5571</v>
      </c>
      <c r="G1248" s="1408">
        <v>1049</v>
      </c>
      <c r="H1248" s="1353">
        <f t="shared" si="288"/>
        <v>0</v>
      </c>
      <c r="I1248" s="1353">
        <f t="shared" si="289"/>
        <v>0</v>
      </c>
      <c r="K1248" s="1391">
        <v>1272</v>
      </c>
      <c r="L1248" s="1391" t="s">
        <v>6075</v>
      </c>
    </row>
    <row r="1249" spans="2:12">
      <c r="B1249" s="5" t="s">
        <v>5854</v>
      </c>
      <c r="C1249" s="26" t="s">
        <v>6076</v>
      </c>
      <c r="D1249" s="1347">
        <v>0</v>
      </c>
      <c r="E1249" s="1346">
        <v>0</v>
      </c>
      <c r="F1249" s="611" t="s">
        <v>5573</v>
      </c>
      <c r="G1249" s="1408">
        <v>1050</v>
      </c>
      <c r="H1249" s="1353">
        <f t="shared" si="288"/>
        <v>0</v>
      </c>
      <c r="I1249" s="1353">
        <f t="shared" si="289"/>
        <v>0</v>
      </c>
      <c r="K1249" s="1391">
        <v>1273</v>
      </c>
      <c r="L1249" s="1391" t="s">
        <v>6077</v>
      </c>
    </row>
    <row r="1250" spans="2:12">
      <c r="B1250" s="5" t="s">
        <v>36</v>
      </c>
      <c r="C1250" s="26" t="s">
        <v>6078</v>
      </c>
      <c r="D1250" s="1347">
        <v>0</v>
      </c>
      <c r="E1250" s="1346">
        <v>0</v>
      </c>
      <c r="F1250" s="611" t="s">
        <v>5575</v>
      </c>
      <c r="G1250" s="1408">
        <v>1051</v>
      </c>
      <c r="H1250" s="1353">
        <f t="shared" si="288"/>
        <v>0</v>
      </c>
      <c r="I1250" s="1353">
        <f t="shared" si="289"/>
        <v>0</v>
      </c>
      <c r="K1250" s="1391">
        <v>1274</v>
      </c>
      <c r="L1250" s="1391" t="s">
        <v>6079</v>
      </c>
    </row>
    <row r="1251" spans="2:12">
      <c r="B1251" s="5" t="s">
        <v>5859</v>
      </c>
      <c r="C1251" s="26" t="s">
        <v>6080</v>
      </c>
      <c r="D1251" s="1347">
        <v>0</v>
      </c>
      <c r="E1251" s="1346">
        <v>0</v>
      </c>
      <c r="F1251" s="611" t="s">
        <v>5577</v>
      </c>
      <c r="G1251" s="1408">
        <v>1052</v>
      </c>
      <c r="H1251" s="1353">
        <f t="shared" si="288"/>
        <v>0</v>
      </c>
      <c r="I1251" s="1353">
        <f t="shared" si="289"/>
        <v>0</v>
      </c>
      <c r="K1251" s="1391">
        <v>1275</v>
      </c>
      <c r="L1251" s="1391" t="s">
        <v>6081</v>
      </c>
    </row>
    <row r="1252" spans="2:12">
      <c r="B1252" s="5" t="s">
        <v>5862</v>
      </c>
      <c r="C1252" s="26" t="s">
        <v>6082</v>
      </c>
      <c r="D1252" s="1347">
        <v>0</v>
      </c>
      <c r="E1252" s="1346">
        <v>0</v>
      </c>
      <c r="F1252" s="611" t="s">
        <v>5579</v>
      </c>
      <c r="G1252" s="1408">
        <v>1053</v>
      </c>
      <c r="H1252" s="1353">
        <f t="shared" si="288"/>
        <v>0</v>
      </c>
      <c r="I1252" s="1353">
        <f t="shared" si="289"/>
        <v>0</v>
      </c>
      <c r="K1252" s="1391">
        <v>1276</v>
      </c>
      <c r="L1252" s="1391" t="s">
        <v>6083</v>
      </c>
    </row>
    <row r="1253" spans="2:12">
      <c r="B1253" s="5" t="s">
        <v>5865</v>
      </c>
      <c r="C1253" s="26" t="s">
        <v>6084</v>
      </c>
      <c r="D1253" s="1347">
        <v>0</v>
      </c>
      <c r="E1253" s="1346">
        <v>0</v>
      </c>
      <c r="F1253" s="611" t="s">
        <v>5581</v>
      </c>
      <c r="G1253" s="1408">
        <v>1054</v>
      </c>
      <c r="H1253" s="1353">
        <f t="shared" si="288"/>
        <v>0</v>
      </c>
      <c r="I1253" s="1353">
        <f t="shared" si="289"/>
        <v>0</v>
      </c>
      <c r="K1253" s="1391">
        <v>1277</v>
      </c>
      <c r="L1253" s="1391" t="s">
        <v>6085</v>
      </c>
    </row>
    <row r="1254" spans="2:12">
      <c r="B1254" s="5" t="s">
        <v>5868</v>
      </c>
      <c r="C1254" s="26" t="s">
        <v>6086</v>
      </c>
      <c r="D1254" s="1347">
        <v>0</v>
      </c>
      <c r="E1254" s="1346">
        <v>0</v>
      </c>
      <c r="F1254" s="611" t="s">
        <v>5583</v>
      </c>
      <c r="G1254" s="1408">
        <v>1055</v>
      </c>
      <c r="H1254" s="1353">
        <f t="shared" si="288"/>
        <v>0</v>
      </c>
      <c r="I1254" s="1353">
        <f t="shared" si="289"/>
        <v>0</v>
      </c>
      <c r="K1254" s="1391">
        <v>1278</v>
      </c>
      <c r="L1254" s="1391" t="s">
        <v>6087</v>
      </c>
    </row>
    <row r="1255" spans="2:12">
      <c r="B1255" s="5" t="s">
        <v>5871</v>
      </c>
      <c r="C1255" s="26" t="s">
        <v>6088</v>
      </c>
      <c r="D1255" s="1347">
        <v>0</v>
      </c>
      <c r="E1255" s="1346">
        <v>0</v>
      </c>
      <c r="F1255" s="611" t="s">
        <v>5585</v>
      </c>
      <c r="G1255" s="1408">
        <v>1056</v>
      </c>
      <c r="H1255" s="1353">
        <f t="shared" si="288"/>
        <v>0</v>
      </c>
      <c r="I1255" s="1353">
        <f t="shared" si="289"/>
        <v>0</v>
      </c>
      <c r="K1255" s="1391">
        <v>1279</v>
      </c>
      <c r="L1255" s="1391" t="s">
        <v>6089</v>
      </c>
    </row>
    <row r="1256" spans="2:12">
      <c r="B1256" s="5" t="s">
        <v>5874</v>
      </c>
      <c r="C1256" s="26" t="s">
        <v>6090</v>
      </c>
      <c r="D1256" s="1347">
        <v>0</v>
      </c>
      <c r="E1256" s="1346">
        <v>0</v>
      </c>
      <c r="F1256" s="611" t="s">
        <v>5586</v>
      </c>
      <c r="G1256" s="1408">
        <v>1057</v>
      </c>
      <c r="H1256" s="1353">
        <f t="shared" si="288"/>
        <v>0</v>
      </c>
      <c r="I1256" s="1353">
        <f t="shared" si="289"/>
        <v>0</v>
      </c>
      <c r="K1256" s="1391">
        <v>1280</v>
      </c>
      <c r="L1256" s="1391" t="s">
        <v>6091</v>
      </c>
    </row>
    <row r="1257" spans="2:12">
      <c r="B1257" s="5" t="s">
        <v>5877</v>
      </c>
      <c r="C1257" s="26" t="s">
        <v>6092</v>
      </c>
      <c r="D1257" s="1347">
        <v>0</v>
      </c>
      <c r="E1257" s="1346">
        <v>0</v>
      </c>
      <c r="F1257" s="611" t="s">
        <v>5587</v>
      </c>
      <c r="G1257" s="1408">
        <v>1058</v>
      </c>
      <c r="H1257" s="1353">
        <f t="shared" si="288"/>
        <v>0</v>
      </c>
      <c r="I1257" s="1353">
        <f t="shared" si="289"/>
        <v>0</v>
      </c>
      <c r="K1257" s="1391">
        <v>1281</v>
      </c>
      <c r="L1257" s="1391" t="s">
        <v>6093</v>
      </c>
    </row>
    <row r="1258" spans="2:12">
      <c r="B1258" s="5" t="s">
        <v>5880</v>
      </c>
      <c r="C1258" s="26" t="s">
        <v>6094</v>
      </c>
      <c r="D1258" s="1347">
        <v>0</v>
      </c>
      <c r="E1258" s="1346">
        <v>0</v>
      </c>
      <c r="F1258" s="611" t="s">
        <v>5588</v>
      </c>
      <c r="G1258" s="1408">
        <v>1059</v>
      </c>
      <c r="H1258" s="1353">
        <f t="shared" si="288"/>
        <v>0</v>
      </c>
      <c r="I1258" s="1353">
        <f t="shared" si="289"/>
        <v>0</v>
      </c>
      <c r="K1258" s="1391">
        <v>1282</v>
      </c>
      <c r="L1258" s="1391" t="s">
        <v>6095</v>
      </c>
    </row>
    <row r="1259" spans="2:12">
      <c r="B1259" s="5" t="s">
        <v>5883</v>
      </c>
      <c r="C1259" s="26" t="s">
        <v>6096</v>
      </c>
      <c r="D1259" s="1347">
        <v>0</v>
      </c>
      <c r="E1259" s="1346">
        <v>0</v>
      </c>
      <c r="F1259" s="611" t="s">
        <v>5589</v>
      </c>
      <c r="G1259" s="1408">
        <v>1060</v>
      </c>
      <c r="H1259" s="1353">
        <f t="shared" si="288"/>
        <v>0</v>
      </c>
      <c r="I1259" s="1353">
        <f t="shared" si="289"/>
        <v>0</v>
      </c>
      <c r="K1259" s="1391">
        <v>1283</v>
      </c>
      <c r="L1259" s="1391" t="s">
        <v>6097</v>
      </c>
    </row>
    <row r="1260" spans="2:12">
      <c r="B1260" s="5" t="s">
        <v>5886</v>
      </c>
      <c r="C1260" s="26" t="s">
        <v>6098</v>
      </c>
      <c r="D1260" s="1347">
        <v>0</v>
      </c>
      <c r="E1260" s="1346">
        <v>0</v>
      </c>
      <c r="F1260" s="611" t="s">
        <v>5593</v>
      </c>
      <c r="G1260" s="1408">
        <v>1061</v>
      </c>
      <c r="H1260" s="1353">
        <f t="shared" si="288"/>
        <v>0</v>
      </c>
      <c r="I1260" s="1353">
        <f t="shared" si="289"/>
        <v>0</v>
      </c>
      <c r="K1260" s="1391">
        <v>1284</v>
      </c>
      <c r="L1260" s="1391" t="s">
        <v>6099</v>
      </c>
    </row>
    <row r="1261" spans="2:12">
      <c r="B1261" s="5" t="s">
        <v>5889</v>
      </c>
      <c r="C1261" s="26" t="s">
        <v>6100</v>
      </c>
      <c r="D1261" s="1347">
        <v>0</v>
      </c>
      <c r="E1261" s="1346">
        <v>0</v>
      </c>
      <c r="F1261" s="611" t="s">
        <v>5595</v>
      </c>
      <c r="G1261" s="1408">
        <v>1062</v>
      </c>
      <c r="H1261" s="1353">
        <f t="shared" si="288"/>
        <v>0</v>
      </c>
      <c r="I1261" s="1353">
        <f t="shared" si="289"/>
        <v>0</v>
      </c>
      <c r="K1261" s="1391">
        <v>1285</v>
      </c>
      <c r="L1261" s="1391" t="s">
        <v>6101</v>
      </c>
    </row>
    <row r="1262" spans="2:12">
      <c r="B1262" s="5" t="s">
        <v>5892</v>
      </c>
      <c r="C1262" s="26" t="s">
        <v>6102</v>
      </c>
      <c r="D1262" s="1347">
        <v>0</v>
      </c>
      <c r="E1262" s="1346">
        <v>0</v>
      </c>
      <c r="F1262" s="611" t="s">
        <v>5598</v>
      </c>
      <c r="G1262" s="1408">
        <v>1063</v>
      </c>
      <c r="H1262" s="1353">
        <f t="shared" si="288"/>
        <v>0</v>
      </c>
      <c r="I1262" s="1353">
        <f t="shared" si="289"/>
        <v>0</v>
      </c>
      <c r="K1262" s="1391">
        <v>1286</v>
      </c>
      <c r="L1262" s="1391" t="s">
        <v>6103</v>
      </c>
    </row>
    <row r="1263" spans="2:12">
      <c r="B1263" s="5" t="s">
        <v>5895</v>
      </c>
      <c r="C1263" s="26" t="s">
        <v>6104</v>
      </c>
      <c r="D1263" s="1347">
        <v>0</v>
      </c>
      <c r="E1263" s="1346">
        <v>0</v>
      </c>
      <c r="F1263" s="611" t="s">
        <v>5600</v>
      </c>
      <c r="G1263" s="1408">
        <v>1064</v>
      </c>
      <c r="H1263" s="1353">
        <f t="shared" si="288"/>
        <v>0</v>
      </c>
      <c r="I1263" s="1353">
        <f t="shared" si="289"/>
        <v>0</v>
      </c>
      <c r="K1263" s="1391">
        <v>1287</v>
      </c>
      <c r="L1263" s="1391" t="s">
        <v>6105</v>
      </c>
    </row>
    <row r="1264" spans="2:12">
      <c r="B1264" s="5" t="s">
        <v>5898</v>
      </c>
      <c r="C1264" s="26" t="s">
        <v>6106</v>
      </c>
      <c r="D1264" s="1347">
        <v>0</v>
      </c>
      <c r="E1264" s="1346">
        <v>0</v>
      </c>
      <c r="F1264" s="611" t="s">
        <v>5602</v>
      </c>
      <c r="G1264" s="1408">
        <v>1065</v>
      </c>
      <c r="H1264" s="1353">
        <f t="shared" si="288"/>
        <v>0</v>
      </c>
      <c r="I1264" s="1353">
        <f t="shared" si="289"/>
        <v>0</v>
      </c>
      <c r="K1264" s="1391">
        <v>1288</v>
      </c>
      <c r="L1264" s="1391" t="s">
        <v>6107</v>
      </c>
    </row>
    <row r="1265" spans="2:12">
      <c r="B1265" s="5" t="s">
        <v>5901</v>
      </c>
      <c r="C1265" s="26" t="s">
        <v>6108</v>
      </c>
      <c r="D1265" s="1347">
        <v>0</v>
      </c>
      <c r="E1265" s="1346">
        <v>0</v>
      </c>
      <c r="F1265" s="611" t="s">
        <v>5608</v>
      </c>
      <c r="G1265" s="1408">
        <v>1067</v>
      </c>
      <c r="H1265" s="1353">
        <f t="shared" ref="H1265:I1271" si="290">M1043</f>
        <v>0</v>
      </c>
      <c r="I1265" s="1353">
        <f t="shared" si="290"/>
        <v>0</v>
      </c>
      <c r="K1265" s="1391">
        <v>1289</v>
      </c>
      <c r="L1265" s="1391" t="s">
        <v>6109</v>
      </c>
    </row>
    <row r="1266" spans="2:12">
      <c r="B1266" s="5" t="s">
        <v>5904</v>
      </c>
      <c r="C1266" s="26" t="s">
        <v>6110</v>
      </c>
      <c r="D1266" s="1347">
        <v>0</v>
      </c>
      <c r="E1266" s="1346">
        <v>0</v>
      </c>
      <c r="F1266" s="611" t="s">
        <v>5612</v>
      </c>
      <c r="G1266" s="1408">
        <v>1068</v>
      </c>
      <c r="H1266" s="1353">
        <f t="shared" si="290"/>
        <v>0</v>
      </c>
      <c r="I1266" s="1353">
        <f t="shared" si="290"/>
        <v>0</v>
      </c>
      <c r="K1266" s="1391">
        <v>1290</v>
      </c>
      <c r="L1266" s="1391" t="s">
        <v>6111</v>
      </c>
    </row>
    <row r="1267" spans="2:12">
      <c r="B1267" s="5" t="s">
        <v>5907</v>
      </c>
      <c r="C1267" s="26" t="s">
        <v>6112</v>
      </c>
      <c r="D1267" s="1347">
        <v>0</v>
      </c>
      <c r="E1267" s="1346">
        <v>0</v>
      </c>
      <c r="F1267" s="611" t="s">
        <v>5616</v>
      </c>
      <c r="G1267" s="1408">
        <v>1069</v>
      </c>
      <c r="H1267" s="1353">
        <f t="shared" si="290"/>
        <v>0</v>
      </c>
      <c r="I1267" s="1353">
        <f t="shared" si="290"/>
        <v>0</v>
      </c>
      <c r="K1267" s="1391">
        <v>1291</v>
      </c>
      <c r="L1267" s="1391" t="s">
        <v>6113</v>
      </c>
    </row>
    <row r="1268" spans="2:12">
      <c r="B1268" s="5" t="s">
        <v>5909</v>
      </c>
      <c r="C1268" s="26" t="s">
        <v>6114</v>
      </c>
      <c r="D1268" s="1347">
        <v>0</v>
      </c>
      <c r="E1268" s="1346">
        <v>0</v>
      </c>
      <c r="F1268" s="611" t="s">
        <v>5620</v>
      </c>
      <c r="G1268" s="1408">
        <v>1070</v>
      </c>
      <c r="H1268" s="1353">
        <f t="shared" si="290"/>
        <v>0</v>
      </c>
      <c r="I1268" s="1353">
        <f t="shared" si="290"/>
        <v>0</v>
      </c>
      <c r="K1268" s="1391">
        <v>1292</v>
      </c>
      <c r="L1268" s="1391" t="s">
        <v>6115</v>
      </c>
    </row>
    <row r="1269" spans="2:12">
      <c r="B1269" s="5" t="s">
        <v>5911</v>
      </c>
      <c r="C1269" s="26" t="s">
        <v>6116</v>
      </c>
      <c r="D1269" s="1347">
        <v>0</v>
      </c>
      <c r="E1269" s="1346">
        <v>0</v>
      </c>
      <c r="F1269" s="611" t="s">
        <v>5624</v>
      </c>
      <c r="G1269" s="1408">
        <v>1071</v>
      </c>
      <c r="H1269" s="1353">
        <f t="shared" si="290"/>
        <v>0</v>
      </c>
      <c r="I1269" s="1353">
        <f t="shared" si="290"/>
        <v>0</v>
      </c>
      <c r="K1269" s="1391">
        <v>1293</v>
      </c>
      <c r="L1269" s="1391" t="s">
        <v>6117</v>
      </c>
    </row>
    <row r="1270" spans="2:12">
      <c r="B1270" s="5" t="s">
        <v>5914</v>
      </c>
      <c r="C1270" s="26" t="s">
        <v>6118</v>
      </c>
      <c r="D1270" s="1347">
        <v>0</v>
      </c>
      <c r="E1270" s="1346">
        <v>0</v>
      </c>
      <c r="F1270" s="611" t="s">
        <v>5627</v>
      </c>
      <c r="G1270" s="1408">
        <v>1072</v>
      </c>
      <c r="H1270" s="1353">
        <f t="shared" si="290"/>
        <v>0</v>
      </c>
      <c r="I1270" s="1353">
        <f t="shared" si="290"/>
        <v>0</v>
      </c>
      <c r="K1270" s="1391">
        <v>1294</v>
      </c>
      <c r="L1270" s="1391" t="s">
        <v>6119</v>
      </c>
    </row>
    <row r="1271" spans="2:12">
      <c r="B1271" s="5" t="s">
        <v>5917</v>
      </c>
      <c r="C1271" s="26" t="s">
        <v>6120</v>
      </c>
      <c r="D1271" s="1347">
        <v>0</v>
      </c>
      <c r="E1271" s="1346">
        <v>0</v>
      </c>
      <c r="F1271" s="611" t="s">
        <v>5630</v>
      </c>
      <c r="G1271" s="1408">
        <v>1073</v>
      </c>
      <c r="H1271" s="1353">
        <f t="shared" si="290"/>
        <v>0</v>
      </c>
      <c r="I1271" s="1353">
        <f t="shared" si="290"/>
        <v>0</v>
      </c>
      <c r="K1271" s="1391">
        <v>1295</v>
      </c>
      <c r="L1271" s="1391" t="s">
        <v>6121</v>
      </c>
    </row>
    <row r="1272" spans="2:12">
      <c r="B1272" s="5" t="s">
        <v>5920</v>
      </c>
      <c r="C1272" s="26" t="s">
        <v>6122</v>
      </c>
      <c r="D1272" s="1347">
        <v>0</v>
      </c>
      <c r="E1272" s="1346">
        <v>0</v>
      </c>
      <c r="F1272" s="611" t="s">
        <v>5635</v>
      </c>
      <c r="G1272" s="1408">
        <v>1075</v>
      </c>
      <c r="H1272" s="1353">
        <f t="shared" ref="H1272:I1277" si="291">M1051</f>
        <v>0</v>
      </c>
      <c r="I1272" s="1353">
        <f t="shared" si="291"/>
        <v>0</v>
      </c>
      <c r="K1272" s="1391">
        <v>1296</v>
      </c>
      <c r="L1272" s="1391" t="s">
        <v>6123</v>
      </c>
    </row>
    <row r="1273" spans="2:12">
      <c r="B1273" s="5" t="s">
        <v>5923</v>
      </c>
      <c r="C1273" s="26" t="s">
        <v>6124</v>
      </c>
      <c r="D1273" s="1347">
        <v>0</v>
      </c>
      <c r="E1273" s="1346">
        <v>0</v>
      </c>
      <c r="F1273" s="611" t="s">
        <v>5637</v>
      </c>
      <c r="G1273" s="1408">
        <v>1076</v>
      </c>
      <c r="H1273" s="1353">
        <f t="shared" si="291"/>
        <v>0</v>
      </c>
      <c r="I1273" s="1353">
        <f t="shared" si="291"/>
        <v>0</v>
      </c>
      <c r="K1273" s="1391">
        <v>1297</v>
      </c>
      <c r="L1273" s="1391" t="s">
        <v>6125</v>
      </c>
    </row>
    <row r="1274" spans="2:12">
      <c r="B1274" s="5" t="s">
        <v>5926</v>
      </c>
      <c r="C1274" s="26" t="s">
        <v>6126</v>
      </c>
      <c r="D1274" s="1347">
        <v>0</v>
      </c>
      <c r="E1274" s="1346">
        <v>0</v>
      </c>
      <c r="F1274" s="611" t="s">
        <v>5639</v>
      </c>
      <c r="G1274" s="1408">
        <v>1077</v>
      </c>
      <c r="H1274" s="1353">
        <f t="shared" si="291"/>
        <v>0</v>
      </c>
      <c r="I1274" s="1353">
        <f t="shared" si="291"/>
        <v>0</v>
      </c>
      <c r="K1274" s="1391">
        <v>1298</v>
      </c>
      <c r="L1274" s="1391" t="s">
        <v>6127</v>
      </c>
    </row>
    <row r="1275" spans="2:12">
      <c r="B1275" s="5" t="s">
        <v>5929</v>
      </c>
      <c r="C1275" s="26" t="s">
        <v>6128</v>
      </c>
      <c r="D1275" s="1347">
        <v>0</v>
      </c>
      <c r="E1275" s="1346">
        <v>0</v>
      </c>
      <c r="F1275" s="611" t="s">
        <v>5641</v>
      </c>
      <c r="G1275" s="1408">
        <v>1078</v>
      </c>
      <c r="H1275" s="1353">
        <f t="shared" si="291"/>
        <v>0</v>
      </c>
      <c r="I1275" s="1353">
        <f t="shared" si="291"/>
        <v>0</v>
      </c>
      <c r="K1275" s="1391">
        <v>1299</v>
      </c>
      <c r="L1275" s="1391" t="s">
        <v>6129</v>
      </c>
    </row>
    <row r="1276" spans="2:12">
      <c r="B1276" s="5" t="s">
        <v>5932</v>
      </c>
      <c r="C1276" s="26" t="s">
        <v>6130</v>
      </c>
      <c r="D1276" s="1347">
        <v>0</v>
      </c>
      <c r="E1276" s="1346">
        <v>0</v>
      </c>
      <c r="F1276" s="611" t="s">
        <v>5643</v>
      </c>
      <c r="G1276" s="1408">
        <v>1079</v>
      </c>
      <c r="H1276" s="1353">
        <f t="shared" si="291"/>
        <v>0</v>
      </c>
      <c r="I1276" s="1353">
        <f t="shared" si="291"/>
        <v>0</v>
      </c>
      <c r="K1276" s="1391">
        <v>1300</v>
      </c>
      <c r="L1276" s="1391" t="s">
        <v>6131</v>
      </c>
    </row>
    <row r="1277" spans="2:12">
      <c r="B1277" s="5" t="s">
        <v>5935</v>
      </c>
      <c r="C1277" s="26" t="s">
        <v>6132</v>
      </c>
      <c r="D1277" s="1347">
        <v>0</v>
      </c>
      <c r="E1277" s="1346">
        <v>0</v>
      </c>
      <c r="F1277" s="611" t="s">
        <v>5646</v>
      </c>
      <c r="G1277" s="1408">
        <v>1080</v>
      </c>
      <c r="H1277" s="1353">
        <f t="shared" si="291"/>
        <v>0</v>
      </c>
      <c r="I1277" s="1353">
        <f t="shared" si="291"/>
        <v>0</v>
      </c>
      <c r="K1277" s="1391">
        <v>1301</v>
      </c>
      <c r="L1277" s="1391" t="s">
        <v>6133</v>
      </c>
    </row>
    <row r="1278" spans="2:12">
      <c r="B1278" s="5" t="s">
        <v>5938</v>
      </c>
      <c r="C1278" s="26" t="s">
        <v>6134</v>
      </c>
      <c r="D1278" s="1347">
        <v>0</v>
      </c>
      <c r="E1278" s="1346">
        <v>0</v>
      </c>
      <c r="F1278" s="611" t="s">
        <v>5659</v>
      </c>
      <c r="G1278" s="1408">
        <v>1087</v>
      </c>
      <c r="H1278" s="1353">
        <f>M1063</f>
        <v>0</v>
      </c>
      <c r="I1278" s="1353">
        <f>N1063</f>
        <v>0</v>
      </c>
      <c r="K1278" s="1391">
        <v>1302</v>
      </c>
      <c r="L1278" s="1391" t="s">
        <v>6135</v>
      </c>
    </row>
    <row r="1279" spans="2:12">
      <c r="B1279" s="5" t="s">
        <v>5813</v>
      </c>
      <c r="C1279" s="26" t="s">
        <v>6136</v>
      </c>
      <c r="D1279" s="1347">
        <v>10186</v>
      </c>
      <c r="E1279" s="1346">
        <v>40084</v>
      </c>
      <c r="F1279" s="611" t="s">
        <v>5667</v>
      </c>
      <c r="G1279" s="1408">
        <v>1093</v>
      </c>
      <c r="H1279" s="1353">
        <f t="shared" ref="H1279:H1287" si="292">M1069</f>
        <v>0</v>
      </c>
      <c r="I1279" s="1353">
        <f t="shared" ref="I1279:I1287" si="293">N1069</f>
        <v>0</v>
      </c>
      <c r="K1279" s="1391">
        <v>1303</v>
      </c>
      <c r="L1279" s="1391" t="s">
        <v>6137</v>
      </c>
    </row>
    <row r="1280" spans="2:12">
      <c r="B1280" s="5" t="s">
        <v>5816</v>
      </c>
      <c r="C1280" s="26" t="s">
        <v>6138</v>
      </c>
      <c r="D1280" s="1347">
        <v>14436</v>
      </c>
      <c r="E1280" s="1346">
        <v>44884</v>
      </c>
      <c r="F1280" s="611" t="s">
        <v>5668</v>
      </c>
      <c r="G1280" s="1408">
        <v>1094</v>
      </c>
      <c r="H1280" s="1353">
        <f t="shared" si="292"/>
        <v>0</v>
      </c>
      <c r="I1280" s="1353">
        <f t="shared" si="293"/>
        <v>0</v>
      </c>
      <c r="K1280" s="1391">
        <v>1305</v>
      </c>
      <c r="L1280" s="1391" t="s">
        <v>6139</v>
      </c>
    </row>
    <row r="1281" spans="2:12">
      <c r="B1281" s="5" t="s">
        <v>5819</v>
      </c>
      <c r="C1281" s="26" t="s">
        <v>6140</v>
      </c>
      <c r="D1281" s="1347">
        <v>13853</v>
      </c>
      <c r="E1281" s="1346">
        <v>53609</v>
      </c>
      <c r="F1281" s="611" t="s">
        <v>5669</v>
      </c>
      <c r="G1281" s="1408">
        <v>1095</v>
      </c>
      <c r="H1281" s="1353">
        <f t="shared" si="292"/>
        <v>0</v>
      </c>
      <c r="I1281" s="1353">
        <f t="shared" si="293"/>
        <v>0</v>
      </c>
      <c r="K1281" s="1391">
        <v>1306</v>
      </c>
      <c r="L1281" s="1391" t="s">
        <v>6141</v>
      </c>
    </row>
    <row r="1282" spans="2:12">
      <c r="B1282" s="5" t="s">
        <v>5822</v>
      </c>
      <c r="C1282" s="26" t="s">
        <v>6142</v>
      </c>
      <c r="D1282" s="1347">
        <v>13426</v>
      </c>
      <c r="E1282" s="1346">
        <v>45597</v>
      </c>
      <c r="F1282" s="611" t="s">
        <v>5671</v>
      </c>
      <c r="G1282" s="1408">
        <v>1096</v>
      </c>
      <c r="H1282" s="1353">
        <f t="shared" si="292"/>
        <v>0</v>
      </c>
      <c r="I1282" s="1353">
        <f t="shared" si="293"/>
        <v>0</v>
      </c>
      <c r="K1282" s="1391">
        <v>1307</v>
      </c>
      <c r="L1282" s="1391" t="s">
        <v>6143</v>
      </c>
    </row>
    <row r="1283" spans="2:12">
      <c r="B1283" s="5" t="s">
        <v>5825</v>
      </c>
      <c r="C1283" s="26" t="s">
        <v>6144</v>
      </c>
      <c r="D1283" s="1347">
        <v>8924</v>
      </c>
      <c r="E1283" s="1346">
        <v>33105</v>
      </c>
      <c r="F1283" s="611" t="s">
        <v>5673</v>
      </c>
      <c r="G1283" s="1408">
        <v>1097</v>
      </c>
      <c r="H1283" s="1353">
        <f t="shared" si="292"/>
        <v>0</v>
      </c>
      <c r="I1283" s="1353">
        <f t="shared" si="293"/>
        <v>0</v>
      </c>
      <c r="K1283" s="1391">
        <v>1308</v>
      </c>
      <c r="L1283" s="1391" t="s">
        <v>6145</v>
      </c>
    </row>
    <row r="1284" spans="2:12">
      <c r="B1284" s="5" t="s">
        <v>5828</v>
      </c>
      <c r="C1284" s="26" t="s">
        <v>6146</v>
      </c>
      <c r="D1284" s="1347">
        <v>0</v>
      </c>
      <c r="E1284" s="1346">
        <v>0</v>
      </c>
      <c r="F1284" s="611" t="s">
        <v>5675</v>
      </c>
      <c r="G1284" s="1408">
        <v>1098</v>
      </c>
      <c r="H1284" s="1353">
        <f t="shared" si="292"/>
        <v>0</v>
      </c>
      <c r="I1284" s="1353">
        <f t="shared" si="293"/>
        <v>0</v>
      </c>
      <c r="K1284" s="1391">
        <v>1309</v>
      </c>
      <c r="L1284" s="1391" t="s">
        <v>6147</v>
      </c>
    </row>
    <row r="1285" spans="2:12">
      <c r="B1285" s="5" t="s">
        <v>5831</v>
      </c>
      <c r="C1285" s="26" t="s">
        <v>6148</v>
      </c>
      <c r="D1285" s="1347">
        <v>3567</v>
      </c>
      <c r="E1285" s="1346">
        <v>14907</v>
      </c>
      <c r="F1285" s="611" t="s">
        <v>5677</v>
      </c>
      <c r="G1285" s="1408">
        <v>1099</v>
      </c>
      <c r="H1285" s="1353">
        <f t="shared" si="292"/>
        <v>0</v>
      </c>
      <c r="I1285" s="1353">
        <f t="shared" si="293"/>
        <v>0</v>
      </c>
      <c r="K1285" s="1391">
        <v>1310</v>
      </c>
      <c r="L1285" s="1391" t="s">
        <v>6149</v>
      </c>
    </row>
    <row r="1286" spans="2:12">
      <c r="B1286" s="5" t="s">
        <v>5834</v>
      </c>
      <c r="C1286" s="26" t="s">
        <v>6150</v>
      </c>
      <c r="D1286" s="1347">
        <v>11035</v>
      </c>
      <c r="E1286" s="1346">
        <v>37869</v>
      </c>
      <c r="F1286" s="611" t="s">
        <v>5679</v>
      </c>
      <c r="G1286" s="1408">
        <v>1100</v>
      </c>
      <c r="H1286" s="1353">
        <f t="shared" si="292"/>
        <v>0</v>
      </c>
      <c r="I1286" s="1353">
        <f t="shared" si="293"/>
        <v>0</v>
      </c>
      <c r="K1286" s="1391">
        <v>1311</v>
      </c>
      <c r="L1286" s="1391" t="s">
        <v>6151</v>
      </c>
    </row>
    <row r="1287" spans="2:12">
      <c r="B1287" s="5" t="s">
        <v>5837</v>
      </c>
      <c r="C1287" s="26" t="s">
        <v>6152</v>
      </c>
      <c r="D1287" s="1347">
        <v>0</v>
      </c>
      <c r="E1287" s="1346">
        <v>0</v>
      </c>
      <c r="F1287" s="611" t="s">
        <v>5681</v>
      </c>
      <c r="G1287" s="1408">
        <v>1101</v>
      </c>
      <c r="H1287" s="1353">
        <f t="shared" si="292"/>
        <v>0</v>
      </c>
      <c r="I1287" s="1353">
        <f t="shared" si="293"/>
        <v>0</v>
      </c>
      <c r="K1287" s="1391">
        <v>1312</v>
      </c>
      <c r="L1287" s="1391" t="s">
        <v>6153</v>
      </c>
    </row>
    <row r="1288" spans="2:12">
      <c r="B1288" s="5" t="s">
        <v>5840</v>
      </c>
      <c r="C1288" s="26" t="s">
        <v>6154</v>
      </c>
      <c r="D1288" s="1347">
        <v>5710</v>
      </c>
      <c r="E1288" s="1346">
        <v>-3112</v>
      </c>
      <c r="F1288" s="611" t="s">
        <v>5685</v>
      </c>
      <c r="G1288" s="1408">
        <v>1103</v>
      </c>
      <c r="H1288" s="1353">
        <f t="shared" ref="H1288:H1306" si="294">M1079</f>
        <v>0</v>
      </c>
      <c r="I1288" s="1353">
        <f t="shared" ref="I1288:I1306" si="295">N1079</f>
        <v>0</v>
      </c>
      <c r="K1288" s="1391">
        <v>1313</v>
      </c>
      <c r="L1288" s="1391" t="s">
        <v>6155</v>
      </c>
    </row>
    <row r="1289" spans="2:12">
      <c r="B1289" s="5" t="s">
        <v>5843</v>
      </c>
      <c r="C1289" s="26" t="s">
        <v>6156</v>
      </c>
      <c r="D1289" s="1347">
        <v>511</v>
      </c>
      <c r="E1289" s="1346">
        <v>3404</v>
      </c>
      <c r="F1289" s="611" t="s">
        <v>5687</v>
      </c>
      <c r="G1289" s="1408">
        <v>1104</v>
      </c>
      <c r="H1289" s="1353">
        <f t="shared" si="294"/>
        <v>0</v>
      </c>
      <c r="I1289" s="1353">
        <f t="shared" si="295"/>
        <v>0</v>
      </c>
      <c r="K1289" s="1391">
        <v>1314</v>
      </c>
      <c r="L1289" s="1391" t="s">
        <v>6157</v>
      </c>
    </row>
    <row r="1290" spans="2:12">
      <c r="B1290" s="5" t="s">
        <v>5846</v>
      </c>
      <c r="C1290" s="26" t="s">
        <v>6158</v>
      </c>
      <c r="D1290" s="1347">
        <v>3749</v>
      </c>
      <c r="E1290" s="1346">
        <v>15476</v>
      </c>
      <c r="F1290" s="611" t="s">
        <v>5689</v>
      </c>
      <c r="G1290" s="1408">
        <v>1105</v>
      </c>
      <c r="H1290" s="1353">
        <f t="shared" si="294"/>
        <v>0</v>
      </c>
      <c r="I1290" s="1353">
        <f t="shared" si="295"/>
        <v>0</v>
      </c>
      <c r="K1290" s="1391">
        <v>1315</v>
      </c>
      <c r="L1290" s="1391" t="s">
        <v>6159</v>
      </c>
    </row>
    <row r="1291" spans="2:12">
      <c r="B1291" s="5" t="s">
        <v>5849</v>
      </c>
      <c r="C1291" s="26" t="s">
        <v>6160</v>
      </c>
      <c r="D1291" s="1347">
        <v>0</v>
      </c>
      <c r="E1291" s="1346">
        <v>0</v>
      </c>
      <c r="F1291" s="611" t="s">
        <v>5691</v>
      </c>
      <c r="G1291" s="1408">
        <v>1106</v>
      </c>
      <c r="H1291" s="1353">
        <f t="shared" si="294"/>
        <v>0</v>
      </c>
      <c r="I1291" s="1353">
        <f t="shared" si="295"/>
        <v>0</v>
      </c>
      <c r="K1291" s="1391">
        <v>1316</v>
      </c>
      <c r="L1291" s="1391" t="s">
        <v>6161</v>
      </c>
    </row>
    <row r="1292" spans="2:12">
      <c r="B1292" s="5" t="s">
        <v>4418</v>
      </c>
      <c r="C1292" s="26" t="s">
        <v>6162</v>
      </c>
      <c r="D1292" s="1347">
        <v>796</v>
      </c>
      <c r="E1292" s="1346">
        <v>3387</v>
      </c>
      <c r="F1292" s="611" t="s">
        <v>5693</v>
      </c>
      <c r="G1292" s="1408">
        <v>1107</v>
      </c>
      <c r="H1292" s="1353">
        <f t="shared" si="294"/>
        <v>0</v>
      </c>
      <c r="I1292" s="1353">
        <f t="shared" si="295"/>
        <v>0</v>
      </c>
      <c r="K1292" s="1391">
        <v>1317</v>
      </c>
      <c r="L1292" s="1391" t="s">
        <v>6163</v>
      </c>
    </row>
    <row r="1293" spans="2:12">
      <c r="B1293" s="5" t="s">
        <v>5854</v>
      </c>
      <c r="C1293" s="26" t="s">
        <v>6164</v>
      </c>
      <c r="D1293" s="1347">
        <v>0</v>
      </c>
      <c r="E1293" s="1346">
        <v>0</v>
      </c>
      <c r="F1293" s="611" t="s">
        <v>5695</v>
      </c>
      <c r="G1293" s="1408">
        <v>1108</v>
      </c>
      <c r="H1293" s="1353">
        <f t="shared" si="294"/>
        <v>0</v>
      </c>
      <c r="I1293" s="1353">
        <f t="shared" si="295"/>
        <v>0</v>
      </c>
      <c r="K1293" s="1391">
        <v>1318</v>
      </c>
      <c r="L1293" s="1391" t="s">
        <v>6165</v>
      </c>
    </row>
    <row r="1294" spans="2:12">
      <c r="B1294" s="5" t="s">
        <v>36</v>
      </c>
      <c r="C1294" s="26" t="s">
        <v>6166</v>
      </c>
      <c r="D1294" s="1347">
        <v>150</v>
      </c>
      <c r="E1294" s="1346">
        <v>150</v>
      </c>
      <c r="F1294" s="611" t="s">
        <v>5697</v>
      </c>
      <c r="G1294" s="1408">
        <v>1109</v>
      </c>
      <c r="H1294" s="1353">
        <f t="shared" si="294"/>
        <v>0</v>
      </c>
      <c r="I1294" s="1353">
        <f t="shared" si="295"/>
        <v>0</v>
      </c>
      <c r="K1294" s="1391">
        <v>1319</v>
      </c>
      <c r="L1294" s="1391" t="s">
        <v>6167</v>
      </c>
    </row>
    <row r="1295" spans="2:12">
      <c r="B1295" s="5" t="s">
        <v>6168</v>
      </c>
      <c r="C1295" s="26" t="s">
        <v>6169</v>
      </c>
      <c r="D1295" s="1347">
        <v>524</v>
      </c>
      <c r="E1295" s="1346">
        <v>8005</v>
      </c>
      <c r="F1295" s="611" t="s">
        <v>5699</v>
      </c>
      <c r="G1295" s="1408">
        <v>1110</v>
      </c>
      <c r="H1295" s="1353">
        <f t="shared" si="294"/>
        <v>0</v>
      </c>
      <c r="I1295" s="1353">
        <f t="shared" si="295"/>
        <v>0</v>
      </c>
      <c r="K1295" s="1391">
        <v>1320</v>
      </c>
      <c r="L1295" s="1391" t="s">
        <v>6170</v>
      </c>
    </row>
    <row r="1296" spans="2:12">
      <c r="B1296" s="5" t="s">
        <v>5859</v>
      </c>
      <c r="C1296" s="26" t="s">
        <v>6171</v>
      </c>
      <c r="D1296" s="1347">
        <v>5090</v>
      </c>
      <c r="E1296" s="1346">
        <v>18252</v>
      </c>
      <c r="F1296" s="611" t="s">
        <v>5701</v>
      </c>
      <c r="G1296" s="1408">
        <v>1111</v>
      </c>
      <c r="H1296" s="1353">
        <f t="shared" si="294"/>
        <v>0</v>
      </c>
      <c r="I1296" s="1353">
        <f t="shared" si="295"/>
        <v>0</v>
      </c>
      <c r="K1296" s="1391">
        <v>1321</v>
      </c>
      <c r="L1296" s="1391" t="s">
        <v>6172</v>
      </c>
    </row>
    <row r="1297" spans="2:12">
      <c r="B1297" s="5" t="s">
        <v>5862</v>
      </c>
      <c r="C1297" s="26" t="s">
        <v>6173</v>
      </c>
      <c r="D1297" s="1347">
        <v>1616</v>
      </c>
      <c r="E1297" s="1346">
        <v>10742</v>
      </c>
      <c r="F1297" s="611" t="s">
        <v>5703</v>
      </c>
      <c r="G1297" s="1408">
        <v>1112</v>
      </c>
      <c r="H1297" s="1353">
        <f t="shared" si="294"/>
        <v>0</v>
      </c>
      <c r="I1297" s="1353">
        <f t="shared" si="295"/>
        <v>0</v>
      </c>
      <c r="K1297" s="1391">
        <v>1322</v>
      </c>
      <c r="L1297" s="1391" t="s">
        <v>6174</v>
      </c>
    </row>
    <row r="1298" spans="2:12">
      <c r="B1298" s="5" t="s">
        <v>5865</v>
      </c>
      <c r="C1298" s="26" t="s">
        <v>6175</v>
      </c>
      <c r="D1298" s="1347">
        <v>925</v>
      </c>
      <c r="E1298" s="1346">
        <v>2273</v>
      </c>
      <c r="F1298" s="611" t="s">
        <v>5705</v>
      </c>
      <c r="G1298" s="1408">
        <v>1113</v>
      </c>
      <c r="H1298" s="1353">
        <f t="shared" si="294"/>
        <v>0</v>
      </c>
      <c r="I1298" s="1353">
        <f t="shared" si="295"/>
        <v>0</v>
      </c>
      <c r="K1298" s="1391">
        <v>1323</v>
      </c>
      <c r="L1298" s="1391" t="s">
        <v>6176</v>
      </c>
    </row>
    <row r="1299" spans="2:12">
      <c r="B1299" s="5" t="s">
        <v>5868</v>
      </c>
      <c r="C1299" s="26" t="s">
        <v>6177</v>
      </c>
      <c r="D1299" s="1347">
        <v>45</v>
      </c>
      <c r="E1299" s="1346">
        <v>82</v>
      </c>
      <c r="F1299" s="611" t="s">
        <v>5707</v>
      </c>
      <c r="G1299" s="1408">
        <v>1114</v>
      </c>
      <c r="H1299" s="1353">
        <f t="shared" si="294"/>
        <v>0</v>
      </c>
      <c r="I1299" s="1353">
        <f t="shared" si="295"/>
        <v>0</v>
      </c>
      <c r="K1299" s="1391">
        <v>1324</v>
      </c>
      <c r="L1299" s="1391" t="s">
        <v>6178</v>
      </c>
    </row>
    <row r="1300" spans="2:12">
      <c r="B1300" s="5" t="s">
        <v>5871</v>
      </c>
      <c r="C1300" s="26" t="s">
        <v>6179</v>
      </c>
      <c r="D1300" s="1347">
        <v>600</v>
      </c>
      <c r="E1300" s="1346">
        <v>900</v>
      </c>
      <c r="F1300" s="611" t="s">
        <v>5709</v>
      </c>
      <c r="G1300" s="1408">
        <v>1115</v>
      </c>
      <c r="H1300" s="1353">
        <f t="shared" si="294"/>
        <v>0</v>
      </c>
      <c r="I1300" s="1353">
        <f t="shared" si="295"/>
        <v>0</v>
      </c>
      <c r="K1300" s="1391">
        <v>1325</v>
      </c>
      <c r="L1300" s="1391" t="s">
        <v>6180</v>
      </c>
    </row>
    <row r="1301" spans="2:12">
      <c r="B1301" s="5" t="s">
        <v>5874</v>
      </c>
      <c r="C1301" s="26" t="s">
        <v>6181</v>
      </c>
      <c r="D1301" s="1347">
        <v>284</v>
      </c>
      <c r="E1301" s="1346">
        <v>779</v>
      </c>
      <c r="F1301" s="611" t="s">
        <v>5711</v>
      </c>
      <c r="G1301" s="1408">
        <v>1116</v>
      </c>
      <c r="H1301" s="1353">
        <f t="shared" si="294"/>
        <v>0</v>
      </c>
      <c r="I1301" s="1353">
        <f t="shared" si="295"/>
        <v>0</v>
      </c>
      <c r="K1301" s="1391">
        <v>1326</v>
      </c>
      <c r="L1301" s="1391" t="s">
        <v>6182</v>
      </c>
    </row>
    <row r="1302" spans="2:12">
      <c r="B1302" s="5" t="s">
        <v>5877</v>
      </c>
      <c r="C1302" s="26" t="s">
        <v>6183</v>
      </c>
      <c r="D1302" s="1347">
        <v>5349</v>
      </c>
      <c r="E1302" s="1346">
        <v>16233</v>
      </c>
      <c r="F1302" s="611" t="s">
        <v>5713</v>
      </c>
      <c r="G1302" s="1408">
        <v>1117</v>
      </c>
      <c r="H1302" s="1353">
        <f t="shared" si="294"/>
        <v>0</v>
      </c>
      <c r="I1302" s="1353">
        <f t="shared" si="295"/>
        <v>0</v>
      </c>
      <c r="K1302" s="1391">
        <v>1327</v>
      </c>
      <c r="L1302" s="1391" t="s">
        <v>6184</v>
      </c>
    </row>
    <row r="1303" spans="2:12">
      <c r="B1303" s="5" t="s">
        <v>5886</v>
      </c>
      <c r="C1303" s="26" t="s">
        <v>6185</v>
      </c>
      <c r="D1303" s="1347">
        <v>1133</v>
      </c>
      <c r="E1303" s="1346">
        <v>3869</v>
      </c>
      <c r="F1303" s="611" t="s">
        <v>5715</v>
      </c>
      <c r="G1303" s="1408">
        <v>1118</v>
      </c>
      <c r="H1303" s="1353">
        <f t="shared" si="294"/>
        <v>0</v>
      </c>
      <c r="I1303" s="1353">
        <f t="shared" si="295"/>
        <v>0</v>
      </c>
      <c r="K1303" s="1391">
        <v>1328</v>
      </c>
      <c r="L1303" s="1391" t="s">
        <v>6186</v>
      </c>
    </row>
    <row r="1304" spans="2:12">
      <c r="B1304" s="5" t="s">
        <v>5892</v>
      </c>
      <c r="C1304" s="26" t="s">
        <v>6187</v>
      </c>
      <c r="D1304" s="1347">
        <v>0</v>
      </c>
      <c r="E1304" s="1346">
        <v>0</v>
      </c>
      <c r="F1304" s="611" t="s">
        <v>5717</v>
      </c>
      <c r="G1304" s="1408">
        <v>1119</v>
      </c>
      <c r="H1304" s="1353">
        <f t="shared" si="294"/>
        <v>0</v>
      </c>
      <c r="I1304" s="1353">
        <f t="shared" si="295"/>
        <v>0</v>
      </c>
      <c r="K1304" s="1391">
        <v>1329</v>
      </c>
      <c r="L1304" s="1391" t="s">
        <v>6188</v>
      </c>
    </row>
    <row r="1305" spans="2:12">
      <c r="B1305" s="5" t="s">
        <v>5895</v>
      </c>
      <c r="C1305" s="26" t="s">
        <v>6189</v>
      </c>
      <c r="D1305" s="1347">
        <v>726</v>
      </c>
      <c r="E1305" s="1346">
        <v>819</v>
      </c>
      <c r="F1305" s="611" t="s">
        <v>5719</v>
      </c>
      <c r="G1305" s="1408">
        <v>1120</v>
      </c>
      <c r="H1305" s="1353">
        <f t="shared" si="294"/>
        <v>0</v>
      </c>
      <c r="I1305" s="1353">
        <f t="shared" si="295"/>
        <v>0</v>
      </c>
      <c r="K1305" s="1391">
        <v>1330</v>
      </c>
      <c r="L1305" s="1391" t="s">
        <v>6190</v>
      </c>
    </row>
    <row r="1306" spans="2:12">
      <c r="B1306" s="5" t="s">
        <v>5898</v>
      </c>
      <c r="C1306" s="26" t="s">
        <v>6191</v>
      </c>
      <c r="D1306" s="1347">
        <v>-6640</v>
      </c>
      <c r="E1306" s="1346">
        <v>-8714</v>
      </c>
      <c r="F1306" s="611" t="s">
        <v>5722</v>
      </c>
      <c r="G1306" s="1408">
        <v>1121</v>
      </c>
      <c r="H1306" s="1353">
        <f t="shared" si="294"/>
        <v>0</v>
      </c>
      <c r="I1306" s="1353">
        <f t="shared" si="295"/>
        <v>0</v>
      </c>
      <c r="K1306" s="1391">
        <v>1331</v>
      </c>
      <c r="L1306" s="1391" t="s">
        <v>6192</v>
      </c>
    </row>
    <row r="1307" spans="2:12">
      <c r="B1307" s="5" t="s">
        <v>5901</v>
      </c>
      <c r="C1307" s="26" t="s">
        <v>6193</v>
      </c>
      <c r="D1307" s="1347">
        <v>14220</v>
      </c>
      <c r="E1307" s="1346">
        <v>55530</v>
      </c>
      <c r="F1307" s="611" t="s">
        <v>5726</v>
      </c>
      <c r="G1307" s="1408">
        <v>1123</v>
      </c>
      <c r="H1307" s="1353">
        <f t="shared" ref="H1307:I1313" si="296">M1099</f>
        <v>0</v>
      </c>
      <c r="I1307" s="1353">
        <f t="shared" si="296"/>
        <v>0</v>
      </c>
      <c r="K1307" s="1391">
        <v>1332</v>
      </c>
      <c r="L1307" s="1391" t="s">
        <v>6194</v>
      </c>
    </row>
    <row r="1308" spans="2:12">
      <c r="B1308" s="5" t="s">
        <v>5904</v>
      </c>
      <c r="C1308" s="26" t="s">
        <v>6195</v>
      </c>
      <c r="D1308" s="1347">
        <v>0</v>
      </c>
      <c r="E1308" s="1346">
        <v>0</v>
      </c>
      <c r="F1308" s="611" t="s">
        <v>5728</v>
      </c>
      <c r="G1308" s="1408">
        <v>1124</v>
      </c>
      <c r="H1308" s="1353">
        <f t="shared" si="296"/>
        <v>0</v>
      </c>
      <c r="I1308" s="1353">
        <f t="shared" si="296"/>
        <v>0</v>
      </c>
      <c r="K1308" s="1391">
        <v>1333</v>
      </c>
      <c r="L1308" s="1391" t="s">
        <v>6196</v>
      </c>
    </row>
    <row r="1309" spans="2:12">
      <c r="B1309" s="5" t="s">
        <v>5907</v>
      </c>
      <c r="C1309" s="26" t="s">
        <v>6197</v>
      </c>
      <c r="D1309" s="1347">
        <v>849</v>
      </c>
      <c r="E1309" s="1346">
        <v>10165</v>
      </c>
      <c r="F1309" s="611" t="s">
        <v>5730</v>
      </c>
      <c r="G1309" s="1408">
        <v>1125</v>
      </c>
      <c r="H1309" s="1353">
        <f t="shared" si="296"/>
        <v>0</v>
      </c>
      <c r="I1309" s="1353">
        <f t="shared" si="296"/>
        <v>0</v>
      </c>
      <c r="K1309" s="1391">
        <v>1334</v>
      </c>
      <c r="L1309" s="1391" t="s">
        <v>6198</v>
      </c>
    </row>
    <row r="1310" spans="2:12">
      <c r="B1310" s="5" t="s">
        <v>5909</v>
      </c>
      <c r="C1310" s="26" t="s">
        <v>6199</v>
      </c>
      <c r="D1310" s="1347">
        <v>23</v>
      </c>
      <c r="E1310" s="1346">
        <v>92</v>
      </c>
      <c r="F1310" s="611" t="s">
        <v>5733</v>
      </c>
      <c r="G1310" s="1408">
        <v>1126</v>
      </c>
      <c r="H1310" s="1353">
        <f t="shared" si="296"/>
        <v>0</v>
      </c>
      <c r="I1310" s="1353">
        <f t="shared" si="296"/>
        <v>0</v>
      </c>
      <c r="K1310" s="1391">
        <v>1335</v>
      </c>
      <c r="L1310" s="1391" t="s">
        <v>6200</v>
      </c>
    </row>
    <row r="1311" spans="2:12">
      <c r="B1311" s="5" t="s">
        <v>5911</v>
      </c>
      <c r="C1311" s="26" t="s">
        <v>6201</v>
      </c>
      <c r="D1311" s="1347">
        <v>1800</v>
      </c>
      <c r="E1311" s="1346">
        <v>7200</v>
      </c>
      <c r="F1311" s="611" t="s">
        <v>5736</v>
      </c>
      <c r="G1311" s="1408">
        <v>1127</v>
      </c>
      <c r="H1311" s="1353">
        <f t="shared" si="296"/>
        <v>0</v>
      </c>
      <c r="I1311" s="1353">
        <f t="shared" si="296"/>
        <v>0</v>
      </c>
      <c r="K1311" s="1391">
        <v>1336</v>
      </c>
      <c r="L1311" s="1391" t="s">
        <v>6202</v>
      </c>
    </row>
    <row r="1312" spans="2:12">
      <c r="B1312" s="5" t="s">
        <v>5914</v>
      </c>
      <c r="C1312" s="26" t="s">
        <v>6203</v>
      </c>
      <c r="D1312" s="1347">
        <v>1224</v>
      </c>
      <c r="E1312" s="1346">
        <v>4896</v>
      </c>
      <c r="F1312" s="611" t="s">
        <v>5738</v>
      </c>
      <c r="G1312" s="1408">
        <v>1128</v>
      </c>
      <c r="H1312" s="1353">
        <f t="shared" si="296"/>
        <v>0</v>
      </c>
      <c r="I1312" s="1353">
        <f t="shared" si="296"/>
        <v>0</v>
      </c>
      <c r="K1312" s="1391">
        <v>1337</v>
      </c>
      <c r="L1312" s="1391" t="s">
        <v>6204</v>
      </c>
    </row>
    <row r="1313" spans="2:12">
      <c r="B1313" s="5" t="s">
        <v>5917</v>
      </c>
      <c r="C1313" s="26" t="s">
        <v>6205</v>
      </c>
      <c r="D1313" s="1347">
        <v>0</v>
      </c>
      <c r="E1313" s="1346">
        <v>0</v>
      </c>
      <c r="F1313" s="611" t="s">
        <v>5740</v>
      </c>
      <c r="G1313" s="1408">
        <v>1129</v>
      </c>
      <c r="H1313" s="1353">
        <f t="shared" si="296"/>
        <v>0</v>
      </c>
      <c r="I1313" s="1353">
        <f t="shared" si="296"/>
        <v>0</v>
      </c>
      <c r="K1313" s="1391">
        <v>1338</v>
      </c>
      <c r="L1313" s="1391" t="s">
        <v>6206</v>
      </c>
    </row>
    <row r="1314" spans="2:12">
      <c r="B1314" s="5" t="s">
        <v>5920</v>
      </c>
      <c r="C1314" s="26" t="s">
        <v>6207</v>
      </c>
      <c r="D1314" s="1347">
        <v>2995</v>
      </c>
      <c r="E1314" s="1346">
        <v>11825</v>
      </c>
      <c r="F1314" s="611" t="s">
        <v>5744</v>
      </c>
      <c r="G1314" s="1408">
        <v>1131</v>
      </c>
      <c r="H1314" s="1353">
        <f t="shared" ref="H1314:I1319" si="297">M1107</f>
        <v>0</v>
      </c>
      <c r="I1314" s="1353">
        <f t="shared" si="297"/>
        <v>0</v>
      </c>
      <c r="K1314" s="1391">
        <v>1339</v>
      </c>
      <c r="L1314" s="1391" t="s">
        <v>6208</v>
      </c>
    </row>
    <row r="1315" spans="2:12">
      <c r="B1315" s="5" t="s">
        <v>5923</v>
      </c>
      <c r="C1315" s="26" t="s">
        <v>6209</v>
      </c>
      <c r="D1315" s="1347">
        <v>0</v>
      </c>
      <c r="E1315" s="1346">
        <v>0</v>
      </c>
      <c r="F1315" s="611" t="s">
        <v>5746</v>
      </c>
      <c r="G1315" s="1408">
        <v>1132</v>
      </c>
      <c r="H1315" s="1353">
        <f t="shared" si="297"/>
        <v>0</v>
      </c>
      <c r="I1315" s="1353">
        <f t="shared" si="297"/>
        <v>0</v>
      </c>
      <c r="K1315" s="1391">
        <v>1340</v>
      </c>
      <c r="L1315" s="1391" t="s">
        <v>6210</v>
      </c>
    </row>
    <row r="1316" spans="2:12">
      <c r="B1316" s="5" t="s">
        <v>5926</v>
      </c>
      <c r="C1316" s="26" t="s">
        <v>6211</v>
      </c>
      <c r="D1316" s="1347">
        <v>0</v>
      </c>
      <c r="E1316" s="1346">
        <v>0</v>
      </c>
      <c r="F1316" s="611" t="s">
        <v>5748</v>
      </c>
      <c r="G1316" s="1408">
        <v>1133</v>
      </c>
      <c r="H1316" s="1353">
        <f t="shared" si="297"/>
        <v>0</v>
      </c>
      <c r="I1316" s="1353">
        <f t="shared" si="297"/>
        <v>0</v>
      </c>
      <c r="K1316" s="1391">
        <v>1341</v>
      </c>
      <c r="L1316" s="1391" t="s">
        <v>6212</v>
      </c>
    </row>
    <row r="1317" spans="2:12">
      <c r="B1317" s="5" t="s">
        <v>5929</v>
      </c>
      <c r="C1317" s="26" t="s">
        <v>6213</v>
      </c>
      <c r="D1317" s="1347">
        <v>3808</v>
      </c>
      <c r="E1317" s="1346">
        <v>4249</v>
      </c>
      <c r="F1317" s="611" t="s">
        <v>5750</v>
      </c>
      <c r="G1317" s="1408">
        <v>1134</v>
      </c>
      <c r="H1317" s="1353">
        <f t="shared" si="297"/>
        <v>0</v>
      </c>
      <c r="I1317" s="1353">
        <f t="shared" si="297"/>
        <v>0</v>
      </c>
      <c r="K1317" s="1391">
        <v>1342</v>
      </c>
      <c r="L1317" s="1391" t="s">
        <v>6214</v>
      </c>
    </row>
    <row r="1318" spans="2:12">
      <c r="B1318" s="5" t="s">
        <v>5932</v>
      </c>
      <c r="C1318" s="26" t="s">
        <v>6215</v>
      </c>
      <c r="D1318" s="1347">
        <v>4053</v>
      </c>
      <c r="E1318" s="1346">
        <v>16212</v>
      </c>
      <c r="F1318" s="611" t="s">
        <v>5752</v>
      </c>
      <c r="G1318" s="1408">
        <v>1135</v>
      </c>
      <c r="H1318" s="1353">
        <f t="shared" si="297"/>
        <v>0</v>
      </c>
      <c r="I1318" s="1353">
        <f t="shared" si="297"/>
        <v>0</v>
      </c>
      <c r="K1318" s="1391">
        <v>1343</v>
      </c>
      <c r="L1318" s="1391" t="s">
        <v>6216</v>
      </c>
    </row>
    <row r="1319" spans="2:12">
      <c r="B1319" s="5" t="s">
        <v>5935</v>
      </c>
      <c r="C1319" s="26" t="s">
        <v>6217</v>
      </c>
      <c r="D1319" s="1347">
        <v>1070</v>
      </c>
      <c r="E1319" s="1346">
        <v>1070</v>
      </c>
      <c r="F1319" s="611" t="s">
        <v>5755</v>
      </c>
      <c r="G1319" s="1408">
        <v>1136</v>
      </c>
      <c r="H1319" s="1353">
        <f t="shared" si="297"/>
        <v>0</v>
      </c>
      <c r="I1319" s="1353">
        <f t="shared" si="297"/>
        <v>0</v>
      </c>
      <c r="K1319" s="1391">
        <v>1344</v>
      </c>
      <c r="L1319" s="1391" t="s">
        <v>6218</v>
      </c>
    </row>
    <row r="1320" spans="2:12">
      <c r="B1320" s="5" t="s">
        <v>5938</v>
      </c>
      <c r="C1320" s="26" t="s">
        <v>6219</v>
      </c>
      <c r="D1320" s="1347">
        <v>-34260</v>
      </c>
      <c r="E1320" s="1346">
        <v>-150745</v>
      </c>
      <c r="F1320" s="611" t="s">
        <v>5767</v>
      </c>
      <c r="G1320" s="1408">
        <v>1143</v>
      </c>
      <c r="H1320" s="1353">
        <f>M1119</f>
        <v>0</v>
      </c>
      <c r="I1320" s="1353">
        <f>N1119</f>
        <v>0</v>
      </c>
      <c r="K1320" s="1391">
        <v>1345</v>
      </c>
      <c r="L1320" s="1391" t="s">
        <v>6220</v>
      </c>
    </row>
    <row r="1321" spans="2:12">
      <c r="B1321" s="5" t="s">
        <v>5813</v>
      </c>
      <c r="C1321" s="26" t="s">
        <v>6221</v>
      </c>
      <c r="D1321" s="1347">
        <v>3385</v>
      </c>
      <c r="E1321" s="1346">
        <v>13408</v>
      </c>
      <c r="F1321" s="611" t="s">
        <v>5773</v>
      </c>
      <c r="G1321" s="1408">
        <v>1146</v>
      </c>
      <c r="H1321" s="1353">
        <f t="shared" ref="H1321:H1329" si="298">M1122</f>
        <v>0</v>
      </c>
      <c r="I1321" s="1353">
        <f t="shared" ref="I1321:I1329" si="299">N1122</f>
        <v>0</v>
      </c>
      <c r="K1321" s="1391">
        <v>1346</v>
      </c>
      <c r="L1321" s="1391" t="s">
        <v>6222</v>
      </c>
    </row>
    <row r="1322" spans="2:12">
      <c r="B1322" s="5" t="s">
        <v>5816</v>
      </c>
      <c r="C1322" s="26" t="s">
        <v>6223</v>
      </c>
      <c r="D1322" s="1347">
        <v>487</v>
      </c>
      <c r="E1322" s="1346">
        <v>2025</v>
      </c>
      <c r="F1322" s="611" t="s">
        <v>5775</v>
      </c>
      <c r="G1322" s="1408">
        <v>1147</v>
      </c>
      <c r="H1322" s="1353">
        <f t="shared" si="298"/>
        <v>0</v>
      </c>
      <c r="I1322" s="1353">
        <f t="shared" si="299"/>
        <v>0</v>
      </c>
      <c r="K1322" s="1391">
        <v>1347</v>
      </c>
      <c r="L1322" s="1391" t="s">
        <v>6224</v>
      </c>
    </row>
    <row r="1323" spans="2:12">
      <c r="B1323" s="5" t="s">
        <v>5819</v>
      </c>
      <c r="C1323" s="26" t="s">
        <v>6225</v>
      </c>
      <c r="D1323" s="1347">
        <v>4083</v>
      </c>
      <c r="E1323" s="1346">
        <v>37528</v>
      </c>
      <c r="F1323" s="611" t="s">
        <v>5778</v>
      </c>
      <c r="G1323" s="1408">
        <v>1148</v>
      </c>
      <c r="H1323" s="1353">
        <f t="shared" si="298"/>
        <v>0</v>
      </c>
      <c r="I1323" s="1353">
        <f t="shared" si="299"/>
        <v>0</v>
      </c>
      <c r="K1323" s="1391">
        <v>1348</v>
      </c>
      <c r="L1323" s="1391" t="s">
        <v>6226</v>
      </c>
    </row>
    <row r="1324" spans="2:12">
      <c r="B1324" s="5" t="s">
        <v>5822</v>
      </c>
      <c r="C1324" s="26" t="s">
        <v>6227</v>
      </c>
      <c r="D1324" s="1347">
        <v>4401</v>
      </c>
      <c r="E1324" s="1346">
        <v>16807</v>
      </c>
      <c r="F1324" s="611" t="s">
        <v>5780</v>
      </c>
      <c r="G1324" s="1408">
        <v>1149</v>
      </c>
      <c r="H1324" s="1353">
        <f t="shared" si="298"/>
        <v>0</v>
      </c>
      <c r="I1324" s="1353">
        <f t="shared" si="299"/>
        <v>0</v>
      </c>
      <c r="K1324" s="1391">
        <v>1349</v>
      </c>
      <c r="L1324" s="1391" t="s">
        <v>6228</v>
      </c>
    </row>
    <row r="1325" spans="2:12">
      <c r="B1325" s="5" t="s">
        <v>5825</v>
      </c>
      <c r="C1325" s="26" t="s">
        <v>6229</v>
      </c>
      <c r="D1325" s="1347">
        <v>3138</v>
      </c>
      <c r="E1325" s="1346">
        <v>10006</v>
      </c>
      <c r="F1325" s="611" t="s">
        <v>5782</v>
      </c>
      <c r="G1325" s="1408">
        <v>1150</v>
      </c>
      <c r="H1325" s="1353">
        <f t="shared" si="298"/>
        <v>0</v>
      </c>
      <c r="I1325" s="1353">
        <f t="shared" si="299"/>
        <v>0</v>
      </c>
      <c r="K1325" s="1391">
        <v>1350</v>
      </c>
      <c r="L1325" s="1391" t="s">
        <v>6230</v>
      </c>
    </row>
    <row r="1326" spans="2:12">
      <c r="B1326" s="5" t="s">
        <v>5828</v>
      </c>
      <c r="C1326" s="26" t="s">
        <v>6231</v>
      </c>
      <c r="D1326" s="1347">
        <v>0</v>
      </c>
      <c r="E1326" s="1346">
        <v>0</v>
      </c>
      <c r="F1326" s="611" t="s">
        <v>5784</v>
      </c>
      <c r="G1326" s="1408">
        <v>1151</v>
      </c>
      <c r="H1326" s="1353">
        <f t="shared" si="298"/>
        <v>0</v>
      </c>
      <c r="I1326" s="1353">
        <f t="shared" si="299"/>
        <v>0</v>
      </c>
      <c r="K1326" s="1391">
        <v>1351</v>
      </c>
      <c r="L1326" s="1391" t="s">
        <v>6232</v>
      </c>
    </row>
    <row r="1327" spans="2:12">
      <c r="B1327" s="5" t="s">
        <v>5831</v>
      </c>
      <c r="C1327" s="26" t="s">
        <v>6233</v>
      </c>
      <c r="D1327" s="1347">
        <v>1354</v>
      </c>
      <c r="E1327" s="1346">
        <v>5112</v>
      </c>
      <c r="F1327" s="611" t="s">
        <v>5787</v>
      </c>
      <c r="G1327" s="1408">
        <v>1152</v>
      </c>
      <c r="H1327" s="1353">
        <f t="shared" si="298"/>
        <v>0</v>
      </c>
      <c r="I1327" s="1353">
        <f t="shared" si="299"/>
        <v>0</v>
      </c>
      <c r="K1327" s="1391">
        <v>1352</v>
      </c>
      <c r="L1327" s="1391" t="s">
        <v>6234</v>
      </c>
    </row>
    <row r="1328" spans="2:12">
      <c r="B1328" s="5" t="s">
        <v>5834</v>
      </c>
      <c r="C1328" s="26" t="s">
        <v>6235</v>
      </c>
      <c r="D1328" s="1347">
        <v>3674</v>
      </c>
      <c r="E1328" s="1346">
        <v>12029</v>
      </c>
      <c r="F1328" s="611" t="s">
        <v>5789</v>
      </c>
      <c r="G1328" s="1408">
        <v>1153</v>
      </c>
      <c r="H1328" s="1353">
        <f t="shared" si="298"/>
        <v>0</v>
      </c>
      <c r="I1328" s="1353">
        <f t="shared" si="299"/>
        <v>0</v>
      </c>
      <c r="K1328" s="1391">
        <v>1353</v>
      </c>
      <c r="L1328" s="1391" t="s">
        <v>6236</v>
      </c>
    </row>
    <row r="1329" spans="2:12">
      <c r="B1329" s="5" t="s">
        <v>5837</v>
      </c>
      <c r="C1329" s="26" t="s">
        <v>6237</v>
      </c>
      <c r="D1329" s="1347">
        <v>0</v>
      </c>
      <c r="E1329" s="1346">
        <v>0</v>
      </c>
      <c r="F1329" s="611" t="s">
        <v>5791</v>
      </c>
      <c r="G1329" s="1408">
        <v>1154</v>
      </c>
      <c r="H1329" s="1353">
        <f t="shared" si="298"/>
        <v>0</v>
      </c>
      <c r="I1329" s="1353">
        <f t="shared" si="299"/>
        <v>0</v>
      </c>
      <c r="K1329" s="1391">
        <v>1354</v>
      </c>
      <c r="L1329" s="1391" t="s">
        <v>6238</v>
      </c>
    </row>
    <row r="1330" spans="2:12">
      <c r="B1330" s="5" t="s">
        <v>5840</v>
      </c>
      <c r="C1330" s="26" t="s">
        <v>6239</v>
      </c>
      <c r="D1330" s="1347">
        <v>4700</v>
      </c>
      <c r="E1330" s="1346">
        <v>-1592</v>
      </c>
      <c r="F1330" s="611" t="s">
        <v>5795</v>
      </c>
      <c r="G1330" s="1408">
        <v>1156</v>
      </c>
      <c r="H1330" s="1353">
        <f t="shared" ref="H1330:H1348" si="300">M1132</f>
        <v>0</v>
      </c>
      <c r="I1330" s="1353">
        <f t="shared" ref="I1330:I1348" si="301">N1132</f>
        <v>0</v>
      </c>
      <c r="K1330" s="1391">
        <v>1355</v>
      </c>
      <c r="L1330" s="1391" t="s">
        <v>6240</v>
      </c>
    </row>
    <row r="1331" spans="2:12">
      <c r="B1331" s="5" t="s">
        <v>5843</v>
      </c>
      <c r="C1331" s="26" t="s">
        <v>6241</v>
      </c>
      <c r="D1331" s="1347">
        <v>281</v>
      </c>
      <c r="E1331" s="1346">
        <v>1280</v>
      </c>
      <c r="F1331" s="611" t="s">
        <v>5799</v>
      </c>
      <c r="G1331" s="1408">
        <v>1157</v>
      </c>
      <c r="H1331" s="1353">
        <f t="shared" si="300"/>
        <v>0</v>
      </c>
      <c r="I1331" s="1353">
        <f t="shared" si="301"/>
        <v>0</v>
      </c>
      <c r="K1331" s="1391">
        <v>1356</v>
      </c>
      <c r="L1331" s="1391" t="s">
        <v>6242</v>
      </c>
    </row>
    <row r="1332" spans="2:12">
      <c r="B1332" s="5" t="s">
        <v>5846</v>
      </c>
      <c r="C1332" s="26" t="s">
        <v>6243</v>
      </c>
      <c r="D1332" s="1347">
        <v>790</v>
      </c>
      <c r="E1332" s="1346">
        <v>1476</v>
      </c>
      <c r="F1332" s="611" t="s">
        <v>5802</v>
      </c>
      <c r="G1332" s="1408">
        <v>1158</v>
      </c>
      <c r="H1332" s="1353">
        <f t="shared" si="300"/>
        <v>0</v>
      </c>
      <c r="I1332" s="1353">
        <f t="shared" si="301"/>
        <v>0</v>
      </c>
      <c r="K1332" s="1391">
        <v>1357</v>
      </c>
      <c r="L1332" s="1391" t="s">
        <v>6244</v>
      </c>
    </row>
    <row r="1333" spans="2:12">
      <c r="B1333" s="5" t="s">
        <v>5849</v>
      </c>
      <c r="C1333" s="26" t="s">
        <v>6245</v>
      </c>
      <c r="D1333" s="1347">
        <v>0</v>
      </c>
      <c r="E1333" s="1346">
        <v>0</v>
      </c>
      <c r="F1333" s="611" t="s">
        <v>5806</v>
      </c>
      <c r="G1333" s="1408">
        <v>1159</v>
      </c>
      <c r="H1333" s="1353">
        <f t="shared" si="300"/>
        <v>0</v>
      </c>
      <c r="I1333" s="1353">
        <f t="shared" si="301"/>
        <v>0</v>
      </c>
      <c r="K1333" s="1391">
        <v>1358</v>
      </c>
      <c r="L1333" s="1391" t="s">
        <v>6246</v>
      </c>
    </row>
    <row r="1334" spans="2:12">
      <c r="B1334" s="5" t="s">
        <v>4418</v>
      </c>
      <c r="C1334" s="26" t="s">
        <v>6247</v>
      </c>
      <c r="D1334" s="1347">
        <v>138</v>
      </c>
      <c r="E1334" s="1346">
        <v>765</v>
      </c>
      <c r="F1334" s="611" t="s">
        <v>5809</v>
      </c>
      <c r="G1334" s="1408">
        <v>1160</v>
      </c>
      <c r="H1334" s="1353">
        <f t="shared" si="300"/>
        <v>0</v>
      </c>
      <c r="I1334" s="1353">
        <f t="shared" si="301"/>
        <v>0</v>
      </c>
      <c r="K1334" s="1391">
        <v>1359</v>
      </c>
      <c r="L1334" s="1391" t="s">
        <v>6248</v>
      </c>
    </row>
    <row r="1335" spans="2:12">
      <c r="B1335" s="5" t="s">
        <v>5854</v>
      </c>
      <c r="C1335" s="26" t="s">
        <v>6249</v>
      </c>
      <c r="D1335" s="1347">
        <v>0</v>
      </c>
      <c r="E1335" s="1346">
        <v>0</v>
      </c>
      <c r="F1335" s="611" t="s">
        <v>5812</v>
      </c>
      <c r="G1335" s="1408">
        <v>1161</v>
      </c>
      <c r="H1335" s="1353">
        <f t="shared" si="300"/>
        <v>0</v>
      </c>
      <c r="I1335" s="1353">
        <f t="shared" si="301"/>
        <v>0</v>
      </c>
      <c r="K1335" s="1391">
        <v>1360</v>
      </c>
      <c r="L1335" s="1391" t="s">
        <v>6250</v>
      </c>
    </row>
    <row r="1336" spans="2:12">
      <c r="B1336" s="5" t="s">
        <v>36</v>
      </c>
      <c r="C1336" s="26" t="s">
        <v>6251</v>
      </c>
      <c r="D1336" s="1347">
        <v>50</v>
      </c>
      <c r="E1336" s="1346">
        <v>50</v>
      </c>
      <c r="F1336" s="611" t="s">
        <v>5815</v>
      </c>
      <c r="G1336" s="1408">
        <v>1162</v>
      </c>
      <c r="H1336" s="1353">
        <f t="shared" si="300"/>
        <v>0</v>
      </c>
      <c r="I1336" s="1353">
        <f t="shared" si="301"/>
        <v>0</v>
      </c>
      <c r="K1336" s="1391">
        <v>1361</v>
      </c>
      <c r="L1336" s="1391" t="s">
        <v>6252</v>
      </c>
    </row>
    <row r="1337" spans="2:12">
      <c r="B1337" s="5" t="s">
        <v>6168</v>
      </c>
      <c r="C1337" s="26" t="s">
        <v>6253</v>
      </c>
      <c r="D1337" s="1347">
        <v>219</v>
      </c>
      <c r="E1337" s="1346">
        <v>654</v>
      </c>
      <c r="F1337" s="611" t="s">
        <v>5818</v>
      </c>
      <c r="G1337" s="1408">
        <v>1163</v>
      </c>
      <c r="H1337" s="1353">
        <f t="shared" si="300"/>
        <v>0</v>
      </c>
      <c r="I1337" s="1353">
        <f t="shared" si="301"/>
        <v>0</v>
      </c>
      <c r="K1337" s="1391">
        <v>1362</v>
      </c>
      <c r="L1337" s="1391" t="s">
        <v>6254</v>
      </c>
    </row>
    <row r="1338" spans="2:12">
      <c r="B1338" s="5" t="s">
        <v>5859</v>
      </c>
      <c r="C1338" s="26" t="s">
        <v>6255</v>
      </c>
      <c r="D1338" s="1347">
        <v>3806</v>
      </c>
      <c r="E1338" s="1346">
        <v>13869</v>
      </c>
      <c r="F1338" s="611" t="s">
        <v>5821</v>
      </c>
      <c r="G1338" s="1408">
        <v>1164</v>
      </c>
      <c r="H1338" s="1353">
        <f t="shared" si="300"/>
        <v>0</v>
      </c>
      <c r="I1338" s="1353">
        <f t="shared" si="301"/>
        <v>0</v>
      </c>
      <c r="K1338" s="1391">
        <v>1363</v>
      </c>
      <c r="L1338" s="1391" t="s">
        <v>6256</v>
      </c>
    </row>
    <row r="1339" spans="2:12">
      <c r="B1339" s="5" t="s">
        <v>5862</v>
      </c>
      <c r="C1339" s="26" t="s">
        <v>6257</v>
      </c>
      <c r="D1339" s="1347">
        <v>2539</v>
      </c>
      <c r="E1339" s="1346">
        <v>4661</v>
      </c>
      <c r="F1339" s="611" t="s">
        <v>5824</v>
      </c>
      <c r="G1339" s="1408">
        <v>1165</v>
      </c>
      <c r="H1339" s="1353">
        <f t="shared" si="300"/>
        <v>0</v>
      </c>
      <c r="I1339" s="1353">
        <f t="shared" si="301"/>
        <v>0</v>
      </c>
      <c r="K1339" s="1391">
        <v>1364</v>
      </c>
      <c r="L1339" s="1391" t="s">
        <v>6258</v>
      </c>
    </row>
    <row r="1340" spans="2:12">
      <c r="B1340" s="5" t="s">
        <v>5865</v>
      </c>
      <c r="C1340" s="26" t="s">
        <v>6259</v>
      </c>
      <c r="D1340" s="1347">
        <v>238</v>
      </c>
      <c r="E1340" s="1346">
        <v>659</v>
      </c>
      <c r="F1340" s="611" t="s">
        <v>5827</v>
      </c>
      <c r="G1340" s="1408">
        <v>1166</v>
      </c>
      <c r="H1340" s="1353">
        <f t="shared" si="300"/>
        <v>0</v>
      </c>
      <c r="I1340" s="1353">
        <f t="shared" si="301"/>
        <v>0</v>
      </c>
      <c r="K1340" s="1391">
        <v>1365</v>
      </c>
      <c r="L1340" s="1391" t="s">
        <v>6260</v>
      </c>
    </row>
    <row r="1341" spans="2:12">
      <c r="B1341" s="5" t="s">
        <v>5868</v>
      </c>
      <c r="C1341" s="26" t="s">
        <v>6261</v>
      </c>
      <c r="D1341" s="1347">
        <v>15</v>
      </c>
      <c r="E1341" s="1346">
        <v>27</v>
      </c>
      <c r="F1341" s="611" t="s">
        <v>5830</v>
      </c>
      <c r="G1341" s="1408">
        <v>1167</v>
      </c>
      <c r="H1341" s="1353">
        <f t="shared" si="300"/>
        <v>0</v>
      </c>
      <c r="I1341" s="1353">
        <f t="shared" si="301"/>
        <v>0</v>
      </c>
      <c r="K1341" s="1391">
        <v>1366</v>
      </c>
      <c r="L1341" s="1391" t="s">
        <v>6262</v>
      </c>
    </row>
    <row r="1342" spans="2:12">
      <c r="B1342" s="5" t="s">
        <v>5871</v>
      </c>
      <c r="C1342" s="26" t="s">
        <v>6263</v>
      </c>
      <c r="D1342" s="1347">
        <v>200</v>
      </c>
      <c r="E1342" s="1346">
        <v>300</v>
      </c>
      <c r="F1342" s="611" t="s">
        <v>5833</v>
      </c>
      <c r="G1342" s="1408">
        <v>1168</v>
      </c>
      <c r="H1342" s="1353">
        <f t="shared" si="300"/>
        <v>0</v>
      </c>
      <c r="I1342" s="1353">
        <f t="shared" si="301"/>
        <v>0</v>
      </c>
      <c r="K1342" s="1391">
        <v>1367</v>
      </c>
      <c r="L1342" s="1391" t="s">
        <v>6264</v>
      </c>
    </row>
    <row r="1343" spans="2:12">
      <c r="B1343" s="5" t="s">
        <v>5874</v>
      </c>
      <c r="C1343" s="26" t="s">
        <v>6265</v>
      </c>
      <c r="D1343" s="1347">
        <v>172</v>
      </c>
      <c r="E1343" s="1346">
        <v>700</v>
      </c>
      <c r="F1343" s="611" t="s">
        <v>5836</v>
      </c>
      <c r="G1343" s="1408">
        <v>1169</v>
      </c>
      <c r="H1343" s="1353">
        <f t="shared" si="300"/>
        <v>0</v>
      </c>
      <c r="I1343" s="1353">
        <f t="shared" si="301"/>
        <v>0</v>
      </c>
      <c r="K1343" s="1391">
        <v>1368</v>
      </c>
      <c r="L1343" s="1391" t="s">
        <v>6266</v>
      </c>
    </row>
    <row r="1344" spans="2:12">
      <c r="B1344" s="5" t="s">
        <v>5877</v>
      </c>
      <c r="C1344" s="26" t="s">
        <v>6267</v>
      </c>
      <c r="D1344" s="1347">
        <v>0</v>
      </c>
      <c r="E1344" s="1346">
        <v>13</v>
      </c>
      <c r="F1344" s="611" t="s">
        <v>5839</v>
      </c>
      <c r="G1344" s="1408">
        <v>1170</v>
      </c>
      <c r="H1344" s="1353">
        <f t="shared" si="300"/>
        <v>0</v>
      </c>
      <c r="I1344" s="1353">
        <f t="shared" si="301"/>
        <v>0</v>
      </c>
      <c r="K1344" s="1391">
        <v>1369</v>
      </c>
      <c r="L1344" s="1391" t="s">
        <v>6268</v>
      </c>
    </row>
    <row r="1345" spans="2:12">
      <c r="B1345" s="5" t="s">
        <v>5886</v>
      </c>
      <c r="C1345" s="26" t="s">
        <v>6269</v>
      </c>
      <c r="D1345" s="1347">
        <v>378</v>
      </c>
      <c r="E1345" s="1346">
        <v>1290</v>
      </c>
      <c r="F1345" s="611" t="s">
        <v>5842</v>
      </c>
      <c r="G1345" s="1408">
        <v>1171</v>
      </c>
      <c r="H1345" s="1353">
        <f t="shared" si="300"/>
        <v>0</v>
      </c>
      <c r="I1345" s="1353">
        <f t="shared" si="301"/>
        <v>0</v>
      </c>
      <c r="K1345" s="1391">
        <v>1370</v>
      </c>
      <c r="L1345" s="1391" t="s">
        <v>6270</v>
      </c>
    </row>
    <row r="1346" spans="2:12">
      <c r="B1346" s="5" t="s">
        <v>5892</v>
      </c>
      <c r="C1346" s="26" t="s">
        <v>6271</v>
      </c>
      <c r="D1346" s="1347">
        <v>0</v>
      </c>
      <c r="E1346" s="1346">
        <v>0</v>
      </c>
      <c r="F1346" s="611" t="s">
        <v>5845</v>
      </c>
      <c r="G1346" s="1408">
        <v>1172</v>
      </c>
      <c r="H1346" s="1353">
        <f t="shared" si="300"/>
        <v>0</v>
      </c>
      <c r="I1346" s="1353">
        <f t="shared" si="301"/>
        <v>0</v>
      </c>
      <c r="K1346" s="1391">
        <v>1371</v>
      </c>
      <c r="L1346" s="1391" t="s">
        <v>6272</v>
      </c>
    </row>
    <row r="1347" spans="2:12">
      <c r="B1347" s="5" t="s">
        <v>5895</v>
      </c>
      <c r="C1347" s="26" t="s">
        <v>6273</v>
      </c>
      <c r="D1347" s="1347">
        <v>0</v>
      </c>
      <c r="E1347" s="1346">
        <v>6</v>
      </c>
      <c r="F1347" s="611" t="s">
        <v>5848</v>
      </c>
      <c r="G1347" s="1408">
        <v>1173</v>
      </c>
      <c r="H1347" s="1353">
        <f t="shared" si="300"/>
        <v>0</v>
      </c>
      <c r="I1347" s="1353">
        <f t="shared" si="301"/>
        <v>0</v>
      </c>
      <c r="K1347" s="1391">
        <v>1372</v>
      </c>
      <c r="L1347" s="1391" t="s">
        <v>6274</v>
      </c>
    </row>
    <row r="1348" spans="2:12">
      <c r="B1348" s="5" t="s">
        <v>5898</v>
      </c>
      <c r="C1348" s="26" t="s">
        <v>6275</v>
      </c>
      <c r="D1348" s="1347">
        <v>1932</v>
      </c>
      <c r="E1348" s="1346">
        <v>4936</v>
      </c>
      <c r="F1348" s="611" t="s">
        <v>5851</v>
      </c>
      <c r="G1348" s="1408">
        <v>1174</v>
      </c>
      <c r="H1348" s="1353">
        <f t="shared" si="300"/>
        <v>0</v>
      </c>
      <c r="I1348" s="1353">
        <f t="shared" si="301"/>
        <v>0</v>
      </c>
      <c r="K1348" s="1391">
        <v>1373</v>
      </c>
      <c r="L1348" s="1391" t="s">
        <v>6276</v>
      </c>
    </row>
    <row r="1349" spans="2:12">
      <c r="B1349" s="5" t="s">
        <v>5901</v>
      </c>
      <c r="C1349" s="26" t="s">
        <v>6277</v>
      </c>
      <c r="D1349" s="1347">
        <v>4740</v>
      </c>
      <c r="E1349" s="1346">
        <v>18510</v>
      </c>
      <c r="F1349" s="611" t="s">
        <v>5856</v>
      </c>
      <c r="G1349" s="1408">
        <v>1176</v>
      </c>
      <c r="H1349" s="1353">
        <f t="shared" ref="H1349:I1355" si="302">M1152</f>
        <v>0</v>
      </c>
      <c r="I1349" s="1353">
        <f t="shared" si="302"/>
        <v>0</v>
      </c>
      <c r="K1349" s="1391">
        <v>1374</v>
      </c>
      <c r="L1349" s="1391" t="s">
        <v>6278</v>
      </c>
    </row>
    <row r="1350" spans="2:12">
      <c r="B1350" s="5" t="s">
        <v>5904</v>
      </c>
      <c r="C1350" s="26" t="s">
        <v>6279</v>
      </c>
      <c r="D1350" s="1347">
        <v>0</v>
      </c>
      <c r="E1350" s="1346">
        <v>0</v>
      </c>
      <c r="F1350" s="611" t="s">
        <v>5858</v>
      </c>
      <c r="G1350" s="1408">
        <v>1177</v>
      </c>
      <c r="H1350" s="1353">
        <f t="shared" si="302"/>
        <v>0</v>
      </c>
      <c r="I1350" s="1353">
        <f t="shared" si="302"/>
        <v>0</v>
      </c>
      <c r="K1350" s="1391">
        <v>1375</v>
      </c>
      <c r="L1350" s="1391" t="s">
        <v>6280</v>
      </c>
    </row>
    <row r="1351" spans="2:12">
      <c r="B1351" s="5" t="s">
        <v>5907</v>
      </c>
      <c r="C1351" s="26" t="s">
        <v>6281</v>
      </c>
      <c r="D1351" s="1347">
        <v>973</v>
      </c>
      <c r="E1351" s="1346">
        <v>6530</v>
      </c>
      <c r="F1351" s="611" t="s">
        <v>5861</v>
      </c>
      <c r="G1351" s="1408">
        <v>1178</v>
      </c>
      <c r="H1351" s="1353">
        <f t="shared" si="302"/>
        <v>0</v>
      </c>
      <c r="I1351" s="1353">
        <f t="shared" si="302"/>
        <v>0</v>
      </c>
      <c r="K1351" s="1391">
        <v>1376</v>
      </c>
      <c r="L1351" s="1391" t="s">
        <v>6282</v>
      </c>
    </row>
    <row r="1352" spans="2:12">
      <c r="B1352" s="5" t="s">
        <v>5909</v>
      </c>
      <c r="C1352" s="26" t="s">
        <v>6283</v>
      </c>
      <c r="D1352" s="1347">
        <v>8</v>
      </c>
      <c r="E1352" s="1346">
        <v>31</v>
      </c>
      <c r="F1352" s="611" t="s">
        <v>5864</v>
      </c>
      <c r="G1352" s="1408">
        <v>1179</v>
      </c>
      <c r="H1352" s="1353">
        <f t="shared" si="302"/>
        <v>0</v>
      </c>
      <c r="I1352" s="1353">
        <f t="shared" si="302"/>
        <v>0</v>
      </c>
      <c r="K1352" s="1391">
        <v>1377</v>
      </c>
      <c r="L1352" s="1391" t="s">
        <v>6284</v>
      </c>
    </row>
    <row r="1353" spans="2:12">
      <c r="B1353" s="5" t="s">
        <v>5911</v>
      </c>
      <c r="C1353" s="26" t="s">
        <v>6285</v>
      </c>
      <c r="D1353" s="1347">
        <v>600</v>
      </c>
      <c r="E1353" s="1346">
        <v>2400</v>
      </c>
      <c r="F1353" s="611" t="s">
        <v>5867</v>
      </c>
      <c r="G1353" s="1408">
        <v>1180</v>
      </c>
      <c r="H1353" s="1353">
        <f t="shared" si="302"/>
        <v>0</v>
      </c>
      <c r="I1353" s="1353">
        <f t="shared" si="302"/>
        <v>0</v>
      </c>
      <c r="K1353" s="1391">
        <v>1378</v>
      </c>
      <c r="L1353" s="1391" t="s">
        <v>6286</v>
      </c>
    </row>
    <row r="1354" spans="2:12">
      <c r="B1354" s="5" t="s">
        <v>5914</v>
      </c>
      <c r="C1354" s="26" t="s">
        <v>6287</v>
      </c>
      <c r="D1354" s="1347">
        <v>408</v>
      </c>
      <c r="E1354" s="1346">
        <v>1632</v>
      </c>
      <c r="F1354" s="611" t="s">
        <v>5870</v>
      </c>
      <c r="G1354" s="1408">
        <v>1181</v>
      </c>
      <c r="H1354" s="1353">
        <f t="shared" si="302"/>
        <v>0</v>
      </c>
      <c r="I1354" s="1353">
        <f t="shared" si="302"/>
        <v>0</v>
      </c>
      <c r="K1354" s="1391">
        <v>1379</v>
      </c>
      <c r="L1354" s="1391" t="s">
        <v>6288</v>
      </c>
    </row>
    <row r="1355" spans="2:12">
      <c r="B1355" s="5" t="s">
        <v>5917</v>
      </c>
      <c r="C1355" s="26" t="s">
        <v>6289</v>
      </c>
      <c r="D1355" s="1347">
        <v>0</v>
      </c>
      <c r="E1355" s="1346">
        <v>0</v>
      </c>
      <c r="F1355" s="611" t="s">
        <v>5873</v>
      </c>
      <c r="G1355" s="1408">
        <v>1182</v>
      </c>
      <c r="H1355" s="1353">
        <f t="shared" si="302"/>
        <v>0</v>
      </c>
      <c r="I1355" s="1353">
        <f t="shared" si="302"/>
        <v>0</v>
      </c>
      <c r="K1355" s="1391">
        <v>1380</v>
      </c>
      <c r="L1355" s="1391" t="s">
        <v>6290</v>
      </c>
    </row>
    <row r="1356" spans="2:12">
      <c r="B1356" s="5" t="s">
        <v>5920</v>
      </c>
      <c r="C1356" s="26" t="s">
        <v>6291</v>
      </c>
      <c r="D1356" s="1347">
        <v>998</v>
      </c>
      <c r="E1356" s="1346">
        <v>3942</v>
      </c>
      <c r="F1356" s="611" t="s">
        <v>5879</v>
      </c>
      <c r="G1356" s="1408">
        <v>1184</v>
      </c>
      <c r="H1356" s="1353">
        <f t="shared" ref="H1356:I1361" si="303">M1160</f>
        <v>0</v>
      </c>
      <c r="I1356" s="1353">
        <f t="shared" si="303"/>
        <v>0</v>
      </c>
      <c r="K1356" s="1391">
        <v>1381</v>
      </c>
      <c r="L1356" s="1391" t="s">
        <v>6292</v>
      </c>
    </row>
    <row r="1357" spans="2:12">
      <c r="B1357" s="5" t="s">
        <v>5923</v>
      </c>
      <c r="C1357" s="26" t="s">
        <v>6293</v>
      </c>
      <c r="D1357" s="1347">
        <v>0</v>
      </c>
      <c r="E1357" s="1346">
        <v>0</v>
      </c>
      <c r="F1357" s="611" t="s">
        <v>5882</v>
      </c>
      <c r="G1357" s="1408">
        <v>1185</v>
      </c>
      <c r="H1357" s="1353">
        <f t="shared" si="303"/>
        <v>0</v>
      </c>
      <c r="I1357" s="1353">
        <f t="shared" si="303"/>
        <v>0</v>
      </c>
      <c r="K1357" s="1391">
        <v>1382</v>
      </c>
      <c r="L1357" s="1391" t="s">
        <v>6294</v>
      </c>
    </row>
    <row r="1358" spans="2:12">
      <c r="B1358" s="5" t="s">
        <v>5926</v>
      </c>
      <c r="C1358" s="26" t="s">
        <v>6295</v>
      </c>
      <c r="D1358" s="1347">
        <v>0</v>
      </c>
      <c r="E1358" s="1346">
        <v>0</v>
      </c>
      <c r="F1358" s="611" t="s">
        <v>5885</v>
      </c>
      <c r="G1358" s="1408">
        <v>1186</v>
      </c>
      <c r="H1358" s="1353">
        <f t="shared" si="303"/>
        <v>0</v>
      </c>
      <c r="I1358" s="1353">
        <f t="shared" si="303"/>
        <v>0</v>
      </c>
      <c r="K1358" s="1391">
        <v>1383</v>
      </c>
      <c r="L1358" s="1391" t="s">
        <v>6296</v>
      </c>
    </row>
    <row r="1359" spans="2:12">
      <c r="B1359" s="5" t="s">
        <v>5929</v>
      </c>
      <c r="C1359" s="26" t="s">
        <v>6297</v>
      </c>
      <c r="D1359" s="1347">
        <v>0</v>
      </c>
      <c r="E1359" s="1346">
        <v>1544</v>
      </c>
      <c r="F1359" s="611" t="s">
        <v>5888</v>
      </c>
      <c r="G1359" s="1408">
        <v>1187</v>
      </c>
      <c r="H1359" s="1353">
        <f t="shared" si="303"/>
        <v>0</v>
      </c>
      <c r="I1359" s="1353">
        <f t="shared" si="303"/>
        <v>0</v>
      </c>
      <c r="K1359" s="1391">
        <v>1384</v>
      </c>
      <c r="L1359" s="1391" t="s">
        <v>6298</v>
      </c>
    </row>
    <row r="1360" spans="2:12">
      <c r="B1360" s="5" t="s">
        <v>5932</v>
      </c>
      <c r="C1360" s="26" t="s">
        <v>6299</v>
      </c>
      <c r="D1360" s="1347">
        <v>1351</v>
      </c>
      <c r="E1360" s="1346">
        <v>5404</v>
      </c>
      <c r="F1360" s="611" t="s">
        <v>5891</v>
      </c>
      <c r="G1360" s="1408">
        <v>1188</v>
      </c>
      <c r="H1360" s="1353">
        <f t="shared" si="303"/>
        <v>0</v>
      </c>
      <c r="I1360" s="1353">
        <f t="shared" si="303"/>
        <v>0</v>
      </c>
      <c r="K1360" s="1391">
        <v>1385</v>
      </c>
      <c r="L1360" s="1391" t="s">
        <v>6300</v>
      </c>
    </row>
    <row r="1361" spans="2:12">
      <c r="B1361" s="5" t="s">
        <v>5935</v>
      </c>
      <c r="C1361" s="26" t="s">
        <v>6301</v>
      </c>
      <c r="D1361" s="1347">
        <v>0</v>
      </c>
      <c r="E1361" s="1346">
        <v>0</v>
      </c>
      <c r="F1361" s="611" t="s">
        <v>5894</v>
      </c>
      <c r="G1361" s="1408">
        <v>1189</v>
      </c>
      <c r="H1361" s="1353">
        <f t="shared" si="303"/>
        <v>0</v>
      </c>
      <c r="I1361" s="1353">
        <f t="shared" si="303"/>
        <v>0</v>
      </c>
      <c r="K1361" s="1391">
        <v>1386</v>
      </c>
      <c r="L1361" s="1391" t="s">
        <v>6302</v>
      </c>
    </row>
    <row r="1362" spans="2:12">
      <c r="B1362" s="5" t="s">
        <v>5938</v>
      </c>
      <c r="C1362" s="26" t="s">
        <v>6303</v>
      </c>
      <c r="D1362" s="1347">
        <v>2705</v>
      </c>
      <c r="E1362" s="1346">
        <v>8273</v>
      </c>
      <c r="F1362" s="611" t="s">
        <v>5913</v>
      </c>
      <c r="G1362" s="1408">
        <v>1196</v>
      </c>
      <c r="H1362" s="1353">
        <f>M1172</f>
        <v>0</v>
      </c>
      <c r="I1362" s="1353">
        <f>N1172</f>
        <v>0</v>
      </c>
      <c r="K1362" s="1391">
        <v>1387</v>
      </c>
      <c r="L1362" s="1391" t="s">
        <v>6304</v>
      </c>
    </row>
    <row r="1363" spans="2:12">
      <c r="B1363" s="5" t="s">
        <v>5813</v>
      </c>
      <c r="C1363" s="26" t="s">
        <v>6305</v>
      </c>
      <c r="D1363" s="1347">
        <v>3385</v>
      </c>
      <c r="E1363" s="1346">
        <v>13351</v>
      </c>
      <c r="F1363" s="611" t="s">
        <v>5922</v>
      </c>
      <c r="G1363" s="1408">
        <v>1199</v>
      </c>
      <c r="H1363" s="1353">
        <f t="shared" ref="H1363:H1371" si="304">M1175</f>
        <v>0</v>
      </c>
      <c r="I1363" s="1353">
        <f t="shared" ref="I1363:I1371" si="305">N1175</f>
        <v>0</v>
      </c>
      <c r="K1363" s="1391">
        <v>1388</v>
      </c>
      <c r="L1363" s="1391" t="s">
        <v>6306</v>
      </c>
    </row>
    <row r="1364" spans="2:12">
      <c r="B1364" s="5" t="s">
        <v>5816</v>
      </c>
      <c r="C1364" s="26" t="s">
        <v>6307</v>
      </c>
      <c r="D1364" s="1347">
        <v>-760</v>
      </c>
      <c r="E1364" s="1346">
        <v>7633</v>
      </c>
      <c r="F1364" s="611" t="s">
        <v>5925</v>
      </c>
      <c r="G1364" s="1408">
        <v>1200</v>
      </c>
      <c r="H1364" s="1353">
        <f t="shared" si="304"/>
        <v>0</v>
      </c>
      <c r="I1364" s="1353">
        <f t="shared" si="305"/>
        <v>0</v>
      </c>
      <c r="K1364" s="1391">
        <v>1389</v>
      </c>
      <c r="L1364" s="1391" t="s">
        <v>6308</v>
      </c>
    </row>
    <row r="1365" spans="2:12">
      <c r="B1365" s="5" t="s">
        <v>5819</v>
      </c>
      <c r="C1365" s="26" t="s">
        <v>6309</v>
      </c>
      <c r="D1365" s="1347">
        <v>53</v>
      </c>
      <c r="E1365" s="1346">
        <v>763</v>
      </c>
      <c r="F1365" s="611" t="s">
        <v>5928</v>
      </c>
      <c r="G1365" s="1408">
        <v>1201</v>
      </c>
      <c r="H1365" s="1353">
        <f t="shared" si="304"/>
        <v>0</v>
      </c>
      <c r="I1365" s="1353">
        <f t="shared" si="305"/>
        <v>0</v>
      </c>
      <c r="K1365" s="1391">
        <v>1390</v>
      </c>
      <c r="L1365" s="1391" t="s">
        <v>6310</v>
      </c>
    </row>
    <row r="1366" spans="2:12">
      <c r="B1366" s="5" t="s">
        <v>5822</v>
      </c>
      <c r="C1366" s="26" t="s">
        <v>6311</v>
      </c>
      <c r="D1366" s="1347">
        <v>8280</v>
      </c>
      <c r="E1366" s="1346">
        <v>34120</v>
      </c>
      <c r="F1366" s="611" t="s">
        <v>5931</v>
      </c>
      <c r="G1366" s="1408">
        <v>1202</v>
      </c>
      <c r="H1366" s="1353">
        <f t="shared" si="304"/>
        <v>0</v>
      </c>
      <c r="I1366" s="1353">
        <f t="shared" si="305"/>
        <v>0</v>
      </c>
      <c r="K1366" s="1391">
        <v>1391</v>
      </c>
      <c r="L1366" s="1391" t="s">
        <v>6312</v>
      </c>
    </row>
    <row r="1367" spans="2:12">
      <c r="B1367" s="5" t="s">
        <v>5825</v>
      </c>
      <c r="C1367" s="26" t="s">
        <v>6313</v>
      </c>
      <c r="D1367" s="1347">
        <v>1071</v>
      </c>
      <c r="E1367" s="1346">
        <v>3849</v>
      </c>
      <c r="F1367" s="611" t="s">
        <v>5934</v>
      </c>
      <c r="G1367" s="1408">
        <v>1203</v>
      </c>
      <c r="H1367" s="1353">
        <f t="shared" si="304"/>
        <v>0</v>
      </c>
      <c r="I1367" s="1353">
        <f t="shared" si="305"/>
        <v>0</v>
      </c>
      <c r="K1367" s="1391">
        <v>1392</v>
      </c>
      <c r="L1367" s="1391" t="s">
        <v>6314</v>
      </c>
    </row>
    <row r="1368" spans="2:12">
      <c r="B1368" s="5" t="s">
        <v>5828</v>
      </c>
      <c r="C1368" s="26" t="s">
        <v>6315</v>
      </c>
      <c r="D1368" s="1347">
        <v>0</v>
      </c>
      <c r="E1368" s="1346">
        <v>0</v>
      </c>
      <c r="F1368" s="611" t="s">
        <v>5937</v>
      </c>
      <c r="G1368" s="1408">
        <v>1204</v>
      </c>
      <c r="H1368" s="1353">
        <f t="shared" si="304"/>
        <v>0</v>
      </c>
      <c r="I1368" s="1353">
        <f t="shared" si="305"/>
        <v>0</v>
      </c>
      <c r="K1368" s="1391">
        <v>1393</v>
      </c>
      <c r="L1368" s="1391" t="s">
        <v>6316</v>
      </c>
    </row>
    <row r="1369" spans="2:12">
      <c r="B1369" s="5" t="s">
        <v>5831</v>
      </c>
      <c r="C1369" s="26" t="s">
        <v>6317</v>
      </c>
      <c r="D1369" s="1347">
        <v>369</v>
      </c>
      <c r="E1369" s="1346">
        <v>2426</v>
      </c>
      <c r="F1369" s="611" t="s">
        <v>5940</v>
      </c>
      <c r="G1369" s="1408">
        <v>1205</v>
      </c>
      <c r="H1369" s="1353">
        <f t="shared" si="304"/>
        <v>0</v>
      </c>
      <c r="I1369" s="1353">
        <f t="shared" si="305"/>
        <v>0</v>
      </c>
      <c r="K1369" s="1391">
        <v>1394</v>
      </c>
      <c r="L1369" s="1391" t="s">
        <v>6318</v>
      </c>
    </row>
    <row r="1370" spans="2:12">
      <c r="B1370" s="5" t="s">
        <v>5834</v>
      </c>
      <c r="C1370" s="26" t="s">
        <v>6319</v>
      </c>
      <c r="D1370" s="1347">
        <v>2166</v>
      </c>
      <c r="E1370" s="1346">
        <v>7278</v>
      </c>
      <c r="F1370" s="611" t="s">
        <v>5943</v>
      </c>
      <c r="G1370" s="1408">
        <v>1206</v>
      </c>
      <c r="H1370" s="1353">
        <f t="shared" si="304"/>
        <v>0</v>
      </c>
      <c r="I1370" s="1353">
        <f t="shared" si="305"/>
        <v>0</v>
      </c>
      <c r="K1370" s="1391">
        <v>1395</v>
      </c>
      <c r="L1370" s="1391" t="s">
        <v>6320</v>
      </c>
    </row>
    <row r="1371" spans="2:12">
      <c r="B1371" s="5" t="s">
        <v>5837</v>
      </c>
      <c r="C1371" s="26" t="s">
        <v>6321</v>
      </c>
      <c r="D1371" s="1347">
        <v>0</v>
      </c>
      <c r="E1371" s="1346">
        <v>0</v>
      </c>
      <c r="F1371" s="611" t="s">
        <v>5946</v>
      </c>
      <c r="G1371" s="1408">
        <v>1207</v>
      </c>
      <c r="H1371" s="1353">
        <f t="shared" si="304"/>
        <v>0</v>
      </c>
      <c r="I1371" s="1353">
        <f t="shared" si="305"/>
        <v>0</v>
      </c>
      <c r="K1371" s="1391">
        <v>1396</v>
      </c>
      <c r="L1371" s="1391" t="s">
        <v>6322</v>
      </c>
    </row>
    <row r="1372" spans="2:12">
      <c r="B1372" s="5" t="s">
        <v>5840</v>
      </c>
      <c r="C1372" s="26" t="s">
        <v>6323</v>
      </c>
      <c r="D1372" s="1347">
        <v>4654</v>
      </c>
      <c r="E1372" s="1346">
        <v>14213</v>
      </c>
      <c r="F1372" s="611" t="s">
        <v>5951</v>
      </c>
      <c r="G1372" s="1408">
        <v>1209</v>
      </c>
      <c r="H1372" s="1353">
        <f t="shared" ref="H1372:H1390" si="306">M1185</f>
        <v>0</v>
      </c>
      <c r="I1372" s="1353">
        <f t="shared" ref="I1372:I1390" si="307">N1185</f>
        <v>0</v>
      </c>
      <c r="K1372" s="1391">
        <v>1397</v>
      </c>
      <c r="L1372" s="1391" t="s">
        <v>6324</v>
      </c>
    </row>
    <row r="1373" spans="2:12">
      <c r="B1373" s="5" t="s">
        <v>5843</v>
      </c>
      <c r="C1373" s="26" t="s">
        <v>6325</v>
      </c>
      <c r="D1373" s="1347">
        <v>158</v>
      </c>
      <c r="E1373" s="1346">
        <v>953</v>
      </c>
      <c r="F1373" s="611" t="s">
        <v>5953</v>
      </c>
      <c r="G1373" s="1408">
        <v>1210</v>
      </c>
      <c r="H1373" s="1353">
        <f t="shared" si="306"/>
        <v>0</v>
      </c>
      <c r="I1373" s="1353">
        <f t="shared" si="307"/>
        <v>0</v>
      </c>
      <c r="K1373" s="1391">
        <v>1398</v>
      </c>
      <c r="L1373" s="1391" t="s">
        <v>6326</v>
      </c>
    </row>
    <row r="1374" spans="2:12">
      <c r="B1374" s="5" t="s">
        <v>5846</v>
      </c>
      <c r="C1374" s="26" t="s">
        <v>6327</v>
      </c>
      <c r="D1374" s="1347">
        <v>475</v>
      </c>
      <c r="E1374" s="1346">
        <v>2189</v>
      </c>
      <c r="F1374" s="611" t="s">
        <v>5955</v>
      </c>
      <c r="G1374" s="1408">
        <v>1211</v>
      </c>
      <c r="H1374" s="1353">
        <f t="shared" si="306"/>
        <v>0</v>
      </c>
      <c r="I1374" s="1353">
        <f t="shared" si="307"/>
        <v>0</v>
      </c>
      <c r="K1374" s="1391">
        <v>1399</v>
      </c>
      <c r="L1374" s="1391" t="s">
        <v>6328</v>
      </c>
    </row>
    <row r="1375" spans="2:12">
      <c r="B1375" s="5" t="s">
        <v>5849</v>
      </c>
      <c r="C1375" s="26" t="s">
        <v>6329</v>
      </c>
      <c r="D1375" s="1347">
        <v>0</v>
      </c>
      <c r="E1375" s="1346">
        <v>0</v>
      </c>
      <c r="F1375" s="611" t="s">
        <v>5957</v>
      </c>
      <c r="G1375" s="1408">
        <v>1212</v>
      </c>
      <c r="H1375" s="1353">
        <f t="shared" si="306"/>
        <v>0</v>
      </c>
      <c r="I1375" s="1353">
        <f t="shared" si="307"/>
        <v>0</v>
      </c>
      <c r="K1375" s="1391">
        <v>1400</v>
      </c>
      <c r="L1375" s="1391" t="s">
        <v>6330</v>
      </c>
    </row>
    <row r="1376" spans="2:12">
      <c r="B1376" s="5" t="s">
        <v>4418</v>
      </c>
      <c r="C1376" s="26" t="s">
        <v>6331</v>
      </c>
      <c r="D1376" s="1347">
        <v>638</v>
      </c>
      <c r="E1376" s="1346">
        <v>2905</v>
      </c>
      <c r="F1376" s="611" t="s">
        <v>5959</v>
      </c>
      <c r="G1376" s="1408">
        <v>1213</v>
      </c>
      <c r="H1376" s="1353">
        <f t="shared" si="306"/>
        <v>0</v>
      </c>
      <c r="I1376" s="1353">
        <f t="shared" si="307"/>
        <v>0</v>
      </c>
      <c r="K1376" s="1391">
        <v>1401</v>
      </c>
      <c r="L1376" s="1391" t="s">
        <v>6332</v>
      </c>
    </row>
    <row r="1377" spans="2:12">
      <c r="B1377" s="5" t="s">
        <v>5854</v>
      </c>
      <c r="C1377" s="26" t="s">
        <v>6333</v>
      </c>
      <c r="D1377" s="1347">
        <v>0</v>
      </c>
      <c r="E1377" s="1346">
        <v>0</v>
      </c>
      <c r="F1377" s="611" t="s">
        <v>5961</v>
      </c>
      <c r="G1377" s="1408">
        <v>1214</v>
      </c>
      <c r="H1377" s="1353">
        <f t="shared" si="306"/>
        <v>0</v>
      </c>
      <c r="I1377" s="1353">
        <f t="shared" si="307"/>
        <v>0</v>
      </c>
      <c r="K1377" s="1391">
        <v>1402</v>
      </c>
      <c r="L1377" s="1391" t="s">
        <v>6334</v>
      </c>
    </row>
    <row r="1378" spans="2:12">
      <c r="B1378" s="5" t="s">
        <v>36</v>
      </c>
      <c r="C1378" s="26" t="s">
        <v>6335</v>
      </c>
      <c r="D1378" s="1347">
        <v>50</v>
      </c>
      <c r="E1378" s="1346">
        <v>50</v>
      </c>
      <c r="F1378" s="611" t="s">
        <v>5963</v>
      </c>
      <c r="G1378" s="1408">
        <v>1215</v>
      </c>
      <c r="H1378" s="1353">
        <f t="shared" si="306"/>
        <v>0</v>
      </c>
      <c r="I1378" s="1353">
        <f t="shared" si="307"/>
        <v>0</v>
      </c>
      <c r="K1378" s="1391">
        <v>1403</v>
      </c>
      <c r="L1378" s="1391" t="s">
        <v>6336</v>
      </c>
    </row>
    <row r="1379" spans="2:12">
      <c r="B1379" s="5" t="s">
        <v>6168</v>
      </c>
      <c r="C1379" s="26" t="s">
        <v>6337</v>
      </c>
      <c r="D1379" s="1347">
        <v>-299</v>
      </c>
      <c r="E1379" s="1346">
        <v>915</v>
      </c>
      <c r="F1379" s="611" t="s">
        <v>5965</v>
      </c>
      <c r="G1379" s="1408">
        <v>1216</v>
      </c>
      <c r="H1379" s="1353">
        <f t="shared" si="306"/>
        <v>0</v>
      </c>
      <c r="I1379" s="1353">
        <f t="shared" si="307"/>
        <v>0</v>
      </c>
      <c r="K1379" s="1391">
        <v>1404</v>
      </c>
      <c r="L1379" s="1391" t="s">
        <v>6338</v>
      </c>
    </row>
    <row r="1380" spans="2:12">
      <c r="B1380" s="5" t="s">
        <v>5859</v>
      </c>
      <c r="C1380" s="26" t="s">
        <v>6339</v>
      </c>
      <c r="D1380" s="1347">
        <v>2395</v>
      </c>
      <c r="E1380" s="1346">
        <v>9358</v>
      </c>
      <c r="F1380" s="611" t="s">
        <v>5967</v>
      </c>
      <c r="G1380" s="1408">
        <v>1217</v>
      </c>
      <c r="H1380" s="1353">
        <f t="shared" si="306"/>
        <v>0</v>
      </c>
      <c r="I1380" s="1353">
        <f t="shared" si="307"/>
        <v>0</v>
      </c>
      <c r="K1380" s="1391">
        <v>1405</v>
      </c>
      <c r="L1380" s="1391" t="s">
        <v>6340</v>
      </c>
    </row>
    <row r="1381" spans="2:12">
      <c r="B1381" s="5" t="s">
        <v>5862</v>
      </c>
      <c r="C1381" s="26" t="s">
        <v>6341</v>
      </c>
      <c r="D1381" s="1347">
        <v>1069</v>
      </c>
      <c r="E1381" s="1346">
        <v>1798</v>
      </c>
      <c r="F1381" s="611" t="s">
        <v>5969</v>
      </c>
      <c r="G1381" s="1408">
        <v>1218</v>
      </c>
      <c r="H1381" s="1353">
        <f t="shared" si="306"/>
        <v>0</v>
      </c>
      <c r="I1381" s="1353">
        <f t="shared" si="307"/>
        <v>0</v>
      </c>
      <c r="K1381" s="1391">
        <v>1406</v>
      </c>
      <c r="L1381" s="1391" t="s">
        <v>6342</v>
      </c>
    </row>
    <row r="1382" spans="2:12">
      <c r="B1382" s="5" t="s">
        <v>5865</v>
      </c>
      <c r="C1382" s="26" t="s">
        <v>6343</v>
      </c>
      <c r="D1382" s="1347">
        <v>238</v>
      </c>
      <c r="E1382" s="1346">
        <v>659</v>
      </c>
      <c r="F1382" s="611" t="s">
        <v>5971</v>
      </c>
      <c r="G1382" s="1408">
        <v>1219</v>
      </c>
      <c r="H1382" s="1353">
        <f t="shared" si="306"/>
        <v>0</v>
      </c>
      <c r="I1382" s="1353">
        <f t="shared" si="307"/>
        <v>0</v>
      </c>
      <c r="K1382" s="1391">
        <v>1407</v>
      </c>
      <c r="L1382" s="1391" t="s">
        <v>6344</v>
      </c>
    </row>
    <row r="1383" spans="2:12">
      <c r="B1383" s="5" t="s">
        <v>5868</v>
      </c>
      <c r="C1383" s="26" t="s">
        <v>6345</v>
      </c>
      <c r="D1383" s="1347">
        <v>15</v>
      </c>
      <c r="E1383" s="1346">
        <v>27</v>
      </c>
      <c r="F1383" s="611" t="s">
        <v>5973</v>
      </c>
      <c r="G1383" s="1408">
        <v>1220</v>
      </c>
      <c r="H1383" s="1353">
        <f t="shared" si="306"/>
        <v>0</v>
      </c>
      <c r="I1383" s="1353">
        <f t="shared" si="307"/>
        <v>0</v>
      </c>
      <c r="K1383" s="1391">
        <v>1408</v>
      </c>
      <c r="L1383" s="1391" t="s">
        <v>6346</v>
      </c>
    </row>
    <row r="1384" spans="2:12">
      <c r="B1384" s="5" t="s">
        <v>5871</v>
      </c>
      <c r="C1384" s="26" t="s">
        <v>6347</v>
      </c>
      <c r="D1384" s="1347">
        <v>200</v>
      </c>
      <c r="E1384" s="1346">
        <v>300</v>
      </c>
      <c r="F1384" s="611" t="s">
        <v>5975</v>
      </c>
      <c r="G1384" s="1408">
        <v>1221</v>
      </c>
      <c r="H1384" s="1353">
        <f t="shared" si="306"/>
        <v>0</v>
      </c>
      <c r="I1384" s="1353">
        <f t="shared" si="307"/>
        <v>0</v>
      </c>
      <c r="K1384" s="1391">
        <v>1409</v>
      </c>
      <c r="L1384" s="1391" t="s">
        <v>6348</v>
      </c>
    </row>
    <row r="1385" spans="2:12">
      <c r="B1385" s="5" t="s">
        <v>5874</v>
      </c>
      <c r="C1385" s="26" t="s">
        <v>6349</v>
      </c>
      <c r="D1385" s="1347">
        <v>95</v>
      </c>
      <c r="E1385" s="1346">
        <v>251</v>
      </c>
      <c r="F1385" s="611" t="s">
        <v>5977</v>
      </c>
      <c r="G1385" s="1408">
        <v>1222</v>
      </c>
      <c r="H1385" s="1353">
        <f t="shared" si="306"/>
        <v>0</v>
      </c>
      <c r="I1385" s="1353">
        <f t="shared" si="307"/>
        <v>0</v>
      </c>
      <c r="K1385" s="1391">
        <v>1410</v>
      </c>
      <c r="L1385" s="1391" t="s">
        <v>6350</v>
      </c>
    </row>
    <row r="1386" spans="2:12">
      <c r="B1386" s="5" t="s">
        <v>5877</v>
      </c>
      <c r="C1386" s="26" t="s">
        <v>6351</v>
      </c>
      <c r="D1386" s="1347">
        <v>1943</v>
      </c>
      <c r="E1386" s="1346">
        <v>2186</v>
      </c>
      <c r="F1386" s="611" t="s">
        <v>5979</v>
      </c>
      <c r="G1386" s="1408">
        <v>1223</v>
      </c>
      <c r="H1386" s="1353">
        <f t="shared" si="306"/>
        <v>0</v>
      </c>
      <c r="I1386" s="1353">
        <f t="shared" si="307"/>
        <v>0</v>
      </c>
      <c r="K1386" s="1391">
        <v>1411</v>
      </c>
      <c r="L1386" s="1391" t="s">
        <v>6352</v>
      </c>
    </row>
    <row r="1387" spans="2:12">
      <c r="B1387" s="5" t="s">
        <v>5886</v>
      </c>
      <c r="C1387" s="26" t="s">
        <v>6353</v>
      </c>
      <c r="D1387" s="1347">
        <v>378</v>
      </c>
      <c r="E1387" s="1346">
        <v>1290</v>
      </c>
      <c r="F1387" s="611" t="s">
        <v>5981</v>
      </c>
      <c r="G1387" s="1408">
        <v>1224</v>
      </c>
      <c r="H1387" s="1353">
        <f t="shared" si="306"/>
        <v>0</v>
      </c>
      <c r="I1387" s="1353">
        <f t="shared" si="307"/>
        <v>0</v>
      </c>
      <c r="K1387" s="1391">
        <v>1412</v>
      </c>
      <c r="L1387" s="1391" t="s">
        <v>6354</v>
      </c>
    </row>
    <row r="1388" spans="2:12">
      <c r="B1388" s="5" t="s">
        <v>5892</v>
      </c>
      <c r="C1388" s="26" t="s">
        <v>6355</v>
      </c>
      <c r="D1388" s="1347">
        <v>0</v>
      </c>
      <c r="E1388" s="1346">
        <v>0</v>
      </c>
      <c r="F1388" s="611" t="s">
        <v>5983</v>
      </c>
      <c r="G1388" s="1408">
        <v>1225</v>
      </c>
      <c r="H1388" s="1353">
        <f t="shared" si="306"/>
        <v>0</v>
      </c>
      <c r="I1388" s="1353">
        <f t="shared" si="307"/>
        <v>0</v>
      </c>
      <c r="K1388" s="1391">
        <v>1413</v>
      </c>
      <c r="L1388" s="1391" t="s">
        <v>6356</v>
      </c>
    </row>
    <row r="1389" spans="2:12">
      <c r="B1389" s="5" t="s">
        <v>5895</v>
      </c>
      <c r="C1389" s="26" t="s">
        <v>6357</v>
      </c>
      <c r="D1389" s="1347">
        <v>55</v>
      </c>
      <c r="E1389" s="1346">
        <v>331</v>
      </c>
      <c r="F1389" s="611" t="s">
        <v>5985</v>
      </c>
      <c r="G1389" s="1408">
        <v>1226</v>
      </c>
      <c r="H1389" s="1353">
        <f t="shared" si="306"/>
        <v>0</v>
      </c>
      <c r="I1389" s="1353">
        <f t="shared" si="307"/>
        <v>0</v>
      </c>
      <c r="K1389" s="1391">
        <v>1414</v>
      </c>
      <c r="L1389" s="1391" t="s">
        <v>6358</v>
      </c>
    </row>
    <row r="1390" spans="2:12">
      <c r="B1390" s="5" t="s">
        <v>5898</v>
      </c>
      <c r="C1390" s="26" t="s">
        <v>6359</v>
      </c>
      <c r="D1390" s="1347">
        <v>0</v>
      </c>
      <c r="E1390" s="1346">
        <v>78</v>
      </c>
      <c r="F1390" s="611" t="s">
        <v>5987</v>
      </c>
      <c r="G1390" s="1408">
        <v>1227</v>
      </c>
      <c r="H1390" s="1353">
        <f t="shared" si="306"/>
        <v>0</v>
      </c>
      <c r="I1390" s="1353">
        <f t="shared" si="307"/>
        <v>0</v>
      </c>
      <c r="K1390" s="1391">
        <v>1415</v>
      </c>
      <c r="L1390" s="1391" t="s">
        <v>6360</v>
      </c>
    </row>
    <row r="1391" spans="2:12">
      <c r="B1391" s="5" t="s">
        <v>5901</v>
      </c>
      <c r="C1391" s="26" t="s">
        <v>6361</v>
      </c>
      <c r="D1391" s="1347">
        <v>4740</v>
      </c>
      <c r="E1391" s="1346">
        <v>18510</v>
      </c>
      <c r="F1391" s="611" t="s">
        <v>5991</v>
      </c>
      <c r="G1391" s="1408">
        <v>1229</v>
      </c>
      <c r="H1391" s="1353">
        <f t="shared" ref="H1391:I1397" si="308">M1205</f>
        <v>0</v>
      </c>
      <c r="I1391" s="1353">
        <f t="shared" si="308"/>
        <v>0</v>
      </c>
      <c r="K1391" s="1391">
        <v>1416</v>
      </c>
      <c r="L1391" s="1391" t="s">
        <v>6362</v>
      </c>
    </row>
    <row r="1392" spans="2:12">
      <c r="B1392" s="5" t="s">
        <v>5904</v>
      </c>
      <c r="C1392" s="26" t="s">
        <v>6363</v>
      </c>
      <c r="D1392" s="1347">
        <v>0</v>
      </c>
      <c r="E1392" s="1346">
        <v>0</v>
      </c>
      <c r="F1392" s="611" t="s">
        <v>5993</v>
      </c>
      <c r="G1392" s="1408">
        <v>1230</v>
      </c>
      <c r="H1392" s="1353">
        <f t="shared" si="308"/>
        <v>0</v>
      </c>
      <c r="I1392" s="1353">
        <f t="shared" si="308"/>
        <v>0</v>
      </c>
      <c r="K1392" s="1391">
        <v>1417</v>
      </c>
      <c r="L1392" s="1391" t="s">
        <v>6364</v>
      </c>
    </row>
    <row r="1393" spans="2:12">
      <c r="B1393" s="5" t="s">
        <v>5907</v>
      </c>
      <c r="C1393" s="26" t="s">
        <v>6365</v>
      </c>
      <c r="D1393" s="1347">
        <v>283</v>
      </c>
      <c r="E1393" s="1346">
        <v>3000</v>
      </c>
      <c r="F1393" s="611" t="s">
        <v>5995</v>
      </c>
      <c r="G1393" s="1408">
        <v>1231</v>
      </c>
      <c r="H1393" s="1353">
        <f t="shared" si="308"/>
        <v>0</v>
      </c>
      <c r="I1393" s="1353">
        <f t="shared" si="308"/>
        <v>0</v>
      </c>
      <c r="K1393" s="1391">
        <v>1418</v>
      </c>
      <c r="L1393" s="1391" t="s">
        <v>6366</v>
      </c>
    </row>
    <row r="1394" spans="2:12">
      <c r="B1394" s="5" t="s">
        <v>5909</v>
      </c>
      <c r="C1394" s="26" t="s">
        <v>6367</v>
      </c>
      <c r="D1394" s="1347">
        <v>8</v>
      </c>
      <c r="E1394" s="1346">
        <v>31</v>
      </c>
      <c r="F1394" s="611" t="s">
        <v>5997</v>
      </c>
      <c r="G1394" s="1408">
        <v>1232</v>
      </c>
      <c r="H1394" s="1353">
        <f t="shared" si="308"/>
        <v>0</v>
      </c>
      <c r="I1394" s="1353">
        <f t="shared" si="308"/>
        <v>0</v>
      </c>
      <c r="K1394" s="1391">
        <v>1419</v>
      </c>
      <c r="L1394" s="1391" t="s">
        <v>6368</v>
      </c>
    </row>
    <row r="1395" spans="2:12">
      <c r="B1395" s="5" t="s">
        <v>5911</v>
      </c>
      <c r="C1395" s="26" t="s">
        <v>6369</v>
      </c>
      <c r="D1395" s="1347">
        <v>600</v>
      </c>
      <c r="E1395" s="1346">
        <v>2400</v>
      </c>
      <c r="F1395" s="611" t="s">
        <v>5999</v>
      </c>
      <c r="G1395" s="1408">
        <v>1233</v>
      </c>
      <c r="H1395" s="1353">
        <f t="shared" si="308"/>
        <v>0</v>
      </c>
      <c r="I1395" s="1353">
        <f t="shared" si="308"/>
        <v>0</v>
      </c>
      <c r="K1395" s="1391">
        <v>1420</v>
      </c>
      <c r="L1395" s="1391" t="s">
        <v>6370</v>
      </c>
    </row>
    <row r="1396" spans="2:12">
      <c r="B1396" s="5" t="s">
        <v>5914</v>
      </c>
      <c r="C1396" s="26" t="s">
        <v>6371</v>
      </c>
      <c r="D1396" s="1347">
        <v>408</v>
      </c>
      <c r="E1396" s="1346">
        <v>1632</v>
      </c>
      <c r="F1396" s="611" t="s">
        <v>6001</v>
      </c>
      <c r="G1396" s="1408">
        <v>1234</v>
      </c>
      <c r="H1396" s="1353">
        <f t="shared" si="308"/>
        <v>0</v>
      </c>
      <c r="I1396" s="1353">
        <f t="shared" si="308"/>
        <v>0</v>
      </c>
      <c r="K1396" s="1391">
        <v>1421</v>
      </c>
      <c r="L1396" s="1391" t="s">
        <v>6372</v>
      </c>
    </row>
    <row r="1397" spans="2:12">
      <c r="B1397" s="5" t="s">
        <v>5917</v>
      </c>
      <c r="C1397" s="26" t="s">
        <v>6373</v>
      </c>
      <c r="D1397" s="1347">
        <v>0</v>
      </c>
      <c r="E1397" s="1346">
        <v>0</v>
      </c>
      <c r="F1397" s="611" t="s">
        <v>6003</v>
      </c>
      <c r="G1397" s="1408">
        <v>1235</v>
      </c>
      <c r="H1397" s="1353">
        <f t="shared" si="308"/>
        <v>0</v>
      </c>
      <c r="I1397" s="1353">
        <f t="shared" si="308"/>
        <v>0</v>
      </c>
      <c r="K1397" s="1391">
        <v>1422</v>
      </c>
      <c r="L1397" s="1391" t="s">
        <v>6374</v>
      </c>
    </row>
    <row r="1398" spans="2:12">
      <c r="B1398" s="5" t="s">
        <v>5920</v>
      </c>
      <c r="C1398" s="26" t="s">
        <v>6375</v>
      </c>
      <c r="D1398" s="1347">
        <v>998</v>
      </c>
      <c r="E1398" s="1346">
        <v>3942</v>
      </c>
      <c r="F1398" s="611" t="s">
        <v>6007</v>
      </c>
      <c r="G1398" s="1408">
        <v>1237</v>
      </c>
      <c r="H1398" s="1353">
        <f t="shared" ref="H1398:I1403" si="309">M1213</f>
        <v>0</v>
      </c>
      <c r="I1398" s="1353">
        <f t="shared" si="309"/>
        <v>0</v>
      </c>
      <c r="K1398" s="1391">
        <v>1423</v>
      </c>
      <c r="L1398" s="1391" t="s">
        <v>6376</v>
      </c>
    </row>
    <row r="1399" spans="2:12">
      <c r="B1399" s="5" t="s">
        <v>5923</v>
      </c>
      <c r="C1399" s="26" t="s">
        <v>6377</v>
      </c>
      <c r="D1399" s="1347">
        <v>0</v>
      </c>
      <c r="E1399" s="1346">
        <v>0</v>
      </c>
      <c r="F1399" s="611" t="s">
        <v>6009</v>
      </c>
      <c r="G1399" s="1408">
        <v>1238</v>
      </c>
      <c r="H1399" s="1353">
        <f t="shared" si="309"/>
        <v>0</v>
      </c>
      <c r="I1399" s="1353">
        <f t="shared" si="309"/>
        <v>0</v>
      </c>
      <c r="K1399" s="1391">
        <v>1424</v>
      </c>
      <c r="L1399" s="1391" t="s">
        <v>6378</v>
      </c>
    </row>
    <row r="1400" spans="2:12">
      <c r="B1400" s="5" t="s">
        <v>5926</v>
      </c>
      <c r="C1400" s="26" t="s">
        <v>6379</v>
      </c>
      <c r="D1400" s="1347">
        <v>0</v>
      </c>
      <c r="E1400" s="1346">
        <v>0</v>
      </c>
      <c r="F1400" s="611" t="s">
        <v>6011</v>
      </c>
      <c r="G1400" s="1408">
        <v>1239</v>
      </c>
      <c r="H1400" s="1353">
        <f t="shared" si="309"/>
        <v>0</v>
      </c>
      <c r="I1400" s="1353">
        <f t="shared" si="309"/>
        <v>0</v>
      </c>
      <c r="K1400" s="1391">
        <v>1425</v>
      </c>
      <c r="L1400" s="1391" t="s">
        <v>6380</v>
      </c>
    </row>
    <row r="1401" spans="2:12">
      <c r="B1401" s="5" t="s">
        <v>5929</v>
      </c>
      <c r="C1401" s="26" t="s">
        <v>6381</v>
      </c>
      <c r="D1401" s="1347">
        <v>0</v>
      </c>
      <c r="E1401" s="1346">
        <v>147</v>
      </c>
      <c r="F1401" s="611" t="s">
        <v>6013</v>
      </c>
      <c r="G1401" s="1408">
        <v>1240</v>
      </c>
      <c r="H1401" s="1353">
        <f t="shared" si="309"/>
        <v>0</v>
      </c>
      <c r="I1401" s="1353">
        <f t="shared" si="309"/>
        <v>0</v>
      </c>
      <c r="K1401" s="1391">
        <v>1426</v>
      </c>
      <c r="L1401" s="1391" t="s">
        <v>6382</v>
      </c>
    </row>
    <row r="1402" spans="2:12">
      <c r="B1402" s="5" t="s">
        <v>5932</v>
      </c>
      <c r="C1402" s="26" t="s">
        <v>6383</v>
      </c>
      <c r="D1402" s="1347">
        <v>1351</v>
      </c>
      <c r="E1402" s="1346">
        <v>5404</v>
      </c>
      <c r="F1402" s="611" t="s">
        <v>6015</v>
      </c>
      <c r="G1402" s="1408">
        <v>1241</v>
      </c>
      <c r="H1402" s="1353">
        <f t="shared" si="309"/>
        <v>0</v>
      </c>
      <c r="I1402" s="1353">
        <f t="shared" si="309"/>
        <v>0</v>
      </c>
      <c r="K1402" s="1391">
        <v>1427</v>
      </c>
      <c r="L1402" s="1391" t="s">
        <v>6384</v>
      </c>
    </row>
    <row r="1403" spans="2:12">
      <c r="B1403" s="5" t="s">
        <v>5935</v>
      </c>
      <c r="C1403" s="26" t="s">
        <v>6385</v>
      </c>
      <c r="D1403" s="1347">
        <v>0</v>
      </c>
      <c r="E1403" s="1346">
        <v>0</v>
      </c>
      <c r="F1403" s="611" t="s">
        <v>6017</v>
      </c>
      <c r="G1403" s="1408">
        <v>1242</v>
      </c>
      <c r="H1403" s="1353">
        <f t="shared" si="309"/>
        <v>0</v>
      </c>
      <c r="I1403" s="1353">
        <f t="shared" si="309"/>
        <v>0</v>
      </c>
      <c r="K1403" s="1391">
        <v>1428</v>
      </c>
      <c r="L1403" s="1391" t="s">
        <v>6386</v>
      </c>
    </row>
    <row r="1404" spans="2:12">
      <c r="B1404" s="5" t="s">
        <v>5938</v>
      </c>
      <c r="C1404" s="26" t="s">
        <v>6387</v>
      </c>
      <c r="D1404" s="1347">
        <v>7328</v>
      </c>
      <c r="E1404" s="1346">
        <v>39727</v>
      </c>
      <c r="F1404" s="611" t="s">
        <v>6029</v>
      </c>
      <c r="G1404" s="1408">
        <v>1249</v>
      </c>
      <c r="H1404" s="1353">
        <f t="shared" ref="H1404:H1413" si="310">M1225</f>
        <v>0</v>
      </c>
      <c r="I1404" s="1353">
        <f t="shared" ref="I1404:I1413" si="311">N1225</f>
        <v>0</v>
      </c>
      <c r="K1404" s="1391">
        <v>1429</v>
      </c>
      <c r="L1404" s="1391" t="s">
        <v>6388</v>
      </c>
    </row>
    <row r="1405" spans="2:12">
      <c r="B1405" s="5" t="s">
        <v>5813</v>
      </c>
      <c r="C1405" s="26" t="s">
        <v>6389</v>
      </c>
      <c r="D1405" s="1347">
        <v>0</v>
      </c>
      <c r="E1405" s="1346">
        <v>0</v>
      </c>
      <c r="F1405" s="611" t="s">
        <v>6031</v>
      </c>
      <c r="G1405" s="1408">
        <v>1250</v>
      </c>
      <c r="H1405" s="1353">
        <f t="shared" si="310"/>
        <v>0</v>
      </c>
      <c r="I1405" s="1353">
        <f t="shared" si="311"/>
        <v>0</v>
      </c>
      <c r="K1405" s="1391">
        <v>1430</v>
      </c>
      <c r="L1405" s="1391" t="s">
        <v>6390</v>
      </c>
    </row>
    <row r="1406" spans="2:12">
      <c r="B1406" s="5" t="s">
        <v>5816</v>
      </c>
      <c r="C1406" s="26" t="s">
        <v>6391</v>
      </c>
      <c r="D1406" s="1347">
        <v>0</v>
      </c>
      <c r="E1406" s="1346">
        <v>0</v>
      </c>
      <c r="F1406" s="611" t="s">
        <v>6033</v>
      </c>
      <c r="G1406" s="1408">
        <v>1251</v>
      </c>
      <c r="H1406" s="1353">
        <f t="shared" si="310"/>
        <v>0</v>
      </c>
      <c r="I1406" s="1353">
        <f t="shared" si="311"/>
        <v>0</v>
      </c>
      <c r="K1406" s="1391">
        <v>1431</v>
      </c>
      <c r="L1406" s="1391" t="s">
        <v>6392</v>
      </c>
    </row>
    <row r="1407" spans="2:12">
      <c r="B1407" s="5" t="s">
        <v>5819</v>
      </c>
      <c r="C1407" s="26" t="s">
        <v>6393</v>
      </c>
      <c r="D1407" s="1347">
        <v>0</v>
      </c>
      <c r="E1407" s="1346">
        <v>0</v>
      </c>
      <c r="F1407" s="611" t="s">
        <v>6035</v>
      </c>
      <c r="G1407" s="1408">
        <v>1252</v>
      </c>
      <c r="H1407" s="1353">
        <f t="shared" si="310"/>
        <v>0</v>
      </c>
      <c r="I1407" s="1353">
        <f t="shared" si="311"/>
        <v>0</v>
      </c>
      <c r="K1407" s="1391">
        <v>1432</v>
      </c>
      <c r="L1407" s="1391" t="s">
        <v>6394</v>
      </c>
    </row>
    <row r="1408" spans="2:12">
      <c r="B1408" s="5" t="s">
        <v>5822</v>
      </c>
      <c r="C1408" s="26" t="s">
        <v>6395</v>
      </c>
      <c r="D1408" s="1347">
        <v>0</v>
      </c>
      <c r="E1408" s="1346">
        <v>0</v>
      </c>
      <c r="F1408" s="611" t="s">
        <v>6037</v>
      </c>
      <c r="G1408" s="1408">
        <v>1253</v>
      </c>
      <c r="H1408" s="1353">
        <f t="shared" si="310"/>
        <v>0</v>
      </c>
      <c r="I1408" s="1353">
        <f t="shared" si="311"/>
        <v>0</v>
      </c>
      <c r="K1408" s="1391">
        <v>1433</v>
      </c>
      <c r="L1408" s="1391" t="s">
        <v>6396</v>
      </c>
    </row>
    <row r="1409" spans="2:12">
      <c r="B1409" s="5" t="s">
        <v>5825</v>
      </c>
      <c r="C1409" s="26" t="s">
        <v>6397</v>
      </c>
      <c r="D1409" s="1347">
        <v>0</v>
      </c>
      <c r="E1409" s="1346">
        <v>0</v>
      </c>
      <c r="F1409" s="611" t="s">
        <v>6039</v>
      </c>
      <c r="G1409" s="1408">
        <v>1254</v>
      </c>
      <c r="H1409" s="1353">
        <f t="shared" si="310"/>
        <v>0</v>
      </c>
      <c r="I1409" s="1353">
        <f t="shared" si="311"/>
        <v>0</v>
      </c>
      <c r="K1409" s="1391">
        <v>1434</v>
      </c>
      <c r="L1409" s="1391" t="s">
        <v>6398</v>
      </c>
    </row>
    <row r="1410" spans="2:12">
      <c r="B1410" s="5" t="s">
        <v>5828</v>
      </c>
      <c r="C1410" s="26" t="s">
        <v>6399</v>
      </c>
      <c r="D1410" s="1347">
        <v>0</v>
      </c>
      <c r="E1410" s="1346">
        <v>0</v>
      </c>
      <c r="F1410" s="611" t="s">
        <v>6041</v>
      </c>
      <c r="G1410" s="1408">
        <v>1255</v>
      </c>
      <c r="H1410" s="1353">
        <f t="shared" si="310"/>
        <v>0</v>
      </c>
      <c r="I1410" s="1353">
        <f t="shared" si="311"/>
        <v>0</v>
      </c>
      <c r="K1410" s="1391">
        <v>1435</v>
      </c>
      <c r="L1410" s="1391" t="s">
        <v>6400</v>
      </c>
    </row>
    <row r="1411" spans="2:12">
      <c r="B1411" s="5" t="s">
        <v>5831</v>
      </c>
      <c r="C1411" s="26" t="s">
        <v>6401</v>
      </c>
      <c r="D1411" s="1347">
        <v>0</v>
      </c>
      <c r="E1411" s="1346">
        <v>0</v>
      </c>
      <c r="F1411" s="611" t="s">
        <v>6043</v>
      </c>
      <c r="G1411" s="1408">
        <v>1256</v>
      </c>
      <c r="H1411" s="1353">
        <f t="shared" si="310"/>
        <v>0</v>
      </c>
      <c r="I1411" s="1353">
        <f t="shared" si="311"/>
        <v>0</v>
      </c>
      <c r="K1411" s="1391">
        <v>1436</v>
      </c>
      <c r="L1411" s="1391" t="s">
        <v>6402</v>
      </c>
    </row>
    <row r="1412" spans="2:12">
      <c r="B1412" s="5" t="s">
        <v>5834</v>
      </c>
      <c r="C1412" s="26" t="s">
        <v>6403</v>
      </c>
      <c r="D1412" s="1347">
        <v>0</v>
      </c>
      <c r="E1412" s="1346">
        <v>0</v>
      </c>
      <c r="F1412" s="611" t="s">
        <v>6045</v>
      </c>
      <c r="G1412" s="1408">
        <v>1257</v>
      </c>
      <c r="H1412" s="1353">
        <f t="shared" si="310"/>
        <v>0</v>
      </c>
      <c r="I1412" s="1353">
        <f t="shared" si="311"/>
        <v>0</v>
      </c>
      <c r="K1412" s="1391">
        <v>1437</v>
      </c>
      <c r="L1412" s="1391" t="s">
        <v>6404</v>
      </c>
    </row>
    <row r="1413" spans="2:12">
      <c r="B1413" s="5" t="s">
        <v>5837</v>
      </c>
      <c r="C1413" s="26" t="s">
        <v>6405</v>
      </c>
      <c r="D1413" s="1347">
        <v>0</v>
      </c>
      <c r="E1413" s="1346">
        <v>0</v>
      </c>
      <c r="F1413" s="611" t="s">
        <v>6047</v>
      </c>
      <c r="G1413" s="1408">
        <v>1258</v>
      </c>
      <c r="H1413" s="1353">
        <f t="shared" si="310"/>
        <v>0</v>
      </c>
      <c r="I1413" s="1353">
        <f t="shared" si="311"/>
        <v>0</v>
      </c>
      <c r="K1413" s="1391">
        <v>1438</v>
      </c>
      <c r="L1413" s="1391" t="s">
        <v>6406</v>
      </c>
    </row>
    <row r="1414" spans="2:12">
      <c r="B1414" s="5" t="s">
        <v>5840</v>
      </c>
      <c r="C1414" s="26" t="s">
        <v>6407</v>
      </c>
      <c r="D1414" s="1347">
        <v>0</v>
      </c>
      <c r="E1414" s="1346">
        <v>0</v>
      </c>
      <c r="F1414" s="611" t="s">
        <v>6051</v>
      </c>
      <c r="G1414" s="1408">
        <v>1260</v>
      </c>
      <c r="H1414" s="1353">
        <f t="shared" ref="H1414:H1431" si="312">M1236</f>
        <v>0</v>
      </c>
      <c r="I1414" s="1353">
        <f t="shared" ref="I1414:I1431" si="313">N1236</f>
        <v>0</v>
      </c>
      <c r="K1414" s="1391">
        <v>1439</v>
      </c>
      <c r="L1414" s="1391" t="s">
        <v>6408</v>
      </c>
    </row>
    <row r="1415" spans="2:12">
      <c r="B1415" s="5" t="s">
        <v>5843</v>
      </c>
      <c r="C1415" s="26" t="s">
        <v>6409</v>
      </c>
      <c r="D1415" s="1347">
        <v>0</v>
      </c>
      <c r="E1415" s="1346">
        <v>0</v>
      </c>
      <c r="F1415" s="611" t="s">
        <v>6053</v>
      </c>
      <c r="G1415" s="1408">
        <v>1261</v>
      </c>
      <c r="H1415" s="1353">
        <f t="shared" si="312"/>
        <v>0</v>
      </c>
      <c r="I1415" s="1353">
        <f t="shared" si="313"/>
        <v>0</v>
      </c>
      <c r="K1415" s="1391">
        <v>1440</v>
      </c>
      <c r="L1415" s="1391" t="s">
        <v>6410</v>
      </c>
    </row>
    <row r="1416" spans="2:12">
      <c r="B1416" s="5" t="s">
        <v>5846</v>
      </c>
      <c r="C1416" s="26" t="s">
        <v>6411</v>
      </c>
      <c r="D1416" s="1347">
        <v>0</v>
      </c>
      <c r="E1416" s="1346">
        <v>0</v>
      </c>
      <c r="F1416" s="611" t="s">
        <v>6055</v>
      </c>
      <c r="G1416" s="1408">
        <v>1262</v>
      </c>
      <c r="H1416" s="1353">
        <f t="shared" si="312"/>
        <v>0</v>
      </c>
      <c r="I1416" s="1353">
        <f t="shared" si="313"/>
        <v>0</v>
      </c>
      <c r="K1416" s="1391">
        <v>1441</v>
      </c>
      <c r="L1416" s="1391" t="s">
        <v>6412</v>
      </c>
    </row>
    <row r="1417" spans="2:12">
      <c r="B1417" s="5" t="s">
        <v>5849</v>
      </c>
      <c r="C1417" s="26" t="s">
        <v>6413</v>
      </c>
      <c r="D1417" s="1347">
        <v>0</v>
      </c>
      <c r="E1417" s="1346">
        <v>0</v>
      </c>
      <c r="F1417" s="611" t="s">
        <v>6057</v>
      </c>
      <c r="G1417" s="1408">
        <v>1263</v>
      </c>
      <c r="H1417" s="1353">
        <f t="shared" si="312"/>
        <v>0</v>
      </c>
      <c r="I1417" s="1353">
        <f t="shared" si="313"/>
        <v>0</v>
      </c>
      <c r="K1417" s="1391">
        <v>1442</v>
      </c>
      <c r="L1417" s="1391" t="s">
        <v>6414</v>
      </c>
    </row>
    <row r="1418" spans="2:12">
      <c r="B1418" s="5" t="s">
        <v>4418</v>
      </c>
      <c r="C1418" s="26" t="s">
        <v>6415</v>
      </c>
      <c r="D1418" s="1347">
        <v>0</v>
      </c>
      <c r="E1418" s="1346">
        <v>0</v>
      </c>
      <c r="F1418" s="611" t="s">
        <v>6059</v>
      </c>
      <c r="G1418" s="1408">
        <v>1264</v>
      </c>
      <c r="H1418" s="1353">
        <f t="shared" si="312"/>
        <v>0</v>
      </c>
      <c r="I1418" s="1353">
        <f t="shared" si="313"/>
        <v>0</v>
      </c>
      <c r="K1418" s="1391">
        <v>1443</v>
      </c>
      <c r="L1418" s="1391" t="s">
        <v>6416</v>
      </c>
    </row>
    <row r="1419" spans="2:12">
      <c r="B1419" s="5" t="s">
        <v>5854</v>
      </c>
      <c r="C1419" s="26" t="s">
        <v>6417</v>
      </c>
      <c r="D1419" s="1347">
        <v>0</v>
      </c>
      <c r="E1419" s="1346">
        <v>0</v>
      </c>
      <c r="F1419" s="611" t="s">
        <v>6061</v>
      </c>
      <c r="G1419" s="1408">
        <v>1265</v>
      </c>
      <c r="H1419" s="1353">
        <f t="shared" si="312"/>
        <v>0</v>
      </c>
      <c r="I1419" s="1353">
        <f t="shared" si="313"/>
        <v>0</v>
      </c>
      <c r="K1419" s="1391">
        <v>1444</v>
      </c>
      <c r="L1419" s="1391" t="s">
        <v>6418</v>
      </c>
    </row>
    <row r="1420" spans="2:12">
      <c r="B1420" s="5" t="s">
        <v>36</v>
      </c>
      <c r="C1420" s="26" t="s">
        <v>6419</v>
      </c>
      <c r="D1420" s="1347">
        <v>0</v>
      </c>
      <c r="E1420" s="1346">
        <v>0</v>
      </c>
      <c r="F1420" s="611" t="s">
        <v>6063</v>
      </c>
      <c r="G1420" s="1408">
        <v>1266</v>
      </c>
      <c r="H1420" s="1353">
        <f t="shared" si="312"/>
        <v>0</v>
      </c>
      <c r="I1420" s="1353">
        <f t="shared" si="313"/>
        <v>0</v>
      </c>
      <c r="K1420" s="1391">
        <v>1445</v>
      </c>
      <c r="L1420" s="1391" t="s">
        <v>6420</v>
      </c>
    </row>
    <row r="1421" spans="2:12">
      <c r="B1421" s="5" t="s">
        <v>5859</v>
      </c>
      <c r="C1421" s="26" t="s">
        <v>6421</v>
      </c>
      <c r="D1421" s="1347">
        <v>0</v>
      </c>
      <c r="E1421" s="1346">
        <v>0</v>
      </c>
      <c r="F1421" s="611" t="s">
        <v>6065</v>
      </c>
      <c r="G1421" s="1408">
        <v>1267</v>
      </c>
      <c r="H1421" s="1353">
        <f t="shared" si="312"/>
        <v>0</v>
      </c>
      <c r="I1421" s="1353">
        <f t="shared" si="313"/>
        <v>0</v>
      </c>
      <c r="K1421" s="1391">
        <v>1446</v>
      </c>
      <c r="L1421" s="1391" t="s">
        <v>6422</v>
      </c>
    </row>
    <row r="1422" spans="2:12">
      <c r="B1422" s="5" t="s">
        <v>5862</v>
      </c>
      <c r="C1422" s="26" t="s">
        <v>6423</v>
      </c>
      <c r="D1422" s="1347">
        <v>0</v>
      </c>
      <c r="E1422" s="1346">
        <v>0</v>
      </c>
      <c r="F1422" s="611" t="s">
        <v>6067</v>
      </c>
      <c r="G1422" s="1408">
        <v>1268</v>
      </c>
      <c r="H1422" s="1353">
        <f t="shared" si="312"/>
        <v>0</v>
      </c>
      <c r="I1422" s="1353">
        <f t="shared" si="313"/>
        <v>0</v>
      </c>
      <c r="K1422" s="1391">
        <v>1447</v>
      </c>
      <c r="L1422" s="1391" t="s">
        <v>6424</v>
      </c>
    </row>
    <row r="1423" spans="2:12">
      <c r="B1423" s="5" t="s">
        <v>5865</v>
      </c>
      <c r="C1423" s="26" t="s">
        <v>6425</v>
      </c>
      <c r="D1423" s="1347">
        <v>0</v>
      </c>
      <c r="E1423" s="1346">
        <v>0</v>
      </c>
      <c r="F1423" s="611" t="s">
        <v>6069</v>
      </c>
      <c r="G1423" s="1408">
        <v>1269</v>
      </c>
      <c r="H1423" s="1353">
        <f t="shared" si="312"/>
        <v>0</v>
      </c>
      <c r="I1423" s="1353">
        <f t="shared" si="313"/>
        <v>0</v>
      </c>
      <c r="K1423" s="1391">
        <v>1448</v>
      </c>
      <c r="L1423" s="1391" t="s">
        <v>6426</v>
      </c>
    </row>
    <row r="1424" spans="2:12">
      <c r="B1424" s="5" t="s">
        <v>5868</v>
      </c>
      <c r="C1424" s="26" t="s">
        <v>6427</v>
      </c>
      <c r="D1424" s="1347">
        <v>0</v>
      </c>
      <c r="E1424" s="1346">
        <v>0</v>
      </c>
      <c r="F1424" s="611" t="s">
        <v>6071</v>
      </c>
      <c r="G1424" s="1408">
        <v>1270</v>
      </c>
      <c r="H1424" s="1353">
        <f t="shared" si="312"/>
        <v>0</v>
      </c>
      <c r="I1424" s="1353">
        <f t="shared" si="313"/>
        <v>0</v>
      </c>
      <c r="K1424" s="1391">
        <v>1449</v>
      </c>
      <c r="L1424" s="1391" t="s">
        <v>6428</v>
      </c>
    </row>
    <row r="1425" spans="2:12">
      <c r="B1425" s="5" t="s">
        <v>5871</v>
      </c>
      <c r="C1425" s="26" t="s">
        <v>6429</v>
      </c>
      <c r="D1425" s="1347">
        <v>0</v>
      </c>
      <c r="E1425" s="1346">
        <v>0</v>
      </c>
      <c r="F1425" s="611" t="s">
        <v>6073</v>
      </c>
      <c r="G1425" s="1408">
        <v>1271</v>
      </c>
      <c r="H1425" s="1353">
        <f t="shared" si="312"/>
        <v>0</v>
      </c>
      <c r="I1425" s="1353">
        <f t="shared" si="313"/>
        <v>0</v>
      </c>
      <c r="K1425" s="1391">
        <v>1450</v>
      </c>
      <c r="L1425" s="1391" t="s">
        <v>6430</v>
      </c>
    </row>
    <row r="1426" spans="2:12">
      <c r="B1426" s="5" t="s">
        <v>5874</v>
      </c>
      <c r="C1426" s="26" t="s">
        <v>6431</v>
      </c>
      <c r="D1426" s="1347">
        <v>0</v>
      </c>
      <c r="E1426" s="1346">
        <v>0</v>
      </c>
      <c r="F1426" s="611" t="s">
        <v>6075</v>
      </c>
      <c r="G1426" s="1408">
        <v>1272</v>
      </c>
      <c r="H1426" s="1353">
        <f t="shared" si="312"/>
        <v>0</v>
      </c>
      <c r="I1426" s="1353">
        <f t="shared" si="313"/>
        <v>0</v>
      </c>
      <c r="K1426" s="1391">
        <v>1451</v>
      </c>
      <c r="L1426" s="1391" t="s">
        <v>6432</v>
      </c>
    </row>
    <row r="1427" spans="2:12">
      <c r="B1427" s="5" t="s">
        <v>5877</v>
      </c>
      <c r="C1427" s="26" t="s">
        <v>6433</v>
      </c>
      <c r="D1427" s="1347">
        <v>0</v>
      </c>
      <c r="E1427" s="1346">
        <v>0</v>
      </c>
      <c r="F1427" s="611" t="s">
        <v>6077</v>
      </c>
      <c r="G1427" s="1408">
        <v>1273</v>
      </c>
      <c r="H1427" s="1353">
        <f t="shared" si="312"/>
        <v>0</v>
      </c>
      <c r="I1427" s="1353">
        <f t="shared" si="313"/>
        <v>0</v>
      </c>
      <c r="K1427" s="1391">
        <v>1452</v>
      </c>
      <c r="L1427" s="1391" t="s">
        <v>6434</v>
      </c>
    </row>
    <row r="1428" spans="2:12">
      <c r="B1428" s="5" t="s">
        <v>5886</v>
      </c>
      <c r="C1428" s="26" t="s">
        <v>6435</v>
      </c>
      <c r="D1428" s="1347">
        <v>0</v>
      </c>
      <c r="E1428" s="1346">
        <v>0</v>
      </c>
      <c r="F1428" s="611" t="s">
        <v>6079</v>
      </c>
      <c r="G1428" s="1408">
        <v>1274</v>
      </c>
      <c r="H1428" s="1353">
        <f t="shared" si="312"/>
        <v>0</v>
      </c>
      <c r="I1428" s="1353">
        <f t="shared" si="313"/>
        <v>0</v>
      </c>
      <c r="K1428" s="1391">
        <v>1453</v>
      </c>
      <c r="L1428" s="1391" t="s">
        <v>6436</v>
      </c>
    </row>
    <row r="1429" spans="2:12">
      <c r="B1429" s="5" t="s">
        <v>5892</v>
      </c>
      <c r="C1429" s="26" t="s">
        <v>6437</v>
      </c>
      <c r="D1429" s="1347">
        <v>0</v>
      </c>
      <c r="E1429" s="1346">
        <v>0</v>
      </c>
      <c r="F1429" s="611" t="s">
        <v>6081</v>
      </c>
      <c r="G1429" s="1408">
        <v>1275</v>
      </c>
      <c r="H1429" s="1353">
        <f t="shared" si="312"/>
        <v>0</v>
      </c>
      <c r="I1429" s="1353">
        <f t="shared" si="313"/>
        <v>0</v>
      </c>
      <c r="K1429" s="1391">
        <v>1454</v>
      </c>
      <c r="L1429" s="1391" t="s">
        <v>6438</v>
      </c>
    </row>
    <row r="1430" spans="2:12">
      <c r="B1430" s="5" t="s">
        <v>5895</v>
      </c>
      <c r="C1430" s="26" t="s">
        <v>6439</v>
      </c>
      <c r="D1430" s="1347">
        <v>0</v>
      </c>
      <c r="E1430" s="1346">
        <v>0</v>
      </c>
      <c r="F1430" s="611" t="s">
        <v>6083</v>
      </c>
      <c r="G1430" s="1408">
        <v>1276</v>
      </c>
      <c r="H1430" s="1353">
        <f t="shared" si="312"/>
        <v>0</v>
      </c>
      <c r="I1430" s="1353">
        <f t="shared" si="313"/>
        <v>0</v>
      </c>
      <c r="K1430" s="1391">
        <v>1455</v>
      </c>
      <c r="L1430" s="1391" t="s">
        <v>6440</v>
      </c>
    </row>
    <row r="1431" spans="2:12">
      <c r="B1431" s="5" t="s">
        <v>5898</v>
      </c>
      <c r="C1431" s="26" t="s">
        <v>6441</v>
      </c>
      <c r="D1431" s="1347">
        <v>0</v>
      </c>
      <c r="E1431" s="1346">
        <v>0</v>
      </c>
      <c r="F1431" s="611" t="s">
        <v>6085</v>
      </c>
      <c r="G1431" s="1408">
        <v>1277</v>
      </c>
      <c r="H1431" s="1353">
        <f t="shared" si="312"/>
        <v>0</v>
      </c>
      <c r="I1431" s="1353">
        <f t="shared" si="313"/>
        <v>0</v>
      </c>
      <c r="K1431" s="1391">
        <v>1456</v>
      </c>
      <c r="L1431" s="1391" t="s">
        <v>6442</v>
      </c>
    </row>
    <row r="1432" spans="2:12">
      <c r="B1432" s="5" t="s">
        <v>5901</v>
      </c>
      <c r="C1432" s="26" t="s">
        <v>6443</v>
      </c>
      <c r="D1432" s="1347">
        <v>0</v>
      </c>
      <c r="E1432" s="1346">
        <v>0</v>
      </c>
      <c r="F1432" s="611" t="s">
        <v>6089</v>
      </c>
      <c r="G1432" s="1408">
        <v>1279</v>
      </c>
      <c r="H1432" s="1353">
        <f t="shared" ref="H1432:I1438" si="314">M1255</f>
        <v>0</v>
      </c>
      <c r="I1432" s="1353">
        <f t="shared" si="314"/>
        <v>0</v>
      </c>
      <c r="K1432" s="1391">
        <v>1457</v>
      </c>
      <c r="L1432" s="1391" t="s">
        <v>6444</v>
      </c>
    </row>
    <row r="1433" spans="2:12">
      <c r="B1433" s="5" t="s">
        <v>5904</v>
      </c>
      <c r="C1433" s="26" t="s">
        <v>6445</v>
      </c>
      <c r="D1433" s="1347">
        <v>0</v>
      </c>
      <c r="E1433" s="1346">
        <v>0</v>
      </c>
      <c r="F1433" s="611" t="s">
        <v>6091</v>
      </c>
      <c r="G1433" s="1408">
        <v>1280</v>
      </c>
      <c r="H1433" s="1353">
        <f t="shared" si="314"/>
        <v>0</v>
      </c>
      <c r="I1433" s="1353">
        <f t="shared" si="314"/>
        <v>0</v>
      </c>
      <c r="K1433" s="1391">
        <v>1458</v>
      </c>
      <c r="L1433" s="1391" t="s">
        <v>6446</v>
      </c>
    </row>
    <row r="1434" spans="2:12">
      <c r="B1434" s="5" t="s">
        <v>5907</v>
      </c>
      <c r="C1434" s="26" t="s">
        <v>6447</v>
      </c>
      <c r="D1434" s="1347">
        <v>0</v>
      </c>
      <c r="E1434" s="1346">
        <v>0</v>
      </c>
      <c r="F1434" s="611" t="s">
        <v>6093</v>
      </c>
      <c r="G1434" s="1408">
        <v>1281</v>
      </c>
      <c r="H1434" s="1353">
        <f t="shared" si="314"/>
        <v>0</v>
      </c>
      <c r="I1434" s="1353">
        <f t="shared" si="314"/>
        <v>0</v>
      </c>
      <c r="K1434" s="1391">
        <v>1459</v>
      </c>
      <c r="L1434" s="1391" t="s">
        <v>6448</v>
      </c>
    </row>
    <row r="1435" spans="2:12">
      <c r="B1435" s="5" t="s">
        <v>5909</v>
      </c>
      <c r="C1435" s="26" t="s">
        <v>6449</v>
      </c>
      <c r="D1435" s="1347">
        <v>0</v>
      </c>
      <c r="E1435" s="1346">
        <v>0</v>
      </c>
      <c r="F1435" s="611" t="s">
        <v>6095</v>
      </c>
      <c r="G1435" s="1408">
        <v>1282</v>
      </c>
      <c r="H1435" s="1353">
        <f t="shared" si="314"/>
        <v>0</v>
      </c>
      <c r="I1435" s="1353">
        <f t="shared" si="314"/>
        <v>0</v>
      </c>
      <c r="K1435" s="1391">
        <v>1460</v>
      </c>
      <c r="L1435" s="1391" t="s">
        <v>6450</v>
      </c>
    </row>
    <row r="1436" spans="2:12">
      <c r="B1436" s="5" t="s">
        <v>5911</v>
      </c>
      <c r="C1436" s="26" t="s">
        <v>6451</v>
      </c>
      <c r="D1436" s="1347">
        <v>0</v>
      </c>
      <c r="E1436" s="1346">
        <v>0</v>
      </c>
      <c r="F1436" s="611" t="s">
        <v>6097</v>
      </c>
      <c r="G1436" s="1408">
        <v>1283</v>
      </c>
      <c r="H1436" s="1353">
        <f t="shared" si="314"/>
        <v>0</v>
      </c>
      <c r="I1436" s="1353">
        <f t="shared" si="314"/>
        <v>0</v>
      </c>
      <c r="K1436" s="1391">
        <v>1461</v>
      </c>
      <c r="L1436" s="1391" t="s">
        <v>6452</v>
      </c>
    </row>
    <row r="1437" spans="2:12">
      <c r="B1437" s="5" t="s">
        <v>5914</v>
      </c>
      <c r="C1437" s="26" t="s">
        <v>6453</v>
      </c>
      <c r="D1437" s="1347">
        <v>0</v>
      </c>
      <c r="E1437" s="1346">
        <v>0</v>
      </c>
      <c r="F1437" s="611" t="s">
        <v>6099</v>
      </c>
      <c r="G1437" s="1408">
        <v>1284</v>
      </c>
      <c r="H1437" s="1353">
        <f t="shared" si="314"/>
        <v>0</v>
      </c>
      <c r="I1437" s="1353">
        <f t="shared" si="314"/>
        <v>0</v>
      </c>
      <c r="K1437" s="1391">
        <v>1462</v>
      </c>
      <c r="L1437" s="1391" t="s">
        <v>6454</v>
      </c>
    </row>
    <row r="1438" spans="2:12">
      <c r="B1438" s="5" t="s">
        <v>5917</v>
      </c>
      <c r="C1438" s="26" t="s">
        <v>6455</v>
      </c>
      <c r="D1438" s="1347">
        <v>0</v>
      </c>
      <c r="E1438" s="1346">
        <v>0</v>
      </c>
      <c r="F1438" s="611" t="s">
        <v>6101</v>
      </c>
      <c r="G1438" s="1408">
        <v>1285</v>
      </c>
      <c r="H1438" s="1353">
        <f t="shared" si="314"/>
        <v>0</v>
      </c>
      <c r="I1438" s="1353">
        <f t="shared" si="314"/>
        <v>0</v>
      </c>
      <c r="K1438" s="1391">
        <v>1463</v>
      </c>
      <c r="L1438" s="1391" t="s">
        <v>6456</v>
      </c>
    </row>
    <row r="1439" spans="2:12">
      <c r="B1439" s="5" t="s">
        <v>5920</v>
      </c>
      <c r="C1439" s="26" t="s">
        <v>6457</v>
      </c>
      <c r="D1439" s="1347">
        <v>0</v>
      </c>
      <c r="E1439" s="1346">
        <v>0</v>
      </c>
      <c r="F1439" s="611" t="s">
        <v>6105</v>
      </c>
      <c r="G1439" s="1408">
        <v>1287</v>
      </c>
      <c r="H1439" s="1353">
        <f t="shared" ref="H1439:I1444" si="315">M1263</f>
        <v>0</v>
      </c>
      <c r="I1439" s="1353">
        <f t="shared" si="315"/>
        <v>0</v>
      </c>
      <c r="K1439" s="1391">
        <v>1464</v>
      </c>
      <c r="L1439" s="1391" t="s">
        <v>6458</v>
      </c>
    </row>
    <row r="1440" spans="2:12">
      <c r="B1440" s="5" t="s">
        <v>5923</v>
      </c>
      <c r="C1440" s="26" t="s">
        <v>6459</v>
      </c>
      <c r="D1440" s="1347">
        <v>0</v>
      </c>
      <c r="E1440" s="1346">
        <v>0</v>
      </c>
      <c r="F1440" s="611" t="s">
        <v>6107</v>
      </c>
      <c r="G1440" s="1408">
        <v>1288</v>
      </c>
      <c r="H1440" s="1353">
        <f t="shared" si="315"/>
        <v>0</v>
      </c>
      <c r="I1440" s="1353">
        <f t="shared" si="315"/>
        <v>0</v>
      </c>
      <c r="K1440" s="1391">
        <v>1465</v>
      </c>
      <c r="L1440" s="1391" t="s">
        <v>6460</v>
      </c>
    </row>
    <row r="1441" spans="1:12">
      <c r="B1441" s="5" t="s">
        <v>5926</v>
      </c>
      <c r="C1441" s="26" t="s">
        <v>6461</v>
      </c>
      <c r="D1441" s="1347">
        <v>0</v>
      </c>
      <c r="E1441" s="1346">
        <v>0</v>
      </c>
      <c r="F1441" s="611" t="s">
        <v>6109</v>
      </c>
      <c r="G1441" s="1408">
        <v>1289</v>
      </c>
      <c r="H1441" s="1353">
        <f t="shared" si="315"/>
        <v>0</v>
      </c>
      <c r="I1441" s="1353">
        <f t="shared" si="315"/>
        <v>0</v>
      </c>
      <c r="K1441" s="1391">
        <v>1466</v>
      </c>
      <c r="L1441" s="1391" t="s">
        <v>6462</v>
      </c>
    </row>
    <row r="1442" spans="1:12">
      <c r="B1442" s="5" t="s">
        <v>5929</v>
      </c>
      <c r="C1442" s="26" t="s">
        <v>6463</v>
      </c>
      <c r="D1442" s="1347">
        <v>0</v>
      </c>
      <c r="E1442" s="1346">
        <v>0</v>
      </c>
      <c r="F1442" s="611" t="s">
        <v>6111</v>
      </c>
      <c r="G1442" s="1408">
        <v>1290</v>
      </c>
      <c r="H1442" s="1353">
        <f t="shared" si="315"/>
        <v>0</v>
      </c>
      <c r="I1442" s="1353">
        <f t="shared" si="315"/>
        <v>0</v>
      </c>
      <c r="K1442" s="1391">
        <v>1467</v>
      </c>
      <c r="L1442" s="1391" t="s">
        <v>6464</v>
      </c>
    </row>
    <row r="1443" spans="1:12">
      <c r="B1443" s="5" t="s">
        <v>5932</v>
      </c>
      <c r="C1443" s="26" t="s">
        <v>6465</v>
      </c>
      <c r="D1443" s="1347">
        <v>0</v>
      </c>
      <c r="E1443" s="1346">
        <v>0</v>
      </c>
      <c r="F1443" s="611" t="s">
        <v>6113</v>
      </c>
      <c r="G1443" s="1408">
        <v>1291</v>
      </c>
      <c r="H1443" s="1353">
        <f t="shared" si="315"/>
        <v>0</v>
      </c>
      <c r="I1443" s="1353">
        <f t="shared" si="315"/>
        <v>0</v>
      </c>
      <c r="K1443" s="1391">
        <v>1468</v>
      </c>
      <c r="L1443" s="1391" t="s">
        <v>6466</v>
      </c>
    </row>
    <row r="1444" spans="1:12">
      <c r="B1444" s="5" t="s">
        <v>5935</v>
      </c>
      <c r="C1444" s="26" t="s">
        <v>6467</v>
      </c>
      <c r="D1444" s="1347">
        <v>0</v>
      </c>
      <c r="E1444" s="1346">
        <v>0</v>
      </c>
      <c r="F1444" s="611" t="s">
        <v>6115</v>
      </c>
      <c r="G1444" s="1408">
        <v>1292</v>
      </c>
      <c r="H1444" s="1353">
        <f t="shared" si="315"/>
        <v>0</v>
      </c>
      <c r="I1444" s="1353">
        <f t="shared" si="315"/>
        <v>0</v>
      </c>
      <c r="K1444" s="1391">
        <v>1469</v>
      </c>
      <c r="L1444" s="1391" t="s">
        <v>6468</v>
      </c>
    </row>
    <row r="1445" spans="1:12">
      <c r="B1445" s="5" t="s">
        <v>6469</v>
      </c>
      <c r="C1445" s="26" t="s">
        <v>6470</v>
      </c>
      <c r="D1445" s="1347">
        <v>0</v>
      </c>
      <c r="E1445" s="1346">
        <v>0</v>
      </c>
      <c r="F1445" s="611" t="s">
        <v>6121</v>
      </c>
      <c r="G1445" s="1408">
        <v>1295</v>
      </c>
      <c r="H1445" s="1353">
        <f>M1271</f>
        <v>0</v>
      </c>
      <c r="I1445" s="1353">
        <f>N1271</f>
        <v>0</v>
      </c>
      <c r="K1445" s="1391">
        <v>1470</v>
      </c>
      <c r="L1445" s="1391" t="s">
        <v>6471</v>
      </c>
    </row>
    <row r="1446" spans="1:12">
      <c r="A1446" s="611" t="s">
        <v>6472</v>
      </c>
      <c r="B1446" s="5" t="s">
        <v>6473</v>
      </c>
      <c r="C1446" s="26">
        <v>902</v>
      </c>
      <c r="D1446" s="1347">
        <v>0</v>
      </c>
      <c r="E1446" s="1346">
        <v>0</v>
      </c>
      <c r="F1446" s="611" t="s">
        <v>6125</v>
      </c>
      <c r="G1446" s="1408">
        <v>1297</v>
      </c>
      <c r="H1446" s="1353">
        <f t="shared" ref="H1446:I1448" si="316">M1273</f>
        <v>0</v>
      </c>
      <c r="I1446" s="1353">
        <f t="shared" si="316"/>
        <v>0</v>
      </c>
      <c r="K1446" s="1391">
        <v>1471</v>
      </c>
      <c r="L1446" s="1391" t="s">
        <v>6474</v>
      </c>
    </row>
    <row r="1447" spans="1:12">
      <c r="B1447" s="5" t="s">
        <v>6475</v>
      </c>
      <c r="C1447" s="26">
        <v>903</v>
      </c>
      <c r="D1447" s="1347">
        <v>0</v>
      </c>
      <c r="E1447" s="1346">
        <v>0</v>
      </c>
      <c r="F1447" s="611" t="s">
        <v>6127</v>
      </c>
      <c r="G1447" s="1408">
        <v>1298</v>
      </c>
      <c r="H1447" s="1353">
        <f t="shared" si="316"/>
        <v>0</v>
      </c>
      <c r="I1447" s="1353">
        <f t="shared" si="316"/>
        <v>0</v>
      </c>
      <c r="K1447" s="1391">
        <v>1472</v>
      </c>
      <c r="L1447" s="1391" t="s">
        <v>6476</v>
      </c>
    </row>
    <row r="1448" spans="1:12">
      <c r="B1448" s="5" t="s">
        <v>6477</v>
      </c>
      <c r="C1448" s="26">
        <v>905</v>
      </c>
      <c r="D1448" s="1347">
        <v>51923</v>
      </c>
      <c r="E1448" s="1346">
        <v>55961</v>
      </c>
      <c r="F1448" s="611" t="s">
        <v>6129</v>
      </c>
      <c r="G1448" s="1408">
        <v>1299</v>
      </c>
      <c r="H1448" s="1353">
        <f t="shared" si="316"/>
        <v>0</v>
      </c>
      <c r="I1448" s="1353">
        <f t="shared" si="316"/>
        <v>0</v>
      </c>
      <c r="K1448" s="1391">
        <v>1473</v>
      </c>
      <c r="L1448" s="1391" t="s">
        <v>6478</v>
      </c>
    </row>
    <row r="1449" spans="1:12">
      <c r="B1449" s="5" t="s">
        <v>6479</v>
      </c>
      <c r="C1449" s="26">
        <v>909</v>
      </c>
      <c r="D1449" s="1347">
        <v>1346</v>
      </c>
      <c r="E1449" s="1346">
        <v>228767</v>
      </c>
      <c r="F1449" s="611" t="s">
        <v>6480</v>
      </c>
      <c r="G1449" s="1408">
        <v>13274</v>
      </c>
      <c r="H1449" s="1353">
        <f>M2709</f>
        <v>0</v>
      </c>
      <c r="I1449" s="1353">
        <f>N2709</f>
        <v>0</v>
      </c>
      <c r="K1449" s="1391">
        <v>1474</v>
      </c>
      <c r="L1449" s="1391" t="s">
        <v>6481</v>
      </c>
    </row>
    <row r="1450" spans="1:12">
      <c r="B1450" s="5" t="s">
        <v>6482</v>
      </c>
      <c r="C1450" s="26" t="s">
        <v>6483</v>
      </c>
      <c r="D1450" s="1347">
        <v>0</v>
      </c>
      <c r="E1450" s="1346">
        <v>2</v>
      </c>
      <c r="F1450" s="611" t="s">
        <v>6131</v>
      </c>
      <c r="G1450" s="1408">
        <v>1300</v>
      </c>
      <c r="H1450" s="1353">
        <f>M1276</f>
        <v>0</v>
      </c>
      <c r="I1450" s="1353">
        <f>N1276</f>
        <v>0</v>
      </c>
      <c r="K1450" s="1391">
        <v>1475</v>
      </c>
      <c r="L1450" s="1391" t="s">
        <v>6484</v>
      </c>
    </row>
    <row r="1451" spans="1:12">
      <c r="B1451" s="5" t="s">
        <v>6485</v>
      </c>
      <c r="C1451" s="26">
        <v>953</v>
      </c>
      <c r="D1451" s="1347">
        <v>0</v>
      </c>
      <c r="E1451" s="1346">
        <v>0</v>
      </c>
      <c r="F1451" s="611" t="s">
        <v>6135</v>
      </c>
      <c r="G1451" s="1408">
        <v>1302</v>
      </c>
      <c r="H1451" s="1353">
        <f>M1278</f>
        <v>0</v>
      </c>
      <c r="I1451" s="1353">
        <f>N1278</f>
        <v>0</v>
      </c>
      <c r="K1451" s="1391">
        <v>1476</v>
      </c>
      <c r="L1451" s="1391" t="s">
        <v>6486</v>
      </c>
    </row>
    <row r="1452" spans="1:12">
      <c r="B1452" s="5" t="s">
        <v>6487</v>
      </c>
      <c r="C1452" s="26">
        <v>955</v>
      </c>
      <c r="D1452" s="1347">
        <v>18</v>
      </c>
      <c r="E1452" s="1346">
        <v>42</v>
      </c>
      <c r="F1452" s="611" t="s">
        <v>6137</v>
      </c>
      <c r="G1452" s="1408">
        <v>7910</v>
      </c>
      <c r="H1452" s="1353">
        <f>M2706</f>
        <v>0</v>
      </c>
      <c r="I1452" s="1353">
        <f>N2706</f>
        <v>0</v>
      </c>
      <c r="K1452" s="1391">
        <v>1477</v>
      </c>
      <c r="L1452" s="1391" t="s">
        <v>6488</v>
      </c>
    </row>
    <row r="1453" spans="1:12">
      <c r="B1453" s="5" t="s">
        <v>6489</v>
      </c>
      <c r="C1453" s="26" t="s">
        <v>6490</v>
      </c>
      <c r="D1453" s="1347">
        <v>53251</v>
      </c>
      <c r="E1453" s="1346">
        <v>284688</v>
      </c>
      <c r="F1453" s="611" t="s">
        <v>4720</v>
      </c>
      <c r="G1453" s="1408">
        <v>798</v>
      </c>
      <c r="H1453" s="1353">
        <f>M776</f>
        <v>0</v>
      </c>
      <c r="I1453" s="1353">
        <f>N776</f>
        <v>0</v>
      </c>
      <c r="K1453" s="1391">
        <v>1478</v>
      </c>
      <c r="L1453" s="1391" t="s">
        <v>6491</v>
      </c>
    </row>
    <row r="1454" spans="1:12">
      <c r="A1454" s="611" t="s">
        <v>2582</v>
      </c>
      <c r="B1454" s="5" t="s">
        <v>6492</v>
      </c>
      <c r="C1454" s="26" t="s">
        <v>109</v>
      </c>
      <c r="D1454" s="1347">
        <v>0</v>
      </c>
      <c r="E1454" s="1346">
        <v>0</v>
      </c>
      <c r="F1454" s="611" t="s">
        <v>6493</v>
      </c>
      <c r="G1454" s="1414">
        <v>3960</v>
      </c>
      <c r="H1454" s="1353">
        <f t="shared" ref="H1454:H1472" si="317">M2045</f>
        <v>0</v>
      </c>
      <c r="I1454" s="1353">
        <f t="shared" ref="I1454:I1472" si="318">N2045</f>
        <v>0</v>
      </c>
      <c r="K1454" s="1391">
        <v>1479</v>
      </c>
      <c r="L1454" s="1391" t="s">
        <v>6494</v>
      </c>
    </row>
    <row r="1455" spans="1:12">
      <c r="B1455" s="5" t="s">
        <v>6495</v>
      </c>
      <c r="C1455" s="26" t="s">
        <v>111</v>
      </c>
      <c r="D1455" s="1347">
        <v>0</v>
      </c>
      <c r="E1455" s="1346">
        <v>33144</v>
      </c>
      <c r="F1455" s="611" t="s">
        <v>6496</v>
      </c>
      <c r="G1455" s="1414">
        <v>3961</v>
      </c>
      <c r="H1455" s="1353">
        <f t="shared" si="317"/>
        <v>0</v>
      </c>
      <c r="I1455" s="1353">
        <f t="shared" si="318"/>
        <v>0</v>
      </c>
      <c r="K1455" s="1391">
        <v>1480</v>
      </c>
      <c r="L1455" s="1391" t="s">
        <v>6497</v>
      </c>
    </row>
    <row r="1456" spans="1:12">
      <c r="B1456" s="5" t="s">
        <v>6498</v>
      </c>
      <c r="C1456" s="26" t="s">
        <v>113</v>
      </c>
      <c r="D1456" s="1347">
        <v>0</v>
      </c>
      <c r="E1456" s="1346">
        <v>0</v>
      </c>
      <c r="F1456" s="611" t="s">
        <v>6499</v>
      </c>
      <c r="G1456" s="1414">
        <v>3962</v>
      </c>
      <c r="H1456" s="1353">
        <f t="shared" si="317"/>
        <v>0</v>
      </c>
      <c r="I1456" s="1353">
        <f t="shared" si="318"/>
        <v>0</v>
      </c>
      <c r="K1456" s="1391">
        <v>1481</v>
      </c>
      <c r="L1456" s="1391" t="s">
        <v>6500</v>
      </c>
    </row>
    <row r="1457" spans="2:12">
      <c r="B1457" s="5" t="s">
        <v>6501</v>
      </c>
      <c r="C1457" s="26" t="s">
        <v>115</v>
      </c>
      <c r="D1457" s="1347">
        <v>0</v>
      </c>
      <c r="E1457" s="1346">
        <v>0</v>
      </c>
      <c r="F1457" s="611" t="s">
        <v>6502</v>
      </c>
      <c r="G1457" s="1414">
        <v>3963</v>
      </c>
      <c r="H1457" s="1353">
        <f t="shared" si="317"/>
        <v>0</v>
      </c>
      <c r="I1457" s="1353">
        <f t="shared" si="318"/>
        <v>0</v>
      </c>
      <c r="K1457" s="1391">
        <v>1482</v>
      </c>
      <c r="L1457" s="1391" t="s">
        <v>6503</v>
      </c>
    </row>
    <row r="1458" spans="2:12">
      <c r="B1458" s="5" t="s">
        <v>6504</v>
      </c>
      <c r="C1458" s="26" t="s">
        <v>117</v>
      </c>
      <c r="D1458" s="1347">
        <v>0</v>
      </c>
      <c r="E1458" s="1346">
        <v>0</v>
      </c>
      <c r="F1458" s="611" t="s">
        <v>6505</v>
      </c>
      <c r="G1458" s="1414">
        <v>3964</v>
      </c>
      <c r="H1458" s="1353">
        <f t="shared" si="317"/>
        <v>0</v>
      </c>
      <c r="I1458" s="1353">
        <f t="shared" si="318"/>
        <v>0</v>
      </c>
      <c r="K1458" s="1391">
        <v>1483</v>
      </c>
      <c r="L1458" s="1391" t="s">
        <v>6506</v>
      </c>
    </row>
    <row r="1459" spans="2:12">
      <c r="B1459" s="5" t="s">
        <v>6507</v>
      </c>
      <c r="C1459" s="26" t="s">
        <v>119</v>
      </c>
      <c r="D1459" s="1347">
        <v>0</v>
      </c>
      <c r="E1459" s="1346">
        <v>0</v>
      </c>
      <c r="F1459" s="611" t="s">
        <v>6508</v>
      </c>
      <c r="G1459" s="1414">
        <v>3965</v>
      </c>
      <c r="H1459" s="1353">
        <f t="shared" si="317"/>
        <v>0</v>
      </c>
      <c r="I1459" s="1353">
        <f t="shared" si="318"/>
        <v>0</v>
      </c>
      <c r="K1459" s="1391">
        <v>1484</v>
      </c>
      <c r="L1459" s="1391" t="s">
        <v>6509</v>
      </c>
    </row>
    <row r="1460" spans="2:12">
      <c r="B1460" s="5" t="s">
        <v>6510</v>
      </c>
      <c r="C1460" s="26" t="s">
        <v>121</v>
      </c>
      <c r="D1460" s="1347">
        <v>0</v>
      </c>
      <c r="E1460" s="1346">
        <v>0</v>
      </c>
      <c r="F1460" s="611" t="s">
        <v>6511</v>
      </c>
      <c r="G1460" s="1414">
        <v>3966</v>
      </c>
      <c r="H1460" s="1353">
        <f t="shared" si="317"/>
        <v>0</v>
      </c>
      <c r="I1460" s="1353">
        <f t="shared" si="318"/>
        <v>0</v>
      </c>
      <c r="K1460" s="1391">
        <v>1485</v>
      </c>
      <c r="L1460" s="1391" t="s">
        <v>6512</v>
      </c>
    </row>
    <row r="1461" spans="2:12">
      <c r="B1461" s="5" t="s">
        <v>6513</v>
      </c>
      <c r="C1461" s="26" t="s">
        <v>123</v>
      </c>
      <c r="D1461" s="1347">
        <v>0</v>
      </c>
      <c r="E1461" s="1346">
        <v>0</v>
      </c>
      <c r="F1461" s="611" t="s">
        <v>6514</v>
      </c>
      <c r="G1461" s="1414">
        <v>3967</v>
      </c>
      <c r="H1461" s="1353">
        <f t="shared" si="317"/>
        <v>0</v>
      </c>
      <c r="I1461" s="1353">
        <f t="shared" si="318"/>
        <v>0</v>
      </c>
      <c r="K1461" s="1391">
        <v>1486</v>
      </c>
      <c r="L1461" s="1391" t="s">
        <v>6515</v>
      </c>
    </row>
    <row r="1462" spans="2:12">
      <c r="B1462" s="5" t="s">
        <v>6516</v>
      </c>
      <c r="C1462" s="26" t="s">
        <v>125</v>
      </c>
      <c r="D1462" s="1347">
        <v>0</v>
      </c>
      <c r="E1462" s="1346">
        <v>0</v>
      </c>
      <c r="F1462" s="611" t="s">
        <v>6517</v>
      </c>
      <c r="G1462" s="1414">
        <v>3968</v>
      </c>
      <c r="H1462" s="1353">
        <f t="shared" si="317"/>
        <v>0</v>
      </c>
      <c r="I1462" s="1353">
        <f t="shared" si="318"/>
        <v>0</v>
      </c>
      <c r="K1462" s="1391">
        <v>1487</v>
      </c>
      <c r="L1462" s="1391" t="s">
        <v>6518</v>
      </c>
    </row>
    <row r="1463" spans="2:12">
      <c r="B1463" s="5" t="s">
        <v>6519</v>
      </c>
      <c r="C1463" s="26" t="s">
        <v>126</v>
      </c>
      <c r="D1463" s="1347">
        <v>0</v>
      </c>
      <c r="E1463" s="1346">
        <v>0</v>
      </c>
      <c r="F1463" s="611" t="s">
        <v>6520</v>
      </c>
      <c r="G1463" s="1414">
        <v>3969</v>
      </c>
      <c r="H1463" s="1353">
        <f t="shared" si="317"/>
        <v>0</v>
      </c>
      <c r="I1463" s="1353">
        <f t="shared" si="318"/>
        <v>0</v>
      </c>
      <c r="K1463" s="1391">
        <v>1488</v>
      </c>
      <c r="L1463" s="1391" t="s">
        <v>6521</v>
      </c>
    </row>
    <row r="1464" spans="2:12">
      <c r="B1464" s="5" t="s">
        <v>6522</v>
      </c>
      <c r="C1464" s="26" t="s">
        <v>128</v>
      </c>
      <c r="D1464" s="1347">
        <v>0</v>
      </c>
      <c r="E1464" s="1346">
        <v>0</v>
      </c>
      <c r="F1464" s="611" t="s">
        <v>6523</v>
      </c>
      <c r="G1464" s="1414">
        <v>3970</v>
      </c>
      <c r="H1464" s="1353">
        <f t="shared" si="317"/>
        <v>0</v>
      </c>
      <c r="I1464" s="1353">
        <f t="shared" si="318"/>
        <v>0</v>
      </c>
      <c r="K1464" s="1391">
        <v>1489</v>
      </c>
      <c r="L1464" s="1391" t="s">
        <v>6524</v>
      </c>
    </row>
    <row r="1465" spans="2:12">
      <c r="B1465" s="5" t="s">
        <v>6525</v>
      </c>
      <c r="C1465" s="26" t="s">
        <v>129</v>
      </c>
      <c r="D1465" s="1347">
        <v>0</v>
      </c>
      <c r="E1465" s="1346">
        <v>0</v>
      </c>
      <c r="F1465" s="611" t="s">
        <v>6526</v>
      </c>
      <c r="G1465" s="1414">
        <v>3971</v>
      </c>
      <c r="H1465" s="1353">
        <f t="shared" si="317"/>
        <v>0</v>
      </c>
      <c r="I1465" s="1353">
        <f t="shared" si="318"/>
        <v>0</v>
      </c>
      <c r="K1465" s="1391">
        <v>1490</v>
      </c>
      <c r="L1465" s="1391" t="s">
        <v>6527</v>
      </c>
    </row>
    <row r="1466" spans="2:12">
      <c r="B1466" s="5" t="s">
        <v>6528</v>
      </c>
      <c r="C1466" s="26" t="s">
        <v>130</v>
      </c>
      <c r="D1466" s="1347">
        <v>0</v>
      </c>
      <c r="E1466" s="1346">
        <v>0</v>
      </c>
      <c r="F1466" s="611" t="s">
        <v>6529</v>
      </c>
      <c r="G1466" s="1414">
        <v>3972</v>
      </c>
      <c r="H1466" s="1353">
        <f t="shared" si="317"/>
        <v>0</v>
      </c>
      <c r="I1466" s="1353">
        <f t="shared" si="318"/>
        <v>0</v>
      </c>
      <c r="K1466" s="1391">
        <v>1491</v>
      </c>
      <c r="L1466" s="1391" t="s">
        <v>6530</v>
      </c>
    </row>
    <row r="1467" spans="2:12">
      <c r="B1467" s="5" t="s">
        <v>6531</v>
      </c>
      <c r="C1467" s="26" t="s">
        <v>131</v>
      </c>
      <c r="D1467" s="1347">
        <v>0</v>
      </c>
      <c r="E1467" s="1346">
        <v>0</v>
      </c>
      <c r="F1467" s="611" t="s">
        <v>6532</v>
      </c>
      <c r="G1467" s="1414">
        <v>3973</v>
      </c>
      <c r="H1467" s="1353">
        <f t="shared" si="317"/>
        <v>0</v>
      </c>
      <c r="I1467" s="1353">
        <f t="shared" si="318"/>
        <v>0</v>
      </c>
      <c r="K1467" s="1391">
        <v>1492</v>
      </c>
      <c r="L1467" s="1391" t="s">
        <v>6533</v>
      </c>
    </row>
    <row r="1468" spans="2:12">
      <c r="B1468" s="5" t="s">
        <v>6534</v>
      </c>
      <c r="C1468" s="26" t="s">
        <v>132</v>
      </c>
      <c r="D1468" s="1347">
        <v>0</v>
      </c>
      <c r="E1468" s="1346">
        <v>0</v>
      </c>
      <c r="F1468" s="611" t="s">
        <v>6535</v>
      </c>
      <c r="G1468" s="1414">
        <v>3974</v>
      </c>
      <c r="H1468" s="1353">
        <f t="shared" si="317"/>
        <v>0</v>
      </c>
      <c r="I1468" s="1353">
        <f t="shared" si="318"/>
        <v>0</v>
      </c>
      <c r="K1468" s="1391">
        <v>1493</v>
      </c>
      <c r="L1468" s="1391" t="s">
        <v>6536</v>
      </c>
    </row>
    <row r="1469" spans="2:12">
      <c r="B1469" s="5" t="s">
        <v>6537</v>
      </c>
      <c r="C1469" s="26" t="s">
        <v>133</v>
      </c>
      <c r="D1469" s="1347">
        <v>0</v>
      </c>
      <c r="E1469" s="1346">
        <v>0</v>
      </c>
      <c r="F1469" s="611" t="s">
        <v>6538</v>
      </c>
      <c r="G1469" s="1414">
        <v>3975</v>
      </c>
      <c r="H1469" s="1353">
        <f t="shared" si="317"/>
        <v>0</v>
      </c>
      <c r="I1469" s="1353">
        <f t="shared" si="318"/>
        <v>0</v>
      </c>
      <c r="K1469" s="1391">
        <v>1494</v>
      </c>
      <c r="L1469" s="1391" t="s">
        <v>6539</v>
      </c>
    </row>
    <row r="1470" spans="2:12">
      <c r="B1470" s="5" t="s">
        <v>6540</v>
      </c>
      <c r="C1470" s="26" t="s">
        <v>134</v>
      </c>
      <c r="D1470" s="1347">
        <v>0</v>
      </c>
      <c r="E1470" s="1346">
        <v>0</v>
      </c>
      <c r="F1470" s="611" t="s">
        <v>6541</v>
      </c>
      <c r="G1470" s="1414">
        <v>3976</v>
      </c>
      <c r="H1470" s="1353">
        <f t="shared" si="317"/>
        <v>0</v>
      </c>
      <c r="I1470" s="1353">
        <f t="shared" si="318"/>
        <v>0</v>
      </c>
      <c r="K1470" s="1391">
        <v>1495</v>
      </c>
      <c r="L1470" s="1391" t="s">
        <v>6542</v>
      </c>
    </row>
    <row r="1471" spans="2:12">
      <c r="B1471" s="5" t="s">
        <v>6543</v>
      </c>
      <c r="C1471" s="26" t="s">
        <v>135</v>
      </c>
      <c r="D1471" s="1347">
        <v>0</v>
      </c>
      <c r="E1471" s="1346">
        <v>0</v>
      </c>
      <c r="F1471" s="611" t="s">
        <v>6544</v>
      </c>
      <c r="G1471" s="1414">
        <v>3977</v>
      </c>
      <c r="H1471" s="1353">
        <f t="shared" si="317"/>
        <v>0</v>
      </c>
      <c r="I1471" s="1353">
        <f t="shared" si="318"/>
        <v>0</v>
      </c>
      <c r="K1471" s="1391">
        <v>1496</v>
      </c>
      <c r="L1471" s="1391" t="s">
        <v>6545</v>
      </c>
    </row>
    <row r="1472" spans="2:12">
      <c r="B1472" s="5" t="s">
        <v>6546</v>
      </c>
      <c r="C1472" s="26" t="s">
        <v>136</v>
      </c>
      <c r="D1472" s="1347">
        <v>0</v>
      </c>
      <c r="E1472" s="1346">
        <v>0</v>
      </c>
      <c r="F1472" s="611" t="s">
        <v>6547</v>
      </c>
      <c r="G1472" s="1414">
        <v>3978</v>
      </c>
      <c r="H1472" s="1353">
        <f t="shared" si="317"/>
        <v>0</v>
      </c>
      <c r="I1472" s="1353">
        <f t="shared" si="318"/>
        <v>0</v>
      </c>
      <c r="K1472" s="1391">
        <v>1497</v>
      </c>
      <c r="L1472" s="1391" t="s">
        <v>6548</v>
      </c>
    </row>
    <row r="1473" spans="2:12">
      <c r="B1473" s="5" t="s">
        <v>6549</v>
      </c>
      <c r="C1473" s="26" t="s">
        <v>6550</v>
      </c>
      <c r="D1473" s="1347">
        <v>0</v>
      </c>
      <c r="E1473" s="1346">
        <v>0</v>
      </c>
      <c r="F1473" s="611" t="s">
        <v>6551</v>
      </c>
      <c r="G1473" s="1408">
        <v>1307</v>
      </c>
      <c r="H1473" s="1353">
        <f>M1282</f>
        <v>0</v>
      </c>
      <c r="I1473" s="1353">
        <f>N1282</f>
        <v>0</v>
      </c>
      <c r="K1473" s="1391">
        <v>1498</v>
      </c>
      <c r="L1473" s="1391" t="s">
        <v>6552</v>
      </c>
    </row>
    <row r="1474" spans="2:12">
      <c r="B1474" s="5" t="s">
        <v>6553</v>
      </c>
      <c r="C1474" s="26" t="s">
        <v>140</v>
      </c>
      <c r="D1474" s="1347">
        <v>0</v>
      </c>
      <c r="E1474" s="1346">
        <v>0</v>
      </c>
      <c r="F1474" s="611" t="s">
        <v>6554</v>
      </c>
      <c r="G1474" s="1408">
        <v>1308</v>
      </c>
      <c r="H1474" s="1353">
        <f>M1283</f>
        <v>0</v>
      </c>
      <c r="I1474" s="1353">
        <f>N1283</f>
        <v>0</v>
      </c>
      <c r="K1474" s="1391">
        <v>1499</v>
      </c>
      <c r="L1474" s="1391" t="s">
        <v>6555</v>
      </c>
    </row>
    <row r="1475" spans="2:12">
      <c r="B1475" s="5" t="s">
        <v>6556</v>
      </c>
      <c r="C1475" s="26" t="s">
        <v>142</v>
      </c>
      <c r="D1475" s="1347">
        <v>0</v>
      </c>
      <c r="E1475" s="1346">
        <v>0</v>
      </c>
      <c r="F1475" s="611" t="s">
        <v>6557</v>
      </c>
      <c r="G1475" s="1414">
        <v>3979</v>
      </c>
      <c r="H1475" s="1353">
        <f t="shared" ref="H1475:H1490" si="319">M2064</f>
        <v>0</v>
      </c>
      <c r="I1475" s="1353">
        <f t="shared" ref="I1475:I1490" si="320">N2064</f>
        <v>0</v>
      </c>
      <c r="K1475" s="1391">
        <v>1500</v>
      </c>
      <c r="L1475" s="1391" t="s">
        <v>6558</v>
      </c>
    </row>
    <row r="1476" spans="2:12">
      <c r="B1476" s="5" t="s">
        <v>6559</v>
      </c>
      <c r="C1476" s="26" t="s">
        <v>144</v>
      </c>
      <c r="D1476" s="1347">
        <v>0</v>
      </c>
      <c r="E1476" s="1346">
        <v>0</v>
      </c>
      <c r="F1476" s="611" t="s">
        <v>6560</v>
      </c>
      <c r="G1476" s="1414">
        <v>3980</v>
      </c>
      <c r="H1476" s="1353">
        <f t="shared" si="319"/>
        <v>0</v>
      </c>
      <c r="I1476" s="1353">
        <f t="shared" si="320"/>
        <v>0</v>
      </c>
      <c r="K1476" s="1391">
        <v>1501</v>
      </c>
      <c r="L1476" s="1391" t="s">
        <v>6561</v>
      </c>
    </row>
    <row r="1477" spans="2:12">
      <c r="B1477" s="5" t="s">
        <v>6562</v>
      </c>
      <c r="C1477" s="26" t="s">
        <v>146</v>
      </c>
      <c r="D1477" s="1347">
        <v>65544</v>
      </c>
      <c r="E1477" s="1346">
        <v>65544</v>
      </c>
      <c r="F1477" s="611" t="s">
        <v>6563</v>
      </c>
      <c r="G1477" s="1414">
        <v>3981</v>
      </c>
      <c r="H1477" s="1353">
        <f t="shared" si="319"/>
        <v>0</v>
      </c>
      <c r="I1477" s="1353">
        <f t="shared" si="320"/>
        <v>0</v>
      </c>
      <c r="K1477" s="1391">
        <v>1502</v>
      </c>
      <c r="L1477" s="1391" t="s">
        <v>6564</v>
      </c>
    </row>
    <row r="1478" spans="2:12">
      <c r="B1478" s="5" t="s">
        <v>6565</v>
      </c>
      <c r="C1478" s="26" t="s">
        <v>148</v>
      </c>
      <c r="D1478" s="1347">
        <v>53297</v>
      </c>
      <c r="E1478" s="1346">
        <v>53297</v>
      </c>
      <c r="F1478" s="611" t="s">
        <v>6566</v>
      </c>
      <c r="G1478" s="1414">
        <v>3982</v>
      </c>
      <c r="H1478" s="1353">
        <f t="shared" si="319"/>
        <v>0</v>
      </c>
      <c r="I1478" s="1353">
        <f t="shared" si="320"/>
        <v>0</v>
      </c>
      <c r="K1478" s="1391">
        <v>1503</v>
      </c>
      <c r="L1478" s="1391" t="s">
        <v>6567</v>
      </c>
    </row>
    <row r="1479" spans="2:12">
      <c r="B1479" s="5" t="s">
        <v>6568</v>
      </c>
      <c r="C1479" s="26" t="s">
        <v>149</v>
      </c>
      <c r="D1479" s="1347">
        <v>0</v>
      </c>
      <c r="E1479" s="1346">
        <v>127215</v>
      </c>
      <c r="F1479" s="611" t="s">
        <v>6569</v>
      </c>
      <c r="G1479" s="1414">
        <v>3983</v>
      </c>
      <c r="H1479" s="1353">
        <f t="shared" si="319"/>
        <v>0</v>
      </c>
      <c r="I1479" s="1353">
        <f t="shared" si="320"/>
        <v>0</v>
      </c>
      <c r="K1479" s="1391">
        <v>1504</v>
      </c>
      <c r="L1479" s="1391" t="s">
        <v>6570</v>
      </c>
    </row>
    <row r="1480" spans="2:12">
      <c r="B1480" s="5" t="s">
        <v>6571</v>
      </c>
      <c r="C1480" s="26" t="s">
        <v>150</v>
      </c>
      <c r="D1480" s="1347">
        <v>149894</v>
      </c>
      <c r="E1480" s="1346">
        <v>302344</v>
      </c>
      <c r="F1480" s="611" t="s">
        <v>6572</v>
      </c>
      <c r="G1480" s="1414">
        <v>3984</v>
      </c>
      <c r="H1480" s="1353">
        <f t="shared" si="319"/>
        <v>0</v>
      </c>
      <c r="I1480" s="1353">
        <f t="shared" si="320"/>
        <v>0</v>
      </c>
      <c r="K1480" s="1391">
        <v>1505</v>
      </c>
      <c r="L1480" s="1391" t="s">
        <v>6573</v>
      </c>
    </row>
    <row r="1481" spans="2:12">
      <c r="B1481" s="5" t="s">
        <v>6574</v>
      </c>
      <c r="C1481" s="26" t="s">
        <v>151</v>
      </c>
      <c r="D1481" s="1347">
        <v>80285</v>
      </c>
      <c r="E1481" s="1346">
        <v>363744</v>
      </c>
      <c r="F1481" s="611" t="s">
        <v>6575</v>
      </c>
      <c r="G1481" s="1414">
        <v>3985</v>
      </c>
      <c r="H1481" s="1353">
        <f t="shared" si="319"/>
        <v>0</v>
      </c>
      <c r="I1481" s="1353">
        <f t="shared" si="320"/>
        <v>0</v>
      </c>
      <c r="K1481" s="1391">
        <v>1506</v>
      </c>
      <c r="L1481" s="1391" t="s">
        <v>6576</v>
      </c>
    </row>
    <row r="1482" spans="2:12">
      <c r="B1482" s="5" t="s">
        <v>6577</v>
      </c>
      <c r="C1482" s="26" t="s">
        <v>152</v>
      </c>
      <c r="D1482" s="1347">
        <v>656805</v>
      </c>
      <c r="E1482" s="1346">
        <v>1726108</v>
      </c>
      <c r="F1482" s="611" t="s">
        <v>6578</v>
      </c>
      <c r="G1482" s="1414">
        <v>3986</v>
      </c>
      <c r="H1482" s="1353">
        <f t="shared" si="319"/>
        <v>0</v>
      </c>
      <c r="I1482" s="1353">
        <f t="shared" si="320"/>
        <v>0</v>
      </c>
      <c r="K1482" s="1391">
        <v>1507</v>
      </c>
      <c r="L1482" s="1391" t="s">
        <v>6579</v>
      </c>
    </row>
    <row r="1483" spans="2:12">
      <c r="B1483" s="5" t="s">
        <v>6580</v>
      </c>
      <c r="C1483" s="26" t="s">
        <v>153</v>
      </c>
      <c r="D1483" s="1347">
        <v>0</v>
      </c>
      <c r="E1483" s="1346">
        <v>155399</v>
      </c>
      <c r="F1483" s="611" t="s">
        <v>6581</v>
      </c>
      <c r="G1483" s="1414">
        <v>3987</v>
      </c>
      <c r="H1483" s="1353">
        <f t="shared" si="319"/>
        <v>0</v>
      </c>
      <c r="I1483" s="1353">
        <f t="shared" si="320"/>
        <v>0</v>
      </c>
      <c r="K1483" s="1391">
        <v>1508</v>
      </c>
      <c r="L1483" s="1391" t="s">
        <v>6582</v>
      </c>
    </row>
    <row r="1484" spans="2:12">
      <c r="B1484" s="5" t="s">
        <v>6583</v>
      </c>
      <c r="C1484" s="26" t="s">
        <v>154</v>
      </c>
      <c r="D1484" s="1347">
        <v>0</v>
      </c>
      <c r="E1484" s="1346">
        <v>0</v>
      </c>
      <c r="F1484" s="611" t="s">
        <v>6584</v>
      </c>
      <c r="G1484" s="1414">
        <v>3988</v>
      </c>
      <c r="H1484" s="1353">
        <f t="shared" si="319"/>
        <v>0</v>
      </c>
      <c r="I1484" s="1353">
        <f t="shared" si="320"/>
        <v>0</v>
      </c>
      <c r="K1484" s="1391">
        <v>1509</v>
      </c>
      <c r="L1484" s="1391" t="s">
        <v>6585</v>
      </c>
    </row>
    <row r="1485" spans="2:12">
      <c r="B1485" s="5" t="s">
        <v>6586</v>
      </c>
      <c r="C1485" s="26" t="s">
        <v>155</v>
      </c>
      <c r="D1485" s="1347">
        <v>0</v>
      </c>
      <c r="E1485" s="1346">
        <v>140466</v>
      </c>
      <c r="F1485" s="611" t="s">
        <v>6587</v>
      </c>
      <c r="G1485" s="1414">
        <v>3989</v>
      </c>
      <c r="H1485" s="1353">
        <f t="shared" si="319"/>
        <v>0</v>
      </c>
      <c r="I1485" s="1353">
        <f t="shared" si="320"/>
        <v>0</v>
      </c>
      <c r="K1485" s="1391">
        <v>1510</v>
      </c>
      <c r="L1485" s="1391" t="s">
        <v>6588</v>
      </c>
    </row>
    <row r="1486" spans="2:12">
      <c r="B1486" s="5" t="s">
        <v>6589</v>
      </c>
      <c r="C1486" s="26" t="s">
        <v>156</v>
      </c>
      <c r="D1486" s="1347">
        <v>0</v>
      </c>
      <c r="E1486" s="1346">
        <v>0</v>
      </c>
      <c r="F1486" s="611" t="s">
        <v>6590</v>
      </c>
      <c r="G1486" s="1414">
        <v>3990</v>
      </c>
      <c r="H1486" s="1353">
        <f t="shared" si="319"/>
        <v>0</v>
      </c>
      <c r="I1486" s="1353">
        <f t="shared" si="320"/>
        <v>0</v>
      </c>
      <c r="K1486" s="1391">
        <v>1511</v>
      </c>
      <c r="L1486" s="1391" t="s">
        <v>6591</v>
      </c>
    </row>
    <row r="1487" spans="2:12">
      <c r="B1487" s="5" t="s">
        <v>6592</v>
      </c>
      <c r="C1487" s="26" t="s">
        <v>158</v>
      </c>
      <c r="D1487" s="1347">
        <v>0</v>
      </c>
      <c r="E1487" s="1346">
        <v>0</v>
      </c>
      <c r="F1487" s="611" t="s">
        <v>6593</v>
      </c>
      <c r="G1487" s="1414">
        <v>3991</v>
      </c>
      <c r="H1487" s="1353">
        <f t="shared" si="319"/>
        <v>0</v>
      </c>
      <c r="I1487" s="1353">
        <f t="shared" si="320"/>
        <v>0</v>
      </c>
      <c r="K1487" s="1391">
        <v>1512</v>
      </c>
      <c r="L1487" s="1391" t="s">
        <v>6594</v>
      </c>
    </row>
    <row r="1488" spans="2:12">
      <c r="B1488" s="5" t="s">
        <v>6595</v>
      </c>
      <c r="C1488" s="26" t="s">
        <v>159</v>
      </c>
      <c r="D1488" s="1347">
        <v>35664</v>
      </c>
      <c r="E1488" s="1346">
        <v>35664</v>
      </c>
      <c r="F1488" s="611" t="s">
        <v>6596</v>
      </c>
      <c r="G1488" s="1414">
        <v>3992</v>
      </c>
      <c r="H1488" s="1353">
        <f t="shared" si="319"/>
        <v>0</v>
      </c>
      <c r="I1488" s="1353">
        <f t="shared" si="320"/>
        <v>0</v>
      </c>
      <c r="K1488" s="1391">
        <v>1513</v>
      </c>
      <c r="L1488" s="1391" t="s">
        <v>6597</v>
      </c>
    </row>
    <row r="1489" spans="2:12">
      <c r="B1489" s="5" t="s">
        <v>6598</v>
      </c>
      <c r="C1489" s="26" t="s">
        <v>160</v>
      </c>
      <c r="D1489" s="1347">
        <v>0</v>
      </c>
      <c r="E1489" s="1346">
        <v>0</v>
      </c>
      <c r="F1489" s="611" t="s">
        <v>6599</v>
      </c>
      <c r="G1489" s="1414">
        <v>3993</v>
      </c>
      <c r="H1489" s="1353">
        <f t="shared" si="319"/>
        <v>0</v>
      </c>
      <c r="I1489" s="1353">
        <f t="shared" si="320"/>
        <v>0</v>
      </c>
      <c r="K1489" s="1391">
        <v>1514</v>
      </c>
      <c r="L1489" s="1391" t="s">
        <v>6600</v>
      </c>
    </row>
    <row r="1490" spans="2:12">
      <c r="B1490" s="5" t="s">
        <v>6601</v>
      </c>
      <c r="C1490" s="26" t="s">
        <v>161</v>
      </c>
      <c r="D1490" s="1347">
        <v>0</v>
      </c>
      <c r="E1490" s="1346">
        <v>0</v>
      </c>
      <c r="F1490" s="611" t="s">
        <v>6602</v>
      </c>
      <c r="G1490" s="1414">
        <v>3994</v>
      </c>
      <c r="H1490" s="1353">
        <f t="shared" si="319"/>
        <v>0</v>
      </c>
      <c r="I1490" s="1353">
        <f t="shared" si="320"/>
        <v>0</v>
      </c>
      <c r="K1490" s="1391">
        <v>1515</v>
      </c>
      <c r="L1490" s="1391" t="s">
        <v>6603</v>
      </c>
    </row>
    <row r="1491" spans="2:12">
      <c r="B1491" s="5" t="s">
        <v>6604</v>
      </c>
      <c r="C1491" s="26" t="s">
        <v>6605</v>
      </c>
      <c r="D1491" s="1347">
        <v>619285</v>
      </c>
      <c r="E1491" s="1346">
        <v>2326463</v>
      </c>
      <c r="F1491" s="611" t="s">
        <v>6606</v>
      </c>
      <c r="G1491" s="1408">
        <v>1312</v>
      </c>
      <c r="H1491" s="1353">
        <f>M1287</f>
        <v>0</v>
      </c>
      <c r="I1491" s="1353">
        <f>N1287</f>
        <v>0</v>
      </c>
      <c r="K1491" s="1391">
        <v>1516</v>
      </c>
      <c r="L1491" s="1391" t="s">
        <v>6607</v>
      </c>
    </row>
    <row r="1492" spans="2:12">
      <c r="B1492" s="5" t="s">
        <v>6608</v>
      </c>
      <c r="C1492" s="26" t="s">
        <v>164</v>
      </c>
      <c r="D1492" s="1347">
        <v>0</v>
      </c>
      <c r="E1492" s="1346">
        <v>0</v>
      </c>
      <c r="F1492" s="611" t="s">
        <v>6609</v>
      </c>
      <c r="G1492" s="1408">
        <v>1313</v>
      </c>
      <c r="H1492" s="1353">
        <f>M1288</f>
        <v>0</v>
      </c>
      <c r="I1492" s="1353">
        <f>N1288</f>
        <v>0</v>
      </c>
      <c r="K1492" s="1391">
        <v>1517</v>
      </c>
      <c r="L1492" s="1391" t="s">
        <v>6610</v>
      </c>
    </row>
    <row r="1493" spans="2:12">
      <c r="B1493" s="5" t="s">
        <v>6611</v>
      </c>
      <c r="C1493" s="26" t="s">
        <v>167</v>
      </c>
      <c r="D1493" s="1347">
        <v>0</v>
      </c>
      <c r="E1493" s="1346">
        <v>0</v>
      </c>
      <c r="F1493" s="611" t="s">
        <v>6612</v>
      </c>
      <c r="G1493" s="1408">
        <v>1315</v>
      </c>
      <c r="H1493" s="1353">
        <f>M1290</f>
        <v>0</v>
      </c>
      <c r="I1493" s="1353">
        <f>N1290</f>
        <v>0</v>
      </c>
      <c r="K1493" s="1391">
        <v>1518</v>
      </c>
      <c r="L1493" s="1391" t="s">
        <v>6613</v>
      </c>
    </row>
    <row r="1494" spans="2:12">
      <c r="B1494" s="5" t="s">
        <v>6614</v>
      </c>
      <c r="C1494" s="26" t="s">
        <v>6615</v>
      </c>
      <c r="D1494" s="1347">
        <v>0</v>
      </c>
      <c r="E1494" s="1346">
        <v>0</v>
      </c>
      <c r="F1494" s="611" t="s">
        <v>6616</v>
      </c>
      <c r="G1494" s="1413" t="s">
        <v>2504</v>
      </c>
      <c r="H1494" s="1353">
        <f t="shared" ref="H1494:H1512" si="321">M2045-M2080</f>
        <v>0</v>
      </c>
      <c r="I1494" s="1353">
        <f t="shared" ref="I1494:I1512" si="322">N2045-N2080</f>
        <v>0</v>
      </c>
      <c r="K1494" s="1391">
        <v>1519</v>
      </c>
      <c r="L1494" s="1391" t="s">
        <v>6617</v>
      </c>
    </row>
    <row r="1495" spans="2:12">
      <c r="B1495" s="5" t="s">
        <v>6618</v>
      </c>
      <c r="C1495" s="26" t="s">
        <v>6619</v>
      </c>
      <c r="D1495" s="1347">
        <v>0</v>
      </c>
      <c r="E1495" s="1346">
        <v>35000</v>
      </c>
      <c r="F1495" s="611" t="s">
        <v>6620</v>
      </c>
      <c r="G1495" s="1413" t="s">
        <v>2504</v>
      </c>
      <c r="H1495" s="1353">
        <f t="shared" si="321"/>
        <v>0</v>
      </c>
      <c r="I1495" s="1353">
        <f t="shared" si="322"/>
        <v>0</v>
      </c>
      <c r="K1495" s="1391">
        <v>1520</v>
      </c>
      <c r="L1495" s="1391" t="s">
        <v>6621</v>
      </c>
    </row>
    <row r="1496" spans="2:12">
      <c r="B1496" s="5" t="s">
        <v>6622</v>
      </c>
      <c r="C1496" s="26" t="s">
        <v>6623</v>
      </c>
      <c r="D1496" s="1347">
        <v>0</v>
      </c>
      <c r="E1496" s="1346">
        <v>0</v>
      </c>
      <c r="F1496" s="611" t="s">
        <v>6624</v>
      </c>
      <c r="G1496" s="1413" t="s">
        <v>2504</v>
      </c>
      <c r="H1496" s="1353">
        <f t="shared" si="321"/>
        <v>0</v>
      </c>
      <c r="I1496" s="1353">
        <f t="shared" si="322"/>
        <v>0</v>
      </c>
      <c r="K1496" s="1391">
        <v>1521</v>
      </c>
      <c r="L1496" s="1391" t="s">
        <v>6625</v>
      </c>
    </row>
    <row r="1497" spans="2:12">
      <c r="B1497" s="5" t="s">
        <v>6626</v>
      </c>
      <c r="C1497" s="26" t="s">
        <v>6627</v>
      </c>
      <c r="D1497" s="1347">
        <v>0</v>
      </c>
      <c r="E1497" s="1346">
        <v>0</v>
      </c>
      <c r="F1497" s="611" t="s">
        <v>6628</v>
      </c>
      <c r="G1497" s="1413" t="s">
        <v>2504</v>
      </c>
      <c r="H1497" s="1353">
        <f t="shared" si="321"/>
        <v>0</v>
      </c>
      <c r="I1497" s="1353">
        <f t="shared" si="322"/>
        <v>0</v>
      </c>
      <c r="K1497" s="1391">
        <v>1522</v>
      </c>
      <c r="L1497" s="1391" t="s">
        <v>6629</v>
      </c>
    </row>
    <row r="1498" spans="2:12">
      <c r="B1498" s="5" t="s">
        <v>6630</v>
      </c>
      <c r="C1498" s="26" t="s">
        <v>6631</v>
      </c>
      <c r="D1498" s="1347">
        <v>0</v>
      </c>
      <c r="E1498" s="1346">
        <v>0</v>
      </c>
      <c r="F1498" s="611" t="s">
        <v>6632</v>
      </c>
      <c r="G1498" s="1413" t="s">
        <v>2504</v>
      </c>
      <c r="H1498" s="1353">
        <f t="shared" si="321"/>
        <v>0</v>
      </c>
      <c r="I1498" s="1353">
        <f t="shared" si="322"/>
        <v>0</v>
      </c>
      <c r="K1498" s="1391">
        <v>1523</v>
      </c>
      <c r="L1498" s="1391" t="s">
        <v>6633</v>
      </c>
    </row>
    <row r="1499" spans="2:12">
      <c r="B1499" s="5" t="s">
        <v>6634</v>
      </c>
      <c r="C1499" s="26" t="s">
        <v>6635</v>
      </c>
      <c r="D1499" s="1347">
        <v>0</v>
      </c>
      <c r="E1499" s="1346">
        <v>0</v>
      </c>
      <c r="F1499" s="611" t="s">
        <v>6636</v>
      </c>
      <c r="G1499" s="1413" t="s">
        <v>2504</v>
      </c>
      <c r="H1499" s="1353">
        <f t="shared" si="321"/>
        <v>0</v>
      </c>
      <c r="I1499" s="1353">
        <f t="shared" si="322"/>
        <v>0</v>
      </c>
      <c r="K1499" s="1391">
        <v>1524</v>
      </c>
      <c r="L1499" s="1391" t="s">
        <v>6637</v>
      </c>
    </row>
    <row r="1500" spans="2:12">
      <c r="B1500" s="5" t="s">
        <v>6638</v>
      </c>
      <c r="C1500" s="26" t="s">
        <v>6639</v>
      </c>
      <c r="D1500" s="1347">
        <v>0</v>
      </c>
      <c r="E1500" s="1346">
        <v>0</v>
      </c>
      <c r="F1500" s="611" t="s">
        <v>6640</v>
      </c>
      <c r="G1500" s="1413" t="s">
        <v>2504</v>
      </c>
      <c r="H1500" s="1353">
        <f t="shared" si="321"/>
        <v>0</v>
      </c>
      <c r="I1500" s="1353">
        <f t="shared" si="322"/>
        <v>0</v>
      </c>
      <c r="K1500" s="1391">
        <v>1525</v>
      </c>
      <c r="L1500" s="1391" t="s">
        <v>6641</v>
      </c>
    </row>
    <row r="1501" spans="2:12">
      <c r="B1501" s="5" t="s">
        <v>6642</v>
      </c>
      <c r="C1501" s="26" t="s">
        <v>6643</v>
      </c>
      <c r="D1501" s="1347">
        <v>0</v>
      </c>
      <c r="E1501" s="1346">
        <v>0</v>
      </c>
      <c r="F1501" s="611" t="s">
        <v>6644</v>
      </c>
      <c r="G1501" s="1413" t="s">
        <v>2504</v>
      </c>
      <c r="H1501" s="1353">
        <f t="shared" si="321"/>
        <v>0</v>
      </c>
      <c r="I1501" s="1353">
        <f t="shared" si="322"/>
        <v>0</v>
      </c>
      <c r="K1501" s="1391">
        <v>1526</v>
      </c>
      <c r="L1501" s="1391" t="s">
        <v>6645</v>
      </c>
    </row>
    <row r="1502" spans="2:12">
      <c r="B1502" s="5" t="s">
        <v>6646</v>
      </c>
      <c r="C1502" s="26" t="s">
        <v>6647</v>
      </c>
      <c r="D1502" s="1347">
        <v>0</v>
      </c>
      <c r="E1502" s="1346">
        <v>0</v>
      </c>
      <c r="F1502" s="611" t="s">
        <v>6648</v>
      </c>
      <c r="G1502" s="1413" t="s">
        <v>2504</v>
      </c>
      <c r="H1502" s="1353">
        <f t="shared" si="321"/>
        <v>0</v>
      </c>
      <c r="I1502" s="1353">
        <f t="shared" si="322"/>
        <v>0</v>
      </c>
      <c r="K1502" s="1391">
        <v>1527</v>
      </c>
      <c r="L1502" s="1391" t="s">
        <v>6649</v>
      </c>
    </row>
    <row r="1503" spans="2:12">
      <c r="B1503" s="5" t="s">
        <v>6650</v>
      </c>
      <c r="C1503" s="26" t="s">
        <v>6651</v>
      </c>
      <c r="D1503" s="1347">
        <v>0</v>
      </c>
      <c r="E1503" s="1346">
        <v>0</v>
      </c>
      <c r="F1503" s="611" t="s">
        <v>6652</v>
      </c>
      <c r="G1503" s="1413" t="s">
        <v>2504</v>
      </c>
      <c r="H1503" s="1353">
        <f t="shared" si="321"/>
        <v>0</v>
      </c>
      <c r="I1503" s="1353">
        <f t="shared" si="322"/>
        <v>0</v>
      </c>
      <c r="K1503" s="1391">
        <v>1528</v>
      </c>
      <c r="L1503" s="1391" t="s">
        <v>6653</v>
      </c>
    </row>
    <row r="1504" spans="2:12">
      <c r="B1504" s="5" t="s">
        <v>6654</v>
      </c>
      <c r="C1504" s="26" t="s">
        <v>6655</v>
      </c>
      <c r="D1504" s="1347">
        <v>0</v>
      </c>
      <c r="E1504" s="1346">
        <v>0</v>
      </c>
      <c r="F1504" s="611" t="s">
        <v>6656</v>
      </c>
      <c r="G1504" s="1413" t="s">
        <v>2504</v>
      </c>
      <c r="H1504" s="1353">
        <f t="shared" si="321"/>
        <v>0</v>
      </c>
      <c r="I1504" s="1353">
        <f t="shared" si="322"/>
        <v>0</v>
      </c>
      <c r="K1504" s="1391">
        <v>1529</v>
      </c>
      <c r="L1504" s="1391" t="s">
        <v>6657</v>
      </c>
    </row>
    <row r="1505" spans="2:12">
      <c r="B1505" s="5" t="s">
        <v>6658</v>
      </c>
      <c r="C1505" s="26" t="s">
        <v>6659</v>
      </c>
      <c r="D1505" s="1347">
        <v>0</v>
      </c>
      <c r="E1505" s="1346">
        <v>0</v>
      </c>
      <c r="F1505" s="611" t="s">
        <v>6660</v>
      </c>
      <c r="G1505" s="1413" t="s">
        <v>2504</v>
      </c>
      <c r="H1505" s="1353">
        <f t="shared" si="321"/>
        <v>0</v>
      </c>
      <c r="I1505" s="1353">
        <f t="shared" si="322"/>
        <v>0</v>
      </c>
      <c r="K1505" s="1391">
        <v>1530</v>
      </c>
      <c r="L1505" s="1391" t="s">
        <v>6661</v>
      </c>
    </row>
    <row r="1506" spans="2:12">
      <c r="B1506" s="5" t="s">
        <v>6662</v>
      </c>
      <c r="C1506" s="26" t="s">
        <v>6663</v>
      </c>
      <c r="D1506" s="1347">
        <v>0</v>
      </c>
      <c r="E1506" s="1346">
        <v>0</v>
      </c>
      <c r="F1506" s="611" t="s">
        <v>6664</v>
      </c>
      <c r="G1506" s="1413" t="s">
        <v>2504</v>
      </c>
      <c r="H1506" s="1353">
        <f t="shared" si="321"/>
        <v>0</v>
      </c>
      <c r="I1506" s="1353">
        <f t="shared" si="322"/>
        <v>0</v>
      </c>
      <c r="K1506" s="1391">
        <v>1531</v>
      </c>
      <c r="L1506" s="1391" t="s">
        <v>6665</v>
      </c>
    </row>
    <row r="1507" spans="2:12">
      <c r="B1507" s="5" t="s">
        <v>6666</v>
      </c>
      <c r="C1507" s="26" t="s">
        <v>6667</v>
      </c>
      <c r="D1507" s="1347">
        <v>0</v>
      </c>
      <c r="E1507" s="1346">
        <v>0</v>
      </c>
      <c r="F1507" s="611" t="s">
        <v>6668</v>
      </c>
      <c r="G1507" s="1413" t="s">
        <v>2504</v>
      </c>
      <c r="H1507" s="1353">
        <f t="shared" si="321"/>
        <v>0</v>
      </c>
      <c r="I1507" s="1353">
        <f t="shared" si="322"/>
        <v>0</v>
      </c>
      <c r="K1507" s="1391">
        <v>1532</v>
      </c>
      <c r="L1507" s="1391" t="s">
        <v>6669</v>
      </c>
    </row>
    <row r="1508" spans="2:12">
      <c r="B1508" s="5" t="s">
        <v>6670</v>
      </c>
      <c r="C1508" s="26" t="s">
        <v>6671</v>
      </c>
      <c r="D1508" s="1347">
        <v>0</v>
      </c>
      <c r="E1508" s="1346">
        <v>0</v>
      </c>
      <c r="F1508" s="611" t="s">
        <v>6672</v>
      </c>
      <c r="G1508" s="1413" t="s">
        <v>2504</v>
      </c>
      <c r="H1508" s="1353">
        <f t="shared" si="321"/>
        <v>0</v>
      </c>
      <c r="I1508" s="1353">
        <f t="shared" si="322"/>
        <v>0</v>
      </c>
      <c r="K1508" s="1391">
        <v>1533</v>
      </c>
      <c r="L1508" s="1391" t="s">
        <v>6673</v>
      </c>
    </row>
    <row r="1509" spans="2:12">
      <c r="B1509" s="5" t="s">
        <v>6674</v>
      </c>
      <c r="C1509" s="26" t="s">
        <v>6675</v>
      </c>
      <c r="D1509" s="1347">
        <v>0</v>
      </c>
      <c r="E1509" s="1346">
        <v>0</v>
      </c>
      <c r="F1509" s="611" t="s">
        <v>6676</v>
      </c>
      <c r="G1509" s="1413" t="s">
        <v>2504</v>
      </c>
      <c r="H1509" s="1353">
        <f t="shared" si="321"/>
        <v>0</v>
      </c>
      <c r="I1509" s="1353">
        <f t="shared" si="322"/>
        <v>0</v>
      </c>
      <c r="K1509" s="1391">
        <v>1534</v>
      </c>
      <c r="L1509" s="1391" t="s">
        <v>6677</v>
      </c>
    </row>
    <row r="1510" spans="2:12">
      <c r="B1510" s="5" t="s">
        <v>6678</v>
      </c>
      <c r="C1510" s="26" t="s">
        <v>6679</v>
      </c>
      <c r="D1510" s="1347">
        <v>0</v>
      </c>
      <c r="E1510" s="1346">
        <v>0</v>
      </c>
      <c r="F1510" s="611" t="s">
        <v>6680</v>
      </c>
      <c r="G1510" s="1413" t="s">
        <v>2504</v>
      </c>
      <c r="H1510" s="1353">
        <f t="shared" si="321"/>
        <v>0</v>
      </c>
      <c r="I1510" s="1353">
        <f t="shared" si="322"/>
        <v>0</v>
      </c>
      <c r="K1510" s="1391">
        <v>1535</v>
      </c>
      <c r="L1510" s="1391" t="s">
        <v>6681</v>
      </c>
    </row>
    <row r="1511" spans="2:12">
      <c r="B1511" s="5" t="s">
        <v>6682</v>
      </c>
      <c r="C1511" s="26" t="s">
        <v>6683</v>
      </c>
      <c r="D1511" s="1347">
        <v>0</v>
      </c>
      <c r="E1511" s="1346">
        <v>0</v>
      </c>
      <c r="F1511" s="611" t="s">
        <v>6684</v>
      </c>
      <c r="G1511" s="1413" t="s">
        <v>2504</v>
      </c>
      <c r="H1511" s="1353">
        <f t="shared" si="321"/>
        <v>0</v>
      </c>
      <c r="I1511" s="1353">
        <f t="shared" si="322"/>
        <v>0</v>
      </c>
      <c r="K1511" s="1391">
        <v>1536</v>
      </c>
      <c r="L1511" s="1391" t="s">
        <v>6685</v>
      </c>
    </row>
    <row r="1512" spans="2:12">
      <c r="B1512" s="5" t="s">
        <v>6686</v>
      </c>
      <c r="C1512" s="26" t="s">
        <v>6687</v>
      </c>
      <c r="D1512" s="1347">
        <v>0</v>
      </c>
      <c r="E1512" s="1346">
        <v>0</v>
      </c>
      <c r="F1512" s="611" t="s">
        <v>6688</v>
      </c>
      <c r="G1512" s="1413" t="s">
        <v>2504</v>
      </c>
      <c r="H1512" s="1353">
        <f t="shared" si="321"/>
        <v>0</v>
      </c>
      <c r="I1512" s="1353">
        <f t="shared" si="322"/>
        <v>0</v>
      </c>
      <c r="K1512" s="1391">
        <v>1537</v>
      </c>
      <c r="L1512" s="1391" t="s">
        <v>6689</v>
      </c>
    </row>
    <row r="1513" spans="2:12">
      <c r="B1513" s="5" t="s">
        <v>6690</v>
      </c>
      <c r="C1513" s="26" t="s">
        <v>6691</v>
      </c>
      <c r="D1513" s="1347">
        <v>0</v>
      </c>
      <c r="E1513" s="1346">
        <v>0</v>
      </c>
      <c r="F1513" s="611" t="s">
        <v>6692</v>
      </c>
      <c r="G1513" s="1413" t="s">
        <v>2504</v>
      </c>
      <c r="H1513" s="1353">
        <f>M1282-M1294</f>
        <v>0</v>
      </c>
      <c r="I1513" s="1353">
        <f>N1282-N1294</f>
        <v>0</v>
      </c>
      <c r="K1513" s="1391">
        <v>1538</v>
      </c>
      <c r="L1513" s="1391" t="s">
        <v>6693</v>
      </c>
    </row>
    <row r="1514" spans="2:12">
      <c r="B1514" s="5" t="s">
        <v>6694</v>
      </c>
      <c r="C1514" s="26" t="s">
        <v>6695</v>
      </c>
      <c r="D1514" s="1347">
        <v>0</v>
      </c>
      <c r="E1514" s="1346">
        <v>0</v>
      </c>
      <c r="F1514" s="611" t="s">
        <v>6696</v>
      </c>
      <c r="G1514" s="1413" t="s">
        <v>2504</v>
      </c>
      <c r="H1514" s="1353">
        <f>M1283-M1295</f>
        <v>0</v>
      </c>
      <c r="I1514" s="1353">
        <f>N1283-N1295</f>
        <v>0</v>
      </c>
      <c r="K1514" s="1391">
        <v>1539</v>
      </c>
      <c r="L1514" s="1391" t="s">
        <v>6697</v>
      </c>
    </row>
    <row r="1515" spans="2:12">
      <c r="B1515" s="5" t="s">
        <v>6698</v>
      </c>
      <c r="C1515" s="26" t="s">
        <v>6699</v>
      </c>
      <c r="D1515" s="1347">
        <v>0</v>
      </c>
      <c r="E1515" s="1346">
        <v>0</v>
      </c>
      <c r="F1515" s="611" t="s">
        <v>6700</v>
      </c>
      <c r="G1515" s="1413" t="s">
        <v>2504</v>
      </c>
      <c r="H1515" s="1353">
        <f t="shared" ref="H1515:H1530" si="323">M2064-M2099</f>
        <v>0</v>
      </c>
      <c r="I1515" s="1353">
        <f t="shared" ref="I1515:I1530" si="324">N2064-N2099</f>
        <v>0</v>
      </c>
      <c r="K1515" s="1391">
        <v>1540</v>
      </c>
      <c r="L1515" s="1391" t="s">
        <v>6701</v>
      </c>
    </row>
    <row r="1516" spans="2:12">
      <c r="B1516" s="5" t="s">
        <v>6702</v>
      </c>
      <c r="C1516" s="26" t="s">
        <v>6703</v>
      </c>
      <c r="D1516" s="1347">
        <v>0</v>
      </c>
      <c r="E1516" s="1346">
        <v>0</v>
      </c>
      <c r="F1516" s="611" t="s">
        <v>6704</v>
      </c>
      <c r="G1516" s="1413" t="s">
        <v>2504</v>
      </c>
      <c r="H1516" s="1353">
        <f t="shared" si="323"/>
        <v>0</v>
      </c>
      <c r="I1516" s="1353">
        <f t="shared" si="324"/>
        <v>0</v>
      </c>
      <c r="K1516" s="1391">
        <v>1541</v>
      </c>
      <c r="L1516" s="1391" t="s">
        <v>6705</v>
      </c>
    </row>
    <row r="1517" spans="2:12">
      <c r="B1517" s="5" t="s">
        <v>6706</v>
      </c>
      <c r="C1517" s="26" t="s">
        <v>6707</v>
      </c>
      <c r="D1517" s="1347">
        <v>60222</v>
      </c>
      <c r="E1517" s="1346">
        <v>60222</v>
      </c>
      <c r="F1517" s="611" t="s">
        <v>6708</v>
      </c>
      <c r="G1517" s="1413" t="s">
        <v>2504</v>
      </c>
      <c r="H1517" s="1353">
        <f t="shared" si="323"/>
        <v>0</v>
      </c>
      <c r="I1517" s="1353">
        <f t="shared" si="324"/>
        <v>0</v>
      </c>
      <c r="K1517" s="1391">
        <v>1542</v>
      </c>
      <c r="L1517" s="1391" t="s">
        <v>6709</v>
      </c>
    </row>
    <row r="1518" spans="2:12">
      <c r="B1518" s="5" t="s">
        <v>6710</v>
      </c>
      <c r="C1518" s="26" t="s">
        <v>6711</v>
      </c>
      <c r="D1518" s="1347">
        <v>51047</v>
      </c>
      <c r="E1518" s="1346">
        <v>51047</v>
      </c>
      <c r="F1518" s="611" t="s">
        <v>6712</v>
      </c>
      <c r="G1518" s="1413" t="s">
        <v>2504</v>
      </c>
      <c r="H1518" s="1353">
        <f t="shared" si="323"/>
        <v>0</v>
      </c>
      <c r="I1518" s="1353">
        <f t="shared" si="324"/>
        <v>0</v>
      </c>
      <c r="K1518" s="1391">
        <v>1543</v>
      </c>
      <c r="L1518" s="1391" t="s">
        <v>6713</v>
      </c>
    </row>
    <row r="1519" spans="2:12">
      <c r="B1519" s="5" t="s">
        <v>6714</v>
      </c>
      <c r="C1519" s="26" t="s">
        <v>6715</v>
      </c>
      <c r="D1519" s="1347">
        <v>0</v>
      </c>
      <c r="E1519" s="1346">
        <v>122262</v>
      </c>
      <c r="F1519" s="611" t="s">
        <v>6716</v>
      </c>
      <c r="G1519" s="1413" t="s">
        <v>2504</v>
      </c>
      <c r="H1519" s="1353">
        <f t="shared" si="323"/>
        <v>0</v>
      </c>
      <c r="I1519" s="1353">
        <f t="shared" si="324"/>
        <v>0</v>
      </c>
      <c r="K1519" s="1391">
        <v>1544</v>
      </c>
      <c r="L1519" s="1391" t="s">
        <v>6717</v>
      </c>
    </row>
    <row r="1520" spans="2:12">
      <c r="B1520" s="5" t="s">
        <v>6718</v>
      </c>
      <c r="C1520" s="26" t="s">
        <v>6719</v>
      </c>
      <c r="D1520" s="1347">
        <v>143958</v>
      </c>
      <c r="E1520" s="1346">
        <v>292801</v>
      </c>
      <c r="F1520" s="611" t="s">
        <v>6720</v>
      </c>
      <c r="G1520" s="1413" t="s">
        <v>2504</v>
      </c>
      <c r="H1520" s="1353">
        <f t="shared" si="323"/>
        <v>0</v>
      </c>
      <c r="I1520" s="1353">
        <f t="shared" si="324"/>
        <v>0</v>
      </c>
      <c r="K1520" s="1391">
        <v>1545</v>
      </c>
      <c r="L1520" s="1391" t="s">
        <v>6721</v>
      </c>
    </row>
    <row r="1521" spans="1:12">
      <c r="B1521" s="5" t="s">
        <v>6722</v>
      </c>
      <c r="C1521" s="26" t="s">
        <v>6723</v>
      </c>
      <c r="D1521" s="1347">
        <v>77668</v>
      </c>
      <c r="E1521" s="1346">
        <v>351265</v>
      </c>
      <c r="F1521" s="611" t="s">
        <v>6724</v>
      </c>
      <c r="G1521" s="1413" t="s">
        <v>2504</v>
      </c>
      <c r="H1521" s="1353">
        <f t="shared" si="323"/>
        <v>0</v>
      </c>
      <c r="I1521" s="1353">
        <f t="shared" si="324"/>
        <v>0</v>
      </c>
      <c r="K1521" s="1391">
        <v>1546</v>
      </c>
      <c r="L1521" s="1391" t="s">
        <v>6725</v>
      </c>
    </row>
    <row r="1522" spans="1:12">
      <c r="B1522" s="5" t="s">
        <v>6726</v>
      </c>
      <c r="C1522" s="26" t="s">
        <v>6727</v>
      </c>
      <c r="D1522" s="1347">
        <v>621743</v>
      </c>
      <c r="E1522" s="1346">
        <v>1644253</v>
      </c>
      <c r="F1522" s="611" t="s">
        <v>6728</v>
      </c>
      <c r="G1522" s="1413" t="s">
        <v>2504</v>
      </c>
      <c r="H1522" s="1353">
        <f t="shared" si="323"/>
        <v>0</v>
      </c>
      <c r="I1522" s="1353">
        <f t="shared" si="324"/>
        <v>0</v>
      </c>
      <c r="K1522" s="1391">
        <v>1547</v>
      </c>
      <c r="L1522" s="1391" t="s">
        <v>6729</v>
      </c>
    </row>
    <row r="1523" spans="1:12">
      <c r="B1523" s="5" t="s">
        <v>6730</v>
      </c>
      <c r="C1523" s="26" t="s">
        <v>6731</v>
      </c>
      <c r="D1523" s="1347">
        <v>4</v>
      </c>
      <c r="E1523" s="1346">
        <v>149652</v>
      </c>
      <c r="F1523" s="611" t="s">
        <v>6732</v>
      </c>
      <c r="G1523" s="1413" t="s">
        <v>2504</v>
      </c>
      <c r="H1523" s="1353">
        <f t="shared" si="323"/>
        <v>0</v>
      </c>
      <c r="I1523" s="1353">
        <f t="shared" si="324"/>
        <v>0</v>
      </c>
      <c r="K1523" s="1391">
        <v>1548</v>
      </c>
      <c r="L1523" s="1391" t="s">
        <v>6733</v>
      </c>
    </row>
    <row r="1524" spans="1:12">
      <c r="B1524" s="5" t="s">
        <v>6734</v>
      </c>
      <c r="C1524" s="26" t="s">
        <v>6735</v>
      </c>
      <c r="D1524" s="1347">
        <v>0</v>
      </c>
      <c r="E1524" s="1346">
        <v>0</v>
      </c>
      <c r="F1524" s="611" t="s">
        <v>6736</v>
      </c>
      <c r="G1524" s="1413" t="s">
        <v>2504</v>
      </c>
      <c r="H1524" s="1353">
        <f t="shared" si="323"/>
        <v>0</v>
      </c>
      <c r="I1524" s="1353">
        <f t="shared" si="324"/>
        <v>0</v>
      </c>
      <c r="K1524" s="1391">
        <v>1549</v>
      </c>
      <c r="L1524" s="1391" t="s">
        <v>6737</v>
      </c>
    </row>
    <row r="1525" spans="1:12">
      <c r="B1525" s="5" t="s">
        <v>6738</v>
      </c>
      <c r="C1525" s="26" t="s">
        <v>6739</v>
      </c>
      <c r="D1525" s="1347">
        <v>0</v>
      </c>
      <c r="E1525" s="1346">
        <v>135717</v>
      </c>
      <c r="F1525" s="611" t="s">
        <v>6740</v>
      </c>
      <c r="G1525" s="1413" t="s">
        <v>2504</v>
      </c>
      <c r="H1525" s="1353">
        <f t="shared" si="323"/>
        <v>0</v>
      </c>
      <c r="I1525" s="1353">
        <f t="shared" si="324"/>
        <v>0</v>
      </c>
      <c r="K1525" s="1391">
        <v>1550</v>
      </c>
      <c r="L1525" s="1391" t="s">
        <v>6741</v>
      </c>
    </row>
    <row r="1526" spans="1:12">
      <c r="B1526" s="5" t="s">
        <v>6742</v>
      </c>
      <c r="C1526" s="26" t="s">
        <v>6743</v>
      </c>
      <c r="D1526" s="1347">
        <v>0</v>
      </c>
      <c r="E1526" s="1346">
        <v>0</v>
      </c>
      <c r="F1526" s="611" t="s">
        <v>6744</v>
      </c>
      <c r="G1526" s="1413" t="s">
        <v>2504</v>
      </c>
      <c r="H1526" s="1353">
        <f t="shared" si="323"/>
        <v>0</v>
      </c>
      <c r="I1526" s="1353">
        <f t="shared" si="324"/>
        <v>0</v>
      </c>
      <c r="K1526" s="1391">
        <v>1551</v>
      </c>
      <c r="L1526" s="1391" t="s">
        <v>6745</v>
      </c>
    </row>
    <row r="1527" spans="1:12">
      <c r="B1527" s="5" t="s">
        <v>6746</v>
      </c>
      <c r="C1527" s="26" t="s">
        <v>6747</v>
      </c>
      <c r="D1527" s="1347">
        <v>0</v>
      </c>
      <c r="E1527" s="1346">
        <v>0</v>
      </c>
      <c r="F1527" s="611" t="s">
        <v>6748</v>
      </c>
      <c r="G1527" s="1413" t="s">
        <v>2504</v>
      </c>
      <c r="H1527" s="1353">
        <f t="shared" si="323"/>
        <v>0</v>
      </c>
      <c r="I1527" s="1353">
        <f t="shared" si="324"/>
        <v>0</v>
      </c>
      <c r="K1527" s="1391">
        <v>1552</v>
      </c>
      <c r="L1527" s="1391" t="s">
        <v>6749</v>
      </c>
    </row>
    <row r="1528" spans="1:12">
      <c r="B1528" s="5" t="s">
        <v>6750</v>
      </c>
      <c r="C1528" s="26" t="s">
        <v>6751</v>
      </c>
      <c r="D1528" s="1347">
        <v>35191</v>
      </c>
      <c r="E1528" s="1346">
        <v>35191</v>
      </c>
      <c r="F1528" s="611" t="s">
        <v>6752</v>
      </c>
      <c r="G1528" s="1413" t="s">
        <v>2504</v>
      </c>
      <c r="H1528" s="1353">
        <f t="shared" si="323"/>
        <v>0</v>
      </c>
      <c r="I1528" s="1353">
        <f t="shared" si="324"/>
        <v>0</v>
      </c>
      <c r="K1528" s="1391">
        <v>1553</v>
      </c>
      <c r="L1528" s="1391" t="s">
        <v>6753</v>
      </c>
    </row>
    <row r="1529" spans="1:12">
      <c r="B1529" s="5" t="s">
        <v>6754</v>
      </c>
      <c r="C1529" s="26" t="s">
        <v>6755</v>
      </c>
      <c r="D1529" s="1347">
        <v>0</v>
      </c>
      <c r="E1529" s="1346">
        <v>0</v>
      </c>
      <c r="F1529" s="611" t="s">
        <v>6756</v>
      </c>
      <c r="G1529" s="1413" t="s">
        <v>2504</v>
      </c>
      <c r="H1529" s="1353">
        <f t="shared" si="323"/>
        <v>0</v>
      </c>
      <c r="I1529" s="1353">
        <f t="shared" si="324"/>
        <v>0</v>
      </c>
      <c r="K1529" s="1391">
        <v>1554</v>
      </c>
      <c r="L1529" s="1391" t="s">
        <v>6757</v>
      </c>
    </row>
    <row r="1530" spans="1:12">
      <c r="B1530" s="5" t="s">
        <v>6758</v>
      </c>
      <c r="C1530" s="26" t="s">
        <v>6759</v>
      </c>
      <c r="D1530" s="1347">
        <v>0</v>
      </c>
      <c r="E1530" s="1346">
        <v>0</v>
      </c>
      <c r="F1530" s="611" t="s">
        <v>6760</v>
      </c>
      <c r="G1530" s="1413" t="s">
        <v>2504</v>
      </c>
      <c r="H1530" s="1353">
        <f t="shared" si="323"/>
        <v>0</v>
      </c>
      <c r="I1530" s="1353">
        <f t="shared" si="324"/>
        <v>0</v>
      </c>
      <c r="K1530" s="1391">
        <v>1555</v>
      </c>
      <c r="L1530" s="1391" t="s">
        <v>6761</v>
      </c>
    </row>
    <row r="1531" spans="1:12">
      <c r="B1531" s="5" t="s">
        <v>6762</v>
      </c>
      <c r="C1531" s="26" t="s">
        <v>6763</v>
      </c>
      <c r="D1531" s="1347">
        <v>611136</v>
      </c>
      <c r="E1531" s="1346">
        <v>2310310</v>
      </c>
      <c r="F1531" s="611" t="s">
        <v>6764</v>
      </c>
      <c r="G1531" s="1413" t="s">
        <v>2504</v>
      </c>
      <c r="H1531" s="1353">
        <f>M1287-M1299</f>
        <v>0</v>
      </c>
      <c r="I1531" s="1353">
        <f>N1287-N1299</f>
        <v>0</v>
      </c>
      <c r="K1531" s="1391">
        <v>1557</v>
      </c>
      <c r="L1531" s="1391" t="s">
        <v>6765</v>
      </c>
    </row>
    <row r="1532" spans="1:12">
      <c r="B1532" s="5" t="s">
        <v>6766</v>
      </c>
      <c r="C1532" s="26" t="s">
        <v>6767</v>
      </c>
      <c r="D1532" s="1347">
        <v>0</v>
      </c>
      <c r="E1532" s="1346">
        <v>0</v>
      </c>
      <c r="F1532" s="611" t="s">
        <v>6768</v>
      </c>
      <c r="G1532" s="1413" t="s">
        <v>2504</v>
      </c>
      <c r="H1532" s="1353">
        <f>M1288-M1300</f>
        <v>0</v>
      </c>
      <c r="I1532" s="1353">
        <f>N1288-N1300</f>
        <v>0</v>
      </c>
      <c r="K1532" s="1391">
        <v>1558</v>
      </c>
      <c r="L1532" s="1391" t="s">
        <v>6769</v>
      </c>
    </row>
    <row r="1533" spans="1:12">
      <c r="B1533" s="5" t="s">
        <v>6770</v>
      </c>
      <c r="C1533" s="26" t="s">
        <v>6771</v>
      </c>
      <c r="D1533" s="1347">
        <v>0</v>
      </c>
      <c r="E1533" s="1346">
        <v>0</v>
      </c>
      <c r="F1533" s="611" t="s">
        <v>6772</v>
      </c>
      <c r="G1533" s="1413" t="s">
        <v>2504</v>
      </c>
      <c r="H1533" s="1353">
        <f>M1290-M1302</f>
        <v>0</v>
      </c>
      <c r="I1533" s="1353">
        <f>N1290-N1302</f>
        <v>0</v>
      </c>
      <c r="K1533" s="1391">
        <v>1559</v>
      </c>
      <c r="L1533" s="1391" t="s">
        <v>6773</v>
      </c>
    </row>
    <row r="1534" spans="1:12">
      <c r="B1534" s="5" t="s">
        <v>6774</v>
      </c>
      <c r="C1534" s="26" t="s">
        <v>6775</v>
      </c>
      <c r="D1534" s="1347">
        <v>59805</v>
      </c>
      <c r="E1534" s="1346">
        <v>141668</v>
      </c>
      <c r="F1534" s="611" t="s">
        <v>6776</v>
      </c>
      <c r="G1534" s="1391">
        <v>1328</v>
      </c>
      <c r="H1534" s="1353">
        <f>M1303</f>
        <v>0</v>
      </c>
      <c r="I1534" s="1353">
        <f>N1303</f>
        <v>0</v>
      </c>
      <c r="K1534" s="1391">
        <v>1560</v>
      </c>
      <c r="L1534" s="1391" t="s">
        <v>6777</v>
      </c>
    </row>
    <row r="1535" spans="1:12">
      <c r="A1535" s="611" t="s">
        <v>2755</v>
      </c>
      <c r="B1535" s="5" t="s">
        <v>6778</v>
      </c>
      <c r="C1535" s="26" t="s">
        <v>175</v>
      </c>
      <c r="D1535" s="1347">
        <v>0</v>
      </c>
      <c r="E1535" s="1346">
        <v>0</v>
      </c>
      <c r="F1535" s="611" t="s">
        <v>6779</v>
      </c>
      <c r="G1535" s="1414">
        <v>4030</v>
      </c>
      <c r="H1535" s="1353">
        <f t="shared" ref="H1535:H1553" si="325">M2115</f>
        <v>0</v>
      </c>
      <c r="I1535" s="1353">
        <f t="shared" ref="I1535:I1553" si="326">N2115</f>
        <v>0</v>
      </c>
      <c r="K1535" s="1391">
        <v>1561</v>
      </c>
      <c r="L1535" s="1391" t="s">
        <v>6780</v>
      </c>
    </row>
    <row r="1536" spans="1:12">
      <c r="B1536" s="5" t="s">
        <v>6781</v>
      </c>
      <c r="C1536" s="26" t="s">
        <v>176</v>
      </c>
      <c r="D1536" s="1347">
        <v>0</v>
      </c>
      <c r="E1536" s="1346">
        <v>0</v>
      </c>
      <c r="F1536" s="611" t="s">
        <v>6782</v>
      </c>
      <c r="G1536" s="1414">
        <v>4031</v>
      </c>
      <c r="H1536" s="1353">
        <f t="shared" si="325"/>
        <v>0</v>
      </c>
      <c r="I1536" s="1353">
        <f t="shared" si="326"/>
        <v>0</v>
      </c>
      <c r="K1536" s="1391">
        <v>1562</v>
      </c>
      <c r="L1536" s="1391" t="s">
        <v>6783</v>
      </c>
    </row>
    <row r="1537" spans="2:12">
      <c r="B1537" s="5" t="s">
        <v>6784</v>
      </c>
      <c r="C1537" s="26" t="s">
        <v>177</v>
      </c>
      <c r="D1537" s="1347">
        <v>0</v>
      </c>
      <c r="E1537" s="1346">
        <v>0</v>
      </c>
      <c r="F1537" s="611" t="s">
        <v>6785</v>
      </c>
      <c r="G1537" s="1414">
        <v>4032</v>
      </c>
      <c r="H1537" s="1353">
        <f t="shared" si="325"/>
        <v>0</v>
      </c>
      <c r="I1537" s="1353">
        <f t="shared" si="326"/>
        <v>0</v>
      </c>
      <c r="K1537" s="1391">
        <v>1563</v>
      </c>
      <c r="L1537" s="1391" t="s">
        <v>6786</v>
      </c>
    </row>
    <row r="1538" spans="2:12">
      <c r="B1538" s="5" t="s">
        <v>6787</v>
      </c>
      <c r="C1538" s="26" t="s">
        <v>178</v>
      </c>
      <c r="D1538" s="1347">
        <v>0</v>
      </c>
      <c r="E1538" s="1346">
        <v>0</v>
      </c>
      <c r="F1538" s="611" t="s">
        <v>6788</v>
      </c>
      <c r="G1538" s="1414">
        <v>4033</v>
      </c>
      <c r="H1538" s="1353">
        <f t="shared" si="325"/>
        <v>0</v>
      </c>
      <c r="I1538" s="1353">
        <f t="shared" si="326"/>
        <v>0</v>
      </c>
      <c r="K1538" s="1391">
        <v>1564</v>
      </c>
      <c r="L1538" s="1391" t="s">
        <v>6789</v>
      </c>
    </row>
    <row r="1539" spans="2:12">
      <c r="B1539" s="5" t="s">
        <v>6790</v>
      </c>
      <c r="C1539" s="26" t="s">
        <v>179</v>
      </c>
      <c r="D1539" s="1347">
        <v>0</v>
      </c>
      <c r="E1539" s="1346">
        <v>0</v>
      </c>
      <c r="F1539" s="611" t="s">
        <v>6791</v>
      </c>
      <c r="G1539" s="1414">
        <v>4034</v>
      </c>
      <c r="H1539" s="1353">
        <f t="shared" si="325"/>
        <v>0</v>
      </c>
      <c r="I1539" s="1353">
        <f t="shared" si="326"/>
        <v>0</v>
      </c>
      <c r="K1539" s="1391">
        <v>1565</v>
      </c>
      <c r="L1539" s="1391" t="s">
        <v>6792</v>
      </c>
    </row>
    <row r="1540" spans="2:12">
      <c r="B1540" s="5" t="s">
        <v>6793</v>
      </c>
      <c r="C1540" s="26" t="s">
        <v>180</v>
      </c>
      <c r="D1540" s="1347">
        <v>0</v>
      </c>
      <c r="E1540" s="1346">
        <v>0</v>
      </c>
      <c r="F1540" s="611" t="s">
        <v>6794</v>
      </c>
      <c r="G1540" s="1414">
        <v>4035</v>
      </c>
      <c r="H1540" s="1353">
        <f t="shared" si="325"/>
        <v>0</v>
      </c>
      <c r="I1540" s="1353">
        <f t="shared" si="326"/>
        <v>0</v>
      </c>
      <c r="K1540" s="1391">
        <v>1566</v>
      </c>
      <c r="L1540" s="1391" t="s">
        <v>6795</v>
      </c>
    </row>
    <row r="1541" spans="2:12">
      <c r="B1541" s="5" t="s">
        <v>6796</v>
      </c>
      <c r="C1541" s="26" t="s">
        <v>181</v>
      </c>
      <c r="D1541" s="1347">
        <v>0</v>
      </c>
      <c r="E1541" s="1346">
        <v>0</v>
      </c>
      <c r="F1541" s="611" t="s">
        <v>6797</v>
      </c>
      <c r="G1541" s="1414">
        <v>4036</v>
      </c>
      <c r="H1541" s="1353">
        <f t="shared" si="325"/>
        <v>0</v>
      </c>
      <c r="I1541" s="1353">
        <f t="shared" si="326"/>
        <v>0</v>
      </c>
      <c r="K1541" s="1391">
        <v>1567</v>
      </c>
      <c r="L1541" s="1391" t="s">
        <v>6798</v>
      </c>
    </row>
    <row r="1542" spans="2:12">
      <c r="B1542" s="5" t="s">
        <v>6799</v>
      </c>
      <c r="C1542" s="26" t="s">
        <v>182</v>
      </c>
      <c r="D1542" s="1347">
        <v>0</v>
      </c>
      <c r="E1542" s="1346">
        <v>0</v>
      </c>
      <c r="F1542" s="611" t="s">
        <v>6800</v>
      </c>
      <c r="G1542" s="1414">
        <v>4037</v>
      </c>
      <c r="H1542" s="1353">
        <f t="shared" si="325"/>
        <v>0</v>
      </c>
      <c r="I1542" s="1353">
        <f t="shared" si="326"/>
        <v>0</v>
      </c>
      <c r="K1542" s="1391">
        <v>1568</v>
      </c>
      <c r="L1542" s="1391" t="s">
        <v>6801</v>
      </c>
    </row>
    <row r="1543" spans="2:12">
      <c r="B1543" s="5" t="s">
        <v>6802</v>
      </c>
      <c r="C1543" s="26" t="s">
        <v>183</v>
      </c>
      <c r="D1543" s="1347">
        <v>0</v>
      </c>
      <c r="E1543" s="1346">
        <v>0</v>
      </c>
      <c r="F1543" s="611" t="s">
        <v>6803</v>
      </c>
      <c r="G1543" s="1414">
        <v>4038</v>
      </c>
      <c r="H1543" s="1353">
        <f t="shared" si="325"/>
        <v>0</v>
      </c>
      <c r="I1543" s="1353">
        <f t="shared" si="326"/>
        <v>0</v>
      </c>
      <c r="K1543" s="1391">
        <v>1569</v>
      </c>
      <c r="L1543" s="1391" t="s">
        <v>6804</v>
      </c>
    </row>
    <row r="1544" spans="2:12">
      <c r="B1544" s="5" t="s">
        <v>6805</v>
      </c>
      <c r="C1544" s="26" t="s">
        <v>184</v>
      </c>
      <c r="D1544" s="1347">
        <v>0</v>
      </c>
      <c r="E1544" s="1346">
        <v>0</v>
      </c>
      <c r="F1544" s="611" t="s">
        <v>6806</v>
      </c>
      <c r="G1544" s="1414">
        <v>4039</v>
      </c>
      <c r="H1544" s="1353">
        <f t="shared" si="325"/>
        <v>0</v>
      </c>
      <c r="I1544" s="1353">
        <f t="shared" si="326"/>
        <v>0</v>
      </c>
      <c r="K1544" s="1391">
        <v>1570</v>
      </c>
      <c r="L1544" s="1391" t="s">
        <v>6807</v>
      </c>
    </row>
    <row r="1545" spans="2:12">
      <c r="B1545" s="5" t="s">
        <v>6808</v>
      </c>
      <c r="C1545" s="26" t="s">
        <v>185</v>
      </c>
      <c r="D1545" s="1347">
        <v>0</v>
      </c>
      <c r="E1545" s="1346">
        <v>0</v>
      </c>
      <c r="F1545" s="611" t="s">
        <v>6809</v>
      </c>
      <c r="G1545" s="1414">
        <v>4040</v>
      </c>
      <c r="H1545" s="1353">
        <f t="shared" si="325"/>
        <v>0</v>
      </c>
      <c r="I1545" s="1353">
        <f t="shared" si="326"/>
        <v>0</v>
      </c>
      <c r="K1545" s="1391">
        <v>1572</v>
      </c>
      <c r="L1545" s="1391" t="s">
        <v>6810</v>
      </c>
    </row>
    <row r="1546" spans="2:12">
      <c r="B1546" s="5" t="s">
        <v>6811</v>
      </c>
      <c r="C1546" s="26" t="s">
        <v>186</v>
      </c>
      <c r="D1546" s="1347">
        <v>0</v>
      </c>
      <c r="E1546" s="1346">
        <v>0</v>
      </c>
      <c r="F1546" s="611" t="s">
        <v>6812</v>
      </c>
      <c r="G1546" s="1414">
        <v>4041</v>
      </c>
      <c r="H1546" s="1353">
        <f t="shared" si="325"/>
        <v>0</v>
      </c>
      <c r="I1546" s="1353">
        <f t="shared" si="326"/>
        <v>0</v>
      </c>
      <c r="K1546" s="1391">
        <v>1573</v>
      </c>
      <c r="L1546" s="1391" t="s">
        <v>6813</v>
      </c>
    </row>
    <row r="1547" spans="2:12">
      <c r="B1547" s="5" t="s">
        <v>6814</v>
      </c>
      <c r="C1547" s="26" t="s">
        <v>187</v>
      </c>
      <c r="D1547" s="1347">
        <v>0</v>
      </c>
      <c r="E1547" s="1346">
        <v>0</v>
      </c>
      <c r="F1547" s="611" t="s">
        <v>6815</v>
      </c>
      <c r="G1547" s="1414">
        <v>4042</v>
      </c>
      <c r="H1547" s="1353">
        <f t="shared" si="325"/>
        <v>0</v>
      </c>
      <c r="I1547" s="1353">
        <f t="shared" si="326"/>
        <v>0</v>
      </c>
      <c r="K1547" s="1391">
        <v>1575</v>
      </c>
      <c r="L1547" s="1391" t="s">
        <v>6816</v>
      </c>
    </row>
    <row r="1548" spans="2:12">
      <c r="B1548" s="5" t="s">
        <v>6817</v>
      </c>
      <c r="C1548" s="26" t="s">
        <v>188</v>
      </c>
      <c r="D1548" s="1347">
        <v>0</v>
      </c>
      <c r="E1548" s="1346">
        <v>0</v>
      </c>
      <c r="F1548" s="611" t="s">
        <v>6818</v>
      </c>
      <c r="G1548" s="1414">
        <v>4043</v>
      </c>
      <c r="H1548" s="1353">
        <f t="shared" si="325"/>
        <v>0</v>
      </c>
      <c r="I1548" s="1353">
        <f t="shared" si="326"/>
        <v>0</v>
      </c>
      <c r="K1548" s="1391">
        <v>1576</v>
      </c>
      <c r="L1548" s="1391" t="s">
        <v>6819</v>
      </c>
    </row>
    <row r="1549" spans="2:12">
      <c r="B1549" s="5" t="s">
        <v>6820</v>
      </c>
      <c r="C1549" s="26" t="s">
        <v>189</v>
      </c>
      <c r="D1549" s="1347">
        <v>0</v>
      </c>
      <c r="E1549" s="1346">
        <v>0</v>
      </c>
      <c r="F1549" s="611" t="s">
        <v>6821</v>
      </c>
      <c r="G1549" s="1414">
        <v>4044</v>
      </c>
      <c r="H1549" s="1353">
        <f t="shared" si="325"/>
        <v>0</v>
      </c>
      <c r="I1549" s="1353">
        <f t="shared" si="326"/>
        <v>0</v>
      </c>
      <c r="K1549" s="1391">
        <v>1577</v>
      </c>
      <c r="L1549" s="1391" t="s">
        <v>6822</v>
      </c>
    </row>
    <row r="1550" spans="2:12">
      <c r="B1550" s="5" t="s">
        <v>6823</v>
      </c>
      <c r="C1550" s="26" t="s">
        <v>190</v>
      </c>
      <c r="D1550" s="1347">
        <v>0</v>
      </c>
      <c r="E1550" s="1346">
        <v>0</v>
      </c>
      <c r="F1550" s="611" t="s">
        <v>6824</v>
      </c>
      <c r="G1550" s="1414">
        <v>4045</v>
      </c>
      <c r="H1550" s="1353">
        <f t="shared" si="325"/>
        <v>0</v>
      </c>
      <c r="I1550" s="1353">
        <f t="shared" si="326"/>
        <v>0</v>
      </c>
      <c r="K1550" s="1391">
        <v>1578</v>
      </c>
      <c r="L1550" s="1391" t="s">
        <v>6825</v>
      </c>
    </row>
    <row r="1551" spans="2:12">
      <c r="B1551" s="5" t="s">
        <v>6826</v>
      </c>
      <c r="C1551" s="26" t="s">
        <v>191</v>
      </c>
      <c r="D1551" s="1347">
        <v>0</v>
      </c>
      <c r="E1551" s="1346">
        <v>0</v>
      </c>
      <c r="F1551" s="611" t="s">
        <v>6827</v>
      </c>
      <c r="G1551" s="1414">
        <v>4046</v>
      </c>
      <c r="H1551" s="1353">
        <f t="shared" si="325"/>
        <v>0</v>
      </c>
      <c r="I1551" s="1353">
        <f t="shared" si="326"/>
        <v>0</v>
      </c>
      <c r="K1551" s="1391">
        <v>1579</v>
      </c>
      <c r="L1551" s="1391" t="s">
        <v>6828</v>
      </c>
    </row>
    <row r="1552" spans="2:12">
      <c r="B1552" s="5" t="s">
        <v>6829</v>
      </c>
      <c r="C1552" s="26" t="s">
        <v>192</v>
      </c>
      <c r="D1552" s="1347">
        <v>0</v>
      </c>
      <c r="E1552" s="1346">
        <v>0</v>
      </c>
      <c r="F1552" s="611" t="s">
        <v>6830</v>
      </c>
      <c r="G1552" s="1414">
        <v>4047</v>
      </c>
      <c r="H1552" s="1353">
        <f t="shared" si="325"/>
        <v>0</v>
      </c>
      <c r="I1552" s="1353">
        <f t="shared" si="326"/>
        <v>0</v>
      </c>
      <c r="K1552" s="1391">
        <v>1580</v>
      </c>
      <c r="L1552" s="1391" t="s">
        <v>6831</v>
      </c>
    </row>
    <row r="1553" spans="2:12">
      <c r="B1553" s="5" t="s">
        <v>6832</v>
      </c>
      <c r="C1553" s="26" t="s">
        <v>193</v>
      </c>
      <c r="D1553" s="1347">
        <v>0</v>
      </c>
      <c r="E1553" s="1346">
        <v>0</v>
      </c>
      <c r="F1553" s="611" t="s">
        <v>6833</v>
      </c>
      <c r="G1553" s="1414">
        <v>4048</v>
      </c>
      <c r="H1553" s="1353">
        <f t="shared" si="325"/>
        <v>0</v>
      </c>
      <c r="I1553" s="1353">
        <f t="shared" si="326"/>
        <v>0</v>
      </c>
      <c r="K1553" s="1391">
        <v>1581</v>
      </c>
      <c r="L1553" s="1391" t="s">
        <v>6834</v>
      </c>
    </row>
    <row r="1554" spans="2:12">
      <c r="B1554" s="5" t="s">
        <v>6835</v>
      </c>
      <c r="C1554" s="26" t="s">
        <v>6836</v>
      </c>
      <c r="D1554" s="1347">
        <v>0</v>
      </c>
      <c r="E1554" s="1346">
        <v>0</v>
      </c>
      <c r="F1554" s="611" t="s">
        <v>6837</v>
      </c>
      <c r="G1554" s="1408">
        <v>1331</v>
      </c>
      <c r="H1554" s="1353">
        <f>M1306</f>
        <v>0</v>
      </c>
      <c r="I1554" s="1353">
        <f>N1306</f>
        <v>0</v>
      </c>
      <c r="K1554" s="1391">
        <v>1582</v>
      </c>
      <c r="L1554" s="1391" t="s">
        <v>6838</v>
      </c>
    </row>
    <row r="1555" spans="2:12">
      <c r="B1555" s="5" t="s">
        <v>6839</v>
      </c>
      <c r="C1555" s="26" t="s">
        <v>195</v>
      </c>
      <c r="D1555" s="1347">
        <v>0</v>
      </c>
      <c r="E1555" s="1346">
        <v>0</v>
      </c>
      <c r="F1555" s="611" t="s">
        <v>6840</v>
      </c>
      <c r="G1555" s="1408">
        <v>1332</v>
      </c>
      <c r="H1555" s="1353">
        <f>M1307</f>
        <v>0</v>
      </c>
      <c r="I1555" s="1353">
        <f>N1307</f>
        <v>0</v>
      </c>
      <c r="K1555" s="1391">
        <v>1583</v>
      </c>
      <c r="L1555" s="1391" t="s">
        <v>6841</v>
      </c>
    </row>
    <row r="1556" spans="2:12">
      <c r="B1556" s="5" t="s">
        <v>6842</v>
      </c>
      <c r="C1556" s="26" t="s">
        <v>196</v>
      </c>
      <c r="D1556" s="1347">
        <v>0</v>
      </c>
      <c r="E1556" s="1346">
        <v>0</v>
      </c>
      <c r="F1556" s="611" t="s">
        <v>6843</v>
      </c>
      <c r="G1556" s="1414">
        <v>4049</v>
      </c>
      <c r="H1556" s="1353">
        <f t="shared" ref="H1556:H1571" si="327">M2134</f>
        <v>0</v>
      </c>
      <c r="I1556" s="1353">
        <f t="shared" ref="I1556:I1571" si="328">N2134</f>
        <v>0</v>
      </c>
      <c r="K1556" s="1391">
        <v>1584</v>
      </c>
      <c r="L1556" s="1391" t="s">
        <v>6844</v>
      </c>
    </row>
    <row r="1557" spans="2:12">
      <c r="B1557" s="5" t="s">
        <v>6845</v>
      </c>
      <c r="C1557" s="26" t="s">
        <v>197</v>
      </c>
      <c r="D1557" s="1347">
        <v>0</v>
      </c>
      <c r="E1557" s="1346">
        <v>0</v>
      </c>
      <c r="F1557" s="611" t="s">
        <v>6846</v>
      </c>
      <c r="G1557" s="1414">
        <v>4050</v>
      </c>
      <c r="H1557" s="1353">
        <f t="shared" si="327"/>
        <v>0</v>
      </c>
      <c r="I1557" s="1353">
        <f t="shared" si="328"/>
        <v>0</v>
      </c>
      <c r="K1557" s="1391">
        <v>1585</v>
      </c>
      <c r="L1557" s="1391" t="s">
        <v>6847</v>
      </c>
    </row>
    <row r="1558" spans="2:12">
      <c r="B1558" s="5" t="s">
        <v>6848</v>
      </c>
      <c r="C1558" s="26" t="s">
        <v>198</v>
      </c>
      <c r="D1558" s="1347">
        <v>0</v>
      </c>
      <c r="E1558" s="1346">
        <v>64477</v>
      </c>
      <c r="F1558" s="611" t="s">
        <v>6849</v>
      </c>
      <c r="G1558" s="1414">
        <v>4051</v>
      </c>
      <c r="H1558" s="1353">
        <f t="shared" si="327"/>
        <v>0</v>
      </c>
      <c r="I1558" s="1353">
        <f t="shared" si="328"/>
        <v>0</v>
      </c>
      <c r="K1558" s="1391">
        <v>1586</v>
      </c>
      <c r="L1558" s="1391" t="s">
        <v>6850</v>
      </c>
    </row>
    <row r="1559" spans="2:12">
      <c r="B1559" s="5" t="s">
        <v>6851</v>
      </c>
      <c r="C1559" s="26" t="s">
        <v>199</v>
      </c>
      <c r="D1559" s="1347">
        <v>166774</v>
      </c>
      <c r="E1559" s="1346">
        <v>390030</v>
      </c>
      <c r="F1559" s="611" t="s">
        <v>6852</v>
      </c>
      <c r="G1559" s="1414">
        <v>4052</v>
      </c>
      <c r="H1559" s="1353">
        <f t="shared" si="327"/>
        <v>0</v>
      </c>
      <c r="I1559" s="1353">
        <f t="shared" si="328"/>
        <v>0</v>
      </c>
      <c r="K1559" s="1391">
        <v>1587</v>
      </c>
      <c r="L1559" s="1391" t="s">
        <v>6853</v>
      </c>
    </row>
    <row r="1560" spans="2:12">
      <c r="B1560" s="5" t="s">
        <v>6854</v>
      </c>
      <c r="C1560" s="26" t="s">
        <v>200</v>
      </c>
      <c r="D1560" s="1347">
        <v>0</v>
      </c>
      <c r="E1560" s="1346">
        <v>288896</v>
      </c>
      <c r="F1560" s="611" t="s">
        <v>6855</v>
      </c>
      <c r="G1560" s="1414">
        <v>4053</v>
      </c>
      <c r="H1560" s="1353">
        <f t="shared" si="327"/>
        <v>0</v>
      </c>
      <c r="I1560" s="1353">
        <f t="shared" si="328"/>
        <v>0</v>
      </c>
      <c r="K1560" s="1391">
        <v>1589</v>
      </c>
      <c r="L1560" s="1391" t="s">
        <v>6856</v>
      </c>
    </row>
    <row r="1561" spans="2:12">
      <c r="B1561" s="5" t="s">
        <v>6857</v>
      </c>
      <c r="C1561" s="26" t="s">
        <v>201</v>
      </c>
      <c r="D1561" s="1347">
        <v>0</v>
      </c>
      <c r="E1561" s="1346">
        <v>0</v>
      </c>
      <c r="F1561" s="611" t="s">
        <v>6858</v>
      </c>
      <c r="G1561" s="1414">
        <v>4054</v>
      </c>
      <c r="H1561" s="1353">
        <f t="shared" si="327"/>
        <v>0</v>
      </c>
      <c r="I1561" s="1353">
        <f t="shared" si="328"/>
        <v>0</v>
      </c>
      <c r="K1561" s="1391">
        <v>1590</v>
      </c>
      <c r="L1561" s="1391" t="s">
        <v>6859</v>
      </c>
    </row>
    <row r="1562" spans="2:12">
      <c r="B1562" s="5" t="s">
        <v>6860</v>
      </c>
      <c r="C1562" s="26" t="s">
        <v>202</v>
      </c>
      <c r="D1562" s="1347">
        <v>0</v>
      </c>
      <c r="E1562" s="1346">
        <v>0</v>
      </c>
      <c r="F1562" s="611" t="s">
        <v>6861</v>
      </c>
      <c r="G1562" s="1414">
        <v>4055</v>
      </c>
      <c r="H1562" s="1353">
        <f t="shared" si="327"/>
        <v>0</v>
      </c>
      <c r="I1562" s="1353">
        <f t="shared" si="328"/>
        <v>0</v>
      </c>
      <c r="K1562" s="1391">
        <v>1591</v>
      </c>
      <c r="L1562" s="1391" t="s">
        <v>6862</v>
      </c>
    </row>
    <row r="1563" spans="2:12">
      <c r="B1563" s="5" t="s">
        <v>6863</v>
      </c>
      <c r="C1563" s="26" t="s">
        <v>203</v>
      </c>
      <c r="D1563" s="1347">
        <v>0</v>
      </c>
      <c r="E1563" s="1346">
        <v>0</v>
      </c>
      <c r="F1563" s="611" t="s">
        <v>6864</v>
      </c>
      <c r="G1563" s="1414">
        <v>4056</v>
      </c>
      <c r="H1563" s="1353">
        <f t="shared" si="327"/>
        <v>0</v>
      </c>
      <c r="I1563" s="1353">
        <f t="shared" si="328"/>
        <v>0</v>
      </c>
      <c r="K1563" s="1391">
        <v>1592</v>
      </c>
      <c r="L1563" s="1391" t="s">
        <v>6865</v>
      </c>
    </row>
    <row r="1564" spans="2:12">
      <c r="B1564" s="5" t="s">
        <v>6866</v>
      </c>
      <c r="C1564" s="26" t="s">
        <v>204</v>
      </c>
      <c r="D1564" s="1347">
        <v>0</v>
      </c>
      <c r="E1564" s="1346">
        <v>0</v>
      </c>
      <c r="F1564" s="611" t="s">
        <v>6867</v>
      </c>
      <c r="G1564" s="1414">
        <v>4057</v>
      </c>
      <c r="H1564" s="1353">
        <f t="shared" si="327"/>
        <v>0</v>
      </c>
      <c r="I1564" s="1353">
        <f t="shared" si="328"/>
        <v>0</v>
      </c>
      <c r="K1564" s="1391">
        <v>1593</v>
      </c>
      <c r="L1564" s="1391" t="s">
        <v>6868</v>
      </c>
    </row>
    <row r="1565" spans="2:12">
      <c r="B1565" s="5" t="s">
        <v>6869</v>
      </c>
      <c r="C1565" s="26" t="s">
        <v>205</v>
      </c>
      <c r="D1565" s="1347">
        <v>0</v>
      </c>
      <c r="E1565" s="1346">
        <v>0</v>
      </c>
      <c r="F1565" s="611" t="s">
        <v>6870</v>
      </c>
      <c r="G1565" s="1414">
        <v>4058</v>
      </c>
      <c r="H1565" s="1353">
        <f t="shared" si="327"/>
        <v>0</v>
      </c>
      <c r="I1565" s="1353">
        <f t="shared" si="328"/>
        <v>0</v>
      </c>
      <c r="K1565" s="1391">
        <v>1594</v>
      </c>
      <c r="L1565" s="1391" t="s">
        <v>6871</v>
      </c>
    </row>
    <row r="1566" spans="2:12">
      <c r="B1566" s="5" t="s">
        <v>6872</v>
      </c>
      <c r="C1566" s="26" t="s">
        <v>206</v>
      </c>
      <c r="D1566" s="1347">
        <v>0</v>
      </c>
      <c r="E1566" s="1346">
        <v>0</v>
      </c>
      <c r="F1566" s="611" t="s">
        <v>6873</v>
      </c>
      <c r="G1566" s="1414">
        <v>4059</v>
      </c>
      <c r="H1566" s="1353">
        <f t="shared" si="327"/>
        <v>0</v>
      </c>
      <c r="I1566" s="1353">
        <f t="shared" si="328"/>
        <v>0</v>
      </c>
      <c r="K1566" s="1391">
        <v>1595</v>
      </c>
      <c r="L1566" s="1391" t="s">
        <v>6874</v>
      </c>
    </row>
    <row r="1567" spans="2:12">
      <c r="B1567" s="5" t="s">
        <v>6875</v>
      </c>
      <c r="C1567" s="26" t="s">
        <v>207</v>
      </c>
      <c r="D1567" s="1347">
        <v>0</v>
      </c>
      <c r="E1567" s="1346">
        <v>0</v>
      </c>
      <c r="F1567" s="611" t="s">
        <v>6876</v>
      </c>
      <c r="G1567" s="1414">
        <v>4060</v>
      </c>
      <c r="H1567" s="1353">
        <f t="shared" si="327"/>
        <v>0</v>
      </c>
      <c r="I1567" s="1353">
        <f t="shared" si="328"/>
        <v>0</v>
      </c>
      <c r="K1567" s="1391">
        <v>1597</v>
      </c>
      <c r="L1567" s="1391" t="s">
        <v>6877</v>
      </c>
    </row>
    <row r="1568" spans="2:12">
      <c r="B1568" s="5" t="s">
        <v>6878</v>
      </c>
      <c r="C1568" s="26" t="s">
        <v>208</v>
      </c>
      <c r="D1568" s="1347">
        <v>0</v>
      </c>
      <c r="E1568" s="1346">
        <v>0</v>
      </c>
      <c r="F1568" s="611" t="s">
        <v>6879</v>
      </c>
      <c r="G1568" s="1414">
        <v>4061</v>
      </c>
      <c r="H1568" s="1353">
        <f t="shared" si="327"/>
        <v>0</v>
      </c>
      <c r="I1568" s="1353">
        <f t="shared" si="328"/>
        <v>0</v>
      </c>
      <c r="K1568" s="1391">
        <v>1598</v>
      </c>
      <c r="L1568" s="1391" t="s">
        <v>6880</v>
      </c>
    </row>
    <row r="1569" spans="2:12">
      <c r="B1569" s="5" t="s">
        <v>6881</v>
      </c>
      <c r="C1569" s="26" t="s">
        <v>209</v>
      </c>
      <c r="D1569" s="1347">
        <v>0</v>
      </c>
      <c r="E1569" s="1346">
        <v>0</v>
      </c>
      <c r="F1569" s="611" t="s">
        <v>6882</v>
      </c>
      <c r="G1569" s="1414">
        <v>4062</v>
      </c>
      <c r="H1569" s="1353">
        <f t="shared" si="327"/>
        <v>0</v>
      </c>
      <c r="I1569" s="1353">
        <f t="shared" si="328"/>
        <v>0</v>
      </c>
      <c r="K1569" s="1391">
        <v>1599</v>
      </c>
      <c r="L1569" s="1391" t="s">
        <v>6883</v>
      </c>
    </row>
    <row r="1570" spans="2:12">
      <c r="B1570" s="5" t="s">
        <v>6884</v>
      </c>
      <c r="C1570" s="26" t="s">
        <v>210</v>
      </c>
      <c r="D1570" s="1347">
        <v>0</v>
      </c>
      <c r="E1570" s="1346">
        <v>0</v>
      </c>
      <c r="F1570" s="611" t="s">
        <v>6885</v>
      </c>
      <c r="G1570" s="1414">
        <v>4063</v>
      </c>
      <c r="H1570" s="1353">
        <f t="shared" si="327"/>
        <v>0</v>
      </c>
      <c r="I1570" s="1353">
        <f t="shared" si="328"/>
        <v>0</v>
      </c>
      <c r="K1570" s="1391">
        <v>1600</v>
      </c>
      <c r="L1570" s="1391" t="s">
        <v>6886</v>
      </c>
    </row>
    <row r="1571" spans="2:12">
      <c r="B1571" s="5" t="s">
        <v>6887</v>
      </c>
      <c r="C1571" s="26" t="s">
        <v>211</v>
      </c>
      <c r="D1571" s="1347">
        <v>0</v>
      </c>
      <c r="E1571" s="1346">
        <v>0</v>
      </c>
      <c r="F1571" s="611" t="s">
        <v>6888</v>
      </c>
      <c r="G1571" s="1414">
        <v>4064</v>
      </c>
      <c r="H1571" s="1353">
        <f t="shared" si="327"/>
        <v>0</v>
      </c>
      <c r="I1571" s="1353">
        <f t="shared" si="328"/>
        <v>0</v>
      </c>
      <c r="K1571" s="1391">
        <v>1601</v>
      </c>
      <c r="L1571" s="1391" t="s">
        <v>6889</v>
      </c>
    </row>
    <row r="1572" spans="2:12">
      <c r="B1572" s="5" t="s">
        <v>6890</v>
      </c>
      <c r="C1572" s="26" t="s">
        <v>6891</v>
      </c>
      <c r="D1572" s="1347">
        <v>0</v>
      </c>
      <c r="E1572" s="1346">
        <v>0</v>
      </c>
      <c r="F1572" s="611" t="s">
        <v>6892</v>
      </c>
      <c r="G1572" s="1408">
        <v>1336</v>
      </c>
      <c r="H1572" s="1353">
        <f>M1311</f>
        <v>0</v>
      </c>
      <c r="I1572" s="1353">
        <f>N1311</f>
        <v>0</v>
      </c>
      <c r="K1572" s="1391">
        <v>1602</v>
      </c>
      <c r="L1572" s="1391" t="s">
        <v>6893</v>
      </c>
    </row>
    <row r="1573" spans="2:12">
      <c r="B1573" s="5" t="s">
        <v>6894</v>
      </c>
      <c r="C1573" s="26" t="s">
        <v>213</v>
      </c>
      <c r="D1573" s="1347">
        <v>0</v>
      </c>
      <c r="E1573" s="1346">
        <v>0</v>
      </c>
      <c r="F1573" s="611" t="s">
        <v>6895</v>
      </c>
      <c r="G1573" s="1408">
        <v>1337</v>
      </c>
      <c r="H1573" s="1353">
        <f>M1312</f>
        <v>0</v>
      </c>
      <c r="I1573" s="1353">
        <f>N1312</f>
        <v>0</v>
      </c>
      <c r="K1573" s="1391">
        <v>1603</v>
      </c>
      <c r="L1573" s="1391" t="s">
        <v>6896</v>
      </c>
    </row>
    <row r="1574" spans="2:12">
      <c r="B1574" s="5" t="s">
        <v>6897</v>
      </c>
      <c r="C1574" s="26" t="s">
        <v>214</v>
      </c>
      <c r="D1574" s="1347">
        <v>0</v>
      </c>
      <c r="E1574" s="1346">
        <v>0</v>
      </c>
      <c r="F1574" s="611" t="s">
        <v>6898</v>
      </c>
      <c r="G1574" s="1408">
        <v>1339</v>
      </c>
      <c r="H1574" s="1353">
        <f>M1314</f>
        <v>0</v>
      </c>
      <c r="I1574" s="1353">
        <f>N1314</f>
        <v>0</v>
      </c>
      <c r="K1574" s="1391">
        <v>1604</v>
      </c>
      <c r="L1574" s="1391" t="s">
        <v>6899</v>
      </c>
    </row>
    <row r="1575" spans="2:12">
      <c r="B1575" s="5" t="s">
        <v>6900</v>
      </c>
      <c r="C1575" s="26" t="s">
        <v>6901</v>
      </c>
      <c r="D1575" s="1347">
        <v>0</v>
      </c>
      <c r="E1575" s="1346">
        <v>0</v>
      </c>
      <c r="F1575" s="611" t="s">
        <v>6902</v>
      </c>
      <c r="G1575" s="1413" t="s">
        <v>2504</v>
      </c>
      <c r="H1575" s="1353">
        <f t="shared" ref="H1575:H1593" si="329">M2115-M2150</f>
        <v>0</v>
      </c>
      <c r="I1575" s="1353">
        <f t="shared" ref="I1575:I1593" si="330">N2115-N2150</f>
        <v>0</v>
      </c>
      <c r="K1575" s="1391">
        <v>1605</v>
      </c>
      <c r="L1575" s="1391" t="s">
        <v>6903</v>
      </c>
    </row>
    <row r="1576" spans="2:12">
      <c r="B1576" s="5" t="s">
        <v>6904</v>
      </c>
      <c r="C1576" s="26" t="s">
        <v>6905</v>
      </c>
      <c r="D1576" s="1347">
        <v>0</v>
      </c>
      <c r="E1576" s="1346">
        <v>0</v>
      </c>
      <c r="F1576" s="611" t="s">
        <v>6906</v>
      </c>
      <c r="G1576" s="1413" t="s">
        <v>2504</v>
      </c>
      <c r="H1576" s="1353">
        <f t="shared" si="329"/>
        <v>0</v>
      </c>
      <c r="I1576" s="1353">
        <f t="shared" si="330"/>
        <v>0</v>
      </c>
      <c r="K1576" s="1391">
        <v>1606</v>
      </c>
      <c r="L1576" s="1391" t="s">
        <v>6907</v>
      </c>
    </row>
    <row r="1577" spans="2:12">
      <c r="B1577" s="5" t="s">
        <v>6908</v>
      </c>
      <c r="C1577" s="26" t="s">
        <v>6909</v>
      </c>
      <c r="D1577" s="1347">
        <v>0</v>
      </c>
      <c r="E1577" s="1346">
        <v>0</v>
      </c>
      <c r="F1577" s="611" t="s">
        <v>6910</v>
      </c>
      <c r="G1577" s="1413" t="s">
        <v>2504</v>
      </c>
      <c r="H1577" s="1353">
        <f t="shared" si="329"/>
        <v>0</v>
      </c>
      <c r="I1577" s="1353">
        <f t="shared" si="330"/>
        <v>0</v>
      </c>
      <c r="K1577" s="1391">
        <v>1607</v>
      </c>
      <c r="L1577" s="1391" t="s">
        <v>6911</v>
      </c>
    </row>
    <row r="1578" spans="2:12">
      <c r="B1578" s="5" t="s">
        <v>6912</v>
      </c>
      <c r="C1578" s="26" t="s">
        <v>6913</v>
      </c>
      <c r="D1578" s="1347">
        <v>0</v>
      </c>
      <c r="E1578" s="1346">
        <v>0</v>
      </c>
      <c r="F1578" s="611" t="s">
        <v>6914</v>
      </c>
      <c r="G1578" s="1413" t="s">
        <v>2504</v>
      </c>
      <c r="H1578" s="1353">
        <f t="shared" si="329"/>
        <v>0</v>
      </c>
      <c r="I1578" s="1353">
        <f t="shared" si="330"/>
        <v>0</v>
      </c>
      <c r="K1578" s="1391">
        <v>1608</v>
      </c>
      <c r="L1578" s="1391" t="s">
        <v>6915</v>
      </c>
    </row>
    <row r="1579" spans="2:12">
      <c r="B1579" s="5" t="s">
        <v>6916</v>
      </c>
      <c r="C1579" s="26" t="s">
        <v>6917</v>
      </c>
      <c r="D1579" s="1347">
        <v>0</v>
      </c>
      <c r="E1579" s="1346">
        <v>0</v>
      </c>
      <c r="F1579" s="611" t="s">
        <v>6918</v>
      </c>
      <c r="G1579" s="1413" t="s">
        <v>2504</v>
      </c>
      <c r="H1579" s="1353">
        <f t="shared" si="329"/>
        <v>0</v>
      </c>
      <c r="I1579" s="1353">
        <f t="shared" si="330"/>
        <v>0</v>
      </c>
      <c r="K1579" s="1391">
        <v>1609</v>
      </c>
      <c r="L1579" s="1391" t="s">
        <v>6919</v>
      </c>
    </row>
    <row r="1580" spans="2:12">
      <c r="B1580" s="5" t="s">
        <v>6920</v>
      </c>
      <c r="C1580" s="26" t="s">
        <v>6921</v>
      </c>
      <c r="D1580" s="1347">
        <v>0</v>
      </c>
      <c r="E1580" s="1346">
        <v>0</v>
      </c>
      <c r="F1580" s="611" t="s">
        <v>6922</v>
      </c>
      <c r="G1580" s="1413" t="s">
        <v>2504</v>
      </c>
      <c r="H1580" s="1353">
        <f t="shared" si="329"/>
        <v>0</v>
      </c>
      <c r="I1580" s="1353">
        <f t="shared" si="330"/>
        <v>0</v>
      </c>
      <c r="K1580" s="1391">
        <v>1610</v>
      </c>
      <c r="L1580" s="1391" t="s">
        <v>6923</v>
      </c>
    </row>
    <row r="1581" spans="2:12">
      <c r="B1581" s="5" t="s">
        <v>6924</v>
      </c>
      <c r="C1581" s="26" t="s">
        <v>6925</v>
      </c>
      <c r="D1581" s="1347">
        <v>0</v>
      </c>
      <c r="E1581" s="1346">
        <v>0</v>
      </c>
      <c r="F1581" s="611" t="s">
        <v>6926</v>
      </c>
      <c r="G1581" s="1413" t="s">
        <v>2504</v>
      </c>
      <c r="H1581" s="1353">
        <f t="shared" si="329"/>
        <v>0</v>
      </c>
      <c r="I1581" s="1353">
        <f t="shared" si="330"/>
        <v>0</v>
      </c>
      <c r="K1581" s="1391">
        <v>1611</v>
      </c>
      <c r="L1581" s="1391" t="s">
        <v>6927</v>
      </c>
    </row>
    <row r="1582" spans="2:12">
      <c r="B1582" s="5" t="s">
        <v>6928</v>
      </c>
      <c r="C1582" s="26" t="s">
        <v>6929</v>
      </c>
      <c r="D1582" s="1347">
        <v>0</v>
      </c>
      <c r="E1582" s="1346">
        <v>0</v>
      </c>
      <c r="F1582" s="611" t="s">
        <v>6930</v>
      </c>
      <c r="G1582" s="1413" t="s">
        <v>2504</v>
      </c>
      <c r="H1582" s="1353">
        <f t="shared" si="329"/>
        <v>0</v>
      </c>
      <c r="I1582" s="1353">
        <f t="shared" si="330"/>
        <v>0</v>
      </c>
      <c r="K1582" s="1391">
        <v>1613</v>
      </c>
      <c r="L1582" s="1391" t="s">
        <v>6931</v>
      </c>
    </row>
    <row r="1583" spans="2:12">
      <c r="B1583" s="5" t="s">
        <v>6932</v>
      </c>
      <c r="C1583" s="26" t="s">
        <v>6933</v>
      </c>
      <c r="D1583" s="1347">
        <v>0</v>
      </c>
      <c r="E1583" s="1346">
        <v>0</v>
      </c>
      <c r="F1583" s="611" t="s">
        <v>6934</v>
      </c>
      <c r="G1583" s="1413" t="s">
        <v>2504</v>
      </c>
      <c r="H1583" s="1353">
        <f t="shared" si="329"/>
        <v>0</v>
      </c>
      <c r="I1583" s="1353">
        <f t="shared" si="330"/>
        <v>0</v>
      </c>
      <c r="K1583" s="1391">
        <v>1614</v>
      </c>
      <c r="L1583" s="1391" t="s">
        <v>6935</v>
      </c>
    </row>
    <row r="1584" spans="2:12">
      <c r="B1584" s="5" t="s">
        <v>6936</v>
      </c>
      <c r="C1584" s="26" t="s">
        <v>6937</v>
      </c>
      <c r="D1584" s="1347">
        <v>0</v>
      </c>
      <c r="E1584" s="1346">
        <v>0</v>
      </c>
      <c r="F1584" s="611" t="s">
        <v>6938</v>
      </c>
      <c r="G1584" s="1413" t="s">
        <v>2504</v>
      </c>
      <c r="H1584" s="1353">
        <f t="shared" si="329"/>
        <v>0</v>
      </c>
      <c r="I1584" s="1353">
        <f t="shared" si="330"/>
        <v>0</v>
      </c>
      <c r="K1584" s="1391">
        <v>1615</v>
      </c>
      <c r="L1584" s="1391" t="s">
        <v>6939</v>
      </c>
    </row>
    <row r="1585" spans="2:12">
      <c r="B1585" s="5" t="s">
        <v>6940</v>
      </c>
      <c r="C1585" s="26" t="s">
        <v>6941</v>
      </c>
      <c r="D1585" s="1347">
        <v>0</v>
      </c>
      <c r="E1585" s="1346">
        <v>0</v>
      </c>
      <c r="F1585" s="611" t="s">
        <v>6942</v>
      </c>
      <c r="G1585" s="1413" t="s">
        <v>2504</v>
      </c>
      <c r="H1585" s="1353">
        <f t="shared" si="329"/>
        <v>0</v>
      </c>
      <c r="I1585" s="1353">
        <f t="shared" si="330"/>
        <v>0</v>
      </c>
      <c r="K1585" s="1391">
        <v>1616</v>
      </c>
      <c r="L1585" s="1391" t="s">
        <v>6943</v>
      </c>
    </row>
    <row r="1586" spans="2:12">
      <c r="B1586" s="5" t="s">
        <v>6944</v>
      </c>
      <c r="C1586" s="26" t="s">
        <v>6945</v>
      </c>
      <c r="D1586" s="1347">
        <v>0</v>
      </c>
      <c r="E1586" s="1346">
        <v>0</v>
      </c>
      <c r="F1586" s="611" t="s">
        <v>6946</v>
      </c>
      <c r="G1586" s="1413" t="s">
        <v>2504</v>
      </c>
      <c r="H1586" s="1353">
        <f t="shared" si="329"/>
        <v>0</v>
      </c>
      <c r="I1586" s="1353">
        <f t="shared" si="330"/>
        <v>0</v>
      </c>
      <c r="K1586" s="1391">
        <v>1617</v>
      </c>
      <c r="L1586" s="1391" t="s">
        <v>6947</v>
      </c>
    </row>
    <row r="1587" spans="2:12">
      <c r="B1587" s="5" t="s">
        <v>6948</v>
      </c>
      <c r="C1587" s="26" t="s">
        <v>6949</v>
      </c>
      <c r="D1587" s="1347">
        <v>0</v>
      </c>
      <c r="E1587" s="1346">
        <v>0</v>
      </c>
      <c r="F1587" s="611" t="s">
        <v>6950</v>
      </c>
      <c r="G1587" s="1413" t="s">
        <v>2504</v>
      </c>
      <c r="H1587" s="1353">
        <f t="shared" si="329"/>
        <v>0</v>
      </c>
      <c r="I1587" s="1353">
        <f t="shared" si="330"/>
        <v>0</v>
      </c>
      <c r="K1587" s="1391">
        <v>1618</v>
      </c>
      <c r="L1587" s="1391" t="s">
        <v>6951</v>
      </c>
    </row>
    <row r="1588" spans="2:12">
      <c r="B1588" s="5" t="s">
        <v>6952</v>
      </c>
      <c r="C1588" s="26" t="s">
        <v>6953</v>
      </c>
      <c r="D1588" s="1347">
        <v>0</v>
      </c>
      <c r="E1588" s="1346">
        <v>0</v>
      </c>
      <c r="F1588" s="611" t="s">
        <v>6954</v>
      </c>
      <c r="G1588" s="1413" t="s">
        <v>2504</v>
      </c>
      <c r="H1588" s="1353">
        <f t="shared" si="329"/>
        <v>0</v>
      </c>
      <c r="I1588" s="1353">
        <f t="shared" si="330"/>
        <v>0</v>
      </c>
      <c r="K1588" s="1391">
        <v>1619</v>
      </c>
      <c r="L1588" s="1391" t="s">
        <v>6955</v>
      </c>
    </row>
    <row r="1589" spans="2:12">
      <c r="B1589" s="5" t="s">
        <v>6956</v>
      </c>
      <c r="C1589" s="26" t="s">
        <v>6957</v>
      </c>
      <c r="D1589" s="1347">
        <v>0</v>
      </c>
      <c r="E1589" s="1346">
        <v>0</v>
      </c>
      <c r="F1589" s="611" t="s">
        <v>6958</v>
      </c>
      <c r="G1589" s="1413" t="s">
        <v>2504</v>
      </c>
      <c r="H1589" s="1353">
        <f t="shared" si="329"/>
        <v>0</v>
      </c>
      <c r="I1589" s="1353">
        <f t="shared" si="330"/>
        <v>0</v>
      </c>
      <c r="K1589" s="1391">
        <v>1620</v>
      </c>
      <c r="L1589" s="1391" t="s">
        <v>6959</v>
      </c>
    </row>
    <row r="1590" spans="2:12">
      <c r="B1590" s="5" t="s">
        <v>6960</v>
      </c>
      <c r="C1590" s="26" t="s">
        <v>6961</v>
      </c>
      <c r="D1590" s="1347">
        <v>0</v>
      </c>
      <c r="E1590" s="1346">
        <v>0</v>
      </c>
      <c r="F1590" s="611" t="s">
        <v>6962</v>
      </c>
      <c r="G1590" s="1413" t="s">
        <v>2504</v>
      </c>
      <c r="H1590" s="1353">
        <f t="shared" si="329"/>
        <v>0</v>
      </c>
      <c r="I1590" s="1353">
        <f t="shared" si="330"/>
        <v>0</v>
      </c>
      <c r="K1590" s="1391">
        <v>1621</v>
      </c>
      <c r="L1590" s="1391" t="s">
        <v>6963</v>
      </c>
    </row>
    <row r="1591" spans="2:12">
      <c r="B1591" s="5" t="s">
        <v>6964</v>
      </c>
      <c r="C1591" s="26" t="s">
        <v>6965</v>
      </c>
      <c r="D1591" s="1347">
        <v>0</v>
      </c>
      <c r="E1591" s="1346">
        <v>0</v>
      </c>
      <c r="F1591" s="611" t="s">
        <v>6966</v>
      </c>
      <c r="G1591" s="1413" t="s">
        <v>2504</v>
      </c>
      <c r="H1591" s="1353">
        <f t="shared" si="329"/>
        <v>0</v>
      </c>
      <c r="I1591" s="1353">
        <f t="shared" si="330"/>
        <v>0</v>
      </c>
      <c r="K1591" s="1391">
        <v>1622</v>
      </c>
      <c r="L1591" s="1391" t="s">
        <v>6967</v>
      </c>
    </row>
    <row r="1592" spans="2:12">
      <c r="B1592" s="5" t="s">
        <v>6968</v>
      </c>
      <c r="C1592" s="26" t="s">
        <v>6969</v>
      </c>
      <c r="D1592" s="1347">
        <v>0</v>
      </c>
      <c r="E1592" s="1346">
        <v>0</v>
      </c>
      <c r="F1592" s="611" t="s">
        <v>6970</v>
      </c>
      <c r="G1592" s="1413" t="s">
        <v>2504</v>
      </c>
      <c r="H1592" s="1353">
        <f t="shared" si="329"/>
        <v>0</v>
      </c>
      <c r="I1592" s="1353">
        <f t="shared" si="330"/>
        <v>0</v>
      </c>
      <c r="K1592" s="1391">
        <v>1623</v>
      </c>
      <c r="L1592" s="1391" t="s">
        <v>6971</v>
      </c>
    </row>
    <row r="1593" spans="2:12">
      <c r="B1593" s="5" t="s">
        <v>6972</v>
      </c>
      <c r="C1593" s="26" t="s">
        <v>6973</v>
      </c>
      <c r="D1593" s="1347">
        <v>0</v>
      </c>
      <c r="E1593" s="1346">
        <v>0</v>
      </c>
      <c r="F1593" s="611" t="s">
        <v>6974</v>
      </c>
      <c r="G1593" s="1413" t="s">
        <v>2504</v>
      </c>
      <c r="H1593" s="1353">
        <f t="shared" si="329"/>
        <v>0</v>
      </c>
      <c r="I1593" s="1353">
        <f t="shared" si="330"/>
        <v>0</v>
      </c>
      <c r="K1593" s="1391">
        <v>1624</v>
      </c>
      <c r="L1593" s="1391" t="s">
        <v>6975</v>
      </c>
    </row>
    <row r="1594" spans="2:12">
      <c r="B1594" s="5" t="s">
        <v>6976</v>
      </c>
      <c r="C1594" s="26" t="s">
        <v>6977</v>
      </c>
      <c r="D1594" s="1347">
        <v>0</v>
      </c>
      <c r="E1594" s="1346">
        <v>0</v>
      </c>
      <c r="F1594" s="611" t="s">
        <v>6978</v>
      </c>
      <c r="G1594" s="1413" t="s">
        <v>2504</v>
      </c>
      <c r="H1594" s="1353">
        <f>M1306-M1318</f>
        <v>0</v>
      </c>
      <c r="I1594" s="1353">
        <f>N1306-N1318</f>
        <v>0</v>
      </c>
      <c r="K1594" s="1391">
        <v>1625</v>
      </c>
      <c r="L1594" s="1391" t="s">
        <v>6979</v>
      </c>
    </row>
    <row r="1595" spans="2:12">
      <c r="B1595" s="5" t="s">
        <v>6980</v>
      </c>
      <c r="C1595" s="26" t="s">
        <v>6981</v>
      </c>
      <c r="D1595" s="1347">
        <v>0</v>
      </c>
      <c r="E1595" s="1346">
        <v>0</v>
      </c>
      <c r="F1595" s="611" t="s">
        <v>6982</v>
      </c>
      <c r="G1595" s="1413" t="s">
        <v>2504</v>
      </c>
      <c r="H1595" s="1353">
        <f>M1307-M1319</f>
        <v>0</v>
      </c>
      <c r="I1595" s="1353">
        <f>N1307-N1319</f>
        <v>0</v>
      </c>
      <c r="K1595" s="1391">
        <v>1626</v>
      </c>
      <c r="L1595" s="1391" t="s">
        <v>6983</v>
      </c>
    </row>
    <row r="1596" spans="2:12">
      <c r="B1596" s="5" t="s">
        <v>6984</v>
      </c>
      <c r="C1596" s="26" t="s">
        <v>6985</v>
      </c>
      <c r="D1596" s="1347">
        <v>0</v>
      </c>
      <c r="E1596" s="1346">
        <v>0</v>
      </c>
      <c r="F1596" s="611" t="s">
        <v>6986</v>
      </c>
      <c r="G1596" s="1413" t="s">
        <v>2504</v>
      </c>
      <c r="H1596" s="1353">
        <f t="shared" ref="H1596:H1611" si="331">M2134-M2169</f>
        <v>0</v>
      </c>
      <c r="I1596" s="1353">
        <f t="shared" ref="I1596:I1611" si="332">N2134-N2169</f>
        <v>0</v>
      </c>
      <c r="K1596" s="1391">
        <v>1627</v>
      </c>
      <c r="L1596" s="1391" t="s">
        <v>6987</v>
      </c>
    </row>
    <row r="1597" spans="2:12">
      <c r="B1597" s="5" t="s">
        <v>6988</v>
      </c>
      <c r="C1597" s="26" t="s">
        <v>6989</v>
      </c>
      <c r="D1597" s="1347">
        <v>0</v>
      </c>
      <c r="E1597" s="1346">
        <v>0</v>
      </c>
      <c r="F1597" s="611" t="s">
        <v>6990</v>
      </c>
      <c r="G1597" s="1413" t="s">
        <v>2504</v>
      </c>
      <c r="H1597" s="1353">
        <f t="shared" si="331"/>
        <v>0</v>
      </c>
      <c r="I1597" s="1353">
        <f t="shared" si="332"/>
        <v>0</v>
      </c>
      <c r="K1597" s="1391">
        <v>1629</v>
      </c>
      <c r="L1597" s="1391" t="s">
        <v>6991</v>
      </c>
    </row>
    <row r="1598" spans="2:12">
      <c r="B1598" s="5" t="s">
        <v>6992</v>
      </c>
      <c r="C1598" s="26" t="s">
        <v>6993</v>
      </c>
      <c r="D1598" s="1347">
        <v>0</v>
      </c>
      <c r="E1598" s="1346">
        <v>63331</v>
      </c>
      <c r="F1598" s="611" t="s">
        <v>6994</v>
      </c>
      <c r="G1598" s="1413" t="s">
        <v>2504</v>
      </c>
      <c r="H1598" s="1353">
        <f t="shared" si="331"/>
        <v>0</v>
      </c>
      <c r="I1598" s="1353">
        <f t="shared" si="332"/>
        <v>0</v>
      </c>
      <c r="K1598" s="1391">
        <v>1630</v>
      </c>
      <c r="L1598" s="1391" t="s">
        <v>6995</v>
      </c>
    </row>
    <row r="1599" spans="2:12">
      <c r="B1599" s="5" t="s">
        <v>6996</v>
      </c>
      <c r="C1599" s="26" t="s">
        <v>6997</v>
      </c>
      <c r="D1599" s="1347">
        <v>160948</v>
      </c>
      <c r="E1599" s="1346">
        <v>380552</v>
      </c>
      <c r="F1599" s="611" t="s">
        <v>6998</v>
      </c>
      <c r="G1599" s="1413" t="s">
        <v>2504</v>
      </c>
      <c r="H1599" s="1353">
        <f t="shared" si="331"/>
        <v>0</v>
      </c>
      <c r="I1599" s="1353">
        <f t="shared" si="332"/>
        <v>0</v>
      </c>
      <c r="K1599" s="1391">
        <v>1631</v>
      </c>
      <c r="L1599" s="1391" t="s">
        <v>6999</v>
      </c>
    </row>
    <row r="1600" spans="2:12">
      <c r="B1600" s="5" t="s">
        <v>7000</v>
      </c>
      <c r="C1600" s="26" t="s">
        <v>7001</v>
      </c>
      <c r="D1600" s="1347">
        <v>746</v>
      </c>
      <c r="E1600" s="1346">
        <v>277091</v>
      </c>
      <c r="F1600" s="611" t="s">
        <v>7002</v>
      </c>
      <c r="G1600" s="1413" t="s">
        <v>2504</v>
      </c>
      <c r="H1600" s="1353">
        <f t="shared" si="331"/>
        <v>0</v>
      </c>
      <c r="I1600" s="1353">
        <f t="shared" si="332"/>
        <v>0</v>
      </c>
      <c r="K1600" s="1391">
        <v>1632</v>
      </c>
      <c r="L1600" s="1391" t="s">
        <v>7003</v>
      </c>
    </row>
    <row r="1601" spans="1:12">
      <c r="B1601" s="5" t="s">
        <v>7004</v>
      </c>
      <c r="C1601" s="26" t="s">
        <v>7005</v>
      </c>
      <c r="D1601" s="1347">
        <v>0</v>
      </c>
      <c r="E1601" s="1346">
        <v>0</v>
      </c>
      <c r="F1601" s="611" t="s">
        <v>7006</v>
      </c>
      <c r="G1601" s="1413" t="s">
        <v>2504</v>
      </c>
      <c r="H1601" s="1353">
        <f t="shared" si="331"/>
        <v>0</v>
      </c>
      <c r="I1601" s="1353">
        <f t="shared" si="332"/>
        <v>0</v>
      </c>
      <c r="K1601" s="1391">
        <v>1633</v>
      </c>
      <c r="L1601" s="1391" t="s">
        <v>7007</v>
      </c>
    </row>
    <row r="1602" spans="1:12">
      <c r="B1602" s="5" t="s">
        <v>7008</v>
      </c>
      <c r="C1602" s="26" t="s">
        <v>7009</v>
      </c>
      <c r="D1602" s="1347">
        <v>0</v>
      </c>
      <c r="E1602" s="1346">
        <v>0</v>
      </c>
      <c r="F1602" s="611" t="s">
        <v>7010</v>
      </c>
      <c r="G1602" s="1413" t="s">
        <v>2504</v>
      </c>
      <c r="H1602" s="1353">
        <f t="shared" si="331"/>
        <v>0</v>
      </c>
      <c r="I1602" s="1353">
        <f t="shared" si="332"/>
        <v>0</v>
      </c>
      <c r="K1602" s="1391">
        <v>1634</v>
      </c>
      <c r="L1602" s="1391" t="s">
        <v>7011</v>
      </c>
    </row>
    <row r="1603" spans="1:12">
      <c r="B1603" s="5" t="s">
        <v>7012</v>
      </c>
      <c r="C1603" s="26" t="s">
        <v>7013</v>
      </c>
      <c r="D1603" s="1347">
        <v>0</v>
      </c>
      <c r="E1603" s="1346">
        <v>0</v>
      </c>
      <c r="F1603" s="611" t="s">
        <v>7014</v>
      </c>
      <c r="G1603" s="1413" t="s">
        <v>2504</v>
      </c>
      <c r="H1603" s="1353">
        <f t="shared" si="331"/>
        <v>0</v>
      </c>
      <c r="I1603" s="1353">
        <f t="shared" si="332"/>
        <v>0</v>
      </c>
      <c r="K1603" s="1391">
        <v>1635</v>
      </c>
      <c r="L1603" s="1391" t="s">
        <v>7015</v>
      </c>
    </row>
    <row r="1604" spans="1:12">
      <c r="B1604" s="5" t="s">
        <v>7016</v>
      </c>
      <c r="C1604" s="26" t="s">
        <v>7017</v>
      </c>
      <c r="D1604" s="1347">
        <v>0</v>
      </c>
      <c r="E1604" s="1346">
        <v>0</v>
      </c>
      <c r="F1604" s="611" t="s">
        <v>7018</v>
      </c>
      <c r="G1604" s="1413" t="s">
        <v>2504</v>
      </c>
      <c r="H1604" s="1353">
        <f t="shared" si="331"/>
        <v>0</v>
      </c>
      <c r="I1604" s="1353">
        <f t="shared" si="332"/>
        <v>0</v>
      </c>
      <c r="K1604" s="1391">
        <v>1636</v>
      </c>
      <c r="L1604" s="1391" t="s">
        <v>7019</v>
      </c>
    </row>
    <row r="1605" spans="1:12">
      <c r="B1605" s="5" t="s">
        <v>7020</v>
      </c>
      <c r="C1605" s="26" t="s">
        <v>7021</v>
      </c>
      <c r="D1605" s="1347">
        <v>0</v>
      </c>
      <c r="E1605" s="1346">
        <v>0</v>
      </c>
      <c r="F1605" s="611" t="s">
        <v>7022</v>
      </c>
      <c r="G1605" s="1413" t="s">
        <v>2504</v>
      </c>
      <c r="H1605" s="1353">
        <f t="shared" si="331"/>
        <v>0</v>
      </c>
      <c r="I1605" s="1353">
        <f t="shared" si="332"/>
        <v>0</v>
      </c>
      <c r="K1605" s="1391">
        <v>1638</v>
      </c>
      <c r="L1605" s="1391" t="s">
        <v>7023</v>
      </c>
    </row>
    <row r="1606" spans="1:12">
      <c r="B1606" s="5" t="s">
        <v>7024</v>
      </c>
      <c r="C1606" s="26" t="s">
        <v>7025</v>
      </c>
      <c r="D1606" s="1347">
        <v>0</v>
      </c>
      <c r="E1606" s="1346">
        <v>0</v>
      </c>
      <c r="F1606" s="611" t="s">
        <v>7026</v>
      </c>
      <c r="G1606" s="1413" t="s">
        <v>2504</v>
      </c>
      <c r="H1606" s="1353">
        <f t="shared" si="331"/>
        <v>0</v>
      </c>
      <c r="I1606" s="1353">
        <f t="shared" si="332"/>
        <v>0</v>
      </c>
      <c r="K1606" s="1391">
        <v>1639</v>
      </c>
      <c r="L1606" s="1391" t="s">
        <v>7027</v>
      </c>
    </row>
    <row r="1607" spans="1:12">
      <c r="B1607" s="5" t="s">
        <v>7028</v>
      </c>
      <c r="C1607" s="26" t="s">
        <v>7029</v>
      </c>
      <c r="D1607" s="1347">
        <v>0</v>
      </c>
      <c r="E1607" s="1346">
        <v>0</v>
      </c>
      <c r="F1607" s="611" t="s">
        <v>7030</v>
      </c>
      <c r="G1607" s="1413" t="s">
        <v>2504</v>
      </c>
      <c r="H1607" s="1353">
        <f t="shared" si="331"/>
        <v>0</v>
      </c>
      <c r="I1607" s="1353">
        <f t="shared" si="332"/>
        <v>0</v>
      </c>
      <c r="K1607" s="1391">
        <v>1640</v>
      </c>
      <c r="L1607" s="1391" t="s">
        <v>7031</v>
      </c>
    </row>
    <row r="1608" spans="1:12">
      <c r="B1608" s="5" t="s">
        <v>7032</v>
      </c>
      <c r="C1608" s="26" t="s">
        <v>7033</v>
      </c>
      <c r="D1608" s="1347">
        <v>0</v>
      </c>
      <c r="E1608" s="1346">
        <v>0</v>
      </c>
      <c r="F1608" s="611" t="s">
        <v>7034</v>
      </c>
      <c r="G1608" s="1413" t="s">
        <v>2504</v>
      </c>
      <c r="H1608" s="1353">
        <f t="shared" si="331"/>
        <v>0</v>
      </c>
      <c r="I1608" s="1353">
        <f t="shared" si="332"/>
        <v>0</v>
      </c>
      <c r="K1608" s="1391">
        <v>1641</v>
      </c>
      <c r="L1608" s="1391" t="s">
        <v>7035</v>
      </c>
    </row>
    <row r="1609" spans="1:12">
      <c r="B1609" s="5" t="s">
        <v>7036</v>
      </c>
      <c r="C1609" s="26" t="s">
        <v>7037</v>
      </c>
      <c r="D1609" s="1347">
        <v>0</v>
      </c>
      <c r="E1609" s="1346">
        <v>0</v>
      </c>
      <c r="F1609" s="611" t="s">
        <v>7038</v>
      </c>
      <c r="G1609" s="1413" t="s">
        <v>2504</v>
      </c>
      <c r="H1609" s="1353">
        <f t="shared" si="331"/>
        <v>0</v>
      </c>
      <c r="I1609" s="1353">
        <f t="shared" si="332"/>
        <v>0</v>
      </c>
      <c r="K1609" s="1391">
        <v>1642</v>
      </c>
      <c r="L1609" s="1391" t="s">
        <v>7039</v>
      </c>
    </row>
    <row r="1610" spans="1:12">
      <c r="B1610" s="5" t="s">
        <v>7040</v>
      </c>
      <c r="C1610" s="26" t="s">
        <v>7041</v>
      </c>
      <c r="D1610" s="1347">
        <v>0</v>
      </c>
      <c r="E1610" s="1346">
        <v>0</v>
      </c>
      <c r="F1610" s="611" t="s">
        <v>7042</v>
      </c>
      <c r="G1610" s="1413" t="s">
        <v>2504</v>
      </c>
      <c r="H1610" s="1353">
        <f t="shared" si="331"/>
        <v>0</v>
      </c>
      <c r="I1610" s="1353">
        <f t="shared" si="332"/>
        <v>0</v>
      </c>
      <c r="K1610" s="1391">
        <v>1643</v>
      </c>
      <c r="L1610" s="1391" t="s">
        <v>7043</v>
      </c>
    </row>
    <row r="1611" spans="1:12">
      <c r="B1611" s="5" t="s">
        <v>7044</v>
      </c>
      <c r="C1611" s="26" t="s">
        <v>7045</v>
      </c>
      <c r="D1611" s="1347">
        <v>0</v>
      </c>
      <c r="E1611" s="1346">
        <v>0</v>
      </c>
      <c r="F1611" s="611" t="s">
        <v>7046</v>
      </c>
      <c r="G1611" s="1413" t="s">
        <v>2504</v>
      </c>
      <c r="H1611" s="1353">
        <f t="shared" si="331"/>
        <v>0</v>
      </c>
      <c r="I1611" s="1353">
        <f t="shared" si="332"/>
        <v>0</v>
      </c>
      <c r="K1611" s="1391">
        <v>1644</v>
      </c>
      <c r="L1611" s="1391" t="s">
        <v>7047</v>
      </c>
    </row>
    <row r="1612" spans="1:12">
      <c r="B1612" s="5" t="s">
        <v>7048</v>
      </c>
      <c r="C1612" s="26" t="s">
        <v>7049</v>
      </c>
      <c r="D1612" s="1347">
        <v>0</v>
      </c>
      <c r="E1612" s="1346">
        <v>0</v>
      </c>
      <c r="F1612" s="611" t="s">
        <v>7050</v>
      </c>
      <c r="G1612" s="1413" t="s">
        <v>2504</v>
      </c>
      <c r="H1612" s="1353">
        <f>M1311-M1323</f>
        <v>0</v>
      </c>
      <c r="I1612" s="1353">
        <f>N1311-N1323</f>
        <v>0</v>
      </c>
      <c r="K1612" s="1391">
        <v>1645</v>
      </c>
      <c r="L1612" s="1391" t="s">
        <v>7051</v>
      </c>
    </row>
    <row r="1613" spans="1:12">
      <c r="B1613" s="5" t="s">
        <v>7052</v>
      </c>
      <c r="C1613" s="26" t="s">
        <v>7053</v>
      </c>
      <c r="D1613" s="1347">
        <v>0</v>
      </c>
      <c r="E1613" s="1346">
        <v>0</v>
      </c>
      <c r="F1613" s="611" t="s">
        <v>7054</v>
      </c>
      <c r="G1613" s="1413" t="s">
        <v>2504</v>
      </c>
      <c r="H1613" s="1353">
        <f>M1312-M1324</f>
        <v>0</v>
      </c>
      <c r="I1613" s="1353">
        <f>N1312-N1324</f>
        <v>0</v>
      </c>
      <c r="K1613" s="1391">
        <v>1646</v>
      </c>
      <c r="L1613" s="1391" t="s">
        <v>7055</v>
      </c>
    </row>
    <row r="1614" spans="1:12">
      <c r="B1614" s="5" t="s">
        <v>7056</v>
      </c>
      <c r="C1614" s="26" t="s">
        <v>7057</v>
      </c>
      <c r="D1614" s="1347">
        <v>0</v>
      </c>
      <c r="E1614" s="1346">
        <v>0</v>
      </c>
      <c r="F1614" s="611" t="s">
        <v>7058</v>
      </c>
      <c r="G1614" s="1413" t="s">
        <v>2504</v>
      </c>
      <c r="H1614" s="1367">
        <f>M1314-M1326</f>
        <v>0</v>
      </c>
      <c r="I1614" s="1367">
        <f>N1314-N1326</f>
        <v>0</v>
      </c>
      <c r="K1614" s="1391">
        <v>1647</v>
      </c>
      <c r="L1614" s="1391" t="s">
        <v>7059</v>
      </c>
    </row>
    <row r="1615" spans="1:12">
      <c r="B1615" s="5" t="s">
        <v>7060</v>
      </c>
      <c r="C1615" s="26" t="s">
        <v>7061</v>
      </c>
      <c r="D1615" s="1347">
        <v>5080</v>
      </c>
      <c r="E1615" s="1346">
        <v>22429</v>
      </c>
      <c r="F1615" s="611" t="s">
        <v>7062</v>
      </c>
      <c r="G1615" s="1391">
        <v>1352</v>
      </c>
      <c r="H1615" s="1353">
        <f>M1327</f>
        <v>0</v>
      </c>
      <c r="I1615" s="1353">
        <f>N1327</f>
        <v>0</v>
      </c>
      <c r="K1615" s="1391">
        <v>1648</v>
      </c>
      <c r="L1615" s="1391" t="s">
        <v>7063</v>
      </c>
    </row>
    <row r="1616" spans="1:12">
      <c r="A1616" s="611" t="s">
        <v>2928</v>
      </c>
      <c r="B1616" s="5" t="s">
        <v>7064</v>
      </c>
      <c r="C1616" s="26" t="s">
        <v>255</v>
      </c>
      <c r="D1616" s="1347">
        <v>0</v>
      </c>
      <c r="E1616" s="1346">
        <v>0</v>
      </c>
      <c r="F1616" s="611" t="s">
        <v>7065</v>
      </c>
      <c r="G1616" s="1414">
        <v>4100</v>
      </c>
      <c r="H1616" s="1353">
        <f t="shared" ref="H1616:H1634" si="333">M2185</f>
        <v>0</v>
      </c>
      <c r="I1616" s="1353">
        <f t="shared" ref="I1616:I1634" si="334">N2185</f>
        <v>0</v>
      </c>
      <c r="K1616" s="1391">
        <v>1649</v>
      </c>
      <c r="L1616" s="1391" t="s">
        <v>7066</v>
      </c>
    </row>
    <row r="1617" spans="2:12">
      <c r="B1617" s="5" t="s">
        <v>7067</v>
      </c>
      <c r="C1617" s="26" t="s">
        <v>256</v>
      </c>
      <c r="D1617" s="1347">
        <v>0</v>
      </c>
      <c r="E1617" s="1346">
        <v>0</v>
      </c>
      <c r="F1617" s="611" t="s">
        <v>7068</v>
      </c>
      <c r="G1617" s="1414">
        <v>4101</v>
      </c>
      <c r="H1617" s="1353">
        <f t="shared" si="333"/>
        <v>0</v>
      </c>
      <c r="I1617" s="1353">
        <f t="shared" si="334"/>
        <v>0</v>
      </c>
      <c r="K1617" s="1391">
        <v>1650</v>
      </c>
      <c r="L1617" s="1391" t="s">
        <v>7069</v>
      </c>
    </row>
    <row r="1618" spans="2:12">
      <c r="B1618" s="5" t="s">
        <v>7070</v>
      </c>
      <c r="C1618" s="26" t="s">
        <v>257</v>
      </c>
      <c r="D1618" s="1347">
        <v>0</v>
      </c>
      <c r="E1618" s="1346">
        <v>0</v>
      </c>
      <c r="F1618" s="611" t="s">
        <v>7071</v>
      </c>
      <c r="G1618" s="1414">
        <v>4102</v>
      </c>
      <c r="H1618" s="1353">
        <f t="shared" si="333"/>
        <v>0</v>
      </c>
      <c r="I1618" s="1353">
        <f t="shared" si="334"/>
        <v>0</v>
      </c>
      <c r="K1618" s="1391">
        <v>1651</v>
      </c>
      <c r="L1618" s="1391" t="s">
        <v>7072</v>
      </c>
    </row>
    <row r="1619" spans="2:12">
      <c r="B1619" s="5" t="s">
        <v>7073</v>
      </c>
      <c r="C1619" s="26" t="s">
        <v>258</v>
      </c>
      <c r="D1619" s="1347">
        <v>0</v>
      </c>
      <c r="E1619" s="1346">
        <v>0</v>
      </c>
      <c r="F1619" s="611" t="s">
        <v>7074</v>
      </c>
      <c r="G1619" s="1414">
        <v>4103</v>
      </c>
      <c r="H1619" s="1353">
        <f t="shared" si="333"/>
        <v>0</v>
      </c>
      <c r="I1619" s="1353">
        <f t="shared" si="334"/>
        <v>0</v>
      </c>
      <c r="K1619" s="1391">
        <v>1652</v>
      </c>
      <c r="L1619" s="1391" t="s">
        <v>7075</v>
      </c>
    </row>
    <row r="1620" spans="2:12">
      <c r="B1620" s="5" t="s">
        <v>7076</v>
      </c>
      <c r="C1620" s="26" t="s">
        <v>259</v>
      </c>
      <c r="D1620" s="1347">
        <v>0</v>
      </c>
      <c r="E1620" s="1346">
        <v>0</v>
      </c>
      <c r="F1620" s="611" t="s">
        <v>7077</v>
      </c>
      <c r="G1620" s="1414">
        <v>4104</v>
      </c>
      <c r="H1620" s="1353">
        <f t="shared" si="333"/>
        <v>0</v>
      </c>
      <c r="I1620" s="1353">
        <f t="shared" si="334"/>
        <v>0</v>
      </c>
      <c r="K1620" s="1391">
        <v>1653</v>
      </c>
      <c r="L1620" s="1391" t="s">
        <v>7078</v>
      </c>
    </row>
    <row r="1621" spans="2:12">
      <c r="B1621" s="5" t="s">
        <v>7079</v>
      </c>
      <c r="C1621" s="26" t="s">
        <v>260</v>
      </c>
      <c r="D1621" s="1347">
        <v>0</v>
      </c>
      <c r="E1621" s="1346">
        <v>0</v>
      </c>
      <c r="F1621" s="611" t="s">
        <v>7080</v>
      </c>
      <c r="G1621" s="1414">
        <v>4105</v>
      </c>
      <c r="H1621" s="1353">
        <f t="shared" si="333"/>
        <v>0</v>
      </c>
      <c r="I1621" s="1353">
        <f t="shared" si="334"/>
        <v>0</v>
      </c>
      <c r="K1621" s="1391">
        <v>1654</v>
      </c>
      <c r="L1621" s="1391" t="s">
        <v>7081</v>
      </c>
    </row>
    <row r="1622" spans="2:12">
      <c r="B1622" s="5" t="s">
        <v>7082</v>
      </c>
      <c r="C1622" s="26" t="s">
        <v>261</v>
      </c>
      <c r="D1622" s="1347">
        <v>0</v>
      </c>
      <c r="E1622" s="1346">
        <v>0</v>
      </c>
      <c r="F1622" s="611" t="s">
        <v>7083</v>
      </c>
      <c r="G1622" s="1414">
        <v>4106</v>
      </c>
      <c r="H1622" s="1353">
        <f t="shared" si="333"/>
        <v>0</v>
      </c>
      <c r="I1622" s="1353">
        <f t="shared" si="334"/>
        <v>0</v>
      </c>
      <c r="K1622" s="1391">
        <v>1656</v>
      </c>
      <c r="L1622" s="1391" t="s">
        <v>7084</v>
      </c>
    </row>
    <row r="1623" spans="2:12">
      <c r="B1623" s="5" t="s">
        <v>7085</v>
      </c>
      <c r="C1623" s="26" t="s">
        <v>262</v>
      </c>
      <c r="D1623" s="1347">
        <v>0</v>
      </c>
      <c r="E1623" s="1346">
        <v>0</v>
      </c>
      <c r="F1623" s="611" t="s">
        <v>7086</v>
      </c>
      <c r="G1623" s="1414">
        <v>4107</v>
      </c>
      <c r="H1623" s="1353">
        <f t="shared" si="333"/>
        <v>0</v>
      </c>
      <c r="I1623" s="1353">
        <f t="shared" si="334"/>
        <v>0</v>
      </c>
      <c r="K1623" s="1391">
        <v>1657</v>
      </c>
      <c r="L1623" s="1391" t="s">
        <v>7087</v>
      </c>
    </row>
    <row r="1624" spans="2:12">
      <c r="B1624" s="5" t="s">
        <v>7088</v>
      </c>
      <c r="C1624" s="26" t="s">
        <v>263</v>
      </c>
      <c r="D1624" s="1347">
        <v>0</v>
      </c>
      <c r="E1624" s="1346">
        <v>0</v>
      </c>
      <c r="F1624" s="611" t="s">
        <v>7089</v>
      </c>
      <c r="G1624" s="1414">
        <v>4108</v>
      </c>
      <c r="H1624" s="1353">
        <f t="shared" si="333"/>
        <v>0</v>
      </c>
      <c r="I1624" s="1353">
        <f t="shared" si="334"/>
        <v>0</v>
      </c>
      <c r="K1624" s="1391">
        <v>1658</v>
      </c>
      <c r="L1624" s="1391" t="s">
        <v>7090</v>
      </c>
    </row>
    <row r="1625" spans="2:12">
      <c r="B1625" s="5" t="s">
        <v>7091</v>
      </c>
      <c r="C1625" s="26" t="s">
        <v>264</v>
      </c>
      <c r="D1625" s="1347">
        <v>0</v>
      </c>
      <c r="E1625" s="1346">
        <v>0</v>
      </c>
      <c r="F1625" s="611" t="s">
        <v>7092</v>
      </c>
      <c r="G1625" s="1414">
        <v>4109</v>
      </c>
      <c r="H1625" s="1353">
        <f t="shared" si="333"/>
        <v>0</v>
      </c>
      <c r="I1625" s="1353">
        <f t="shared" si="334"/>
        <v>0</v>
      </c>
      <c r="K1625" s="1391">
        <v>8594</v>
      </c>
      <c r="L1625" s="1391" t="s">
        <v>7093</v>
      </c>
    </row>
    <row r="1626" spans="2:12">
      <c r="B1626" s="5" t="s">
        <v>7094</v>
      </c>
      <c r="C1626" s="26" t="s">
        <v>265</v>
      </c>
      <c r="D1626" s="1347">
        <v>0</v>
      </c>
      <c r="E1626" s="1346">
        <v>0</v>
      </c>
      <c r="F1626" s="611" t="s">
        <v>7095</v>
      </c>
      <c r="G1626" s="1414">
        <v>4110</v>
      </c>
      <c r="H1626" s="1353">
        <f t="shared" si="333"/>
        <v>0</v>
      </c>
      <c r="I1626" s="1353">
        <f t="shared" si="334"/>
        <v>0</v>
      </c>
      <c r="K1626" s="1391">
        <v>1659</v>
      </c>
      <c r="L1626" s="1391" t="s">
        <v>7096</v>
      </c>
    </row>
    <row r="1627" spans="2:12">
      <c r="B1627" s="5" t="s">
        <v>7097</v>
      </c>
      <c r="C1627" s="26" t="s">
        <v>266</v>
      </c>
      <c r="D1627" s="1347">
        <v>0</v>
      </c>
      <c r="E1627" s="1346">
        <v>0</v>
      </c>
      <c r="F1627" s="611" t="s">
        <v>7098</v>
      </c>
      <c r="G1627" s="1414">
        <v>4111</v>
      </c>
      <c r="H1627" s="1353">
        <f t="shared" si="333"/>
        <v>0</v>
      </c>
      <c r="I1627" s="1353">
        <f t="shared" si="334"/>
        <v>0</v>
      </c>
      <c r="K1627" s="1391">
        <v>1660</v>
      </c>
      <c r="L1627" s="1391" t="s">
        <v>7099</v>
      </c>
    </row>
    <row r="1628" spans="2:12">
      <c r="B1628" s="5" t="s">
        <v>7100</v>
      </c>
      <c r="C1628" s="26" t="s">
        <v>267</v>
      </c>
      <c r="D1628" s="1347">
        <v>0</v>
      </c>
      <c r="E1628" s="1346">
        <v>0</v>
      </c>
      <c r="F1628" s="611" t="s">
        <v>7101</v>
      </c>
      <c r="G1628" s="1414">
        <v>4112</v>
      </c>
      <c r="H1628" s="1353">
        <f t="shared" si="333"/>
        <v>0</v>
      </c>
      <c r="I1628" s="1353">
        <f t="shared" si="334"/>
        <v>0</v>
      </c>
      <c r="K1628" s="1391">
        <v>1661</v>
      </c>
      <c r="L1628" s="1391" t="s">
        <v>7102</v>
      </c>
    </row>
    <row r="1629" spans="2:12">
      <c r="B1629" s="5" t="s">
        <v>7103</v>
      </c>
      <c r="C1629" s="26" t="s">
        <v>268</v>
      </c>
      <c r="D1629" s="1347">
        <v>0</v>
      </c>
      <c r="E1629" s="1346">
        <v>0</v>
      </c>
      <c r="F1629" s="611" t="s">
        <v>7104</v>
      </c>
      <c r="G1629" s="1414">
        <v>4113</v>
      </c>
      <c r="H1629" s="1353">
        <f t="shared" si="333"/>
        <v>0</v>
      </c>
      <c r="I1629" s="1353">
        <f t="shared" si="334"/>
        <v>0</v>
      </c>
      <c r="K1629" s="1391">
        <v>1662</v>
      </c>
      <c r="L1629" s="1391" t="s">
        <v>7105</v>
      </c>
    </row>
    <row r="1630" spans="2:12">
      <c r="B1630" s="5" t="s">
        <v>7106</v>
      </c>
      <c r="C1630" s="26" t="s">
        <v>269</v>
      </c>
      <c r="D1630" s="1347">
        <v>0</v>
      </c>
      <c r="E1630" s="1346">
        <v>0</v>
      </c>
      <c r="F1630" s="611" t="s">
        <v>7107</v>
      </c>
      <c r="G1630" s="1414">
        <v>4114</v>
      </c>
      <c r="H1630" s="1353">
        <f t="shared" si="333"/>
        <v>0</v>
      </c>
      <c r="I1630" s="1353">
        <f t="shared" si="334"/>
        <v>0</v>
      </c>
      <c r="K1630" s="1391">
        <v>8597</v>
      </c>
      <c r="L1630" s="1391" t="s">
        <v>7108</v>
      </c>
    </row>
    <row r="1631" spans="2:12">
      <c r="B1631" s="5" t="s">
        <v>7109</v>
      </c>
      <c r="C1631" s="26" t="s">
        <v>270</v>
      </c>
      <c r="D1631" s="1347">
        <v>0</v>
      </c>
      <c r="E1631" s="1346">
        <v>0</v>
      </c>
      <c r="F1631" s="611" t="s">
        <v>7110</v>
      </c>
      <c r="G1631" s="1414">
        <v>4115</v>
      </c>
      <c r="H1631" s="1353">
        <f t="shared" si="333"/>
        <v>0</v>
      </c>
      <c r="I1631" s="1353">
        <f t="shared" si="334"/>
        <v>0</v>
      </c>
      <c r="K1631" s="1391">
        <v>1663</v>
      </c>
      <c r="L1631" s="1391" t="s">
        <v>7111</v>
      </c>
    </row>
    <row r="1632" spans="2:12">
      <c r="B1632" s="5" t="s">
        <v>7112</v>
      </c>
      <c r="C1632" s="26" t="s">
        <v>271</v>
      </c>
      <c r="D1632" s="1347">
        <v>0</v>
      </c>
      <c r="E1632" s="1346">
        <v>0</v>
      </c>
      <c r="F1632" s="611" t="s">
        <v>7113</v>
      </c>
      <c r="G1632" s="1414">
        <v>4116</v>
      </c>
      <c r="H1632" s="1353">
        <f t="shared" si="333"/>
        <v>0</v>
      </c>
      <c r="I1632" s="1353">
        <f t="shared" si="334"/>
        <v>0</v>
      </c>
      <c r="K1632" s="1391">
        <v>1664</v>
      </c>
      <c r="L1632" s="1391" t="s">
        <v>7114</v>
      </c>
    </row>
    <row r="1633" spans="2:12">
      <c r="B1633" s="5" t="s">
        <v>7115</v>
      </c>
      <c r="C1633" s="26" t="s">
        <v>272</v>
      </c>
      <c r="D1633" s="1347">
        <v>0</v>
      </c>
      <c r="E1633" s="1346">
        <v>0</v>
      </c>
      <c r="F1633" s="611" t="s">
        <v>7116</v>
      </c>
      <c r="G1633" s="1414">
        <v>4117</v>
      </c>
      <c r="H1633" s="1353">
        <f t="shared" si="333"/>
        <v>0</v>
      </c>
      <c r="I1633" s="1353">
        <f t="shared" si="334"/>
        <v>0</v>
      </c>
      <c r="K1633" s="1391">
        <v>1665</v>
      </c>
      <c r="L1633" s="1391" t="s">
        <v>7117</v>
      </c>
    </row>
    <row r="1634" spans="2:12">
      <c r="B1634" s="5" t="s">
        <v>7118</v>
      </c>
      <c r="C1634" s="26" t="s">
        <v>273</v>
      </c>
      <c r="D1634" s="1347">
        <v>0</v>
      </c>
      <c r="E1634" s="1346">
        <v>0</v>
      </c>
      <c r="F1634" s="611" t="s">
        <v>7119</v>
      </c>
      <c r="G1634" s="1414">
        <v>4118</v>
      </c>
      <c r="H1634" s="1353">
        <f t="shared" si="333"/>
        <v>0</v>
      </c>
      <c r="I1634" s="1353">
        <f t="shared" si="334"/>
        <v>0</v>
      </c>
      <c r="K1634" s="1391">
        <v>1666</v>
      </c>
      <c r="L1634" s="1391" t="s">
        <v>7120</v>
      </c>
    </row>
    <row r="1635" spans="2:12">
      <c r="B1635" s="5" t="s">
        <v>7121</v>
      </c>
      <c r="C1635" s="26" t="s">
        <v>7122</v>
      </c>
      <c r="D1635" s="1347">
        <v>0</v>
      </c>
      <c r="E1635" s="1346">
        <v>0</v>
      </c>
      <c r="F1635" s="611" t="s">
        <v>7123</v>
      </c>
      <c r="G1635" s="1408">
        <v>1355</v>
      </c>
      <c r="H1635" s="1353">
        <f>M1330</f>
        <v>0</v>
      </c>
      <c r="I1635" s="1353">
        <f>N1330</f>
        <v>0</v>
      </c>
      <c r="K1635" s="1391">
        <v>1667</v>
      </c>
      <c r="L1635" s="1391" t="s">
        <v>7124</v>
      </c>
    </row>
    <row r="1636" spans="2:12">
      <c r="B1636" s="5" t="s">
        <v>7125</v>
      </c>
      <c r="C1636" s="26" t="s">
        <v>275</v>
      </c>
      <c r="D1636" s="1347">
        <v>0</v>
      </c>
      <c r="E1636" s="1346">
        <v>0</v>
      </c>
      <c r="F1636" s="611" t="s">
        <v>7126</v>
      </c>
      <c r="G1636" s="1408">
        <v>1356</v>
      </c>
      <c r="H1636" s="1353">
        <f>M1331</f>
        <v>0</v>
      </c>
      <c r="I1636" s="1353">
        <f>N1331</f>
        <v>0</v>
      </c>
      <c r="K1636" s="1391">
        <v>1668</v>
      </c>
      <c r="L1636" s="1391" t="s">
        <v>7127</v>
      </c>
    </row>
    <row r="1637" spans="2:12">
      <c r="B1637" s="5" t="s">
        <v>7128</v>
      </c>
      <c r="C1637" s="26" t="s">
        <v>276</v>
      </c>
      <c r="D1637" s="1347">
        <v>0</v>
      </c>
      <c r="E1637" s="1346">
        <v>0</v>
      </c>
      <c r="F1637" s="611" t="s">
        <v>7129</v>
      </c>
      <c r="G1637" s="1414">
        <v>4119</v>
      </c>
      <c r="H1637" s="1353">
        <f t="shared" ref="H1637:H1652" si="335">M2204</f>
        <v>0</v>
      </c>
      <c r="I1637" s="1353">
        <f t="shared" ref="I1637:I1652" si="336">N2204</f>
        <v>0</v>
      </c>
      <c r="K1637" s="1391">
        <v>1669</v>
      </c>
      <c r="L1637" s="1391" t="s">
        <v>7130</v>
      </c>
    </row>
    <row r="1638" spans="2:12">
      <c r="B1638" s="5" t="s">
        <v>7131</v>
      </c>
      <c r="C1638" s="26" t="s">
        <v>277</v>
      </c>
      <c r="D1638" s="1347">
        <v>0</v>
      </c>
      <c r="E1638" s="1346">
        <v>0</v>
      </c>
      <c r="F1638" s="611" t="s">
        <v>7132</v>
      </c>
      <c r="G1638" s="1414">
        <v>4120</v>
      </c>
      <c r="H1638" s="1353">
        <f t="shared" si="335"/>
        <v>0</v>
      </c>
      <c r="I1638" s="1353">
        <f t="shared" si="336"/>
        <v>0</v>
      </c>
      <c r="K1638" s="1391">
        <v>1670</v>
      </c>
      <c r="L1638" s="1391" t="s">
        <v>7133</v>
      </c>
    </row>
    <row r="1639" spans="2:12">
      <c r="B1639" s="5" t="s">
        <v>7134</v>
      </c>
      <c r="C1639" s="26" t="s">
        <v>278</v>
      </c>
      <c r="D1639" s="1347">
        <v>0</v>
      </c>
      <c r="E1639" s="1346">
        <v>0</v>
      </c>
      <c r="F1639" s="611" t="s">
        <v>7135</v>
      </c>
      <c r="G1639" s="1414">
        <v>4121</v>
      </c>
      <c r="H1639" s="1353">
        <f t="shared" si="335"/>
        <v>0</v>
      </c>
      <c r="I1639" s="1353">
        <f t="shared" si="336"/>
        <v>0</v>
      </c>
      <c r="K1639" s="1391">
        <v>8595</v>
      </c>
      <c r="L1639" s="1391" t="s">
        <v>7136</v>
      </c>
    </row>
    <row r="1640" spans="2:12">
      <c r="B1640" s="5" t="s">
        <v>7137</v>
      </c>
      <c r="C1640" s="26" t="s">
        <v>279</v>
      </c>
      <c r="D1640" s="1347">
        <v>0</v>
      </c>
      <c r="E1640" s="1346">
        <v>0</v>
      </c>
      <c r="F1640" s="611" t="s">
        <v>7138</v>
      </c>
      <c r="G1640" s="1414">
        <v>4122</v>
      </c>
      <c r="H1640" s="1353">
        <f t="shared" si="335"/>
        <v>0</v>
      </c>
      <c r="I1640" s="1353">
        <f t="shared" si="336"/>
        <v>0</v>
      </c>
      <c r="K1640" s="1391">
        <v>1671</v>
      </c>
      <c r="L1640" s="1391" t="s">
        <v>7139</v>
      </c>
    </row>
    <row r="1641" spans="2:12">
      <c r="B1641" s="5" t="s">
        <v>7140</v>
      </c>
      <c r="C1641" s="26" t="s">
        <v>280</v>
      </c>
      <c r="D1641" s="1347">
        <v>0</v>
      </c>
      <c r="E1641" s="1346">
        <v>0</v>
      </c>
      <c r="F1641" s="611" t="s">
        <v>7141</v>
      </c>
      <c r="G1641" s="1414">
        <v>4123</v>
      </c>
      <c r="H1641" s="1353">
        <f t="shared" si="335"/>
        <v>0</v>
      </c>
      <c r="I1641" s="1353">
        <f t="shared" si="336"/>
        <v>0</v>
      </c>
      <c r="K1641" s="1391">
        <v>1672</v>
      </c>
      <c r="L1641" s="1391" t="s">
        <v>7142</v>
      </c>
    </row>
    <row r="1642" spans="2:12">
      <c r="B1642" s="5" t="s">
        <v>7143</v>
      </c>
      <c r="C1642" s="26" t="s">
        <v>281</v>
      </c>
      <c r="D1642" s="1347">
        <v>0</v>
      </c>
      <c r="E1642" s="1346">
        <v>0</v>
      </c>
      <c r="F1642" s="611" t="s">
        <v>7144</v>
      </c>
      <c r="G1642" s="1414">
        <v>4124</v>
      </c>
      <c r="H1642" s="1353">
        <f t="shared" si="335"/>
        <v>0</v>
      </c>
      <c r="I1642" s="1353">
        <f t="shared" si="336"/>
        <v>0</v>
      </c>
      <c r="K1642" s="1391">
        <v>1673</v>
      </c>
      <c r="L1642" s="1391" t="s">
        <v>7145</v>
      </c>
    </row>
    <row r="1643" spans="2:12">
      <c r="B1643" s="5" t="s">
        <v>7146</v>
      </c>
      <c r="C1643" s="26" t="s">
        <v>282</v>
      </c>
      <c r="D1643" s="1347">
        <v>0</v>
      </c>
      <c r="E1643" s="1346">
        <v>0</v>
      </c>
      <c r="F1643" s="611" t="s">
        <v>7147</v>
      </c>
      <c r="G1643" s="1414">
        <v>4125</v>
      </c>
      <c r="H1643" s="1353">
        <f t="shared" si="335"/>
        <v>0</v>
      </c>
      <c r="I1643" s="1353">
        <f t="shared" si="336"/>
        <v>0</v>
      </c>
      <c r="K1643" s="1391">
        <v>1674</v>
      </c>
      <c r="L1643" s="1391" t="s">
        <v>7148</v>
      </c>
    </row>
    <row r="1644" spans="2:12">
      <c r="B1644" s="5" t="s">
        <v>7149</v>
      </c>
      <c r="C1644" s="26" t="s">
        <v>283</v>
      </c>
      <c r="D1644" s="1347">
        <v>0</v>
      </c>
      <c r="E1644" s="1346">
        <v>0</v>
      </c>
      <c r="F1644" s="611" t="s">
        <v>7150</v>
      </c>
      <c r="G1644" s="1414">
        <v>4126</v>
      </c>
      <c r="H1644" s="1353">
        <f t="shared" si="335"/>
        <v>0</v>
      </c>
      <c r="I1644" s="1353">
        <f t="shared" si="336"/>
        <v>0</v>
      </c>
      <c r="K1644" s="1391">
        <v>1675</v>
      </c>
      <c r="L1644" s="1391" t="s">
        <v>7151</v>
      </c>
    </row>
    <row r="1645" spans="2:12">
      <c r="B1645" s="5" t="s">
        <v>7152</v>
      </c>
      <c r="C1645" s="26" t="s">
        <v>284</v>
      </c>
      <c r="D1645" s="1347">
        <v>0</v>
      </c>
      <c r="E1645" s="1346">
        <v>0</v>
      </c>
      <c r="F1645" s="611" t="s">
        <v>7153</v>
      </c>
      <c r="G1645" s="1414">
        <v>4127</v>
      </c>
      <c r="H1645" s="1353">
        <f t="shared" si="335"/>
        <v>0</v>
      </c>
      <c r="I1645" s="1353">
        <f t="shared" si="336"/>
        <v>0</v>
      </c>
      <c r="K1645" s="1391">
        <v>1676</v>
      </c>
      <c r="L1645" s="1391" t="s">
        <v>7154</v>
      </c>
    </row>
    <row r="1646" spans="2:12">
      <c r="B1646" s="5" t="s">
        <v>7155</v>
      </c>
      <c r="C1646" s="26" t="s">
        <v>285</v>
      </c>
      <c r="D1646" s="1347">
        <v>0</v>
      </c>
      <c r="E1646" s="1346">
        <v>0</v>
      </c>
      <c r="F1646" s="611" t="s">
        <v>7156</v>
      </c>
      <c r="G1646" s="1414">
        <v>4128</v>
      </c>
      <c r="H1646" s="1353">
        <f t="shared" si="335"/>
        <v>0</v>
      </c>
      <c r="I1646" s="1353">
        <f t="shared" si="336"/>
        <v>0</v>
      </c>
      <c r="K1646" s="1391">
        <v>1677</v>
      </c>
      <c r="L1646" s="1391" t="s">
        <v>7157</v>
      </c>
    </row>
    <row r="1647" spans="2:12">
      <c r="B1647" s="5" t="s">
        <v>7158</v>
      </c>
      <c r="C1647" s="26" t="s">
        <v>286</v>
      </c>
      <c r="D1647" s="1347">
        <v>0</v>
      </c>
      <c r="E1647" s="1346">
        <v>0</v>
      </c>
      <c r="F1647" s="611" t="s">
        <v>7159</v>
      </c>
      <c r="G1647" s="1414">
        <v>4129</v>
      </c>
      <c r="H1647" s="1353">
        <f t="shared" si="335"/>
        <v>0</v>
      </c>
      <c r="I1647" s="1353">
        <f t="shared" si="336"/>
        <v>0</v>
      </c>
      <c r="K1647" s="1391">
        <v>1678</v>
      </c>
      <c r="L1647" s="1391" t="s">
        <v>7160</v>
      </c>
    </row>
    <row r="1648" spans="2:12">
      <c r="B1648" s="5" t="s">
        <v>7161</v>
      </c>
      <c r="C1648" s="26" t="s">
        <v>287</v>
      </c>
      <c r="D1648" s="1347">
        <v>0</v>
      </c>
      <c r="E1648" s="1346">
        <v>0</v>
      </c>
      <c r="F1648" s="611" t="s">
        <v>7162</v>
      </c>
      <c r="G1648" s="1414">
        <v>4130</v>
      </c>
      <c r="H1648" s="1353">
        <f t="shared" si="335"/>
        <v>0</v>
      </c>
      <c r="I1648" s="1353">
        <f t="shared" si="336"/>
        <v>0</v>
      </c>
      <c r="K1648" s="1391">
        <v>1679</v>
      </c>
      <c r="L1648" s="1391" t="s">
        <v>7163</v>
      </c>
    </row>
    <row r="1649" spans="2:12">
      <c r="B1649" s="5" t="s">
        <v>7164</v>
      </c>
      <c r="C1649" s="26" t="s">
        <v>288</v>
      </c>
      <c r="D1649" s="1347">
        <v>0</v>
      </c>
      <c r="E1649" s="1346">
        <v>0</v>
      </c>
      <c r="F1649" s="611" t="s">
        <v>7165</v>
      </c>
      <c r="G1649" s="1414">
        <v>4131</v>
      </c>
      <c r="H1649" s="1353">
        <f t="shared" si="335"/>
        <v>0</v>
      </c>
      <c r="I1649" s="1353">
        <f t="shared" si="336"/>
        <v>0</v>
      </c>
      <c r="K1649" s="1391">
        <v>8598</v>
      </c>
      <c r="L1649" s="1391" t="s">
        <v>7166</v>
      </c>
    </row>
    <row r="1650" spans="2:12">
      <c r="B1650" s="5" t="s">
        <v>7167</v>
      </c>
      <c r="C1650" s="26" t="s">
        <v>289</v>
      </c>
      <c r="D1650" s="1347">
        <v>0</v>
      </c>
      <c r="E1650" s="1346">
        <v>0</v>
      </c>
      <c r="F1650" s="611" t="s">
        <v>7168</v>
      </c>
      <c r="G1650" s="1414">
        <v>4132</v>
      </c>
      <c r="H1650" s="1353">
        <f t="shared" si="335"/>
        <v>0</v>
      </c>
      <c r="I1650" s="1353">
        <f t="shared" si="336"/>
        <v>0</v>
      </c>
      <c r="K1650" s="1391">
        <v>1680</v>
      </c>
      <c r="L1650" s="1391" t="s">
        <v>7169</v>
      </c>
    </row>
    <row r="1651" spans="2:12">
      <c r="B1651" s="5" t="s">
        <v>7170</v>
      </c>
      <c r="C1651" s="26" t="s">
        <v>290</v>
      </c>
      <c r="D1651" s="1347">
        <v>0</v>
      </c>
      <c r="E1651" s="1346">
        <v>0</v>
      </c>
      <c r="F1651" s="611" t="s">
        <v>7171</v>
      </c>
      <c r="G1651" s="1414">
        <v>4133</v>
      </c>
      <c r="H1651" s="1353">
        <f t="shared" si="335"/>
        <v>0</v>
      </c>
      <c r="I1651" s="1353">
        <f t="shared" si="336"/>
        <v>0</v>
      </c>
      <c r="K1651" s="1391">
        <v>1681</v>
      </c>
      <c r="L1651" s="1391" t="s">
        <v>7172</v>
      </c>
    </row>
    <row r="1652" spans="2:12">
      <c r="B1652" s="5" t="s">
        <v>7173</v>
      </c>
      <c r="C1652" s="26" t="s">
        <v>291</v>
      </c>
      <c r="D1652" s="1347">
        <v>0</v>
      </c>
      <c r="E1652" s="1346">
        <v>0</v>
      </c>
      <c r="F1652" s="611" t="s">
        <v>7174</v>
      </c>
      <c r="G1652" s="1414">
        <v>4134</v>
      </c>
      <c r="H1652" s="1353">
        <f t="shared" si="335"/>
        <v>0</v>
      </c>
      <c r="I1652" s="1353">
        <f t="shared" si="336"/>
        <v>0</v>
      </c>
      <c r="K1652" s="1391">
        <v>1682</v>
      </c>
      <c r="L1652" s="1391" t="s">
        <v>7175</v>
      </c>
    </row>
    <row r="1653" spans="2:12">
      <c r="B1653" s="5" t="s">
        <v>7176</v>
      </c>
      <c r="C1653" s="26" t="s">
        <v>7177</v>
      </c>
      <c r="D1653" s="1347">
        <v>0</v>
      </c>
      <c r="E1653" s="1346">
        <v>0</v>
      </c>
      <c r="F1653" s="611" t="s">
        <v>7178</v>
      </c>
      <c r="G1653" s="1408">
        <v>1360</v>
      </c>
      <c r="H1653" s="1353">
        <f>M1335</f>
        <v>0</v>
      </c>
      <c r="I1653" s="1353">
        <f>N1335</f>
        <v>0</v>
      </c>
      <c r="K1653" s="1391">
        <v>1683</v>
      </c>
      <c r="L1653" s="1391" t="s">
        <v>7179</v>
      </c>
    </row>
    <row r="1654" spans="2:12">
      <c r="B1654" s="5" t="s">
        <v>7180</v>
      </c>
      <c r="C1654" s="26" t="s">
        <v>293</v>
      </c>
      <c r="D1654" s="1347">
        <v>0</v>
      </c>
      <c r="E1654" s="1346">
        <v>0</v>
      </c>
      <c r="F1654" s="611" t="s">
        <v>7181</v>
      </c>
      <c r="G1654" s="1408">
        <v>1361</v>
      </c>
      <c r="H1654" s="1353">
        <f>M1336</f>
        <v>0</v>
      </c>
      <c r="I1654" s="1353">
        <f>N1336</f>
        <v>0</v>
      </c>
      <c r="K1654" s="1391">
        <v>1684</v>
      </c>
      <c r="L1654" s="1391" t="s">
        <v>7182</v>
      </c>
    </row>
    <row r="1655" spans="2:12">
      <c r="B1655" s="5" t="s">
        <v>7183</v>
      </c>
      <c r="C1655" s="26" t="s">
        <v>294</v>
      </c>
      <c r="D1655" s="1347">
        <v>0</v>
      </c>
      <c r="E1655" s="1346">
        <v>0</v>
      </c>
      <c r="F1655" s="611" t="s">
        <v>7184</v>
      </c>
      <c r="G1655" s="1408">
        <v>1363</v>
      </c>
      <c r="H1655" s="1353">
        <f>M1338</f>
        <v>0</v>
      </c>
      <c r="I1655" s="1353">
        <f>N1338</f>
        <v>0</v>
      </c>
      <c r="K1655" s="1391">
        <v>1685</v>
      </c>
      <c r="L1655" s="1391" t="s">
        <v>7185</v>
      </c>
    </row>
    <row r="1656" spans="2:12">
      <c r="B1656" s="5" t="s">
        <v>7186</v>
      </c>
      <c r="C1656" s="26" t="s">
        <v>7187</v>
      </c>
      <c r="D1656" s="1347">
        <v>0</v>
      </c>
      <c r="E1656" s="1346">
        <v>0</v>
      </c>
      <c r="F1656" s="611" t="s">
        <v>7188</v>
      </c>
      <c r="G1656" s="1413" t="s">
        <v>2504</v>
      </c>
      <c r="H1656" s="1353">
        <f t="shared" ref="H1656:H1674" si="337">M2185-M2220</f>
        <v>0</v>
      </c>
      <c r="I1656" s="1353">
        <f t="shared" ref="I1656:I1674" si="338">N2185-N2220</f>
        <v>0</v>
      </c>
      <c r="K1656" s="1391">
        <v>1686</v>
      </c>
      <c r="L1656" s="1391" t="s">
        <v>7189</v>
      </c>
    </row>
    <row r="1657" spans="2:12">
      <c r="B1657" s="5" t="s">
        <v>7190</v>
      </c>
      <c r="C1657" s="26" t="s">
        <v>7191</v>
      </c>
      <c r="D1657" s="1347">
        <v>0</v>
      </c>
      <c r="E1657" s="1346">
        <v>0</v>
      </c>
      <c r="F1657" s="611" t="s">
        <v>7192</v>
      </c>
      <c r="G1657" s="1413" t="s">
        <v>2504</v>
      </c>
      <c r="H1657" s="1353">
        <f t="shared" si="337"/>
        <v>0</v>
      </c>
      <c r="I1657" s="1353">
        <f t="shared" si="338"/>
        <v>0</v>
      </c>
      <c r="K1657" s="1391">
        <v>1687</v>
      </c>
      <c r="L1657" s="1391" t="s">
        <v>7193</v>
      </c>
    </row>
    <row r="1658" spans="2:12">
      <c r="B1658" s="5" t="s">
        <v>7194</v>
      </c>
      <c r="C1658" s="26" t="s">
        <v>7195</v>
      </c>
      <c r="D1658" s="1347">
        <v>0</v>
      </c>
      <c r="E1658" s="1346">
        <v>0</v>
      </c>
      <c r="F1658" s="611" t="s">
        <v>7196</v>
      </c>
      <c r="G1658" s="1413" t="s">
        <v>2504</v>
      </c>
      <c r="H1658" s="1353">
        <f t="shared" si="337"/>
        <v>0</v>
      </c>
      <c r="I1658" s="1353">
        <f t="shared" si="338"/>
        <v>0</v>
      </c>
      <c r="K1658" s="1391">
        <v>1688</v>
      </c>
      <c r="L1658" s="1391" t="s">
        <v>7197</v>
      </c>
    </row>
    <row r="1659" spans="2:12">
      <c r="B1659" s="5" t="s">
        <v>7198</v>
      </c>
      <c r="C1659" s="26" t="s">
        <v>7199</v>
      </c>
      <c r="D1659" s="1347">
        <v>0</v>
      </c>
      <c r="E1659" s="1346">
        <v>0</v>
      </c>
      <c r="F1659" s="611" t="s">
        <v>7200</v>
      </c>
      <c r="G1659" s="1413" t="s">
        <v>2504</v>
      </c>
      <c r="H1659" s="1353">
        <f t="shared" si="337"/>
        <v>0</v>
      </c>
      <c r="I1659" s="1353">
        <f t="shared" si="338"/>
        <v>0</v>
      </c>
      <c r="K1659" s="1391">
        <v>1689</v>
      </c>
      <c r="L1659" s="1391" t="s">
        <v>7201</v>
      </c>
    </row>
    <row r="1660" spans="2:12">
      <c r="B1660" s="5" t="s">
        <v>7202</v>
      </c>
      <c r="C1660" s="26" t="s">
        <v>7203</v>
      </c>
      <c r="D1660" s="1347">
        <v>0</v>
      </c>
      <c r="E1660" s="1346">
        <v>0</v>
      </c>
      <c r="F1660" s="611" t="s">
        <v>7204</v>
      </c>
      <c r="G1660" s="1413" t="s">
        <v>2504</v>
      </c>
      <c r="H1660" s="1353">
        <f t="shared" si="337"/>
        <v>0</v>
      </c>
      <c r="I1660" s="1353">
        <f t="shared" si="338"/>
        <v>0</v>
      </c>
      <c r="K1660" s="1391">
        <v>1690</v>
      </c>
      <c r="L1660" s="1391" t="s">
        <v>7205</v>
      </c>
    </row>
    <row r="1661" spans="2:12">
      <c r="B1661" s="5" t="s">
        <v>7206</v>
      </c>
      <c r="C1661" s="26" t="s">
        <v>7207</v>
      </c>
      <c r="D1661" s="1347">
        <v>0</v>
      </c>
      <c r="E1661" s="1346">
        <v>0</v>
      </c>
      <c r="F1661" s="611" t="s">
        <v>7208</v>
      </c>
      <c r="G1661" s="1413" t="s">
        <v>2504</v>
      </c>
      <c r="H1661" s="1353">
        <f t="shared" si="337"/>
        <v>0</v>
      </c>
      <c r="I1661" s="1353">
        <f t="shared" si="338"/>
        <v>0</v>
      </c>
      <c r="K1661" s="1391">
        <v>1691</v>
      </c>
      <c r="L1661" s="1391" t="s">
        <v>7209</v>
      </c>
    </row>
    <row r="1662" spans="2:12">
      <c r="B1662" s="5" t="s">
        <v>7210</v>
      </c>
      <c r="C1662" s="26" t="s">
        <v>7211</v>
      </c>
      <c r="D1662" s="1347">
        <v>0</v>
      </c>
      <c r="E1662" s="1346">
        <v>0</v>
      </c>
      <c r="F1662" s="611" t="s">
        <v>7212</v>
      </c>
      <c r="G1662" s="1413" t="s">
        <v>2504</v>
      </c>
      <c r="H1662" s="1353">
        <f t="shared" si="337"/>
        <v>0</v>
      </c>
      <c r="I1662" s="1353">
        <f t="shared" si="338"/>
        <v>0</v>
      </c>
      <c r="K1662" s="1391">
        <v>1692</v>
      </c>
      <c r="L1662" s="1391" t="s">
        <v>7213</v>
      </c>
    </row>
    <row r="1663" spans="2:12">
      <c r="B1663" s="5" t="s">
        <v>7214</v>
      </c>
      <c r="C1663" s="26" t="s">
        <v>7215</v>
      </c>
      <c r="D1663" s="1347">
        <v>0</v>
      </c>
      <c r="E1663" s="1346">
        <v>0</v>
      </c>
      <c r="F1663" s="611" t="s">
        <v>7216</v>
      </c>
      <c r="G1663" s="1413" t="s">
        <v>2504</v>
      </c>
      <c r="H1663" s="1353">
        <f t="shared" si="337"/>
        <v>0</v>
      </c>
      <c r="I1663" s="1353">
        <f t="shared" si="338"/>
        <v>0</v>
      </c>
      <c r="K1663" s="1391">
        <v>1693</v>
      </c>
      <c r="L1663" s="1391" t="s">
        <v>7217</v>
      </c>
    </row>
    <row r="1664" spans="2:12">
      <c r="B1664" s="5" t="s">
        <v>7218</v>
      </c>
      <c r="C1664" s="26" t="s">
        <v>7219</v>
      </c>
      <c r="D1664" s="1347">
        <v>0</v>
      </c>
      <c r="E1664" s="1346">
        <v>0</v>
      </c>
      <c r="F1664" s="611" t="s">
        <v>7220</v>
      </c>
      <c r="G1664" s="1413" t="s">
        <v>2504</v>
      </c>
      <c r="H1664" s="1353">
        <f t="shared" si="337"/>
        <v>0</v>
      </c>
      <c r="I1664" s="1353">
        <f t="shared" si="338"/>
        <v>0</v>
      </c>
      <c r="K1664" s="1391">
        <v>1694</v>
      </c>
      <c r="L1664" s="1391" t="s">
        <v>7221</v>
      </c>
    </row>
    <row r="1665" spans="2:12">
      <c r="B1665" s="5" t="s">
        <v>7222</v>
      </c>
      <c r="C1665" s="26" t="s">
        <v>7223</v>
      </c>
      <c r="D1665" s="1347">
        <v>0</v>
      </c>
      <c r="E1665" s="1346">
        <v>0</v>
      </c>
      <c r="F1665" s="611" t="s">
        <v>7224</v>
      </c>
      <c r="G1665" s="1413" t="s">
        <v>2504</v>
      </c>
      <c r="H1665" s="1353">
        <f t="shared" si="337"/>
        <v>0</v>
      </c>
      <c r="I1665" s="1353">
        <f t="shared" si="338"/>
        <v>0</v>
      </c>
      <c r="K1665" s="1391">
        <v>1695</v>
      </c>
      <c r="L1665" s="1391" t="s">
        <v>7225</v>
      </c>
    </row>
    <row r="1666" spans="2:12">
      <c r="B1666" s="5" t="s">
        <v>7226</v>
      </c>
      <c r="C1666" s="26" t="s">
        <v>7227</v>
      </c>
      <c r="D1666" s="1347">
        <v>0</v>
      </c>
      <c r="E1666" s="1346">
        <v>0</v>
      </c>
      <c r="F1666" s="611" t="s">
        <v>7228</v>
      </c>
      <c r="G1666" s="1413" t="s">
        <v>2504</v>
      </c>
      <c r="H1666" s="1353">
        <f t="shared" si="337"/>
        <v>0</v>
      </c>
      <c r="I1666" s="1353">
        <f t="shared" si="338"/>
        <v>0</v>
      </c>
      <c r="K1666" s="1391">
        <v>1696</v>
      </c>
      <c r="L1666" s="1391" t="s">
        <v>7229</v>
      </c>
    </row>
    <row r="1667" spans="2:12">
      <c r="B1667" s="5" t="s">
        <v>7230</v>
      </c>
      <c r="C1667" s="26" t="s">
        <v>7231</v>
      </c>
      <c r="D1667" s="1347">
        <v>0</v>
      </c>
      <c r="E1667" s="1346">
        <v>0</v>
      </c>
      <c r="F1667" s="611" t="s">
        <v>7232</v>
      </c>
      <c r="G1667" s="1413" t="s">
        <v>2504</v>
      </c>
      <c r="H1667" s="1353">
        <f t="shared" si="337"/>
        <v>0</v>
      </c>
      <c r="I1667" s="1353">
        <f t="shared" si="338"/>
        <v>0</v>
      </c>
      <c r="K1667" s="1391">
        <v>1697</v>
      </c>
      <c r="L1667" s="1391" t="s">
        <v>7233</v>
      </c>
    </row>
    <row r="1668" spans="2:12">
      <c r="B1668" s="5" t="s">
        <v>7234</v>
      </c>
      <c r="C1668" s="26" t="s">
        <v>7235</v>
      </c>
      <c r="D1668" s="1347">
        <v>0</v>
      </c>
      <c r="E1668" s="1346">
        <v>0</v>
      </c>
      <c r="F1668" s="611" t="s">
        <v>7236</v>
      </c>
      <c r="G1668" s="1413" t="s">
        <v>2504</v>
      </c>
      <c r="H1668" s="1353">
        <f t="shared" si="337"/>
        <v>0</v>
      </c>
      <c r="I1668" s="1353">
        <f t="shared" si="338"/>
        <v>0</v>
      </c>
      <c r="K1668" s="1391">
        <v>1698</v>
      </c>
      <c r="L1668" s="1391" t="s">
        <v>7237</v>
      </c>
    </row>
    <row r="1669" spans="2:12">
      <c r="B1669" s="5" t="s">
        <v>7238</v>
      </c>
      <c r="C1669" s="26" t="s">
        <v>7239</v>
      </c>
      <c r="D1669" s="1347">
        <v>0</v>
      </c>
      <c r="E1669" s="1346">
        <v>0</v>
      </c>
      <c r="F1669" s="611" t="s">
        <v>7240</v>
      </c>
      <c r="G1669" s="1413" t="s">
        <v>2504</v>
      </c>
      <c r="H1669" s="1353">
        <f t="shared" si="337"/>
        <v>0</v>
      </c>
      <c r="I1669" s="1353">
        <f t="shared" si="338"/>
        <v>0</v>
      </c>
      <c r="K1669" s="1391">
        <v>1699</v>
      </c>
      <c r="L1669" s="1391" t="s">
        <v>7241</v>
      </c>
    </row>
    <row r="1670" spans="2:12">
      <c r="B1670" s="5" t="s">
        <v>7242</v>
      </c>
      <c r="C1670" s="26" t="s">
        <v>7243</v>
      </c>
      <c r="D1670" s="1347">
        <v>0</v>
      </c>
      <c r="E1670" s="1346">
        <v>0</v>
      </c>
      <c r="F1670" s="611" t="s">
        <v>7244</v>
      </c>
      <c r="G1670" s="1413" t="s">
        <v>2504</v>
      </c>
      <c r="H1670" s="1353">
        <f t="shared" si="337"/>
        <v>0</v>
      </c>
      <c r="I1670" s="1353">
        <f t="shared" si="338"/>
        <v>0</v>
      </c>
      <c r="K1670" s="1391">
        <v>1700</v>
      </c>
      <c r="L1670" s="1391" t="s">
        <v>7245</v>
      </c>
    </row>
    <row r="1671" spans="2:12">
      <c r="B1671" s="5" t="s">
        <v>7246</v>
      </c>
      <c r="C1671" s="26" t="s">
        <v>7247</v>
      </c>
      <c r="D1671" s="1347">
        <v>0</v>
      </c>
      <c r="E1671" s="1346">
        <v>0</v>
      </c>
      <c r="F1671" s="611" t="s">
        <v>7248</v>
      </c>
      <c r="G1671" s="1413" t="s">
        <v>2504</v>
      </c>
      <c r="H1671" s="1353">
        <f t="shared" si="337"/>
        <v>0</v>
      </c>
      <c r="I1671" s="1353">
        <f t="shared" si="338"/>
        <v>0</v>
      </c>
      <c r="K1671" s="1391">
        <v>1701</v>
      </c>
      <c r="L1671" s="1391" t="s">
        <v>7249</v>
      </c>
    </row>
    <row r="1672" spans="2:12">
      <c r="B1672" s="5" t="s">
        <v>7250</v>
      </c>
      <c r="C1672" s="26" t="s">
        <v>7251</v>
      </c>
      <c r="D1672" s="1347">
        <v>0</v>
      </c>
      <c r="E1672" s="1346">
        <v>0</v>
      </c>
      <c r="F1672" s="611" t="s">
        <v>7252</v>
      </c>
      <c r="G1672" s="1413" t="s">
        <v>2504</v>
      </c>
      <c r="H1672" s="1353">
        <f t="shared" si="337"/>
        <v>0</v>
      </c>
      <c r="I1672" s="1353">
        <f t="shared" si="338"/>
        <v>0</v>
      </c>
      <c r="K1672" s="1391">
        <v>1702</v>
      </c>
      <c r="L1672" s="1391" t="s">
        <v>7253</v>
      </c>
    </row>
    <row r="1673" spans="2:12">
      <c r="B1673" s="5" t="s">
        <v>7254</v>
      </c>
      <c r="C1673" s="26" t="s">
        <v>7255</v>
      </c>
      <c r="D1673" s="1347">
        <v>0</v>
      </c>
      <c r="E1673" s="1346">
        <v>0</v>
      </c>
      <c r="F1673" s="611" t="s">
        <v>7256</v>
      </c>
      <c r="G1673" s="1413" t="s">
        <v>2504</v>
      </c>
      <c r="H1673" s="1353">
        <f t="shared" si="337"/>
        <v>0</v>
      </c>
      <c r="I1673" s="1353">
        <f t="shared" si="338"/>
        <v>0</v>
      </c>
      <c r="K1673" s="1391">
        <v>1703</v>
      </c>
      <c r="L1673" s="1391" t="s">
        <v>7257</v>
      </c>
    </row>
    <row r="1674" spans="2:12">
      <c r="B1674" s="5" t="s">
        <v>7258</v>
      </c>
      <c r="C1674" s="26" t="s">
        <v>7259</v>
      </c>
      <c r="D1674" s="1347">
        <v>0</v>
      </c>
      <c r="E1674" s="1346">
        <v>0</v>
      </c>
      <c r="F1674" s="611" t="s">
        <v>7260</v>
      </c>
      <c r="G1674" s="1413" t="s">
        <v>2504</v>
      </c>
      <c r="H1674" s="1353">
        <f t="shared" si="337"/>
        <v>0</v>
      </c>
      <c r="I1674" s="1353">
        <f t="shared" si="338"/>
        <v>0</v>
      </c>
      <c r="K1674" s="1391">
        <v>1704</v>
      </c>
      <c r="L1674" s="1391" t="s">
        <v>7261</v>
      </c>
    </row>
    <row r="1675" spans="2:12">
      <c r="B1675" s="5" t="s">
        <v>7262</v>
      </c>
      <c r="C1675" s="26" t="s">
        <v>7263</v>
      </c>
      <c r="D1675" s="1347">
        <v>0</v>
      </c>
      <c r="E1675" s="1346">
        <v>0</v>
      </c>
      <c r="F1675" s="611" t="s">
        <v>7264</v>
      </c>
      <c r="G1675" s="1413" t="s">
        <v>2504</v>
      </c>
      <c r="H1675" s="1353">
        <f>M1330-M1342</f>
        <v>0</v>
      </c>
      <c r="I1675" s="1353">
        <f>N1330-N1342</f>
        <v>0</v>
      </c>
      <c r="K1675" s="1391">
        <v>1706</v>
      </c>
      <c r="L1675" s="1391" t="s">
        <v>7265</v>
      </c>
    </row>
    <row r="1676" spans="2:12">
      <c r="B1676" s="5" t="s">
        <v>7266</v>
      </c>
      <c r="C1676" s="26" t="s">
        <v>7267</v>
      </c>
      <c r="D1676" s="1347">
        <v>0</v>
      </c>
      <c r="E1676" s="1346">
        <v>0</v>
      </c>
      <c r="F1676" s="611" t="s">
        <v>7268</v>
      </c>
      <c r="G1676" s="1413" t="s">
        <v>2504</v>
      </c>
      <c r="H1676" s="1353">
        <f>M1331-M1343</f>
        <v>0</v>
      </c>
      <c r="I1676" s="1353">
        <f>N1331-N1343</f>
        <v>0</v>
      </c>
      <c r="K1676" s="1391">
        <v>1707</v>
      </c>
      <c r="L1676" s="1391" t="s">
        <v>7269</v>
      </c>
    </row>
    <row r="1677" spans="2:12">
      <c r="B1677" s="5" t="s">
        <v>7270</v>
      </c>
      <c r="C1677" s="26" t="s">
        <v>7271</v>
      </c>
      <c r="D1677" s="1347">
        <v>0</v>
      </c>
      <c r="E1677" s="1346">
        <v>0</v>
      </c>
      <c r="F1677" s="611" t="s">
        <v>7272</v>
      </c>
      <c r="G1677" s="1413" t="s">
        <v>2504</v>
      </c>
      <c r="H1677" s="1353">
        <f t="shared" ref="H1677:H1692" si="339">M2204-M2239</f>
        <v>0</v>
      </c>
      <c r="I1677" s="1353">
        <f t="shared" ref="I1677:I1692" si="340">N2204-N2239</f>
        <v>0</v>
      </c>
      <c r="K1677" s="1391">
        <v>1708</v>
      </c>
      <c r="L1677" s="1391" t="s">
        <v>7273</v>
      </c>
    </row>
    <row r="1678" spans="2:12">
      <c r="B1678" s="5" t="s">
        <v>7274</v>
      </c>
      <c r="C1678" s="26" t="s">
        <v>7275</v>
      </c>
      <c r="D1678" s="1347">
        <v>0</v>
      </c>
      <c r="E1678" s="1346">
        <v>0</v>
      </c>
      <c r="F1678" s="611" t="s">
        <v>7276</v>
      </c>
      <c r="G1678" s="1413" t="s">
        <v>2504</v>
      </c>
      <c r="H1678" s="1353">
        <f t="shared" si="339"/>
        <v>0</v>
      </c>
      <c r="I1678" s="1353">
        <f t="shared" si="340"/>
        <v>0</v>
      </c>
      <c r="K1678" s="1391">
        <v>1709</v>
      </c>
      <c r="L1678" s="1391" t="s">
        <v>7277</v>
      </c>
    </row>
    <row r="1679" spans="2:12">
      <c r="B1679" s="5" t="s">
        <v>7278</v>
      </c>
      <c r="C1679" s="26" t="s">
        <v>7279</v>
      </c>
      <c r="D1679" s="1347">
        <v>0</v>
      </c>
      <c r="E1679" s="1346">
        <v>0</v>
      </c>
      <c r="F1679" s="611" t="s">
        <v>7280</v>
      </c>
      <c r="G1679" s="1413" t="s">
        <v>2504</v>
      </c>
      <c r="H1679" s="1353">
        <f t="shared" si="339"/>
        <v>0</v>
      </c>
      <c r="I1679" s="1353">
        <f t="shared" si="340"/>
        <v>0</v>
      </c>
      <c r="K1679" s="1391">
        <v>1710</v>
      </c>
      <c r="L1679" s="1391" t="s">
        <v>7281</v>
      </c>
    </row>
    <row r="1680" spans="2:12">
      <c r="B1680" s="5" t="s">
        <v>7282</v>
      </c>
      <c r="C1680" s="26" t="s">
        <v>7283</v>
      </c>
      <c r="D1680" s="1347">
        <v>0</v>
      </c>
      <c r="E1680" s="1346">
        <v>0</v>
      </c>
      <c r="F1680" s="611" t="s">
        <v>7284</v>
      </c>
      <c r="G1680" s="1413" t="s">
        <v>2504</v>
      </c>
      <c r="H1680" s="1353">
        <f t="shared" si="339"/>
        <v>0</v>
      </c>
      <c r="I1680" s="1353">
        <f t="shared" si="340"/>
        <v>0</v>
      </c>
      <c r="K1680" s="1391">
        <v>1711</v>
      </c>
      <c r="L1680" s="1391" t="s">
        <v>7285</v>
      </c>
    </row>
    <row r="1681" spans="2:12">
      <c r="B1681" s="5" t="s">
        <v>7286</v>
      </c>
      <c r="C1681" s="26" t="s">
        <v>7287</v>
      </c>
      <c r="D1681" s="1347">
        <v>0</v>
      </c>
      <c r="E1681" s="1346">
        <v>0</v>
      </c>
      <c r="F1681" s="611" t="s">
        <v>7288</v>
      </c>
      <c r="G1681" s="1413" t="s">
        <v>2504</v>
      </c>
      <c r="H1681" s="1353">
        <f t="shared" si="339"/>
        <v>0</v>
      </c>
      <c r="I1681" s="1353">
        <f t="shared" si="340"/>
        <v>0</v>
      </c>
      <c r="K1681" s="1391">
        <v>1712</v>
      </c>
      <c r="L1681" s="1391" t="s">
        <v>7289</v>
      </c>
    </row>
    <row r="1682" spans="2:12">
      <c r="B1682" s="5" t="s">
        <v>7290</v>
      </c>
      <c r="C1682" s="26" t="s">
        <v>7291</v>
      </c>
      <c r="D1682" s="1347">
        <v>0</v>
      </c>
      <c r="E1682" s="1346">
        <v>0</v>
      </c>
      <c r="F1682" s="611" t="s">
        <v>7292</v>
      </c>
      <c r="G1682" s="1413" t="s">
        <v>2504</v>
      </c>
      <c r="H1682" s="1353">
        <f t="shared" si="339"/>
        <v>0</v>
      </c>
      <c r="I1682" s="1353">
        <f t="shared" si="340"/>
        <v>0</v>
      </c>
      <c r="K1682" s="1391">
        <v>1713</v>
      </c>
      <c r="L1682" s="1391" t="s">
        <v>7293</v>
      </c>
    </row>
    <row r="1683" spans="2:12">
      <c r="B1683" s="5" t="s">
        <v>7294</v>
      </c>
      <c r="C1683" s="26" t="s">
        <v>7295</v>
      </c>
      <c r="D1683" s="1347">
        <v>0</v>
      </c>
      <c r="E1683" s="1346">
        <v>0</v>
      </c>
      <c r="F1683" s="611" t="s">
        <v>7296</v>
      </c>
      <c r="G1683" s="1413" t="s">
        <v>2504</v>
      </c>
      <c r="H1683" s="1353">
        <f t="shared" si="339"/>
        <v>0</v>
      </c>
      <c r="I1683" s="1353">
        <f t="shared" si="340"/>
        <v>0</v>
      </c>
      <c r="K1683" s="1391">
        <v>1714</v>
      </c>
      <c r="L1683" s="1391" t="s">
        <v>7297</v>
      </c>
    </row>
    <row r="1684" spans="2:12">
      <c r="B1684" s="5" t="s">
        <v>7298</v>
      </c>
      <c r="C1684" s="26" t="s">
        <v>7299</v>
      </c>
      <c r="D1684" s="1347">
        <v>0</v>
      </c>
      <c r="E1684" s="1346">
        <v>0</v>
      </c>
      <c r="F1684" s="611" t="s">
        <v>7300</v>
      </c>
      <c r="G1684" s="1413" t="s">
        <v>2504</v>
      </c>
      <c r="H1684" s="1353">
        <f t="shared" si="339"/>
        <v>0</v>
      </c>
      <c r="I1684" s="1353">
        <f t="shared" si="340"/>
        <v>0</v>
      </c>
      <c r="K1684" s="1391">
        <v>1715</v>
      </c>
      <c r="L1684" s="1391" t="s">
        <v>7301</v>
      </c>
    </row>
    <row r="1685" spans="2:12">
      <c r="B1685" s="5" t="s">
        <v>7302</v>
      </c>
      <c r="C1685" s="26" t="s">
        <v>7303</v>
      </c>
      <c r="D1685" s="1347">
        <v>0</v>
      </c>
      <c r="E1685" s="1346">
        <v>0</v>
      </c>
      <c r="F1685" s="611" t="s">
        <v>7304</v>
      </c>
      <c r="G1685" s="1413" t="s">
        <v>2504</v>
      </c>
      <c r="H1685" s="1353">
        <f t="shared" si="339"/>
        <v>0</v>
      </c>
      <c r="I1685" s="1353">
        <f t="shared" si="340"/>
        <v>0</v>
      </c>
      <c r="K1685" s="1391">
        <v>1716</v>
      </c>
      <c r="L1685" s="1391" t="s">
        <v>7305</v>
      </c>
    </row>
    <row r="1686" spans="2:12">
      <c r="B1686" s="5" t="s">
        <v>7306</v>
      </c>
      <c r="C1686" s="26" t="s">
        <v>7307</v>
      </c>
      <c r="D1686" s="1347">
        <v>0</v>
      </c>
      <c r="E1686" s="1346">
        <v>0</v>
      </c>
      <c r="F1686" s="611" t="s">
        <v>7308</v>
      </c>
      <c r="G1686" s="1413" t="s">
        <v>2504</v>
      </c>
      <c r="H1686" s="1353">
        <f t="shared" si="339"/>
        <v>0</v>
      </c>
      <c r="I1686" s="1353">
        <f t="shared" si="340"/>
        <v>0</v>
      </c>
      <c r="K1686" s="1391">
        <v>1717</v>
      </c>
      <c r="L1686" s="1391" t="s">
        <v>7309</v>
      </c>
    </row>
    <row r="1687" spans="2:12">
      <c r="B1687" s="5" t="s">
        <v>7310</v>
      </c>
      <c r="C1687" s="26" t="s">
        <v>7311</v>
      </c>
      <c r="D1687" s="1347">
        <v>0</v>
      </c>
      <c r="E1687" s="1346">
        <v>0</v>
      </c>
      <c r="F1687" s="611" t="s">
        <v>7312</v>
      </c>
      <c r="G1687" s="1413" t="s">
        <v>2504</v>
      </c>
      <c r="H1687" s="1353">
        <f t="shared" si="339"/>
        <v>0</v>
      </c>
      <c r="I1687" s="1353">
        <f t="shared" si="340"/>
        <v>0</v>
      </c>
      <c r="K1687" s="1391">
        <v>1718</v>
      </c>
      <c r="L1687" s="1391" t="s">
        <v>7313</v>
      </c>
    </row>
    <row r="1688" spans="2:12">
      <c r="B1688" s="5" t="s">
        <v>7314</v>
      </c>
      <c r="C1688" s="26" t="s">
        <v>7315</v>
      </c>
      <c r="D1688" s="1347">
        <v>0</v>
      </c>
      <c r="E1688" s="1346">
        <v>0</v>
      </c>
      <c r="F1688" s="611" t="s">
        <v>7316</v>
      </c>
      <c r="G1688" s="1413" t="s">
        <v>2504</v>
      </c>
      <c r="H1688" s="1353">
        <f t="shared" si="339"/>
        <v>0</v>
      </c>
      <c r="I1688" s="1353">
        <f t="shared" si="340"/>
        <v>0</v>
      </c>
      <c r="K1688" s="1391">
        <v>1719</v>
      </c>
      <c r="L1688" s="1391" t="s">
        <v>7317</v>
      </c>
    </row>
    <row r="1689" spans="2:12">
      <c r="B1689" s="5" t="s">
        <v>7318</v>
      </c>
      <c r="C1689" s="26" t="s">
        <v>7319</v>
      </c>
      <c r="D1689" s="1347">
        <v>0</v>
      </c>
      <c r="E1689" s="1346">
        <v>0</v>
      </c>
      <c r="F1689" s="611" t="s">
        <v>7320</v>
      </c>
      <c r="G1689" s="1413" t="s">
        <v>2504</v>
      </c>
      <c r="H1689" s="1353">
        <f t="shared" si="339"/>
        <v>0</v>
      </c>
      <c r="I1689" s="1353">
        <f t="shared" si="340"/>
        <v>0</v>
      </c>
      <c r="K1689" s="1391">
        <v>1720</v>
      </c>
      <c r="L1689" s="1391" t="s">
        <v>7321</v>
      </c>
    </row>
    <row r="1690" spans="2:12">
      <c r="B1690" s="5" t="s">
        <v>7322</v>
      </c>
      <c r="C1690" s="26" t="s">
        <v>7323</v>
      </c>
      <c r="D1690" s="1347">
        <v>0</v>
      </c>
      <c r="E1690" s="1346">
        <v>0</v>
      </c>
      <c r="F1690" s="611" t="s">
        <v>7324</v>
      </c>
      <c r="G1690" s="1413" t="s">
        <v>2504</v>
      </c>
      <c r="H1690" s="1353">
        <f t="shared" si="339"/>
        <v>0</v>
      </c>
      <c r="I1690" s="1353">
        <f t="shared" si="340"/>
        <v>0</v>
      </c>
      <c r="K1690" s="1391">
        <v>1721</v>
      </c>
      <c r="L1690" s="1391" t="s">
        <v>7325</v>
      </c>
    </row>
    <row r="1691" spans="2:12">
      <c r="B1691" s="5" t="s">
        <v>7326</v>
      </c>
      <c r="C1691" s="26" t="s">
        <v>7327</v>
      </c>
      <c r="D1691" s="1347">
        <v>0</v>
      </c>
      <c r="E1691" s="1346">
        <v>0</v>
      </c>
      <c r="F1691" s="611" t="s">
        <v>7328</v>
      </c>
      <c r="G1691" s="1413" t="s">
        <v>2504</v>
      </c>
      <c r="H1691" s="1353">
        <f t="shared" si="339"/>
        <v>0</v>
      </c>
      <c r="I1691" s="1353">
        <f t="shared" si="340"/>
        <v>0</v>
      </c>
      <c r="K1691" s="1391">
        <v>1722</v>
      </c>
      <c r="L1691" s="1391" t="s">
        <v>7329</v>
      </c>
    </row>
    <row r="1692" spans="2:12">
      <c r="B1692" s="5" t="s">
        <v>7330</v>
      </c>
      <c r="C1692" s="26" t="s">
        <v>7331</v>
      </c>
      <c r="D1692" s="1347">
        <v>0</v>
      </c>
      <c r="E1692" s="1346">
        <v>0</v>
      </c>
      <c r="F1692" s="611" t="s">
        <v>7332</v>
      </c>
      <c r="G1692" s="1413" t="s">
        <v>2504</v>
      </c>
      <c r="H1692" s="1353">
        <f t="shared" si="339"/>
        <v>0</v>
      </c>
      <c r="I1692" s="1353">
        <f t="shared" si="340"/>
        <v>0</v>
      </c>
      <c r="K1692" s="1391">
        <v>1723</v>
      </c>
      <c r="L1692" s="1391" t="s">
        <v>7333</v>
      </c>
    </row>
    <row r="1693" spans="2:12">
      <c r="B1693" s="5" t="s">
        <v>7334</v>
      </c>
      <c r="C1693" s="26" t="s">
        <v>7335</v>
      </c>
      <c r="D1693" s="1347">
        <v>0</v>
      </c>
      <c r="E1693" s="1346">
        <v>0</v>
      </c>
      <c r="F1693" s="611" t="s">
        <v>7336</v>
      </c>
      <c r="G1693" s="1413" t="s">
        <v>2504</v>
      </c>
      <c r="H1693" s="1353">
        <f>M1335-M1347</f>
        <v>0</v>
      </c>
      <c r="I1693" s="1353">
        <f>N1335-N1347</f>
        <v>0</v>
      </c>
      <c r="K1693" s="1391">
        <v>1724</v>
      </c>
      <c r="L1693" s="1391" t="s">
        <v>7337</v>
      </c>
    </row>
    <row r="1694" spans="2:12">
      <c r="B1694" s="5" t="s">
        <v>7338</v>
      </c>
      <c r="C1694" s="26" t="s">
        <v>7339</v>
      </c>
      <c r="D1694" s="1347">
        <v>0</v>
      </c>
      <c r="E1694" s="1346">
        <v>0</v>
      </c>
      <c r="F1694" s="611" t="s">
        <v>7340</v>
      </c>
      <c r="G1694" s="1413" t="s">
        <v>2504</v>
      </c>
      <c r="H1694" s="1353">
        <f>M1336-M1348</f>
        <v>0</v>
      </c>
      <c r="I1694" s="1353">
        <f>N1336-N1348</f>
        <v>0</v>
      </c>
      <c r="K1694" s="1391">
        <v>1725</v>
      </c>
      <c r="L1694" s="1391" t="s">
        <v>7341</v>
      </c>
    </row>
    <row r="1695" spans="2:12">
      <c r="B1695" s="5" t="s">
        <v>7342</v>
      </c>
      <c r="C1695" s="26" t="s">
        <v>7343</v>
      </c>
      <c r="D1695" s="1347">
        <v>0</v>
      </c>
      <c r="E1695" s="1346">
        <v>0</v>
      </c>
      <c r="F1695" s="611" t="s">
        <v>7344</v>
      </c>
      <c r="G1695" s="1413" t="s">
        <v>2504</v>
      </c>
      <c r="H1695" s="1367">
        <f>M1338-M1350</f>
        <v>0</v>
      </c>
      <c r="I1695" s="1367">
        <f>N1338-N1350</f>
        <v>0</v>
      </c>
      <c r="K1695" s="1391">
        <v>1726</v>
      </c>
      <c r="L1695" s="1391" t="s">
        <v>7345</v>
      </c>
    </row>
    <row r="1696" spans="2:12">
      <c r="B1696" s="5" t="s">
        <v>7346</v>
      </c>
      <c r="C1696" s="26" t="s">
        <v>7347</v>
      </c>
      <c r="D1696" s="1347">
        <v>0</v>
      </c>
      <c r="E1696" s="1346">
        <v>0</v>
      </c>
      <c r="F1696" s="611" t="s">
        <v>7348</v>
      </c>
      <c r="G1696" s="1391">
        <v>1376</v>
      </c>
      <c r="H1696" s="1353">
        <f>M1351</f>
        <v>0</v>
      </c>
      <c r="I1696" s="1353">
        <f>N1351</f>
        <v>0</v>
      </c>
      <c r="K1696" s="1391">
        <v>1727</v>
      </c>
      <c r="L1696" s="1391" t="s">
        <v>7349</v>
      </c>
    </row>
    <row r="1697" spans="1:12">
      <c r="A1697" s="611" t="s">
        <v>3101</v>
      </c>
      <c r="B1697" s="5" t="s">
        <v>7350</v>
      </c>
      <c r="C1697" s="26" t="s">
        <v>215</v>
      </c>
      <c r="D1697" s="1347">
        <v>0</v>
      </c>
      <c r="E1697" s="1346">
        <v>0</v>
      </c>
      <c r="F1697" s="611" t="s">
        <v>7351</v>
      </c>
      <c r="G1697" s="1414">
        <v>4170</v>
      </c>
      <c r="H1697" s="1353">
        <f t="shared" ref="H1697:H1715" si="341">M2255</f>
        <v>0</v>
      </c>
      <c r="I1697" s="1353">
        <f t="shared" ref="I1697:I1715" si="342">N2255</f>
        <v>0</v>
      </c>
      <c r="K1697" s="1391">
        <v>1728</v>
      </c>
      <c r="L1697" s="1391" t="s">
        <v>7352</v>
      </c>
    </row>
    <row r="1698" spans="1:12">
      <c r="B1698" s="5" t="s">
        <v>7353</v>
      </c>
      <c r="C1698" s="26" t="s">
        <v>216</v>
      </c>
      <c r="D1698" s="1347">
        <v>0</v>
      </c>
      <c r="E1698" s="1346">
        <v>0</v>
      </c>
      <c r="F1698" s="611" t="s">
        <v>7354</v>
      </c>
      <c r="G1698" s="1414">
        <v>4171</v>
      </c>
      <c r="H1698" s="1353">
        <f t="shared" si="341"/>
        <v>0</v>
      </c>
      <c r="I1698" s="1353">
        <f t="shared" si="342"/>
        <v>0</v>
      </c>
      <c r="K1698" s="1391">
        <v>1729</v>
      </c>
      <c r="L1698" s="1391" t="s">
        <v>7355</v>
      </c>
    </row>
    <row r="1699" spans="1:12">
      <c r="B1699" s="5" t="s">
        <v>7356</v>
      </c>
      <c r="C1699" s="26" t="s">
        <v>217</v>
      </c>
      <c r="D1699" s="1347">
        <v>0</v>
      </c>
      <c r="E1699" s="1346">
        <v>0</v>
      </c>
      <c r="F1699" s="611" t="s">
        <v>7357</v>
      </c>
      <c r="G1699" s="1414">
        <v>4172</v>
      </c>
      <c r="H1699" s="1353">
        <f t="shared" si="341"/>
        <v>0</v>
      </c>
      <c r="I1699" s="1353">
        <f t="shared" si="342"/>
        <v>0</v>
      </c>
      <c r="K1699" s="1391">
        <v>1730</v>
      </c>
      <c r="L1699" s="1391" t="s">
        <v>7358</v>
      </c>
    </row>
    <row r="1700" spans="1:12">
      <c r="B1700" s="5" t="s">
        <v>7359</v>
      </c>
      <c r="C1700" s="26" t="s">
        <v>218</v>
      </c>
      <c r="D1700" s="1347">
        <v>0</v>
      </c>
      <c r="E1700" s="1346">
        <v>0</v>
      </c>
      <c r="F1700" s="611" t="s">
        <v>7360</v>
      </c>
      <c r="G1700" s="1414">
        <v>4173</v>
      </c>
      <c r="H1700" s="1353">
        <f t="shared" si="341"/>
        <v>0</v>
      </c>
      <c r="I1700" s="1353">
        <f t="shared" si="342"/>
        <v>0</v>
      </c>
      <c r="K1700" s="1391">
        <v>1731</v>
      </c>
      <c r="L1700" s="1391" t="s">
        <v>7361</v>
      </c>
    </row>
    <row r="1701" spans="1:12">
      <c r="B1701" s="5" t="s">
        <v>7362</v>
      </c>
      <c r="C1701" s="26" t="s">
        <v>219</v>
      </c>
      <c r="D1701" s="1347">
        <v>0</v>
      </c>
      <c r="E1701" s="1346">
        <v>0</v>
      </c>
      <c r="F1701" s="611" t="s">
        <v>7363</v>
      </c>
      <c r="G1701" s="1414">
        <v>4174</v>
      </c>
      <c r="H1701" s="1353">
        <f t="shared" si="341"/>
        <v>0</v>
      </c>
      <c r="I1701" s="1353">
        <f t="shared" si="342"/>
        <v>0</v>
      </c>
      <c r="K1701" s="1391">
        <v>1732</v>
      </c>
      <c r="L1701" s="1391" t="s">
        <v>7364</v>
      </c>
    </row>
    <row r="1702" spans="1:12">
      <c r="B1702" s="5" t="s">
        <v>7365</v>
      </c>
      <c r="C1702" s="26" t="s">
        <v>220</v>
      </c>
      <c r="D1702" s="1347">
        <v>0</v>
      </c>
      <c r="E1702" s="1346">
        <v>0</v>
      </c>
      <c r="F1702" s="611" t="s">
        <v>7366</v>
      </c>
      <c r="G1702" s="1414">
        <v>4175</v>
      </c>
      <c r="H1702" s="1353">
        <f t="shared" si="341"/>
        <v>0</v>
      </c>
      <c r="I1702" s="1353">
        <f t="shared" si="342"/>
        <v>0</v>
      </c>
      <c r="K1702" s="1391">
        <v>1733</v>
      </c>
      <c r="L1702" s="1391" t="s">
        <v>7367</v>
      </c>
    </row>
    <row r="1703" spans="1:12">
      <c r="B1703" s="5" t="s">
        <v>7368</v>
      </c>
      <c r="C1703" s="26" t="s">
        <v>221</v>
      </c>
      <c r="D1703" s="1347">
        <v>0</v>
      </c>
      <c r="E1703" s="1346">
        <v>0</v>
      </c>
      <c r="F1703" s="611" t="s">
        <v>7369</v>
      </c>
      <c r="G1703" s="1414">
        <v>4176</v>
      </c>
      <c r="H1703" s="1353">
        <f t="shared" si="341"/>
        <v>0</v>
      </c>
      <c r="I1703" s="1353">
        <f t="shared" si="342"/>
        <v>0</v>
      </c>
      <c r="K1703" s="1391">
        <v>1734</v>
      </c>
      <c r="L1703" s="1391" t="s">
        <v>7370</v>
      </c>
    </row>
    <row r="1704" spans="1:12">
      <c r="B1704" s="5" t="s">
        <v>7371</v>
      </c>
      <c r="C1704" s="26" t="s">
        <v>222</v>
      </c>
      <c r="D1704" s="1347">
        <v>0</v>
      </c>
      <c r="E1704" s="1346">
        <v>0</v>
      </c>
      <c r="F1704" s="611" t="s">
        <v>7372</v>
      </c>
      <c r="G1704" s="1414">
        <v>4177</v>
      </c>
      <c r="H1704" s="1353">
        <f t="shared" si="341"/>
        <v>0</v>
      </c>
      <c r="I1704" s="1353">
        <f t="shared" si="342"/>
        <v>0</v>
      </c>
      <c r="K1704" s="1391">
        <v>1735</v>
      </c>
      <c r="L1704" s="1391" t="s">
        <v>7373</v>
      </c>
    </row>
    <row r="1705" spans="1:12">
      <c r="B1705" s="5" t="s">
        <v>7374</v>
      </c>
      <c r="C1705" s="26" t="s">
        <v>223</v>
      </c>
      <c r="D1705" s="1347">
        <v>0</v>
      </c>
      <c r="E1705" s="1346">
        <v>0</v>
      </c>
      <c r="F1705" s="611" t="s">
        <v>7375</v>
      </c>
      <c r="G1705" s="1414">
        <v>4178</v>
      </c>
      <c r="H1705" s="1353">
        <f t="shared" si="341"/>
        <v>0</v>
      </c>
      <c r="I1705" s="1353">
        <f t="shared" si="342"/>
        <v>0</v>
      </c>
      <c r="K1705" s="1391">
        <v>1736</v>
      </c>
      <c r="L1705" s="1391" t="s">
        <v>7376</v>
      </c>
    </row>
    <row r="1706" spans="1:12">
      <c r="B1706" s="5" t="s">
        <v>7377</v>
      </c>
      <c r="C1706" s="26" t="s">
        <v>224</v>
      </c>
      <c r="D1706" s="1347">
        <v>0</v>
      </c>
      <c r="E1706" s="1346">
        <v>0</v>
      </c>
      <c r="F1706" s="611" t="s">
        <v>7378</v>
      </c>
      <c r="G1706" s="1414">
        <v>4179</v>
      </c>
      <c r="H1706" s="1353">
        <f t="shared" si="341"/>
        <v>0</v>
      </c>
      <c r="I1706" s="1353">
        <f t="shared" si="342"/>
        <v>0</v>
      </c>
      <c r="K1706" s="1391">
        <v>1737</v>
      </c>
      <c r="L1706" s="1391" t="s">
        <v>7379</v>
      </c>
    </row>
    <row r="1707" spans="1:12">
      <c r="B1707" s="5" t="s">
        <v>7380</v>
      </c>
      <c r="C1707" s="26" t="s">
        <v>225</v>
      </c>
      <c r="D1707" s="1347">
        <v>0</v>
      </c>
      <c r="E1707" s="1346">
        <v>0</v>
      </c>
      <c r="F1707" s="611" t="s">
        <v>7381</v>
      </c>
      <c r="G1707" s="1414">
        <v>4180</v>
      </c>
      <c r="H1707" s="1353">
        <f t="shared" si="341"/>
        <v>0</v>
      </c>
      <c r="I1707" s="1353">
        <f t="shared" si="342"/>
        <v>0</v>
      </c>
      <c r="K1707" s="1391">
        <v>1738</v>
      </c>
      <c r="L1707" s="1391" t="s">
        <v>7382</v>
      </c>
    </row>
    <row r="1708" spans="1:12">
      <c r="B1708" s="5" t="s">
        <v>7383</v>
      </c>
      <c r="C1708" s="26" t="s">
        <v>226</v>
      </c>
      <c r="D1708" s="1347">
        <v>0</v>
      </c>
      <c r="E1708" s="1346">
        <v>0</v>
      </c>
      <c r="F1708" s="611" t="s">
        <v>7384</v>
      </c>
      <c r="G1708" s="1414">
        <v>4181</v>
      </c>
      <c r="H1708" s="1353">
        <f t="shared" si="341"/>
        <v>0</v>
      </c>
      <c r="I1708" s="1353">
        <f t="shared" si="342"/>
        <v>0</v>
      </c>
      <c r="K1708" s="1391">
        <v>1739</v>
      </c>
      <c r="L1708" s="1391" t="s">
        <v>7385</v>
      </c>
    </row>
    <row r="1709" spans="1:12">
      <c r="B1709" s="5" t="s">
        <v>7386</v>
      </c>
      <c r="C1709" s="26" t="s">
        <v>227</v>
      </c>
      <c r="D1709" s="1347">
        <v>0</v>
      </c>
      <c r="E1709" s="1346">
        <v>0</v>
      </c>
      <c r="F1709" s="611" t="s">
        <v>7387</v>
      </c>
      <c r="G1709" s="1414">
        <v>4182</v>
      </c>
      <c r="H1709" s="1353">
        <f t="shared" si="341"/>
        <v>0</v>
      </c>
      <c r="I1709" s="1353">
        <f t="shared" si="342"/>
        <v>0</v>
      </c>
      <c r="K1709" s="1391">
        <v>1740</v>
      </c>
      <c r="L1709" s="1391" t="s">
        <v>7388</v>
      </c>
    </row>
    <row r="1710" spans="1:12">
      <c r="B1710" s="5" t="s">
        <v>7389</v>
      </c>
      <c r="C1710" s="26" t="s">
        <v>228</v>
      </c>
      <c r="D1710" s="1347">
        <v>0</v>
      </c>
      <c r="E1710" s="1346">
        <v>0</v>
      </c>
      <c r="F1710" s="611" t="s">
        <v>7390</v>
      </c>
      <c r="G1710" s="1414">
        <v>4183</v>
      </c>
      <c r="H1710" s="1353">
        <f t="shared" si="341"/>
        <v>0</v>
      </c>
      <c r="I1710" s="1353">
        <f t="shared" si="342"/>
        <v>0</v>
      </c>
      <c r="K1710" s="1391">
        <v>1741</v>
      </c>
      <c r="L1710" s="1391" t="s">
        <v>7391</v>
      </c>
    </row>
    <row r="1711" spans="1:12">
      <c r="B1711" s="5" t="s">
        <v>7392</v>
      </c>
      <c r="C1711" s="26" t="s">
        <v>229</v>
      </c>
      <c r="D1711" s="1347">
        <v>0</v>
      </c>
      <c r="E1711" s="1346">
        <v>0</v>
      </c>
      <c r="F1711" s="611" t="s">
        <v>7393</v>
      </c>
      <c r="G1711" s="1414">
        <v>4184</v>
      </c>
      <c r="H1711" s="1353">
        <f t="shared" si="341"/>
        <v>0</v>
      </c>
      <c r="I1711" s="1353">
        <f t="shared" si="342"/>
        <v>0</v>
      </c>
      <c r="K1711" s="1391">
        <v>1742</v>
      </c>
      <c r="L1711" s="1391" t="s">
        <v>7394</v>
      </c>
    </row>
    <row r="1712" spans="1:12">
      <c r="B1712" s="5" t="s">
        <v>7395</v>
      </c>
      <c r="C1712" s="26" t="s">
        <v>230</v>
      </c>
      <c r="D1712" s="1347">
        <v>0</v>
      </c>
      <c r="E1712" s="1346">
        <v>0</v>
      </c>
      <c r="F1712" s="611" t="s">
        <v>7396</v>
      </c>
      <c r="G1712" s="1414">
        <v>4185</v>
      </c>
      <c r="H1712" s="1353">
        <f t="shared" si="341"/>
        <v>0</v>
      </c>
      <c r="I1712" s="1353">
        <f t="shared" si="342"/>
        <v>0</v>
      </c>
      <c r="K1712" s="1391">
        <v>1743</v>
      </c>
      <c r="L1712" s="1391" t="s">
        <v>7397</v>
      </c>
    </row>
    <row r="1713" spans="2:13">
      <c r="B1713" s="5" t="s">
        <v>7398</v>
      </c>
      <c r="C1713" s="26" t="s">
        <v>231</v>
      </c>
      <c r="D1713" s="1347">
        <v>0</v>
      </c>
      <c r="E1713" s="1346">
        <v>0</v>
      </c>
      <c r="F1713" s="611" t="s">
        <v>7399</v>
      </c>
      <c r="G1713" s="1414">
        <v>4186</v>
      </c>
      <c r="H1713" s="1353">
        <f t="shared" si="341"/>
        <v>0</v>
      </c>
      <c r="I1713" s="1353">
        <f t="shared" si="342"/>
        <v>0</v>
      </c>
      <c r="K1713" s="1391">
        <v>1744</v>
      </c>
      <c r="L1713" s="1391" t="s">
        <v>7400</v>
      </c>
    </row>
    <row r="1714" spans="2:13">
      <c r="B1714" s="5" t="s">
        <v>7401</v>
      </c>
      <c r="C1714" s="26" t="s">
        <v>232</v>
      </c>
      <c r="D1714" s="1347">
        <v>0</v>
      </c>
      <c r="E1714" s="1346">
        <v>0</v>
      </c>
      <c r="F1714" s="611" t="s">
        <v>7402</v>
      </c>
      <c r="G1714" s="1414">
        <v>4187</v>
      </c>
      <c r="H1714" s="1353">
        <f t="shared" si="341"/>
        <v>0</v>
      </c>
      <c r="I1714" s="1353">
        <f t="shared" si="342"/>
        <v>0</v>
      </c>
      <c r="K1714" s="1391">
        <v>1745</v>
      </c>
      <c r="L1714" s="1391" t="s">
        <v>7403</v>
      </c>
    </row>
    <row r="1715" spans="2:13">
      <c r="B1715" s="5" t="s">
        <v>7404</v>
      </c>
      <c r="C1715" s="26" t="s">
        <v>233</v>
      </c>
      <c r="D1715" s="1347">
        <v>0</v>
      </c>
      <c r="E1715" s="1346">
        <v>0</v>
      </c>
      <c r="F1715" s="611" t="s">
        <v>7405</v>
      </c>
      <c r="G1715" s="1414">
        <v>4188</v>
      </c>
      <c r="H1715" s="1353">
        <f t="shared" si="341"/>
        <v>0</v>
      </c>
      <c r="I1715" s="1353">
        <f t="shared" si="342"/>
        <v>0</v>
      </c>
      <c r="K1715" s="1391">
        <v>1746</v>
      </c>
      <c r="L1715" s="1391" t="s">
        <v>7406</v>
      </c>
    </row>
    <row r="1716" spans="2:13">
      <c r="B1716" s="5" t="s">
        <v>7407</v>
      </c>
      <c r="C1716" s="26" t="s">
        <v>7408</v>
      </c>
      <c r="D1716" s="1347">
        <v>0</v>
      </c>
      <c r="E1716" s="1346">
        <v>0</v>
      </c>
      <c r="F1716" s="611" t="s">
        <v>7409</v>
      </c>
      <c r="G1716" s="1408">
        <v>1379</v>
      </c>
      <c r="H1716" s="1353">
        <f>M1354</f>
        <v>0</v>
      </c>
      <c r="I1716" s="1353">
        <f>N1354</f>
        <v>0</v>
      </c>
      <c r="K1716" s="1391">
        <v>1747</v>
      </c>
      <c r="L1716" s="1391" t="s">
        <v>7410</v>
      </c>
    </row>
    <row r="1717" spans="2:13">
      <c r="B1717" s="5" t="s">
        <v>7411</v>
      </c>
      <c r="C1717" s="26" t="s">
        <v>235</v>
      </c>
      <c r="D1717" s="1347">
        <v>0</v>
      </c>
      <c r="E1717" s="1346">
        <v>0</v>
      </c>
      <c r="F1717" s="611" t="s">
        <v>7412</v>
      </c>
      <c r="G1717" s="1408">
        <v>1380</v>
      </c>
      <c r="H1717" s="1353">
        <f>M1355</f>
        <v>0</v>
      </c>
      <c r="I1717" s="1353">
        <f>N1355</f>
        <v>0</v>
      </c>
      <c r="K1717" s="1391">
        <v>1748</v>
      </c>
      <c r="L1717" s="1391" t="s">
        <v>7413</v>
      </c>
    </row>
    <row r="1718" spans="2:13">
      <c r="B1718" s="5" t="s">
        <v>7414</v>
      </c>
      <c r="C1718" s="26" t="s">
        <v>236</v>
      </c>
      <c r="D1718" s="1347">
        <v>0</v>
      </c>
      <c r="E1718" s="1346">
        <v>0</v>
      </c>
      <c r="F1718" s="611" t="s">
        <v>7415</v>
      </c>
      <c r="G1718" s="1414">
        <v>4189</v>
      </c>
      <c r="H1718" s="1353">
        <f t="shared" ref="H1718:H1733" si="343">M2274</f>
        <v>0</v>
      </c>
      <c r="I1718" s="1353">
        <f t="shared" ref="I1718:I1733" si="344">N2274</f>
        <v>0</v>
      </c>
      <c r="K1718" s="1391">
        <v>1749</v>
      </c>
      <c r="L1718" s="1391" t="s">
        <v>7416</v>
      </c>
    </row>
    <row r="1719" spans="2:13">
      <c r="B1719" s="5" t="s">
        <v>7417</v>
      </c>
      <c r="C1719" s="26" t="s">
        <v>237</v>
      </c>
      <c r="D1719" s="1347">
        <v>165614</v>
      </c>
      <c r="E1719" s="1346">
        <v>197358</v>
      </c>
      <c r="F1719" s="611" t="s">
        <v>7418</v>
      </c>
      <c r="G1719" s="1414">
        <v>4190</v>
      </c>
      <c r="H1719" s="1353">
        <f t="shared" si="343"/>
        <v>0</v>
      </c>
      <c r="I1719" s="1353">
        <f t="shared" si="344"/>
        <v>0</v>
      </c>
      <c r="K1719" s="1391">
        <v>1750</v>
      </c>
      <c r="L1719" s="1391" t="s">
        <v>7419</v>
      </c>
    </row>
    <row r="1720" spans="2:13">
      <c r="B1720" s="5" t="s">
        <v>7420</v>
      </c>
      <c r="C1720" s="26" t="s">
        <v>238</v>
      </c>
      <c r="D1720" s="1347">
        <v>0</v>
      </c>
      <c r="E1720" s="1346">
        <v>0</v>
      </c>
      <c r="F1720" s="611" t="s">
        <v>7421</v>
      </c>
      <c r="G1720" s="1414">
        <v>4191</v>
      </c>
      <c r="H1720" s="1353">
        <f t="shared" si="343"/>
        <v>0</v>
      </c>
      <c r="I1720" s="1353">
        <f t="shared" si="344"/>
        <v>0</v>
      </c>
      <c r="K1720" s="1391">
        <v>1751</v>
      </c>
      <c r="L1720" s="1391" t="s">
        <v>7422</v>
      </c>
    </row>
    <row r="1721" spans="2:13">
      <c r="B1721" s="5" t="s">
        <v>7423</v>
      </c>
      <c r="C1721" s="26" t="s">
        <v>239</v>
      </c>
      <c r="D1721" s="1347">
        <v>0</v>
      </c>
      <c r="E1721" s="1346">
        <v>59739</v>
      </c>
      <c r="F1721" s="611" t="s">
        <v>7424</v>
      </c>
      <c r="G1721" s="1414">
        <v>4192</v>
      </c>
      <c r="H1721" s="1353">
        <f t="shared" si="343"/>
        <v>0</v>
      </c>
      <c r="I1721" s="1353">
        <f t="shared" si="344"/>
        <v>0</v>
      </c>
      <c r="K1721" s="1391">
        <v>1752</v>
      </c>
      <c r="L1721" s="1391" t="s">
        <v>7425</v>
      </c>
    </row>
    <row r="1722" spans="2:13">
      <c r="B1722" s="5" t="s">
        <v>7426</v>
      </c>
      <c r="C1722" s="26" t="s">
        <v>240</v>
      </c>
      <c r="D1722" s="1347">
        <v>0</v>
      </c>
      <c r="E1722" s="1346">
        <v>0</v>
      </c>
      <c r="F1722" s="611" t="s">
        <v>7427</v>
      </c>
      <c r="G1722" s="1414">
        <v>4193</v>
      </c>
      <c r="H1722" s="1353">
        <f t="shared" si="343"/>
        <v>0</v>
      </c>
      <c r="I1722" s="1353">
        <f t="shared" si="344"/>
        <v>0</v>
      </c>
      <c r="K1722" s="1391">
        <v>1753</v>
      </c>
      <c r="L1722" s="1391" t="s">
        <v>7428</v>
      </c>
    </row>
    <row r="1723" spans="2:13">
      <c r="B1723" s="5" t="s">
        <v>7429</v>
      </c>
      <c r="C1723" s="26" t="s">
        <v>241</v>
      </c>
      <c r="D1723" s="1347">
        <v>113627</v>
      </c>
      <c r="E1723" s="1346">
        <v>185859</v>
      </c>
      <c r="F1723" s="611" t="s">
        <v>7430</v>
      </c>
      <c r="G1723" s="1414">
        <v>4194</v>
      </c>
      <c r="H1723" s="1353">
        <f t="shared" si="343"/>
        <v>0</v>
      </c>
      <c r="I1723" s="1353">
        <f t="shared" si="344"/>
        <v>0</v>
      </c>
      <c r="K1723" s="1391">
        <v>1754</v>
      </c>
      <c r="L1723" s="1391" t="s">
        <v>7431</v>
      </c>
      <c r="M1723" s="1117"/>
    </row>
    <row r="1724" spans="2:13">
      <c r="B1724" s="5" t="s">
        <v>7432</v>
      </c>
      <c r="C1724" s="26" t="s">
        <v>242</v>
      </c>
      <c r="D1724" s="1347">
        <v>91712</v>
      </c>
      <c r="E1724" s="1346">
        <v>364987</v>
      </c>
      <c r="F1724" s="611" t="s">
        <v>7433</v>
      </c>
      <c r="G1724" s="1414">
        <v>4195</v>
      </c>
      <c r="H1724" s="1353">
        <f t="shared" si="343"/>
        <v>0</v>
      </c>
      <c r="I1724" s="1353">
        <f t="shared" si="344"/>
        <v>0</v>
      </c>
      <c r="K1724" s="1391">
        <v>1755</v>
      </c>
      <c r="L1724" s="1391" t="s">
        <v>7434</v>
      </c>
    </row>
    <row r="1725" spans="2:13">
      <c r="B1725" s="5" t="s">
        <v>7435</v>
      </c>
      <c r="C1725" s="26" t="s">
        <v>243</v>
      </c>
      <c r="D1725" s="1347">
        <v>0</v>
      </c>
      <c r="E1725" s="1346">
        <v>0</v>
      </c>
      <c r="F1725" s="611" t="s">
        <v>7436</v>
      </c>
      <c r="G1725" s="1414">
        <v>4196</v>
      </c>
      <c r="H1725" s="1353">
        <f t="shared" si="343"/>
        <v>0</v>
      </c>
      <c r="I1725" s="1353">
        <f t="shared" si="344"/>
        <v>0</v>
      </c>
      <c r="K1725" s="1391">
        <v>1756</v>
      </c>
      <c r="L1725" s="1391" t="s">
        <v>7437</v>
      </c>
    </row>
    <row r="1726" spans="2:13">
      <c r="B1726" s="5" t="s">
        <v>7438</v>
      </c>
      <c r="C1726" s="26" t="s">
        <v>244</v>
      </c>
      <c r="D1726" s="1347">
        <v>0</v>
      </c>
      <c r="E1726" s="1346">
        <v>0</v>
      </c>
      <c r="F1726" s="611" t="s">
        <v>7439</v>
      </c>
      <c r="G1726" s="1414">
        <v>4197</v>
      </c>
      <c r="H1726" s="1353">
        <f t="shared" si="343"/>
        <v>0</v>
      </c>
      <c r="I1726" s="1353">
        <f t="shared" si="344"/>
        <v>0</v>
      </c>
      <c r="K1726" s="1391">
        <v>1757</v>
      </c>
      <c r="L1726" s="1391" t="s">
        <v>7440</v>
      </c>
    </row>
    <row r="1727" spans="2:13">
      <c r="B1727" s="5" t="s">
        <v>7441</v>
      </c>
      <c r="C1727" s="26" t="s">
        <v>245</v>
      </c>
      <c r="D1727" s="1347">
        <v>0</v>
      </c>
      <c r="E1727" s="1346">
        <v>0</v>
      </c>
      <c r="F1727" s="611" t="s">
        <v>7442</v>
      </c>
      <c r="G1727" s="1414">
        <v>4198</v>
      </c>
      <c r="H1727" s="1353">
        <f t="shared" si="343"/>
        <v>0</v>
      </c>
      <c r="I1727" s="1353">
        <f t="shared" si="344"/>
        <v>0</v>
      </c>
      <c r="K1727" s="1391">
        <v>1758</v>
      </c>
      <c r="L1727" s="1391" t="s">
        <v>7443</v>
      </c>
    </row>
    <row r="1728" spans="2:13">
      <c r="B1728" s="5" t="s">
        <v>7444</v>
      </c>
      <c r="C1728" s="26" t="s">
        <v>246</v>
      </c>
      <c r="D1728" s="1347">
        <v>0</v>
      </c>
      <c r="E1728" s="1346">
        <v>0</v>
      </c>
      <c r="F1728" s="611" t="s">
        <v>7445</v>
      </c>
      <c r="G1728" s="1414">
        <v>4199</v>
      </c>
      <c r="H1728" s="1353">
        <f t="shared" si="343"/>
        <v>0</v>
      </c>
      <c r="I1728" s="1353">
        <f t="shared" si="344"/>
        <v>0</v>
      </c>
      <c r="K1728" s="1391">
        <v>1759</v>
      </c>
      <c r="L1728" s="1391" t="s">
        <v>7446</v>
      </c>
    </row>
    <row r="1729" spans="2:12">
      <c r="B1729" s="5" t="s">
        <v>7447</v>
      </c>
      <c r="C1729" s="26" t="s">
        <v>247</v>
      </c>
      <c r="D1729" s="1347">
        <v>0</v>
      </c>
      <c r="E1729" s="1346">
        <v>0</v>
      </c>
      <c r="F1729" s="611" t="s">
        <v>7448</v>
      </c>
      <c r="G1729" s="1414">
        <v>4200</v>
      </c>
      <c r="H1729" s="1353">
        <f t="shared" si="343"/>
        <v>0</v>
      </c>
      <c r="I1729" s="1353">
        <f t="shared" si="344"/>
        <v>0</v>
      </c>
      <c r="K1729" s="1391">
        <v>1760</v>
      </c>
      <c r="L1729" s="1391" t="s">
        <v>5777</v>
      </c>
    </row>
    <row r="1730" spans="2:12">
      <c r="B1730" s="5" t="s">
        <v>7449</v>
      </c>
      <c r="C1730" s="26" t="s">
        <v>248</v>
      </c>
      <c r="D1730" s="1347">
        <v>0</v>
      </c>
      <c r="E1730" s="1346">
        <v>0</v>
      </c>
      <c r="F1730" s="611" t="s">
        <v>7450</v>
      </c>
      <c r="G1730" s="1414">
        <v>4201</v>
      </c>
      <c r="H1730" s="1353">
        <f t="shared" si="343"/>
        <v>0</v>
      </c>
      <c r="I1730" s="1353">
        <f t="shared" si="344"/>
        <v>0</v>
      </c>
      <c r="K1730" s="1355">
        <v>3470</v>
      </c>
      <c r="L1730" s="1355" t="s">
        <v>7451</v>
      </c>
    </row>
    <row r="1731" spans="2:12">
      <c r="B1731" s="5" t="s">
        <v>7452</v>
      </c>
      <c r="C1731" s="26" t="s">
        <v>249</v>
      </c>
      <c r="D1731" s="1347">
        <v>0</v>
      </c>
      <c r="E1731" s="1346">
        <v>0</v>
      </c>
      <c r="F1731" s="611" t="s">
        <v>7453</v>
      </c>
      <c r="G1731" s="1414">
        <v>4202</v>
      </c>
      <c r="H1731" s="1353">
        <f t="shared" si="343"/>
        <v>0</v>
      </c>
      <c r="I1731" s="1353">
        <f t="shared" si="344"/>
        <v>0</v>
      </c>
      <c r="K1731" s="1355">
        <v>3471</v>
      </c>
      <c r="L1731" s="1355" t="s">
        <v>7454</v>
      </c>
    </row>
    <row r="1732" spans="2:12">
      <c r="B1732" s="5" t="s">
        <v>7455</v>
      </c>
      <c r="C1732" s="26" t="s">
        <v>250</v>
      </c>
      <c r="D1732" s="1347">
        <v>0</v>
      </c>
      <c r="E1732" s="1346">
        <v>0</v>
      </c>
      <c r="F1732" s="611" t="s">
        <v>7456</v>
      </c>
      <c r="G1732" s="1414">
        <v>4203</v>
      </c>
      <c r="H1732" s="1353">
        <f t="shared" si="343"/>
        <v>0</v>
      </c>
      <c r="I1732" s="1353">
        <f t="shared" si="344"/>
        <v>0</v>
      </c>
      <c r="K1732" s="1355">
        <v>3472</v>
      </c>
      <c r="L1732" s="1355" t="s">
        <v>7457</v>
      </c>
    </row>
    <row r="1733" spans="2:12">
      <c r="B1733" s="5" t="s">
        <v>7458</v>
      </c>
      <c r="C1733" s="26" t="s">
        <v>251</v>
      </c>
      <c r="D1733" s="1347">
        <v>0</v>
      </c>
      <c r="E1733" s="1346">
        <v>0</v>
      </c>
      <c r="F1733" s="611" t="s">
        <v>7459</v>
      </c>
      <c r="G1733" s="1414">
        <v>4204</v>
      </c>
      <c r="H1733" s="1353">
        <f t="shared" si="343"/>
        <v>0</v>
      </c>
      <c r="I1733" s="1353">
        <f t="shared" si="344"/>
        <v>0</v>
      </c>
      <c r="K1733" s="1355">
        <v>3473</v>
      </c>
      <c r="L1733" s="1355" t="s">
        <v>7460</v>
      </c>
    </row>
    <row r="1734" spans="2:12">
      <c r="B1734" s="5" t="s">
        <v>7461</v>
      </c>
      <c r="C1734" s="26" t="s">
        <v>7462</v>
      </c>
      <c r="D1734" s="1347">
        <v>0</v>
      </c>
      <c r="E1734" s="1346">
        <v>0</v>
      </c>
      <c r="F1734" s="611" t="s">
        <v>7463</v>
      </c>
      <c r="G1734" s="1408">
        <v>1384</v>
      </c>
      <c r="H1734" s="1353">
        <f>M1359</f>
        <v>0</v>
      </c>
      <c r="I1734" s="1353">
        <f>N1359</f>
        <v>0</v>
      </c>
      <c r="K1734" s="1355">
        <v>3474</v>
      </c>
      <c r="L1734" s="1355" t="s">
        <v>7464</v>
      </c>
    </row>
    <row r="1735" spans="2:12">
      <c r="B1735" s="5" t="s">
        <v>7465</v>
      </c>
      <c r="C1735" s="26" t="s">
        <v>253</v>
      </c>
      <c r="D1735" s="1347">
        <v>0</v>
      </c>
      <c r="E1735" s="1346">
        <v>0</v>
      </c>
      <c r="F1735" s="611" t="s">
        <v>7466</v>
      </c>
      <c r="G1735" s="1408">
        <v>1385</v>
      </c>
      <c r="H1735" s="1353">
        <f>M1360</f>
        <v>0</v>
      </c>
      <c r="I1735" s="1353">
        <f>N1360</f>
        <v>0</v>
      </c>
      <c r="K1735" s="1355">
        <v>3475</v>
      </c>
      <c r="L1735" s="1355" t="s">
        <v>7467</v>
      </c>
    </row>
    <row r="1736" spans="2:12">
      <c r="B1736" s="5" t="s">
        <v>7468</v>
      </c>
      <c r="C1736" s="26" t="s">
        <v>254</v>
      </c>
      <c r="D1736" s="1347">
        <v>0</v>
      </c>
      <c r="E1736" s="1346">
        <v>0</v>
      </c>
      <c r="F1736" s="611" t="s">
        <v>7469</v>
      </c>
      <c r="G1736" s="1408">
        <v>1387</v>
      </c>
      <c r="H1736" s="1353">
        <f>M1362</f>
        <v>0</v>
      </c>
      <c r="I1736" s="1353">
        <f>N1362</f>
        <v>0</v>
      </c>
      <c r="K1736" s="1355">
        <v>3476</v>
      </c>
      <c r="L1736" s="1355" t="s">
        <v>7470</v>
      </c>
    </row>
    <row r="1737" spans="2:12">
      <c r="B1737" s="5" t="s">
        <v>7471</v>
      </c>
      <c r="C1737" s="26" t="s">
        <v>7472</v>
      </c>
      <c r="D1737" s="1347">
        <v>0</v>
      </c>
      <c r="E1737" s="1346">
        <v>0</v>
      </c>
      <c r="F1737" s="611" t="s">
        <v>7473</v>
      </c>
      <c r="G1737" s="1413" t="s">
        <v>2504</v>
      </c>
      <c r="H1737" s="1353">
        <f t="shared" ref="H1737:H1755" si="345">M2255-M2290</f>
        <v>0</v>
      </c>
      <c r="I1737" s="1353">
        <f t="shared" ref="I1737:I1755" si="346">N2255-N2290</f>
        <v>0</v>
      </c>
      <c r="K1737" s="1355">
        <v>3477</v>
      </c>
      <c r="L1737" s="1355" t="s">
        <v>7474</v>
      </c>
    </row>
    <row r="1738" spans="2:12">
      <c r="B1738" s="5" t="s">
        <v>7475</v>
      </c>
      <c r="C1738" s="26" t="s">
        <v>7476</v>
      </c>
      <c r="D1738" s="1347">
        <v>0</v>
      </c>
      <c r="E1738" s="1346">
        <v>0</v>
      </c>
      <c r="F1738" s="611" t="s">
        <v>7477</v>
      </c>
      <c r="G1738" s="1413" t="s">
        <v>2504</v>
      </c>
      <c r="H1738" s="1353">
        <f t="shared" si="345"/>
        <v>0</v>
      </c>
      <c r="I1738" s="1353">
        <f t="shared" si="346"/>
        <v>0</v>
      </c>
      <c r="K1738" s="1355">
        <v>3478</v>
      </c>
      <c r="L1738" s="1355" t="s">
        <v>7478</v>
      </c>
    </row>
    <row r="1739" spans="2:12">
      <c r="B1739" s="5" t="s">
        <v>7479</v>
      </c>
      <c r="C1739" s="26" t="s">
        <v>7480</v>
      </c>
      <c r="D1739" s="1347">
        <v>0</v>
      </c>
      <c r="E1739" s="1346">
        <v>0</v>
      </c>
      <c r="F1739" s="611" t="s">
        <v>7481</v>
      </c>
      <c r="G1739" s="1413" t="s">
        <v>2504</v>
      </c>
      <c r="H1739" s="1353">
        <f t="shared" si="345"/>
        <v>0</v>
      </c>
      <c r="I1739" s="1353">
        <f t="shared" si="346"/>
        <v>0</v>
      </c>
      <c r="K1739" s="1355">
        <v>3479</v>
      </c>
      <c r="L1739" s="1355" t="s">
        <v>7482</v>
      </c>
    </row>
    <row r="1740" spans="2:12">
      <c r="B1740" s="5" t="s">
        <v>7483</v>
      </c>
      <c r="C1740" s="26" t="s">
        <v>7484</v>
      </c>
      <c r="D1740" s="1347">
        <v>0</v>
      </c>
      <c r="E1740" s="1346">
        <v>0</v>
      </c>
      <c r="F1740" s="611" t="s">
        <v>7485</v>
      </c>
      <c r="G1740" s="1413" t="s">
        <v>2504</v>
      </c>
      <c r="H1740" s="1353">
        <f t="shared" si="345"/>
        <v>0</v>
      </c>
      <c r="I1740" s="1353">
        <f t="shared" si="346"/>
        <v>0</v>
      </c>
      <c r="K1740" s="1355">
        <v>3480</v>
      </c>
      <c r="L1740" s="1355" t="s">
        <v>7486</v>
      </c>
    </row>
    <row r="1741" spans="2:12">
      <c r="B1741" s="5" t="s">
        <v>7487</v>
      </c>
      <c r="C1741" s="26" t="s">
        <v>7488</v>
      </c>
      <c r="D1741" s="1347">
        <v>0</v>
      </c>
      <c r="E1741" s="1346">
        <v>0</v>
      </c>
      <c r="F1741" s="611" t="s">
        <v>7489</v>
      </c>
      <c r="G1741" s="1413" t="s">
        <v>2504</v>
      </c>
      <c r="H1741" s="1353">
        <f t="shared" si="345"/>
        <v>0</v>
      </c>
      <c r="I1741" s="1353">
        <f t="shared" si="346"/>
        <v>0</v>
      </c>
      <c r="K1741" s="1355">
        <v>3481</v>
      </c>
      <c r="L1741" s="1355" t="s">
        <v>7490</v>
      </c>
    </row>
    <row r="1742" spans="2:12">
      <c r="B1742" s="5" t="s">
        <v>7491</v>
      </c>
      <c r="C1742" s="26" t="s">
        <v>7492</v>
      </c>
      <c r="D1742" s="1347">
        <v>0</v>
      </c>
      <c r="E1742" s="1346">
        <v>0</v>
      </c>
      <c r="F1742" s="611" t="s">
        <v>7493</v>
      </c>
      <c r="G1742" s="1413" t="s">
        <v>2504</v>
      </c>
      <c r="H1742" s="1353">
        <f t="shared" si="345"/>
        <v>0</v>
      </c>
      <c r="I1742" s="1353">
        <f t="shared" si="346"/>
        <v>0</v>
      </c>
      <c r="K1742" s="1355">
        <v>3482</v>
      </c>
      <c r="L1742" s="1355" t="s">
        <v>7494</v>
      </c>
    </row>
    <row r="1743" spans="2:12">
      <c r="B1743" s="5" t="s">
        <v>7495</v>
      </c>
      <c r="C1743" s="26" t="s">
        <v>7496</v>
      </c>
      <c r="D1743" s="1347">
        <v>0</v>
      </c>
      <c r="E1743" s="1346">
        <v>0</v>
      </c>
      <c r="F1743" s="611" t="s">
        <v>7497</v>
      </c>
      <c r="G1743" s="1413" t="s">
        <v>2504</v>
      </c>
      <c r="H1743" s="1353">
        <f t="shared" si="345"/>
        <v>0</v>
      </c>
      <c r="I1743" s="1353">
        <f t="shared" si="346"/>
        <v>0</v>
      </c>
      <c r="K1743" s="1355">
        <v>3483</v>
      </c>
      <c r="L1743" s="1355" t="s">
        <v>7498</v>
      </c>
    </row>
    <row r="1744" spans="2:12">
      <c r="B1744" s="5" t="s">
        <v>7499</v>
      </c>
      <c r="C1744" s="26" t="s">
        <v>7500</v>
      </c>
      <c r="D1744" s="1347">
        <v>0</v>
      </c>
      <c r="E1744" s="1346">
        <v>0</v>
      </c>
      <c r="F1744" s="611" t="s">
        <v>7501</v>
      </c>
      <c r="G1744" s="1413" t="s">
        <v>2504</v>
      </c>
      <c r="H1744" s="1353">
        <f t="shared" si="345"/>
        <v>0</v>
      </c>
      <c r="I1744" s="1353">
        <f t="shared" si="346"/>
        <v>0</v>
      </c>
      <c r="K1744" s="1355">
        <v>3484</v>
      </c>
      <c r="L1744" s="1355" t="s">
        <v>7502</v>
      </c>
    </row>
    <row r="1745" spans="2:12">
      <c r="B1745" s="5" t="s">
        <v>7503</v>
      </c>
      <c r="C1745" s="26" t="s">
        <v>7504</v>
      </c>
      <c r="D1745" s="1347">
        <v>0</v>
      </c>
      <c r="E1745" s="1346">
        <v>0</v>
      </c>
      <c r="F1745" s="611" t="s">
        <v>7505</v>
      </c>
      <c r="G1745" s="1413" t="s">
        <v>2504</v>
      </c>
      <c r="H1745" s="1353">
        <f t="shared" si="345"/>
        <v>0</v>
      </c>
      <c r="I1745" s="1353">
        <f t="shared" si="346"/>
        <v>0</v>
      </c>
      <c r="K1745" s="1355">
        <v>3485</v>
      </c>
      <c r="L1745" s="1355" t="s">
        <v>7506</v>
      </c>
    </row>
    <row r="1746" spans="2:12">
      <c r="B1746" s="5" t="s">
        <v>7507</v>
      </c>
      <c r="C1746" s="26" t="s">
        <v>7508</v>
      </c>
      <c r="D1746" s="1347">
        <v>0</v>
      </c>
      <c r="E1746" s="1346">
        <v>0</v>
      </c>
      <c r="F1746" s="611" t="s">
        <v>7509</v>
      </c>
      <c r="G1746" s="1413" t="s">
        <v>2504</v>
      </c>
      <c r="H1746" s="1353">
        <f t="shared" si="345"/>
        <v>0</v>
      </c>
      <c r="I1746" s="1353">
        <f t="shared" si="346"/>
        <v>0</v>
      </c>
      <c r="K1746" s="1355">
        <v>3486</v>
      </c>
      <c r="L1746" s="1355" t="s">
        <v>7510</v>
      </c>
    </row>
    <row r="1747" spans="2:12">
      <c r="B1747" s="5" t="s">
        <v>7511</v>
      </c>
      <c r="C1747" s="26" t="s">
        <v>7512</v>
      </c>
      <c r="D1747" s="1347">
        <v>0</v>
      </c>
      <c r="E1747" s="1346">
        <v>0</v>
      </c>
      <c r="F1747" s="611" t="s">
        <v>7513</v>
      </c>
      <c r="G1747" s="1413" t="s">
        <v>2504</v>
      </c>
      <c r="H1747" s="1353">
        <f t="shared" si="345"/>
        <v>0</v>
      </c>
      <c r="I1747" s="1353">
        <f t="shared" si="346"/>
        <v>0</v>
      </c>
      <c r="K1747" s="1355">
        <v>3487</v>
      </c>
      <c r="L1747" s="1355" t="s">
        <v>7514</v>
      </c>
    </row>
    <row r="1748" spans="2:12">
      <c r="B1748" s="5" t="s">
        <v>7515</v>
      </c>
      <c r="C1748" s="26" t="s">
        <v>7516</v>
      </c>
      <c r="D1748" s="1347">
        <v>0</v>
      </c>
      <c r="E1748" s="1346">
        <v>0</v>
      </c>
      <c r="F1748" s="611" t="s">
        <v>7517</v>
      </c>
      <c r="G1748" s="1413" t="s">
        <v>2504</v>
      </c>
      <c r="H1748" s="1353">
        <f t="shared" si="345"/>
        <v>0</v>
      </c>
      <c r="I1748" s="1353">
        <f t="shared" si="346"/>
        <v>0</v>
      </c>
      <c r="K1748" s="1355">
        <v>3488</v>
      </c>
      <c r="L1748" s="1355" t="s">
        <v>7518</v>
      </c>
    </row>
    <row r="1749" spans="2:12">
      <c r="B1749" s="5" t="s">
        <v>7519</v>
      </c>
      <c r="C1749" s="26" t="s">
        <v>7520</v>
      </c>
      <c r="D1749" s="1347">
        <v>0</v>
      </c>
      <c r="E1749" s="1346">
        <v>0</v>
      </c>
      <c r="F1749" s="611" t="s">
        <v>7521</v>
      </c>
      <c r="G1749" s="1413" t="s">
        <v>2504</v>
      </c>
      <c r="H1749" s="1353">
        <f t="shared" si="345"/>
        <v>0</v>
      </c>
      <c r="I1749" s="1353">
        <f t="shared" si="346"/>
        <v>0</v>
      </c>
      <c r="K1749" s="1355">
        <v>3489</v>
      </c>
      <c r="L1749" s="1355" t="s">
        <v>7522</v>
      </c>
    </row>
    <row r="1750" spans="2:12">
      <c r="B1750" s="5" t="s">
        <v>7523</v>
      </c>
      <c r="C1750" s="26" t="s">
        <v>7524</v>
      </c>
      <c r="D1750" s="1347">
        <v>0</v>
      </c>
      <c r="E1750" s="1346">
        <v>0</v>
      </c>
      <c r="F1750" s="611" t="s">
        <v>7525</v>
      </c>
      <c r="G1750" s="1413" t="s">
        <v>2504</v>
      </c>
      <c r="H1750" s="1353">
        <f t="shared" si="345"/>
        <v>0</v>
      </c>
      <c r="I1750" s="1353">
        <f t="shared" si="346"/>
        <v>0</v>
      </c>
      <c r="K1750" s="1355">
        <v>3490</v>
      </c>
      <c r="L1750" s="1355" t="s">
        <v>7526</v>
      </c>
    </row>
    <row r="1751" spans="2:12">
      <c r="B1751" s="5" t="s">
        <v>7527</v>
      </c>
      <c r="C1751" s="26" t="s">
        <v>7528</v>
      </c>
      <c r="D1751" s="1347">
        <v>0</v>
      </c>
      <c r="E1751" s="1346">
        <v>0</v>
      </c>
      <c r="F1751" s="611" t="s">
        <v>7529</v>
      </c>
      <c r="G1751" s="1413" t="s">
        <v>2504</v>
      </c>
      <c r="H1751" s="1353">
        <f t="shared" si="345"/>
        <v>0</v>
      </c>
      <c r="I1751" s="1353">
        <f t="shared" si="346"/>
        <v>0</v>
      </c>
      <c r="K1751" s="1355">
        <v>3491</v>
      </c>
      <c r="L1751" s="1355" t="s">
        <v>7530</v>
      </c>
    </row>
    <row r="1752" spans="2:12">
      <c r="B1752" s="5" t="s">
        <v>7531</v>
      </c>
      <c r="C1752" s="26" t="s">
        <v>7532</v>
      </c>
      <c r="D1752" s="1347">
        <v>0</v>
      </c>
      <c r="E1752" s="1346">
        <v>0</v>
      </c>
      <c r="F1752" s="611" t="s">
        <v>7533</v>
      </c>
      <c r="G1752" s="1413" t="s">
        <v>2504</v>
      </c>
      <c r="H1752" s="1353">
        <f t="shared" si="345"/>
        <v>0</v>
      </c>
      <c r="I1752" s="1353">
        <f t="shared" si="346"/>
        <v>0</v>
      </c>
      <c r="K1752" s="1355">
        <v>3492</v>
      </c>
      <c r="L1752" s="1355" t="s">
        <v>7534</v>
      </c>
    </row>
    <row r="1753" spans="2:12">
      <c r="B1753" s="5" t="s">
        <v>7535</v>
      </c>
      <c r="C1753" s="26" t="s">
        <v>7536</v>
      </c>
      <c r="D1753" s="1347">
        <v>0</v>
      </c>
      <c r="E1753" s="1346">
        <v>0</v>
      </c>
      <c r="F1753" s="611" t="s">
        <v>7537</v>
      </c>
      <c r="G1753" s="1413" t="s">
        <v>2504</v>
      </c>
      <c r="H1753" s="1353">
        <f t="shared" si="345"/>
        <v>0</v>
      </c>
      <c r="I1753" s="1353">
        <f t="shared" si="346"/>
        <v>0</v>
      </c>
      <c r="K1753" s="1355">
        <v>3493</v>
      </c>
      <c r="L1753" s="1355" t="s">
        <v>7538</v>
      </c>
    </row>
    <row r="1754" spans="2:12">
      <c r="B1754" s="5" t="s">
        <v>7539</v>
      </c>
      <c r="C1754" s="26" t="s">
        <v>7540</v>
      </c>
      <c r="D1754" s="1347">
        <v>0</v>
      </c>
      <c r="E1754" s="1346">
        <v>0</v>
      </c>
      <c r="F1754" s="611" t="s">
        <v>7541</v>
      </c>
      <c r="G1754" s="1413" t="s">
        <v>2504</v>
      </c>
      <c r="H1754" s="1353">
        <f t="shared" si="345"/>
        <v>0</v>
      </c>
      <c r="I1754" s="1353">
        <f t="shared" si="346"/>
        <v>0</v>
      </c>
      <c r="K1754" s="1355">
        <v>3494</v>
      </c>
      <c r="L1754" s="1355" t="s">
        <v>7542</v>
      </c>
    </row>
    <row r="1755" spans="2:12">
      <c r="B1755" s="5" t="s">
        <v>7543</v>
      </c>
      <c r="C1755" s="26" t="s">
        <v>7544</v>
      </c>
      <c r="D1755" s="1347">
        <v>0</v>
      </c>
      <c r="E1755" s="1346">
        <v>0</v>
      </c>
      <c r="F1755" s="611" t="s">
        <v>7545</v>
      </c>
      <c r="G1755" s="1413" t="s">
        <v>2504</v>
      </c>
      <c r="H1755" s="1353">
        <f t="shared" si="345"/>
        <v>0</v>
      </c>
      <c r="I1755" s="1353">
        <f t="shared" si="346"/>
        <v>0</v>
      </c>
      <c r="K1755" s="1355">
        <v>3495</v>
      </c>
      <c r="L1755" s="1355" t="s">
        <v>7546</v>
      </c>
    </row>
    <row r="1756" spans="2:12">
      <c r="B1756" s="5" t="s">
        <v>7547</v>
      </c>
      <c r="C1756" s="26" t="s">
        <v>7548</v>
      </c>
      <c r="D1756" s="1347">
        <v>0</v>
      </c>
      <c r="E1756" s="1346">
        <v>0</v>
      </c>
      <c r="F1756" s="611" t="s">
        <v>7549</v>
      </c>
      <c r="G1756" s="1413" t="s">
        <v>2504</v>
      </c>
      <c r="H1756" s="1353">
        <f>M1354-M1366</f>
        <v>0</v>
      </c>
      <c r="I1756" s="1353">
        <f>N1354-N1366</f>
        <v>0</v>
      </c>
      <c r="K1756" s="1355">
        <v>3496</v>
      </c>
      <c r="L1756" s="1355" t="s">
        <v>7550</v>
      </c>
    </row>
    <row r="1757" spans="2:12">
      <c r="B1757" s="5" t="s">
        <v>7551</v>
      </c>
      <c r="C1757" s="26" t="s">
        <v>7552</v>
      </c>
      <c r="D1757" s="1347">
        <v>0</v>
      </c>
      <c r="E1757" s="1346">
        <v>0</v>
      </c>
      <c r="F1757" s="611" t="s">
        <v>7553</v>
      </c>
      <c r="G1757" s="1413" t="s">
        <v>2504</v>
      </c>
      <c r="H1757" s="1353">
        <f>M1355-M1367</f>
        <v>0</v>
      </c>
      <c r="I1757" s="1353">
        <f>N1355-N1367</f>
        <v>0</v>
      </c>
      <c r="K1757" s="1355">
        <v>3497</v>
      </c>
      <c r="L1757" s="1355" t="s">
        <v>7554</v>
      </c>
    </row>
    <row r="1758" spans="2:12">
      <c r="B1758" s="5" t="s">
        <v>7555</v>
      </c>
      <c r="C1758" s="26" t="s">
        <v>7556</v>
      </c>
      <c r="D1758" s="1347">
        <v>0</v>
      </c>
      <c r="E1758" s="1346">
        <v>0</v>
      </c>
      <c r="F1758" s="611" t="s">
        <v>7557</v>
      </c>
      <c r="G1758" s="1413" t="s">
        <v>2504</v>
      </c>
      <c r="H1758" s="1353">
        <f t="shared" ref="H1758:H1773" si="347">M2274-M2309</f>
        <v>0</v>
      </c>
      <c r="I1758" s="1353">
        <f t="shared" ref="I1758:I1773" si="348">N2274-N2309</f>
        <v>0</v>
      </c>
      <c r="K1758" s="1355">
        <v>3498</v>
      </c>
      <c r="L1758" s="1355" t="s">
        <v>7558</v>
      </c>
    </row>
    <row r="1759" spans="2:12">
      <c r="B1759" s="5" t="s">
        <v>7559</v>
      </c>
      <c r="C1759" s="26" t="s">
        <v>7560</v>
      </c>
      <c r="D1759" s="1347">
        <v>160046</v>
      </c>
      <c r="E1759" s="1346">
        <v>190745</v>
      </c>
      <c r="F1759" s="611" t="s">
        <v>7561</v>
      </c>
      <c r="G1759" s="1413" t="s">
        <v>2504</v>
      </c>
      <c r="H1759" s="1353">
        <f t="shared" si="347"/>
        <v>0</v>
      </c>
      <c r="I1759" s="1353">
        <f t="shared" si="348"/>
        <v>0</v>
      </c>
      <c r="K1759" s="1355">
        <v>3499</v>
      </c>
      <c r="L1759" s="1355" t="s">
        <v>7562</v>
      </c>
    </row>
    <row r="1760" spans="2:12">
      <c r="B1760" s="5" t="s">
        <v>7563</v>
      </c>
      <c r="C1760" s="26" t="s">
        <v>7564</v>
      </c>
      <c r="D1760" s="1347">
        <v>0</v>
      </c>
      <c r="E1760" s="1346">
        <v>0</v>
      </c>
      <c r="F1760" s="611" t="s">
        <v>7565</v>
      </c>
      <c r="G1760" s="1413" t="s">
        <v>2504</v>
      </c>
      <c r="H1760" s="1353">
        <f t="shared" si="347"/>
        <v>0</v>
      </c>
      <c r="I1760" s="1353">
        <f t="shared" si="348"/>
        <v>0</v>
      </c>
      <c r="K1760" s="1355">
        <v>3500</v>
      </c>
      <c r="L1760" s="1355" t="s">
        <v>7566</v>
      </c>
    </row>
    <row r="1761" spans="2:13">
      <c r="B1761" s="5" t="s">
        <v>7567</v>
      </c>
      <c r="C1761" s="26" t="s">
        <v>7568</v>
      </c>
      <c r="D1761" s="1347">
        <v>0</v>
      </c>
      <c r="E1761" s="1346">
        <v>59052</v>
      </c>
      <c r="F1761" s="611" t="s">
        <v>7569</v>
      </c>
      <c r="G1761" s="1413" t="s">
        <v>2504</v>
      </c>
      <c r="H1761" s="1353">
        <f t="shared" si="347"/>
        <v>0</v>
      </c>
      <c r="I1761" s="1353">
        <f t="shared" si="348"/>
        <v>0</v>
      </c>
      <c r="K1761" s="1355">
        <v>3501</v>
      </c>
      <c r="L1761" s="1355" t="s">
        <v>7570</v>
      </c>
    </row>
    <row r="1762" spans="2:13">
      <c r="B1762" s="5" t="s">
        <v>7571</v>
      </c>
      <c r="C1762" s="26" t="s">
        <v>7572</v>
      </c>
      <c r="D1762" s="1347">
        <v>0</v>
      </c>
      <c r="E1762" s="1346">
        <v>0</v>
      </c>
      <c r="F1762" s="611" t="s">
        <v>7573</v>
      </c>
      <c r="G1762" s="1413" t="s">
        <v>2504</v>
      </c>
      <c r="H1762" s="1353">
        <f t="shared" si="347"/>
        <v>0</v>
      </c>
      <c r="I1762" s="1353">
        <f t="shared" si="348"/>
        <v>0</v>
      </c>
      <c r="K1762" s="1355">
        <v>3502</v>
      </c>
      <c r="L1762" s="1355" t="s">
        <v>7574</v>
      </c>
      <c r="M1762" s="1117"/>
    </row>
    <row r="1763" spans="2:13">
      <c r="B1763" s="5" t="s">
        <v>7575</v>
      </c>
      <c r="C1763" s="26" t="s">
        <v>7576</v>
      </c>
      <c r="D1763" s="1347">
        <v>108461</v>
      </c>
      <c r="E1763" s="1346">
        <v>177129</v>
      </c>
      <c r="F1763" s="611" t="s">
        <v>7577</v>
      </c>
      <c r="G1763" s="1413" t="s">
        <v>2504</v>
      </c>
      <c r="H1763" s="1353">
        <f t="shared" si="347"/>
        <v>0</v>
      </c>
      <c r="I1763" s="1353">
        <f t="shared" si="348"/>
        <v>0</v>
      </c>
      <c r="K1763" s="1355">
        <v>3503</v>
      </c>
      <c r="L1763" s="1355" t="s">
        <v>7578</v>
      </c>
    </row>
    <row r="1764" spans="2:13">
      <c r="B1764" s="5" t="s">
        <v>7579</v>
      </c>
      <c r="C1764" s="26" t="s">
        <v>7580</v>
      </c>
      <c r="D1764" s="1347">
        <v>88815</v>
      </c>
      <c r="E1764" s="1346">
        <v>358639</v>
      </c>
      <c r="F1764" s="611" t="s">
        <v>7581</v>
      </c>
      <c r="G1764" s="1413" t="s">
        <v>2504</v>
      </c>
      <c r="H1764" s="1353">
        <f t="shared" si="347"/>
        <v>0</v>
      </c>
      <c r="I1764" s="1353">
        <f t="shared" si="348"/>
        <v>0</v>
      </c>
      <c r="K1764" s="1355">
        <v>3504</v>
      </c>
      <c r="L1764" s="1355" t="s">
        <v>7582</v>
      </c>
    </row>
    <row r="1765" spans="2:13">
      <c r="B1765" s="5" t="s">
        <v>7583</v>
      </c>
      <c r="C1765" s="26" t="s">
        <v>7584</v>
      </c>
      <c r="D1765" s="1347">
        <v>0</v>
      </c>
      <c r="E1765" s="1346">
        <v>0</v>
      </c>
      <c r="F1765" s="611" t="s">
        <v>7585</v>
      </c>
      <c r="G1765" s="1413" t="s">
        <v>2504</v>
      </c>
      <c r="H1765" s="1353">
        <f t="shared" si="347"/>
        <v>0</v>
      </c>
      <c r="I1765" s="1353">
        <f t="shared" si="348"/>
        <v>0</v>
      </c>
      <c r="K1765" s="1355">
        <v>3505</v>
      </c>
      <c r="L1765" s="1355" t="s">
        <v>7586</v>
      </c>
    </row>
    <row r="1766" spans="2:13">
      <c r="B1766" s="5" t="s">
        <v>7587</v>
      </c>
      <c r="C1766" s="26" t="s">
        <v>7588</v>
      </c>
      <c r="D1766" s="1347">
        <v>0</v>
      </c>
      <c r="E1766" s="1346">
        <v>0</v>
      </c>
      <c r="F1766" s="611" t="s">
        <v>7589</v>
      </c>
      <c r="G1766" s="1413" t="s">
        <v>2504</v>
      </c>
      <c r="H1766" s="1353">
        <f t="shared" si="347"/>
        <v>0</v>
      </c>
      <c r="I1766" s="1353">
        <f t="shared" si="348"/>
        <v>0</v>
      </c>
      <c r="K1766" s="1355">
        <v>3506</v>
      </c>
      <c r="L1766" s="1355" t="s">
        <v>7590</v>
      </c>
    </row>
    <row r="1767" spans="2:13">
      <c r="B1767" s="5" t="s">
        <v>7591</v>
      </c>
      <c r="C1767" s="26" t="s">
        <v>7592</v>
      </c>
      <c r="D1767" s="1347">
        <v>0</v>
      </c>
      <c r="E1767" s="1346">
        <v>0</v>
      </c>
      <c r="F1767" s="611" t="s">
        <v>7593</v>
      </c>
      <c r="G1767" s="1413" t="s">
        <v>2504</v>
      </c>
      <c r="H1767" s="1353">
        <f t="shared" si="347"/>
        <v>0</v>
      </c>
      <c r="I1767" s="1353">
        <f t="shared" si="348"/>
        <v>0</v>
      </c>
      <c r="K1767" s="1355">
        <v>3507</v>
      </c>
      <c r="L1767" s="1355" t="s">
        <v>7594</v>
      </c>
    </row>
    <row r="1768" spans="2:13">
      <c r="B1768" s="5" t="s">
        <v>7595</v>
      </c>
      <c r="C1768" s="26" t="s">
        <v>7596</v>
      </c>
      <c r="D1768" s="1347">
        <v>0</v>
      </c>
      <c r="E1768" s="1346">
        <v>0</v>
      </c>
      <c r="F1768" s="611" t="s">
        <v>7597</v>
      </c>
      <c r="G1768" s="1413" t="s">
        <v>2504</v>
      </c>
      <c r="H1768" s="1353">
        <f t="shared" si="347"/>
        <v>0</v>
      </c>
      <c r="I1768" s="1353">
        <f t="shared" si="348"/>
        <v>0</v>
      </c>
      <c r="K1768" s="1355">
        <v>3508</v>
      </c>
      <c r="L1768" s="1355" t="s">
        <v>7598</v>
      </c>
    </row>
    <row r="1769" spans="2:13">
      <c r="B1769" s="5" t="s">
        <v>7599</v>
      </c>
      <c r="C1769" s="26" t="s">
        <v>7600</v>
      </c>
      <c r="D1769" s="1347">
        <v>0</v>
      </c>
      <c r="E1769" s="1346">
        <v>0</v>
      </c>
      <c r="F1769" s="611" t="s">
        <v>7601</v>
      </c>
      <c r="G1769" s="1413" t="s">
        <v>2504</v>
      </c>
      <c r="H1769" s="1353">
        <f t="shared" si="347"/>
        <v>0</v>
      </c>
      <c r="I1769" s="1353">
        <f t="shared" si="348"/>
        <v>0</v>
      </c>
      <c r="K1769" s="1355">
        <v>3509</v>
      </c>
      <c r="L1769" s="1355" t="s">
        <v>7602</v>
      </c>
    </row>
    <row r="1770" spans="2:13">
      <c r="B1770" s="5" t="s">
        <v>7603</v>
      </c>
      <c r="C1770" s="26" t="s">
        <v>7604</v>
      </c>
      <c r="D1770" s="1347">
        <v>0</v>
      </c>
      <c r="E1770" s="1346">
        <v>0</v>
      </c>
      <c r="F1770" s="611" t="s">
        <v>7605</v>
      </c>
      <c r="G1770" s="1413" t="s">
        <v>2504</v>
      </c>
      <c r="H1770" s="1353">
        <f t="shared" si="347"/>
        <v>0</v>
      </c>
      <c r="I1770" s="1353">
        <f t="shared" si="348"/>
        <v>0</v>
      </c>
      <c r="K1770" s="1355">
        <v>3510</v>
      </c>
      <c r="L1770" s="1355" t="s">
        <v>7606</v>
      </c>
    </row>
    <row r="1771" spans="2:13">
      <c r="B1771" s="5" t="s">
        <v>7607</v>
      </c>
      <c r="C1771" s="26" t="s">
        <v>7608</v>
      </c>
      <c r="D1771" s="1347">
        <v>0</v>
      </c>
      <c r="E1771" s="1346">
        <v>0</v>
      </c>
      <c r="F1771" s="611" t="s">
        <v>7609</v>
      </c>
      <c r="G1771" s="1413" t="s">
        <v>2504</v>
      </c>
      <c r="H1771" s="1353">
        <f t="shared" si="347"/>
        <v>0</v>
      </c>
      <c r="I1771" s="1353">
        <f t="shared" si="348"/>
        <v>0</v>
      </c>
      <c r="K1771" s="1355">
        <v>3511</v>
      </c>
      <c r="L1771" s="1355" t="s">
        <v>7610</v>
      </c>
    </row>
    <row r="1772" spans="2:13">
      <c r="B1772" s="5" t="s">
        <v>7611</v>
      </c>
      <c r="C1772" s="26" t="s">
        <v>7612</v>
      </c>
      <c r="D1772" s="1347">
        <v>0</v>
      </c>
      <c r="E1772" s="1346">
        <v>0</v>
      </c>
      <c r="F1772" s="611" t="s">
        <v>7613</v>
      </c>
      <c r="G1772" s="1413" t="s">
        <v>2504</v>
      </c>
      <c r="H1772" s="1353">
        <f t="shared" si="347"/>
        <v>0</v>
      </c>
      <c r="I1772" s="1353">
        <f t="shared" si="348"/>
        <v>0</v>
      </c>
      <c r="K1772" s="1355">
        <v>3512</v>
      </c>
      <c r="L1772" s="1355" t="s">
        <v>7614</v>
      </c>
    </row>
    <row r="1773" spans="2:13">
      <c r="B1773" s="5" t="s">
        <v>7615</v>
      </c>
      <c r="C1773" s="26" t="s">
        <v>7616</v>
      </c>
      <c r="D1773" s="1347">
        <v>0</v>
      </c>
      <c r="E1773" s="1346">
        <v>0</v>
      </c>
      <c r="F1773" s="611" t="s">
        <v>7617</v>
      </c>
      <c r="G1773" s="1413" t="s">
        <v>2504</v>
      </c>
      <c r="H1773" s="1353">
        <f t="shared" si="347"/>
        <v>0</v>
      </c>
      <c r="I1773" s="1353">
        <f t="shared" si="348"/>
        <v>0</v>
      </c>
      <c r="K1773" s="1355">
        <v>3513</v>
      </c>
      <c r="L1773" s="1355" t="s">
        <v>7618</v>
      </c>
    </row>
    <row r="1774" spans="2:13">
      <c r="B1774" s="5" t="s">
        <v>7619</v>
      </c>
      <c r="C1774" s="26" t="s">
        <v>7620</v>
      </c>
      <c r="D1774" s="1347">
        <v>0</v>
      </c>
      <c r="E1774" s="1346">
        <v>0</v>
      </c>
      <c r="F1774" s="611" t="s">
        <v>7621</v>
      </c>
      <c r="G1774" s="1413" t="s">
        <v>2504</v>
      </c>
      <c r="H1774" s="1353">
        <f>M1359-M1371</f>
        <v>0</v>
      </c>
      <c r="I1774" s="1353">
        <f>N1359-N1371</f>
        <v>0</v>
      </c>
      <c r="K1774" s="1355">
        <v>3514</v>
      </c>
      <c r="L1774" s="1355" t="s">
        <v>7622</v>
      </c>
    </row>
    <row r="1775" spans="2:13">
      <c r="B1775" s="5" t="s">
        <v>7623</v>
      </c>
      <c r="C1775" s="26" t="s">
        <v>7624</v>
      </c>
      <c r="D1775" s="1347">
        <v>0</v>
      </c>
      <c r="E1775" s="1346">
        <v>0</v>
      </c>
      <c r="F1775" s="611" t="s">
        <v>7625</v>
      </c>
      <c r="G1775" s="1413" t="s">
        <v>2504</v>
      </c>
      <c r="H1775" s="1353">
        <f>M1360-M1372</f>
        <v>0</v>
      </c>
      <c r="I1775" s="1353">
        <f>N1360-N1372</f>
        <v>0</v>
      </c>
      <c r="K1775" s="1355">
        <v>3515</v>
      </c>
      <c r="L1775" s="1355" t="s">
        <v>7626</v>
      </c>
    </row>
    <row r="1776" spans="2:13">
      <c r="B1776" s="5" t="s">
        <v>7627</v>
      </c>
      <c r="C1776" s="26" t="s">
        <v>7628</v>
      </c>
      <c r="D1776" s="1347">
        <v>0</v>
      </c>
      <c r="E1776" s="1346">
        <v>0</v>
      </c>
      <c r="F1776" s="611" t="s">
        <v>7629</v>
      </c>
      <c r="G1776" s="1413" t="s">
        <v>2504</v>
      </c>
      <c r="H1776" s="1353">
        <f>M1362-M1374</f>
        <v>0</v>
      </c>
      <c r="I1776" s="1353">
        <f>N1362-N1374</f>
        <v>0</v>
      </c>
      <c r="K1776" s="1355">
        <v>3516</v>
      </c>
      <c r="L1776" s="1355" t="s">
        <v>7630</v>
      </c>
    </row>
    <row r="1777" spans="1:12">
      <c r="B1777" s="5" t="s">
        <v>7631</v>
      </c>
      <c r="C1777" s="26" t="s">
        <v>7632</v>
      </c>
      <c r="D1777" s="1347">
        <v>13631</v>
      </c>
      <c r="E1777" s="1346">
        <v>22378</v>
      </c>
      <c r="F1777" s="611" t="s">
        <v>7633</v>
      </c>
      <c r="G1777" s="1391">
        <v>1400</v>
      </c>
      <c r="H1777" s="1353">
        <f>M1375</f>
        <v>0</v>
      </c>
      <c r="I1777" s="1353">
        <f>N1375</f>
        <v>0</v>
      </c>
      <c r="K1777" s="1355">
        <v>3517</v>
      </c>
      <c r="L1777" s="1355" t="s">
        <v>7634</v>
      </c>
    </row>
    <row r="1778" spans="1:12">
      <c r="A1778" s="611" t="s">
        <v>3263</v>
      </c>
      <c r="B1778" s="5" t="s">
        <v>7635</v>
      </c>
      <c r="C1778" s="26" t="s">
        <v>375</v>
      </c>
      <c r="D1778" s="1347">
        <v>0</v>
      </c>
      <c r="E1778" s="1346">
        <v>0</v>
      </c>
      <c r="F1778" s="611" t="s">
        <v>7636</v>
      </c>
      <c r="G1778" s="1414">
        <v>4240</v>
      </c>
      <c r="H1778" s="1353">
        <f t="shared" ref="H1778:H1796" si="349">M2325</f>
        <v>0</v>
      </c>
      <c r="I1778" s="1353">
        <f t="shared" ref="I1778:I1796" si="350">N2325</f>
        <v>0</v>
      </c>
      <c r="K1778" s="1355">
        <v>3518</v>
      </c>
      <c r="L1778" s="1355" t="s">
        <v>7637</v>
      </c>
    </row>
    <row r="1779" spans="1:12">
      <c r="B1779" s="5" t="s">
        <v>7638</v>
      </c>
      <c r="C1779" s="26" t="s">
        <v>376</v>
      </c>
      <c r="D1779" s="1347">
        <v>0</v>
      </c>
      <c r="E1779" s="1346">
        <v>0</v>
      </c>
      <c r="F1779" s="611" t="s">
        <v>7639</v>
      </c>
      <c r="G1779" s="1414">
        <v>4241</v>
      </c>
      <c r="H1779" s="1353">
        <f t="shared" si="349"/>
        <v>0</v>
      </c>
      <c r="I1779" s="1353">
        <f t="shared" si="350"/>
        <v>0</v>
      </c>
      <c r="K1779" s="1355">
        <v>3519</v>
      </c>
      <c r="L1779" s="1355" t="s">
        <v>7640</v>
      </c>
    </row>
    <row r="1780" spans="1:12">
      <c r="B1780" s="5" t="s">
        <v>7641</v>
      </c>
      <c r="C1780" s="26" t="s">
        <v>377</v>
      </c>
      <c r="D1780" s="1347">
        <v>0</v>
      </c>
      <c r="E1780" s="1346">
        <v>0</v>
      </c>
      <c r="F1780" s="611" t="s">
        <v>7642</v>
      </c>
      <c r="G1780" s="1414">
        <v>4242</v>
      </c>
      <c r="H1780" s="1353">
        <f t="shared" si="349"/>
        <v>0</v>
      </c>
      <c r="I1780" s="1353">
        <f t="shared" si="350"/>
        <v>0</v>
      </c>
      <c r="K1780" s="1355">
        <v>3520</v>
      </c>
      <c r="L1780" s="1355" t="s">
        <v>7643</v>
      </c>
    </row>
    <row r="1781" spans="1:12">
      <c r="B1781" s="5" t="s">
        <v>7644</v>
      </c>
      <c r="C1781" s="26" t="s">
        <v>378</v>
      </c>
      <c r="D1781" s="1347">
        <v>0</v>
      </c>
      <c r="E1781" s="1346">
        <v>0</v>
      </c>
      <c r="F1781" s="611" t="s">
        <v>7645</v>
      </c>
      <c r="G1781" s="1414">
        <v>4243</v>
      </c>
      <c r="H1781" s="1353">
        <f t="shared" si="349"/>
        <v>0</v>
      </c>
      <c r="I1781" s="1353">
        <f t="shared" si="350"/>
        <v>0</v>
      </c>
      <c r="K1781" s="1355">
        <v>3521</v>
      </c>
      <c r="L1781" s="1355" t="s">
        <v>7646</v>
      </c>
    </row>
    <row r="1782" spans="1:12">
      <c r="B1782" s="5" t="s">
        <v>7647</v>
      </c>
      <c r="C1782" s="26" t="s">
        <v>379</v>
      </c>
      <c r="D1782" s="1347">
        <v>0</v>
      </c>
      <c r="E1782" s="1346">
        <v>0</v>
      </c>
      <c r="F1782" s="611" t="s">
        <v>7648</v>
      </c>
      <c r="G1782" s="1414">
        <v>4244</v>
      </c>
      <c r="H1782" s="1353">
        <f t="shared" si="349"/>
        <v>0</v>
      </c>
      <c r="I1782" s="1353">
        <f t="shared" si="350"/>
        <v>0</v>
      </c>
      <c r="K1782" s="1355">
        <v>3522</v>
      </c>
      <c r="L1782" s="1355" t="s">
        <v>7649</v>
      </c>
    </row>
    <row r="1783" spans="1:12">
      <c r="B1783" s="5" t="s">
        <v>7650</v>
      </c>
      <c r="C1783" s="26" t="s">
        <v>380</v>
      </c>
      <c r="D1783" s="1347">
        <v>0</v>
      </c>
      <c r="E1783" s="1346">
        <v>0</v>
      </c>
      <c r="F1783" s="611" t="s">
        <v>7651</v>
      </c>
      <c r="G1783" s="1414">
        <v>4245</v>
      </c>
      <c r="H1783" s="1353">
        <f t="shared" si="349"/>
        <v>0</v>
      </c>
      <c r="I1783" s="1353">
        <f t="shared" si="350"/>
        <v>0</v>
      </c>
      <c r="K1783" s="1355">
        <v>3523</v>
      </c>
      <c r="L1783" s="1355" t="s">
        <v>7652</v>
      </c>
    </row>
    <row r="1784" spans="1:12">
      <c r="B1784" s="5" t="s">
        <v>7653</v>
      </c>
      <c r="C1784" s="26" t="s">
        <v>381</v>
      </c>
      <c r="D1784" s="1347">
        <v>0</v>
      </c>
      <c r="E1784" s="1346">
        <v>0</v>
      </c>
      <c r="F1784" s="611" t="s">
        <v>7654</v>
      </c>
      <c r="G1784" s="1414">
        <v>4246</v>
      </c>
      <c r="H1784" s="1353">
        <f t="shared" si="349"/>
        <v>0</v>
      </c>
      <c r="I1784" s="1353">
        <f t="shared" si="350"/>
        <v>0</v>
      </c>
      <c r="K1784" s="1355">
        <v>3524</v>
      </c>
      <c r="L1784" s="1355" t="s">
        <v>7655</v>
      </c>
    </row>
    <row r="1785" spans="1:12">
      <c r="B1785" s="5" t="s">
        <v>7656</v>
      </c>
      <c r="C1785" s="26" t="s">
        <v>382</v>
      </c>
      <c r="D1785" s="1347">
        <v>0</v>
      </c>
      <c r="E1785" s="1346">
        <v>0</v>
      </c>
      <c r="F1785" s="611" t="s">
        <v>7657</v>
      </c>
      <c r="G1785" s="1414">
        <v>4247</v>
      </c>
      <c r="H1785" s="1353">
        <f t="shared" si="349"/>
        <v>0</v>
      </c>
      <c r="I1785" s="1353">
        <f t="shared" si="350"/>
        <v>0</v>
      </c>
      <c r="K1785" s="1355">
        <v>3525</v>
      </c>
      <c r="L1785" s="1355" t="s">
        <v>7658</v>
      </c>
    </row>
    <row r="1786" spans="1:12">
      <c r="B1786" s="5" t="s">
        <v>7659</v>
      </c>
      <c r="C1786" s="26" t="s">
        <v>383</v>
      </c>
      <c r="D1786" s="1347">
        <v>0</v>
      </c>
      <c r="E1786" s="1346">
        <v>0</v>
      </c>
      <c r="F1786" s="611" t="s">
        <v>7660</v>
      </c>
      <c r="G1786" s="1414">
        <v>4248</v>
      </c>
      <c r="H1786" s="1353">
        <f t="shared" si="349"/>
        <v>0</v>
      </c>
      <c r="I1786" s="1353">
        <f t="shared" si="350"/>
        <v>0</v>
      </c>
      <c r="K1786" s="1355">
        <v>3526</v>
      </c>
      <c r="L1786" s="1355" t="s">
        <v>7661</v>
      </c>
    </row>
    <row r="1787" spans="1:12">
      <c r="B1787" s="5" t="s">
        <v>7662</v>
      </c>
      <c r="C1787" s="26" t="s">
        <v>384</v>
      </c>
      <c r="D1787" s="1347">
        <v>0</v>
      </c>
      <c r="E1787" s="1346">
        <v>0</v>
      </c>
      <c r="F1787" s="611" t="s">
        <v>7663</v>
      </c>
      <c r="G1787" s="1414">
        <v>4249</v>
      </c>
      <c r="H1787" s="1353">
        <f t="shared" si="349"/>
        <v>0</v>
      </c>
      <c r="I1787" s="1353">
        <f t="shared" si="350"/>
        <v>0</v>
      </c>
      <c r="K1787" s="1355">
        <v>3527</v>
      </c>
      <c r="L1787" s="1355" t="s">
        <v>7664</v>
      </c>
    </row>
    <row r="1788" spans="1:12">
      <c r="B1788" s="5" t="s">
        <v>7665</v>
      </c>
      <c r="C1788" s="26" t="s">
        <v>385</v>
      </c>
      <c r="D1788" s="1347">
        <v>0</v>
      </c>
      <c r="E1788" s="1346">
        <v>0</v>
      </c>
      <c r="F1788" s="611" t="s">
        <v>7666</v>
      </c>
      <c r="G1788" s="1414">
        <v>4250</v>
      </c>
      <c r="H1788" s="1353">
        <f t="shared" si="349"/>
        <v>0</v>
      </c>
      <c r="I1788" s="1353">
        <f t="shared" si="350"/>
        <v>0</v>
      </c>
      <c r="K1788" s="1355">
        <v>3528</v>
      </c>
      <c r="L1788" s="1355" t="s">
        <v>7667</v>
      </c>
    </row>
    <row r="1789" spans="1:12">
      <c r="B1789" s="5" t="s">
        <v>7668</v>
      </c>
      <c r="C1789" s="26" t="s">
        <v>386</v>
      </c>
      <c r="D1789" s="1347">
        <v>0</v>
      </c>
      <c r="E1789" s="1346">
        <v>0</v>
      </c>
      <c r="F1789" s="611" t="s">
        <v>7669</v>
      </c>
      <c r="G1789" s="1414">
        <v>4251</v>
      </c>
      <c r="H1789" s="1353">
        <f t="shared" si="349"/>
        <v>0</v>
      </c>
      <c r="I1789" s="1353">
        <f t="shared" si="350"/>
        <v>0</v>
      </c>
      <c r="K1789" s="1355">
        <v>3529</v>
      </c>
      <c r="L1789" s="1355" t="s">
        <v>7670</v>
      </c>
    </row>
    <row r="1790" spans="1:12">
      <c r="B1790" s="5" t="s">
        <v>7671</v>
      </c>
      <c r="C1790" s="26" t="s">
        <v>387</v>
      </c>
      <c r="D1790" s="1347">
        <v>0</v>
      </c>
      <c r="E1790" s="1346">
        <v>0</v>
      </c>
      <c r="F1790" s="611" t="s">
        <v>7672</v>
      </c>
      <c r="G1790" s="1414">
        <v>4252</v>
      </c>
      <c r="H1790" s="1353">
        <f t="shared" si="349"/>
        <v>0</v>
      </c>
      <c r="I1790" s="1353">
        <f t="shared" si="350"/>
        <v>0</v>
      </c>
      <c r="K1790" s="1355">
        <v>3530</v>
      </c>
      <c r="L1790" s="1355" t="s">
        <v>7673</v>
      </c>
    </row>
    <row r="1791" spans="1:12">
      <c r="B1791" s="5" t="s">
        <v>7674</v>
      </c>
      <c r="C1791" s="26" t="s">
        <v>388</v>
      </c>
      <c r="D1791" s="1347">
        <v>0</v>
      </c>
      <c r="E1791" s="1346">
        <v>0</v>
      </c>
      <c r="F1791" s="611" t="s">
        <v>7675</v>
      </c>
      <c r="G1791" s="1414">
        <v>4253</v>
      </c>
      <c r="H1791" s="1353">
        <f t="shared" si="349"/>
        <v>0</v>
      </c>
      <c r="I1791" s="1353">
        <f t="shared" si="350"/>
        <v>0</v>
      </c>
      <c r="K1791" s="1355">
        <v>3531</v>
      </c>
      <c r="L1791" s="1355" t="s">
        <v>7676</v>
      </c>
    </row>
    <row r="1792" spans="1:12">
      <c r="B1792" s="5" t="s">
        <v>7677</v>
      </c>
      <c r="C1792" s="26" t="s">
        <v>389</v>
      </c>
      <c r="D1792" s="1347">
        <v>0</v>
      </c>
      <c r="E1792" s="1346">
        <v>0</v>
      </c>
      <c r="F1792" s="611" t="s">
        <v>7678</v>
      </c>
      <c r="G1792" s="1414">
        <v>4254</v>
      </c>
      <c r="H1792" s="1353">
        <f t="shared" si="349"/>
        <v>0</v>
      </c>
      <c r="I1792" s="1353">
        <f t="shared" si="350"/>
        <v>0</v>
      </c>
      <c r="K1792" s="1355">
        <v>3532</v>
      </c>
      <c r="L1792" s="1355" t="s">
        <v>7679</v>
      </c>
    </row>
    <row r="1793" spans="2:12">
      <c r="B1793" s="5" t="s">
        <v>7680</v>
      </c>
      <c r="C1793" s="26" t="s">
        <v>390</v>
      </c>
      <c r="D1793" s="1347">
        <v>0</v>
      </c>
      <c r="E1793" s="1346">
        <v>0</v>
      </c>
      <c r="F1793" s="611" t="s">
        <v>7681</v>
      </c>
      <c r="G1793" s="1414">
        <v>4255</v>
      </c>
      <c r="H1793" s="1353">
        <f t="shared" si="349"/>
        <v>0</v>
      </c>
      <c r="I1793" s="1353">
        <f t="shared" si="350"/>
        <v>0</v>
      </c>
      <c r="K1793" s="1355">
        <v>3533</v>
      </c>
      <c r="L1793" s="1355" t="s">
        <v>7682</v>
      </c>
    </row>
    <row r="1794" spans="2:12">
      <c r="B1794" s="5" t="s">
        <v>7683</v>
      </c>
      <c r="C1794" s="26" t="s">
        <v>391</v>
      </c>
      <c r="D1794" s="1347">
        <v>0</v>
      </c>
      <c r="E1794" s="1346">
        <v>0</v>
      </c>
      <c r="F1794" s="611" t="s">
        <v>7684</v>
      </c>
      <c r="G1794" s="1414">
        <v>4256</v>
      </c>
      <c r="H1794" s="1353">
        <f t="shared" si="349"/>
        <v>0</v>
      </c>
      <c r="I1794" s="1353">
        <f t="shared" si="350"/>
        <v>0</v>
      </c>
      <c r="K1794" s="1355">
        <v>3534</v>
      </c>
      <c r="L1794" s="1355" t="s">
        <v>7685</v>
      </c>
    </row>
    <row r="1795" spans="2:12">
      <c r="B1795" s="5" t="s">
        <v>7686</v>
      </c>
      <c r="C1795" s="26" t="s">
        <v>392</v>
      </c>
      <c r="D1795" s="1347">
        <v>0</v>
      </c>
      <c r="E1795" s="1346">
        <v>0</v>
      </c>
      <c r="F1795" s="611" t="s">
        <v>7687</v>
      </c>
      <c r="G1795" s="1414">
        <v>4257</v>
      </c>
      <c r="H1795" s="1353">
        <f t="shared" si="349"/>
        <v>0</v>
      </c>
      <c r="I1795" s="1353">
        <f t="shared" si="350"/>
        <v>0</v>
      </c>
      <c r="K1795" s="1355">
        <v>3535</v>
      </c>
      <c r="L1795" s="1355" t="s">
        <v>7688</v>
      </c>
    </row>
    <row r="1796" spans="2:12">
      <c r="B1796" s="5" t="s">
        <v>7689</v>
      </c>
      <c r="C1796" s="26" t="s">
        <v>393</v>
      </c>
      <c r="D1796" s="1347">
        <v>0</v>
      </c>
      <c r="E1796" s="1346">
        <v>0</v>
      </c>
      <c r="F1796" s="611" t="s">
        <v>7690</v>
      </c>
      <c r="G1796" s="1414">
        <v>4258</v>
      </c>
      <c r="H1796" s="1353">
        <f t="shared" si="349"/>
        <v>0</v>
      </c>
      <c r="I1796" s="1353">
        <f t="shared" si="350"/>
        <v>0</v>
      </c>
      <c r="K1796" s="1355">
        <v>3536</v>
      </c>
      <c r="L1796" s="1355" t="s">
        <v>7691</v>
      </c>
    </row>
    <row r="1797" spans="2:12">
      <c r="B1797" s="5" t="s">
        <v>7692</v>
      </c>
      <c r="C1797" s="26" t="s">
        <v>7693</v>
      </c>
      <c r="D1797" s="1347">
        <v>0</v>
      </c>
      <c r="E1797" s="1346">
        <v>0</v>
      </c>
      <c r="F1797" s="611" t="s">
        <v>7694</v>
      </c>
      <c r="G1797" s="1408">
        <v>1403</v>
      </c>
      <c r="H1797" s="1353">
        <f>M1378</f>
        <v>0</v>
      </c>
      <c r="I1797" s="1353">
        <f>N1378</f>
        <v>0</v>
      </c>
      <c r="K1797" s="1355">
        <v>3537</v>
      </c>
      <c r="L1797" s="1355" t="s">
        <v>7695</v>
      </c>
    </row>
    <row r="1798" spans="2:12">
      <c r="B1798" s="5" t="s">
        <v>7696</v>
      </c>
      <c r="C1798" s="26" t="s">
        <v>395</v>
      </c>
      <c r="D1798" s="1347">
        <v>0</v>
      </c>
      <c r="E1798" s="1346">
        <v>0</v>
      </c>
      <c r="F1798" s="611" t="s">
        <v>7697</v>
      </c>
      <c r="G1798" s="1408">
        <v>1404</v>
      </c>
      <c r="H1798" s="1353">
        <f>M1379</f>
        <v>0</v>
      </c>
      <c r="I1798" s="1353">
        <f>N1379</f>
        <v>0</v>
      </c>
      <c r="K1798" s="1355">
        <v>3538</v>
      </c>
      <c r="L1798" s="1355" t="s">
        <v>7698</v>
      </c>
    </row>
    <row r="1799" spans="2:12">
      <c r="B1799" s="5" t="s">
        <v>7699</v>
      </c>
      <c r="C1799" s="26" t="s">
        <v>396</v>
      </c>
      <c r="D1799" s="1347">
        <v>0</v>
      </c>
      <c r="E1799" s="1346">
        <v>0</v>
      </c>
      <c r="F1799" s="611" t="s">
        <v>7700</v>
      </c>
      <c r="G1799" s="1414">
        <v>4259</v>
      </c>
      <c r="H1799" s="1353">
        <f t="shared" ref="H1799:H1801" si="351">M2344</f>
        <v>0</v>
      </c>
      <c r="I1799" s="1353">
        <f t="shared" ref="I1799:I1801" si="352">N2344</f>
        <v>0</v>
      </c>
      <c r="K1799" s="1355">
        <v>3539</v>
      </c>
      <c r="L1799" s="1355" t="s">
        <v>7701</v>
      </c>
    </row>
    <row r="1800" spans="2:12">
      <c r="B1800" s="5" t="s">
        <v>7702</v>
      </c>
      <c r="C1800" s="26" t="s">
        <v>397</v>
      </c>
      <c r="D1800" s="1347">
        <v>0</v>
      </c>
      <c r="E1800" s="1346">
        <v>0</v>
      </c>
      <c r="F1800" s="611" t="s">
        <v>7703</v>
      </c>
      <c r="G1800" s="1414">
        <v>4260</v>
      </c>
      <c r="H1800" s="1353">
        <f t="shared" si="351"/>
        <v>0</v>
      </c>
      <c r="I1800" s="1353">
        <f t="shared" si="352"/>
        <v>0</v>
      </c>
      <c r="K1800" s="1355">
        <v>3540</v>
      </c>
      <c r="L1800" s="1355" t="s">
        <v>7704</v>
      </c>
    </row>
    <row r="1801" spans="2:12">
      <c r="B1801" s="5" t="s">
        <v>7705</v>
      </c>
      <c r="C1801" s="26" t="s">
        <v>398</v>
      </c>
      <c r="D1801" s="1347">
        <v>547993</v>
      </c>
      <c r="E1801" s="1346">
        <v>2486616</v>
      </c>
      <c r="F1801" s="611" t="s">
        <v>7706</v>
      </c>
      <c r="G1801" s="1414">
        <v>4261</v>
      </c>
      <c r="H1801" s="1353">
        <f t="shared" si="351"/>
        <v>0</v>
      </c>
      <c r="I1801" s="1353">
        <f t="shared" si="352"/>
        <v>0</v>
      </c>
      <c r="K1801" s="1355">
        <v>3541</v>
      </c>
      <c r="L1801" s="1355" t="s">
        <v>7707</v>
      </c>
    </row>
    <row r="1802" spans="2:12">
      <c r="B1802" s="5" t="s">
        <v>7708</v>
      </c>
      <c r="C1802" s="26" t="s">
        <v>399</v>
      </c>
      <c r="D1802" s="1347">
        <v>0</v>
      </c>
      <c r="E1802" s="1346">
        <v>0</v>
      </c>
      <c r="F1802" s="611" t="s">
        <v>7709</v>
      </c>
      <c r="G1802" s="1414">
        <v>4262</v>
      </c>
      <c r="H1802" s="1353">
        <f t="shared" ref="H1802:H1814" si="353">M2347</f>
        <v>0</v>
      </c>
      <c r="I1802" s="1353">
        <f t="shared" ref="I1802:I1814" si="354">N2347</f>
        <v>0</v>
      </c>
      <c r="K1802" s="1355">
        <v>3542</v>
      </c>
      <c r="L1802" s="1355" t="s">
        <v>7710</v>
      </c>
    </row>
    <row r="1803" spans="2:12">
      <c r="B1803" s="5" t="s">
        <v>7711</v>
      </c>
      <c r="C1803" s="26" t="s">
        <v>400</v>
      </c>
      <c r="D1803" s="1347">
        <v>0</v>
      </c>
      <c r="E1803" s="1346">
        <v>0</v>
      </c>
      <c r="F1803" s="611" t="s">
        <v>7712</v>
      </c>
      <c r="G1803" s="1414">
        <v>4263</v>
      </c>
      <c r="H1803" s="1353">
        <f t="shared" si="353"/>
        <v>0</v>
      </c>
      <c r="I1803" s="1353">
        <f t="shared" si="354"/>
        <v>0</v>
      </c>
      <c r="K1803" s="1355">
        <v>3543</v>
      </c>
      <c r="L1803" s="1355" t="s">
        <v>7713</v>
      </c>
    </row>
    <row r="1804" spans="2:12">
      <c r="B1804" s="5" t="s">
        <v>7714</v>
      </c>
      <c r="C1804" s="26" t="s">
        <v>401</v>
      </c>
      <c r="D1804" s="1347">
        <v>0</v>
      </c>
      <c r="E1804" s="1346">
        <v>0</v>
      </c>
      <c r="F1804" s="611" t="s">
        <v>7715</v>
      </c>
      <c r="G1804" s="1414">
        <v>4264</v>
      </c>
      <c r="H1804" s="1353">
        <f t="shared" si="353"/>
        <v>0</v>
      </c>
      <c r="I1804" s="1353">
        <f t="shared" si="354"/>
        <v>0</v>
      </c>
      <c r="K1804" s="1355">
        <v>3544</v>
      </c>
      <c r="L1804" s="1355" t="s">
        <v>7716</v>
      </c>
    </row>
    <row r="1805" spans="2:12">
      <c r="B1805" s="5" t="s">
        <v>7717</v>
      </c>
      <c r="C1805" s="26" t="s">
        <v>402</v>
      </c>
      <c r="D1805" s="1347">
        <v>0</v>
      </c>
      <c r="E1805" s="1346">
        <v>0</v>
      </c>
      <c r="F1805" s="611" t="s">
        <v>7718</v>
      </c>
      <c r="G1805" s="1414">
        <v>4265</v>
      </c>
      <c r="H1805" s="1353">
        <f t="shared" si="353"/>
        <v>0</v>
      </c>
      <c r="I1805" s="1353">
        <f t="shared" si="354"/>
        <v>0</v>
      </c>
      <c r="K1805" s="1355">
        <v>3545</v>
      </c>
      <c r="L1805" s="1355" t="s">
        <v>7719</v>
      </c>
    </row>
    <row r="1806" spans="2:12">
      <c r="B1806" s="5" t="s">
        <v>7720</v>
      </c>
      <c r="C1806" s="26" t="s">
        <v>403</v>
      </c>
      <c r="D1806" s="1347">
        <v>52454</v>
      </c>
      <c r="E1806" s="1346">
        <v>606276</v>
      </c>
      <c r="F1806" s="611" t="s">
        <v>7721</v>
      </c>
      <c r="G1806" s="1414">
        <v>4266</v>
      </c>
      <c r="H1806" s="1353">
        <f t="shared" si="353"/>
        <v>0</v>
      </c>
      <c r="I1806" s="1353">
        <f t="shared" si="354"/>
        <v>0</v>
      </c>
      <c r="K1806" s="1355">
        <v>3546</v>
      </c>
      <c r="L1806" s="1355" t="s">
        <v>7722</v>
      </c>
    </row>
    <row r="1807" spans="2:12">
      <c r="B1807" s="5" t="s">
        <v>7723</v>
      </c>
      <c r="C1807" s="26" t="s">
        <v>404</v>
      </c>
      <c r="D1807" s="1347">
        <v>61769</v>
      </c>
      <c r="E1807" s="1346">
        <v>456636</v>
      </c>
      <c r="F1807" s="611" t="s">
        <v>7724</v>
      </c>
      <c r="G1807" s="1414">
        <v>4267</v>
      </c>
      <c r="H1807" s="1353">
        <f t="shared" si="353"/>
        <v>0</v>
      </c>
      <c r="I1807" s="1353">
        <f t="shared" si="354"/>
        <v>0</v>
      </c>
      <c r="K1807" s="1355">
        <v>3547</v>
      </c>
      <c r="L1807" s="1355" t="s">
        <v>7725</v>
      </c>
    </row>
    <row r="1808" spans="2:12">
      <c r="B1808" s="5" t="s">
        <v>7726</v>
      </c>
      <c r="C1808" s="26" t="s">
        <v>405</v>
      </c>
      <c r="D1808" s="1347">
        <v>0</v>
      </c>
      <c r="E1808" s="1346">
        <v>341001</v>
      </c>
      <c r="F1808" s="611" t="s">
        <v>7727</v>
      </c>
      <c r="G1808" s="1414">
        <v>4268</v>
      </c>
      <c r="H1808" s="1353">
        <f t="shared" si="353"/>
        <v>0</v>
      </c>
      <c r="I1808" s="1353">
        <f t="shared" si="354"/>
        <v>0</v>
      </c>
      <c r="K1808" s="1355">
        <v>3548</v>
      </c>
      <c r="L1808" s="1355" t="s">
        <v>7728</v>
      </c>
    </row>
    <row r="1809" spans="2:12">
      <c r="B1809" s="5" t="s">
        <v>7729</v>
      </c>
      <c r="C1809" s="26" t="s">
        <v>406</v>
      </c>
      <c r="D1809" s="1347">
        <v>0</v>
      </c>
      <c r="E1809" s="1346">
        <v>0</v>
      </c>
      <c r="F1809" s="611" t="s">
        <v>7730</v>
      </c>
      <c r="G1809" s="1414">
        <v>4269</v>
      </c>
      <c r="H1809" s="1353">
        <f t="shared" si="353"/>
        <v>0</v>
      </c>
      <c r="I1809" s="1353">
        <f t="shared" si="354"/>
        <v>0</v>
      </c>
      <c r="K1809" s="1355">
        <v>3549</v>
      </c>
      <c r="L1809" s="1355" t="s">
        <v>7731</v>
      </c>
    </row>
    <row r="1810" spans="2:12">
      <c r="B1810" s="5" t="s">
        <v>7732</v>
      </c>
      <c r="C1810" s="26" t="s">
        <v>407</v>
      </c>
      <c r="D1810" s="1347">
        <v>0</v>
      </c>
      <c r="E1810" s="1346">
        <v>0</v>
      </c>
      <c r="F1810" s="611" t="s">
        <v>7733</v>
      </c>
      <c r="G1810" s="1414">
        <v>4270</v>
      </c>
      <c r="H1810" s="1353">
        <f t="shared" si="353"/>
        <v>0</v>
      </c>
      <c r="I1810" s="1353">
        <f t="shared" si="354"/>
        <v>0</v>
      </c>
      <c r="K1810" s="1355">
        <v>3550</v>
      </c>
      <c r="L1810" s="1355" t="s">
        <v>7734</v>
      </c>
    </row>
    <row r="1811" spans="2:12">
      <c r="B1811" s="5" t="s">
        <v>7735</v>
      </c>
      <c r="C1811" s="26" t="s">
        <v>408</v>
      </c>
      <c r="D1811" s="1347">
        <v>0</v>
      </c>
      <c r="E1811" s="1346">
        <v>0</v>
      </c>
      <c r="F1811" s="611" t="s">
        <v>7736</v>
      </c>
      <c r="G1811" s="1414">
        <v>4271</v>
      </c>
      <c r="H1811" s="1353">
        <f t="shared" si="353"/>
        <v>0</v>
      </c>
      <c r="I1811" s="1353">
        <f t="shared" si="354"/>
        <v>0</v>
      </c>
      <c r="K1811" s="1355">
        <v>3551</v>
      </c>
      <c r="L1811" s="1355" t="s">
        <v>7737</v>
      </c>
    </row>
    <row r="1812" spans="2:12">
      <c r="B1812" s="5" t="s">
        <v>7738</v>
      </c>
      <c r="C1812" s="26" t="s">
        <v>409</v>
      </c>
      <c r="D1812" s="1347">
        <v>0</v>
      </c>
      <c r="E1812" s="1346">
        <v>0</v>
      </c>
      <c r="F1812" s="611" t="s">
        <v>7739</v>
      </c>
      <c r="G1812" s="1414">
        <v>4272</v>
      </c>
      <c r="H1812" s="1353">
        <f t="shared" si="353"/>
        <v>0</v>
      </c>
      <c r="I1812" s="1353">
        <f t="shared" si="354"/>
        <v>0</v>
      </c>
      <c r="K1812" s="1355">
        <v>3552</v>
      </c>
      <c r="L1812" s="1355" t="s">
        <v>7740</v>
      </c>
    </row>
    <row r="1813" spans="2:12">
      <c r="B1813" s="5" t="s">
        <v>7741</v>
      </c>
      <c r="C1813" s="26" t="s">
        <v>410</v>
      </c>
      <c r="D1813" s="1347">
        <v>0</v>
      </c>
      <c r="E1813" s="1346">
        <v>0</v>
      </c>
      <c r="F1813" s="611" t="s">
        <v>7742</v>
      </c>
      <c r="G1813" s="1414">
        <v>4273</v>
      </c>
      <c r="H1813" s="1353">
        <f t="shared" si="353"/>
        <v>0</v>
      </c>
      <c r="I1813" s="1353">
        <f t="shared" si="354"/>
        <v>0</v>
      </c>
      <c r="K1813" s="1355">
        <v>3553</v>
      </c>
      <c r="L1813" s="1355" t="s">
        <v>7743</v>
      </c>
    </row>
    <row r="1814" spans="2:12">
      <c r="B1814" s="5" t="s">
        <v>7744</v>
      </c>
      <c r="C1814" s="26" t="s">
        <v>411</v>
      </c>
      <c r="D1814" s="1347">
        <v>0</v>
      </c>
      <c r="E1814" s="1346">
        <v>0</v>
      </c>
      <c r="F1814" s="611" t="s">
        <v>7745</v>
      </c>
      <c r="G1814" s="1414">
        <v>4274</v>
      </c>
      <c r="H1814" s="1353">
        <f t="shared" si="353"/>
        <v>0</v>
      </c>
      <c r="I1814" s="1353">
        <f t="shared" si="354"/>
        <v>0</v>
      </c>
      <c r="K1814" s="1355">
        <v>3554</v>
      </c>
      <c r="L1814" s="1355" t="s">
        <v>7746</v>
      </c>
    </row>
    <row r="1815" spans="2:12">
      <c r="B1815" s="5" t="s">
        <v>7747</v>
      </c>
      <c r="C1815" s="26" t="s">
        <v>7748</v>
      </c>
      <c r="D1815" s="1347">
        <v>0</v>
      </c>
      <c r="E1815" s="1346">
        <v>0</v>
      </c>
      <c r="F1815" s="611" t="s">
        <v>7749</v>
      </c>
      <c r="G1815" s="1408">
        <v>1408</v>
      </c>
      <c r="H1815" s="1353">
        <f>M1383</f>
        <v>0</v>
      </c>
      <c r="I1815" s="1353">
        <f>N1383</f>
        <v>0</v>
      </c>
      <c r="K1815" s="1355">
        <v>3555</v>
      </c>
      <c r="L1815" s="1355" t="s">
        <v>7750</v>
      </c>
    </row>
    <row r="1816" spans="2:12">
      <c r="B1816" s="5" t="s">
        <v>7751</v>
      </c>
      <c r="C1816" s="26" t="s">
        <v>413</v>
      </c>
      <c r="D1816" s="1347">
        <v>0</v>
      </c>
      <c r="E1816" s="1346">
        <v>0</v>
      </c>
      <c r="F1816" s="611" t="s">
        <v>7752</v>
      </c>
      <c r="G1816" s="1408">
        <v>1409</v>
      </c>
      <c r="H1816" s="1353">
        <f>M1384</f>
        <v>0</v>
      </c>
      <c r="I1816" s="1353">
        <f>N1384</f>
        <v>0</v>
      </c>
      <c r="K1816" s="1355">
        <v>3556</v>
      </c>
      <c r="L1816" s="1355" t="s">
        <v>7753</v>
      </c>
    </row>
    <row r="1817" spans="2:12">
      <c r="B1817" s="5" t="s">
        <v>7754</v>
      </c>
      <c r="C1817" s="26" t="s">
        <v>414</v>
      </c>
      <c r="D1817" s="1347">
        <v>0</v>
      </c>
      <c r="E1817" s="1346">
        <v>0</v>
      </c>
      <c r="F1817" s="611" t="s">
        <v>7755</v>
      </c>
      <c r="G1817" s="1408">
        <v>1411</v>
      </c>
      <c r="H1817" s="1353">
        <f>M1386</f>
        <v>0</v>
      </c>
      <c r="I1817" s="1353">
        <f>N1386</f>
        <v>0</v>
      </c>
      <c r="K1817" s="1355">
        <v>3557</v>
      </c>
      <c r="L1817" s="1355" t="s">
        <v>7756</v>
      </c>
    </row>
    <row r="1818" spans="2:12">
      <c r="B1818" s="5" t="s">
        <v>7757</v>
      </c>
      <c r="C1818" s="26" t="s">
        <v>7758</v>
      </c>
      <c r="D1818" s="1347">
        <v>0</v>
      </c>
      <c r="E1818" s="1346">
        <v>0</v>
      </c>
      <c r="F1818" s="611" t="s">
        <v>7759</v>
      </c>
      <c r="G1818" s="1413" t="s">
        <v>2504</v>
      </c>
      <c r="H1818" s="1353">
        <f t="shared" ref="H1818:H1836" si="355">M2325-M2360</f>
        <v>0</v>
      </c>
      <c r="I1818" s="1353">
        <f t="shared" ref="I1818:I1836" si="356">N2325-N2360</f>
        <v>0</v>
      </c>
      <c r="K1818" s="1355">
        <v>3558</v>
      </c>
      <c r="L1818" s="1355" t="s">
        <v>7760</v>
      </c>
    </row>
    <row r="1819" spans="2:12">
      <c r="B1819" s="5" t="s">
        <v>7761</v>
      </c>
      <c r="C1819" s="26" t="s">
        <v>7762</v>
      </c>
      <c r="D1819" s="1347">
        <v>0</v>
      </c>
      <c r="E1819" s="1346">
        <v>0</v>
      </c>
      <c r="F1819" s="611" t="s">
        <v>7763</v>
      </c>
      <c r="G1819" s="1413" t="s">
        <v>2504</v>
      </c>
      <c r="H1819" s="1353">
        <f t="shared" si="355"/>
        <v>0</v>
      </c>
      <c r="I1819" s="1353">
        <f t="shared" si="356"/>
        <v>0</v>
      </c>
      <c r="K1819" s="1355">
        <v>3559</v>
      </c>
      <c r="L1819" s="1355" t="s">
        <v>7764</v>
      </c>
    </row>
    <row r="1820" spans="2:12">
      <c r="B1820" s="5" t="s">
        <v>7765</v>
      </c>
      <c r="C1820" s="26" t="s">
        <v>7766</v>
      </c>
      <c r="D1820" s="1347">
        <v>0</v>
      </c>
      <c r="E1820" s="1346">
        <v>0</v>
      </c>
      <c r="F1820" s="611" t="s">
        <v>7767</v>
      </c>
      <c r="G1820" s="1413" t="s">
        <v>2504</v>
      </c>
      <c r="H1820" s="1353">
        <f t="shared" si="355"/>
        <v>0</v>
      </c>
      <c r="I1820" s="1353">
        <f t="shared" si="356"/>
        <v>0</v>
      </c>
      <c r="K1820" s="1355">
        <v>3560</v>
      </c>
      <c r="L1820" s="1355" t="s">
        <v>7768</v>
      </c>
    </row>
    <row r="1821" spans="2:12">
      <c r="B1821" s="5" t="s">
        <v>7769</v>
      </c>
      <c r="C1821" s="26" t="s">
        <v>7770</v>
      </c>
      <c r="D1821" s="1347">
        <v>0</v>
      </c>
      <c r="E1821" s="1346">
        <v>0</v>
      </c>
      <c r="F1821" s="611" t="s">
        <v>7771</v>
      </c>
      <c r="G1821" s="1413" t="s">
        <v>2504</v>
      </c>
      <c r="H1821" s="1353">
        <f t="shared" si="355"/>
        <v>0</v>
      </c>
      <c r="I1821" s="1353">
        <f t="shared" si="356"/>
        <v>0</v>
      </c>
      <c r="K1821" s="1355">
        <v>3561</v>
      </c>
      <c r="L1821" s="1355" t="s">
        <v>7772</v>
      </c>
    </row>
    <row r="1822" spans="2:12">
      <c r="B1822" s="5" t="s">
        <v>7773</v>
      </c>
      <c r="C1822" s="26" t="s">
        <v>7774</v>
      </c>
      <c r="D1822" s="1347">
        <v>0</v>
      </c>
      <c r="E1822" s="1346">
        <v>0</v>
      </c>
      <c r="F1822" s="611" t="s">
        <v>7775</v>
      </c>
      <c r="G1822" s="1413" t="s">
        <v>2504</v>
      </c>
      <c r="H1822" s="1353">
        <f t="shared" si="355"/>
        <v>0</v>
      </c>
      <c r="I1822" s="1353">
        <f t="shared" si="356"/>
        <v>0</v>
      </c>
      <c r="K1822" s="1355">
        <v>3562</v>
      </c>
      <c r="L1822" s="1355" t="s">
        <v>7776</v>
      </c>
    </row>
    <row r="1823" spans="2:12">
      <c r="B1823" s="5" t="s">
        <v>7777</v>
      </c>
      <c r="C1823" s="26" t="s">
        <v>7778</v>
      </c>
      <c r="D1823" s="1347">
        <v>0</v>
      </c>
      <c r="E1823" s="1346">
        <v>0</v>
      </c>
      <c r="F1823" s="611" t="s">
        <v>7779</v>
      </c>
      <c r="G1823" s="1413" t="s">
        <v>2504</v>
      </c>
      <c r="H1823" s="1353">
        <f t="shared" si="355"/>
        <v>0</v>
      </c>
      <c r="I1823" s="1353">
        <f t="shared" si="356"/>
        <v>0</v>
      </c>
      <c r="K1823" s="1355">
        <v>3563</v>
      </c>
      <c r="L1823" s="1355" t="s">
        <v>7780</v>
      </c>
    </row>
    <row r="1824" spans="2:12">
      <c r="B1824" s="5" t="s">
        <v>7781</v>
      </c>
      <c r="C1824" s="26" t="s">
        <v>7782</v>
      </c>
      <c r="D1824" s="1347">
        <v>0</v>
      </c>
      <c r="E1824" s="1346">
        <v>0</v>
      </c>
      <c r="F1824" s="611" t="s">
        <v>7783</v>
      </c>
      <c r="G1824" s="1413" t="s">
        <v>2504</v>
      </c>
      <c r="H1824" s="1353">
        <f t="shared" si="355"/>
        <v>0</v>
      </c>
      <c r="I1824" s="1353">
        <f t="shared" si="356"/>
        <v>0</v>
      </c>
      <c r="K1824" s="1355">
        <v>3564</v>
      </c>
      <c r="L1824" s="1355" t="s">
        <v>7784</v>
      </c>
    </row>
    <row r="1825" spans="2:12">
      <c r="B1825" s="5" t="s">
        <v>7785</v>
      </c>
      <c r="C1825" s="26" t="s">
        <v>7786</v>
      </c>
      <c r="D1825" s="1347">
        <v>0</v>
      </c>
      <c r="E1825" s="1346">
        <v>0</v>
      </c>
      <c r="F1825" s="611" t="s">
        <v>7787</v>
      </c>
      <c r="G1825" s="1413" t="s">
        <v>2504</v>
      </c>
      <c r="H1825" s="1353">
        <f t="shared" si="355"/>
        <v>0</v>
      </c>
      <c r="I1825" s="1353">
        <f t="shared" si="356"/>
        <v>0</v>
      </c>
      <c r="K1825" s="1355">
        <v>3565</v>
      </c>
      <c r="L1825" s="1355" t="s">
        <v>7788</v>
      </c>
    </row>
    <row r="1826" spans="2:12">
      <c r="B1826" s="5" t="s">
        <v>7789</v>
      </c>
      <c r="C1826" s="26" t="s">
        <v>7790</v>
      </c>
      <c r="D1826" s="1347">
        <v>0</v>
      </c>
      <c r="E1826" s="1346">
        <v>0</v>
      </c>
      <c r="F1826" s="611" t="s">
        <v>7791</v>
      </c>
      <c r="G1826" s="1413" t="s">
        <v>2504</v>
      </c>
      <c r="H1826" s="1353">
        <f t="shared" si="355"/>
        <v>0</v>
      </c>
      <c r="I1826" s="1353">
        <f t="shared" si="356"/>
        <v>0</v>
      </c>
      <c r="K1826" s="1355">
        <v>3566</v>
      </c>
      <c r="L1826" s="1355" t="s">
        <v>7792</v>
      </c>
    </row>
    <row r="1827" spans="2:12">
      <c r="B1827" s="5" t="s">
        <v>7793</v>
      </c>
      <c r="C1827" s="26" t="s">
        <v>7794</v>
      </c>
      <c r="D1827" s="1347">
        <v>0</v>
      </c>
      <c r="E1827" s="1346">
        <v>0</v>
      </c>
      <c r="F1827" s="611" t="s">
        <v>7795</v>
      </c>
      <c r="G1827" s="1413" t="s">
        <v>2504</v>
      </c>
      <c r="H1827" s="1353">
        <f t="shared" si="355"/>
        <v>0</v>
      </c>
      <c r="I1827" s="1353">
        <f t="shared" si="356"/>
        <v>0</v>
      </c>
      <c r="K1827" s="1355">
        <v>3567</v>
      </c>
      <c r="L1827" s="1355" t="s">
        <v>7796</v>
      </c>
    </row>
    <row r="1828" spans="2:12">
      <c r="B1828" s="5" t="s">
        <v>7797</v>
      </c>
      <c r="C1828" s="26" t="s">
        <v>7798</v>
      </c>
      <c r="D1828" s="1347">
        <v>0</v>
      </c>
      <c r="E1828" s="1346">
        <v>0</v>
      </c>
      <c r="F1828" s="611" t="s">
        <v>7799</v>
      </c>
      <c r="G1828" s="1413" t="s">
        <v>2504</v>
      </c>
      <c r="H1828" s="1353">
        <f t="shared" si="355"/>
        <v>0</v>
      </c>
      <c r="I1828" s="1353">
        <f t="shared" si="356"/>
        <v>0</v>
      </c>
      <c r="K1828" s="1355">
        <v>3568</v>
      </c>
      <c r="L1828" s="1355" t="s">
        <v>7800</v>
      </c>
    </row>
    <row r="1829" spans="2:12">
      <c r="B1829" s="5" t="s">
        <v>7801</v>
      </c>
      <c r="C1829" s="26" t="s">
        <v>7802</v>
      </c>
      <c r="D1829" s="1347">
        <v>0</v>
      </c>
      <c r="E1829" s="1346">
        <v>0</v>
      </c>
      <c r="F1829" s="611" t="s">
        <v>7803</v>
      </c>
      <c r="G1829" s="1413" t="s">
        <v>2504</v>
      </c>
      <c r="H1829" s="1353">
        <f t="shared" si="355"/>
        <v>0</v>
      </c>
      <c r="I1829" s="1353">
        <f t="shared" si="356"/>
        <v>0</v>
      </c>
      <c r="K1829" s="1355">
        <v>3569</v>
      </c>
      <c r="L1829" s="1355" t="s">
        <v>7804</v>
      </c>
    </row>
    <row r="1830" spans="2:12">
      <c r="B1830" s="5" t="s">
        <v>7805</v>
      </c>
      <c r="C1830" s="26" t="s">
        <v>7806</v>
      </c>
      <c r="D1830" s="1347">
        <v>0</v>
      </c>
      <c r="E1830" s="1346">
        <v>0</v>
      </c>
      <c r="F1830" s="611" t="s">
        <v>7807</v>
      </c>
      <c r="G1830" s="1413" t="s">
        <v>2504</v>
      </c>
      <c r="H1830" s="1353">
        <f t="shared" si="355"/>
        <v>0</v>
      </c>
      <c r="I1830" s="1353">
        <f t="shared" si="356"/>
        <v>0</v>
      </c>
      <c r="K1830" s="1355">
        <v>3570</v>
      </c>
      <c r="L1830" s="1355" t="s">
        <v>7808</v>
      </c>
    </row>
    <row r="1831" spans="2:12">
      <c r="B1831" s="5" t="s">
        <v>7809</v>
      </c>
      <c r="C1831" s="26" t="s">
        <v>7810</v>
      </c>
      <c r="D1831" s="1347">
        <v>0</v>
      </c>
      <c r="E1831" s="1346">
        <v>0</v>
      </c>
      <c r="F1831" s="611" t="s">
        <v>7811</v>
      </c>
      <c r="G1831" s="1413" t="s">
        <v>2504</v>
      </c>
      <c r="H1831" s="1353">
        <f t="shared" si="355"/>
        <v>0</v>
      </c>
      <c r="I1831" s="1353">
        <f t="shared" si="356"/>
        <v>0</v>
      </c>
      <c r="K1831" s="1355">
        <v>3571</v>
      </c>
      <c r="L1831" s="1355" t="s">
        <v>7812</v>
      </c>
    </row>
    <row r="1832" spans="2:12">
      <c r="B1832" s="5" t="s">
        <v>7813</v>
      </c>
      <c r="C1832" s="26" t="s">
        <v>7814</v>
      </c>
      <c r="D1832" s="1347">
        <v>0</v>
      </c>
      <c r="E1832" s="1346">
        <v>0</v>
      </c>
      <c r="F1832" s="611" t="s">
        <v>7815</v>
      </c>
      <c r="G1832" s="1413" t="s">
        <v>2504</v>
      </c>
      <c r="H1832" s="1353">
        <f t="shared" si="355"/>
        <v>0</v>
      </c>
      <c r="I1832" s="1353">
        <f t="shared" si="356"/>
        <v>0</v>
      </c>
      <c r="K1832" s="1355">
        <v>3572</v>
      </c>
      <c r="L1832" s="1355" t="s">
        <v>7816</v>
      </c>
    </row>
    <row r="1833" spans="2:12">
      <c r="B1833" s="5" t="s">
        <v>7817</v>
      </c>
      <c r="C1833" s="26" t="s">
        <v>7818</v>
      </c>
      <c r="D1833" s="1347">
        <v>0</v>
      </c>
      <c r="E1833" s="1346">
        <v>0</v>
      </c>
      <c r="F1833" s="611" t="s">
        <v>7819</v>
      </c>
      <c r="G1833" s="1413" t="s">
        <v>2504</v>
      </c>
      <c r="H1833" s="1353">
        <f t="shared" si="355"/>
        <v>0</v>
      </c>
      <c r="I1833" s="1353">
        <f t="shared" si="356"/>
        <v>0</v>
      </c>
      <c r="K1833" s="1355">
        <v>3573</v>
      </c>
      <c r="L1833" s="1355" t="s">
        <v>7820</v>
      </c>
    </row>
    <row r="1834" spans="2:12">
      <c r="B1834" s="5" t="s">
        <v>7821</v>
      </c>
      <c r="C1834" s="26" t="s">
        <v>7822</v>
      </c>
      <c r="D1834" s="1347">
        <v>0</v>
      </c>
      <c r="E1834" s="1346">
        <v>0</v>
      </c>
      <c r="F1834" s="611" t="s">
        <v>7823</v>
      </c>
      <c r="G1834" s="1413" t="s">
        <v>2504</v>
      </c>
      <c r="H1834" s="1353">
        <f t="shared" si="355"/>
        <v>0</v>
      </c>
      <c r="I1834" s="1353">
        <f t="shared" si="356"/>
        <v>0</v>
      </c>
      <c r="K1834" s="1355">
        <v>3574</v>
      </c>
      <c r="L1834" s="1355" t="s">
        <v>7824</v>
      </c>
    </row>
    <row r="1835" spans="2:12">
      <c r="B1835" s="5" t="s">
        <v>7825</v>
      </c>
      <c r="C1835" s="26" t="s">
        <v>7826</v>
      </c>
      <c r="D1835" s="1347">
        <v>0</v>
      </c>
      <c r="E1835" s="1346">
        <v>0</v>
      </c>
      <c r="F1835" s="611" t="s">
        <v>7827</v>
      </c>
      <c r="G1835" s="1413" t="s">
        <v>2504</v>
      </c>
      <c r="H1835" s="1353">
        <f t="shared" si="355"/>
        <v>0</v>
      </c>
      <c r="I1835" s="1353">
        <f t="shared" si="356"/>
        <v>0</v>
      </c>
      <c r="K1835" s="1355">
        <v>3575</v>
      </c>
      <c r="L1835" s="1355" t="s">
        <v>7828</v>
      </c>
    </row>
    <row r="1836" spans="2:12">
      <c r="B1836" s="5" t="s">
        <v>7829</v>
      </c>
      <c r="C1836" s="26" t="s">
        <v>7830</v>
      </c>
      <c r="D1836" s="1347">
        <v>0</v>
      </c>
      <c r="E1836" s="1346">
        <v>0</v>
      </c>
      <c r="F1836" s="611" t="s">
        <v>7831</v>
      </c>
      <c r="G1836" s="1413" t="s">
        <v>2504</v>
      </c>
      <c r="H1836" s="1353">
        <f t="shared" si="355"/>
        <v>0</v>
      </c>
      <c r="I1836" s="1353">
        <f t="shared" si="356"/>
        <v>0</v>
      </c>
      <c r="K1836" s="1355">
        <v>3576</v>
      </c>
      <c r="L1836" s="1355" t="s">
        <v>7832</v>
      </c>
    </row>
    <row r="1837" spans="2:12">
      <c r="B1837" s="5" t="s">
        <v>7833</v>
      </c>
      <c r="C1837" s="26" t="s">
        <v>7834</v>
      </c>
      <c r="D1837" s="1347">
        <v>0</v>
      </c>
      <c r="E1837" s="1346">
        <v>0</v>
      </c>
      <c r="F1837" s="611" t="s">
        <v>7835</v>
      </c>
      <c r="G1837" s="1413" t="s">
        <v>2504</v>
      </c>
      <c r="H1837" s="1353">
        <f>M1378-M1390</f>
        <v>0</v>
      </c>
      <c r="I1837" s="1353">
        <f>N1378-N1390</f>
        <v>0</v>
      </c>
      <c r="K1837" s="1355">
        <v>3577</v>
      </c>
      <c r="L1837" s="1355" t="s">
        <v>7836</v>
      </c>
    </row>
    <row r="1838" spans="2:12">
      <c r="B1838" s="5" t="s">
        <v>7837</v>
      </c>
      <c r="C1838" s="26" t="s">
        <v>7838</v>
      </c>
      <c r="D1838" s="1347">
        <v>0</v>
      </c>
      <c r="E1838" s="1346">
        <v>0</v>
      </c>
      <c r="F1838" s="611" t="s">
        <v>7839</v>
      </c>
      <c r="G1838" s="1413" t="s">
        <v>2504</v>
      </c>
      <c r="H1838" s="1353">
        <f>M1379-M1391</f>
        <v>0</v>
      </c>
      <c r="I1838" s="1353">
        <f>N1379-N1391</f>
        <v>0</v>
      </c>
      <c r="K1838" s="1355">
        <v>3578</v>
      </c>
      <c r="L1838" s="1355" t="s">
        <v>7840</v>
      </c>
    </row>
    <row r="1839" spans="2:12">
      <c r="B1839" s="5" t="s">
        <v>7841</v>
      </c>
      <c r="C1839" s="26" t="s">
        <v>7842</v>
      </c>
      <c r="D1839" s="1347">
        <v>0</v>
      </c>
      <c r="E1839" s="1346">
        <v>0</v>
      </c>
      <c r="F1839" s="611" t="s">
        <v>7843</v>
      </c>
      <c r="G1839" s="1413" t="s">
        <v>2504</v>
      </c>
      <c r="H1839" s="1353">
        <f t="shared" ref="H1839:H1854" si="357">M2344-M2379</f>
        <v>0</v>
      </c>
      <c r="I1839" s="1353">
        <f t="shared" ref="I1839:I1854" si="358">N2344-N2379</f>
        <v>0</v>
      </c>
      <c r="K1839" s="1355">
        <v>3579</v>
      </c>
      <c r="L1839" s="1355" t="s">
        <v>7844</v>
      </c>
    </row>
    <row r="1840" spans="2:12">
      <c r="B1840" s="5" t="s">
        <v>7845</v>
      </c>
      <c r="C1840" s="26" t="s">
        <v>7846</v>
      </c>
      <c r="D1840" s="1347">
        <v>0</v>
      </c>
      <c r="E1840" s="1346">
        <v>0</v>
      </c>
      <c r="F1840" s="611" t="s">
        <v>7847</v>
      </c>
      <c r="G1840" s="1413" t="s">
        <v>2504</v>
      </c>
      <c r="H1840" s="1353">
        <f t="shared" si="357"/>
        <v>0</v>
      </c>
      <c r="I1840" s="1353">
        <f t="shared" si="358"/>
        <v>0</v>
      </c>
      <c r="K1840" s="1355">
        <v>3580</v>
      </c>
      <c r="L1840" s="1355" t="s">
        <v>7848</v>
      </c>
    </row>
    <row r="1841" spans="2:12">
      <c r="B1841" s="5" t="s">
        <v>7849</v>
      </c>
      <c r="C1841" s="26" t="s">
        <v>7850</v>
      </c>
      <c r="D1841" s="1347">
        <v>536408</v>
      </c>
      <c r="E1841" s="1346">
        <v>2393537</v>
      </c>
      <c r="F1841" s="611" t="s">
        <v>7851</v>
      </c>
      <c r="G1841" s="1413" t="s">
        <v>2504</v>
      </c>
      <c r="H1841" s="1353">
        <f t="shared" si="357"/>
        <v>0</v>
      </c>
      <c r="I1841" s="1353">
        <f t="shared" si="358"/>
        <v>0</v>
      </c>
      <c r="K1841" s="1355">
        <v>3581</v>
      </c>
      <c r="L1841" s="1355" t="s">
        <v>7852</v>
      </c>
    </row>
    <row r="1842" spans="2:12">
      <c r="B1842" s="5" t="s">
        <v>7853</v>
      </c>
      <c r="C1842" s="26" t="s">
        <v>7854</v>
      </c>
      <c r="D1842" s="1347">
        <v>0</v>
      </c>
      <c r="E1842" s="1346">
        <v>0</v>
      </c>
      <c r="F1842" s="611" t="s">
        <v>7855</v>
      </c>
      <c r="G1842" s="1413" t="s">
        <v>2504</v>
      </c>
      <c r="H1842" s="1353">
        <f t="shared" si="357"/>
        <v>0</v>
      </c>
      <c r="I1842" s="1353">
        <f t="shared" si="358"/>
        <v>0</v>
      </c>
      <c r="K1842" s="1355">
        <v>3582</v>
      </c>
      <c r="L1842" s="1355" t="s">
        <v>7856</v>
      </c>
    </row>
    <row r="1843" spans="2:12">
      <c r="B1843" s="5" t="s">
        <v>7857</v>
      </c>
      <c r="C1843" s="26" t="s">
        <v>7858</v>
      </c>
      <c r="D1843" s="1347">
        <v>0</v>
      </c>
      <c r="E1843" s="1346">
        <v>0</v>
      </c>
      <c r="F1843" s="611" t="s">
        <v>7859</v>
      </c>
      <c r="G1843" s="1413" t="s">
        <v>2504</v>
      </c>
      <c r="H1843" s="1353">
        <f t="shared" si="357"/>
        <v>0</v>
      </c>
      <c r="I1843" s="1353">
        <f t="shared" si="358"/>
        <v>0</v>
      </c>
      <c r="K1843" s="1355">
        <v>3583</v>
      </c>
      <c r="L1843" s="1355" t="s">
        <v>7860</v>
      </c>
    </row>
    <row r="1844" spans="2:12">
      <c r="B1844" s="5" t="s">
        <v>7861</v>
      </c>
      <c r="C1844" s="26" t="s">
        <v>7862</v>
      </c>
      <c r="D1844" s="1347">
        <v>0</v>
      </c>
      <c r="E1844" s="1346">
        <v>0</v>
      </c>
      <c r="F1844" s="611" t="s">
        <v>7863</v>
      </c>
      <c r="G1844" s="1413" t="s">
        <v>2504</v>
      </c>
      <c r="H1844" s="1353">
        <f t="shared" si="357"/>
        <v>0</v>
      </c>
      <c r="I1844" s="1353">
        <f t="shared" si="358"/>
        <v>0</v>
      </c>
      <c r="K1844" s="1355">
        <v>3584</v>
      </c>
      <c r="L1844" s="1355" t="s">
        <v>7864</v>
      </c>
    </row>
    <row r="1845" spans="2:12">
      <c r="B1845" s="5" t="s">
        <v>7865</v>
      </c>
      <c r="C1845" s="26" t="s">
        <v>7866</v>
      </c>
      <c r="D1845" s="1347">
        <v>0</v>
      </c>
      <c r="E1845" s="1346">
        <v>0</v>
      </c>
      <c r="F1845" s="611" t="s">
        <v>7867</v>
      </c>
      <c r="G1845" s="1413" t="s">
        <v>2504</v>
      </c>
      <c r="H1845" s="1353">
        <f t="shared" si="357"/>
        <v>0</v>
      </c>
      <c r="I1845" s="1353">
        <f t="shared" si="358"/>
        <v>0</v>
      </c>
      <c r="K1845" s="1355">
        <v>3585</v>
      </c>
      <c r="L1845" s="1355" t="s">
        <v>7868</v>
      </c>
    </row>
    <row r="1846" spans="2:12">
      <c r="B1846" s="5" t="s">
        <v>7869</v>
      </c>
      <c r="C1846" s="26" t="s">
        <v>7870</v>
      </c>
      <c r="D1846" s="1347">
        <v>50819</v>
      </c>
      <c r="E1846" s="1346">
        <v>587404</v>
      </c>
      <c r="F1846" s="611" t="s">
        <v>7871</v>
      </c>
      <c r="G1846" s="1413" t="s">
        <v>2504</v>
      </c>
      <c r="H1846" s="1353">
        <f t="shared" si="357"/>
        <v>0</v>
      </c>
      <c r="I1846" s="1353">
        <f t="shared" si="358"/>
        <v>0</v>
      </c>
      <c r="K1846" s="1355">
        <v>3586</v>
      </c>
      <c r="L1846" s="1355" t="s">
        <v>7872</v>
      </c>
    </row>
    <row r="1847" spans="2:12">
      <c r="B1847" s="5" t="s">
        <v>7873</v>
      </c>
      <c r="C1847" s="26" t="s">
        <v>7874</v>
      </c>
      <c r="D1847" s="1347">
        <v>60397</v>
      </c>
      <c r="E1847" s="1346">
        <v>446087</v>
      </c>
      <c r="F1847" s="611" t="s">
        <v>7875</v>
      </c>
      <c r="G1847" s="1413" t="s">
        <v>2504</v>
      </c>
      <c r="H1847" s="1353">
        <f t="shared" si="357"/>
        <v>0</v>
      </c>
      <c r="I1847" s="1353">
        <f t="shared" si="358"/>
        <v>0</v>
      </c>
      <c r="K1847" s="1355">
        <v>3587</v>
      </c>
      <c r="L1847" s="1355" t="s">
        <v>7876</v>
      </c>
    </row>
    <row r="1848" spans="2:12">
      <c r="B1848" s="5" t="s">
        <v>7877</v>
      </c>
      <c r="C1848" s="26" t="s">
        <v>7878</v>
      </c>
      <c r="D1848" s="1347">
        <v>0</v>
      </c>
      <c r="E1848" s="1346">
        <v>324054</v>
      </c>
      <c r="F1848" s="611" t="s">
        <v>7879</v>
      </c>
      <c r="G1848" s="1413" t="s">
        <v>2504</v>
      </c>
      <c r="H1848" s="1353">
        <f t="shared" si="357"/>
        <v>0</v>
      </c>
      <c r="I1848" s="1353">
        <f t="shared" si="358"/>
        <v>0</v>
      </c>
      <c r="K1848" s="1355">
        <v>3588</v>
      </c>
      <c r="L1848" s="1355" t="s">
        <v>7880</v>
      </c>
    </row>
    <row r="1849" spans="2:12">
      <c r="B1849" s="5" t="s">
        <v>7881</v>
      </c>
      <c r="C1849" s="26" t="s">
        <v>7882</v>
      </c>
      <c r="D1849" s="1347">
        <v>0</v>
      </c>
      <c r="E1849" s="1346">
        <v>0</v>
      </c>
      <c r="F1849" s="611" t="s">
        <v>7883</v>
      </c>
      <c r="G1849" s="1413" t="s">
        <v>2504</v>
      </c>
      <c r="H1849" s="1353">
        <f t="shared" si="357"/>
        <v>0</v>
      </c>
      <c r="I1849" s="1353">
        <f t="shared" si="358"/>
        <v>0</v>
      </c>
      <c r="K1849" s="1355">
        <v>3589</v>
      </c>
      <c r="L1849" s="1355" t="s">
        <v>7884</v>
      </c>
    </row>
    <row r="1850" spans="2:12">
      <c r="B1850" s="5" t="s">
        <v>7885</v>
      </c>
      <c r="C1850" s="26" t="s">
        <v>7886</v>
      </c>
      <c r="D1850" s="1347">
        <v>0</v>
      </c>
      <c r="E1850" s="1346">
        <v>0</v>
      </c>
      <c r="F1850" s="611" t="s">
        <v>7887</v>
      </c>
      <c r="G1850" s="1413" t="s">
        <v>2504</v>
      </c>
      <c r="H1850" s="1353">
        <f t="shared" si="357"/>
        <v>0</v>
      </c>
      <c r="I1850" s="1353">
        <f t="shared" si="358"/>
        <v>0</v>
      </c>
      <c r="K1850" s="1355">
        <v>3590</v>
      </c>
      <c r="L1850" s="1355" t="s">
        <v>7888</v>
      </c>
    </row>
    <row r="1851" spans="2:12">
      <c r="B1851" s="5" t="s">
        <v>7889</v>
      </c>
      <c r="C1851" s="26" t="s">
        <v>7890</v>
      </c>
      <c r="D1851" s="1347">
        <v>0</v>
      </c>
      <c r="E1851" s="1346">
        <v>0</v>
      </c>
      <c r="F1851" s="611" t="s">
        <v>7891</v>
      </c>
      <c r="G1851" s="1413" t="s">
        <v>2504</v>
      </c>
      <c r="H1851" s="1353">
        <f t="shared" si="357"/>
        <v>0</v>
      </c>
      <c r="I1851" s="1353">
        <f t="shared" si="358"/>
        <v>0</v>
      </c>
      <c r="K1851" s="1355">
        <v>3591</v>
      </c>
      <c r="L1851" s="1355" t="s">
        <v>7892</v>
      </c>
    </row>
    <row r="1852" spans="2:12">
      <c r="B1852" s="5" t="s">
        <v>7893</v>
      </c>
      <c r="C1852" s="26" t="s">
        <v>7894</v>
      </c>
      <c r="D1852" s="1347">
        <v>0</v>
      </c>
      <c r="E1852" s="1346">
        <v>0</v>
      </c>
      <c r="F1852" s="611" t="s">
        <v>7895</v>
      </c>
      <c r="G1852" s="1413" t="s">
        <v>2504</v>
      </c>
      <c r="H1852" s="1353">
        <f t="shared" si="357"/>
        <v>0</v>
      </c>
      <c r="I1852" s="1353">
        <f t="shared" si="358"/>
        <v>0</v>
      </c>
      <c r="K1852" s="1355">
        <v>3592</v>
      </c>
      <c r="L1852" s="1355" t="s">
        <v>7896</v>
      </c>
    </row>
    <row r="1853" spans="2:12">
      <c r="B1853" s="5" t="s">
        <v>7897</v>
      </c>
      <c r="C1853" s="26" t="s">
        <v>7898</v>
      </c>
      <c r="D1853" s="1347">
        <v>0</v>
      </c>
      <c r="E1853" s="1346">
        <v>0</v>
      </c>
      <c r="F1853" s="611" t="s">
        <v>7899</v>
      </c>
      <c r="G1853" s="1413" t="s">
        <v>2504</v>
      </c>
      <c r="H1853" s="1353">
        <f t="shared" si="357"/>
        <v>0</v>
      </c>
      <c r="I1853" s="1353">
        <f t="shared" si="358"/>
        <v>0</v>
      </c>
      <c r="K1853" s="1355">
        <v>3593</v>
      </c>
      <c r="L1853" s="1355" t="s">
        <v>7900</v>
      </c>
    </row>
    <row r="1854" spans="2:12">
      <c r="B1854" s="5" t="s">
        <v>7901</v>
      </c>
      <c r="C1854" s="26" t="s">
        <v>7902</v>
      </c>
      <c r="D1854" s="1347">
        <v>0</v>
      </c>
      <c r="E1854" s="1346">
        <v>0</v>
      </c>
      <c r="F1854" s="611" t="s">
        <v>7903</v>
      </c>
      <c r="G1854" s="1413" t="s">
        <v>2504</v>
      </c>
      <c r="H1854" s="1353">
        <f t="shared" si="357"/>
        <v>0</v>
      </c>
      <c r="I1854" s="1353">
        <f t="shared" si="358"/>
        <v>0</v>
      </c>
      <c r="K1854" s="1355">
        <v>3594</v>
      </c>
      <c r="L1854" s="1355" t="s">
        <v>7904</v>
      </c>
    </row>
    <row r="1855" spans="2:12">
      <c r="B1855" s="5" t="s">
        <v>7905</v>
      </c>
      <c r="C1855" s="26" t="s">
        <v>7906</v>
      </c>
      <c r="D1855" s="1347">
        <v>0</v>
      </c>
      <c r="E1855" s="1346">
        <v>0</v>
      </c>
      <c r="F1855" s="611" t="s">
        <v>7907</v>
      </c>
      <c r="G1855" s="1413" t="s">
        <v>2504</v>
      </c>
      <c r="H1855" s="1353">
        <f>M1383-M1395</f>
        <v>0</v>
      </c>
      <c r="I1855" s="1353">
        <f>N1383-N1395</f>
        <v>0</v>
      </c>
      <c r="K1855" s="1355">
        <v>3595</v>
      </c>
      <c r="L1855" s="1355" t="s">
        <v>7908</v>
      </c>
    </row>
    <row r="1856" spans="2:12">
      <c r="B1856" s="5" t="s">
        <v>7909</v>
      </c>
      <c r="C1856" s="26" t="s">
        <v>7910</v>
      </c>
      <c r="D1856" s="1347">
        <v>0</v>
      </c>
      <c r="E1856" s="1346">
        <v>0</v>
      </c>
      <c r="F1856" s="611" t="s">
        <v>7911</v>
      </c>
      <c r="G1856" s="1413" t="s">
        <v>2504</v>
      </c>
      <c r="H1856" s="1353">
        <f>M1384-M1396</f>
        <v>0</v>
      </c>
      <c r="I1856" s="1353">
        <f>N1384-N1396</f>
        <v>0</v>
      </c>
      <c r="K1856" s="1355">
        <v>3596</v>
      </c>
      <c r="L1856" s="1355" t="s">
        <v>7912</v>
      </c>
    </row>
    <row r="1857" spans="1:12">
      <c r="B1857" s="5" t="s">
        <v>7913</v>
      </c>
      <c r="C1857" s="26" t="s">
        <v>7914</v>
      </c>
      <c r="D1857" s="1347">
        <v>0</v>
      </c>
      <c r="E1857" s="1346">
        <v>0</v>
      </c>
      <c r="F1857" s="611" t="s">
        <v>7915</v>
      </c>
      <c r="G1857" s="1413" t="s">
        <v>2504</v>
      </c>
      <c r="H1857" s="1353">
        <f>M1386-M1398</f>
        <v>0</v>
      </c>
      <c r="I1857" s="1353">
        <f>N1386-N1398</f>
        <v>0</v>
      </c>
      <c r="K1857" s="1355">
        <v>3597</v>
      </c>
      <c r="L1857" s="1355" t="s">
        <v>7916</v>
      </c>
    </row>
    <row r="1858" spans="1:12">
      <c r="B1858" s="5" t="s">
        <v>7917</v>
      </c>
      <c r="C1858" s="26" t="s">
        <v>7918</v>
      </c>
      <c r="D1858" s="1347">
        <v>14592</v>
      </c>
      <c r="E1858" s="1346">
        <v>139447</v>
      </c>
      <c r="F1858" s="611" t="s">
        <v>7919</v>
      </c>
      <c r="G1858" s="1391">
        <v>1424</v>
      </c>
      <c r="H1858" s="1353">
        <f>M1399</f>
        <v>0</v>
      </c>
      <c r="I1858" s="1353">
        <f>N1399</f>
        <v>0</v>
      </c>
      <c r="K1858" s="1355">
        <v>3598</v>
      </c>
      <c r="L1858" s="1355" t="s">
        <v>7920</v>
      </c>
    </row>
    <row r="1859" spans="1:12">
      <c r="A1859" s="611" t="s">
        <v>3410</v>
      </c>
      <c r="B1859" s="5" t="s">
        <v>7921</v>
      </c>
      <c r="C1859" s="26" t="s">
        <v>295</v>
      </c>
      <c r="D1859" s="1347">
        <v>0</v>
      </c>
      <c r="E1859" s="1346">
        <v>0</v>
      </c>
      <c r="F1859" s="611" t="s">
        <v>7922</v>
      </c>
      <c r="G1859" s="1414">
        <v>4450</v>
      </c>
      <c r="H1859" s="1353">
        <f t="shared" ref="H1859:H1877" si="359">M2535</f>
        <v>0</v>
      </c>
      <c r="I1859" s="1353">
        <f t="shared" ref="I1859:I1877" si="360">N2535</f>
        <v>0</v>
      </c>
      <c r="K1859" s="1355">
        <v>3599</v>
      </c>
      <c r="L1859" s="1355" t="s">
        <v>7923</v>
      </c>
    </row>
    <row r="1860" spans="1:12">
      <c r="B1860" s="5" t="s">
        <v>7924</v>
      </c>
      <c r="C1860" s="26" t="s">
        <v>296</v>
      </c>
      <c r="D1860" s="1347">
        <v>0</v>
      </c>
      <c r="E1860" s="1346">
        <v>0</v>
      </c>
      <c r="F1860" s="611" t="s">
        <v>7925</v>
      </c>
      <c r="G1860" s="1414">
        <v>4451</v>
      </c>
      <c r="H1860" s="1353">
        <f t="shared" si="359"/>
        <v>0</v>
      </c>
      <c r="I1860" s="1353">
        <f t="shared" si="360"/>
        <v>0</v>
      </c>
      <c r="K1860" s="1355">
        <v>3600</v>
      </c>
      <c r="L1860" s="1355" t="s">
        <v>7926</v>
      </c>
    </row>
    <row r="1861" spans="1:12">
      <c r="B1861" s="5" t="s">
        <v>7927</v>
      </c>
      <c r="C1861" s="26" t="s">
        <v>297</v>
      </c>
      <c r="D1861" s="1347">
        <v>0</v>
      </c>
      <c r="E1861" s="1346">
        <v>0</v>
      </c>
      <c r="F1861" s="611" t="s">
        <v>7928</v>
      </c>
      <c r="G1861" s="1414">
        <v>4452</v>
      </c>
      <c r="H1861" s="1353">
        <f t="shared" si="359"/>
        <v>0</v>
      </c>
      <c r="I1861" s="1353">
        <f t="shared" si="360"/>
        <v>0</v>
      </c>
      <c r="K1861" s="1355">
        <v>3601</v>
      </c>
      <c r="L1861" s="1355" t="s">
        <v>7929</v>
      </c>
    </row>
    <row r="1862" spans="1:12">
      <c r="B1862" s="5" t="s">
        <v>7930</v>
      </c>
      <c r="C1862" s="26" t="s">
        <v>298</v>
      </c>
      <c r="D1862" s="1347">
        <v>0</v>
      </c>
      <c r="E1862" s="1346">
        <v>0</v>
      </c>
      <c r="F1862" s="611" t="s">
        <v>7931</v>
      </c>
      <c r="G1862" s="1414">
        <v>4453</v>
      </c>
      <c r="H1862" s="1353">
        <f t="shared" si="359"/>
        <v>0</v>
      </c>
      <c r="I1862" s="1353">
        <f t="shared" si="360"/>
        <v>0</v>
      </c>
      <c r="K1862" s="1355">
        <v>3602</v>
      </c>
      <c r="L1862" s="1355" t="s">
        <v>7932</v>
      </c>
    </row>
    <row r="1863" spans="1:12">
      <c r="B1863" s="5" t="s">
        <v>7933</v>
      </c>
      <c r="C1863" s="26" t="s">
        <v>299</v>
      </c>
      <c r="D1863" s="1347">
        <v>0</v>
      </c>
      <c r="E1863" s="1346">
        <v>0</v>
      </c>
      <c r="F1863" s="611" t="s">
        <v>7934</v>
      </c>
      <c r="G1863" s="1414">
        <v>4454</v>
      </c>
      <c r="H1863" s="1353">
        <f t="shared" si="359"/>
        <v>0</v>
      </c>
      <c r="I1863" s="1353">
        <f t="shared" si="360"/>
        <v>0</v>
      </c>
      <c r="K1863" s="1355">
        <v>3603</v>
      </c>
      <c r="L1863" s="1355" t="s">
        <v>7935</v>
      </c>
    </row>
    <row r="1864" spans="1:12">
      <c r="B1864" s="5" t="s">
        <v>7936</v>
      </c>
      <c r="C1864" s="26" t="s">
        <v>300</v>
      </c>
      <c r="D1864" s="1347">
        <v>0</v>
      </c>
      <c r="E1864" s="1346">
        <v>0</v>
      </c>
      <c r="F1864" s="611" t="s">
        <v>7937</v>
      </c>
      <c r="G1864" s="1414">
        <v>4455</v>
      </c>
      <c r="H1864" s="1353">
        <f t="shared" si="359"/>
        <v>0</v>
      </c>
      <c r="I1864" s="1353">
        <f t="shared" si="360"/>
        <v>0</v>
      </c>
      <c r="K1864" s="1355">
        <v>3604</v>
      </c>
      <c r="L1864" s="1355" t="s">
        <v>7938</v>
      </c>
    </row>
    <row r="1865" spans="1:12">
      <c r="B1865" s="5" t="s">
        <v>7939</v>
      </c>
      <c r="C1865" s="26" t="s">
        <v>301</v>
      </c>
      <c r="D1865" s="1347">
        <v>0</v>
      </c>
      <c r="E1865" s="1346">
        <v>0</v>
      </c>
      <c r="F1865" s="611" t="s">
        <v>7940</v>
      </c>
      <c r="G1865" s="1414">
        <v>4456</v>
      </c>
      <c r="H1865" s="1353">
        <f t="shared" si="359"/>
        <v>0</v>
      </c>
      <c r="I1865" s="1353">
        <f t="shared" si="360"/>
        <v>0</v>
      </c>
      <c r="K1865" s="1355">
        <v>3605</v>
      </c>
      <c r="L1865" s="1355" t="s">
        <v>7941</v>
      </c>
    </row>
    <row r="1866" spans="1:12">
      <c r="B1866" s="5" t="s">
        <v>7942</v>
      </c>
      <c r="C1866" s="26" t="s">
        <v>302</v>
      </c>
      <c r="D1866" s="1347">
        <v>0</v>
      </c>
      <c r="E1866" s="1346">
        <v>0</v>
      </c>
      <c r="F1866" s="611" t="s">
        <v>7943</v>
      </c>
      <c r="G1866" s="1414">
        <v>4457</v>
      </c>
      <c r="H1866" s="1353">
        <f t="shared" si="359"/>
        <v>0</v>
      </c>
      <c r="I1866" s="1353">
        <f t="shared" si="360"/>
        <v>0</v>
      </c>
      <c r="K1866" s="1355">
        <v>3606</v>
      </c>
      <c r="L1866" s="1355" t="s">
        <v>7944</v>
      </c>
    </row>
    <row r="1867" spans="1:12">
      <c r="B1867" s="5" t="s">
        <v>7945</v>
      </c>
      <c r="C1867" s="26" t="s">
        <v>303</v>
      </c>
      <c r="D1867" s="1347">
        <v>0</v>
      </c>
      <c r="E1867" s="1346">
        <v>0</v>
      </c>
      <c r="F1867" s="611" t="s">
        <v>7946</v>
      </c>
      <c r="G1867" s="1414">
        <v>4458</v>
      </c>
      <c r="H1867" s="1353">
        <f t="shared" si="359"/>
        <v>0</v>
      </c>
      <c r="I1867" s="1353">
        <f t="shared" si="360"/>
        <v>0</v>
      </c>
      <c r="K1867" s="1355">
        <v>3607</v>
      </c>
      <c r="L1867" s="1355" t="s">
        <v>7947</v>
      </c>
    </row>
    <row r="1868" spans="1:12">
      <c r="B1868" s="5" t="s">
        <v>7948</v>
      </c>
      <c r="C1868" s="26" t="s">
        <v>304</v>
      </c>
      <c r="D1868" s="1347">
        <v>0</v>
      </c>
      <c r="E1868" s="1346">
        <v>0</v>
      </c>
      <c r="F1868" s="611" t="s">
        <v>7949</v>
      </c>
      <c r="G1868" s="1414">
        <v>4459</v>
      </c>
      <c r="H1868" s="1353">
        <f t="shared" si="359"/>
        <v>0</v>
      </c>
      <c r="I1868" s="1353">
        <f t="shared" si="360"/>
        <v>0</v>
      </c>
      <c r="K1868" s="1355">
        <v>3608</v>
      </c>
      <c r="L1868" s="1355" t="s">
        <v>7950</v>
      </c>
    </row>
    <row r="1869" spans="1:12">
      <c r="B1869" s="5" t="s">
        <v>7951</v>
      </c>
      <c r="C1869" s="26" t="s">
        <v>305</v>
      </c>
      <c r="D1869" s="1347">
        <v>0</v>
      </c>
      <c r="E1869" s="1346">
        <v>0</v>
      </c>
      <c r="F1869" s="611" t="s">
        <v>7952</v>
      </c>
      <c r="G1869" s="1414">
        <v>4460</v>
      </c>
      <c r="H1869" s="1353">
        <f t="shared" si="359"/>
        <v>0</v>
      </c>
      <c r="I1869" s="1353">
        <f t="shared" si="360"/>
        <v>0</v>
      </c>
      <c r="K1869" s="1355">
        <v>3609</v>
      </c>
      <c r="L1869" s="1355" t="s">
        <v>7953</v>
      </c>
    </row>
    <row r="1870" spans="1:12">
      <c r="B1870" s="5" t="s">
        <v>7954</v>
      </c>
      <c r="C1870" s="26" t="s">
        <v>306</v>
      </c>
      <c r="D1870" s="1347">
        <v>0</v>
      </c>
      <c r="E1870" s="1346">
        <v>0</v>
      </c>
      <c r="F1870" s="611" t="s">
        <v>7955</v>
      </c>
      <c r="G1870" s="1414">
        <v>4461</v>
      </c>
      <c r="H1870" s="1353">
        <f t="shared" si="359"/>
        <v>0</v>
      </c>
      <c r="I1870" s="1353">
        <f t="shared" si="360"/>
        <v>0</v>
      </c>
      <c r="K1870" s="1355">
        <v>3610</v>
      </c>
      <c r="L1870" s="1355" t="s">
        <v>7956</v>
      </c>
    </row>
    <row r="1871" spans="1:12">
      <c r="B1871" s="5" t="s">
        <v>7957</v>
      </c>
      <c r="C1871" s="26" t="s">
        <v>307</v>
      </c>
      <c r="D1871" s="1347">
        <v>0</v>
      </c>
      <c r="E1871" s="1346">
        <v>0</v>
      </c>
      <c r="F1871" s="611" t="s">
        <v>7958</v>
      </c>
      <c r="G1871" s="1414">
        <v>4462</v>
      </c>
      <c r="H1871" s="1353">
        <f t="shared" si="359"/>
        <v>0</v>
      </c>
      <c r="I1871" s="1353">
        <f t="shared" si="360"/>
        <v>0</v>
      </c>
      <c r="K1871" s="1355">
        <v>3611</v>
      </c>
      <c r="L1871" s="1355" t="s">
        <v>7959</v>
      </c>
    </row>
    <row r="1872" spans="1:12">
      <c r="B1872" s="5" t="s">
        <v>7960</v>
      </c>
      <c r="C1872" s="26" t="s">
        <v>308</v>
      </c>
      <c r="D1872" s="1347">
        <v>0</v>
      </c>
      <c r="E1872" s="1346">
        <v>0</v>
      </c>
      <c r="F1872" s="611" t="s">
        <v>7961</v>
      </c>
      <c r="G1872" s="1414">
        <v>4463</v>
      </c>
      <c r="H1872" s="1353">
        <f t="shared" si="359"/>
        <v>0</v>
      </c>
      <c r="I1872" s="1353">
        <f t="shared" si="360"/>
        <v>0</v>
      </c>
      <c r="K1872" s="1355">
        <v>3612</v>
      </c>
      <c r="L1872" s="1355" t="s">
        <v>7962</v>
      </c>
    </row>
    <row r="1873" spans="2:12">
      <c r="B1873" s="5" t="s">
        <v>7963</v>
      </c>
      <c r="C1873" s="26" t="s">
        <v>309</v>
      </c>
      <c r="D1873" s="1347">
        <v>0</v>
      </c>
      <c r="E1873" s="1346">
        <v>0</v>
      </c>
      <c r="F1873" s="611" t="s">
        <v>7964</v>
      </c>
      <c r="G1873" s="1414">
        <v>4464</v>
      </c>
      <c r="H1873" s="1353">
        <f t="shared" si="359"/>
        <v>0</v>
      </c>
      <c r="I1873" s="1353">
        <f t="shared" si="360"/>
        <v>0</v>
      </c>
      <c r="K1873" s="1355">
        <v>3613</v>
      </c>
      <c r="L1873" s="1355" t="s">
        <v>7965</v>
      </c>
    </row>
    <row r="1874" spans="2:12">
      <c r="B1874" s="5" t="s">
        <v>7966</v>
      </c>
      <c r="C1874" s="26" t="s">
        <v>310</v>
      </c>
      <c r="D1874" s="1347">
        <v>0</v>
      </c>
      <c r="E1874" s="1346">
        <v>0</v>
      </c>
      <c r="F1874" s="611" t="s">
        <v>7967</v>
      </c>
      <c r="G1874" s="1414">
        <v>4465</v>
      </c>
      <c r="H1874" s="1353">
        <f t="shared" si="359"/>
        <v>0</v>
      </c>
      <c r="I1874" s="1353">
        <f t="shared" si="360"/>
        <v>0</v>
      </c>
      <c r="K1874" s="1355">
        <v>3614</v>
      </c>
      <c r="L1874" s="1355" t="s">
        <v>7968</v>
      </c>
    </row>
    <row r="1875" spans="2:12">
      <c r="B1875" s="5" t="s">
        <v>7969</v>
      </c>
      <c r="C1875" s="26" t="s">
        <v>311</v>
      </c>
      <c r="D1875" s="1347">
        <v>0</v>
      </c>
      <c r="E1875" s="1346">
        <v>0</v>
      </c>
      <c r="F1875" s="611" t="s">
        <v>7970</v>
      </c>
      <c r="G1875" s="1414">
        <v>4466</v>
      </c>
      <c r="H1875" s="1353">
        <f t="shared" si="359"/>
        <v>0</v>
      </c>
      <c r="I1875" s="1353">
        <f t="shared" si="360"/>
        <v>0</v>
      </c>
      <c r="K1875" s="1355">
        <v>3615</v>
      </c>
      <c r="L1875" s="1355" t="s">
        <v>7971</v>
      </c>
    </row>
    <row r="1876" spans="2:12">
      <c r="B1876" s="5" t="s">
        <v>7972</v>
      </c>
      <c r="C1876" s="26" t="s">
        <v>312</v>
      </c>
      <c r="D1876" s="1347">
        <v>0</v>
      </c>
      <c r="E1876" s="1346">
        <v>0</v>
      </c>
      <c r="F1876" s="611" t="s">
        <v>7973</v>
      </c>
      <c r="G1876" s="1414">
        <v>4467</v>
      </c>
      <c r="H1876" s="1353">
        <f t="shared" si="359"/>
        <v>0</v>
      </c>
      <c r="I1876" s="1353">
        <f t="shared" si="360"/>
        <v>0</v>
      </c>
      <c r="K1876" s="1355">
        <v>3616</v>
      </c>
      <c r="L1876" s="1355" t="s">
        <v>7974</v>
      </c>
    </row>
    <row r="1877" spans="2:12">
      <c r="B1877" s="5" t="s">
        <v>7975</v>
      </c>
      <c r="C1877" s="26" t="s">
        <v>313</v>
      </c>
      <c r="D1877" s="1347">
        <v>0</v>
      </c>
      <c r="E1877" s="1346">
        <v>0</v>
      </c>
      <c r="F1877" s="611" t="s">
        <v>7976</v>
      </c>
      <c r="G1877" s="1414">
        <v>4468</v>
      </c>
      <c r="H1877" s="1353">
        <f t="shared" si="359"/>
        <v>0</v>
      </c>
      <c r="I1877" s="1353">
        <f t="shared" si="360"/>
        <v>0</v>
      </c>
      <c r="K1877" s="1355">
        <v>3617</v>
      </c>
      <c r="L1877" s="1355" t="s">
        <v>7977</v>
      </c>
    </row>
    <row r="1878" spans="2:12">
      <c r="B1878" s="5" t="s">
        <v>7978</v>
      </c>
      <c r="C1878" s="26" t="s">
        <v>7979</v>
      </c>
      <c r="D1878" s="1347">
        <v>0</v>
      </c>
      <c r="E1878" s="1346">
        <v>0</v>
      </c>
      <c r="F1878" s="611" t="s">
        <v>7980</v>
      </c>
      <c r="G1878" s="1408">
        <v>1475</v>
      </c>
      <c r="H1878" s="1353">
        <f>M1450</f>
        <v>0</v>
      </c>
      <c r="I1878" s="1353">
        <f>N1450</f>
        <v>0</v>
      </c>
      <c r="K1878" s="1355">
        <v>3618</v>
      </c>
      <c r="L1878" s="1355" t="s">
        <v>7981</v>
      </c>
    </row>
    <row r="1879" spans="2:12">
      <c r="B1879" s="5" t="s">
        <v>7982</v>
      </c>
      <c r="C1879" s="26" t="s">
        <v>315</v>
      </c>
      <c r="D1879" s="1347">
        <v>0</v>
      </c>
      <c r="E1879" s="1346">
        <v>0</v>
      </c>
      <c r="F1879" s="611" t="s">
        <v>7983</v>
      </c>
      <c r="G1879" s="1408">
        <v>1476</v>
      </c>
      <c r="H1879" s="1353">
        <f>M1451</f>
        <v>0</v>
      </c>
      <c r="I1879" s="1353">
        <f>N1451</f>
        <v>0</v>
      </c>
      <c r="K1879" s="1355">
        <v>3619</v>
      </c>
      <c r="L1879" s="1355" t="s">
        <v>7984</v>
      </c>
    </row>
    <row r="1880" spans="2:12">
      <c r="B1880" s="5" t="s">
        <v>7985</v>
      </c>
      <c r="C1880" s="26" t="s">
        <v>316</v>
      </c>
      <c r="D1880" s="1347">
        <v>0</v>
      </c>
      <c r="E1880" s="1346">
        <v>0</v>
      </c>
      <c r="F1880" s="611" t="s">
        <v>7986</v>
      </c>
      <c r="G1880" s="1414">
        <v>4469</v>
      </c>
      <c r="H1880" s="1353">
        <f t="shared" ref="H1880:H1895" si="361">M2554</f>
        <v>0</v>
      </c>
      <c r="I1880" s="1353">
        <f t="shared" ref="I1880:I1895" si="362">N2554</f>
        <v>0</v>
      </c>
      <c r="K1880" s="1355">
        <v>3620</v>
      </c>
      <c r="L1880" s="1355" t="s">
        <v>7987</v>
      </c>
    </row>
    <row r="1881" spans="2:12">
      <c r="B1881" s="5" t="s">
        <v>7988</v>
      </c>
      <c r="C1881" s="26" t="s">
        <v>317</v>
      </c>
      <c r="D1881" s="1347">
        <v>0</v>
      </c>
      <c r="E1881" s="1346">
        <v>81094</v>
      </c>
      <c r="F1881" s="611" t="s">
        <v>7989</v>
      </c>
      <c r="G1881" s="1414">
        <v>4470</v>
      </c>
      <c r="H1881" s="1353">
        <f t="shared" si="361"/>
        <v>0</v>
      </c>
      <c r="I1881" s="1353">
        <f t="shared" si="362"/>
        <v>0</v>
      </c>
      <c r="K1881" s="1355">
        <v>3621</v>
      </c>
      <c r="L1881" s="1355" t="s">
        <v>7990</v>
      </c>
    </row>
    <row r="1882" spans="2:12">
      <c r="B1882" s="5" t="s">
        <v>7991</v>
      </c>
      <c r="C1882" s="26" t="s">
        <v>318</v>
      </c>
      <c r="D1882" s="1347">
        <v>0</v>
      </c>
      <c r="E1882" s="1346">
        <v>0</v>
      </c>
      <c r="F1882" s="611" t="s">
        <v>7992</v>
      </c>
      <c r="G1882" s="1414">
        <v>4471</v>
      </c>
      <c r="H1882" s="1353">
        <f t="shared" si="361"/>
        <v>0</v>
      </c>
      <c r="I1882" s="1353">
        <f t="shared" si="362"/>
        <v>0</v>
      </c>
      <c r="K1882" s="1355">
        <v>3622</v>
      </c>
      <c r="L1882" s="1355" t="s">
        <v>7993</v>
      </c>
    </row>
    <row r="1883" spans="2:12">
      <c r="B1883" s="5" t="s">
        <v>7994</v>
      </c>
      <c r="C1883" s="26" t="s">
        <v>319</v>
      </c>
      <c r="D1883" s="1347">
        <v>0</v>
      </c>
      <c r="E1883" s="1346">
        <v>252288</v>
      </c>
      <c r="F1883" s="611" t="s">
        <v>7995</v>
      </c>
      <c r="G1883" s="1414">
        <v>4472</v>
      </c>
      <c r="H1883" s="1353">
        <f t="shared" si="361"/>
        <v>0</v>
      </c>
      <c r="I1883" s="1353">
        <f t="shared" si="362"/>
        <v>0</v>
      </c>
      <c r="K1883" s="1355">
        <v>3623</v>
      </c>
      <c r="L1883" s="1355" t="s">
        <v>7996</v>
      </c>
    </row>
    <row r="1884" spans="2:12">
      <c r="B1884" s="5" t="s">
        <v>7997</v>
      </c>
      <c r="C1884" s="26" t="s">
        <v>320</v>
      </c>
      <c r="D1884" s="1347">
        <v>0</v>
      </c>
      <c r="E1884" s="1346">
        <v>0</v>
      </c>
      <c r="F1884" s="611" t="s">
        <v>7998</v>
      </c>
      <c r="G1884" s="1414">
        <v>4473</v>
      </c>
      <c r="H1884" s="1353">
        <f t="shared" si="361"/>
        <v>0</v>
      </c>
      <c r="I1884" s="1353">
        <f t="shared" si="362"/>
        <v>0</v>
      </c>
      <c r="K1884" s="1355">
        <v>3624</v>
      </c>
      <c r="L1884" s="1355" t="s">
        <v>7999</v>
      </c>
    </row>
    <row r="1885" spans="2:12">
      <c r="B1885" s="5" t="s">
        <v>8000</v>
      </c>
      <c r="C1885" s="26" t="s">
        <v>321</v>
      </c>
      <c r="D1885" s="1347">
        <v>0</v>
      </c>
      <c r="E1885" s="1346">
        <v>0</v>
      </c>
      <c r="F1885" s="611" t="s">
        <v>8001</v>
      </c>
      <c r="G1885" s="1414">
        <v>4474</v>
      </c>
      <c r="H1885" s="1353">
        <f t="shared" si="361"/>
        <v>0</v>
      </c>
      <c r="I1885" s="1353">
        <f t="shared" si="362"/>
        <v>0</v>
      </c>
      <c r="K1885" s="1355">
        <v>3625</v>
      </c>
      <c r="L1885" s="1355" t="s">
        <v>8002</v>
      </c>
    </row>
    <row r="1886" spans="2:12">
      <c r="B1886" s="5" t="s">
        <v>8003</v>
      </c>
      <c r="C1886" s="26" t="s">
        <v>322</v>
      </c>
      <c r="D1886" s="1347">
        <v>0</v>
      </c>
      <c r="E1886" s="1346">
        <v>0</v>
      </c>
      <c r="F1886" s="611" t="s">
        <v>8004</v>
      </c>
      <c r="G1886" s="1414">
        <v>4475</v>
      </c>
      <c r="H1886" s="1353">
        <f t="shared" si="361"/>
        <v>0</v>
      </c>
      <c r="I1886" s="1353">
        <f t="shared" si="362"/>
        <v>0</v>
      </c>
      <c r="K1886" s="1355">
        <v>3626</v>
      </c>
      <c r="L1886" s="1355" t="s">
        <v>8005</v>
      </c>
    </row>
    <row r="1887" spans="2:12">
      <c r="B1887" s="5" t="s">
        <v>8006</v>
      </c>
      <c r="C1887" s="26" t="s">
        <v>323</v>
      </c>
      <c r="D1887" s="1347">
        <v>0</v>
      </c>
      <c r="E1887" s="1346">
        <v>312976</v>
      </c>
      <c r="F1887" s="611" t="s">
        <v>8007</v>
      </c>
      <c r="G1887" s="1414">
        <v>4476</v>
      </c>
      <c r="H1887" s="1353">
        <f t="shared" si="361"/>
        <v>0</v>
      </c>
      <c r="I1887" s="1353">
        <f t="shared" si="362"/>
        <v>0</v>
      </c>
      <c r="K1887" s="1355">
        <v>3627</v>
      </c>
      <c r="L1887" s="1355" t="s">
        <v>8008</v>
      </c>
    </row>
    <row r="1888" spans="2:12">
      <c r="B1888" s="5" t="s">
        <v>8009</v>
      </c>
      <c r="C1888" s="26" t="s">
        <v>324</v>
      </c>
      <c r="D1888" s="1347">
        <v>432171</v>
      </c>
      <c r="E1888" s="1346">
        <v>2196451</v>
      </c>
      <c r="F1888" s="611" t="s">
        <v>8010</v>
      </c>
      <c r="G1888" s="1414">
        <v>4477</v>
      </c>
      <c r="H1888" s="1353">
        <f t="shared" si="361"/>
        <v>0</v>
      </c>
      <c r="I1888" s="1353">
        <f t="shared" si="362"/>
        <v>0</v>
      </c>
      <c r="K1888" s="1355">
        <v>3628</v>
      </c>
      <c r="L1888" s="1355" t="s">
        <v>8011</v>
      </c>
    </row>
    <row r="1889" spans="2:12">
      <c r="B1889" s="5" t="s">
        <v>8012</v>
      </c>
      <c r="C1889" s="26" t="s">
        <v>325</v>
      </c>
      <c r="D1889" s="1347">
        <v>474676</v>
      </c>
      <c r="E1889" s="1346">
        <v>1224277</v>
      </c>
      <c r="F1889" s="611" t="s">
        <v>8013</v>
      </c>
      <c r="G1889" s="1414">
        <v>4478</v>
      </c>
      <c r="H1889" s="1353">
        <f t="shared" si="361"/>
        <v>0</v>
      </c>
      <c r="I1889" s="1353">
        <f t="shared" si="362"/>
        <v>0</v>
      </c>
      <c r="K1889" s="1355">
        <v>3629</v>
      </c>
      <c r="L1889" s="1355" t="s">
        <v>8014</v>
      </c>
    </row>
    <row r="1890" spans="2:12">
      <c r="B1890" s="5" t="s">
        <v>8015</v>
      </c>
      <c r="C1890" s="26" t="s">
        <v>326</v>
      </c>
      <c r="D1890" s="1347">
        <v>0</v>
      </c>
      <c r="E1890" s="1346">
        <v>0</v>
      </c>
      <c r="F1890" s="611" t="s">
        <v>8016</v>
      </c>
      <c r="G1890" s="1414">
        <v>4479</v>
      </c>
      <c r="H1890" s="1353">
        <f t="shared" si="361"/>
        <v>0</v>
      </c>
      <c r="I1890" s="1353">
        <f t="shared" si="362"/>
        <v>0</v>
      </c>
      <c r="K1890" s="1355">
        <v>3630</v>
      </c>
      <c r="L1890" s="1355" t="s">
        <v>8017</v>
      </c>
    </row>
    <row r="1891" spans="2:12">
      <c r="B1891" s="5" t="s">
        <v>8018</v>
      </c>
      <c r="C1891" s="26" t="s">
        <v>327</v>
      </c>
      <c r="D1891" s="1347">
        <v>0</v>
      </c>
      <c r="E1891" s="1346">
        <v>0</v>
      </c>
      <c r="F1891" s="611" t="s">
        <v>8019</v>
      </c>
      <c r="G1891" s="1414">
        <v>4480</v>
      </c>
      <c r="H1891" s="1353">
        <f t="shared" si="361"/>
        <v>0</v>
      </c>
      <c r="I1891" s="1353">
        <f t="shared" si="362"/>
        <v>0</v>
      </c>
      <c r="K1891" s="1355">
        <v>3631</v>
      </c>
      <c r="L1891" s="1355" t="s">
        <v>8020</v>
      </c>
    </row>
    <row r="1892" spans="2:12">
      <c r="B1892" s="5" t="s">
        <v>8021</v>
      </c>
      <c r="C1892" s="26" t="s">
        <v>328</v>
      </c>
      <c r="D1892" s="1347">
        <v>0</v>
      </c>
      <c r="E1892" s="1346">
        <v>0</v>
      </c>
      <c r="F1892" s="611" t="s">
        <v>8022</v>
      </c>
      <c r="G1892" s="1414">
        <v>4481</v>
      </c>
      <c r="H1892" s="1353">
        <f t="shared" si="361"/>
        <v>0</v>
      </c>
      <c r="I1892" s="1353">
        <f t="shared" si="362"/>
        <v>0</v>
      </c>
      <c r="K1892" s="1355">
        <v>3632</v>
      </c>
      <c r="L1892" s="1355" t="s">
        <v>8023</v>
      </c>
    </row>
    <row r="1893" spans="2:12">
      <c r="B1893" s="5" t="s">
        <v>8024</v>
      </c>
      <c r="C1893" s="26" t="s">
        <v>329</v>
      </c>
      <c r="D1893" s="1347">
        <v>0</v>
      </c>
      <c r="E1893" s="1346">
        <v>53900</v>
      </c>
      <c r="F1893" s="611" t="s">
        <v>8025</v>
      </c>
      <c r="G1893" s="1414">
        <v>4482</v>
      </c>
      <c r="H1893" s="1353">
        <f t="shared" si="361"/>
        <v>0</v>
      </c>
      <c r="I1893" s="1353">
        <f t="shared" si="362"/>
        <v>0</v>
      </c>
      <c r="K1893" s="1355">
        <v>3633</v>
      </c>
      <c r="L1893" s="1355" t="s">
        <v>8026</v>
      </c>
    </row>
    <row r="1894" spans="2:12">
      <c r="B1894" s="5" t="s">
        <v>8027</v>
      </c>
      <c r="C1894" s="26" t="s">
        <v>330</v>
      </c>
      <c r="D1894" s="1347">
        <v>0</v>
      </c>
      <c r="E1894" s="1346">
        <v>0</v>
      </c>
      <c r="F1894" s="611" t="s">
        <v>8028</v>
      </c>
      <c r="G1894" s="1414">
        <v>4483</v>
      </c>
      <c r="H1894" s="1353">
        <f t="shared" si="361"/>
        <v>0</v>
      </c>
      <c r="I1894" s="1353">
        <f t="shared" si="362"/>
        <v>0</v>
      </c>
      <c r="K1894" s="1355">
        <v>3634</v>
      </c>
      <c r="L1894" s="1355" t="s">
        <v>8029</v>
      </c>
    </row>
    <row r="1895" spans="2:12">
      <c r="B1895" s="5" t="s">
        <v>8030</v>
      </c>
      <c r="C1895" s="26" t="s">
        <v>331</v>
      </c>
      <c r="D1895" s="1347">
        <v>0</v>
      </c>
      <c r="E1895" s="1346">
        <v>0</v>
      </c>
      <c r="F1895" s="611" t="s">
        <v>8031</v>
      </c>
      <c r="G1895" s="1414">
        <v>4484</v>
      </c>
      <c r="H1895" s="1353">
        <f t="shared" si="361"/>
        <v>0</v>
      </c>
      <c r="I1895" s="1353">
        <f t="shared" si="362"/>
        <v>0</v>
      </c>
      <c r="K1895" s="1355">
        <v>3635</v>
      </c>
      <c r="L1895" s="1355" t="s">
        <v>8032</v>
      </c>
    </row>
    <row r="1896" spans="2:12">
      <c r="B1896" s="5" t="s">
        <v>8033</v>
      </c>
      <c r="C1896" s="26" t="s">
        <v>8034</v>
      </c>
      <c r="D1896" s="1347">
        <v>0</v>
      </c>
      <c r="E1896" s="1346">
        <v>0</v>
      </c>
      <c r="F1896" s="611" t="s">
        <v>8035</v>
      </c>
      <c r="G1896" s="1408">
        <v>1480</v>
      </c>
      <c r="H1896" s="1353">
        <f>M1455</f>
        <v>0</v>
      </c>
      <c r="I1896" s="1353">
        <f>N1455</f>
        <v>0</v>
      </c>
      <c r="K1896" s="1355">
        <v>3636</v>
      </c>
      <c r="L1896" s="1355" t="s">
        <v>8036</v>
      </c>
    </row>
    <row r="1897" spans="2:12">
      <c r="B1897" s="5" t="s">
        <v>8037</v>
      </c>
      <c r="C1897" s="26" t="s">
        <v>333</v>
      </c>
      <c r="D1897" s="1347">
        <v>0</v>
      </c>
      <c r="E1897" s="1346">
        <v>0</v>
      </c>
      <c r="F1897" s="611" t="s">
        <v>8038</v>
      </c>
      <c r="G1897" s="1408">
        <v>1481</v>
      </c>
      <c r="H1897" s="1353">
        <f>M1456</f>
        <v>0</v>
      </c>
      <c r="I1897" s="1353">
        <f>N1456</f>
        <v>0</v>
      </c>
      <c r="K1897" s="1355">
        <v>3637</v>
      </c>
      <c r="L1897" s="1355" t="s">
        <v>8039</v>
      </c>
    </row>
    <row r="1898" spans="2:12">
      <c r="B1898" s="5" t="s">
        <v>8040</v>
      </c>
      <c r="C1898" s="26" t="s">
        <v>334</v>
      </c>
      <c r="D1898" s="1347">
        <v>0</v>
      </c>
      <c r="E1898" s="1346">
        <v>0</v>
      </c>
      <c r="F1898" s="611" t="s">
        <v>8041</v>
      </c>
      <c r="G1898" s="1417">
        <v>1483</v>
      </c>
      <c r="H1898" s="1353">
        <f>M1458</f>
        <v>0</v>
      </c>
      <c r="I1898" s="1353">
        <f>N1458</f>
        <v>0</v>
      </c>
      <c r="K1898" s="1355">
        <v>3638</v>
      </c>
      <c r="L1898" s="1355" t="s">
        <v>8042</v>
      </c>
    </row>
    <row r="1899" spans="2:12">
      <c r="B1899" s="5" t="s">
        <v>8043</v>
      </c>
      <c r="C1899" s="26" t="s">
        <v>8044</v>
      </c>
      <c r="D1899" s="1347">
        <v>0</v>
      </c>
      <c r="E1899" s="1346">
        <v>0</v>
      </c>
      <c r="F1899" s="611" t="s">
        <v>8045</v>
      </c>
      <c r="G1899" s="1413" t="s">
        <v>2504</v>
      </c>
      <c r="H1899" s="1353">
        <f t="shared" ref="H1899:H1917" si="363">M2535-M2570</f>
        <v>0</v>
      </c>
      <c r="I1899" s="1353">
        <f t="shared" ref="I1899:I1917" si="364">N2535-N2570</f>
        <v>0</v>
      </c>
      <c r="K1899" s="1355">
        <v>3639</v>
      </c>
      <c r="L1899" s="1355" t="s">
        <v>8046</v>
      </c>
    </row>
    <row r="1900" spans="2:12">
      <c r="B1900" s="5" t="s">
        <v>8047</v>
      </c>
      <c r="C1900" s="26" t="s">
        <v>8048</v>
      </c>
      <c r="D1900" s="1347">
        <v>0</v>
      </c>
      <c r="E1900" s="1346">
        <v>0</v>
      </c>
      <c r="F1900" s="611" t="s">
        <v>8049</v>
      </c>
      <c r="G1900" s="1413" t="s">
        <v>2504</v>
      </c>
      <c r="H1900" s="1353">
        <f t="shared" si="363"/>
        <v>0</v>
      </c>
      <c r="I1900" s="1353">
        <f t="shared" si="364"/>
        <v>0</v>
      </c>
      <c r="K1900" s="1355">
        <v>3640</v>
      </c>
      <c r="L1900" s="1355" t="s">
        <v>8050</v>
      </c>
    </row>
    <row r="1901" spans="2:12">
      <c r="B1901" s="5" t="s">
        <v>8051</v>
      </c>
      <c r="C1901" s="26" t="s">
        <v>8052</v>
      </c>
      <c r="D1901" s="1347">
        <v>0</v>
      </c>
      <c r="E1901" s="1346">
        <v>0</v>
      </c>
      <c r="F1901" s="611" t="s">
        <v>8053</v>
      </c>
      <c r="G1901" s="1413" t="s">
        <v>2504</v>
      </c>
      <c r="H1901" s="1353">
        <f t="shared" si="363"/>
        <v>0</v>
      </c>
      <c r="I1901" s="1353">
        <f t="shared" si="364"/>
        <v>0</v>
      </c>
      <c r="K1901" s="1355">
        <v>3641</v>
      </c>
      <c r="L1901" s="1355" t="s">
        <v>8054</v>
      </c>
    </row>
    <row r="1902" spans="2:12">
      <c r="B1902" s="5" t="s">
        <v>8055</v>
      </c>
      <c r="C1902" s="26" t="s">
        <v>8056</v>
      </c>
      <c r="D1902" s="1347">
        <v>0</v>
      </c>
      <c r="E1902" s="1346">
        <v>0</v>
      </c>
      <c r="F1902" s="611" t="s">
        <v>8057</v>
      </c>
      <c r="G1902" s="1413" t="s">
        <v>2504</v>
      </c>
      <c r="H1902" s="1353">
        <f t="shared" si="363"/>
        <v>0</v>
      </c>
      <c r="I1902" s="1353">
        <f t="shared" si="364"/>
        <v>0</v>
      </c>
      <c r="K1902" s="1355">
        <v>3642</v>
      </c>
      <c r="L1902" s="1355" t="s">
        <v>8058</v>
      </c>
    </row>
    <row r="1903" spans="2:12">
      <c r="B1903" s="5" t="s">
        <v>8059</v>
      </c>
      <c r="C1903" s="26" t="s">
        <v>8060</v>
      </c>
      <c r="D1903" s="1347">
        <v>0</v>
      </c>
      <c r="E1903" s="1346">
        <v>0</v>
      </c>
      <c r="F1903" s="611" t="s">
        <v>8061</v>
      </c>
      <c r="G1903" s="1413" t="s">
        <v>2504</v>
      </c>
      <c r="H1903" s="1353">
        <f t="shared" si="363"/>
        <v>0</v>
      </c>
      <c r="I1903" s="1353">
        <f t="shared" si="364"/>
        <v>0</v>
      </c>
      <c r="K1903" s="1355">
        <v>3643</v>
      </c>
      <c r="L1903" s="1355" t="s">
        <v>8062</v>
      </c>
    </row>
    <row r="1904" spans="2:12">
      <c r="B1904" s="5" t="s">
        <v>8063</v>
      </c>
      <c r="C1904" s="26" t="s">
        <v>8064</v>
      </c>
      <c r="D1904" s="1347">
        <v>0</v>
      </c>
      <c r="E1904" s="1346">
        <v>0</v>
      </c>
      <c r="F1904" s="611" t="s">
        <v>8065</v>
      </c>
      <c r="G1904" s="1413" t="s">
        <v>2504</v>
      </c>
      <c r="H1904" s="1353">
        <f t="shared" si="363"/>
        <v>0</v>
      </c>
      <c r="I1904" s="1353">
        <f t="shared" si="364"/>
        <v>0</v>
      </c>
      <c r="K1904" s="1355">
        <v>3644</v>
      </c>
      <c r="L1904" s="1355" t="s">
        <v>8066</v>
      </c>
    </row>
    <row r="1905" spans="2:12">
      <c r="B1905" s="5" t="s">
        <v>8067</v>
      </c>
      <c r="C1905" s="26" t="s">
        <v>8068</v>
      </c>
      <c r="D1905" s="1347">
        <v>0</v>
      </c>
      <c r="E1905" s="1346">
        <v>0</v>
      </c>
      <c r="F1905" s="611" t="s">
        <v>8069</v>
      </c>
      <c r="G1905" s="1413" t="s">
        <v>2504</v>
      </c>
      <c r="H1905" s="1353">
        <f t="shared" si="363"/>
        <v>0</v>
      </c>
      <c r="I1905" s="1353">
        <f t="shared" si="364"/>
        <v>0</v>
      </c>
      <c r="K1905" s="1355">
        <v>3645</v>
      </c>
      <c r="L1905" s="1355" t="s">
        <v>8070</v>
      </c>
    </row>
    <row r="1906" spans="2:12">
      <c r="B1906" s="5" t="s">
        <v>8071</v>
      </c>
      <c r="C1906" s="26" t="s">
        <v>8072</v>
      </c>
      <c r="D1906" s="1347">
        <v>0</v>
      </c>
      <c r="E1906" s="1346">
        <v>0</v>
      </c>
      <c r="F1906" s="611" t="s">
        <v>8073</v>
      </c>
      <c r="G1906" s="1413" t="s">
        <v>2504</v>
      </c>
      <c r="H1906" s="1353">
        <f t="shared" si="363"/>
        <v>0</v>
      </c>
      <c r="I1906" s="1353">
        <f t="shared" si="364"/>
        <v>0</v>
      </c>
      <c r="K1906" s="1355">
        <v>3646</v>
      </c>
      <c r="L1906" s="1355" t="s">
        <v>8074</v>
      </c>
    </row>
    <row r="1907" spans="2:12">
      <c r="B1907" s="5" t="s">
        <v>8075</v>
      </c>
      <c r="C1907" s="26" t="s">
        <v>8076</v>
      </c>
      <c r="D1907" s="1347">
        <v>0</v>
      </c>
      <c r="E1907" s="1346">
        <v>0</v>
      </c>
      <c r="F1907" s="611" t="s">
        <v>8077</v>
      </c>
      <c r="G1907" s="1413" t="s">
        <v>2504</v>
      </c>
      <c r="H1907" s="1353">
        <f t="shared" si="363"/>
        <v>0</v>
      </c>
      <c r="I1907" s="1353">
        <f t="shared" si="364"/>
        <v>0</v>
      </c>
      <c r="K1907" s="1355">
        <v>3647</v>
      </c>
      <c r="L1907" s="1355" t="s">
        <v>8078</v>
      </c>
    </row>
    <row r="1908" spans="2:12">
      <c r="B1908" s="5" t="s">
        <v>8079</v>
      </c>
      <c r="C1908" s="26" t="s">
        <v>8080</v>
      </c>
      <c r="D1908" s="1347">
        <v>0</v>
      </c>
      <c r="E1908" s="1346">
        <v>0</v>
      </c>
      <c r="F1908" s="611" t="s">
        <v>8081</v>
      </c>
      <c r="G1908" s="1413" t="s">
        <v>2504</v>
      </c>
      <c r="H1908" s="1353">
        <f t="shared" si="363"/>
        <v>0</v>
      </c>
      <c r="I1908" s="1353">
        <f t="shared" si="364"/>
        <v>0</v>
      </c>
      <c r="K1908" s="1355">
        <v>3648</v>
      </c>
      <c r="L1908" s="1355" t="s">
        <v>8082</v>
      </c>
    </row>
    <row r="1909" spans="2:12">
      <c r="B1909" s="5" t="s">
        <v>8083</v>
      </c>
      <c r="C1909" s="26" t="s">
        <v>8084</v>
      </c>
      <c r="D1909" s="1347">
        <v>0</v>
      </c>
      <c r="E1909" s="1346">
        <v>0</v>
      </c>
      <c r="F1909" s="611" t="s">
        <v>8085</v>
      </c>
      <c r="G1909" s="1413" t="s">
        <v>2504</v>
      </c>
      <c r="H1909" s="1353">
        <f t="shared" si="363"/>
        <v>0</v>
      </c>
      <c r="I1909" s="1353">
        <f t="shared" si="364"/>
        <v>0</v>
      </c>
      <c r="K1909" s="1355">
        <v>3649</v>
      </c>
      <c r="L1909" s="1355" t="s">
        <v>8086</v>
      </c>
    </row>
    <row r="1910" spans="2:12">
      <c r="B1910" s="5" t="s">
        <v>8087</v>
      </c>
      <c r="C1910" s="26" t="s">
        <v>8088</v>
      </c>
      <c r="D1910" s="1347">
        <v>0</v>
      </c>
      <c r="E1910" s="1346">
        <v>0</v>
      </c>
      <c r="F1910" s="611" t="s">
        <v>8089</v>
      </c>
      <c r="G1910" s="1413" t="s">
        <v>2504</v>
      </c>
      <c r="H1910" s="1353">
        <f t="shared" si="363"/>
        <v>0</v>
      </c>
      <c r="I1910" s="1353">
        <f t="shared" si="364"/>
        <v>0</v>
      </c>
      <c r="K1910" s="1355">
        <v>3650</v>
      </c>
      <c r="L1910" s="1355" t="s">
        <v>8090</v>
      </c>
    </row>
    <row r="1911" spans="2:12">
      <c r="B1911" s="5" t="s">
        <v>8091</v>
      </c>
      <c r="C1911" s="26" t="s">
        <v>8092</v>
      </c>
      <c r="D1911" s="1347">
        <v>0</v>
      </c>
      <c r="E1911" s="1346">
        <v>0</v>
      </c>
      <c r="F1911" s="611" t="s">
        <v>8093</v>
      </c>
      <c r="G1911" s="1413" t="s">
        <v>2504</v>
      </c>
      <c r="H1911" s="1353">
        <f t="shared" si="363"/>
        <v>0</v>
      </c>
      <c r="I1911" s="1353">
        <f t="shared" si="364"/>
        <v>0</v>
      </c>
      <c r="K1911" s="1355">
        <v>3651</v>
      </c>
      <c r="L1911" s="1355" t="s">
        <v>8094</v>
      </c>
    </row>
    <row r="1912" spans="2:12">
      <c r="B1912" s="5" t="s">
        <v>8095</v>
      </c>
      <c r="C1912" s="26" t="s">
        <v>8096</v>
      </c>
      <c r="D1912" s="1347">
        <v>0</v>
      </c>
      <c r="E1912" s="1346">
        <v>0</v>
      </c>
      <c r="F1912" s="611" t="s">
        <v>8097</v>
      </c>
      <c r="G1912" s="1413" t="s">
        <v>2504</v>
      </c>
      <c r="H1912" s="1353">
        <f t="shared" si="363"/>
        <v>0</v>
      </c>
      <c r="I1912" s="1353">
        <f t="shared" si="364"/>
        <v>0</v>
      </c>
      <c r="K1912" s="1355">
        <v>3652</v>
      </c>
      <c r="L1912" s="1355" t="s">
        <v>8098</v>
      </c>
    </row>
    <row r="1913" spans="2:12">
      <c r="B1913" s="5" t="s">
        <v>8099</v>
      </c>
      <c r="C1913" s="26" t="s">
        <v>8100</v>
      </c>
      <c r="D1913" s="1347">
        <v>0</v>
      </c>
      <c r="E1913" s="1346">
        <v>0</v>
      </c>
      <c r="F1913" s="611" t="s">
        <v>8101</v>
      </c>
      <c r="G1913" s="1413" t="s">
        <v>2504</v>
      </c>
      <c r="H1913" s="1353">
        <f t="shared" si="363"/>
        <v>0</v>
      </c>
      <c r="I1913" s="1353">
        <f t="shared" si="364"/>
        <v>0</v>
      </c>
      <c r="K1913" s="1355">
        <v>3653</v>
      </c>
      <c r="L1913" s="1355" t="s">
        <v>8102</v>
      </c>
    </row>
    <row r="1914" spans="2:12">
      <c r="B1914" s="5" t="s">
        <v>8103</v>
      </c>
      <c r="C1914" s="26" t="s">
        <v>8104</v>
      </c>
      <c r="D1914" s="1347">
        <v>0</v>
      </c>
      <c r="E1914" s="1346">
        <v>0</v>
      </c>
      <c r="F1914" s="611" t="s">
        <v>8105</v>
      </c>
      <c r="G1914" s="1413" t="s">
        <v>2504</v>
      </c>
      <c r="H1914" s="1353">
        <f t="shared" si="363"/>
        <v>0</v>
      </c>
      <c r="I1914" s="1353">
        <f t="shared" si="364"/>
        <v>0</v>
      </c>
      <c r="K1914" s="1355">
        <v>3654</v>
      </c>
      <c r="L1914" s="1355" t="s">
        <v>8106</v>
      </c>
    </row>
    <row r="1915" spans="2:12">
      <c r="B1915" s="5" t="s">
        <v>8107</v>
      </c>
      <c r="C1915" s="26" t="s">
        <v>8108</v>
      </c>
      <c r="D1915" s="1347">
        <v>0</v>
      </c>
      <c r="E1915" s="1346">
        <v>0</v>
      </c>
      <c r="F1915" s="611" t="s">
        <v>8109</v>
      </c>
      <c r="G1915" s="1413" t="s">
        <v>2504</v>
      </c>
      <c r="H1915" s="1353">
        <f t="shared" si="363"/>
        <v>0</v>
      </c>
      <c r="I1915" s="1353">
        <f t="shared" si="364"/>
        <v>0</v>
      </c>
      <c r="K1915" s="1355">
        <v>3655</v>
      </c>
      <c r="L1915" s="1355" t="s">
        <v>8110</v>
      </c>
    </row>
    <row r="1916" spans="2:12">
      <c r="B1916" s="5" t="s">
        <v>8111</v>
      </c>
      <c r="C1916" s="26" t="s">
        <v>8112</v>
      </c>
      <c r="D1916" s="1347">
        <v>0</v>
      </c>
      <c r="E1916" s="1346">
        <v>0</v>
      </c>
      <c r="F1916" s="611" t="s">
        <v>8113</v>
      </c>
      <c r="G1916" s="1413" t="s">
        <v>2504</v>
      </c>
      <c r="H1916" s="1353">
        <f t="shared" si="363"/>
        <v>0</v>
      </c>
      <c r="I1916" s="1353">
        <f t="shared" si="364"/>
        <v>0</v>
      </c>
      <c r="K1916" s="1355">
        <v>3656</v>
      </c>
      <c r="L1916" s="1355" t="s">
        <v>8114</v>
      </c>
    </row>
    <row r="1917" spans="2:12">
      <c r="B1917" s="5" t="s">
        <v>8115</v>
      </c>
      <c r="C1917" s="26" t="s">
        <v>8116</v>
      </c>
      <c r="D1917" s="1347">
        <v>0</v>
      </c>
      <c r="E1917" s="1346">
        <v>0</v>
      </c>
      <c r="F1917" s="611" t="s">
        <v>8117</v>
      </c>
      <c r="G1917" s="1413" t="s">
        <v>2504</v>
      </c>
      <c r="H1917" s="1353">
        <f t="shared" si="363"/>
        <v>0</v>
      </c>
      <c r="I1917" s="1353">
        <f t="shared" si="364"/>
        <v>0</v>
      </c>
      <c r="K1917" s="1355">
        <v>3657</v>
      </c>
      <c r="L1917" s="1355" t="s">
        <v>8118</v>
      </c>
    </row>
    <row r="1918" spans="2:12">
      <c r="B1918" s="5" t="s">
        <v>8119</v>
      </c>
      <c r="C1918" s="26" t="s">
        <v>8120</v>
      </c>
      <c r="D1918" s="1347">
        <v>0</v>
      </c>
      <c r="E1918" s="1346">
        <v>0</v>
      </c>
      <c r="F1918" s="611" t="s">
        <v>8121</v>
      </c>
      <c r="G1918" s="1413" t="s">
        <v>2504</v>
      </c>
      <c r="H1918" s="1353">
        <f>M1450-M1462</f>
        <v>0</v>
      </c>
      <c r="I1918" s="1353">
        <f>N1450-N1462</f>
        <v>0</v>
      </c>
      <c r="K1918" s="1355">
        <v>3658</v>
      </c>
      <c r="L1918" s="1355" t="s">
        <v>8122</v>
      </c>
    </row>
    <row r="1919" spans="2:12">
      <c r="B1919" s="5" t="s">
        <v>8123</v>
      </c>
      <c r="C1919" s="26" t="s">
        <v>8124</v>
      </c>
      <c r="D1919" s="1347">
        <v>0</v>
      </c>
      <c r="E1919" s="1346">
        <v>0</v>
      </c>
      <c r="F1919" s="611" t="s">
        <v>8125</v>
      </c>
      <c r="G1919" s="1413" t="s">
        <v>2504</v>
      </c>
      <c r="H1919" s="1353">
        <f>M1451-M1463</f>
        <v>0</v>
      </c>
      <c r="I1919" s="1353">
        <f>N1451-N1463</f>
        <v>0</v>
      </c>
      <c r="K1919" s="1355">
        <v>3659</v>
      </c>
      <c r="L1919" s="1355" t="s">
        <v>8126</v>
      </c>
    </row>
    <row r="1920" spans="2:12">
      <c r="B1920" s="5" t="s">
        <v>8127</v>
      </c>
      <c r="C1920" s="26" t="s">
        <v>8128</v>
      </c>
      <c r="D1920" s="1347">
        <v>0</v>
      </c>
      <c r="E1920" s="1346">
        <v>0</v>
      </c>
      <c r="F1920" s="611" t="s">
        <v>8129</v>
      </c>
      <c r="G1920" s="1413" t="s">
        <v>2504</v>
      </c>
      <c r="H1920" s="1353">
        <f t="shared" ref="H1920:H1935" si="365">M2554-M2589</f>
        <v>0</v>
      </c>
      <c r="I1920" s="1353">
        <f t="shared" ref="I1920:I1935" si="366">N2554-N2589</f>
        <v>0</v>
      </c>
      <c r="K1920" s="1355">
        <v>3660</v>
      </c>
      <c r="L1920" s="1355" t="s">
        <v>8130</v>
      </c>
    </row>
    <row r="1921" spans="2:12">
      <c r="B1921" s="5" t="s">
        <v>8131</v>
      </c>
      <c r="C1921" s="26" t="s">
        <v>8132</v>
      </c>
      <c r="D1921" s="1347">
        <v>0</v>
      </c>
      <c r="E1921" s="1346">
        <v>78065</v>
      </c>
      <c r="F1921" s="611" t="s">
        <v>8133</v>
      </c>
      <c r="G1921" s="1413" t="s">
        <v>2504</v>
      </c>
      <c r="H1921" s="1353">
        <f t="shared" si="365"/>
        <v>0</v>
      </c>
      <c r="I1921" s="1353">
        <f t="shared" si="366"/>
        <v>0</v>
      </c>
      <c r="K1921" s="1355">
        <v>3661</v>
      </c>
      <c r="L1921" s="1355" t="s">
        <v>8134</v>
      </c>
    </row>
    <row r="1922" spans="2:12">
      <c r="B1922" s="5" t="s">
        <v>8135</v>
      </c>
      <c r="C1922" s="26" t="s">
        <v>8136</v>
      </c>
      <c r="D1922" s="1347">
        <v>0</v>
      </c>
      <c r="E1922" s="1346">
        <v>0</v>
      </c>
      <c r="F1922" s="611" t="s">
        <v>8137</v>
      </c>
      <c r="G1922" s="1413" t="s">
        <v>2504</v>
      </c>
      <c r="H1922" s="1353">
        <f t="shared" si="365"/>
        <v>0</v>
      </c>
      <c r="I1922" s="1353">
        <f t="shared" si="366"/>
        <v>0</v>
      </c>
      <c r="K1922" s="1355">
        <v>3662</v>
      </c>
      <c r="L1922" s="1355" t="s">
        <v>8138</v>
      </c>
    </row>
    <row r="1923" spans="2:12">
      <c r="B1923" s="5" t="s">
        <v>8139</v>
      </c>
      <c r="C1923" s="26" t="s">
        <v>8140</v>
      </c>
      <c r="D1923" s="1347">
        <v>500</v>
      </c>
      <c r="E1923" s="1346">
        <v>240803</v>
      </c>
      <c r="F1923" s="611" t="s">
        <v>8141</v>
      </c>
      <c r="G1923" s="1413" t="s">
        <v>2504</v>
      </c>
      <c r="H1923" s="1353">
        <f t="shared" si="365"/>
        <v>0</v>
      </c>
      <c r="I1923" s="1353">
        <f t="shared" si="366"/>
        <v>0</v>
      </c>
      <c r="K1923" s="1355">
        <v>3663</v>
      </c>
      <c r="L1923" s="1355" t="s">
        <v>8142</v>
      </c>
    </row>
    <row r="1924" spans="2:12">
      <c r="B1924" s="5" t="s">
        <v>8143</v>
      </c>
      <c r="C1924" s="26" t="s">
        <v>8144</v>
      </c>
      <c r="D1924" s="1347">
        <v>0</v>
      </c>
      <c r="E1924" s="1346">
        <v>0</v>
      </c>
      <c r="F1924" s="611" t="s">
        <v>8145</v>
      </c>
      <c r="G1924" s="1413" t="s">
        <v>2504</v>
      </c>
      <c r="H1924" s="1353">
        <f t="shared" si="365"/>
        <v>0</v>
      </c>
      <c r="I1924" s="1353">
        <f t="shared" si="366"/>
        <v>0</v>
      </c>
      <c r="K1924" s="1355">
        <v>3664</v>
      </c>
      <c r="L1924" s="1355" t="s">
        <v>8146</v>
      </c>
    </row>
    <row r="1925" spans="2:12">
      <c r="B1925" s="5" t="s">
        <v>8147</v>
      </c>
      <c r="C1925" s="26" t="s">
        <v>8148</v>
      </c>
      <c r="D1925" s="1347">
        <v>0</v>
      </c>
      <c r="E1925" s="1346">
        <v>0</v>
      </c>
      <c r="F1925" s="611" t="s">
        <v>8149</v>
      </c>
      <c r="G1925" s="1413" t="s">
        <v>2504</v>
      </c>
      <c r="H1925" s="1353">
        <f t="shared" si="365"/>
        <v>0</v>
      </c>
      <c r="I1925" s="1353">
        <f t="shared" si="366"/>
        <v>0</v>
      </c>
      <c r="K1925" s="1355">
        <v>3665</v>
      </c>
      <c r="L1925" s="1355" t="s">
        <v>8150</v>
      </c>
    </row>
    <row r="1926" spans="2:12">
      <c r="B1926" s="5" t="s">
        <v>8151</v>
      </c>
      <c r="C1926" s="26" t="s">
        <v>8152</v>
      </c>
      <c r="D1926" s="1347">
        <v>0</v>
      </c>
      <c r="E1926" s="1346">
        <v>0</v>
      </c>
      <c r="F1926" s="611" t="s">
        <v>8153</v>
      </c>
      <c r="G1926" s="1413" t="s">
        <v>2504</v>
      </c>
      <c r="H1926" s="1353">
        <f t="shared" si="365"/>
        <v>0</v>
      </c>
      <c r="I1926" s="1353">
        <f t="shared" si="366"/>
        <v>0</v>
      </c>
      <c r="K1926" s="1355">
        <v>3666</v>
      </c>
      <c r="L1926" s="1355" t="s">
        <v>8154</v>
      </c>
    </row>
    <row r="1927" spans="2:12">
      <c r="B1927" s="5" t="s">
        <v>8155</v>
      </c>
      <c r="C1927" s="26" t="s">
        <v>8156</v>
      </c>
      <c r="D1927" s="1347">
        <v>0</v>
      </c>
      <c r="E1927" s="1346">
        <v>305381</v>
      </c>
      <c r="F1927" s="611" t="s">
        <v>8157</v>
      </c>
      <c r="G1927" s="1413" t="s">
        <v>2504</v>
      </c>
      <c r="H1927" s="1353">
        <f t="shared" si="365"/>
        <v>0</v>
      </c>
      <c r="I1927" s="1353">
        <f t="shared" si="366"/>
        <v>0</v>
      </c>
      <c r="K1927" s="1355">
        <v>3667</v>
      </c>
      <c r="L1927" s="1355" t="s">
        <v>8158</v>
      </c>
    </row>
    <row r="1928" spans="2:12">
      <c r="B1928" s="5" t="s">
        <v>8159</v>
      </c>
      <c r="C1928" s="26" t="s">
        <v>8160</v>
      </c>
      <c r="D1928" s="1347">
        <v>413969</v>
      </c>
      <c r="E1928" s="1346">
        <v>2103206</v>
      </c>
      <c r="F1928" s="611" t="s">
        <v>8161</v>
      </c>
      <c r="G1928" s="1413" t="s">
        <v>2504</v>
      </c>
      <c r="H1928" s="1353">
        <f t="shared" si="365"/>
        <v>0</v>
      </c>
      <c r="I1928" s="1353">
        <f t="shared" si="366"/>
        <v>0</v>
      </c>
      <c r="K1928" s="1355">
        <v>3668</v>
      </c>
      <c r="L1928" s="1355" t="s">
        <v>8162</v>
      </c>
    </row>
    <row r="1929" spans="2:12">
      <c r="B1929" s="5" t="s">
        <v>8163</v>
      </c>
      <c r="C1929" s="26" t="s">
        <v>8164</v>
      </c>
      <c r="D1929" s="1347">
        <v>453080</v>
      </c>
      <c r="E1929" s="1346">
        <v>1169058</v>
      </c>
      <c r="F1929" s="611" t="s">
        <v>8165</v>
      </c>
      <c r="G1929" s="1413" t="s">
        <v>2504</v>
      </c>
      <c r="H1929" s="1353">
        <f t="shared" si="365"/>
        <v>0</v>
      </c>
      <c r="I1929" s="1353">
        <f t="shared" si="366"/>
        <v>0</v>
      </c>
      <c r="K1929" s="1355">
        <v>3669</v>
      </c>
      <c r="L1929" s="1355" t="s">
        <v>8166</v>
      </c>
    </row>
    <row r="1930" spans="2:12">
      <c r="B1930" s="5" t="s">
        <v>8167</v>
      </c>
      <c r="C1930" s="26" t="s">
        <v>8168</v>
      </c>
      <c r="D1930" s="1347">
        <v>0</v>
      </c>
      <c r="E1930" s="1346">
        <v>0</v>
      </c>
      <c r="F1930" s="611" t="s">
        <v>8169</v>
      </c>
      <c r="G1930" s="1413" t="s">
        <v>2504</v>
      </c>
      <c r="H1930" s="1353">
        <f t="shared" si="365"/>
        <v>0</v>
      </c>
      <c r="I1930" s="1353">
        <f t="shared" si="366"/>
        <v>0</v>
      </c>
      <c r="K1930" s="1355">
        <v>3670</v>
      </c>
      <c r="L1930" s="1355" t="s">
        <v>8170</v>
      </c>
    </row>
    <row r="1931" spans="2:12">
      <c r="B1931" s="5" t="s">
        <v>8171</v>
      </c>
      <c r="C1931" s="26" t="s">
        <v>8172</v>
      </c>
      <c r="D1931" s="1347">
        <v>0</v>
      </c>
      <c r="E1931" s="1346">
        <v>0</v>
      </c>
      <c r="F1931" s="611" t="s">
        <v>8173</v>
      </c>
      <c r="G1931" s="1413" t="s">
        <v>2504</v>
      </c>
      <c r="H1931" s="1353">
        <f t="shared" si="365"/>
        <v>0</v>
      </c>
      <c r="I1931" s="1353">
        <f t="shared" si="366"/>
        <v>0</v>
      </c>
      <c r="K1931" s="1355">
        <v>3671</v>
      </c>
      <c r="L1931" s="1355" t="s">
        <v>8174</v>
      </c>
    </row>
    <row r="1932" spans="2:12">
      <c r="B1932" s="5" t="s">
        <v>8175</v>
      </c>
      <c r="C1932" s="26" t="s">
        <v>8176</v>
      </c>
      <c r="D1932" s="1347">
        <v>0</v>
      </c>
      <c r="E1932" s="1346">
        <v>0</v>
      </c>
      <c r="F1932" s="611" t="s">
        <v>8177</v>
      </c>
      <c r="G1932" s="1413" t="s">
        <v>2504</v>
      </c>
      <c r="H1932" s="1353">
        <f t="shared" si="365"/>
        <v>0</v>
      </c>
      <c r="I1932" s="1353">
        <f t="shared" si="366"/>
        <v>0</v>
      </c>
      <c r="K1932" s="1355">
        <v>3672</v>
      </c>
      <c r="L1932" s="1355" t="s">
        <v>8178</v>
      </c>
    </row>
    <row r="1933" spans="2:12">
      <c r="B1933" s="5" t="s">
        <v>8179</v>
      </c>
      <c r="C1933" s="26" t="s">
        <v>8180</v>
      </c>
      <c r="D1933" s="1347">
        <v>-996</v>
      </c>
      <c r="E1933" s="1346">
        <v>53320</v>
      </c>
      <c r="F1933" s="611" t="s">
        <v>8181</v>
      </c>
      <c r="G1933" s="1413" t="s">
        <v>2504</v>
      </c>
      <c r="H1933" s="1353">
        <f t="shared" si="365"/>
        <v>0</v>
      </c>
      <c r="I1933" s="1353">
        <f t="shared" si="366"/>
        <v>0</v>
      </c>
      <c r="K1933" s="1355">
        <v>3673</v>
      </c>
      <c r="L1933" s="1355" t="s">
        <v>8182</v>
      </c>
    </row>
    <row r="1934" spans="2:12">
      <c r="B1934" s="5" t="s">
        <v>8183</v>
      </c>
      <c r="C1934" s="26" t="s">
        <v>8184</v>
      </c>
      <c r="D1934" s="1347">
        <v>0</v>
      </c>
      <c r="E1934" s="1346">
        <v>0</v>
      </c>
      <c r="F1934" s="611" t="s">
        <v>8185</v>
      </c>
      <c r="G1934" s="1413" t="s">
        <v>2504</v>
      </c>
      <c r="H1934" s="1353">
        <f t="shared" si="365"/>
        <v>0</v>
      </c>
      <c r="I1934" s="1353">
        <f t="shared" si="366"/>
        <v>0</v>
      </c>
      <c r="K1934" s="1355">
        <v>3674</v>
      </c>
      <c r="L1934" s="1355" t="s">
        <v>8186</v>
      </c>
    </row>
    <row r="1935" spans="2:12">
      <c r="B1935" s="5" t="s">
        <v>8187</v>
      </c>
      <c r="C1935" s="26" t="s">
        <v>8188</v>
      </c>
      <c r="D1935" s="1347">
        <v>0</v>
      </c>
      <c r="E1935" s="1346">
        <v>0</v>
      </c>
      <c r="F1935" s="611" t="s">
        <v>8189</v>
      </c>
      <c r="G1935" s="1413" t="s">
        <v>2504</v>
      </c>
      <c r="H1935" s="1353">
        <f t="shared" si="365"/>
        <v>0</v>
      </c>
      <c r="I1935" s="1353">
        <f t="shared" si="366"/>
        <v>0</v>
      </c>
      <c r="K1935" s="1355">
        <v>3675</v>
      </c>
      <c r="L1935" s="1355" t="s">
        <v>8190</v>
      </c>
    </row>
    <row r="1936" spans="2:12">
      <c r="B1936" s="5" t="s">
        <v>8191</v>
      </c>
      <c r="C1936" s="26" t="s">
        <v>8192</v>
      </c>
      <c r="D1936" s="1347">
        <v>0</v>
      </c>
      <c r="E1936" s="1346">
        <v>0</v>
      </c>
      <c r="F1936" s="611" t="s">
        <v>8193</v>
      </c>
      <c r="G1936" s="1413" t="s">
        <v>2504</v>
      </c>
      <c r="H1936" s="1353">
        <f>M1455-M1467</f>
        <v>0</v>
      </c>
      <c r="I1936" s="1353">
        <f>N1455-N1467</f>
        <v>0</v>
      </c>
      <c r="K1936" s="1355">
        <v>3676</v>
      </c>
      <c r="L1936" s="1355" t="s">
        <v>8194</v>
      </c>
    </row>
    <row r="1937" spans="1:12">
      <c r="B1937" s="5" t="s">
        <v>8195</v>
      </c>
      <c r="C1937" s="26" t="s">
        <v>8196</v>
      </c>
      <c r="D1937" s="1347">
        <v>0</v>
      </c>
      <c r="E1937" s="1346">
        <v>0</v>
      </c>
      <c r="F1937" s="611" t="s">
        <v>8197</v>
      </c>
      <c r="G1937" s="1418" t="s">
        <v>2504</v>
      </c>
      <c r="H1937" s="1353">
        <f>M1456-M1468</f>
        <v>0</v>
      </c>
      <c r="I1937" s="1353">
        <f>N1456-N1468</f>
        <v>0</v>
      </c>
      <c r="K1937" s="1355">
        <v>3677</v>
      </c>
      <c r="L1937" s="1355" t="s">
        <v>8198</v>
      </c>
    </row>
    <row r="1938" spans="1:12">
      <c r="B1938" s="5" t="s">
        <v>8199</v>
      </c>
      <c r="C1938" s="26" t="s">
        <v>8200</v>
      </c>
      <c r="D1938" s="1347">
        <v>0</v>
      </c>
      <c r="E1938" s="1346">
        <v>0</v>
      </c>
      <c r="F1938" s="611" t="s">
        <v>8201</v>
      </c>
      <c r="G1938" s="1418" t="s">
        <v>2504</v>
      </c>
      <c r="H1938" s="1353">
        <f>M1458-M1470</f>
        <v>0</v>
      </c>
      <c r="I1938" s="1353">
        <f>N1458-N1470</f>
        <v>0</v>
      </c>
      <c r="K1938" s="1355">
        <v>3678</v>
      </c>
      <c r="L1938" s="1355" t="s">
        <v>8202</v>
      </c>
    </row>
    <row r="1939" spans="1:12">
      <c r="B1939" s="5" t="s">
        <v>8203</v>
      </c>
      <c r="C1939" s="26" t="s">
        <v>8204</v>
      </c>
      <c r="D1939" s="1347">
        <v>40294</v>
      </c>
      <c r="E1939" s="1346">
        <v>171153</v>
      </c>
      <c r="F1939" s="611" t="s">
        <v>8205</v>
      </c>
      <c r="G1939" s="1391">
        <v>1496</v>
      </c>
      <c r="H1939" s="1353">
        <f>M1471</f>
        <v>0</v>
      </c>
      <c r="I1939" s="1353">
        <f>N1471</f>
        <v>0</v>
      </c>
      <c r="K1939" s="1355">
        <v>3679</v>
      </c>
      <c r="L1939" s="1355" t="s">
        <v>8206</v>
      </c>
    </row>
    <row r="1940" spans="1:12">
      <c r="A1940" s="611" t="s">
        <v>3545</v>
      </c>
      <c r="B1940" s="5" t="s">
        <v>8207</v>
      </c>
      <c r="C1940" s="26" t="s">
        <v>415</v>
      </c>
      <c r="D1940" s="1347">
        <v>0</v>
      </c>
      <c r="E1940" s="1346">
        <v>0</v>
      </c>
      <c r="F1940" s="611" t="s">
        <v>8208</v>
      </c>
      <c r="G1940" s="1414">
        <v>4310</v>
      </c>
      <c r="H1940" s="1353">
        <f t="shared" ref="H1940:H1958" si="367">M2395</f>
        <v>0</v>
      </c>
      <c r="I1940" s="1353">
        <f t="shared" ref="I1940:I1958" si="368">N2395</f>
        <v>0</v>
      </c>
      <c r="K1940" s="1355">
        <v>3680</v>
      </c>
      <c r="L1940" s="1355" t="s">
        <v>8209</v>
      </c>
    </row>
    <row r="1941" spans="1:12">
      <c r="B1941" s="5" t="s">
        <v>8210</v>
      </c>
      <c r="C1941" s="26" t="s">
        <v>416</v>
      </c>
      <c r="D1941" s="1347">
        <v>0</v>
      </c>
      <c r="E1941" s="1346">
        <v>0</v>
      </c>
      <c r="F1941" s="611" t="s">
        <v>8211</v>
      </c>
      <c r="G1941" s="1414">
        <v>4311</v>
      </c>
      <c r="H1941" s="1353">
        <f t="shared" si="367"/>
        <v>0</v>
      </c>
      <c r="I1941" s="1353">
        <f t="shared" si="368"/>
        <v>0</v>
      </c>
      <c r="K1941" s="1355">
        <v>3681</v>
      </c>
      <c r="L1941" s="1355" t="s">
        <v>8212</v>
      </c>
    </row>
    <row r="1942" spans="1:12">
      <c r="B1942" s="5" t="s">
        <v>8213</v>
      </c>
      <c r="C1942" s="26" t="s">
        <v>417</v>
      </c>
      <c r="D1942" s="1347">
        <v>0</v>
      </c>
      <c r="E1942" s="1346">
        <v>0</v>
      </c>
      <c r="F1942" s="611" t="s">
        <v>8214</v>
      </c>
      <c r="G1942" s="1414">
        <v>4312</v>
      </c>
      <c r="H1942" s="1353">
        <f t="shared" si="367"/>
        <v>0</v>
      </c>
      <c r="I1942" s="1353">
        <f t="shared" si="368"/>
        <v>0</v>
      </c>
      <c r="K1942" s="1355">
        <v>3682</v>
      </c>
      <c r="L1942" s="1355" t="s">
        <v>8215</v>
      </c>
    </row>
    <row r="1943" spans="1:12">
      <c r="B1943" s="5" t="s">
        <v>8216</v>
      </c>
      <c r="C1943" s="26" t="s">
        <v>418</v>
      </c>
      <c r="D1943" s="1347">
        <v>0</v>
      </c>
      <c r="E1943" s="1346">
        <v>0</v>
      </c>
      <c r="F1943" s="611" t="s">
        <v>8217</v>
      </c>
      <c r="G1943" s="1414">
        <v>4313</v>
      </c>
      <c r="H1943" s="1353">
        <f t="shared" si="367"/>
        <v>0</v>
      </c>
      <c r="I1943" s="1353">
        <f t="shared" si="368"/>
        <v>0</v>
      </c>
      <c r="K1943" s="1355">
        <v>3683</v>
      </c>
      <c r="L1943" s="1355" t="s">
        <v>8218</v>
      </c>
    </row>
    <row r="1944" spans="1:12">
      <c r="B1944" s="5" t="s">
        <v>8219</v>
      </c>
      <c r="C1944" s="26" t="s">
        <v>419</v>
      </c>
      <c r="D1944" s="1347">
        <v>0</v>
      </c>
      <c r="E1944" s="1346">
        <v>0</v>
      </c>
      <c r="F1944" s="611" t="s">
        <v>8220</v>
      </c>
      <c r="G1944" s="1414">
        <v>4314</v>
      </c>
      <c r="H1944" s="1353">
        <f t="shared" si="367"/>
        <v>0</v>
      </c>
      <c r="I1944" s="1353">
        <f t="shared" si="368"/>
        <v>0</v>
      </c>
      <c r="K1944" s="1355">
        <v>3684</v>
      </c>
      <c r="L1944" s="1355" t="s">
        <v>8221</v>
      </c>
    </row>
    <row r="1945" spans="1:12">
      <c r="B1945" s="5" t="s">
        <v>8222</v>
      </c>
      <c r="C1945" s="26" t="s">
        <v>420</v>
      </c>
      <c r="D1945" s="1347">
        <v>0</v>
      </c>
      <c r="E1945" s="1346">
        <v>0</v>
      </c>
      <c r="F1945" s="611" t="s">
        <v>8223</v>
      </c>
      <c r="G1945" s="1414">
        <v>4315</v>
      </c>
      <c r="H1945" s="1353">
        <f t="shared" si="367"/>
        <v>0</v>
      </c>
      <c r="I1945" s="1353">
        <f t="shared" si="368"/>
        <v>0</v>
      </c>
      <c r="K1945" s="1355">
        <v>3685</v>
      </c>
      <c r="L1945" s="1355" t="s">
        <v>8224</v>
      </c>
    </row>
    <row r="1946" spans="1:12">
      <c r="B1946" s="5" t="s">
        <v>8225</v>
      </c>
      <c r="C1946" s="26" t="s">
        <v>421</v>
      </c>
      <c r="D1946" s="1347">
        <v>0</v>
      </c>
      <c r="E1946" s="1346">
        <v>0</v>
      </c>
      <c r="F1946" s="611" t="s">
        <v>8226</v>
      </c>
      <c r="G1946" s="1414">
        <v>4316</v>
      </c>
      <c r="H1946" s="1353">
        <f t="shared" si="367"/>
        <v>0</v>
      </c>
      <c r="I1946" s="1353">
        <f t="shared" si="368"/>
        <v>0</v>
      </c>
      <c r="K1946" s="1355">
        <v>3686</v>
      </c>
      <c r="L1946" s="1355" t="s">
        <v>8227</v>
      </c>
    </row>
    <row r="1947" spans="1:12">
      <c r="B1947" s="5" t="s">
        <v>8228</v>
      </c>
      <c r="C1947" s="26" t="s">
        <v>422</v>
      </c>
      <c r="D1947" s="1347">
        <v>0</v>
      </c>
      <c r="E1947" s="1346">
        <v>0</v>
      </c>
      <c r="F1947" s="611" t="s">
        <v>8229</v>
      </c>
      <c r="G1947" s="1414">
        <v>4317</v>
      </c>
      <c r="H1947" s="1353">
        <f t="shared" si="367"/>
        <v>0</v>
      </c>
      <c r="I1947" s="1353">
        <f t="shared" si="368"/>
        <v>0</v>
      </c>
      <c r="K1947" s="1355">
        <v>3687</v>
      </c>
      <c r="L1947" s="1355" t="s">
        <v>8230</v>
      </c>
    </row>
    <row r="1948" spans="1:12">
      <c r="B1948" s="5" t="s">
        <v>8231</v>
      </c>
      <c r="C1948" s="26" t="s">
        <v>423</v>
      </c>
      <c r="D1948" s="1347">
        <v>0</v>
      </c>
      <c r="E1948" s="1346">
        <v>0</v>
      </c>
      <c r="F1948" s="611" t="s">
        <v>8232</v>
      </c>
      <c r="G1948" s="1414">
        <v>4318</v>
      </c>
      <c r="H1948" s="1353">
        <f t="shared" si="367"/>
        <v>0</v>
      </c>
      <c r="I1948" s="1353">
        <f t="shared" si="368"/>
        <v>0</v>
      </c>
      <c r="K1948" s="1355">
        <v>3688</v>
      </c>
      <c r="L1948" s="1355" t="s">
        <v>8233</v>
      </c>
    </row>
    <row r="1949" spans="1:12">
      <c r="B1949" s="5" t="s">
        <v>8234</v>
      </c>
      <c r="C1949" s="26" t="s">
        <v>424</v>
      </c>
      <c r="D1949" s="1347">
        <v>0</v>
      </c>
      <c r="E1949" s="1346">
        <v>0</v>
      </c>
      <c r="F1949" s="611" t="s">
        <v>8235</v>
      </c>
      <c r="G1949" s="1414">
        <v>4319</v>
      </c>
      <c r="H1949" s="1353">
        <f t="shared" si="367"/>
        <v>0</v>
      </c>
      <c r="I1949" s="1353">
        <f t="shared" si="368"/>
        <v>0</v>
      </c>
      <c r="K1949" s="1355">
        <v>3689</v>
      </c>
      <c r="L1949" s="1355" t="s">
        <v>8236</v>
      </c>
    </row>
    <row r="1950" spans="1:12">
      <c r="B1950" s="5" t="s">
        <v>8237</v>
      </c>
      <c r="C1950" s="26" t="s">
        <v>425</v>
      </c>
      <c r="D1950" s="1347">
        <v>0</v>
      </c>
      <c r="E1950" s="1346">
        <v>0</v>
      </c>
      <c r="F1950" s="611" t="s">
        <v>8238</v>
      </c>
      <c r="G1950" s="1414">
        <v>4320</v>
      </c>
      <c r="H1950" s="1353">
        <f t="shared" si="367"/>
        <v>0</v>
      </c>
      <c r="I1950" s="1353">
        <f t="shared" si="368"/>
        <v>0</v>
      </c>
      <c r="K1950" s="1355">
        <v>3690</v>
      </c>
      <c r="L1950" s="1355" t="s">
        <v>8239</v>
      </c>
    </row>
    <row r="1951" spans="1:12">
      <c r="B1951" s="5" t="s">
        <v>8240</v>
      </c>
      <c r="C1951" s="26" t="s">
        <v>426</v>
      </c>
      <c r="D1951" s="1347">
        <v>0</v>
      </c>
      <c r="E1951" s="1346">
        <v>0</v>
      </c>
      <c r="F1951" s="611" t="s">
        <v>8241</v>
      </c>
      <c r="G1951" s="1414">
        <v>4321</v>
      </c>
      <c r="H1951" s="1353">
        <f t="shared" si="367"/>
        <v>0</v>
      </c>
      <c r="I1951" s="1353">
        <f t="shared" si="368"/>
        <v>0</v>
      </c>
      <c r="K1951" s="1355">
        <v>3691</v>
      </c>
      <c r="L1951" s="1355" t="s">
        <v>8242</v>
      </c>
    </row>
    <row r="1952" spans="1:12">
      <c r="B1952" s="5" t="s">
        <v>8243</v>
      </c>
      <c r="C1952" s="26" t="s">
        <v>427</v>
      </c>
      <c r="D1952" s="1347">
        <v>0</v>
      </c>
      <c r="E1952" s="1346">
        <v>0</v>
      </c>
      <c r="F1952" s="611" t="s">
        <v>8244</v>
      </c>
      <c r="G1952" s="1414">
        <v>4322</v>
      </c>
      <c r="H1952" s="1353">
        <f t="shared" si="367"/>
        <v>0</v>
      </c>
      <c r="I1952" s="1353">
        <f t="shared" si="368"/>
        <v>0</v>
      </c>
      <c r="K1952" s="1355">
        <v>3692</v>
      </c>
      <c r="L1952" s="1355" t="s">
        <v>8245</v>
      </c>
    </row>
    <row r="1953" spans="2:12">
      <c r="B1953" s="5" t="s">
        <v>8246</v>
      </c>
      <c r="C1953" s="26" t="s">
        <v>428</v>
      </c>
      <c r="D1953" s="1347">
        <v>0</v>
      </c>
      <c r="E1953" s="1346">
        <v>0</v>
      </c>
      <c r="F1953" s="611" t="s">
        <v>8247</v>
      </c>
      <c r="G1953" s="1414">
        <v>4323</v>
      </c>
      <c r="H1953" s="1353">
        <f t="shared" si="367"/>
        <v>0</v>
      </c>
      <c r="I1953" s="1353">
        <f t="shared" si="368"/>
        <v>0</v>
      </c>
      <c r="K1953" s="1355">
        <v>3693</v>
      </c>
      <c r="L1953" s="1355" t="s">
        <v>8248</v>
      </c>
    </row>
    <row r="1954" spans="2:12">
      <c r="B1954" s="5" t="s">
        <v>8249</v>
      </c>
      <c r="C1954" s="26" t="s">
        <v>429</v>
      </c>
      <c r="D1954" s="1347">
        <v>0</v>
      </c>
      <c r="E1954" s="1346">
        <v>0</v>
      </c>
      <c r="F1954" s="611" t="s">
        <v>8250</v>
      </c>
      <c r="G1954" s="1414">
        <v>4324</v>
      </c>
      <c r="H1954" s="1353">
        <f t="shared" si="367"/>
        <v>0</v>
      </c>
      <c r="I1954" s="1353">
        <f t="shared" si="368"/>
        <v>0</v>
      </c>
      <c r="K1954" s="1355">
        <v>3694</v>
      </c>
      <c r="L1954" s="1355" t="s">
        <v>8251</v>
      </c>
    </row>
    <row r="1955" spans="2:12">
      <c r="B1955" s="5" t="s">
        <v>8252</v>
      </c>
      <c r="C1955" s="26" t="s">
        <v>430</v>
      </c>
      <c r="D1955" s="1347">
        <v>0</v>
      </c>
      <c r="E1955" s="1346">
        <v>0</v>
      </c>
      <c r="F1955" s="611" t="s">
        <v>8253</v>
      </c>
      <c r="G1955" s="1414">
        <v>4325</v>
      </c>
      <c r="H1955" s="1353">
        <f t="shared" si="367"/>
        <v>0</v>
      </c>
      <c r="I1955" s="1353">
        <f t="shared" si="368"/>
        <v>0</v>
      </c>
      <c r="K1955" s="1355">
        <v>3695</v>
      </c>
      <c r="L1955" s="1355" t="s">
        <v>8254</v>
      </c>
    </row>
    <row r="1956" spans="2:12">
      <c r="B1956" s="5" t="s">
        <v>8255</v>
      </c>
      <c r="C1956" s="26" t="s">
        <v>431</v>
      </c>
      <c r="D1956" s="1347">
        <v>0</v>
      </c>
      <c r="E1956" s="1346">
        <v>0</v>
      </c>
      <c r="F1956" s="611" t="s">
        <v>8256</v>
      </c>
      <c r="G1956" s="1414">
        <v>4326</v>
      </c>
      <c r="H1956" s="1353">
        <f t="shared" si="367"/>
        <v>0</v>
      </c>
      <c r="I1956" s="1353">
        <f t="shared" si="368"/>
        <v>0</v>
      </c>
      <c r="K1956" s="1355">
        <v>3696</v>
      </c>
      <c r="L1956" s="1355" t="s">
        <v>8257</v>
      </c>
    </row>
    <row r="1957" spans="2:12">
      <c r="B1957" s="5" t="s">
        <v>8258</v>
      </c>
      <c r="C1957" s="26" t="s">
        <v>432</v>
      </c>
      <c r="D1957" s="1347">
        <v>0</v>
      </c>
      <c r="E1957" s="1346">
        <v>0</v>
      </c>
      <c r="F1957" s="611" t="s">
        <v>8259</v>
      </c>
      <c r="G1957" s="1414">
        <v>4327</v>
      </c>
      <c r="H1957" s="1353">
        <f t="shared" si="367"/>
        <v>0</v>
      </c>
      <c r="I1957" s="1353">
        <f t="shared" si="368"/>
        <v>0</v>
      </c>
      <c r="K1957" s="1355">
        <v>3697</v>
      </c>
      <c r="L1957" s="1355" t="s">
        <v>8260</v>
      </c>
    </row>
    <row r="1958" spans="2:12">
      <c r="B1958" s="5" t="s">
        <v>8261</v>
      </c>
      <c r="C1958" s="26" t="s">
        <v>433</v>
      </c>
      <c r="D1958" s="1347">
        <v>0</v>
      </c>
      <c r="E1958" s="1346">
        <v>0</v>
      </c>
      <c r="F1958" s="611" t="s">
        <v>8262</v>
      </c>
      <c r="G1958" s="1414">
        <v>4328</v>
      </c>
      <c r="H1958" s="1353">
        <f t="shared" si="367"/>
        <v>0</v>
      </c>
      <c r="I1958" s="1353">
        <f t="shared" si="368"/>
        <v>0</v>
      </c>
      <c r="K1958" s="1355">
        <v>3698</v>
      </c>
      <c r="L1958" s="1355" t="s">
        <v>8263</v>
      </c>
    </row>
    <row r="1959" spans="2:12">
      <c r="B1959" s="5" t="s">
        <v>8264</v>
      </c>
      <c r="C1959" s="26" t="s">
        <v>8265</v>
      </c>
      <c r="D1959" s="1347">
        <v>0</v>
      </c>
      <c r="E1959" s="1346">
        <v>0</v>
      </c>
      <c r="F1959" s="611" t="s">
        <v>8266</v>
      </c>
      <c r="G1959" s="1408">
        <v>1427</v>
      </c>
      <c r="H1959" s="1353">
        <f>M1402</f>
        <v>0</v>
      </c>
      <c r="I1959" s="1353">
        <f>N1402</f>
        <v>0</v>
      </c>
      <c r="K1959" s="1355">
        <v>3699</v>
      </c>
      <c r="L1959" s="1355" t="s">
        <v>8267</v>
      </c>
    </row>
    <row r="1960" spans="2:12">
      <c r="B1960" s="5" t="s">
        <v>8268</v>
      </c>
      <c r="C1960" s="26" t="s">
        <v>435</v>
      </c>
      <c r="D1960" s="1347">
        <v>0</v>
      </c>
      <c r="E1960" s="1346">
        <v>0</v>
      </c>
      <c r="F1960" s="611" t="s">
        <v>8269</v>
      </c>
      <c r="G1960" s="1408">
        <v>1428</v>
      </c>
      <c r="H1960" s="1353">
        <f>M1403</f>
        <v>0</v>
      </c>
      <c r="I1960" s="1353">
        <f>N1403</f>
        <v>0</v>
      </c>
      <c r="K1960" s="1355">
        <v>3700</v>
      </c>
      <c r="L1960" s="1355" t="s">
        <v>8270</v>
      </c>
    </row>
    <row r="1961" spans="2:12">
      <c r="B1961" s="5" t="s">
        <v>8271</v>
      </c>
      <c r="C1961" s="26" t="s">
        <v>436</v>
      </c>
      <c r="D1961" s="1347">
        <v>267146</v>
      </c>
      <c r="E1961" s="1346">
        <v>409880</v>
      </c>
      <c r="F1961" s="611" t="s">
        <v>8272</v>
      </c>
      <c r="G1961" s="1414">
        <v>4329</v>
      </c>
      <c r="H1961" s="1353">
        <f t="shared" ref="H1961:H1976" si="369">M2414</f>
        <v>0</v>
      </c>
      <c r="I1961" s="1353">
        <f t="shared" ref="I1961:I1976" si="370">N2414</f>
        <v>0</v>
      </c>
      <c r="K1961" s="1355">
        <v>3701</v>
      </c>
      <c r="L1961" s="1355" t="s">
        <v>8273</v>
      </c>
    </row>
    <row r="1962" spans="2:12">
      <c r="B1962" s="5" t="s">
        <v>8274</v>
      </c>
      <c r="C1962" s="26" t="s">
        <v>437</v>
      </c>
      <c r="D1962" s="1347">
        <v>68172</v>
      </c>
      <c r="E1962" s="1346">
        <v>195870</v>
      </c>
      <c r="F1962" s="611" t="s">
        <v>8275</v>
      </c>
      <c r="G1962" s="1414">
        <v>4330</v>
      </c>
      <c r="H1962" s="1353">
        <f t="shared" si="369"/>
        <v>0</v>
      </c>
      <c r="I1962" s="1353">
        <f t="shared" si="370"/>
        <v>0</v>
      </c>
      <c r="K1962" s="1355">
        <v>3702</v>
      </c>
      <c r="L1962" s="1355" t="s">
        <v>8276</v>
      </c>
    </row>
    <row r="1963" spans="2:12">
      <c r="B1963" s="5" t="s">
        <v>8277</v>
      </c>
      <c r="C1963" s="26" t="s">
        <v>438</v>
      </c>
      <c r="D1963" s="1347">
        <v>194219</v>
      </c>
      <c r="E1963" s="1346">
        <v>355447</v>
      </c>
      <c r="F1963" s="611" t="s">
        <v>8278</v>
      </c>
      <c r="G1963" s="1414">
        <v>4331</v>
      </c>
      <c r="H1963" s="1353">
        <f t="shared" si="369"/>
        <v>0</v>
      </c>
      <c r="I1963" s="1353">
        <f t="shared" si="370"/>
        <v>0</v>
      </c>
      <c r="K1963" s="1355">
        <v>3703</v>
      </c>
      <c r="L1963" s="1355" t="s">
        <v>8279</v>
      </c>
    </row>
    <row r="1964" spans="2:12">
      <c r="B1964" s="5" t="s">
        <v>8280</v>
      </c>
      <c r="C1964" s="26" t="s">
        <v>439</v>
      </c>
      <c r="D1964" s="1347">
        <v>0</v>
      </c>
      <c r="E1964" s="1346">
        <v>0</v>
      </c>
      <c r="F1964" s="611" t="s">
        <v>8281</v>
      </c>
      <c r="G1964" s="1414">
        <v>4332</v>
      </c>
      <c r="H1964" s="1353">
        <f t="shared" si="369"/>
        <v>0</v>
      </c>
      <c r="I1964" s="1353">
        <f t="shared" si="370"/>
        <v>0</v>
      </c>
      <c r="K1964" s="1355">
        <v>3704</v>
      </c>
      <c r="L1964" s="1355" t="s">
        <v>8282</v>
      </c>
    </row>
    <row r="1965" spans="2:12">
      <c r="B1965" s="5" t="s">
        <v>8283</v>
      </c>
      <c r="C1965" s="26" t="s">
        <v>440</v>
      </c>
      <c r="D1965" s="1347">
        <v>0</v>
      </c>
      <c r="E1965" s="1346">
        <v>0</v>
      </c>
      <c r="F1965" s="611" t="s">
        <v>8284</v>
      </c>
      <c r="G1965" s="1414">
        <v>4333</v>
      </c>
      <c r="H1965" s="1353">
        <f t="shared" si="369"/>
        <v>0</v>
      </c>
      <c r="I1965" s="1353">
        <f t="shared" si="370"/>
        <v>0</v>
      </c>
      <c r="K1965" s="1355">
        <v>3705</v>
      </c>
      <c r="L1965" s="1355" t="s">
        <v>8285</v>
      </c>
    </row>
    <row r="1966" spans="2:12">
      <c r="B1966" s="5" t="s">
        <v>8286</v>
      </c>
      <c r="C1966" s="26" t="s">
        <v>441</v>
      </c>
      <c r="D1966" s="1347">
        <v>0</v>
      </c>
      <c r="E1966" s="1346">
        <v>0</v>
      </c>
      <c r="F1966" s="611" t="s">
        <v>8287</v>
      </c>
      <c r="G1966" s="1414">
        <v>4334</v>
      </c>
      <c r="H1966" s="1353">
        <f t="shared" si="369"/>
        <v>0</v>
      </c>
      <c r="I1966" s="1353">
        <f t="shared" si="370"/>
        <v>0</v>
      </c>
      <c r="K1966" s="1355">
        <v>3706</v>
      </c>
      <c r="L1966" s="1355" t="s">
        <v>8288</v>
      </c>
    </row>
    <row r="1967" spans="2:12">
      <c r="B1967" s="5" t="s">
        <v>8289</v>
      </c>
      <c r="C1967" s="26" t="s">
        <v>442</v>
      </c>
      <c r="D1967" s="1347">
        <v>0</v>
      </c>
      <c r="E1967" s="1346">
        <v>0</v>
      </c>
      <c r="F1967" s="611" t="s">
        <v>8290</v>
      </c>
      <c r="G1967" s="1414">
        <v>4335</v>
      </c>
      <c r="H1967" s="1353">
        <f t="shared" si="369"/>
        <v>0</v>
      </c>
      <c r="I1967" s="1353">
        <f t="shared" si="370"/>
        <v>0</v>
      </c>
      <c r="K1967" s="1355">
        <v>3707</v>
      </c>
      <c r="L1967" s="1355" t="s">
        <v>8291</v>
      </c>
    </row>
    <row r="1968" spans="2:12">
      <c r="B1968" s="5" t="s">
        <v>8292</v>
      </c>
      <c r="C1968" s="26" t="s">
        <v>443</v>
      </c>
      <c r="D1968" s="1347">
        <v>0</v>
      </c>
      <c r="E1968" s="1346">
        <v>0</v>
      </c>
      <c r="F1968" s="611" t="s">
        <v>8293</v>
      </c>
      <c r="G1968" s="1414">
        <v>4336</v>
      </c>
      <c r="H1968" s="1353">
        <f t="shared" si="369"/>
        <v>0</v>
      </c>
      <c r="I1968" s="1353">
        <f t="shared" si="370"/>
        <v>0</v>
      </c>
      <c r="K1968" s="1355">
        <v>3708</v>
      </c>
      <c r="L1968" s="1355" t="s">
        <v>8294</v>
      </c>
    </row>
    <row r="1969" spans="2:12">
      <c r="B1969" s="5" t="s">
        <v>8295</v>
      </c>
      <c r="C1969" s="26" t="s">
        <v>444</v>
      </c>
      <c r="D1969" s="1347">
        <v>0</v>
      </c>
      <c r="E1969" s="1346">
        <v>0</v>
      </c>
      <c r="F1969" s="611" t="s">
        <v>8296</v>
      </c>
      <c r="G1969" s="1414">
        <v>4337</v>
      </c>
      <c r="H1969" s="1353">
        <f t="shared" si="369"/>
        <v>0</v>
      </c>
      <c r="I1969" s="1353">
        <f t="shared" si="370"/>
        <v>0</v>
      </c>
      <c r="K1969" s="1355">
        <v>3709</v>
      </c>
      <c r="L1969" s="1355" t="s">
        <v>8297</v>
      </c>
    </row>
    <row r="1970" spans="2:12">
      <c r="B1970" s="5" t="s">
        <v>8298</v>
      </c>
      <c r="C1970" s="26" t="s">
        <v>445</v>
      </c>
      <c r="D1970" s="1347">
        <v>0</v>
      </c>
      <c r="E1970" s="1346">
        <v>0</v>
      </c>
      <c r="F1970" s="611" t="s">
        <v>8299</v>
      </c>
      <c r="G1970" s="1414">
        <v>4338</v>
      </c>
      <c r="H1970" s="1353">
        <f t="shared" si="369"/>
        <v>0</v>
      </c>
      <c r="I1970" s="1353">
        <f t="shared" si="370"/>
        <v>0</v>
      </c>
      <c r="K1970" s="1355">
        <v>3710</v>
      </c>
      <c r="L1970" s="1355" t="s">
        <v>8300</v>
      </c>
    </row>
    <row r="1971" spans="2:12">
      <c r="B1971" s="5" t="s">
        <v>8301</v>
      </c>
      <c r="C1971" s="26" t="s">
        <v>446</v>
      </c>
      <c r="D1971" s="1347">
        <v>0</v>
      </c>
      <c r="E1971" s="1346">
        <v>0</v>
      </c>
      <c r="F1971" s="611" t="s">
        <v>8302</v>
      </c>
      <c r="G1971" s="1414">
        <v>4339</v>
      </c>
      <c r="H1971" s="1353">
        <f t="shared" si="369"/>
        <v>0</v>
      </c>
      <c r="I1971" s="1353">
        <f t="shared" si="370"/>
        <v>0</v>
      </c>
      <c r="K1971" s="1355">
        <v>3711</v>
      </c>
      <c r="L1971" s="1355" t="s">
        <v>8303</v>
      </c>
    </row>
    <row r="1972" spans="2:12">
      <c r="B1972" s="5" t="s">
        <v>8304</v>
      </c>
      <c r="C1972" s="26" t="s">
        <v>447</v>
      </c>
      <c r="D1972" s="1347">
        <v>0</v>
      </c>
      <c r="E1972" s="1346">
        <v>0</v>
      </c>
      <c r="F1972" s="611" t="s">
        <v>8305</v>
      </c>
      <c r="G1972" s="1414">
        <v>4340</v>
      </c>
      <c r="H1972" s="1353">
        <f t="shared" si="369"/>
        <v>0</v>
      </c>
      <c r="I1972" s="1353">
        <f t="shared" si="370"/>
        <v>0</v>
      </c>
      <c r="K1972" s="1355">
        <v>3712</v>
      </c>
      <c r="L1972" s="1355" t="s">
        <v>8306</v>
      </c>
    </row>
    <row r="1973" spans="2:12">
      <c r="B1973" s="5" t="s">
        <v>8307</v>
      </c>
      <c r="C1973" s="26" t="s">
        <v>448</v>
      </c>
      <c r="D1973" s="1347">
        <v>0</v>
      </c>
      <c r="E1973" s="1346">
        <v>0</v>
      </c>
      <c r="F1973" s="611" t="s">
        <v>8308</v>
      </c>
      <c r="G1973" s="1414">
        <v>4341</v>
      </c>
      <c r="H1973" s="1353">
        <f t="shared" si="369"/>
        <v>0</v>
      </c>
      <c r="I1973" s="1353">
        <f t="shared" si="370"/>
        <v>0</v>
      </c>
      <c r="K1973" s="1355">
        <v>3713</v>
      </c>
      <c r="L1973" s="1355" t="s">
        <v>8309</v>
      </c>
    </row>
    <row r="1974" spans="2:12">
      <c r="B1974" s="5" t="s">
        <v>8310</v>
      </c>
      <c r="C1974" s="26" t="s">
        <v>449</v>
      </c>
      <c r="D1974" s="1347">
        <v>0</v>
      </c>
      <c r="E1974" s="1346">
        <v>0</v>
      </c>
      <c r="F1974" s="611" t="s">
        <v>8311</v>
      </c>
      <c r="G1974" s="1414">
        <v>4342</v>
      </c>
      <c r="H1974" s="1353">
        <f t="shared" si="369"/>
        <v>0</v>
      </c>
      <c r="I1974" s="1353">
        <f t="shared" si="370"/>
        <v>0</v>
      </c>
      <c r="K1974" s="1355">
        <v>3714</v>
      </c>
      <c r="L1974" s="1355" t="s">
        <v>8312</v>
      </c>
    </row>
    <row r="1975" spans="2:12">
      <c r="B1975" s="5" t="s">
        <v>8313</v>
      </c>
      <c r="C1975" s="26" t="s">
        <v>450</v>
      </c>
      <c r="D1975" s="1347">
        <v>0</v>
      </c>
      <c r="E1975" s="1346">
        <v>0</v>
      </c>
      <c r="F1975" s="611" t="s">
        <v>8314</v>
      </c>
      <c r="G1975" s="1414">
        <v>4343</v>
      </c>
      <c r="H1975" s="1353">
        <f t="shared" si="369"/>
        <v>0</v>
      </c>
      <c r="I1975" s="1353">
        <f t="shared" si="370"/>
        <v>0</v>
      </c>
      <c r="K1975" s="1355">
        <v>3715</v>
      </c>
      <c r="L1975" s="1355" t="s">
        <v>8315</v>
      </c>
    </row>
    <row r="1976" spans="2:12">
      <c r="B1976" s="5" t="s">
        <v>8316</v>
      </c>
      <c r="C1976" s="26" t="s">
        <v>451</v>
      </c>
      <c r="D1976" s="1347">
        <v>0</v>
      </c>
      <c r="E1976" s="1346">
        <v>0</v>
      </c>
      <c r="F1976" s="611" t="s">
        <v>8317</v>
      </c>
      <c r="G1976" s="1414">
        <v>4344</v>
      </c>
      <c r="H1976" s="1353">
        <f t="shared" si="369"/>
        <v>0</v>
      </c>
      <c r="I1976" s="1353">
        <f t="shared" si="370"/>
        <v>0</v>
      </c>
      <c r="K1976" s="1355">
        <v>3716</v>
      </c>
      <c r="L1976" s="1355" t="s">
        <v>8318</v>
      </c>
    </row>
    <row r="1977" spans="2:12">
      <c r="B1977" s="5" t="s">
        <v>8319</v>
      </c>
      <c r="C1977" s="26" t="s">
        <v>8320</v>
      </c>
      <c r="D1977" s="1347">
        <v>0</v>
      </c>
      <c r="E1977" s="1346">
        <v>0</v>
      </c>
      <c r="F1977" s="611" t="s">
        <v>8321</v>
      </c>
      <c r="G1977" s="1408">
        <v>1432</v>
      </c>
      <c r="H1977" s="1353">
        <f>M1407</f>
        <v>0</v>
      </c>
      <c r="I1977" s="1353">
        <f>N1407</f>
        <v>0</v>
      </c>
      <c r="K1977" s="1355">
        <v>3717</v>
      </c>
      <c r="L1977" s="1355" t="s">
        <v>8322</v>
      </c>
    </row>
    <row r="1978" spans="2:12">
      <c r="B1978" s="5" t="s">
        <v>8323</v>
      </c>
      <c r="C1978" s="26" t="s">
        <v>453</v>
      </c>
      <c r="D1978" s="1347">
        <v>0</v>
      </c>
      <c r="E1978" s="1346">
        <v>0</v>
      </c>
      <c r="F1978" s="611" t="s">
        <v>8324</v>
      </c>
      <c r="G1978" s="1408">
        <v>1433</v>
      </c>
      <c r="H1978" s="1353">
        <f>M1408</f>
        <v>0</v>
      </c>
      <c r="I1978" s="1353">
        <f>N1408</f>
        <v>0</v>
      </c>
      <c r="K1978" s="1355">
        <v>3718</v>
      </c>
      <c r="L1978" s="1355" t="s">
        <v>8325</v>
      </c>
    </row>
    <row r="1979" spans="2:12">
      <c r="B1979" s="5" t="s">
        <v>8326</v>
      </c>
      <c r="C1979" s="26" t="s">
        <v>454</v>
      </c>
      <c r="D1979" s="1347">
        <v>0</v>
      </c>
      <c r="E1979" s="1346">
        <v>0</v>
      </c>
      <c r="F1979" s="611" t="s">
        <v>8327</v>
      </c>
      <c r="G1979" s="1408">
        <v>1435</v>
      </c>
      <c r="H1979" s="1353">
        <f>M1410</f>
        <v>0</v>
      </c>
      <c r="I1979" s="1353">
        <f>N1410</f>
        <v>0</v>
      </c>
      <c r="K1979" s="1355">
        <v>3719</v>
      </c>
      <c r="L1979" s="1355" t="s">
        <v>8328</v>
      </c>
    </row>
    <row r="1980" spans="2:12">
      <c r="B1980" s="5" t="s">
        <v>8329</v>
      </c>
      <c r="C1980" s="26" t="s">
        <v>8330</v>
      </c>
      <c r="D1980" s="1347">
        <v>0</v>
      </c>
      <c r="E1980" s="1346">
        <v>0</v>
      </c>
      <c r="F1980" s="611" t="s">
        <v>8331</v>
      </c>
      <c r="G1980" s="1413" t="s">
        <v>2504</v>
      </c>
      <c r="H1980" s="1353">
        <f t="shared" ref="H1980:H1998" si="371">M2395-M2430</f>
        <v>0</v>
      </c>
      <c r="I1980" s="1353">
        <f t="shared" ref="I1980:I1998" si="372">N2395-N2430</f>
        <v>0</v>
      </c>
      <c r="K1980" s="1355">
        <v>3720</v>
      </c>
      <c r="L1980" s="1355" t="s">
        <v>8332</v>
      </c>
    </row>
    <row r="1981" spans="2:12">
      <c r="B1981" s="5" t="s">
        <v>8333</v>
      </c>
      <c r="C1981" s="26" t="s">
        <v>8334</v>
      </c>
      <c r="D1981" s="1347">
        <v>0</v>
      </c>
      <c r="E1981" s="1346">
        <v>0</v>
      </c>
      <c r="F1981" s="611" t="s">
        <v>8335</v>
      </c>
      <c r="G1981" s="1413" t="s">
        <v>2504</v>
      </c>
      <c r="H1981" s="1353">
        <f t="shared" si="371"/>
        <v>0</v>
      </c>
      <c r="I1981" s="1353">
        <f t="shared" si="372"/>
        <v>0</v>
      </c>
      <c r="K1981" s="1355">
        <v>3721</v>
      </c>
      <c r="L1981" s="1355" t="s">
        <v>8336</v>
      </c>
    </row>
    <row r="1982" spans="2:12">
      <c r="B1982" s="5" t="s">
        <v>8337</v>
      </c>
      <c r="C1982" s="26" t="s">
        <v>8338</v>
      </c>
      <c r="D1982" s="1347">
        <v>0</v>
      </c>
      <c r="E1982" s="1346">
        <v>0</v>
      </c>
      <c r="F1982" s="611" t="s">
        <v>8339</v>
      </c>
      <c r="G1982" s="1413" t="s">
        <v>2504</v>
      </c>
      <c r="H1982" s="1353">
        <f t="shared" si="371"/>
        <v>0</v>
      </c>
      <c r="I1982" s="1353">
        <f t="shared" si="372"/>
        <v>0</v>
      </c>
      <c r="K1982" s="1355">
        <v>3722</v>
      </c>
      <c r="L1982" s="1355" t="s">
        <v>8340</v>
      </c>
    </row>
    <row r="1983" spans="2:12">
      <c r="B1983" s="5" t="s">
        <v>8341</v>
      </c>
      <c r="C1983" s="26" t="s">
        <v>8342</v>
      </c>
      <c r="D1983" s="1347">
        <v>0</v>
      </c>
      <c r="E1983" s="1346">
        <v>0</v>
      </c>
      <c r="F1983" s="611" t="s">
        <v>8343</v>
      </c>
      <c r="G1983" s="1413" t="s">
        <v>2504</v>
      </c>
      <c r="H1983" s="1353">
        <f t="shared" si="371"/>
        <v>0</v>
      </c>
      <c r="I1983" s="1353">
        <f t="shared" si="372"/>
        <v>0</v>
      </c>
      <c r="K1983" s="1355">
        <v>3723</v>
      </c>
      <c r="L1983" s="1355" t="s">
        <v>8344</v>
      </c>
    </row>
    <row r="1984" spans="2:12">
      <c r="B1984" s="5" t="s">
        <v>8345</v>
      </c>
      <c r="C1984" s="26" t="s">
        <v>8346</v>
      </c>
      <c r="D1984" s="1347">
        <v>0</v>
      </c>
      <c r="E1984" s="1346">
        <v>0</v>
      </c>
      <c r="F1984" s="611" t="s">
        <v>8347</v>
      </c>
      <c r="G1984" s="1413" t="s">
        <v>2504</v>
      </c>
      <c r="H1984" s="1353">
        <f t="shared" si="371"/>
        <v>0</v>
      </c>
      <c r="I1984" s="1353">
        <f t="shared" si="372"/>
        <v>0</v>
      </c>
      <c r="K1984" s="1355">
        <v>3724</v>
      </c>
      <c r="L1984" s="1355" t="s">
        <v>8348</v>
      </c>
    </row>
    <row r="1985" spans="2:12">
      <c r="B1985" s="5" t="s">
        <v>8349</v>
      </c>
      <c r="C1985" s="26" t="s">
        <v>8350</v>
      </c>
      <c r="D1985" s="1347">
        <v>0</v>
      </c>
      <c r="E1985" s="1346">
        <v>0</v>
      </c>
      <c r="F1985" s="611" t="s">
        <v>8351</v>
      </c>
      <c r="G1985" s="1413" t="s">
        <v>2504</v>
      </c>
      <c r="H1985" s="1353">
        <f t="shared" si="371"/>
        <v>0</v>
      </c>
      <c r="I1985" s="1353">
        <f t="shared" si="372"/>
        <v>0</v>
      </c>
      <c r="K1985" s="1355">
        <v>3725</v>
      </c>
      <c r="L1985" s="1355" t="s">
        <v>8352</v>
      </c>
    </row>
    <row r="1986" spans="2:12">
      <c r="B1986" s="5" t="s">
        <v>8353</v>
      </c>
      <c r="C1986" s="26" t="s">
        <v>8354</v>
      </c>
      <c r="D1986" s="1347">
        <v>0</v>
      </c>
      <c r="E1986" s="1346">
        <v>0</v>
      </c>
      <c r="F1986" s="611" t="s">
        <v>8355</v>
      </c>
      <c r="G1986" s="1413" t="s">
        <v>2504</v>
      </c>
      <c r="H1986" s="1353">
        <f t="shared" si="371"/>
        <v>0</v>
      </c>
      <c r="I1986" s="1353">
        <f t="shared" si="372"/>
        <v>0</v>
      </c>
      <c r="K1986" s="1355">
        <v>3726</v>
      </c>
      <c r="L1986" s="1355" t="s">
        <v>8356</v>
      </c>
    </row>
    <row r="1987" spans="2:12">
      <c r="B1987" s="5" t="s">
        <v>8357</v>
      </c>
      <c r="C1987" s="26" t="s">
        <v>8358</v>
      </c>
      <c r="D1987" s="1347">
        <v>0</v>
      </c>
      <c r="E1987" s="1346">
        <v>0</v>
      </c>
      <c r="F1987" s="611" t="s">
        <v>8359</v>
      </c>
      <c r="G1987" s="1413" t="s">
        <v>2504</v>
      </c>
      <c r="H1987" s="1353">
        <f t="shared" si="371"/>
        <v>0</v>
      </c>
      <c r="I1987" s="1353">
        <f t="shared" si="372"/>
        <v>0</v>
      </c>
      <c r="K1987" s="1355">
        <v>3727</v>
      </c>
      <c r="L1987" s="1355" t="s">
        <v>8360</v>
      </c>
    </row>
    <row r="1988" spans="2:12">
      <c r="B1988" s="5" t="s">
        <v>8361</v>
      </c>
      <c r="C1988" s="26" t="s">
        <v>8362</v>
      </c>
      <c r="D1988" s="1347">
        <v>0</v>
      </c>
      <c r="E1988" s="1346">
        <v>0</v>
      </c>
      <c r="F1988" s="611" t="s">
        <v>8363</v>
      </c>
      <c r="G1988" s="1413" t="s">
        <v>2504</v>
      </c>
      <c r="H1988" s="1353">
        <f t="shared" si="371"/>
        <v>0</v>
      </c>
      <c r="I1988" s="1353">
        <f t="shared" si="372"/>
        <v>0</v>
      </c>
      <c r="K1988" s="1355">
        <v>3728</v>
      </c>
      <c r="L1988" s="1355" t="s">
        <v>8364</v>
      </c>
    </row>
    <row r="1989" spans="2:12">
      <c r="B1989" s="5" t="s">
        <v>8365</v>
      </c>
      <c r="C1989" s="26" t="s">
        <v>8366</v>
      </c>
      <c r="D1989" s="1347">
        <v>0</v>
      </c>
      <c r="E1989" s="1346">
        <v>0</v>
      </c>
      <c r="F1989" s="611" t="s">
        <v>8367</v>
      </c>
      <c r="G1989" s="1413" t="s">
        <v>2504</v>
      </c>
      <c r="H1989" s="1353">
        <f t="shared" si="371"/>
        <v>0</v>
      </c>
      <c r="I1989" s="1353">
        <f t="shared" si="372"/>
        <v>0</v>
      </c>
      <c r="K1989" s="1355">
        <v>3729</v>
      </c>
      <c r="L1989" s="1355" t="s">
        <v>8368</v>
      </c>
    </row>
    <row r="1990" spans="2:12">
      <c r="B1990" s="5" t="s">
        <v>8369</v>
      </c>
      <c r="C1990" s="26" t="s">
        <v>8370</v>
      </c>
      <c r="D1990" s="1347">
        <v>0</v>
      </c>
      <c r="E1990" s="1346">
        <v>0</v>
      </c>
      <c r="F1990" s="611" t="s">
        <v>8371</v>
      </c>
      <c r="G1990" s="1413" t="s">
        <v>2504</v>
      </c>
      <c r="H1990" s="1353">
        <f t="shared" si="371"/>
        <v>0</v>
      </c>
      <c r="I1990" s="1353">
        <f t="shared" si="372"/>
        <v>0</v>
      </c>
      <c r="K1990" s="1355">
        <v>3730</v>
      </c>
      <c r="L1990" s="1355" t="s">
        <v>8372</v>
      </c>
    </row>
    <row r="1991" spans="2:12">
      <c r="B1991" s="5" t="s">
        <v>8373</v>
      </c>
      <c r="C1991" s="26" t="s">
        <v>8374</v>
      </c>
      <c r="D1991" s="1347">
        <v>0</v>
      </c>
      <c r="E1991" s="1346">
        <v>0</v>
      </c>
      <c r="F1991" s="611" t="s">
        <v>8375</v>
      </c>
      <c r="G1991" s="1413" t="s">
        <v>2504</v>
      </c>
      <c r="H1991" s="1353">
        <f t="shared" si="371"/>
        <v>0</v>
      </c>
      <c r="I1991" s="1353">
        <f t="shared" si="372"/>
        <v>0</v>
      </c>
      <c r="K1991" s="1355">
        <v>3731</v>
      </c>
      <c r="L1991" s="1355" t="s">
        <v>8376</v>
      </c>
    </row>
    <row r="1992" spans="2:12">
      <c r="B1992" s="5" t="s">
        <v>8377</v>
      </c>
      <c r="C1992" s="26" t="s">
        <v>8378</v>
      </c>
      <c r="D1992" s="1347">
        <v>0</v>
      </c>
      <c r="E1992" s="1346">
        <v>0</v>
      </c>
      <c r="F1992" s="611" t="s">
        <v>8379</v>
      </c>
      <c r="G1992" s="1413" t="s">
        <v>2504</v>
      </c>
      <c r="H1992" s="1353">
        <f t="shared" si="371"/>
        <v>0</v>
      </c>
      <c r="I1992" s="1353">
        <f t="shared" si="372"/>
        <v>0</v>
      </c>
      <c r="K1992" s="1355">
        <v>3732</v>
      </c>
      <c r="L1992" s="1355" t="s">
        <v>8380</v>
      </c>
    </row>
    <row r="1993" spans="2:12">
      <c r="B1993" s="5" t="s">
        <v>8381</v>
      </c>
      <c r="C1993" s="26" t="s">
        <v>8382</v>
      </c>
      <c r="D1993" s="1347">
        <v>0</v>
      </c>
      <c r="E1993" s="1346">
        <v>0</v>
      </c>
      <c r="F1993" s="611" t="s">
        <v>8383</v>
      </c>
      <c r="G1993" s="1413" t="s">
        <v>2504</v>
      </c>
      <c r="H1993" s="1353">
        <f t="shared" si="371"/>
        <v>0</v>
      </c>
      <c r="I1993" s="1353">
        <f t="shared" si="372"/>
        <v>0</v>
      </c>
      <c r="K1993" s="1355">
        <v>3733</v>
      </c>
      <c r="L1993" s="1355" t="s">
        <v>8384</v>
      </c>
    </row>
    <row r="1994" spans="2:12">
      <c r="B1994" s="5" t="s">
        <v>8385</v>
      </c>
      <c r="C1994" s="26" t="s">
        <v>8386</v>
      </c>
      <c r="D1994" s="1347">
        <v>0</v>
      </c>
      <c r="E1994" s="1346">
        <v>0</v>
      </c>
      <c r="F1994" s="611" t="s">
        <v>8387</v>
      </c>
      <c r="G1994" s="1413" t="s">
        <v>2504</v>
      </c>
      <c r="H1994" s="1353">
        <f t="shared" si="371"/>
        <v>0</v>
      </c>
      <c r="I1994" s="1353">
        <f t="shared" si="372"/>
        <v>0</v>
      </c>
      <c r="K1994" s="1355">
        <v>3734</v>
      </c>
      <c r="L1994" s="1355" t="s">
        <v>8388</v>
      </c>
    </row>
    <row r="1995" spans="2:12">
      <c r="B1995" s="5" t="s">
        <v>8389</v>
      </c>
      <c r="C1995" s="26" t="s">
        <v>8390</v>
      </c>
      <c r="D1995" s="1347">
        <v>0</v>
      </c>
      <c r="E1995" s="1346">
        <v>0</v>
      </c>
      <c r="F1995" s="611" t="s">
        <v>8391</v>
      </c>
      <c r="G1995" s="1413" t="s">
        <v>2504</v>
      </c>
      <c r="H1995" s="1353">
        <f t="shared" si="371"/>
        <v>0</v>
      </c>
      <c r="I1995" s="1353">
        <f t="shared" si="372"/>
        <v>0</v>
      </c>
      <c r="K1995" s="1355">
        <v>3735</v>
      </c>
      <c r="L1995" s="1355" t="s">
        <v>8392</v>
      </c>
    </row>
    <row r="1996" spans="2:12">
      <c r="B1996" s="5" t="s">
        <v>8393</v>
      </c>
      <c r="C1996" s="26" t="s">
        <v>8394</v>
      </c>
      <c r="D1996" s="1347">
        <v>0</v>
      </c>
      <c r="E1996" s="1346">
        <v>0</v>
      </c>
      <c r="F1996" s="611" t="s">
        <v>8395</v>
      </c>
      <c r="G1996" s="1413" t="s">
        <v>2504</v>
      </c>
      <c r="H1996" s="1353">
        <f t="shared" si="371"/>
        <v>0</v>
      </c>
      <c r="I1996" s="1353">
        <f t="shared" si="372"/>
        <v>0</v>
      </c>
      <c r="K1996" s="1355">
        <v>3736</v>
      </c>
      <c r="L1996" s="1355" t="s">
        <v>8396</v>
      </c>
    </row>
    <row r="1997" spans="2:12">
      <c r="B1997" s="5" t="s">
        <v>8397</v>
      </c>
      <c r="C1997" s="26" t="s">
        <v>8398</v>
      </c>
      <c r="D1997" s="1347">
        <v>0</v>
      </c>
      <c r="E1997" s="1346">
        <v>0</v>
      </c>
      <c r="F1997" s="611" t="s">
        <v>8399</v>
      </c>
      <c r="G1997" s="1413" t="s">
        <v>2504</v>
      </c>
      <c r="H1997" s="1353">
        <f t="shared" si="371"/>
        <v>0</v>
      </c>
      <c r="I1997" s="1353">
        <f t="shared" si="372"/>
        <v>0</v>
      </c>
      <c r="K1997" s="1355">
        <v>3737</v>
      </c>
      <c r="L1997" s="1355" t="s">
        <v>8400</v>
      </c>
    </row>
    <row r="1998" spans="2:12">
      <c r="B1998" s="5" t="s">
        <v>8401</v>
      </c>
      <c r="C1998" s="26" t="s">
        <v>8402</v>
      </c>
      <c r="D1998" s="1347">
        <v>0</v>
      </c>
      <c r="E1998" s="1346">
        <v>0</v>
      </c>
      <c r="F1998" s="611" t="s">
        <v>8403</v>
      </c>
      <c r="G1998" s="1413" t="s">
        <v>2504</v>
      </c>
      <c r="H1998" s="1353">
        <f t="shared" si="371"/>
        <v>0</v>
      </c>
      <c r="I1998" s="1353">
        <f t="shared" si="372"/>
        <v>0</v>
      </c>
      <c r="K1998" s="1355">
        <v>3738</v>
      </c>
      <c r="L1998" s="1355" t="s">
        <v>8404</v>
      </c>
    </row>
    <row r="1999" spans="2:12">
      <c r="B1999" s="5" t="s">
        <v>8405</v>
      </c>
      <c r="C1999" s="26" t="s">
        <v>8406</v>
      </c>
      <c r="D1999" s="1347">
        <v>0</v>
      </c>
      <c r="E1999" s="1346">
        <v>0</v>
      </c>
      <c r="F1999" s="611" t="s">
        <v>8407</v>
      </c>
      <c r="G1999" s="1413" t="s">
        <v>2504</v>
      </c>
      <c r="H1999" s="1353">
        <f>M1402-M1414</f>
        <v>0</v>
      </c>
      <c r="I1999" s="1353">
        <f>N1402-N1414</f>
        <v>0</v>
      </c>
      <c r="K1999" s="1355">
        <v>3739</v>
      </c>
      <c r="L1999" s="1355" t="s">
        <v>8408</v>
      </c>
    </row>
    <row r="2000" spans="2:12">
      <c r="B2000" s="5" t="s">
        <v>8409</v>
      </c>
      <c r="C2000" s="26" t="s">
        <v>8410</v>
      </c>
      <c r="D2000" s="1347">
        <v>0</v>
      </c>
      <c r="E2000" s="1346">
        <v>0</v>
      </c>
      <c r="F2000" s="611" t="s">
        <v>8411</v>
      </c>
      <c r="G2000" s="1413" t="s">
        <v>2504</v>
      </c>
      <c r="H2000" s="1353">
        <f>M1403-M1415</f>
        <v>0</v>
      </c>
      <c r="I2000" s="1353">
        <f>N1403-N1415</f>
        <v>0</v>
      </c>
      <c r="K2000" s="1355">
        <v>3740</v>
      </c>
      <c r="L2000" s="1355" t="s">
        <v>8412</v>
      </c>
    </row>
    <row r="2001" spans="2:12">
      <c r="B2001" s="5" t="s">
        <v>8413</v>
      </c>
      <c r="C2001" s="26" t="s">
        <v>8414</v>
      </c>
      <c r="D2001" s="1347">
        <v>258001</v>
      </c>
      <c r="E2001" s="1346">
        <v>395527</v>
      </c>
      <c r="F2001" s="611" t="s">
        <v>8415</v>
      </c>
      <c r="G2001" s="1413" t="s">
        <v>2504</v>
      </c>
      <c r="H2001" s="1353">
        <f t="shared" ref="H2001:H2016" si="373">M2414-M2449</f>
        <v>0</v>
      </c>
      <c r="I2001" s="1353">
        <f t="shared" ref="I2001:I2016" si="374">N2414-N2449</f>
        <v>0</v>
      </c>
      <c r="K2001" s="1355">
        <v>3741</v>
      </c>
      <c r="L2001" s="1355" t="s">
        <v>8416</v>
      </c>
    </row>
    <row r="2002" spans="2:12">
      <c r="B2002" s="5" t="s">
        <v>8417</v>
      </c>
      <c r="C2002" s="26" t="s">
        <v>8418</v>
      </c>
      <c r="D2002" s="1347">
        <v>65438</v>
      </c>
      <c r="E2002" s="1346">
        <v>188243</v>
      </c>
      <c r="F2002" s="611" t="s">
        <v>8419</v>
      </c>
      <c r="G2002" s="1413" t="s">
        <v>2504</v>
      </c>
      <c r="H2002" s="1353">
        <f t="shared" si="373"/>
        <v>0</v>
      </c>
      <c r="I2002" s="1353">
        <f t="shared" si="374"/>
        <v>0</v>
      </c>
      <c r="K2002" s="1355">
        <v>3742</v>
      </c>
      <c r="L2002" s="1355" t="s">
        <v>8420</v>
      </c>
    </row>
    <row r="2003" spans="2:12">
      <c r="B2003" s="5" t="s">
        <v>8421</v>
      </c>
      <c r="C2003" s="26" t="s">
        <v>8422</v>
      </c>
      <c r="D2003" s="1347">
        <v>185608</v>
      </c>
      <c r="E2003" s="1346">
        <v>339113</v>
      </c>
      <c r="F2003" s="611" t="s">
        <v>8423</v>
      </c>
      <c r="G2003" s="1413" t="s">
        <v>2504</v>
      </c>
      <c r="H2003" s="1353">
        <f t="shared" si="373"/>
        <v>0</v>
      </c>
      <c r="I2003" s="1353">
        <f t="shared" si="374"/>
        <v>0</v>
      </c>
      <c r="K2003" s="1355">
        <v>3743</v>
      </c>
      <c r="L2003" s="1355" t="s">
        <v>8424</v>
      </c>
    </row>
    <row r="2004" spans="2:12">
      <c r="B2004" s="5" t="s">
        <v>8425</v>
      </c>
      <c r="C2004" s="26" t="s">
        <v>8426</v>
      </c>
      <c r="D2004" s="1347">
        <v>0</v>
      </c>
      <c r="E2004" s="1346">
        <v>0</v>
      </c>
      <c r="F2004" s="611" t="s">
        <v>8427</v>
      </c>
      <c r="G2004" s="1413" t="s">
        <v>2504</v>
      </c>
      <c r="H2004" s="1353">
        <f t="shared" si="373"/>
        <v>0</v>
      </c>
      <c r="I2004" s="1353">
        <f t="shared" si="374"/>
        <v>0</v>
      </c>
      <c r="K2004" s="1355">
        <v>3744</v>
      </c>
      <c r="L2004" s="1355" t="s">
        <v>8428</v>
      </c>
    </row>
    <row r="2005" spans="2:12">
      <c r="B2005" s="5" t="s">
        <v>8429</v>
      </c>
      <c r="C2005" s="26" t="s">
        <v>8430</v>
      </c>
      <c r="D2005" s="1347">
        <v>0</v>
      </c>
      <c r="E2005" s="1346">
        <v>0</v>
      </c>
      <c r="F2005" s="611" t="s">
        <v>8431</v>
      </c>
      <c r="G2005" s="1413" t="s">
        <v>2504</v>
      </c>
      <c r="H2005" s="1353">
        <f t="shared" si="373"/>
        <v>0</v>
      </c>
      <c r="I2005" s="1353">
        <f t="shared" si="374"/>
        <v>0</v>
      </c>
      <c r="K2005" s="1355">
        <v>3745</v>
      </c>
      <c r="L2005" s="1355" t="s">
        <v>8432</v>
      </c>
    </row>
    <row r="2006" spans="2:12">
      <c r="B2006" s="5" t="s">
        <v>8433</v>
      </c>
      <c r="C2006" s="26" t="s">
        <v>8434</v>
      </c>
      <c r="D2006" s="1347">
        <v>0</v>
      </c>
      <c r="E2006" s="1346">
        <v>0</v>
      </c>
      <c r="F2006" s="611" t="s">
        <v>8435</v>
      </c>
      <c r="G2006" s="1413" t="s">
        <v>2504</v>
      </c>
      <c r="H2006" s="1353">
        <f t="shared" si="373"/>
        <v>0</v>
      </c>
      <c r="I2006" s="1353">
        <f t="shared" si="374"/>
        <v>0</v>
      </c>
      <c r="K2006" s="1355">
        <v>3746</v>
      </c>
      <c r="L2006" s="1355" t="s">
        <v>8436</v>
      </c>
    </row>
    <row r="2007" spans="2:12">
      <c r="B2007" s="5" t="s">
        <v>8437</v>
      </c>
      <c r="C2007" s="26" t="s">
        <v>8438</v>
      </c>
      <c r="D2007" s="1347">
        <v>0</v>
      </c>
      <c r="E2007" s="1346">
        <v>0</v>
      </c>
      <c r="F2007" s="611" t="s">
        <v>8439</v>
      </c>
      <c r="G2007" s="1413" t="s">
        <v>2504</v>
      </c>
      <c r="H2007" s="1353">
        <f t="shared" si="373"/>
        <v>0</v>
      </c>
      <c r="I2007" s="1353">
        <f t="shared" si="374"/>
        <v>0</v>
      </c>
      <c r="K2007" s="1355">
        <v>3747</v>
      </c>
      <c r="L2007" s="1355" t="s">
        <v>8440</v>
      </c>
    </row>
    <row r="2008" spans="2:12">
      <c r="B2008" s="5" t="s">
        <v>8441</v>
      </c>
      <c r="C2008" s="26" t="s">
        <v>8442</v>
      </c>
      <c r="D2008" s="1347">
        <v>0</v>
      </c>
      <c r="E2008" s="1346">
        <v>0</v>
      </c>
      <c r="F2008" s="611" t="s">
        <v>8443</v>
      </c>
      <c r="G2008" s="1413" t="s">
        <v>2504</v>
      </c>
      <c r="H2008" s="1353">
        <f t="shared" si="373"/>
        <v>0</v>
      </c>
      <c r="I2008" s="1353">
        <f t="shared" si="374"/>
        <v>0</v>
      </c>
      <c r="K2008" s="1355">
        <v>3748</v>
      </c>
      <c r="L2008" s="1355" t="s">
        <v>8444</v>
      </c>
    </row>
    <row r="2009" spans="2:12">
      <c r="B2009" s="5" t="s">
        <v>8445</v>
      </c>
      <c r="C2009" s="26" t="s">
        <v>8446</v>
      </c>
      <c r="D2009" s="1347">
        <v>0</v>
      </c>
      <c r="E2009" s="1346">
        <v>0</v>
      </c>
      <c r="F2009" s="611" t="s">
        <v>8447</v>
      </c>
      <c r="G2009" s="1413" t="s">
        <v>2504</v>
      </c>
      <c r="H2009" s="1353">
        <f t="shared" si="373"/>
        <v>0</v>
      </c>
      <c r="I2009" s="1353">
        <f t="shared" si="374"/>
        <v>0</v>
      </c>
      <c r="K2009" s="1355">
        <v>3749</v>
      </c>
      <c r="L2009" s="1355" t="s">
        <v>8448</v>
      </c>
    </row>
    <row r="2010" spans="2:12">
      <c r="B2010" s="5" t="s">
        <v>8449</v>
      </c>
      <c r="C2010" s="26" t="s">
        <v>8450</v>
      </c>
      <c r="D2010" s="1347">
        <v>0</v>
      </c>
      <c r="E2010" s="1346">
        <v>0</v>
      </c>
      <c r="F2010" s="611" t="s">
        <v>8451</v>
      </c>
      <c r="G2010" s="1413" t="s">
        <v>2504</v>
      </c>
      <c r="H2010" s="1353">
        <f t="shared" si="373"/>
        <v>0</v>
      </c>
      <c r="I2010" s="1353">
        <f t="shared" si="374"/>
        <v>0</v>
      </c>
      <c r="K2010" s="1355">
        <v>3925</v>
      </c>
      <c r="L2010" s="1355" t="s">
        <v>8452</v>
      </c>
    </row>
    <row r="2011" spans="2:12">
      <c r="B2011" s="5" t="s">
        <v>8453</v>
      </c>
      <c r="C2011" s="26" t="s">
        <v>8454</v>
      </c>
      <c r="D2011" s="1347">
        <v>0</v>
      </c>
      <c r="E2011" s="1346">
        <v>0</v>
      </c>
      <c r="F2011" s="611" t="s">
        <v>8455</v>
      </c>
      <c r="G2011" s="1413" t="s">
        <v>2504</v>
      </c>
      <c r="H2011" s="1353">
        <f t="shared" si="373"/>
        <v>0</v>
      </c>
      <c r="I2011" s="1353">
        <f t="shared" si="374"/>
        <v>0</v>
      </c>
      <c r="K2011" s="1355">
        <v>3926</v>
      </c>
      <c r="L2011" s="1355" t="s">
        <v>8456</v>
      </c>
    </row>
    <row r="2012" spans="2:12">
      <c r="B2012" s="5" t="s">
        <v>8457</v>
      </c>
      <c r="C2012" s="26" t="s">
        <v>8458</v>
      </c>
      <c r="D2012" s="1347">
        <v>0</v>
      </c>
      <c r="E2012" s="1346">
        <v>0</v>
      </c>
      <c r="F2012" s="611" t="s">
        <v>8459</v>
      </c>
      <c r="G2012" s="1413" t="s">
        <v>2504</v>
      </c>
      <c r="H2012" s="1353">
        <f t="shared" si="373"/>
        <v>0</v>
      </c>
      <c r="I2012" s="1353">
        <f t="shared" si="374"/>
        <v>0</v>
      </c>
      <c r="K2012" s="1355">
        <v>3927</v>
      </c>
      <c r="L2012" s="1355" t="s">
        <v>8460</v>
      </c>
    </row>
    <row r="2013" spans="2:12">
      <c r="B2013" s="5" t="s">
        <v>8461</v>
      </c>
      <c r="C2013" s="26" t="s">
        <v>8462</v>
      </c>
      <c r="D2013" s="1347">
        <v>0</v>
      </c>
      <c r="E2013" s="1346">
        <v>0</v>
      </c>
      <c r="F2013" s="611" t="s">
        <v>8463</v>
      </c>
      <c r="G2013" s="1413" t="s">
        <v>2504</v>
      </c>
      <c r="H2013" s="1353">
        <f t="shared" si="373"/>
        <v>0</v>
      </c>
      <c r="I2013" s="1353">
        <f t="shared" si="374"/>
        <v>0</v>
      </c>
      <c r="K2013" s="1355">
        <v>3928</v>
      </c>
      <c r="L2013" s="1355" t="s">
        <v>8464</v>
      </c>
    </row>
    <row r="2014" spans="2:12">
      <c r="B2014" s="5" t="s">
        <v>8465</v>
      </c>
      <c r="C2014" s="26" t="s">
        <v>8466</v>
      </c>
      <c r="D2014" s="1347">
        <v>0</v>
      </c>
      <c r="E2014" s="1346">
        <v>0</v>
      </c>
      <c r="F2014" s="611" t="s">
        <v>8467</v>
      </c>
      <c r="G2014" s="1413" t="s">
        <v>2504</v>
      </c>
      <c r="H2014" s="1353">
        <f t="shared" si="373"/>
        <v>0</v>
      </c>
      <c r="I2014" s="1353">
        <f t="shared" si="374"/>
        <v>0</v>
      </c>
      <c r="K2014" s="1355">
        <v>3929</v>
      </c>
      <c r="L2014" s="1355" t="s">
        <v>8468</v>
      </c>
    </row>
    <row r="2015" spans="2:12">
      <c r="B2015" s="5" t="s">
        <v>8469</v>
      </c>
      <c r="C2015" s="26" t="s">
        <v>8470</v>
      </c>
      <c r="D2015" s="1347">
        <v>0</v>
      </c>
      <c r="E2015" s="1346">
        <v>0</v>
      </c>
      <c r="F2015" s="611" t="s">
        <v>8471</v>
      </c>
      <c r="G2015" s="1413" t="s">
        <v>2504</v>
      </c>
      <c r="H2015" s="1353">
        <f t="shared" si="373"/>
        <v>0</v>
      </c>
      <c r="I2015" s="1353">
        <f t="shared" si="374"/>
        <v>0</v>
      </c>
      <c r="K2015" s="1355">
        <v>3930</v>
      </c>
      <c r="L2015" s="1355" t="s">
        <v>8472</v>
      </c>
    </row>
    <row r="2016" spans="2:12">
      <c r="B2016" s="5" t="s">
        <v>8473</v>
      </c>
      <c r="C2016" s="26" t="s">
        <v>8474</v>
      </c>
      <c r="D2016" s="1347">
        <v>0</v>
      </c>
      <c r="E2016" s="1346">
        <v>0</v>
      </c>
      <c r="F2016" s="611" t="s">
        <v>8475</v>
      </c>
      <c r="G2016" s="1413" t="s">
        <v>2504</v>
      </c>
      <c r="H2016" s="1353">
        <f t="shared" si="373"/>
        <v>0</v>
      </c>
      <c r="I2016" s="1353">
        <f t="shared" si="374"/>
        <v>0</v>
      </c>
      <c r="K2016" s="1355">
        <v>3931</v>
      </c>
      <c r="L2016" s="1355" t="s">
        <v>8476</v>
      </c>
    </row>
    <row r="2017" spans="1:12">
      <c r="B2017" s="5" t="s">
        <v>8477</v>
      </c>
      <c r="C2017" s="26" t="s">
        <v>8478</v>
      </c>
      <c r="D2017" s="1347">
        <v>0</v>
      </c>
      <c r="E2017" s="1346">
        <v>0</v>
      </c>
      <c r="F2017" s="611" t="s">
        <v>8479</v>
      </c>
      <c r="G2017" s="1413" t="s">
        <v>2504</v>
      </c>
      <c r="H2017" s="1353">
        <f>M1407-M1419</f>
        <v>0</v>
      </c>
      <c r="I2017" s="1353">
        <f>N1407-N1419</f>
        <v>0</v>
      </c>
      <c r="K2017" s="1355">
        <v>3932</v>
      </c>
      <c r="L2017" s="1355" t="s">
        <v>8480</v>
      </c>
    </row>
    <row r="2018" spans="1:12">
      <c r="B2018" s="5" t="s">
        <v>8481</v>
      </c>
      <c r="C2018" s="26" t="s">
        <v>8482</v>
      </c>
      <c r="D2018" s="1347">
        <v>0</v>
      </c>
      <c r="E2018" s="1346">
        <v>0</v>
      </c>
      <c r="F2018" s="611" t="s">
        <v>8483</v>
      </c>
      <c r="G2018" s="1413" t="s">
        <v>2504</v>
      </c>
      <c r="H2018" s="1353">
        <f>M1408-M1420</f>
        <v>0</v>
      </c>
      <c r="I2018" s="1353">
        <f>N1408-N1420</f>
        <v>0</v>
      </c>
      <c r="K2018" s="1355">
        <v>3933</v>
      </c>
      <c r="L2018" s="1355" t="s">
        <v>8484</v>
      </c>
    </row>
    <row r="2019" spans="1:12">
      <c r="B2019" s="5" t="s">
        <v>8485</v>
      </c>
      <c r="C2019" s="26" t="s">
        <v>8486</v>
      </c>
      <c r="D2019" s="1347">
        <v>0</v>
      </c>
      <c r="E2019" s="1346">
        <v>0</v>
      </c>
      <c r="F2019" s="611" t="s">
        <v>8487</v>
      </c>
      <c r="G2019" s="1413" t="s">
        <v>2504</v>
      </c>
      <c r="H2019" s="1353">
        <f>M1410-M1422</f>
        <v>0</v>
      </c>
      <c r="I2019" s="1353">
        <f>N1410-N1422</f>
        <v>0</v>
      </c>
      <c r="K2019" s="1355">
        <v>3934</v>
      </c>
      <c r="L2019" s="1355" t="s">
        <v>8488</v>
      </c>
    </row>
    <row r="2020" spans="1:12">
      <c r="B2020" s="5" t="s">
        <v>8489</v>
      </c>
      <c r="C2020" s="26" t="s">
        <v>8490</v>
      </c>
      <c r="D2020" s="1347">
        <v>20490</v>
      </c>
      <c r="E2020" s="1346">
        <v>38314</v>
      </c>
      <c r="F2020" s="611" t="s">
        <v>8491</v>
      </c>
      <c r="G2020" s="1391">
        <v>1448</v>
      </c>
      <c r="H2020" s="1353">
        <f>M1423</f>
        <v>0</v>
      </c>
      <c r="I2020" s="1353">
        <f>N1423</f>
        <v>0</v>
      </c>
      <c r="K2020" s="1355">
        <v>3935</v>
      </c>
      <c r="L2020" s="1355" t="s">
        <v>8492</v>
      </c>
    </row>
    <row r="2021" spans="1:12">
      <c r="A2021" s="611" t="s">
        <v>3697</v>
      </c>
      <c r="B2021" s="5" t="s">
        <v>8493</v>
      </c>
      <c r="C2021" s="26" t="s">
        <v>335</v>
      </c>
      <c r="D2021" s="1347">
        <v>0</v>
      </c>
      <c r="E2021" s="1346">
        <v>0</v>
      </c>
      <c r="F2021" s="611" t="s">
        <v>8494</v>
      </c>
      <c r="G2021" s="1414">
        <v>4380</v>
      </c>
      <c r="H2021" s="1353">
        <f t="shared" ref="H2021:H2039" si="375">M2465</f>
        <v>0</v>
      </c>
      <c r="I2021" s="1353">
        <f t="shared" ref="I2021:I2039" si="376">N2465</f>
        <v>0</v>
      </c>
      <c r="K2021" s="1355">
        <v>3936</v>
      </c>
      <c r="L2021" s="1355" t="s">
        <v>8495</v>
      </c>
    </row>
    <row r="2022" spans="1:12">
      <c r="B2022" s="5" t="s">
        <v>8496</v>
      </c>
      <c r="C2022" s="26" t="s">
        <v>336</v>
      </c>
      <c r="D2022" s="1347">
        <v>0</v>
      </c>
      <c r="E2022" s="1346">
        <v>0</v>
      </c>
      <c r="F2022" s="611" t="s">
        <v>8497</v>
      </c>
      <c r="G2022" s="1414">
        <v>4381</v>
      </c>
      <c r="H2022" s="1353">
        <f t="shared" si="375"/>
        <v>0</v>
      </c>
      <c r="I2022" s="1353">
        <f t="shared" si="376"/>
        <v>0</v>
      </c>
      <c r="K2022" s="1355">
        <v>3937</v>
      </c>
      <c r="L2022" s="1355" t="s">
        <v>8498</v>
      </c>
    </row>
    <row r="2023" spans="1:12">
      <c r="B2023" s="5" t="s">
        <v>8499</v>
      </c>
      <c r="C2023" s="26" t="s">
        <v>337</v>
      </c>
      <c r="D2023" s="1347">
        <v>0</v>
      </c>
      <c r="E2023" s="1346">
        <v>0</v>
      </c>
      <c r="F2023" s="611" t="s">
        <v>8500</v>
      </c>
      <c r="G2023" s="1414">
        <v>4382</v>
      </c>
      <c r="H2023" s="1353">
        <f t="shared" si="375"/>
        <v>0</v>
      </c>
      <c r="I2023" s="1353">
        <f t="shared" si="376"/>
        <v>0</v>
      </c>
      <c r="K2023" s="1355">
        <v>3938</v>
      </c>
      <c r="L2023" s="1355" t="s">
        <v>8501</v>
      </c>
    </row>
    <row r="2024" spans="1:12">
      <c r="B2024" s="5" t="s">
        <v>8502</v>
      </c>
      <c r="C2024" s="26" t="s">
        <v>338</v>
      </c>
      <c r="D2024" s="1347">
        <v>0</v>
      </c>
      <c r="E2024" s="1346">
        <v>0</v>
      </c>
      <c r="F2024" s="611" t="s">
        <v>8503</v>
      </c>
      <c r="G2024" s="1414">
        <v>4383</v>
      </c>
      <c r="H2024" s="1353">
        <f t="shared" si="375"/>
        <v>0</v>
      </c>
      <c r="I2024" s="1353">
        <f t="shared" si="376"/>
        <v>0</v>
      </c>
      <c r="K2024" s="1355">
        <v>3939</v>
      </c>
      <c r="L2024" s="1355" t="s">
        <v>8504</v>
      </c>
    </row>
    <row r="2025" spans="1:12">
      <c r="B2025" s="5" t="s">
        <v>8505</v>
      </c>
      <c r="C2025" s="26" t="s">
        <v>339</v>
      </c>
      <c r="D2025" s="1347">
        <v>0</v>
      </c>
      <c r="E2025" s="1346">
        <v>0</v>
      </c>
      <c r="F2025" s="611" t="s">
        <v>8506</v>
      </c>
      <c r="G2025" s="1414">
        <v>4384</v>
      </c>
      <c r="H2025" s="1353">
        <f t="shared" si="375"/>
        <v>0</v>
      </c>
      <c r="I2025" s="1353">
        <f t="shared" si="376"/>
        <v>0</v>
      </c>
      <c r="K2025" s="1355">
        <v>3940</v>
      </c>
      <c r="L2025" s="1355" t="s">
        <v>8507</v>
      </c>
    </row>
    <row r="2026" spans="1:12">
      <c r="B2026" s="5" t="s">
        <v>8508</v>
      </c>
      <c r="C2026" s="26" t="s">
        <v>340</v>
      </c>
      <c r="D2026" s="1347">
        <v>0</v>
      </c>
      <c r="E2026" s="1346">
        <v>0</v>
      </c>
      <c r="F2026" s="611" t="s">
        <v>8509</v>
      </c>
      <c r="G2026" s="1414">
        <v>4385</v>
      </c>
      <c r="H2026" s="1353">
        <f t="shared" si="375"/>
        <v>0</v>
      </c>
      <c r="I2026" s="1353">
        <f t="shared" si="376"/>
        <v>0</v>
      </c>
      <c r="K2026" s="1355">
        <v>3941</v>
      </c>
      <c r="L2026" s="1355" t="s">
        <v>8510</v>
      </c>
    </row>
    <row r="2027" spans="1:12">
      <c r="B2027" s="5" t="s">
        <v>8511</v>
      </c>
      <c r="C2027" s="26" t="s">
        <v>341</v>
      </c>
      <c r="D2027" s="1347">
        <v>0</v>
      </c>
      <c r="E2027" s="1346">
        <v>0</v>
      </c>
      <c r="F2027" s="611" t="s">
        <v>8512</v>
      </c>
      <c r="G2027" s="1414">
        <v>4386</v>
      </c>
      <c r="H2027" s="1353">
        <f t="shared" si="375"/>
        <v>0</v>
      </c>
      <c r="I2027" s="1353">
        <f t="shared" si="376"/>
        <v>0</v>
      </c>
      <c r="K2027" s="1355">
        <v>3942</v>
      </c>
      <c r="L2027" s="1355" t="s">
        <v>8513</v>
      </c>
    </row>
    <row r="2028" spans="1:12">
      <c r="B2028" s="5" t="s">
        <v>8514</v>
      </c>
      <c r="C2028" s="26" t="s">
        <v>342</v>
      </c>
      <c r="D2028" s="1347">
        <v>0</v>
      </c>
      <c r="E2028" s="1346">
        <v>0</v>
      </c>
      <c r="F2028" s="611" t="s">
        <v>8515</v>
      </c>
      <c r="G2028" s="1414">
        <v>4387</v>
      </c>
      <c r="H2028" s="1353">
        <f t="shared" si="375"/>
        <v>0</v>
      </c>
      <c r="I2028" s="1353">
        <f t="shared" si="376"/>
        <v>0</v>
      </c>
      <c r="K2028" s="1355">
        <v>3943</v>
      </c>
      <c r="L2028" s="1355" t="s">
        <v>8516</v>
      </c>
    </row>
    <row r="2029" spans="1:12">
      <c r="B2029" s="5" t="s">
        <v>8517</v>
      </c>
      <c r="C2029" s="26" t="s">
        <v>343</v>
      </c>
      <c r="D2029" s="1347">
        <v>0</v>
      </c>
      <c r="E2029" s="1346">
        <v>0</v>
      </c>
      <c r="F2029" s="611" t="s">
        <v>8518</v>
      </c>
      <c r="G2029" s="1414">
        <v>4388</v>
      </c>
      <c r="H2029" s="1353">
        <f t="shared" si="375"/>
        <v>0</v>
      </c>
      <c r="I2029" s="1353">
        <f t="shared" si="376"/>
        <v>0</v>
      </c>
      <c r="K2029" s="1355">
        <v>3944</v>
      </c>
      <c r="L2029" s="1355" t="s">
        <v>8519</v>
      </c>
    </row>
    <row r="2030" spans="1:12">
      <c r="B2030" s="5" t="s">
        <v>8520</v>
      </c>
      <c r="C2030" s="26" t="s">
        <v>344</v>
      </c>
      <c r="D2030" s="1347">
        <v>0</v>
      </c>
      <c r="E2030" s="1346">
        <v>0</v>
      </c>
      <c r="F2030" s="611" t="s">
        <v>8521</v>
      </c>
      <c r="G2030" s="1414">
        <v>4389</v>
      </c>
      <c r="H2030" s="1353">
        <f t="shared" si="375"/>
        <v>0</v>
      </c>
      <c r="I2030" s="1353">
        <f t="shared" si="376"/>
        <v>0</v>
      </c>
      <c r="K2030" s="1355">
        <v>3945</v>
      </c>
      <c r="L2030" s="1355" t="s">
        <v>8522</v>
      </c>
    </row>
    <row r="2031" spans="1:12">
      <c r="B2031" s="5" t="s">
        <v>8523</v>
      </c>
      <c r="C2031" s="26" t="s">
        <v>345</v>
      </c>
      <c r="D2031" s="1347">
        <v>0</v>
      </c>
      <c r="E2031" s="1346">
        <v>0</v>
      </c>
      <c r="F2031" s="611" t="s">
        <v>8524</v>
      </c>
      <c r="G2031" s="1414">
        <v>4390</v>
      </c>
      <c r="H2031" s="1353">
        <f t="shared" si="375"/>
        <v>0</v>
      </c>
      <c r="I2031" s="1353">
        <f t="shared" si="376"/>
        <v>0</v>
      </c>
      <c r="K2031" s="1355">
        <v>3946</v>
      </c>
      <c r="L2031" s="1355" t="s">
        <v>8525</v>
      </c>
    </row>
    <row r="2032" spans="1:12">
      <c r="B2032" s="5" t="s">
        <v>8526</v>
      </c>
      <c r="C2032" s="26" t="s">
        <v>346</v>
      </c>
      <c r="D2032" s="1347">
        <v>0</v>
      </c>
      <c r="E2032" s="1346">
        <v>0</v>
      </c>
      <c r="F2032" s="611" t="s">
        <v>8527</v>
      </c>
      <c r="G2032" s="1414">
        <v>4391</v>
      </c>
      <c r="H2032" s="1353">
        <f t="shared" si="375"/>
        <v>0</v>
      </c>
      <c r="I2032" s="1353">
        <f t="shared" si="376"/>
        <v>0</v>
      </c>
      <c r="K2032" s="1355">
        <v>3947</v>
      </c>
      <c r="L2032" s="1355" t="s">
        <v>8528</v>
      </c>
    </row>
    <row r="2033" spans="2:12">
      <c r="B2033" s="5" t="s">
        <v>8529</v>
      </c>
      <c r="C2033" s="26" t="s">
        <v>347</v>
      </c>
      <c r="D2033" s="1347">
        <v>0</v>
      </c>
      <c r="E2033" s="1346">
        <v>0</v>
      </c>
      <c r="F2033" s="611" t="s">
        <v>8530</v>
      </c>
      <c r="G2033" s="1414">
        <v>4392</v>
      </c>
      <c r="H2033" s="1353">
        <f t="shared" si="375"/>
        <v>0</v>
      </c>
      <c r="I2033" s="1353">
        <f t="shared" si="376"/>
        <v>0</v>
      </c>
      <c r="K2033" s="1355">
        <v>3948</v>
      </c>
      <c r="L2033" s="1355" t="s">
        <v>8531</v>
      </c>
    </row>
    <row r="2034" spans="2:12">
      <c r="B2034" s="5" t="s">
        <v>8532</v>
      </c>
      <c r="C2034" s="26" t="s">
        <v>348</v>
      </c>
      <c r="D2034" s="1347">
        <v>0</v>
      </c>
      <c r="E2034" s="1346">
        <v>0</v>
      </c>
      <c r="F2034" s="611" t="s">
        <v>8533</v>
      </c>
      <c r="G2034" s="1414">
        <v>4393</v>
      </c>
      <c r="H2034" s="1353">
        <f t="shared" si="375"/>
        <v>0</v>
      </c>
      <c r="I2034" s="1353">
        <f t="shared" si="376"/>
        <v>0</v>
      </c>
      <c r="K2034" s="1355">
        <v>3949</v>
      </c>
      <c r="L2034" s="1355" t="s">
        <v>8534</v>
      </c>
    </row>
    <row r="2035" spans="2:12">
      <c r="B2035" s="5" t="s">
        <v>8535</v>
      </c>
      <c r="C2035" s="26" t="s">
        <v>349</v>
      </c>
      <c r="D2035" s="1347">
        <v>0</v>
      </c>
      <c r="E2035" s="1346">
        <v>0</v>
      </c>
      <c r="F2035" s="611" t="s">
        <v>8536</v>
      </c>
      <c r="G2035" s="1414">
        <v>4394</v>
      </c>
      <c r="H2035" s="1353">
        <f t="shared" si="375"/>
        <v>0</v>
      </c>
      <c r="I2035" s="1353">
        <f t="shared" si="376"/>
        <v>0</v>
      </c>
      <c r="K2035" s="1355">
        <v>3950</v>
      </c>
      <c r="L2035" s="1355" t="s">
        <v>8537</v>
      </c>
    </row>
    <row r="2036" spans="2:12">
      <c r="B2036" s="5" t="s">
        <v>8538</v>
      </c>
      <c r="C2036" s="26" t="s">
        <v>350</v>
      </c>
      <c r="D2036" s="1347">
        <v>0</v>
      </c>
      <c r="E2036" s="1346">
        <v>0</v>
      </c>
      <c r="F2036" s="611" t="s">
        <v>8539</v>
      </c>
      <c r="G2036" s="1414">
        <v>4395</v>
      </c>
      <c r="H2036" s="1353">
        <f t="shared" si="375"/>
        <v>0</v>
      </c>
      <c r="I2036" s="1353">
        <f t="shared" si="376"/>
        <v>0</v>
      </c>
      <c r="K2036" s="1355">
        <v>3951</v>
      </c>
      <c r="L2036" s="1355" t="s">
        <v>8540</v>
      </c>
    </row>
    <row r="2037" spans="2:12">
      <c r="B2037" s="5" t="s">
        <v>8541</v>
      </c>
      <c r="C2037" s="26" t="s">
        <v>351</v>
      </c>
      <c r="D2037" s="1347">
        <v>0</v>
      </c>
      <c r="E2037" s="1346">
        <v>0</v>
      </c>
      <c r="F2037" s="611" t="s">
        <v>8542</v>
      </c>
      <c r="G2037" s="1414">
        <v>4396</v>
      </c>
      <c r="H2037" s="1353">
        <f t="shared" si="375"/>
        <v>0</v>
      </c>
      <c r="I2037" s="1353">
        <f t="shared" si="376"/>
        <v>0</v>
      </c>
      <c r="K2037" s="1355">
        <v>3952</v>
      </c>
      <c r="L2037" s="1355" t="s">
        <v>8543</v>
      </c>
    </row>
    <row r="2038" spans="2:12">
      <c r="B2038" s="5" t="s">
        <v>8544</v>
      </c>
      <c r="C2038" s="26" t="s">
        <v>352</v>
      </c>
      <c r="D2038" s="1347">
        <v>0</v>
      </c>
      <c r="E2038" s="1346">
        <v>0</v>
      </c>
      <c r="F2038" s="611" t="s">
        <v>8545</v>
      </c>
      <c r="G2038" s="1414">
        <v>4397</v>
      </c>
      <c r="H2038" s="1353">
        <f t="shared" si="375"/>
        <v>0</v>
      </c>
      <c r="I2038" s="1353">
        <f t="shared" si="376"/>
        <v>0</v>
      </c>
      <c r="K2038" s="1355">
        <v>3953</v>
      </c>
      <c r="L2038" s="1355" t="s">
        <v>8546</v>
      </c>
    </row>
    <row r="2039" spans="2:12">
      <c r="B2039" s="5" t="s">
        <v>8547</v>
      </c>
      <c r="C2039" s="26" t="s">
        <v>353</v>
      </c>
      <c r="D2039" s="1347">
        <v>0</v>
      </c>
      <c r="E2039" s="1346">
        <v>0</v>
      </c>
      <c r="F2039" s="611" t="s">
        <v>8548</v>
      </c>
      <c r="G2039" s="1414">
        <v>4398</v>
      </c>
      <c r="H2039" s="1353">
        <f t="shared" si="375"/>
        <v>0</v>
      </c>
      <c r="I2039" s="1353">
        <f t="shared" si="376"/>
        <v>0</v>
      </c>
      <c r="K2039" s="1355">
        <v>3954</v>
      </c>
      <c r="L2039" s="1355" t="s">
        <v>8549</v>
      </c>
    </row>
    <row r="2040" spans="2:12">
      <c r="B2040" s="5" t="s">
        <v>8550</v>
      </c>
      <c r="C2040" s="26" t="s">
        <v>8551</v>
      </c>
      <c r="D2040" s="1347">
        <v>0</v>
      </c>
      <c r="E2040" s="1346">
        <v>0</v>
      </c>
      <c r="F2040" s="611" t="s">
        <v>8552</v>
      </c>
      <c r="G2040" s="1408">
        <v>1451</v>
      </c>
      <c r="H2040" s="1353">
        <f>M1426</f>
        <v>0</v>
      </c>
      <c r="I2040" s="1353">
        <f>N1426</f>
        <v>0</v>
      </c>
      <c r="K2040" s="1355">
        <v>3955</v>
      </c>
      <c r="L2040" s="1355" t="s">
        <v>8553</v>
      </c>
    </row>
    <row r="2041" spans="2:12">
      <c r="B2041" s="5" t="s">
        <v>8554</v>
      </c>
      <c r="C2041" s="26" t="s">
        <v>355</v>
      </c>
      <c r="D2041" s="1347">
        <v>0</v>
      </c>
      <c r="E2041" s="1346">
        <v>0</v>
      </c>
      <c r="F2041" s="611" t="s">
        <v>8555</v>
      </c>
      <c r="G2041" s="1408">
        <v>1452</v>
      </c>
      <c r="H2041" s="1353">
        <f>M1427</f>
        <v>0</v>
      </c>
      <c r="I2041" s="1353">
        <f>N1427</f>
        <v>0</v>
      </c>
      <c r="K2041" s="1355">
        <v>3956</v>
      </c>
      <c r="L2041" s="1355" t="s">
        <v>8556</v>
      </c>
    </row>
    <row r="2042" spans="2:12">
      <c r="B2042" s="5" t="s">
        <v>8557</v>
      </c>
      <c r="C2042" s="26" t="s">
        <v>356</v>
      </c>
      <c r="D2042" s="1347">
        <v>0</v>
      </c>
      <c r="E2042" s="1346">
        <v>0</v>
      </c>
      <c r="F2042" s="611" t="s">
        <v>8558</v>
      </c>
      <c r="G2042" s="1414">
        <v>4399</v>
      </c>
      <c r="H2042" s="1353">
        <f t="shared" ref="H2042:H2057" si="377">M2484</f>
        <v>0</v>
      </c>
      <c r="I2042" s="1353">
        <f t="shared" ref="I2042:I2057" si="378">N2484</f>
        <v>0</v>
      </c>
      <c r="K2042" s="1355">
        <v>3957</v>
      </c>
      <c r="L2042" s="1355" t="s">
        <v>8559</v>
      </c>
    </row>
    <row r="2043" spans="2:12">
      <c r="B2043" s="5" t="s">
        <v>8560</v>
      </c>
      <c r="C2043" s="26" t="s">
        <v>357</v>
      </c>
      <c r="D2043" s="1347">
        <v>139503</v>
      </c>
      <c r="E2043" s="1346">
        <v>752856</v>
      </c>
      <c r="F2043" s="611" t="s">
        <v>8561</v>
      </c>
      <c r="G2043" s="1414">
        <v>4400</v>
      </c>
      <c r="H2043" s="1353">
        <f t="shared" si="377"/>
        <v>0</v>
      </c>
      <c r="I2043" s="1353">
        <f t="shared" si="378"/>
        <v>0</v>
      </c>
      <c r="K2043" s="1355">
        <v>3958</v>
      </c>
      <c r="L2043" s="1355" t="s">
        <v>8562</v>
      </c>
    </row>
    <row r="2044" spans="2:12">
      <c r="B2044" s="5" t="s">
        <v>8563</v>
      </c>
      <c r="C2044" s="26" t="s">
        <v>358</v>
      </c>
      <c r="D2044" s="1347">
        <v>0</v>
      </c>
      <c r="E2044" s="1346">
        <v>0</v>
      </c>
      <c r="F2044" s="611" t="s">
        <v>8564</v>
      </c>
      <c r="G2044" s="1414">
        <v>4401</v>
      </c>
      <c r="H2044" s="1353">
        <f t="shared" si="377"/>
        <v>0</v>
      </c>
      <c r="I2044" s="1353">
        <f t="shared" si="378"/>
        <v>0</v>
      </c>
      <c r="K2044" s="1355">
        <v>3959</v>
      </c>
      <c r="L2044" s="1355" t="s">
        <v>8565</v>
      </c>
    </row>
    <row r="2045" spans="2:12">
      <c r="B2045" s="5" t="s">
        <v>8566</v>
      </c>
      <c r="C2045" s="26" t="s">
        <v>359</v>
      </c>
      <c r="D2045" s="1347">
        <v>0</v>
      </c>
      <c r="E2045" s="1346">
        <v>0</v>
      </c>
      <c r="F2045" s="611" t="s">
        <v>8567</v>
      </c>
      <c r="G2045" s="1414">
        <v>4402</v>
      </c>
      <c r="H2045" s="1353">
        <f t="shared" si="377"/>
        <v>0</v>
      </c>
      <c r="I2045" s="1353">
        <f t="shared" si="378"/>
        <v>0</v>
      </c>
      <c r="K2045" s="1355">
        <v>3960</v>
      </c>
      <c r="L2045" s="1355" t="s">
        <v>8568</v>
      </c>
    </row>
    <row r="2046" spans="2:12">
      <c r="B2046" s="5" t="s">
        <v>8569</v>
      </c>
      <c r="C2046" s="26" t="s">
        <v>360</v>
      </c>
      <c r="D2046" s="1347">
        <v>0</v>
      </c>
      <c r="E2046" s="1346">
        <v>0</v>
      </c>
      <c r="F2046" s="611" t="s">
        <v>8570</v>
      </c>
      <c r="G2046" s="1414">
        <v>4403</v>
      </c>
      <c r="H2046" s="1353">
        <f t="shared" si="377"/>
        <v>0</v>
      </c>
      <c r="I2046" s="1353">
        <f t="shared" si="378"/>
        <v>0</v>
      </c>
      <c r="K2046" s="1355">
        <v>3961</v>
      </c>
      <c r="L2046" s="1355" t="s">
        <v>8571</v>
      </c>
    </row>
    <row r="2047" spans="2:12">
      <c r="B2047" s="5" t="s">
        <v>8572</v>
      </c>
      <c r="C2047" s="26" t="s">
        <v>361</v>
      </c>
      <c r="D2047" s="1347">
        <v>0</v>
      </c>
      <c r="E2047" s="1346">
        <v>0</v>
      </c>
      <c r="F2047" s="611" t="s">
        <v>8573</v>
      </c>
      <c r="G2047" s="1414">
        <v>4404</v>
      </c>
      <c r="H2047" s="1353">
        <f t="shared" si="377"/>
        <v>0</v>
      </c>
      <c r="I2047" s="1353">
        <f t="shared" si="378"/>
        <v>0</v>
      </c>
      <c r="K2047" s="1355">
        <v>3962</v>
      </c>
      <c r="L2047" s="1355" t="s">
        <v>8574</v>
      </c>
    </row>
    <row r="2048" spans="2:12">
      <c r="B2048" s="5" t="s">
        <v>8575</v>
      </c>
      <c r="C2048" s="26" t="s">
        <v>362</v>
      </c>
      <c r="D2048" s="1347">
        <v>0</v>
      </c>
      <c r="E2048" s="1346">
        <v>0</v>
      </c>
      <c r="F2048" s="611" t="s">
        <v>8576</v>
      </c>
      <c r="G2048" s="1414">
        <v>4405</v>
      </c>
      <c r="H2048" s="1353">
        <f t="shared" si="377"/>
        <v>0</v>
      </c>
      <c r="I2048" s="1353">
        <f t="shared" si="378"/>
        <v>0</v>
      </c>
      <c r="K2048" s="1355">
        <v>3963</v>
      </c>
      <c r="L2048" s="1355" t="s">
        <v>8577</v>
      </c>
    </row>
    <row r="2049" spans="2:12">
      <c r="B2049" s="5" t="s">
        <v>8578</v>
      </c>
      <c r="C2049" s="26" t="s">
        <v>363</v>
      </c>
      <c r="D2049" s="1347">
        <v>0</v>
      </c>
      <c r="E2049" s="1346">
        <v>0</v>
      </c>
      <c r="F2049" s="611" t="s">
        <v>8579</v>
      </c>
      <c r="G2049" s="1414">
        <v>4406</v>
      </c>
      <c r="H2049" s="1353">
        <f t="shared" si="377"/>
        <v>0</v>
      </c>
      <c r="I2049" s="1353">
        <f t="shared" si="378"/>
        <v>0</v>
      </c>
      <c r="K2049" s="1355">
        <v>3964</v>
      </c>
      <c r="L2049" s="1355" t="s">
        <v>8580</v>
      </c>
    </row>
    <row r="2050" spans="2:12">
      <c r="B2050" s="5" t="s">
        <v>8581</v>
      </c>
      <c r="C2050" s="26" t="s">
        <v>364</v>
      </c>
      <c r="D2050" s="1347">
        <v>0</v>
      </c>
      <c r="E2050" s="1346">
        <v>0</v>
      </c>
      <c r="F2050" s="611" t="s">
        <v>8582</v>
      </c>
      <c r="G2050" s="1414">
        <v>4407</v>
      </c>
      <c r="H2050" s="1353">
        <f t="shared" si="377"/>
        <v>0</v>
      </c>
      <c r="I2050" s="1353">
        <f t="shared" si="378"/>
        <v>0</v>
      </c>
      <c r="K2050" s="1355">
        <v>3965</v>
      </c>
      <c r="L2050" s="1355" t="s">
        <v>8583</v>
      </c>
    </row>
    <row r="2051" spans="2:12">
      <c r="B2051" s="5" t="s">
        <v>8584</v>
      </c>
      <c r="C2051" s="26" t="s">
        <v>365</v>
      </c>
      <c r="D2051" s="1347">
        <v>0</v>
      </c>
      <c r="E2051" s="1346">
        <v>0</v>
      </c>
      <c r="F2051" s="611" t="s">
        <v>8585</v>
      </c>
      <c r="G2051" s="1414">
        <v>4408</v>
      </c>
      <c r="H2051" s="1353">
        <f t="shared" si="377"/>
        <v>0</v>
      </c>
      <c r="I2051" s="1353">
        <f t="shared" si="378"/>
        <v>0</v>
      </c>
      <c r="K2051" s="1355">
        <v>3966</v>
      </c>
      <c r="L2051" s="1355" t="s">
        <v>8586</v>
      </c>
    </row>
    <row r="2052" spans="2:12">
      <c r="B2052" s="5" t="s">
        <v>8587</v>
      </c>
      <c r="C2052" s="26" t="s">
        <v>366</v>
      </c>
      <c r="D2052" s="1347">
        <v>0</v>
      </c>
      <c r="E2052" s="1346">
        <v>0</v>
      </c>
      <c r="F2052" s="611" t="s">
        <v>8588</v>
      </c>
      <c r="G2052" s="1414">
        <v>4409</v>
      </c>
      <c r="H2052" s="1353">
        <f t="shared" si="377"/>
        <v>0</v>
      </c>
      <c r="I2052" s="1353">
        <f t="shared" si="378"/>
        <v>0</v>
      </c>
      <c r="K2052" s="1355">
        <v>3967</v>
      </c>
      <c r="L2052" s="1355" t="s">
        <v>8589</v>
      </c>
    </row>
    <row r="2053" spans="2:12">
      <c r="B2053" s="5" t="s">
        <v>8590</v>
      </c>
      <c r="C2053" s="26" t="s">
        <v>367</v>
      </c>
      <c r="D2053" s="1347">
        <v>0</v>
      </c>
      <c r="E2053" s="1346">
        <v>0</v>
      </c>
      <c r="F2053" s="611" t="s">
        <v>8591</v>
      </c>
      <c r="G2053" s="1414">
        <v>4410</v>
      </c>
      <c r="H2053" s="1353">
        <f t="shared" si="377"/>
        <v>0</v>
      </c>
      <c r="I2053" s="1353">
        <f t="shared" si="378"/>
        <v>0</v>
      </c>
      <c r="K2053" s="1355">
        <v>3968</v>
      </c>
      <c r="L2053" s="1355" t="s">
        <v>8592</v>
      </c>
    </row>
    <row r="2054" spans="2:12">
      <c r="B2054" s="5" t="s">
        <v>8593</v>
      </c>
      <c r="C2054" s="26" t="s">
        <v>368</v>
      </c>
      <c r="D2054" s="1347">
        <v>0</v>
      </c>
      <c r="E2054" s="1346">
        <v>0</v>
      </c>
      <c r="F2054" s="611" t="s">
        <v>8594</v>
      </c>
      <c r="G2054" s="1414">
        <v>4411</v>
      </c>
      <c r="H2054" s="1353">
        <f t="shared" si="377"/>
        <v>0</v>
      </c>
      <c r="I2054" s="1353">
        <f t="shared" si="378"/>
        <v>0</v>
      </c>
      <c r="K2054" s="1355">
        <v>3969</v>
      </c>
      <c r="L2054" s="1355" t="s">
        <v>8595</v>
      </c>
    </row>
    <row r="2055" spans="2:12">
      <c r="B2055" s="5" t="s">
        <v>8596</v>
      </c>
      <c r="C2055" s="26" t="s">
        <v>369</v>
      </c>
      <c r="D2055" s="1347">
        <v>0</v>
      </c>
      <c r="E2055" s="1346">
        <v>0</v>
      </c>
      <c r="F2055" s="611" t="s">
        <v>8597</v>
      </c>
      <c r="G2055" s="1414">
        <v>4412</v>
      </c>
      <c r="H2055" s="1353">
        <f t="shared" si="377"/>
        <v>0</v>
      </c>
      <c r="I2055" s="1353">
        <f t="shared" si="378"/>
        <v>0</v>
      </c>
      <c r="K2055" s="1355">
        <v>3970</v>
      </c>
      <c r="L2055" s="1355" t="s">
        <v>8598</v>
      </c>
    </row>
    <row r="2056" spans="2:12">
      <c r="B2056" s="5" t="s">
        <v>8599</v>
      </c>
      <c r="C2056" s="26" t="s">
        <v>370</v>
      </c>
      <c r="D2056" s="1347">
        <v>0</v>
      </c>
      <c r="E2056" s="1346">
        <v>0</v>
      </c>
      <c r="F2056" s="611" t="s">
        <v>8600</v>
      </c>
      <c r="G2056" s="1414">
        <v>4413</v>
      </c>
      <c r="H2056" s="1353">
        <f t="shared" si="377"/>
        <v>0</v>
      </c>
      <c r="I2056" s="1353">
        <f t="shared" si="378"/>
        <v>0</v>
      </c>
      <c r="K2056" s="1355">
        <v>3971</v>
      </c>
      <c r="L2056" s="1355" t="s">
        <v>8601</v>
      </c>
    </row>
    <row r="2057" spans="2:12">
      <c r="B2057" s="5" t="s">
        <v>8602</v>
      </c>
      <c r="C2057" s="26" t="s">
        <v>371</v>
      </c>
      <c r="D2057" s="1347">
        <v>0</v>
      </c>
      <c r="E2057" s="1346">
        <v>0</v>
      </c>
      <c r="F2057" s="611" t="s">
        <v>8603</v>
      </c>
      <c r="G2057" s="1414">
        <v>4414</v>
      </c>
      <c r="H2057" s="1353">
        <f t="shared" si="377"/>
        <v>0</v>
      </c>
      <c r="I2057" s="1353">
        <f t="shared" si="378"/>
        <v>0</v>
      </c>
      <c r="K2057" s="1355">
        <v>3972</v>
      </c>
      <c r="L2057" s="1355" t="s">
        <v>8604</v>
      </c>
    </row>
    <row r="2058" spans="2:12">
      <c r="B2058" s="5" t="s">
        <v>8605</v>
      </c>
      <c r="C2058" s="26" t="s">
        <v>8606</v>
      </c>
      <c r="D2058" s="1347">
        <v>0</v>
      </c>
      <c r="E2058" s="1346">
        <v>0</v>
      </c>
      <c r="F2058" s="611" t="s">
        <v>8607</v>
      </c>
      <c r="G2058" s="1408">
        <v>1456</v>
      </c>
      <c r="H2058" s="1353">
        <f>M1431</f>
        <v>0</v>
      </c>
      <c r="I2058" s="1353">
        <f>N1431</f>
        <v>0</v>
      </c>
      <c r="K2058" s="1355">
        <v>3973</v>
      </c>
      <c r="L2058" s="1355" t="s">
        <v>8608</v>
      </c>
    </row>
    <row r="2059" spans="2:12">
      <c r="B2059" s="5" t="s">
        <v>8609</v>
      </c>
      <c r="C2059" s="26" t="s">
        <v>373</v>
      </c>
      <c r="D2059" s="1347">
        <v>0</v>
      </c>
      <c r="E2059" s="1346">
        <v>0</v>
      </c>
      <c r="F2059" s="611" t="s">
        <v>8610</v>
      </c>
      <c r="G2059" s="1408">
        <v>1457</v>
      </c>
      <c r="H2059" s="1353">
        <f>M1432</f>
        <v>0</v>
      </c>
      <c r="I2059" s="1353">
        <f>N1432</f>
        <v>0</v>
      </c>
      <c r="K2059" s="1355">
        <v>3974</v>
      </c>
      <c r="L2059" s="1355" t="s">
        <v>8611</v>
      </c>
    </row>
    <row r="2060" spans="2:12">
      <c r="B2060" s="5" t="s">
        <v>8612</v>
      </c>
      <c r="C2060" s="26" t="s">
        <v>374</v>
      </c>
      <c r="D2060" s="1347">
        <v>0</v>
      </c>
      <c r="E2060" s="1346">
        <v>0</v>
      </c>
      <c r="F2060" s="611" t="s">
        <v>8613</v>
      </c>
      <c r="G2060" s="1408">
        <v>1459</v>
      </c>
      <c r="H2060" s="1353">
        <f>M1434</f>
        <v>0</v>
      </c>
      <c r="I2060" s="1353">
        <f>N1434</f>
        <v>0</v>
      </c>
      <c r="K2060" s="1355">
        <v>3975</v>
      </c>
      <c r="L2060" s="1355" t="s">
        <v>8614</v>
      </c>
    </row>
    <row r="2061" spans="2:12">
      <c r="B2061" s="5" t="s">
        <v>8615</v>
      </c>
      <c r="C2061" s="26" t="s">
        <v>8616</v>
      </c>
      <c r="D2061" s="1347">
        <v>0</v>
      </c>
      <c r="E2061" s="1346">
        <v>0</v>
      </c>
      <c r="F2061" s="611" t="s">
        <v>8617</v>
      </c>
      <c r="G2061" s="1413" t="s">
        <v>2504</v>
      </c>
      <c r="H2061" s="1353">
        <f t="shared" ref="H2061:H2079" si="379">M2465-M2500</f>
        <v>0</v>
      </c>
      <c r="I2061" s="1353">
        <f t="shared" ref="I2061:I2079" si="380">N2465-N2500</f>
        <v>0</v>
      </c>
      <c r="K2061" s="1355">
        <v>3976</v>
      </c>
      <c r="L2061" s="1355" t="s">
        <v>8618</v>
      </c>
    </row>
    <row r="2062" spans="2:12">
      <c r="B2062" s="5" t="s">
        <v>8619</v>
      </c>
      <c r="C2062" s="26" t="s">
        <v>8620</v>
      </c>
      <c r="D2062" s="1347">
        <v>0</v>
      </c>
      <c r="E2062" s="1346">
        <v>0</v>
      </c>
      <c r="F2062" s="611" t="s">
        <v>8621</v>
      </c>
      <c r="G2062" s="1413" t="s">
        <v>2504</v>
      </c>
      <c r="H2062" s="1353">
        <f t="shared" si="379"/>
        <v>0</v>
      </c>
      <c r="I2062" s="1353">
        <f t="shared" si="380"/>
        <v>0</v>
      </c>
      <c r="K2062" s="1355">
        <v>3977</v>
      </c>
      <c r="L2062" s="1355" t="s">
        <v>8622</v>
      </c>
    </row>
    <row r="2063" spans="2:12">
      <c r="B2063" s="5" t="s">
        <v>8623</v>
      </c>
      <c r="C2063" s="26" t="s">
        <v>8624</v>
      </c>
      <c r="D2063" s="1347">
        <v>0</v>
      </c>
      <c r="E2063" s="1346">
        <v>0</v>
      </c>
      <c r="F2063" s="611" t="s">
        <v>8625</v>
      </c>
      <c r="G2063" s="1413" t="s">
        <v>2504</v>
      </c>
      <c r="H2063" s="1353">
        <f t="shared" si="379"/>
        <v>0</v>
      </c>
      <c r="I2063" s="1353">
        <f t="shared" si="380"/>
        <v>0</v>
      </c>
      <c r="K2063" s="1355">
        <v>3978</v>
      </c>
      <c r="L2063" s="1355" t="s">
        <v>8626</v>
      </c>
    </row>
    <row r="2064" spans="2:12">
      <c r="B2064" s="5" t="s">
        <v>8627</v>
      </c>
      <c r="C2064" s="26" t="s">
        <v>8628</v>
      </c>
      <c r="D2064" s="1347">
        <v>0</v>
      </c>
      <c r="E2064" s="1346">
        <v>0</v>
      </c>
      <c r="F2064" s="611" t="s">
        <v>8629</v>
      </c>
      <c r="G2064" s="1413" t="s">
        <v>2504</v>
      </c>
      <c r="H2064" s="1353">
        <f t="shared" si="379"/>
        <v>0</v>
      </c>
      <c r="I2064" s="1353">
        <f t="shared" si="380"/>
        <v>0</v>
      </c>
      <c r="K2064" s="1355">
        <v>3979</v>
      </c>
      <c r="L2064" s="1355" t="s">
        <v>8630</v>
      </c>
    </row>
    <row r="2065" spans="2:12">
      <c r="B2065" s="5" t="s">
        <v>8631</v>
      </c>
      <c r="C2065" s="26" t="s">
        <v>8632</v>
      </c>
      <c r="D2065" s="1347">
        <v>0</v>
      </c>
      <c r="E2065" s="1346">
        <v>0</v>
      </c>
      <c r="F2065" s="611" t="s">
        <v>8633</v>
      </c>
      <c r="G2065" s="1413" t="s">
        <v>2504</v>
      </c>
      <c r="H2065" s="1353">
        <f t="shared" si="379"/>
        <v>0</v>
      </c>
      <c r="I2065" s="1353">
        <f t="shared" si="380"/>
        <v>0</v>
      </c>
      <c r="K2065" s="1355">
        <v>3980</v>
      </c>
      <c r="L2065" s="1355" t="s">
        <v>8634</v>
      </c>
    </row>
    <row r="2066" spans="2:12">
      <c r="B2066" s="5" t="s">
        <v>8635</v>
      </c>
      <c r="C2066" s="26" t="s">
        <v>8636</v>
      </c>
      <c r="D2066" s="1347">
        <v>0</v>
      </c>
      <c r="E2066" s="1346">
        <v>0</v>
      </c>
      <c r="F2066" s="611" t="s">
        <v>8637</v>
      </c>
      <c r="G2066" s="1413" t="s">
        <v>2504</v>
      </c>
      <c r="H2066" s="1353">
        <f t="shared" si="379"/>
        <v>0</v>
      </c>
      <c r="I2066" s="1353">
        <f t="shared" si="380"/>
        <v>0</v>
      </c>
      <c r="K2066" s="1355">
        <v>3981</v>
      </c>
      <c r="L2066" s="1355" t="s">
        <v>8638</v>
      </c>
    </row>
    <row r="2067" spans="2:12">
      <c r="B2067" s="5" t="s">
        <v>8639</v>
      </c>
      <c r="C2067" s="26" t="s">
        <v>8640</v>
      </c>
      <c r="D2067" s="1347">
        <v>0</v>
      </c>
      <c r="E2067" s="1346">
        <v>0</v>
      </c>
      <c r="F2067" s="611" t="s">
        <v>8641</v>
      </c>
      <c r="G2067" s="1413" t="s">
        <v>2504</v>
      </c>
      <c r="H2067" s="1353">
        <f t="shared" si="379"/>
        <v>0</v>
      </c>
      <c r="I2067" s="1353">
        <f t="shared" si="380"/>
        <v>0</v>
      </c>
      <c r="K2067" s="1355">
        <v>3982</v>
      </c>
      <c r="L2067" s="1355" t="s">
        <v>8642</v>
      </c>
    </row>
    <row r="2068" spans="2:12">
      <c r="B2068" s="5" t="s">
        <v>8643</v>
      </c>
      <c r="C2068" s="26" t="s">
        <v>8644</v>
      </c>
      <c r="D2068" s="1347">
        <v>0</v>
      </c>
      <c r="E2068" s="1346">
        <v>0</v>
      </c>
      <c r="F2068" s="611" t="s">
        <v>8645</v>
      </c>
      <c r="G2068" s="1413" t="s">
        <v>2504</v>
      </c>
      <c r="H2068" s="1353">
        <f t="shared" si="379"/>
        <v>0</v>
      </c>
      <c r="I2068" s="1353">
        <f t="shared" si="380"/>
        <v>0</v>
      </c>
      <c r="K2068" s="1355">
        <v>3983</v>
      </c>
      <c r="L2068" s="1355" t="s">
        <v>8646</v>
      </c>
    </row>
    <row r="2069" spans="2:12">
      <c r="B2069" s="5" t="s">
        <v>8647</v>
      </c>
      <c r="C2069" s="26" t="s">
        <v>8648</v>
      </c>
      <c r="D2069" s="1347">
        <v>0</v>
      </c>
      <c r="E2069" s="1346">
        <v>0</v>
      </c>
      <c r="F2069" s="611" t="s">
        <v>8649</v>
      </c>
      <c r="G2069" s="1413" t="s">
        <v>2504</v>
      </c>
      <c r="H2069" s="1353">
        <f t="shared" si="379"/>
        <v>0</v>
      </c>
      <c r="I2069" s="1353">
        <f t="shared" si="380"/>
        <v>0</v>
      </c>
      <c r="K2069" s="1355">
        <v>3984</v>
      </c>
      <c r="L2069" s="1355" t="s">
        <v>8650</v>
      </c>
    </row>
    <row r="2070" spans="2:12">
      <c r="B2070" s="5" t="s">
        <v>8651</v>
      </c>
      <c r="C2070" s="26" t="s">
        <v>8652</v>
      </c>
      <c r="D2070" s="1347">
        <v>0</v>
      </c>
      <c r="E2070" s="1346">
        <v>0</v>
      </c>
      <c r="F2070" s="611" t="s">
        <v>8653</v>
      </c>
      <c r="G2070" s="1413" t="s">
        <v>2504</v>
      </c>
      <c r="H2070" s="1353">
        <f t="shared" si="379"/>
        <v>0</v>
      </c>
      <c r="I2070" s="1353">
        <f t="shared" si="380"/>
        <v>0</v>
      </c>
      <c r="K2070" s="1355">
        <v>3985</v>
      </c>
      <c r="L2070" s="1355" t="s">
        <v>8654</v>
      </c>
    </row>
    <row r="2071" spans="2:12">
      <c r="B2071" s="5" t="s">
        <v>8655</v>
      </c>
      <c r="C2071" s="26" t="s">
        <v>8656</v>
      </c>
      <c r="D2071" s="1347">
        <v>0</v>
      </c>
      <c r="E2071" s="1346">
        <v>0</v>
      </c>
      <c r="F2071" s="611" t="s">
        <v>8657</v>
      </c>
      <c r="G2071" s="1413" t="s">
        <v>2504</v>
      </c>
      <c r="H2071" s="1353">
        <f t="shared" si="379"/>
        <v>0</v>
      </c>
      <c r="I2071" s="1353">
        <f t="shared" si="380"/>
        <v>0</v>
      </c>
      <c r="K2071" s="1355">
        <v>3986</v>
      </c>
      <c r="L2071" s="1355" t="s">
        <v>8658</v>
      </c>
    </row>
    <row r="2072" spans="2:12">
      <c r="B2072" s="5" t="s">
        <v>8659</v>
      </c>
      <c r="C2072" s="26" t="s">
        <v>8660</v>
      </c>
      <c r="D2072" s="1347">
        <v>0</v>
      </c>
      <c r="E2072" s="1346">
        <v>0</v>
      </c>
      <c r="F2072" s="611" t="s">
        <v>8661</v>
      </c>
      <c r="G2072" s="1413" t="s">
        <v>2504</v>
      </c>
      <c r="H2072" s="1353">
        <f t="shared" si="379"/>
        <v>0</v>
      </c>
      <c r="I2072" s="1353">
        <f t="shared" si="380"/>
        <v>0</v>
      </c>
      <c r="K2072" s="1355">
        <v>3987</v>
      </c>
      <c r="L2072" s="1355" t="s">
        <v>8662</v>
      </c>
    </row>
    <row r="2073" spans="2:12">
      <c r="B2073" s="5" t="s">
        <v>8663</v>
      </c>
      <c r="C2073" s="26" t="s">
        <v>8664</v>
      </c>
      <c r="D2073" s="1347">
        <v>0</v>
      </c>
      <c r="E2073" s="1346">
        <v>0</v>
      </c>
      <c r="F2073" s="611" t="s">
        <v>8665</v>
      </c>
      <c r="G2073" s="1413" t="s">
        <v>2504</v>
      </c>
      <c r="H2073" s="1353">
        <f t="shared" si="379"/>
        <v>0</v>
      </c>
      <c r="I2073" s="1353">
        <f t="shared" si="380"/>
        <v>0</v>
      </c>
      <c r="K2073" s="1355">
        <v>3988</v>
      </c>
      <c r="L2073" s="1355" t="s">
        <v>8666</v>
      </c>
    </row>
    <row r="2074" spans="2:12">
      <c r="B2074" s="5" t="s">
        <v>8667</v>
      </c>
      <c r="C2074" s="26" t="s">
        <v>8668</v>
      </c>
      <c r="D2074" s="1347">
        <v>0</v>
      </c>
      <c r="E2074" s="1346">
        <v>0</v>
      </c>
      <c r="F2074" s="611" t="s">
        <v>8669</v>
      </c>
      <c r="G2074" s="1413" t="s">
        <v>2504</v>
      </c>
      <c r="H2074" s="1353">
        <f t="shared" si="379"/>
        <v>0</v>
      </c>
      <c r="I2074" s="1353">
        <f t="shared" si="380"/>
        <v>0</v>
      </c>
      <c r="K2074" s="1355">
        <v>3989</v>
      </c>
      <c r="L2074" s="1355" t="s">
        <v>8670</v>
      </c>
    </row>
    <row r="2075" spans="2:12">
      <c r="B2075" s="5" t="s">
        <v>8671</v>
      </c>
      <c r="C2075" s="26" t="s">
        <v>8672</v>
      </c>
      <c r="D2075" s="1347">
        <v>0</v>
      </c>
      <c r="E2075" s="1346">
        <v>0</v>
      </c>
      <c r="F2075" s="611" t="s">
        <v>8673</v>
      </c>
      <c r="G2075" s="1413" t="s">
        <v>2504</v>
      </c>
      <c r="H2075" s="1353">
        <f t="shared" si="379"/>
        <v>0</v>
      </c>
      <c r="I2075" s="1353">
        <f t="shared" si="380"/>
        <v>0</v>
      </c>
      <c r="K2075" s="1355">
        <v>3990</v>
      </c>
      <c r="L2075" s="1355" t="s">
        <v>8674</v>
      </c>
    </row>
    <row r="2076" spans="2:12">
      <c r="B2076" s="5" t="s">
        <v>8675</v>
      </c>
      <c r="C2076" s="26" t="s">
        <v>8676</v>
      </c>
      <c r="D2076" s="1347">
        <v>0</v>
      </c>
      <c r="E2076" s="1346">
        <v>0</v>
      </c>
      <c r="F2076" s="611" t="s">
        <v>8677</v>
      </c>
      <c r="G2076" s="1413" t="s">
        <v>2504</v>
      </c>
      <c r="H2076" s="1353">
        <f t="shared" si="379"/>
        <v>0</v>
      </c>
      <c r="I2076" s="1353">
        <f t="shared" si="380"/>
        <v>0</v>
      </c>
      <c r="K2076" s="1355">
        <v>3991</v>
      </c>
      <c r="L2076" s="1355" t="s">
        <v>8678</v>
      </c>
    </row>
    <row r="2077" spans="2:12">
      <c r="B2077" s="5" t="s">
        <v>8679</v>
      </c>
      <c r="C2077" s="26" t="s">
        <v>8680</v>
      </c>
      <c r="D2077" s="1347">
        <v>0</v>
      </c>
      <c r="E2077" s="1346">
        <v>0</v>
      </c>
      <c r="F2077" s="611" t="s">
        <v>8681</v>
      </c>
      <c r="G2077" s="1413" t="s">
        <v>2504</v>
      </c>
      <c r="H2077" s="1353">
        <f t="shared" si="379"/>
        <v>0</v>
      </c>
      <c r="I2077" s="1353">
        <f t="shared" si="380"/>
        <v>0</v>
      </c>
      <c r="K2077" s="1355">
        <v>3992</v>
      </c>
      <c r="L2077" s="1355" t="s">
        <v>8682</v>
      </c>
    </row>
    <row r="2078" spans="2:12">
      <c r="B2078" s="5" t="s">
        <v>8683</v>
      </c>
      <c r="C2078" s="26" t="s">
        <v>8684</v>
      </c>
      <c r="D2078" s="1347">
        <v>0</v>
      </c>
      <c r="E2078" s="1346">
        <v>0</v>
      </c>
      <c r="F2078" s="611" t="s">
        <v>8685</v>
      </c>
      <c r="G2078" s="1413" t="s">
        <v>2504</v>
      </c>
      <c r="H2078" s="1353">
        <f t="shared" si="379"/>
        <v>0</v>
      </c>
      <c r="I2078" s="1353">
        <f t="shared" si="380"/>
        <v>0</v>
      </c>
      <c r="K2078" s="1355">
        <v>3993</v>
      </c>
      <c r="L2078" s="1355" t="s">
        <v>8686</v>
      </c>
    </row>
    <row r="2079" spans="2:12">
      <c r="B2079" s="5" t="s">
        <v>8687</v>
      </c>
      <c r="C2079" s="26" t="s">
        <v>8688</v>
      </c>
      <c r="D2079" s="1347">
        <v>0</v>
      </c>
      <c r="E2079" s="1346">
        <v>0</v>
      </c>
      <c r="F2079" s="611" t="s">
        <v>8689</v>
      </c>
      <c r="G2079" s="1413" t="s">
        <v>2504</v>
      </c>
      <c r="H2079" s="1353">
        <f t="shared" si="379"/>
        <v>0</v>
      </c>
      <c r="I2079" s="1353">
        <f t="shared" si="380"/>
        <v>0</v>
      </c>
      <c r="K2079" s="1355">
        <v>3994</v>
      </c>
      <c r="L2079" s="1355" t="s">
        <v>8690</v>
      </c>
    </row>
    <row r="2080" spans="2:12">
      <c r="B2080" s="5" t="s">
        <v>8691</v>
      </c>
      <c r="C2080" s="26" t="s">
        <v>8692</v>
      </c>
      <c r="D2080" s="1347">
        <v>0</v>
      </c>
      <c r="E2080" s="1346">
        <v>0</v>
      </c>
      <c r="F2080" s="611" t="s">
        <v>8693</v>
      </c>
      <c r="G2080" s="1413" t="s">
        <v>2504</v>
      </c>
      <c r="H2080" s="1353">
        <f>M1426-M1438</f>
        <v>0</v>
      </c>
      <c r="I2080" s="1353">
        <f>N1426-N1438</f>
        <v>0</v>
      </c>
      <c r="K2080" s="1355">
        <v>3995</v>
      </c>
      <c r="L2080" s="1355" t="s">
        <v>8694</v>
      </c>
    </row>
    <row r="2081" spans="2:12">
      <c r="B2081" s="5" t="s">
        <v>8695</v>
      </c>
      <c r="C2081" s="26" t="s">
        <v>8696</v>
      </c>
      <c r="D2081" s="1347">
        <v>0</v>
      </c>
      <c r="E2081" s="1346">
        <v>0</v>
      </c>
      <c r="F2081" s="611" t="s">
        <v>8697</v>
      </c>
      <c r="G2081" s="1413" t="s">
        <v>2504</v>
      </c>
      <c r="H2081" s="1353">
        <f>M1427-M1439</f>
        <v>0</v>
      </c>
      <c r="I2081" s="1353">
        <f>N1427-N1439</f>
        <v>0</v>
      </c>
      <c r="K2081" s="1355">
        <v>3996</v>
      </c>
      <c r="L2081" s="1355" t="s">
        <v>8698</v>
      </c>
    </row>
    <row r="2082" spans="2:12">
      <c r="B2082" s="5" t="s">
        <v>8699</v>
      </c>
      <c r="C2082" s="26" t="s">
        <v>8700</v>
      </c>
      <c r="D2082" s="1347">
        <v>0</v>
      </c>
      <c r="E2082" s="1346">
        <v>0</v>
      </c>
      <c r="F2082" s="611" t="s">
        <v>8701</v>
      </c>
      <c r="G2082" s="1413" t="s">
        <v>2504</v>
      </c>
      <c r="H2082" s="1353">
        <f t="shared" ref="H2082:H2097" si="381">M2484-M2519</f>
        <v>0</v>
      </c>
      <c r="I2082" s="1353">
        <f t="shared" ref="I2082:I2097" si="382">N2484-N2519</f>
        <v>0</v>
      </c>
      <c r="K2082" s="1355">
        <v>3997</v>
      </c>
      <c r="L2082" s="1355" t="s">
        <v>8702</v>
      </c>
    </row>
    <row r="2083" spans="2:12">
      <c r="B2083" s="5" t="s">
        <v>8703</v>
      </c>
      <c r="C2083" s="26" t="s">
        <v>8704</v>
      </c>
      <c r="D2083" s="1347">
        <v>132182</v>
      </c>
      <c r="E2083" s="1346">
        <v>708229</v>
      </c>
      <c r="F2083" s="611" t="s">
        <v>8705</v>
      </c>
      <c r="G2083" s="1413" t="s">
        <v>2504</v>
      </c>
      <c r="H2083" s="1353">
        <f t="shared" si="381"/>
        <v>0</v>
      </c>
      <c r="I2083" s="1353">
        <f t="shared" si="382"/>
        <v>0</v>
      </c>
      <c r="K2083" s="1355">
        <v>3998</v>
      </c>
      <c r="L2083" s="1355" t="s">
        <v>8706</v>
      </c>
    </row>
    <row r="2084" spans="2:12">
      <c r="B2084" s="5" t="s">
        <v>8707</v>
      </c>
      <c r="C2084" s="26" t="s">
        <v>8708</v>
      </c>
      <c r="D2084" s="1347">
        <v>0</v>
      </c>
      <c r="E2084" s="1346">
        <v>0</v>
      </c>
      <c r="F2084" s="611" t="s">
        <v>8709</v>
      </c>
      <c r="G2084" s="1413" t="s">
        <v>2504</v>
      </c>
      <c r="H2084" s="1353">
        <f t="shared" si="381"/>
        <v>0</v>
      </c>
      <c r="I2084" s="1353">
        <f t="shared" si="382"/>
        <v>0</v>
      </c>
      <c r="K2084" s="1355">
        <v>3999</v>
      </c>
      <c r="L2084" s="1355" t="s">
        <v>8710</v>
      </c>
    </row>
    <row r="2085" spans="2:12">
      <c r="B2085" s="5" t="s">
        <v>8711</v>
      </c>
      <c r="C2085" s="26" t="s">
        <v>8712</v>
      </c>
      <c r="D2085" s="1347">
        <v>0</v>
      </c>
      <c r="E2085" s="1346">
        <v>0</v>
      </c>
      <c r="F2085" s="611" t="s">
        <v>8713</v>
      </c>
      <c r="G2085" s="1413" t="s">
        <v>2504</v>
      </c>
      <c r="H2085" s="1353">
        <f t="shared" si="381"/>
        <v>0</v>
      </c>
      <c r="I2085" s="1353">
        <f t="shared" si="382"/>
        <v>0</v>
      </c>
      <c r="K2085" s="1355">
        <v>4000</v>
      </c>
      <c r="L2085" s="1355" t="s">
        <v>8714</v>
      </c>
    </row>
    <row r="2086" spans="2:12">
      <c r="B2086" s="5" t="s">
        <v>8715</v>
      </c>
      <c r="C2086" s="26" t="s">
        <v>8716</v>
      </c>
      <c r="D2086" s="1347">
        <v>0</v>
      </c>
      <c r="E2086" s="1346">
        <v>0</v>
      </c>
      <c r="F2086" s="611" t="s">
        <v>8717</v>
      </c>
      <c r="G2086" s="1413" t="s">
        <v>2504</v>
      </c>
      <c r="H2086" s="1353">
        <f t="shared" si="381"/>
        <v>0</v>
      </c>
      <c r="I2086" s="1353">
        <f t="shared" si="382"/>
        <v>0</v>
      </c>
      <c r="K2086" s="1355">
        <v>4001</v>
      </c>
      <c r="L2086" s="1355" t="s">
        <v>8718</v>
      </c>
    </row>
    <row r="2087" spans="2:12">
      <c r="B2087" s="5" t="s">
        <v>8719</v>
      </c>
      <c r="C2087" s="26" t="s">
        <v>8720</v>
      </c>
      <c r="D2087" s="1347">
        <v>0</v>
      </c>
      <c r="E2087" s="1346">
        <v>0</v>
      </c>
      <c r="F2087" s="611" t="s">
        <v>8721</v>
      </c>
      <c r="G2087" s="1413" t="s">
        <v>2504</v>
      </c>
      <c r="H2087" s="1353">
        <f t="shared" si="381"/>
        <v>0</v>
      </c>
      <c r="I2087" s="1353">
        <f t="shared" si="382"/>
        <v>0</v>
      </c>
      <c r="K2087" s="1355">
        <v>4002</v>
      </c>
      <c r="L2087" s="1355" t="s">
        <v>8722</v>
      </c>
    </row>
    <row r="2088" spans="2:12">
      <c r="B2088" s="5" t="s">
        <v>8723</v>
      </c>
      <c r="C2088" s="26" t="s">
        <v>8724</v>
      </c>
      <c r="D2088" s="1347">
        <v>0</v>
      </c>
      <c r="E2088" s="1346">
        <v>0</v>
      </c>
      <c r="F2088" s="611" t="s">
        <v>8725</v>
      </c>
      <c r="G2088" s="1413" t="s">
        <v>2504</v>
      </c>
      <c r="H2088" s="1353">
        <f t="shared" si="381"/>
        <v>0</v>
      </c>
      <c r="I2088" s="1353">
        <f t="shared" si="382"/>
        <v>0</v>
      </c>
      <c r="K2088" s="1355">
        <v>4003</v>
      </c>
      <c r="L2088" s="1355" t="s">
        <v>8726</v>
      </c>
    </row>
    <row r="2089" spans="2:12">
      <c r="B2089" s="5" t="s">
        <v>8727</v>
      </c>
      <c r="C2089" s="26" t="s">
        <v>8728</v>
      </c>
      <c r="D2089" s="1347">
        <v>0</v>
      </c>
      <c r="E2089" s="1346">
        <v>0</v>
      </c>
      <c r="F2089" s="611" t="s">
        <v>8729</v>
      </c>
      <c r="G2089" s="1413" t="s">
        <v>2504</v>
      </c>
      <c r="H2089" s="1353">
        <f t="shared" si="381"/>
        <v>0</v>
      </c>
      <c r="I2089" s="1353">
        <f t="shared" si="382"/>
        <v>0</v>
      </c>
      <c r="K2089" s="1355">
        <v>4004</v>
      </c>
      <c r="L2089" s="1355" t="s">
        <v>8730</v>
      </c>
    </row>
    <row r="2090" spans="2:12">
      <c r="B2090" s="5" t="s">
        <v>8731</v>
      </c>
      <c r="C2090" s="26" t="s">
        <v>8732</v>
      </c>
      <c r="D2090" s="1347">
        <v>0</v>
      </c>
      <c r="E2090" s="1346">
        <v>0</v>
      </c>
      <c r="F2090" s="611" t="s">
        <v>8733</v>
      </c>
      <c r="G2090" s="1413" t="s">
        <v>2504</v>
      </c>
      <c r="H2090" s="1353">
        <f t="shared" si="381"/>
        <v>0</v>
      </c>
      <c r="I2090" s="1353">
        <f t="shared" si="382"/>
        <v>0</v>
      </c>
      <c r="K2090" s="1355">
        <v>4005</v>
      </c>
      <c r="L2090" s="1355" t="s">
        <v>8734</v>
      </c>
    </row>
    <row r="2091" spans="2:12">
      <c r="B2091" s="5" t="s">
        <v>8735</v>
      </c>
      <c r="C2091" s="26" t="s">
        <v>8736</v>
      </c>
      <c r="D2091" s="1347">
        <v>0</v>
      </c>
      <c r="E2091" s="1346">
        <v>0</v>
      </c>
      <c r="F2091" s="611" t="s">
        <v>8737</v>
      </c>
      <c r="G2091" s="1413" t="s">
        <v>2504</v>
      </c>
      <c r="H2091" s="1353">
        <f t="shared" si="381"/>
        <v>0</v>
      </c>
      <c r="I2091" s="1353">
        <f t="shared" si="382"/>
        <v>0</v>
      </c>
      <c r="K2091" s="1355">
        <v>4006</v>
      </c>
      <c r="L2091" s="1355" t="s">
        <v>8738</v>
      </c>
    </row>
    <row r="2092" spans="2:12">
      <c r="B2092" s="5" t="s">
        <v>8739</v>
      </c>
      <c r="C2092" s="26" t="s">
        <v>8740</v>
      </c>
      <c r="D2092" s="1347">
        <v>0</v>
      </c>
      <c r="E2092" s="1346">
        <v>0</v>
      </c>
      <c r="F2092" s="611" t="s">
        <v>8741</v>
      </c>
      <c r="G2092" s="1413" t="s">
        <v>2504</v>
      </c>
      <c r="H2092" s="1353">
        <f t="shared" si="381"/>
        <v>0</v>
      </c>
      <c r="I2092" s="1353">
        <f t="shared" si="382"/>
        <v>0</v>
      </c>
      <c r="K2092" s="1355">
        <v>4007</v>
      </c>
      <c r="L2092" s="1355" t="s">
        <v>8742</v>
      </c>
    </row>
    <row r="2093" spans="2:12">
      <c r="B2093" s="5" t="s">
        <v>8743</v>
      </c>
      <c r="C2093" s="26" t="s">
        <v>8744</v>
      </c>
      <c r="D2093" s="1347">
        <v>0</v>
      </c>
      <c r="E2093" s="1346">
        <v>0</v>
      </c>
      <c r="F2093" s="611" t="s">
        <v>8745</v>
      </c>
      <c r="G2093" s="1413" t="s">
        <v>2504</v>
      </c>
      <c r="H2093" s="1353">
        <f t="shared" si="381"/>
        <v>0</v>
      </c>
      <c r="I2093" s="1353">
        <f t="shared" si="382"/>
        <v>0</v>
      </c>
      <c r="K2093" s="1355">
        <v>4008</v>
      </c>
      <c r="L2093" s="1355" t="s">
        <v>8746</v>
      </c>
    </row>
    <row r="2094" spans="2:12">
      <c r="B2094" s="5" t="s">
        <v>8747</v>
      </c>
      <c r="C2094" s="26" t="s">
        <v>8748</v>
      </c>
      <c r="D2094" s="1347">
        <v>0</v>
      </c>
      <c r="E2094" s="1346">
        <v>0</v>
      </c>
      <c r="F2094" s="611" t="s">
        <v>8749</v>
      </c>
      <c r="G2094" s="1413" t="s">
        <v>2504</v>
      </c>
      <c r="H2094" s="1353">
        <f t="shared" si="381"/>
        <v>0</v>
      </c>
      <c r="I2094" s="1353">
        <f t="shared" si="382"/>
        <v>0</v>
      </c>
      <c r="K2094" s="1355">
        <v>4009</v>
      </c>
      <c r="L2094" s="1355" t="s">
        <v>8750</v>
      </c>
    </row>
    <row r="2095" spans="2:12">
      <c r="B2095" s="5" t="s">
        <v>8751</v>
      </c>
      <c r="C2095" s="26" t="s">
        <v>8752</v>
      </c>
      <c r="D2095" s="1347">
        <v>0</v>
      </c>
      <c r="E2095" s="1346">
        <v>0</v>
      </c>
      <c r="F2095" s="611" t="s">
        <v>8753</v>
      </c>
      <c r="G2095" s="1413" t="s">
        <v>2504</v>
      </c>
      <c r="H2095" s="1353">
        <f t="shared" si="381"/>
        <v>0</v>
      </c>
      <c r="I2095" s="1353">
        <f t="shared" si="382"/>
        <v>0</v>
      </c>
      <c r="K2095" s="1355">
        <v>4010</v>
      </c>
      <c r="L2095" s="1355" t="s">
        <v>8754</v>
      </c>
    </row>
    <row r="2096" spans="2:12">
      <c r="B2096" s="5" t="s">
        <v>8755</v>
      </c>
      <c r="C2096" s="26" t="s">
        <v>8756</v>
      </c>
      <c r="D2096" s="1347">
        <v>0</v>
      </c>
      <c r="E2096" s="1346">
        <v>0</v>
      </c>
      <c r="F2096" s="611" t="s">
        <v>8757</v>
      </c>
      <c r="G2096" s="1413" t="s">
        <v>2504</v>
      </c>
      <c r="H2096" s="1353">
        <f t="shared" si="381"/>
        <v>0</v>
      </c>
      <c r="I2096" s="1353">
        <f t="shared" si="382"/>
        <v>0</v>
      </c>
      <c r="K2096" s="1355">
        <v>4011</v>
      </c>
      <c r="L2096" s="1355" t="s">
        <v>8758</v>
      </c>
    </row>
    <row r="2097" spans="1:12">
      <c r="B2097" s="5" t="s">
        <v>8759</v>
      </c>
      <c r="C2097" s="26" t="s">
        <v>8760</v>
      </c>
      <c r="D2097" s="1347">
        <v>0</v>
      </c>
      <c r="E2097" s="1346">
        <v>0</v>
      </c>
      <c r="F2097" s="611" t="s">
        <v>8761</v>
      </c>
      <c r="G2097" s="1413" t="s">
        <v>2504</v>
      </c>
      <c r="H2097" s="1353">
        <f t="shared" si="381"/>
        <v>0</v>
      </c>
      <c r="I2097" s="1353">
        <f t="shared" si="382"/>
        <v>0</v>
      </c>
      <c r="K2097" s="1355">
        <v>4012</v>
      </c>
      <c r="L2097" s="1355" t="s">
        <v>8762</v>
      </c>
    </row>
    <row r="2098" spans="1:12">
      <c r="B2098" s="5" t="s">
        <v>8763</v>
      </c>
      <c r="C2098" s="26" t="s">
        <v>8764</v>
      </c>
      <c r="D2098" s="1347">
        <v>0</v>
      </c>
      <c r="E2098" s="1346">
        <v>0</v>
      </c>
      <c r="F2098" s="611" t="s">
        <v>8765</v>
      </c>
      <c r="G2098" s="1413" t="s">
        <v>2504</v>
      </c>
      <c r="H2098" s="1353">
        <f>M1431-M1443</f>
        <v>0</v>
      </c>
      <c r="I2098" s="1353">
        <f>N1431-N1443</f>
        <v>0</v>
      </c>
      <c r="K2098" s="1355">
        <v>4013</v>
      </c>
      <c r="L2098" s="1355" t="s">
        <v>8766</v>
      </c>
    </row>
    <row r="2099" spans="1:12">
      <c r="B2099" s="5" t="s">
        <v>8767</v>
      </c>
      <c r="C2099" s="26" t="s">
        <v>8768</v>
      </c>
      <c r="D2099" s="1347">
        <v>0</v>
      </c>
      <c r="E2099" s="1346">
        <v>0</v>
      </c>
      <c r="F2099" s="611" t="s">
        <v>8769</v>
      </c>
      <c r="G2099" s="1413" t="s">
        <v>2504</v>
      </c>
      <c r="H2099" s="1353">
        <f>M1432-M1444</f>
        <v>0</v>
      </c>
      <c r="I2099" s="1353">
        <f>N1432-N1444</f>
        <v>0</v>
      </c>
      <c r="K2099" s="1355">
        <v>4014</v>
      </c>
      <c r="L2099" s="1355" t="s">
        <v>8770</v>
      </c>
    </row>
    <row r="2100" spans="1:12">
      <c r="B2100" s="5" t="s">
        <v>8771</v>
      </c>
      <c r="C2100" s="26" t="s">
        <v>8772</v>
      </c>
      <c r="D2100" s="1347">
        <v>0</v>
      </c>
      <c r="E2100" s="1346">
        <v>0</v>
      </c>
      <c r="F2100" s="611" t="s">
        <v>8773</v>
      </c>
      <c r="G2100" s="1413" t="s">
        <v>2504</v>
      </c>
      <c r="H2100" s="1353">
        <f>M1434-M1446</f>
        <v>0</v>
      </c>
      <c r="I2100" s="1353">
        <f>N1434-N1446</f>
        <v>0</v>
      </c>
      <c r="K2100" s="1355">
        <v>4015</v>
      </c>
      <c r="L2100" s="1355" t="s">
        <v>8774</v>
      </c>
    </row>
    <row r="2101" spans="1:12">
      <c r="B2101" s="5" t="s">
        <v>8775</v>
      </c>
      <c r="C2101" s="26" t="s">
        <v>8776</v>
      </c>
      <c r="D2101" s="1347">
        <v>7321</v>
      </c>
      <c r="E2101" s="1346">
        <v>44627</v>
      </c>
      <c r="F2101" s="611" t="s">
        <v>8777</v>
      </c>
      <c r="G2101" s="1391">
        <v>1472</v>
      </c>
      <c r="H2101" s="1353">
        <f>M1447</f>
        <v>0</v>
      </c>
      <c r="I2101" s="1353">
        <f>N1447</f>
        <v>0</v>
      </c>
      <c r="K2101" s="1355">
        <v>4016</v>
      </c>
      <c r="L2101" s="1355" t="s">
        <v>8778</v>
      </c>
    </row>
    <row r="2102" spans="1:12">
      <c r="A2102" s="611" t="s">
        <v>3867</v>
      </c>
      <c r="B2102" s="5" t="s">
        <v>8779</v>
      </c>
      <c r="C2102" s="26" t="s">
        <v>596</v>
      </c>
      <c r="D2102" s="1347">
        <v>0</v>
      </c>
      <c r="E2102" s="1346">
        <v>0</v>
      </c>
      <c r="F2102" s="611" t="s">
        <v>8780</v>
      </c>
      <c r="G2102" s="1409"/>
      <c r="H2102" s="1353"/>
      <c r="I2102" s="1353"/>
      <c r="K2102" s="1355">
        <v>4017</v>
      </c>
      <c r="L2102" s="1355" t="s">
        <v>8781</v>
      </c>
    </row>
    <row r="2103" spans="1:12">
      <c r="B2103" s="5" t="s">
        <v>8782</v>
      </c>
      <c r="C2103" s="26" t="s">
        <v>597</v>
      </c>
      <c r="D2103" s="1347">
        <v>0</v>
      </c>
      <c r="E2103" s="1346">
        <v>0</v>
      </c>
      <c r="F2103" s="611" t="s">
        <v>8783</v>
      </c>
      <c r="G2103" s="1409"/>
      <c r="H2103" s="1353"/>
      <c r="I2103" s="1353"/>
      <c r="K2103" s="1355">
        <v>4018</v>
      </c>
      <c r="L2103" s="1355" t="s">
        <v>8784</v>
      </c>
    </row>
    <row r="2104" spans="1:12">
      <c r="B2104" s="5" t="s">
        <v>8785</v>
      </c>
      <c r="C2104" s="26" t="s">
        <v>598</v>
      </c>
      <c r="D2104" s="1347">
        <v>0</v>
      </c>
      <c r="E2104" s="1346">
        <v>0</v>
      </c>
      <c r="F2104" s="611" t="s">
        <v>8786</v>
      </c>
      <c r="G2104" s="1409"/>
      <c r="H2104" s="1353"/>
      <c r="I2104" s="1353"/>
      <c r="K2104" s="1355">
        <v>4019</v>
      </c>
      <c r="L2104" s="1355" t="s">
        <v>8787</v>
      </c>
    </row>
    <row r="2105" spans="1:12">
      <c r="B2105" s="5" t="s">
        <v>8788</v>
      </c>
      <c r="C2105" s="26" t="s">
        <v>599</v>
      </c>
      <c r="D2105" s="1347">
        <v>0</v>
      </c>
      <c r="E2105" s="1346">
        <v>0</v>
      </c>
      <c r="F2105" s="611" t="s">
        <v>8789</v>
      </c>
      <c r="G2105" s="1409"/>
      <c r="H2105" s="1353"/>
      <c r="I2105" s="1353"/>
      <c r="K2105" s="1355">
        <v>4020</v>
      </c>
      <c r="L2105" s="1355" t="s">
        <v>8790</v>
      </c>
    </row>
    <row r="2106" spans="1:12">
      <c r="B2106" s="5" t="s">
        <v>8791</v>
      </c>
      <c r="C2106" s="26" t="s">
        <v>600</v>
      </c>
      <c r="D2106" s="1347">
        <v>0</v>
      </c>
      <c r="E2106" s="1346">
        <v>0</v>
      </c>
      <c r="F2106" s="611" t="s">
        <v>8792</v>
      </c>
      <c r="G2106" s="1409"/>
      <c r="H2106" s="1353"/>
      <c r="I2106" s="1353"/>
      <c r="K2106" s="1355">
        <v>4021</v>
      </c>
      <c r="L2106" s="1355" t="s">
        <v>8793</v>
      </c>
    </row>
    <row r="2107" spans="1:12">
      <c r="B2107" s="5" t="s">
        <v>8794</v>
      </c>
      <c r="C2107" s="26" t="s">
        <v>601</v>
      </c>
      <c r="D2107" s="1347">
        <v>0</v>
      </c>
      <c r="E2107" s="1346">
        <v>0</v>
      </c>
      <c r="F2107" s="611" t="s">
        <v>8795</v>
      </c>
      <c r="G2107" s="1409"/>
      <c r="H2107" s="1353"/>
      <c r="I2107" s="1353"/>
      <c r="K2107" s="1355">
        <v>4022</v>
      </c>
      <c r="L2107" s="1355" t="s">
        <v>8796</v>
      </c>
    </row>
    <row r="2108" spans="1:12">
      <c r="B2108" s="5" t="s">
        <v>8797</v>
      </c>
      <c r="C2108" s="26" t="s">
        <v>602</v>
      </c>
      <c r="D2108" s="1347">
        <v>0</v>
      </c>
      <c r="E2108" s="1346">
        <v>0</v>
      </c>
      <c r="F2108" s="611" t="s">
        <v>8798</v>
      </c>
      <c r="G2108" s="1409"/>
      <c r="H2108" s="1353"/>
      <c r="I2108" s="1353"/>
      <c r="K2108" s="1355">
        <v>4023</v>
      </c>
      <c r="L2108" s="1355" t="s">
        <v>8799</v>
      </c>
    </row>
    <row r="2109" spans="1:12">
      <c r="B2109" s="5" t="s">
        <v>8800</v>
      </c>
      <c r="C2109" s="26" t="s">
        <v>603</v>
      </c>
      <c r="D2109" s="1347">
        <v>0</v>
      </c>
      <c r="E2109" s="1346">
        <v>0</v>
      </c>
      <c r="F2109" s="611" t="s">
        <v>8801</v>
      </c>
      <c r="G2109" s="1409"/>
      <c r="H2109" s="1353"/>
      <c r="I2109" s="1353"/>
      <c r="K2109" s="1355">
        <v>4024</v>
      </c>
      <c r="L2109" s="1355" t="s">
        <v>8802</v>
      </c>
    </row>
    <row r="2110" spans="1:12">
      <c r="B2110" s="5" t="s">
        <v>8803</v>
      </c>
      <c r="C2110" s="26" t="s">
        <v>604</v>
      </c>
      <c r="D2110" s="1347">
        <v>0</v>
      </c>
      <c r="E2110" s="1346">
        <v>0</v>
      </c>
      <c r="F2110" s="611" t="s">
        <v>8804</v>
      </c>
      <c r="G2110" s="1409"/>
      <c r="H2110" s="1353"/>
      <c r="I2110" s="1353"/>
      <c r="K2110" s="1355">
        <v>4025</v>
      </c>
      <c r="L2110" s="1355" t="s">
        <v>8805</v>
      </c>
    </row>
    <row r="2111" spans="1:12">
      <c r="B2111" s="5" t="s">
        <v>8806</v>
      </c>
      <c r="C2111" s="26" t="s">
        <v>605</v>
      </c>
      <c r="D2111" s="1347">
        <v>0</v>
      </c>
      <c r="E2111" s="1346">
        <v>0</v>
      </c>
      <c r="F2111" s="611" t="s">
        <v>8807</v>
      </c>
      <c r="G2111" s="1409"/>
      <c r="H2111" s="1353"/>
      <c r="I2111" s="1353"/>
      <c r="K2111" s="1355">
        <v>4026</v>
      </c>
      <c r="L2111" s="1355" t="s">
        <v>8808</v>
      </c>
    </row>
    <row r="2112" spans="1:12">
      <c r="B2112" s="5" t="s">
        <v>8809</v>
      </c>
      <c r="C2112" s="26" t="s">
        <v>606</v>
      </c>
      <c r="D2112" s="1347">
        <v>0</v>
      </c>
      <c r="E2112" s="1346">
        <v>0</v>
      </c>
      <c r="F2112" s="611" t="s">
        <v>8810</v>
      </c>
      <c r="G2112" s="1409"/>
      <c r="H2112" s="1353"/>
      <c r="I2112" s="1353"/>
      <c r="K2112" s="1355">
        <v>4027</v>
      </c>
      <c r="L2112" s="1355" t="s">
        <v>8811</v>
      </c>
    </row>
    <row r="2113" spans="2:12">
      <c r="B2113" s="5" t="s">
        <v>8812</v>
      </c>
      <c r="C2113" s="26" t="s">
        <v>607</v>
      </c>
      <c r="D2113" s="1347">
        <v>0</v>
      </c>
      <c r="E2113" s="1346">
        <v>0</v>
      </c>
      <c r="F2113" s="611" t="s">
        <v>8813</v>
      </c>
      <c r="G2113" s="1409"/>
      <c r="H2113" s="1353"/>
      <c r="I2113" s="1353"/>
      <c r="K2113" s="1355">
        <v>4028</v>
      </c>
      <c r="L2113" s="1355" t="s">
        <v>8814</v>
      </c>
    </row>
    <row r="2114" spans="2:12">
      <c r="B2114" s="5" t="s">
        <v>8815</v>
      </c>
      <c r="C2114" s="26" t="s">
        <v>608</v>
      </c>
      <c r="D2114" s="1347">
        <v>0</v>
      </c>
      <c r="E2114" s="1346">
        <v>0</v>
      </c>
      <c r="F2114" s="611" t="s">
        <v>8816</v>
      </c>
      <c r="G2114" s="1409"/>
      <c r="H2114" s="1353"/>
      <c r="I2114" s="1353"/>
      <c r="K2114" s="1355">
        <v>4029</v>
      </c>
      <c r="L2114" s="1355" t="s">
        <v>8817</v>
      </c>
    </row>
    <row r="2115" spans="2:12">
      <c r="B2115" s="5" t="s">
        <v>8818</v>
      </c>
      <c r="C2115" s="26" t="s">
        <v>609</v>
      </c>
      <c r="D2115" s="1347">
        <v>0</v>
      </c>
      <c r="E2115" s="1346">
        <v>0</v>
      </c>
      <c r="F2115" s="611" t="s">
        <v>8819</v>
      </c>
      <c r="G2115" s="1409"/>
      <c r="H2115" s="1353"/>
      <c r="I2115" s="1353"/>
      <c r="K2115" s="1355">
        <v>4030</v>
      </c>
      <c r="L2115" s="1355" t="s">
        <v>8820</v>
      </c>
    </row>
    <row r="2116" spans="2:12">
      <c r="B2116" s="5" t="s">
        <v>8821</v>
      </c>
      <c r="C2116" s="26" t="s">
        <v>610</v>
      </c>
      <c r="D2116" s="1347">
        <v>0</v>
      </c>
      <c r="E2116" s="1346">
        <v>0</v>
      </c>
      <c r="F2116" s="611" t="s">
        <v>8822</v>
      </c>
      <c r="G2116" s="1409"/>
      <c r="H2116" s="1353"/>
      <c r="I2116" s="1353"/>
      <c r="K2116" s="1355">
        <v>4031</v>
      </c>
      <c r="L2116" s="1355" t="s">
        <v>8823</v>
      </c>
    </row>
    <row r="2117" spans="2:12">
      <c r="B2117" s="5" t="s">
        <v>8824</v>
      </c>
      <c r="C2117" s="26" t="s">
        <v>611</v>
      </c>
      <c r="D2117" s="1347">
        <v>0</v>
      </c>
      <c r="E2117" s="1346">
        <v>0</v>
      </c>
      <c r="F2117" s="611" t="s">
        <v>8825</v>
      </c>
      <c r="G2117" s="1409"/>
      <c r="H2117" s="1353"/>
      <c r="I2117" s="1353"/>
      <c r="K2117" s="1355">
        <v>4032</v>
      </c>
      <c r="L2117" s="1355" t="s">
        <v>8826</v>
      </c>
    </row>
    <row r="2118" spans="2:12">
      <c r="B2118" s="5" t="s">
        <v>8827</v>
      </c>
      <c r="C2118" s="26" t="s">
        <v>612</v>
      </c>
      <c r="D2118" s="1347">
        <v>0</v>
      </c>
      <c r="E2118" s="1346">
        <v>0</v>
      </c>
      <c r="F2118" s="611" t="s">
        <v>8828</v>
      </c>
      <c r="G2118" s="1409"/>
      <c r="H2118" s="1353"/>
      <c r="I2118" s="1353"/>
      <c r="K2118" s="1355">
        <v>4033</v>
      </c>
      <c r="L2118" s="1355" t="s">
        <v>8829</v>
      </c>
    </row>
    <row r="2119" spans="2:12">
      <c r="B2119" s="5" t="s">
        <v>8830</v>
      </c>
      <c r="C2119" s="26" t="s">
        <v>613</v>
      </c>
      <c r="D2119" s="1347">
        <v>0</v>
      </c>
      <c r="E2119" s="1346">
        <v>0</v>
      </c>
      <c r="F2119" s="611" t="s">
        <v>8831</v>
      </c>
      <c r="G2119" s="1409"/>
      <c r="H2119" s="1353"/>
      <c r="I2119" s="1353"/>
      <c r="K2119" s="1355">
        <v>4034</v>
      </c>
      <c r="L2119" s="1355" t="s">
        <v>8832</v>
      </c>
    </row>
    <row r="2120" spans="2:12">
      <c r="B2120" s="5" t="s">
        <v>8833</v>
      </c>
      <c r="C2120" s="26" t="s">
        <v>614</v>
      </c>
      <c r="D2120" s="1347">
        <v>0</v>
      </c>
      <c r="E2120" s="1346">
        <v>0</v>
      </c>
      <c r="F2120" s="611" t="s">
        <v>8834</v>
      </c>
      <c r="G2120" s="1409"/>
      <c r="H2120" s="1353"/>
      <c r="I2120" s="1353"/>
      <c r="K2120" s="1355">
        <v>4035</v>
      </c>
      <c r="L2120" s="1355" t="s">
        <v>8835</v>
      </c>
    </row>
    <row r="2121" spans="2:12">
      <c r="B2121" s="5" t="s">
        <v>8836</v>
      </c>
      <c r="C2121" s="26" t="s">
        <v>616</v>
      </c>
      <c r="D2121" s="1347">
        <v>0</v>
      </c>
      <c r="E2121" s="1346">
        <v>0</v>
      </c>
      <c r="F2121" s="611" t="s">
        <v>8837</v>
      </c>
      <c r="G2121" s="1408">
        <v>1499</v>
      </c>
      <c r="H2121" s="1353">
        <f>M1474</f>
        <v>0</v>
      </c>
      <c r="I2121" s="1353">
        <f>N1474</f>
        <v>0</v>
      </c>
      <c r="K2121" s="1355">
        <v>4036</v>
      </c>
      <c r="L2121" s="1355" t="s">
        <v>8838</v>
      </c>
    </row>
    <row r="2122" spans="2:12">
      <c r="B2122" s="5" t="s">
        <v>8839</v>
      </c>
      <c r="C2122" s="26" t="s">
        <v>617</v>
      </c>
      <c r="D2122" s="1347">
        <v>0</v>
      </c>
      <c r="E2122" s="1346">
        <v>0</v>
      </c>
      <c r="F2122" s="611" t="s">
        <v>8840</v>
      </c>
      <c r="G2122" s="1408">
        <v>1500</v>
      </c>
      <c r="H2122" s="1353">
        <f>M1475</f>
        <v>0</v>
      </c>
      <c r="I2122" s="1353">
        <f>N1475</f>
        <v>0</v>
      </c>
      <c r="K2122" s="1355">
        <v>4037</v>
      </c>
      <c r="L2122" s="1355" t="s">
        <v>8841</v>
      </c>
    </row>
    <row r="2123" spans="2:12">
      <c r="B2123" s="5" t="s">
        <v>8842</v>
      </c>
      <c r="C2123" s="26" t="s">
        <v>618</v>
      </c>
      <c r="D2123" s="1347">
        <v>0</v>
      </c>
      <c r="E2123" s="1346">
        <v>0</v>
      </c>
      <c r="F2123" s="611" t="s">
        <v>8843</v>
      </c>
      <c r="G2123" s="1409"/>
      <c r="H2123" s="1353"/>
      <c r="I2123" s="1353"/>
      <c r="K2123" s="1355">
        <v>4038</v>
      </c>
      <c r="L2123" s="1355" t="s">
        <v>8844</v>
      </c>
    </row>
    <row r="2124" spans="2:12">
      <c r="B2124" s="5" t="s">
        <v>8845</v>
      </c>
      <c r="C2124" s="26" t="s">
        <v>619</v>
      </c>
      <c r="D2124" s="1347">
        <v>0</v>
      </c>
      <c r="E2124" s="1346">
        <v>0</v>
      </c>
      <c r="F2124" s="611" t="s">
        <v>8846</v>
      </c>
      <c r="G2124" s="1409"/>
      <c r="H2124" s="1353"/>
      <c r="I2124" s="1353"/>
      <c r="K2124" s="1355">
        <v>4039</v>
      </c>
      <c r="L2124" s="1355" t="s">
        <v>8847</v>
      </c>
    </row>
    <row r="2125" spans="2:12">
      <c r="B2125" s="5" t="s">
        <v>8848</v>
      </c>
      <c r="C2125" s="26" t="s">
        <v>620</v>
      </c>
      <c r="D2125" s="1347">
        <v>0</v>
      </c>
      <c r="E2125" s="1346">
        <v>0</v>
      </c>
      <c r="F2125" s="611" t="s">
        <v>8849</v>
      </c>
      <c r="G2125" s="1409"/>
      <c r="H2125" s="1353"/>
      <c r="I2125" s="1353"/>
      <c r="K2125" s="1355">
        <v>4040</v>
      </c>
      <c r="L2125" s="1355" t="s">
        <v>8850</v>
      </c>
    </row>
    <row r="2126" spans="2:12">
      <c r="B2126" s="5" t="s">
        <v>8851</v>
      </c>
      <c r="C2126" s="26" t="s">
        <v>621</v>
      </c>
      <c r="D2126" s="1347">
        <v>0</v>
      </c>
      <c r="E2126" s="1346">
        <v>0</v>
      </c>
      <c r="F2126" s="611" t="s">
        <v>8852</v>
      </c>
      <c r="G2126" s="1409"/>
      <c r="H2126" s="1353"/>
      <c r="I2126" s="1353"/>
      <c r="K2126" s="1355">
        <v>4041</v>
      </c>
      <c r="L2126" s="1355" t="s">
        <v>8853</v>
      </c>
    </row>
    <row r="2127" spans="2:12">
      <c r="B2127" s="5" t="s">
        <v>8854</v>
      </c>
      <c r="C2127" s="26" t="s">
        <v>622</v>
      </c>
      <c r="D2127" s="1347">
        <v>0</v>
      </c>
      <c r="E2127" s="1346">
        <v>0</v>
      </c>
      <c r="F2127" s="611" t="s">
        <v>8855</v>
      </c>
      <c r="G2127" s="1409"/>
      <c r="H2127" s="1353"/>
      <c r="I2127" s="1353"/>
      <c r="K2127" s="1355">
        <v>4042</v>
      </c>
      <c r="L2127" s="1355" t="s">
        <v>8856</v>
      </c>
    </row>
    <row r="2128" spans="2:12">
      <c r="B2128" s="5" t="s">
        <v>8857</v>
      </c>
      <c r="C2128" s="26" t="s">
        <v>623</v>
      </c>
      <c r="D2128" s="1347">
        <v>0</v>
      </c>
      <c r="E2128" s="1346">
        <v>0</v>
      </c>
      <c r="F2128" s="611" t="s">
        <v>8858</v>
      </c>
      <c r="G2128" s="1409"/>
      <c r="H2128" s="1353"/>
      <c r="I2128" s="1353"/>
      <c r="K2128" s="1355">
        <v>4043</v>
      </c>
      <c r="L2128" s="1355" t="s">
        <v>8859</v>
      </c>
    </row>
    <row r="2129" spans="2:12">
      <c r="B2129" s="5" t="s">
        <v>8860</v>
      </c>
      <c r="C2129" s="26" t="s">
        <v>624</v>
      </c>
      <c r="D2129" s="1347">
        <v>0</v>
      </c>
      <c r="E2129" s="1346">
        <v>0</v>
      </c>
      <c r="F2129" s="611" t="s">
        <v>8861</v>
      </c>
      <c r="G2129" s="1409"/>
      <c r="H2129" s="1353"/>
      <c r="I2129" s="1353"/>
      <c r="K2129" s="1355">
        <v>4044</v>
      </c>
      <c r="L2129" s="1355" t="s">
        <v>8862</v>
      </c>
    </row>
    <row r="2130" spans="2:12">
      <c r="B2130" s="5" t="s">
        <v>8863</v>
      </c>
      <c r="C2130" s="26" t="s">
        <v>625</v>
      </c>
      <c r="D2130" s="1347">
        <v>0</v>
      </c>
      <c r="E2130" s="1346">
        <v>0</v>
      </c>
      <c r="F2130" s="611" t="s">
        <v>8864</v>
      </c>
      <c r="G2130" s="1409"/>
      <c r="H2130" s="1353"/>
      <c r="I2130" s="1353"/>
      <c r="K2130" s="1355">
        <v>4045</v>
      </c>
      <c r="L2130" s="1355" t="s">
        <v>8865</v>
      </c>
    </row>
    <row r="2131" spans="2:12">
      <c r="B2131" s="5" t="s">
        <v>8866</v>
      </c>
      <c r="C2131" s="26" t="s">
        <v>626</v>
      </c>
      <c r="D2131" s="1347">
        <v>0</v>
      </c>
      <c r="E2131" s="1346">
        <v>0</v>
      </c>
      <c r="F2131" s="611" t="s">
        <v>8867</v>
      </c>
      <c r="G2131" s="1409"/>
      <c r="H2131" s="1353"/>
      <c r="I2131" s="1353"/>
      <c r="K2131" s="1355">
        <v>4046</v>
      </c>
      <c r="L2131" s="1355" t="s">
        <v>8868</v>
      </c>
    </row>
    <row r="2132" spans="2:12">
      <c r="B2132" s="5" t="s">
        <v>8869</v>
      </c>
      <c r="C2132" s="26" t="s">
        <v>627</v>
      </c>
      <c r="D2132" s="1347">
        <v>0</v>
      </c>
      <c r="E2132" s="1346">
        <v>0</v>
      </c>
      <c r="F2132" s="611" t="s">
        <v>8870</v>
      </c>
      <c r="G2132" s="1409"/>
      <c r="H2132" s="1353"/>
      <c r="I2132" s="1353"/>
      <c r="K2132" s="1355">
        <v>4047</v>
      </c>
      <c r="L2132" s="1355" t="s">
        <v>8871</v>
      </c>
    </row>
    <row r="2133" spans="2:12">
      <c r="B2133" s="5" t="s">
        <v>8872</v>
      </c>
      <c r="C2133" s="26" t="s">
        <v>628</v>
      </c>
      <c r="D2133" s="1347">
        <v>0</v>
      </c>
      <c r="E2133" s="1346">
        <v>0</v>
      </c>
      <c r="F2133" s="611" t="s">
        <v>8873</v>
      </c>
      <c r="G2133" s="1409"/>
      <c r="H2133" s="1353"/>
      <c r="I2133" s="1353"/>
      <c r="K2133" s="1355">
        <v>4048</v>
      </c>
      <c r="L2133" s="1355" t="s">
        <v>8874</v>
      </c>
    </row>
    <row r="2134" spans="2:12">
      <c r="B2134" s="5" t="s">
        <v>8875</v>
      </c>
      <c r="C2134" s="26" t="s">
        <v>629</v>
      </c>
      <c r="D2134" s="1347">
        <v>0</v>
      </c>
      <c r="E2134" s="1346">
        <v>0</v>
      </c>
      <c r="F2134" s="611" t="s">
        <v>8876</v>
      </c>
      <c r="G2134" s="1409"/>
      <c r="H2134" s="1353"/>
      <c r="I2134" s="1353"/>
      <c r="K2134" s="1355">
        <v>4049</v>
      </c>
      <c r="L2134" s="1355" t="s">
        <v>8877</v>
      </c>
    </row>
    <row r="2135" spans="2:12">
      <c r="B2135" s="5" t="s">
        <v>8878</v>
      </c>
      <c r="C2135" s="26" t="s">
        <v>630</v>
      </c>
      <c r="D2135" s="1347">
        <v>0</v>
      </c>
      <c r="E2135" s="1346">
        <v>0</v>
      </c>
      <c r="F2135" s="611" t="s">
        <v>8879</v>
      </c>
      <c r="G2135" s="1409"/>
      <c r="H2135" s="1353"/>
      <c r="I2135" s="1353"/>
      <c r="K2135" s="1355">
        <v>4050</v>
      </c>
      <c r="L2135" s="1355" t="s">
        <v>8880</v>
      </c>
    </row>
    <row r="2136" spans="2:12">
      <c r="B2136" s="5" t="s">
        <v>8881</v>
      </c>
      <c r="C2136" s="26" t="s">
        <v>631</v>
      </c>
      <c r="D2136" s="1347">
        <v>0</v>
      </c>
      <c r="E2136" s="1346">
        <v>0</v>
      </c>
      <c r="F2136" s="611" t="s">
        <v>8882</v>
      </c>
      <c r="G2136" s="1409"/>
      <c r="H2136" s="1353"/>
      <c r="I2136" s="1353"/>
      <c r="K2136" s="1355">
        <v>4051</v>
      </c>
      <c r="L2136" s="1355" t="s">
        <v>8883</v>
      </c>
    </row>
    <row r="2137" spans="2:12">
      <c r="B2137" s="5" t="s">
        <v>8884</v>
      </c>
      <c r="C2137" s="26" t="s">
        <v>632</v>
      </c>
      <c r="D2137" s="1347">
        <v>0</v>
      </c>
      <c r="E2137" s="1346">
        <v>0</v>
      </c>
      <c r="F2137" s="611" t="s">
        <v>8885</v>
      </c>
      <c r="G2137" s="1409"/>
      <c r="H2137" s="1353"/>
      <c r="I2137" s="1353"/>
      <c r="K2137" s="1355">
        <v>4052</v>
      </c>
      <c r="L2137" s="1355" t="s">
        <v>8886</v>
      </c>
    </row>
    <row r="2138" spans="2:12">
      <c r="B2138" s="5" t="s">
        <v>8887</v>
      </c>
      <c r="C2138" s="26" t="s">
        <v>633</v>
      </c>
      <c r="D2138" s="1347">
        <v>0</v>
      </c>
      <c r="E2138" s="1346">
        <v>0</v>
      </c>
      <c r="F2138" s="611" t="s">
        <v>8888</v>
      </c>
      <c r="G2138" s="1409"/>
      <c r="H2138" s="1353"/>
      <c r="I2138" s="1353"/>
      <c r="K2138" s="1355">
        <v>4053</v>
      </c>
      <c r="L2138" s="1355" t="s">
        <v>8889</v>
      </c>
    </row>
    <row r="2139" spans="2:12">
      <c r="B2139" s="5" t="s">
        <v>8890</v>
      </c>
      <c r="C2139" s="26" t="s">
        <v>635</v>
      </c>
      <c r="D2139" s="1347">
        <v>0</v>
      </c>
      <c r="E2139" s="1346">
        <v>0</v>
      </c>
      <c r="F2139" s="611" t="s">
        <v>8891</v>
      </c>
      <c r="G2139" s="1408">
        <v>1504</v>
      </c>
      <c r="H2139" s="1353">
        <f>M1479</f>
        <v>0</v>
      </c>
      <c r="I2139" s="1353">
        <f>N1479</f>
        <v>0</v>
      </c>
      <c r="K2139" s="1355">
        <v>4054</v>
      </c>
      <c r="L2139" s="1355" t="s">
        <v>8892</v>
      </c>
    </row>
    <row r="2140" spans="2:12">
      <c r="B2140" s="5" t="s">
        <v>8893</v>
      </c>
      <c r="C2140" s="26" t="s">
        <v>636</v>
      </c>
      <c r="D2140" s="1347">
        <v>0</v>
      </c>
      <c r="E2140" s="1346">
        <v>0</v>
      </c>
      <c r="F2140" s="611" t="s">
        <v>8894</v>
      </c>
      <c r="G2140" s="1408">
        <v>1505</v>
      </c>
      <c r="H2140" s="1353">
        <f>M1480</f>
        <v>0</v>
      </c>
      <c r="I2140" s="1353">
        <f>N1480</f>
        <v>0</v>
      </c>
      <c r="K2140" s="1355">
        <v>4055</v>
      </c>
      <c r="L2140" s="1355" t="s">
        <v>8895</v>
      </c>
    </row>
    <row r="2141" spans="2:12">
      <c r="B2141" s="5" t="s">
        <v>8896</v>
      </c>
      <c r="C2141" s="26" t="s">
        <v>638</v>
      </c>
      <c r="D2141" s="1347">
        <v>0</v>
      </c>
      <c r="E2141" s="1346">
        <v>0</v>
      </c>
      <c r="F2141" s="611" t="s">
        <v>8897</v>
      </c>
      <c r="G2141" s="1408">
        <v>1507</v>
      </c>
      <c r="H2141" s="1353">
        <f>M1482</f>
        <v>0</v>
      </c>
      <c r="I2141" s="1353">
        <f>N1482</f>
        <v>0</v>
      </c>
      <c r="K2141" s="1355">
        <v>4056</v>
      </c>
      <c r="L2141" s="1355" t="s">
        <v>8898</v>
      </c>
    </row>
    <row r="2142" spans="2:12">
      <c r="B2142" s="5" t="s">
        <v>8899</v>
      </c>
      <c r="C2142" s="26" t="s">
        <v>8900</v>
      </c>
      <c r="D2142" s="1347">
        <v>0</v>
      </c>
      <c r="E2142" s="1346">
        <v>0</v>
      </c>
      <c r="F2142" s="611" t="s">
        <v>8901</v>
      </c>
      <c r="G2142" s="1413" t="s">
        <v>2504</v>
      </c>
      <c r="H2142" s="1353">
        <f t="shared" ref="H2142:H2160" si="383">M2465-M2500</f>
        <v>0</v>
      </c>
      <c r="I2142" s="1353">
        <f t="shared" ref="I2142:I2160" si="384">N2465-N2500</f>
        <v>0</v>
      </c>
      <c r="K2142" s="1355">
        <v>4057</v>
      </c>
      <c r="L2142" s="1355" t="s">
        <v>8902</v>
      </c>
    </row>
    <row r="2143" spans="2:12">
      <c r="B2143" s="5" t="s">
        <v>8903</v>
      </c>
      <c r="C2143" s="26" t="s">
        <v>8904</v>
      </c>
      <c r="D2143" s="1347">
        <v>0</v>
      </c>
      <c r="E2143" s="1346">
        <v>0</v>
      </c>
      <c r="F2143" s="611" t="s">
        <v>8905</v>
      </c>
      <c r="G2143" s="1413" t="s">
        <v>2504</v>
      </c>
      <c r="H2143" s="1353">
        <f t="shared" si="383"/>
        <v>0</v>
      </c>
      <c r="I2143" s="1353">
        <f t="shared" si="384"/>
        <v>0</v>
      </c>
      <c r="K2143" s="1355">
        <v>4058</v>
      </c>
      <c r="L2143" s="1355" t="s">
        <v>8906</v>
      </c>
    </row>
    <row r="2144" spans="2:12">
      <c r="B2144" s="5" t="s">
        <v>8907</v>
      </c>
      <c r="C2144" s="26" t="s">
        <v>8908</v>
      </c>
      <c r="D2144" s="1347">
        <v>0</v>
      </c>
      <c r="E2144" s="1346">
        <v>0</v>
      </c>
      <c r="F2144" s="611" t="s">
        <v>8909</v>
      </c>
      <c r="G2144" s="1413" t="s">
        <v>2504</v>
      </c>
      <c r="H2144" s="1353">
        <f t="shared" si="383"/>
        <v>0</v>
      </c>
      <c r="I2144" s="1353">
        <f t="shared" si="384"/>
        <v>0</v>
      </c>
      <c r="K2144" s="1355">
        <v>4059</v>
      </c>
      <c r="L2144" s="1355" t="s">
        <v>8910</v>
      </c>
    </row>
    <row r="2145" spans="2:12">
      <c r="B2145" s="5" t="s">
        <v>8911</v>
      </c>
      <c r="C2145" s="26" t="s">
        <v>8912</v>
      </c>
      <c r="D2145" s="1347">
        <v>0</v>
      </c>
      <c r="E2145" s="1346">
        <v>0</v>
      </c>
      <c r="F2145" s="611" t="s">
        <v>8913</v>
      </c>
      <c r="G2145" s="1413" t="s">
        <v>2504</v>
      </c>
      <c r="H2145" s="1353">
        <f t="shared" si="383"/>
        <v>0</v>
      </c>
      <c r="I2145" s="1353">
        <f t="shared" si="384"/>
        <v>0</v>
      </c>
      <c r="K2145" s="1355">
        <v>4060</v>
      </c>
      <c r="L2145" s="1355" t="s">
        <v>8914</v>
      </c>
    </row>
    <row r="2146" spans="2:12">
      <c r="B2146" s="5" t="s">
        <v>8915</v>
      </c>
      <c r="C2146" s="26" t="s">
        <v>8916</v>
      </c>
      <c r="D2146" s="1347">
        <v>0</v>
      </c>
      <c r="E2146" s="1346">
        <v>0</v>
      </c>
      <c r="F2146" s="611" t="s">
        <v>8917</v>
      </c>
      <c r="G2146" s="1413" t="s">
        <v>2504</v>
      </c>
      <c r="H2146" s="1353">
        <f t="shared" si="383"/>
        <v>0</v>
      </c>
      <c r="I2146" s="1353">
        <f t="shared" si="384"/>
        <v>0</v>
      </c>
      <c r="K2146" s="1355">
        <v>4061</v>
      </c>
      <c r="L2146" s="1355" t="s">
        <v>8918</v>
      </c>
    </row>
    <row r="2147" spans="2:12">
      <c r="B2147" s="5" t="s">
        <v>8919</v>
      </c>
      <c r="C2147" s="26" t="s">
        <v>8920</v>
      </c>
      <c r="D2147" s="1347">
        <v>0</v>
      </c>
      <c r="E2147" s="1346">
        <v>0</v>
      </c>
      <c r="F2147" s="611" t="s">
        <v>8921</v>
      </c>
      <c r="G2147" s="1413" t="s">
        <v>2504</v>
      </c>
      <c r="H2147" s="1353">
        <f t="shared" si="383"/>
        <v>0</v>
      </c>
      <c r="I2147" s="1353">
        <f t="shared" si="384"/>
        <v>0</v>
      </c>
      <c r="K2147" s="1355">
        <v>4062</v>
      </c>
      <c r="L2147" s="1355" t="s">
        <v>8922</v>
      </c>
    </row>
    <row r="2148" spans="2:12">
      <c r="B2148" s="5" t="s">
        <v>8923</v>
      </c>
      <c r="C2148" s="26" t="s">
        <v>8924</v>
      </c>
      <c r="D2148" s="1347">
        <v>0</v>
      </c>
      <c r="E2148" s="1346">
        <v>0</v>
      </c>
      <c r="F2148" s="611" t="s">
        <v>8925</v>
      </c>
      <c r="G2148" s="1413" t="s">
        <v>2504</v>
      </c>
      <c r="H2148" s="1353">
        <f t="shared" si="383"/>
        <v>0</v>
      </c>
      <c r="I2148" s="1353">
        <f t="shared" si="384"/>
        <v>0</v>
      </c>
      <c r="K2148" s="1355">
        <v>4063</v>
      </c>
      <c r="L2148" s="1355" t="s">
        <v>8926</v>
      </c>
    </row>
    <row r="2149" spans="2:12">
      <c r="B2149" s="5" t="s">
        <v>8927</v>
      </c>
      <c r="C2149" s="26" t="s">
        <v>8928</v>
      </c>
      <c r="D2149" s="1347">
        <v>0</v>
      </c>
      <c r="E2149" s="1346">
        <v>0</v>
      </c>
      <c r="F2149" s="611" t="s">
        <v>8929</v>
      </c>
      <c r="G2149" s="1413" t="s">
        <v>2504</v>
      </c>
      <c r="H2149" s="1353">
        <f t="shared" si="383"/>
        <v>0</v>
      </c>
      <c r="I2149" s="1353">
        <f t="shared" si="384"/>
        <v>0</v>
      </c>
      <c r="K2149" s="1355">
        <v>4064</v>
      </c>
      <c r="L2149" s="1355" t="s">
        <v>8930</v>
      </c>
    </row>
    <row r="2150" spans="2:12">
      <c r="B2150" s="5" t="s">
        <v>8931</v>
      </c>
      <c r="C2150" s="26" t="s">
        <v>8932</v>
      </c>
      <c r="D2150" s="1347">
        <v>0</v>
      </c>
      <c r="E2150" s="1346">
        <v>0</v>
      </c>
      <c r="F2150" s="611" t="s">
        <v>8933</v>
      </c>
      <c r="G2150" s="1413" t="s">
        <v>2504</v>
      </c>
      <c r="H2150" s="1353">
        <f t="shared" si="383"/>
        <v>0</v>
      </c>
      <c r="I2150" s="1353">
        <f t="shared" si="384"/>
        <v>0</v>
      </c>
      <c r="K2150" s="1355">
        <v>4065</v>
      </c>
      <c r="L2150" s="1355" t="s">
        <v>8934</v>
      </c>
    </row>
    <row r="2151" spans="2:12">
      <c r="B2151" s="5" t="s">
        <v>8935</v>
      </c>
      <c r="C2151" s="26" t="s">
        <v>8936</v>
      </c>
      <c r="D2151" s="1347">
        <v>0</v>
      </c>
      <c r="E2151" s="1346">
        <v>0</v>
      </c>
      <c r="F2151" s="611" t="s">
        <v>8937</v>
      </c>
      <c r="G2151" s="1413" t="s">
        <v>2504</v>
      </c>
      <c r="H2151" s="1353">
        <f t="shared" si="383"/>
        <v>0</v>
      </c>
      <c r="I2151" s="1353">
        <f t="shared" si="384"/>
        <v>0</v>
      </c>
      <c r="K2151" s="1355">
        <v>4066</v>
      </c>
      <c r="L2151" s="1355" t="s">
        <v>8938</v>
      </c>
    </row>
    <row r="2152" spans="2:12">
      <c r="B2152" s="5" t="s">
        <v>8939</v>
      </c>
      <c r="C2152" s="26" t="s">
        <v>8940</v>
      </c>
      <c r="D2152" s="1347">
        <v>0</v>
      </c>
      <c r="E2152" s="1346">
        <v>0</v>
      </c>
      <c r="F2152" s="611" t="s">
        <v>8941</v>
      </c>
      <c r="G2152" s="1413" t="s">
        <v>2504</v>
      </c>
      <c r="H2152" s="1353">
        <f t="shared" si="383"/>
        <v>0</v>
      </c>
      <c r="I2152" s="1353">
        <f t="shared" si="384"/>
        <v>0</v>
      </c>
      <c r="K2152" s="1355">
        <v>4067</v>
      </c>
      <c r="L2152" s="1355" t="s">
        <v>8942</v>
      </c>
    </row>
    <row r="2153" spans="2:12">
      <c r="B2153" s="5" t="s">
        <v>8943</v>
      </c>
      <c r="C2153" s="26" t="s">
        <v>8944</v>
      </c>
      <c r="D2153" s="1347">
        <v>0</v>
      </c>
      <c r="E2153" s="1346">
        <v>0</v>
      </c>
      <c r="F2153" s="611" t="s">
        <v>8945</v>
      </c>
      <c r="G2153" s="1413" t="s">
        <v>2504</v>
      </c>
      <c r="H2153" s="1353">
        <f t="shared" si="383"/>
        <v>0</v>
      </c>
      <c r="I2153" s="1353">
        <f t="shared" si="384"/>
        <v>0</v>
      </c>
      <c r="K2153" s="1355">
        <v>4068</v>
      </c>
      <c r="L2153" s="1355" t="s">
        <v>8946</v>
      </c>
    </row>
    <row r="2154" spans="2:12">
      <c r="B2154" s="5" t="s">
        <v>8947</v>
      </c>
      <c r="C2154" s="26" t="s">
        <v>8948</v>
      </c>
      <c r="D2154" s="1347">
        <v>0</v>
      </c>
      <c r="E2154" s="1346">
        <v>0</v>
      </c>
      <c r="F2154" s="611" t="s">
        <v>8949</v>
      </c>
      <c r="G2154" s="1413" t="s">
        <v>2504</v>
      </c>
      <c r="H2154" s="1353">
        <f t="shared" si="383"/>
        <v>0</v>
      </c>
      <c r="I2154" s="1353">
        <f t="shared" si="384"/>
        <v>0</v>
      </c>
      <c r="K2154" s="1355">
        <v>4069</v>
      </c>
      <c r="L2154" s="1355" t="s">
        <v>8950</v>
      </c>
    </row>
    <row r="2155" spans="2:12">
      <c r="B2155" s="5" t="s">
        <v>8951</v>
      </c>
      <c r="C2155" s="26" t="s">
        <v>8952</v>
      </c>
      <c r="D2155" s="1347">
        <v>0</v>
      </c>
      <c r="E2155" s="1346">
        <v>0</v>
      </c>
      <c r="F2155" s="611" t="s">
        <v>8953</v>
      </c>
      <c r="G2155" s="1413" t="s">
        <v>2504</v>
      </c>
      <c r="H2155" s="1353">
        <f t="shared" si="383"/>
        <v>0</v>
      </c>
      <c r="I2155" s="1353">
        <f t="shared" si="384"/>
        <v>0</v>
      </c>
      <c r="K2155" s="1355">
        <v>4070</v>
      </c>
      <c r="L2155" s="1355" t="s">
        <v>8954</v>
      </c>
    </row>
    <row r="2156" spans="2:12">
      <c r="B2156" s="5" t="s">
        <v>8955</v>
      </c>
      <c r="C2156" s="26" t="s">
        <v>8956</v>
      </c>
      <c r="D2156" s="1347">
        <v>0</v>
      </c>
      <c r="E2156" s="1346">
        <v>0</v>
      </c>
      <c r="F2156" s="611" t="s">
        <v>8957</v>
      </c>
      <c r="G2156" s="1413" t="s">
        <v>2504</v>
      </c>
      <c r="H2156" s="1353">
        <f t="shared" si="383"/>
        <v>0</v>
      </c>
      <c r="I2156" s="1353">
        <f t="shared" si="384"/>
        <v>0</v>
      </c>
      <c r="K2156" s="1355">
        <v>4071</v>
      </c>
      <c r="L2156" s="1355" t="s">
        <v>8958</v>
      </c>
    </row>
    <row r="2157" spans="2:12">
      <c r="B2157" s="5" t="s">
        <v>8959</v>
      </c>
      <c r="C2157" s="26" t="s">
        <v>8960</v>
      </c>
      <c r="D2157" s="1347">
        <v>0</v>
      </c>
      <c r="E2157" s="1346">
        <v>0</v>
      </c>
      <c r="F2157" s="611" t="s">
        <v>8961</v>
      </c>
      <c r="G2157" s="1413" t="s">
        <v>2504</v>
      </c>
      <c r="H2157" s="1353">
        <f t="shared" si="383"/>
        <v>0</v>
      </c>
      <c r="I2157" s="1353">
        <f t="shared" si="384"/>
        <v>0</v>
      </c>
      <c r="K2157" s="1355">
        <v>4072</v>
      </c>
      <c r="L2157" s="1355" t="s">
        <v>8962</v>
      </c>
    </row>
    <row r="2158" spans="2:12">
      <c r="B2158" s="5" t="s">
        <v>8963</v>
      </c>
      <c r="C2158" s="26" t="s">
        <v>8964</v>
      </c>
      <c r="D2158" s="1347">
        <v>0</v>
      </c>
      <c r="E2158" s="1346">
        <v>0</v>
      </c>
      <c r="F2158" s="611" t="s">
        <v>8965</v>
      </c>
      <c r="G2158" s="1413" t="s">
        <v>2504</v>
      </c>
      <c r="H2158" s="1353">
        <f t="shared" si="383"/>
        <v>0</v>
      </c>
      <c r="I2158" s="1353">
        <f t="shared" si="384"/>
        <v>0</v>
      </c>
      <c r="K2158" s="1355">
        <v>4073</v>
      </c>
      <c r="L2158" s="1355" t="s">
        <v>8966</v>
      </c>
    </row>
    <row r="2159" spans="2:12">
      <c r="B2159" s="5" t="s">
        <v>8967</v>
      </c>
      <c r="C2159" s="26" t="s">
        <v>8968</v>
      </c>
      <c r="D2159" s="1347">
        <v>0</v>
      </c>
      <c r="E2159" s="1346">
        <v>0</v>
      </c>
      <c r="F2159" s="611" t="s">
        <v>8969</v>
      </c>
      <c r="G2159" s="1413" t="s">
        <v>2504</v>
      </c>
      <c r="H2159" s="1353">
        <f t="shared" si="383"/>
        <v>0</v>
      </c>
      <c r="I2159" s="1353">
        <f t="shared" si="384"/>
        <v>0</v>
      </c>
      <c r="K2159" s="1355">
        <v>4074</v>
      </c>
      <c r="L2159" s="1355" t="s">
        <v>8970</v>
      </c>
    </row>
    <row r="2160" spans="2:12">
      <c r="B2160" s="5" t="s">
        <v>8971</v>
      </c>
      <c r="C2160" s="26" t="s">
        <v>8972</v>
      </c>
      <c r="D2160" s="1347">
        <v>0</v>
      </c>
      <c r="E2160" s="1346">
        <v>0</v>
      </c>
      <c r="F2160" s="611" t="s">
        <v>8973</v>
      </c>
      <c r="G2160" s="1413" t="s">
        <v>2504</v>
      </c>
      <c r="H2160" s="1353">
        <f t="shared" si="383"/>
        <v>0</v>
      </c>
      <c r="I2160" s="1353">
        <f t="shared" si="384"/>
        <v>0</v>
      </c>
      <c r="K2160" s="1355">
        <v>4075</v>
      </c>
      <c r="L2160" s="1355" t="s">
        <v>8974</v>
      </c>
    </row>
    <row r="2161" spans="2:12">
      <c r="B2161" s="5" t="s">
        <v>8975</v>
      </c>
      <c r="C2161" s="26" t="s">
        <v>8976</v>
      </c>
      <c r="D2161" s="1347">
        <v>0</v>
      </c>
      <c r="E2161" s="1346">
        <v>0</v>
      </c>
      <c r="F2161" s="611" t="s">
        <v>8977</v>
      </c>
      <c r="G2161" s="1413" t="s">
        <v>2504</v>
      </c>
      <c r="H2161" s="1353">
        <f>M1474-M1486</f>
        <v>0</v>
      </c>
      <c r="I2161" s="1353">
        <f>N1474-N1486</f>
        <v>0</v>
      </c>
      <c r="K2161" s="1355">
        <v>4076</v>
      </c>
      <c r="L2161" s="1355" t="s">
        <v>8978</v>
      </c>
    </row>
    <row r="2162" spans="2:12">
      <c r="B2162" s="5" t="s">
        <v>8979</v>
      </c>
      <c r="C2162" s="26" t="s">
        <v>8980</v>
      </c>
      <c r="D2162" s="1347">
        <v>0</v>
      </c>
      <c r="E2162" s="1346">
        <v>0</v>
      </c>
      <c r="F2162" s="611" t="s">
        <v>8981</v>
      </c>
      <c r="G2162" s="1413" t="s">
        <v>2504</v>
      </c>
      <c r="H2162" s="1353">
        <f>M1475-M1487</f>
        <v>0</v>
      </c>
      <c r="I2162" s="1353">
        <f>N1475-N1487</f>
        <v>0</v>
      </c>
      <c r="K2162" s="1355">
        <v>4077</v>
      </c>
      <c r="L2162" s="1355" t="s">
        <v>8982</v>
      </c>
    </row>
    <row r="2163" spans="2:12">
      <c r="B2163" s="5" t="s">
        <v>8983</v>
      </c>
      <c r="C2163" s="26" t="s">
        <v>8984</v>
      </c>
      <c r="D2163" s="1347">
        <v>0</v>
      </c>
      <c r="E2163" s="1346">
        <v>0</v>
      </c>
      <c r="F2163" s="611" t="s">
        <v>8985</v>
      </c>
      <c r="G2163" s="1413" t="s">
        <v>2504</v>
      </c>
      <c r="H2163" s="1353">
        <f t="shared" ref="H2163:H2178" si="385">M2484-M2519</f>
        <v>0</v>
      </c>
      <c r="I2163" s="1353">
        <f t="shared" ref="I2163:I2178" si="386">N2484-N2519</f>
        <v>0</v>
      </c>
      <c r="K2163" s="1355">
        <v>4078</v>
      </c>
      <c r="L2163" s="1355" t="s">
        <v>8986</v>
      </c>
    </row>
    <row r="2164" spans="2:12">
      <c r="B2164" s="5" t="s">
        <v>8987</v>
      </c>
      <c r="C2164" s="26" t="s">
        <v>8988</v>
      </c>
      <c r="D2164" s="1347">
        <v>0</v>
      </c>
      <c r="E2164" s="1346">
        <v>0</v>
      </c>
      <c r="F2164" s="611" t="s">
        <v>8989</v>
      </c>
      <c r="G2164" s="1413" t="s">
        <v>2504</v>
      </c>
      <c r="H2164" s="1353">
        <f t="shared" si="385"/>
        <v>0</v>
      </c>
      <c r="I2164" s="1353">
        <f t="shared" si="386"/>
        <v>0</v>
      </c>
      <c r="K2164" s="1355">
        <v>4079</v>
      </c>
      <c r="L2164" s="1355" t="s">
        <v>8990</v>
      </c>
    </row>
    <row r="2165" spans="2:12">
      <c r="B2165" s="5" t="s">
        <v>8991</v>
      </c>
      <c r="C2165" s="26" t="s">
        <v>8992</v>
      </c>
      <c r="D2165" s="1347">
        <v>0</v>
      </c>
      <c r="E2165" s="1346">
        <v>0</v>
      </c>
      <c r="F2165" s="611" t="s">
        <v>8993</v>
      </c>
      <c r="G2165" s="1413" t="s">
        <v>2504</v>
      </c>
      <c r="H2165" s="1353">
        <f t="shared" si="385"/>
        <v>0</v>
      </c>
      <c r="I2165" s="1353">
        <f t="shared" si="386"/>
        <v>0</v>
      </c>
      <c r="K2165" s="1355">
        <v>4080</v>
      </c>
      <c r="L2165" s="1355" t="s">
        <v>8994</v>
      </c>
    </row>
    <row r="2166" spans="2:12">
      <c r="B2166" s="5" t="s">
        <v>8995</v>
      </c>
      <c r="C2166" s="26" t="s">
        <v>8996</v>
      </c>
      <c r="D2166" s="1347">
        <v>0</v>
      </c>
      <c r="E2166" s="1346">
        <v>0</v>
      </c>
      <c r="F2166" s="611" t="s">
        <v>8997</v>
      </c>
      <c r="G2166" s="1413" t="s">
        <v>2504</v>
      </c>
      <c r="H2166" s="1353">
        <f t="shared" si="385"/>
        <v>0</v>
      </c>
      <c r="I2166" s="1353">
        <f t="shared" si="386"/>
        <v>0</v>
      </c>
      <c r="K2166" s="1355">
        <v>4081</v>
      </c>
      <c r="L2166" s="1355" t="s">
        <v>8998</v>
      </c>
    </row>
    <row r="2167" spans="2:12">
      <c r="B2167" s="5" t="s">
        <v>8999</v>
      </c>
      <c r="C2167" s="26" t="s">
        <v>9000</v>
      </c>
      <c r="D2167" s="1347">
        <v>0</v>
      </c>
      <c r="E2167" s="1346">
        <v>0</v>
      </c>
      <c r="F2167" s="611" t="s">
        <v>9001</v>
      </c>
      <c r="G2167" s="1413" t="s">
        <v>2504</v>
      </c>
      <c r="H2167" s="1353">
        <f t="shared" si="385"/>
        <v>0</v>
      </c>
      <c r="I2167" s="1353">
        <f t="shared" si="386"/>
        <v>0</v>
      </c>
      <c r="K2167" s="1355">
        <v>4082</v>
      </c>
      <c r="L2167" s="1355" t="s">
        <v>9002</v>
      </c>
    </row>
    <row r="2168" spans="2:12">
      <c r="B2168" s="5" t="s">
        <v>9003</v>
      </c>
      <c r="C2168" s="26" t="s">
        <v>9004</v>
      </c>
      <c r="D2168" s="1347">
        <v>0</v>
      </c>
      <c r="E2168" s="1346">
        <v>0</v>
      </c>
      <c r="F2168" s="611" t="s">
        <v>9005</v>
      </c>
      <c r="G2168" s="1413" t="s">
        <v>2504</v>
      </c>
      <c r="H2168" s="1353">
        <f t="shared" si="385"/>
        <v>0</v>
      </c>
      <c r="I2168" s="1353">
        <f t="shared" si="386"/>
        <v>0</v>
      </c>
      <c r="K2168" s="1355">
        <v>4083</v>
      </c>
      <c r="L2168" s="1355" t="s">
        <v>9006</v>
      </c>
    </row>
    <row r="2169" spans="2:12">
      <c r="B2169" s="5" t="s">
        <v>9007</v>
      </c>
      <c r="C2169" s="26" t="s">
        <v>9008</v>
      </c>
      <c r="D2169" s="1347">
        <v>0</v>
      </c>
      <c r="E2169" s="1346">
        <v>0</v>
      </c>
      <c r="F2169" s="611" t="s">
        <v>9009</v>
      </c>
      <c r="G2169" s="1413" t="s">
        <v>2504</v>
      </c>
      <c r="H2169" s="1353">
        <f t="shared" si="385"/>
        <v>0</v>
      </c>
      <c r="I2169" s="1353">
        <f t="shared" si="386"/>
        <v>0</v>
      </c>
      <c r="K2169" s="1355">
        <v>4084</v>
      </c>
      <c r="L2169" s="1355" t="s">
        <v>9010</v>
      </c>
    </row>
    <row r="2170" spans="2:12">
      <c r="B2170" s="5" t="s">
        <v>9011</v>
      </c>
      <c r="C2170" s="26" t="s">
        <v>9012</v>
      </c>
      <c r="D2170" s="1347">
        <v>0</v>
      </c>
      <c r="E2170" s="1346">
        <v>0</v>
      </c>
      <c r="F2170" s="611" t="s">
        <v>9013</v>
      </c>
      <c r="G2170" s="1413" t="s">
        <v>2504</v>
      </c>
      <c r="H2170" s="1353">
        <f t="shared" si="385"/>
        <v>0</v>
      </c>
      <c r="I2170" s="1353">
        <f t="shared" si="386"/>
        <v>0</v>
      </c>
      <c r="K2170" s="1355">
        <v>4085</v>
      </c>
      <c r="L2170" s="1355" t="s">
        <v>9014</v>
      </c>
    </row>
    <row r="2171" spans="2:12">
      <c r="B2171" s="5" t="s">
        <v>9015</v>
      </c>
      <c r="C2171" s="26" t="s">
        <v>9016</v>
      </c>
      <c r="D2171" s="1347">
        <v>0</v>
      </c>
      <c r="E2171" s="1346">
        <v>0</v>
      </c>
      <c r="F2171" s="611" t="s">
        <v>9017</v>
      </c>
      <c r="G2171" s="1413" t="s">
        <v>2504</v>
      </c>
      <c r="H2171" s="1353">
        <f t="shared" si="385"/>
        <v>0</v>
      </c>
      <c r="I2171" s="1353">
        <f t="shared" si="386"/>
        <v>0</v>
      </c>
      <c r="K2171" s="1355">
        <v>4086</v>
      </c>
      <c r="L2171" s="1355" t="s">
        <v>9018</v>
      </c>
    </row>
    <row r="2172" spans="2:12">
      <c r="B2172" s="5" t="s">
        <v>9019</v>
      </c>
      <c r="C2172" s="26" t="s">
        <v>9020</v>
      </c>
      <c r="D2172" s="1347">
        <v>0</v>
      </c>
      <c r="E2172" s="1346">
        <v>0</v>
      </c>
      <c r="F2172" s="611" t="s">
        <v>9021</v>
      </c>
      <c r="G2172" s="1413" t="s">
        <v>2504</v>
      </c>
      <c r="H2172" s="1353">
        <f t="shared" si="385"/>
        <v>0</v>
      </c>
      <c r="I2172" s="1353">
        <f t="shared" si="386"/>
        <v>0</v>
      </c>
      <c r="K2172" s="1355">
        <v>4087</v>
      </c>
      <c r="L2172" s="1355" t="s">
        <v>9022</v>
      </c>
    </row>
    <row r="2173" spans="2:12">
      <c r="B2173" s="5" t="s">
        <v>9023</v>
      </c>
      <c r="C2173" s="26" t="s">
        <v>9024</v>
      </c>
      <c r="D2173" s="1347">
        <v>0</v>
      </c>
      <c r="E2173" s="1346">
        <v>0</v>
      </c>
      <c r="F2173" s="611" t="s">
        <v>9025</v>
      </c>
      <c r="G2173" s="1413" t="s">
        <v>2504</v>
      </c>
      <c r="H2173" s="1353">
        <f t="shared" si="385"/>
        <v>0</v>
      </c>
      <c r="I2173" s="1353">
        <f t="shared" si="386"/>
        <v>0</v>
      </c>
      <c r="K2173" s="1355">
        <v>4088</v>
      </c>
      <c r="L2173" s="1355" t="s">
        <v>9026</v>
      </c>
    </row>
    <row r="2174" spans="2:12">
      <c r="B2174" s="5" t="s">
        <v>9027</v>
      </c>
      <c r="C2174" s="26" t="s">
        <v>9028</v>
      </c>
      <c r="D2174" s="1347">
        <v>0</v>
      </c>
      <c r="E2174" s="1346">
        <v>0</v>
      </c>
      <c r="F2174" s="611" t="s">
        <v>9029</v>
      </c>
      <c r="G2174" s="1413" t="s">
        <v>2504</v>
      </c>
      <c r="H2174" s="1353">
        <f t="shared" si="385"/>
        <v>0</v>
      </c>
      <c r="I2174" s="1353">
        <f t="shared" si="386"/>
        <v>0</v>
      </c>
      <c r="K2174" s="1355">
        <v>4089</v>
      </c>
      <c r="L2174" s="1355" t="s">
        <v>9030</v>
      </c>
    </row>
    <row r="2175" spans="2:12">
      <c r="B2175" s="5" t="s">
        <v>9031</v>
      </c>
      <c r="C2175" s="26" t="s">
        <v>9032</v>
      </c>
      <c r="D2175" s="1347">
        <v>0</v>
      </c>
      <c r="E2175" s="1346">
        <v>0</v>
      </c>
      <c r="F2175" s="611" t="s">
        <v>9033</v>
      </c>
      <c r="G2175" s="1413" t="s">
        <v>2504</v>
      </c>
      <c r="H2175" s="1353">
        <f t="shared" si="385"/>
        <v>0</v>
      </c>
      <c r="I2175" s="1353">
        <f t="shared" si="386"/>
        <v>0</v>
      </c>
      <c r="K2175" s="1355">
        <v>4090</v>
      </c>
      <c r="L2175" s="1355" t="s">
        <v>9034</v>
      </c>
    </row>
    <row r="2176" spans="2:12">
      <c r="B2176" s="5" t="s">
        <v>9035</v>
      </c>
      <c r="C2176" s="26" t="s">
        <v>9036</v>
      </c>
      <c r="D2176" s="1347">
        <v>0</v>
      </c>
      <c r="E2176" s="1346">
        <v>0</v>
      </c>
      <c r="F2176" s="611" t="s">
        <v>9037</v>
      </c>
      <c r="G2176" s="1413" t="s">
        <v>2504</v>
      </c>
      <c r="H2176" s="1353">
        <f t="shared" si="385"/>
        <v>0</v>
      </c>
      <c r="I2176" s="1353">
        <f t="shared" si="386"/>
        <v>0</v>
      </c>
      <c r="K2176" s="1355">
        <v>4091</v>
      </c>
      <c r="L2176" s="1355" t="s">
        <v>9038</v>
      </c>
    </row>
    <row r="2177" spans="1:12">
      <c r="B2177" s="5" t="s">
        <v>9039</v>
      </c>
      <c r="C2177" s="26" t="s">
        <v>9040</v>
      </c>
      <c r="D2177" s="1347">
        <v>0</v>
      </c>
      <c r="E2177" s="1346">
        <v>0</v>
      </c>
      <c r="F2177" s="611" t="s">
        <v>9041</v>
      </c>
      <c r="G2177" s="1413" t="s">
        <v>2504</v>
      </c>
      <c r="H2177" s="1353">
        <f t="shared" si="385"/>
        <v>0</v>
      </c>
      <c r="I2177" s="1353">
        <f t="shared" si="386"/>
        <v>0</v>
      </c>
      <c r="K2177" s="1355">
        <v>4092</v>
      </c>
      <c r="L2177" s="1355" t="s">
        <v>9042</v>
      </c>
    </row>
    <row r="2178" spans="1:12">
      <c r="B2178" s="5" t="s">
        <v>9043</v>
      </c>
      <c r="C2178" s="26" t="s">
        <v>9044</v>
      </c>
      <c r="D2178" s="1347">
        <v>0</v>
      </c>
      <c r="E2178" s="1346">
        <v>0</v>
      </c>
      <c r="F2178" s="611" t="s">
        <v>9045</v>
      </c>
      <c r="G2178" s="1413" t="s">
        <v>2504</v>
      </c>
      <c r="H2178" s="1353">
        <f t="shared" si="385"/>
        <v>0</v>
      </c>
      <c r="I2178" s="1353">
        <f t="shared" si="386"/>
        <v>0</v>
      </c>
      <c r="K2178" s="1355">
        <v>4093</v>
      </c>
      <c r="L2178" s="1355" t="s">
        <v>9046</v>
      </c>
    </row>
    <row r="2179" spans="1:12">
      <c r="B2179" s="5" t="s">
        <v>9047</v>
      </c>
      <c r="C2179" s="26" t="s">
        <v>9048</v>
      </c>
      <c r="D2179" s="1347">
        <v>0</v>
      </c>
      <c r="E2179" s="1346">
        <v>0</v>
      </c>
      <c r="F2179" s="611" t="s">
        <v>9049</v>
      </c>
      <c r="G2179" s="1413" t="s">
        <v>2504</v>
      </c>
      <c r="H2179" s="1353">
        <f>M1479-M1491</f>
        <v>0</v>
      </c>
      <c r="I2179" s="1353">
        <f>N1479-N1491</f>
        <v>0</v>
      </c>
      <c r="K2179" s="1355">
        <v>4094</v>
      </c>
      <c r="L2179" s="1355" t="s">
        <v>9050</v>
      </c>
    </row>
    <row r="2180" spans="1:12">
      <c r="B2180" s="5" t="s">
        <v>9051</v>
      </c>
      <c r="C2180" s="26" t="s">
        <v>9052</v>
      </c>
      <c r="D2180" s="1347">
        <v>0</v>
      </c>
      <c r="E2180" s="1346">
        <v>0</v>
      </c>
      <c r="F2180" s="611" t="s">
        <v>9053</v>
      </c>
      <c r="G2180" s="1413" t="s">
        <v>2504</v>
      </c>
      <c r="H2180" s="1353">
        <f>M1480-M1492</f>
        <v>0</v>
      </c>
      <c r="I2180" s="1353">
        <f>N1480-N1492</f>
        <v>0</v>
      </c>
      <c r="K2180" s="1355">
        <v>4095</v>
      </c>
      <c r="L2180" s="1355" t="s">
        <v>9054</v>
      </c>
    </row>
    <row r="2181" spans="1:12">
      <c r="B2181" s="5" t="s">
        <v>9055</v>
      </c>
      <c r="C2181" s="26" t="s">
        <v>9056</v>
      </c>
      <c r="D2181" s="1347">
        <v>0</v>
      </c>
      <c r="E2181" s="1346">
        <v>0</v>
      </c>
      <c r="F2181" s="611" t="s">
        <v>9057</v>
      </c>
      <c r="G2181" s="1413" t="s">
        <v>2504</v>
      </c>
      <c r="H2181" s="1353">
        <f>M1482-M1494</f>
        <v>0</v>
      </c>
      <c r="I2181" s="1353">
        <f>N1482-N1494</f>
        <v>0</v>
      </c>
      <c r="K2181" s="1355">
        <v>4096</v>
      </c>
      <c r="L2181" s="1355" t="s">
        <v>9058</v>
      </c>
    </row>
    <row r="2182" spans="1:12">
      <c r="B2182" s="5" t="s">
        <v>9059</v>
      </c>
      <c r="C2182" s="26" t="s">
        <v>9060</v>
      </c>
      <c r="D2182" s="1347">
        <v>0</v>
      </c>
      <c r="E2182" s="1346">
        <v>0</v>
      </c>
      <c r="F2182" s="611" t="s">
        <v>9061</v>
      </c>
      <c r="G2182" s="1391">
        <v>1520</v>
      </c>
      <c r="H2182" s="1353">
        <f>M1495</f>
        <v>0</v>
      </c>
      <c r="I2182" s="1353">
        <f>N1495</f>
        <v>0</v>
      </c>
      <c r="K2182" s="1355">
        <v>4097</v>
      </c>
      <c r="L2182" s="1355" t="s">
        <v>9062</v>
      </c>
    </row>
    <row r="2183" spans="1:12">
      <c r="A2183" s="611" t="s">
        <v>9063</v>
      </c>
      <c r="B2183" s="5" t="s">
        <v>9064</v>
      </c>
      <c r="C2183" s="26" t="s">
        <v>639</v>
      </c>
      <c r="D2183" s="1347">
        <v>0</v>
      </c>
      <c r="E2183" s="1346">
        <v>0</v>
      </c>
      <c r="F2183" s="611" t="s">
        <v>9065</v>
      </c>
      <c r="G2183" s="1414">
        <v>4870</v>
      </c>
      <c r="H2183" s="1353">
        <f t="shared" ref="H2183:H2201" si="387">M2605</f>
        <v>0</v>
      </c>
      <c r="I2183" s="1353">
        <f t="shared" ref="I2183:I2201" si="388">N2605</f>
        <v>0</v>
      </c>
      <c r="K2183" s="1355">
        <v>4098</v>
      </c>
      <c r="L2183" s="1355" t="s">
        <v>9066</v>
      </c>
    </row>
    <row r="2184" spans="1:12">
      <c r="B2184" s="5" t="s">
        <v>9067</v>
      </c>
      <c r="C2184" s="26" t="s">
        <v>640</v>
      </c>
      <c r="D2184" s="1347">
        <v>0</v>
      </c>
      <c r="E2184" s="1346">
        <v>0</v>
      </c>
      <c r="F2184" s="611" t="s">
        <v>9068</v>
      </c>
      <c r="G2184" s="1414">
        <v>4871</v>
      </c>
      <c r="H2184" s="1353">
        <f t="shared" si="387"/>
        <v>0</v>
      </c>
      <c r="I2184" s="1353">
        <f t="shared" si="388"/>
        <v>0</v>
      </c>
      <c r="K2184" s="1355">
        <v>4099</v>
      </c>
      <c r="L2184" s="1355" t="s">
        <v>9069</v>
      </c>
    </row>
    <row r="2185" spans="1:12">
      <c r="B2185" s="5" t="s">
        <v>9070</v>
      </c>
      <c r="C2185" s="26" t="s">
        <v>641</v>
      </c>
      <c r="D2185" s="1347">
        <v>0</v>
      </c>
      <c r="E2185" s="1346">
        <v>0</v>
      </c>
      <c r="F2185" s="611" t="s">
        <v>9071</v>
      </c>
      <c r="G2185" s="1414">
        <v>4872</v>
      </c>
      <c r="H2185" s="1353">
        <f t="shared" si="387"/>
        <v>0</v>
      </c>
      <c r="I2185" s="1353">
        <f t="shared" si="388"/>
        <v>0</v>
      </c>
      <c r="K2185" s="1355">
        <v>4100</v>
      </c>
      <c r="L2185" s="1355" t="s">
        <v>9072</v>
      </c>
    </row>
    <row r="2186" spans="1:12">
      <c r="B2186" s="5" t="s">
        <v>9073</v>
      </c>
      <c r="C2186" s="26" t="s">
        <v>642</v>
      </c>
      <c r="D2186" s="1347">
        <v>0</v>
      </c>
      <c r="E2186" s="1346">
        <v>0</v>
      </c>
      <c r="F2186" s="611" t="s">
        <v>9074</v>
      </c>
      <c r="G2186" s="1414">
        <v>4873</v>
      </c>
      <c r="H2186" s="1353">
        <f t="shared" si="387"/>
        <v>0</v>
      </c>
      <c r="I2186" s="1353">
        <f t="shared" si="388"/>
        <v>0</v>
      </c>
      <c r="K2186" s="1355">
        <v>4101</v>
      </c>
      <c r="L2186" s="1355" t="s">
        <v>9075</v>
      </c>
    </row>
    <row r="2187" spans="1:12">
      <c r="B2187" s="5" t="s">
        <v>9076</v>
      </c>
      <c r="C2187" s="26" t="s">
        <v>643</v>
      </c>
      <c r="D2187" s="1347">
        <v>0</v>
      </c>
      <c r="E2187" s="1346">
        <v>0</v>
      </c>
      <c r="F2187" s="611" t="s">
        <v>9077</v>
      </c>
      <c r="G2187" s="1414">
        <v>4874</v>
      </c>
      <c r="H2187" s="1353">
        <f t="shared" si="387"/>
        <v>0</v>
      </c>
      <c r="I2187" s="1353">
        <f t="shared" si="388"/>
        <v>0</v>
      </c>
      <c r="K2187" s="1355">
        <v>4102</v>
      </c>
      <c r="L2187" s="1355" t="s">
        <v>9078</v>
      </c>
    </row>
    <row r="2188" spans="1:12">
      <c r="B2188" s="5" t="s">
        <v>9079</v>
      </c>
      <c r="C2188" s="26" t="s">
        <v>644</v>
      </c>
      <c r="D2188" s="1347">
        <v>0</v>
      </c>
      <c r="E2188" s="1346">
        <v>0</v>
      </c>
      <c r="F2188" s="611" t="s">
        <v>9080</v>
      </c>
      <c r="G2188" s="1414">
        <v>4875</v>
      </c>
      <c r="H2188" s="1353">
        <f t="shared" si="387"/>
        <v>0</v>
      </c>
      <c r="I2188" s="1353">
        <f t="shared" si="388"/>
        <v>0</v>
      </c>
      <c r="K2188" s="1355">
        <v>4103</v>
      </c>
      <c r="L2188" s="1355" t="s">
        <v>9081</v>
      </c>
    </row>
    <row r="2189" spans="1:12">
      <c r="B2189" s="5" t="s">
        <v>9082</v>
      </c>
      <c r="C2189" s="26" t="s">
        <v>645</v>
      </c>
      <c r="D2189" s="1347">
        <v>0</v>
      </c>
      <c r="E2189" s="1346">
        <v>0</v>
      </c>
      <c r="F2189" s="611" t="s">
        <v>9083</v>
      </c>
      <c r="G2189" s="1414">
        <v>4876</v>
      </c>
      <c r="H2189" s="1353">
        <f t="shared" si="387"/>
        <v>0</v>
      </c>
      <c r="I2189" s="1353">
        <f t="shared" si="388"/>
        <v>0</v>
      </c>
      <c r="K2189" s="1355">
        <v>4104</v>
      </c>
      <c r="L2189" s="1355" t="s">
        <v>9084</v>
      </c>
    </row>
    <row r="2190" spans="1:12">
      <c r="B2190" s="5" t="s">
        <v>9085</v>
      </c>
      <c r="C2190" s="26" t="s">
        <v>646</v>
      </c>
      <c r="D2190" s="1347">
        <v>0</v>
      </c>
      <c r="E2190" s="1346">
        <v>0</v>
      </c>
      <c r="F2190" s="611" t="s">
        <v>9086</v>
      </c>
      <c r="G2190" s="1414">
        <v>4877</v>
      </c>
      <c r="H2190" s="1353">
        <f t="shared" si="387"/>
        <v>0</v>
      </c>
      <c r="I2190" s="1353">
        <f t="shared" si="388"/>
        <v>0</v>
      </c>
      <c r="K2190" s="1355">
        <v>4105</v>
      </c>
      <c r="L2190" s="1355" t="s">
        <v>9087</v>
      </c>
    </row>
    <row r="2191" spans="1:12">
      <c r="B2191" s="5" t="s">
        <v>9088</v>
      </c>
      <c r="C2191" s="26" t="s">
        <v>647</v>
      </c>
      <c r="D2191" s="1347">
        <v>0</v>
      </c>
      <c r="E2191" s="1346">
        <v>0</v>
      </c>
      <c r="F2191" s="611" t="s">
        <v>9089</v>
      </c>
      <c r="G2191" s="1414">
        <v>4878</v>
      </c>
      <c r="H2191" s="1353">
        <f t="shared" si="387"/>
        <v>0</v>
      </c>
      <c r="I2191" s="1353">
        <f t="shared" si="388"/>
        <v>0</v>
      </c>
      <c r="K2191" s="1355">
        <v>4106</v>
      </c>
      <c r="L2191" s="1355" t="s">
        <v>9090</v>
      </c>
    </row>
    <row r="2192" spans="1:12">
      <c r="B2192" s="5" t="s">
        <v>9091</v>
      </c>
      <c r="C2192" s="26" t="s">
        <v>648</v>
      </c>
      <c r="D2192" s="1347">
        <v>0</v>
      </c>
      <c r="E2192" s="1346">
        <v>0</v>
      </c>
      <c r="F2192" s="611" t="s">
        <v>9092</v>
      </c>
      <c r="G2192" s="1414">
        <v>4879</v>
      </c>
      <c r="H2192" s="1353">
        <f t="shared" si="387"/>
        <v>0</v>
      </c>
      <c r="I2192" s="1353">
        <f t="shared" si="388"/>
        <v>0</v>
      </c>
      <c r="K2192" s="1355">
        <v>4107</v>
      </c>
      <c r="L2192" s="1355" t="s">
        <v>9093</v>
      </c>
    </row>
    <row r="2193" spans="2:12">
      <c r="B2193" s="5" t="s">
        <v>9094</v>
      </c>
      <c r="C2193" s="26" t="s">
        <v>649</v>
      </c>
      <c r="D2193" s="1347">
        <v>0</v>
      </c>
      <c r="E2193" s="1346">
        <v>0</v>
      </c>
      <c r="F2193" s="611" t="s">
        <v>9095</v>
      </c>
      <c r="G2193" s="1414">
        <v>4880</v>
      </c>
      <c r="H2193" s="1353">
        <f t="shared" si="387"/>
        <v>0</v>
      </c>
      <c r="I2193" s="1353">
        <f t="shared" si="388"/>
        <v>0</v>
      </c>
      <c r="K2193" s="1355">
        <v>4108</v>
      </c>
      <c r="L2193" s="1355" t="s">
        <v>9096</v>
      </c>
    </row>
    <row r="2194" spans="2:12">
      <c r="B2194" s="5" t="s">
        <v>9097</v>
      </c>
      <c r="C2194" s="26" t="s">
        <v>650</v>
      </c>
      <c r="D2194" s="1347">
        <v>0</v>
      </c>
      <c r="E2194" s="1346">
        <v>0</v>
      </c>
      <c r="F2194" s="611" t="s">
        <v>9098</v>
      </c>
      <c r="G2194" s="1414">
        <v>4881</v>
      </c>
      <c r="H2194" s="1353">
        <f t="shared" si="387"/>
        <v>0</v>
      </c>
      <c r="I2194" s="1353">
        <f t="shared" si="388"/>
        <v>0</v>
      </c>
      <c r="K2194" s="1355">
        <v>4109</v>
      </c>
      <c r="L2194" s="1355" t="s">
        <v>9099</v>
      </c>
    </row>
    <row r="2195" spans="2:12">
      <c r="B2195" s="5" t="s">
        <v>9100</v>
      </c>
      <c r="C2195" s="26" t="s">
        <v>651</v>
      </c>
      <c r="D2195" s="1347">
        <v>0</v>
      </c>
      <c r="E2195" s="1346">
        <v>0</v>
      </c>
      <c r="F2195" s="611" t="s">
        <v>9101</v>
      </c>
      <c r="G2195" s="1414">
        <v>4882</v>
      </c>
      <c r="H2195" s="1353">
        <f t="shared" si="387"/>
        <v>0</v>
      </c>
      <c r="I2195" s="1353">
        <f t="shared" si="388"/>
        <v>0</v>
      </c>
      <c r="K2195" s="1355">
        <v>4110</v>
      </c>
      <c r="L2195" s="1355" t="s">
        <v>9102</v>
      </c>
    </row>
    <row r="2196" spans="2:12">
      <c r="B2196" s="5" t="s">
        <v>9103</v>
      </c>
      <c r="C2196" s="26" t="s">
        <v>652</v>
      </c>
      <c r="D2196" s="1347">
        <v>0</v>
      </c>
      <c r="E2196" s="1346">
        <v>0</v>
      </c>
      <c r="F2196" s="611" t="s">
        <v>9104</v>
      </c>
      <c r="G2196" s="1414">
        <v>4883</v>
      </c>
      <c r="H2196" s="1353">
        <f t="shared" si="387"/>
        <v>0</v>
      </c>
      <c r="I2196" s="1353">
        <f t="shared" si="388"/>
        <v>0</v>
      </c>
      <c r="K2196" s="1355">
        <v>4111</v>
      </c>
      <c r="L2196" s="1355" t="s">
        <v>9105</v>
      </c>
    </row>
    <row r="2197" spans="2:12">
      <c r="B2197" s="5" t="s">
        <v>9106</v>
      </c>
      <c r="C2197" s="26" t="s">
        <v>653</v>
      </c>
      <c r="D2197" s="1347">
        <v>0</v>
      </c>
      <c r="E2197" s="1346">
        <v>0</v>
      </c>
      <c r="F2197" s="611" t="s">
        <v>9107</v>
      </c>
      <c r="G2197" s="1414">
        <v>4884</v>
      </c>
      <c r="H2197" s="1353">
        <f t="shared" si="387"/>
        <v>0</v>
      </c>
      <c r="I2197" s="1353">
        <f t="shared" si="388"/>
        <v>0</v>
      </c>
      <c r="K2197" s="1355">
        <v>4112</v>
      </c>
      <c r="L2197" s="1355" t="s">
        <v>9108</v>
      </c>
    </row>
    <row r="2198" spans="2:12">
      <c r="B2198" s="5" t="s">
        <v>9109</v>
      </c>
      <c r="C2198" s="26" t="s">
        <v>654</v>
      </c>
      <c r="D2198" s="1347">
        <v>0</v>
      </c>
      <c r="E2198" s="1346">
        <v>0</v>
      </c>
      <c r="F2198" s="611" t="s">
        <v>9110</v>
      </c>
      <c r="G2198" s="1414">
        <v>4885</v>
      </c>
      <c r="H2198" s="1353">
        <f t="shared" si="387"/>
        <v>0</v>
      </c>
      <c r="I2198" s="1353">
        <f t="shared" si="388"/>
        <v>0</v>
      </c>
      <c r="K2198" s="1355">
        <v>4113</v>
      </c>
      <c r="L2198" s="1355" t="s">
        <v>9111</v>
      </c>
    </row>
    <row r="2199" spans="2:12">
      <c r="B2199" s="5" t="s">
        <v>9112</v>
      </c>
      <c r="C2199" s="26" t="s">
        <v>655</v>
      </c>
      <c r="D2199" s="1347">
        <v>0</v>
      </c>
      <c r="E2199" s="1346">
        <v>0</v>
      </c>
      <c r="F2199" s="611" t="s">
        <v>9113</v>
      </c>
      <c r="G2199" s="1414">
        <v>4886</v>
      </c>
      <c r="H2199" s="1353">
        <f t="shared" si="387"/>
        <v>0</v>
      </c>
      <c r="I2199" s="1353">
        <f t="shared" si="388"/>
        <v>0</v>
      </c>
      <c r="K2199" s="1355">
        <v>4114</v>
      </c>
      <c r="L2199" s="1355" t="s">
        <v>9114</v>
      </c>
    </row>
    <row r="2200" spans="2:12">
      <c r="B2200" s="5" t="s">
        <v>9115</v>
      </c>
      <c r="C2200" s="26" t="s">
        <v>656</v>
      </c>
      <c r="D2200" s="1347">
        <v>0</v>
      </c>
      <c r="E2200" s="1346">
        <v>0</v>
      </c>
      <c r="F2200" s="611" t="s">
        <v>9116</v>
      </c>
      <c r="G2200" s="1414">
        <v>4887</v>
      </c>
      <c r="H2200" s="1353">
        <f t="shared" si="387"/>
        <v>0</v>
      </c>
      <c r="I2200" s="1353">
        <f t="shared" si="388"/>
        <v>0</v>
      </c>
      <c r="K2200" s="1355">
        <v>4115</v>
      </c>
      <c r="L2200" s="1355" t="s">
        <v>9117</v>
      </c>
    </row>
    <row r="2201" spans="2:12">
      <c r="B2201" s="5" t="s">
        <v>9118</v>
      </c>
      <c r="C2201" s="26" t="s">
        <v>657</v>
      </c>
      <c r="D2201" s="1347">
        <v>0</v>
      </c>
      <c r="E2201" s="1346">
        <v>0</v>
      </c>
      <c r="F2201" s="611" t="s">
        <v>9119</v>
      </c>
      <c r="G2201" s="1414">
        <v>4888</v>
      </c>
      <c r="H2201" s="1353">
        <f t="shared" si="387"/>
        <v>0</v>
      </c>
      <c r="I2201" s="1353">
        <f t="shared" si="388"/>
        <v>0</v>
      </c>
      <c r="K2201" s="1355">
        <v>4116</v>
      </c>
      <c r="L2201" s="1355" t="s">
        <v>9120</v>
      </c>
    </row>
    <row r="2202" spans="2:12">
      <c r="B2202" s="5" t="s">
        <v>9121</v>
      </c>
      <c r="C2202" s="26" t="s">
        <v>659</v>
      </c>
      <c r="D2202" s="1347">
        <v>0</v>
      </c>
      <c r="E2202" s="1346">
        <v>0</v>
      </c>
      <c r="F2202" s="611" t="s">
        <v>9122</v>
      </c>
      <c r="G2202" s="1408">
        <v>1523</v>
      </c>
      <c r="H2202" s="1353">
        <f>M1498</f>
        <v>0</v>
      </c>
      <c r="I2202" s="1353">
        <f>N1498</f>
        <v>0</v>
      </c>
      <c r="K2202" s="1355">
        <v>4117</v>
      </c>
      <c r="L2202" s="1355" t="s">
        <v>9123</v>
      </c>
    </row>
    <row r="2203" spans="2:12">
      <c r="B2203" s="5" t="s">
        <v>9124</v>
      </c>
      <c r="C2203" s="26" t="s">
        <v>660</v>
      </c>
      <c r="D2203" s="1347">
        <v>0</v>
      </c>
      <c r="E2203" s="1346">
        <v>0</v>
      </c>
      <c r="F2203" s="611" t="s">
        <v>9125</v>
      </c>
      <c r="G2203" s="1408">
        <v>1524</v>
      </c>
      <c r="H2203" s="1353">
        <f>M1499</f>
        <v>0</v>
      </c>
      <c r="I2203" s="1353">
        <f>N1499</f>
        <v>0</v>
      </c>
      <c r="K2203" s="1355">
        <v>4118</v>
      </c>
      <c r="L2203" s="1355" t="s">
        <v>9126</v>
      </c>
    </row>
    <row r="2204" spans="2:12">
      <c r="B2204" s="5" t="s">
        <v>9127</v>
      </c>
      <c r="C2204" s="26" t="s">
        <v>661</v>
      </c>
      <c r="D2204" s="1347">
        <v>0</v>
      </c>
      <c r="E2204" s="1346">
        <v>0</v>
      </c>
      <c r="F2204" s="611" t="s">
        <v>9128</v>
      </c>
      <c r="G2204" s="1414">
        <v>4889</v>
      </c>
      <c r="H2204" s="1353">
        <f t="shared" ref="H2204:H2219" si="389">M2624</f>
        <v>0</v>
      </c>
      <c r="I2204" s="1353">
        <f t="shared" ref="I2204:I2219" si="390">N2624</f>
        <v>0</v>
      </c>
      <c r="K2204" s="1355">
        <v>4119</v>
      </c>
      <c r="L2204" s="1355" t="s">
        <v>9129</v>
      </c>
    </row>
    <row r="2205" spans="2:12">
      <c r="B2205" s="5" t="s">
        <v>9130</v>
      </c>
      <c r="C2205" s="26" t="s">
        <v>662</v>
      </c>
      <c r="D2205" s="1347">
        <v>0</v>
      </c>
      <c r="E2205" s="1346">
        <v>0</v>
      </c>
      <c r="F2205" s="611" t="s">
        <v>9131</v>
      </c>
      <c r="G2205" s="1414">
        <v>4890</v>
      </c>
      <c r="H2205" s="1353">
        <f t="shared" si="389"/>
        <v>0</v>
      </c>
      <c r="I2205" s="1353">
        <f t="shared" si="390"/>
        <v>0</v>
      </c>
      <c r="K2205" s="1355">
        <v>4120</v>
      </c>
      <c r="L2205" s="1355" t="s">
        <v>9132</v>
      </c>
    </row>
    <row r="2206" spans="2:12">
      <c r="B2206" s="5" t="s">
        <v>9133</v>
      </c>
      <c r="C2206" s="26" t="s">
        <v>663</v>
      </c>
      <c r="D2206" s="1347">
        <v>0</v>
      </c>
      <c r="E2206" s="1346">
        <v>0</v>
      </c>
      <c r="F2206" s="611" t="s">
        <v>9134</v>
      </c>
      <c r="G2206" s="1414">
        <v>4891</v>
      </c>
      <c r="H2206" s="1353">
        <f t="shared" si="389"/>
        <v>0</v>
      </c>
      <c r="I2206" s="1353">
        <f t="shared" si="390"/>
        <v>0</v>
      </c>
      <c r="K2206" s="1355">
        <v>4121</v>
      </c>
      <c r="L2206" s="1355" t="s">
        <v>9135</v>
      </c>
    </row>
    <row r="2207" spans="2:12">
      <c r="B2207" s="5" t="s">
        <v>9136</v>
      </c>
      <c r="C2207" s="26" t="s">
        <v>664</v>
      </c>
      <c r="D2207" s="1347">
        <v>0</v>
      </c>
      <c r="E2207" s="1346">
        <v>0</v>
      </c>
      <c r="F2207" s="611" t="s">
        <v>9137</v>
      </c>
      <c r="G2207" s="1414">
        <v>4892</v>
      </c>
      <c r="H2207" s="1353">
        <f t="shared" si="389"/>
        <v>0</v>
      </c>
      <c r="I2207" s="1353">
        <f t="shared" si="390"/>
        <v>0</v>
      </c>
      <c r="K2207" s="1355">
        <v>4122</v>
      </c>
      <c r="L2207" s="1355" t="s">
        <v>9138</v>
      </c>
    </row>
    <row r="2208" spans="2:12">
      <c r="B2208" s="5" t="s">
        <v>9139</v>
      </c>
      <c r="C2208" s="26" t="s">
        <v>665</v>
      </c>
      <c r="D2208" s="1347">
        <v>0</v>
      </c>
      <c r="E2208" s="1346">
        <v>0</v>
      </c>
      <c r="F2208" s="611" t="s">
        <v>9140</v>
      </c>
      <c r="G2208" s="1414">
        <v>4893</v>
      </c>
      <c r="H2208" s="1353">
        <f t="shared" si="389"/>
        <v>0</v>
      </c>
      <c r="I2208" s="1353">
        <f t="shared" si="390"/>
        <v>0</v>
      </c>
      <c r="K2208" s="1355">
        <v>4123</v>
      </c>
      <c r="L2208" s="1355" t="s">
        <v>9141</v>
      </c>
    </row>
    <row r="2209" spans="2:12">
      <c r="B2209" s="5" t="s">
        <v>9142</v>
      </c>
      <c r="C2209" s="26" t="s">
        <v>666</v>
      </c>
      <c r="D2209" s="1347">
        <v>0</v>
      </c>
      <c r="E2209" s="1346">
        <v>0</v>
      </c>
      <c r="F2209" s="611" t="s">
        <v>9143</v>
      </c>
      <c r="G2209" s="1414">
        <v>4894</v>
      </c>
      <c r="H2209" s="1353">
        <f t="shared" si="389"/>
        <v>0</v>
      </c>
      <c r="I2209" s="1353">
        <f t="shared" si="390"/>
        <v>0</v>
      </c>
      <c r="K2209" s="1355">
        <v>4124</v>
      </c>
      <c r="L2209" s="1355" t="s">
        <v>9144</v>
      </c>
    </row>
    <row r="2210" spans="2:12">
      <c r="B2210" s="5" t="s">
        <v>9145</v>
      </c>
      <c r="C2210" s="26" t="s">
        <v>667</v>
      </c>
      <c r="D2210" s="1347">
        <v>0</v>
      </c>
      <c r="E2210" s="1346">
        <v>0</v>
      </c>
      <c r="F2210" s="611" t="s">
        <v>9146</v>
      </c>
      <c r="G2210" s="1414">
        <v>4895</v>
      </c>
      <c r="H2210" s="1353">
        <f t="shared" si="389"/>
        <v>0</v>
      </c>
      <c r="I2210" s="1353">
        <f t="shared" si="390"/>
        <v>0</v>
      </c>
      <c r="K2210" s="1355">
        <v>4125</v>
      </c>
      <c r="L2210" s="1355" t="s">
        <v>9147</v>
      </c>
    </row>
    <row r="2211" spans="2:12">
      <c r="B2211" s="5" t="s">
        <v>9148</v>
      </c>
      <c r="C2211" s="26" t="s">
        <v>668</v>
      </c>
      <c r="D2211" s="1347">
        <v>0</v>
      </c>
      <c r="E2211" s="1346">
        <v>0</v>
      </c>
      <c r="F2211" s="611" t="s">
        <v>9149</v>
      </c>
      <c r="G2211" s="1414">
        <v>4896</v>
      </c>
      <c r="H2211" s="1353">
        <f t="shared" si="389"/>
        <v>0</v>
      </c>
      <c r="I2211" s="1353">
        <f t="shared" si="390"/>
        <v>0</v>
      </c>
      <c r="K2211" s="1355">
        <v>4126</v>
      </c>
      <c r="L2211" s="1355" t="s">
        <v>9150</v>
      </c>
    </row>
    <row r="2212" spans="2:12">
      <c r="B2212" s="5" t="s">
        <v>9151</v>
      </c>
      <c r="C2212" s="26" t="s">
        <v>669</v>
      </c>
      <c r="D2212" s="1347">
        <v>0</v>
      </c>
      <c r="E2212" s="1346">
        <v>0</v>
      </c>
      <c r="F2212" s="611" t="s">
        <v>9152</v>
      </c>
      <c r="G2212" s="1414">
        <v>4897</v>
      </c>
      <c r="H2212" s="1353">
        <f t="shared" si="389"/>
        <v>0</v>
      </c>
      <c r="I2212" s="1353">
        <f t="shared" si="390"/>
        <v>0</v>
      </c>
      <c r="K2212" s="1355">
        <v>4127</v>
      </c>
      <c r="L2212" s="1355" t="s">
        <v>9153</v>
      </c>
    </row>
    <row r="2213" spans="2:12">
      <c r="B2213" s="5" t="s">
        <v>9154</v>
      </c>
      <c r="C2213" s="26" t="s">
        <v>670</v>
      </c>
      <c r="D2213" s="1347">
        <v>0</v>
      </c>
      <c r="E2213" s="1346">
        <v>0</v>
      </c>
      <c r="F2213" s="611" t="s">
        <v>9155</v>
      </c>
      <c r="G2213" s="1414">
        <v>4898</v>
      </c>
      <c r="H2213" s="1353">
        <f t="shared" si="389"/>
        <v>0</v>
      </c>
      <c r="I2213" s="1353">
        <f t="shared" si="390"/>
        <v>0</v>
      </c>
      <c r="K2213" s="1355">
        <v>4128</v>
      </c>
      <c r="L2213" s="1355" t="s">
        <v>9156</v>
      </c>
    </row>
    <row r="2214" spans="2:12">
      <c r="B2214" s="5" t="s">
        <v>9157</v>
      </c>
      <c r="C2214" s="26" t="s">
        <v>671</v>
      </c>
      <c r="D2214" s="1347">
        <v>0</v>
      </c>
      <c r="E2214" s="1346">
        <v>0</v>
      </c>
      <c r="F2214" s="611" t="s">
        <v>9158</v>
      </c>
      <c r="G2214" s="1414">
        <v>4899</v>
      </c>
      <c r="H2214" s="1353">
        <f t="shared" si="389"/>
        <v>0</v>
      </c>
      <c r="I2214" s="1353">
        <f t="shared" si="390"/>
        <v>0</v>
      </c>
      <c r="K2214" s="1355">
        <v>4129</v>
      </c>
      <c r="L2214" s="1355" t="s">
        <v>9159</v>
      </c>
    </row>
    <row r="2215" spans="2:12">
      <c r="B2215" s="5" t="s">
        <v>9160</v>
      </c>
      <c r="C2215" s="26" t="s">
        <v>672</v>
      </c>
      <c r="D2215" s="1347">
        <v>0</v>
      </c>
      <c r="E2215" s="1346">
        <v>0</v>
      </c>
      <c r="F2215" s="611" t="s">
        <v>9161</v>
      </c>
      <c r="G2215" s="1414">
        <v>4900</v>
      </c>
      <c r="H2215" s="1353">
        <f t="shared" si="389"/>
        <v>0</v>
      </c>
      <c r="I2215" s="1353">
        <f t="shared" si="390"/>
        <v>0</v>
      </c>
      <c r="K2215" s="1355">
        <v>4130</v>
      </c>
      <c r="L2215" s="1355" t="s">
        <v>9162</v>
      </c>
    </row>
    <row r="2216" spans="2:12">
      <c r="B2216" s="5" t="s">
        <v>9163</v>
      </c>
      <c r="C2216" s="26" t="s">
        <v>673</v>
      </c>
      <c r="D2216" s="1347">
        <v>0</v>
      </c>
      <c r="E2216" s="1346">
        <v>0</v>
      </c>
      <c r="F2216" s="611" t="s">
        <v>9164</v>
      </c>
      <c r="G2216" s="1414">
        <v>4901</v>
      </c>
      <c r="H2216" s="1353">
        <f t="shared" si="389"/>
        <v>0</v>
      </c>
      <c r="I2216" s="1353">
        <f t="shared" si="390"/>
        <v>0</v>
      </c>
      <c r="K2216" s="1355">
        <v>4131</v>
      </c>
      <c r="L2216" s="1355" t="s">
        <v>9165</v>
      </c>
    </row>
    <row r="2217" spans="2:12">
      <c r="B2217" s="5" t="s">
        <v>9166</v>
      </c>
      <c r="C2217" s="26" t="s">
        <v>674</v>
      </c>
      <c r="D2217" s="1347">
        <v>0</v>
      </c>
      <c r="E2217" s="1346">
        <v>0</v>
      </c>
      <c r="F2217" s="611" t="s">
        <v>9167</v>
      </c>
      <c r="G2217" s="1414">
        <v>4902</v>
      </c>
      <c r="H2217" s="1353">
        <f t="shared" si="389"/>
        <v>0</v>
      </c>
      <c r="I2217" s="1353">
        <f t="shared" si="390"/>
        <v>0</v>
      </c>
      <c r="K2217" s="1355">
        <v>4132</v>
      </c>
      <c r="L2217" s="1355" t="s">
        <v>9168</v>
      </c>
    </row>
    <row r="2218" spans="2:12">
      <c r="B2218" s="5" t="s">
        <v>9169</v>
      </c>
      <c r="C2218" s="26" t="s">
        <v>675</v>
      </c>
      <c r="D2218" s="1347">
        <v>0</v>
      </c>
      <c r="E2218" s="1346">
        <v>0</v>
      </c>
      <c r="F2218" s="611" t="s">
        <v>9170</v>
      </c>
      <c r="G2218" s="1414">
        <v>4903</v>
      </c>
      <c r="H2218" s="1353">
        <f t="shared" si="389"/>
        <v>0</v>
      </c>
      <c r="I2218" s="1353">
        <f t="shared" si="390"/>
        <v>0</v>
      </c>
      <c r="K2218" s="1355">
        <v>4133</v>
      </c>
      <c r="L2218" s="1355" t="s">
        <v>9171</v>
      </c>
    </row>
    <row r="2219" spans="2:12">
      <c r="B2219" s="5" t="s">
        <v>9172</v>
      </c>
      <c r="C2219" s="26" t="s">
        <v>676</v>
      </c>
      <c r="D2219" s="1347">
        <v>0</v>
      </c>
      <c r="E2219" s="1346">
        <v>0</v>
      </c>
      <c r="F2219" s="611" t="s">
        <v>9173</v>
      </c>
      <c r="G2219" s="1414">
        <v>4904</v>
      </c>
      <c r="H2219" s="1353">
        <f t="shared" si="389"/>
        <v>0</v>
      </c>
      <c r="I2219" s="1353">
        <f t="shared" si="390"/>
        <v>0</v>
      </c>
      <c r="K2219" s="1355">
        <v>4134</v>
      </c>
      <c r="L2219" s="1355" t="s">
        <v>9174</v>
      </c>
    </row>
    <row r="2220" spans="2:12">
      <c r="B2220" s="5" t="s">
        <v>9175</v>
      </c>
      <c r="C2220" s="26" t="s">
        <v>678</v>
      </c>
      <c r="D2220" s="1347">
        <v>0</v>
      </c>
      <c r="E2220" s="1346">
        <v>0</v>
      </c>
      <c r="F2220" s="611" t="s">
        <v>9176</v>
      </c>
      <c r="G2220" s="1408">
        <v>1528</v>
      </c>
      <c r="H2220" s="1353">
        <f>M1503</f>
        <v>0</v>
      </c>
      <c r="I2220" s="1353">
        <f>N1503</f>
        <v>0</v>
      </c>
      <c r="K2220" s="1355">
        <v>4135</v>
      </c>
      <c r="L2220" s="1355" t="s">
        <v>9177</v>
      </c>
    </row>
    <row r="2221" spans="2:12">
      <c r="B2221" s="5" t="s">
        <v>9178</v>
      </c>
      <c r="C2221" s="26" t="s">
        <v>679</v>
      </c>
      <c r="D2221" s="1347">
        <v>0</v>
      </c>
      <c r="E2221" s="1346">
        <v>0</v>
      </c>
      <c r="F2221" s="611" t="s">
        <v>9179</v>
      </c>
      <c r="G2221" s="1408">
        <v>1529</v>
      </c>
      <c r="H2221" s="1353">
        <f>M1504</f>
        <v>0</v>
      </c>
      <c r="I2221" s="1353">
        <f>N1504</f>
        <v>0</v>
      </c>
      <c r="K2221" s="1355">
        <v>4136</v>
      </c>
      <c r="L2221" s="1355" t="s">
        <v>9180</v>
      </c>
    </row>
    <row r="2222" spans="2:12">
      <c r="B2222" s="5" t="s">
        <v>9181</v>
      </c>
      <c r="C2222" s="26" t="s">
        <v>680</v>
      </c>
      <c r="D2222" s="1347">
        <v>0</v>
      </c>
      <c r="E2222" s="1346">
        <v>0</v>
      </c>
      <c r="F2222" s="611" t="s">
        <v>9182</v>
      </c>
      <c r="G2222" s="1408">
        <v>1531</v>
      </c>
      <c r="H2222" s="1353">
        <f>M1506</f>
        <v>0</v>
      </c>
      <c r="I2222" s="1353">
        <f>N1506</f>
        <v>0</v>
      </c>
      <c r="K2222" s="1355">
        <v>4137</v>
      </c>
      <c r="L2222" s="1355" t="s">
        <v>9183</v>
      </c>
    </row>
    <row r="2223" spans="2:12">
      <c r="B2223" s="5" t="s">
        <v>9184</v>
      </c>
      <c r="C2223" s="26" t="s">
        <v>9185</v>
      </c>
      <c r="D2223" s="1347">
        <v>0</v>
      </c>
      <c r="E2223" s="1346">
        <v>0</v>
      </c>
      <c r="F2223" s="611" t="s">
        <v>9186</v>
      </c>
      <c r="G2223" s="1413" t="s">
        <v>2504</v>
      </c>
      <c r="H2223" s="1353">
        <f t="shared" ref="H2223:H2241" si="391">M2605-M2641</f>
        <v>0</v>
      </c>
      <c r="I2223" s="1353">
        <f t="shared" ref="I2223:I2241" si="392">N2605-N2641</f>
        <v>0</v>
      </c>
      <c r="K2223" s="1355">
        <v>4138</v>
      </c>
      <c r="L2223" s="1355" t="s">
        <v>9187</v>
      </c>
    </row>
    <row r="2224" spans="2:12">
      <c r="B2224" s="5" t="s">
        <v>9188</v>
      </c>
      <c r="C2224" s="26" t="s">
        <v>9189</v>
      </c>
      <c r="D2224" s="1347">
        <v>0</v>
      </c>
      <c r="E2224" s="1346">
        <v>0</v>
      </c>
      <c r="F2224" s="611" t="s">
        <v>9190</v>
      </c>
      <c r="G2224" s="1413" t="s">
        <v>2504</v>
      </c>
      <c r="H2224" s="1353">
        <f t="shared" si="391"/>
        <v>0</v>
      </c>
      <c r="I2224" s="1353">
        <f t="shared" si="392"/>
        <v>0</v>
      </c>
      <c r="K2224" s="1355">
        <v>4139</v>
      </c>
      <c r="L2224" s="1355" t="s">
        <v>9191</v>
      </c>
    </row>
    <row r="2225" spans="2:12">
      <c r="B2225" s="5" t="s">
        <v>9192</v>
      </c>
      <c r="C2225" s="26" t="s">
        <v>9193</v>
      </c>
      <c r="D2225" s="1347">
        <v>0</v>
      </c>
      <c r="E2225" s="1346">
        <v>0</v>
      </c>
      <c r="F2225" s="611" t="s">
        <v>9194</v>
      </c>
      <c r="G2225" s="1413" t="s">
        <v>2504</v>
      </c>
      <c r="H2225" s="1353">
        <f t="shared" si="391"/>
        <v>0</v>
      </c>
      <c r="I2225" s="1353">
        <f t="shared" si="392"/>
        <v>0</v>
      </c>
      <c r="K2225" s="1355">
        <v>4140</v>
      </c>
      <c r="L2225" s="1355" t="s">
        <v>9195</v>
      </c>
    </row>
    <row r="2226" spans="2:12">
      <c r="B2226" s="5" t="s">
        <v>9196</v>
      </c>
      <c r="C2226" s="26" t="s">
        <v>9197</v>
      </c>
      <c r="D2226" s="1347">
        <v>0</v>
      </c>
      <c r="E2226" s="1346">
        <v>0</v>
      </c>
      <c r="F2226" s="611" t="s">
        <v>9198</v>
      </c>
      <c r="G2226" s="1413" t="s">
        <v>2504</v>
      </c>
      <c r="H2226" s="1353">
        <f t="shared" si="391"/>
        <v>0</v>
      </c>
      <c r="I2226" s="1353">
        <f t="shared" si="392"/>
        <v>0</v>
      </c>
      <c r="K2226" s="1355">
        <v>4141</v>
      </c>
      <c r="L2226" s="1355" t="s">
        <v>9199</v>
      </c>
    </row>
    <row r="2227" spans="2:12">
      <c r="B2227" s="5" t="s">
        <v>9200</v>
      </c>
      <c r="C2227" s="26" t="s">
        <v>9201</v>
      </c>
      <c r="D2227" s="1347">
        <v>0</v>
      </c>
      <c r="E2227" s="1346">
        <v>0</v>
      </c>
      <c r="F2227" s="611" t="s">
        <v>9202</v>
      </c>
      <c r="G2227" s="1413" t="s">
        <v>2504</v>
      </c>
      <c r="H2227" s="1353">
        <f t="shared" si="391"/>
        <v>0</v>
      </c>
      <c r="I2227" s="1353">
        <f t="shared" si="392"/>
        <v>0</v>
      </c>
      <c r="K2227" s="1355">
        <v>4142</v>
      </c>
      <c r="L2227" s="1355" t="s">
        <v>9203</v>
      </c>
    </row>
    <row r="2228" spans="2:12">
      <c r="B2228" s="5" t="s">
        <v>9204</v>
      </c>
      <c r="C2228" s="26" t="s">
        <v>9205</v>
      </c>
      <c r="D2228" s="1347">
        <v>0</v>
      </c>
      <c r="E2228" s="1346">
        <v>0</v>
      </c>
      <c r="F2228" s="611" t="s">
        <v>9206</v>
      </c>
      <c r="G2228" s="1413" t="s">
        <v>2504</v>
      </c>
      <c r="H2228" s="1353">
        <f t="shared" si="391"/>
        <v>0</v>
      </c>
      <c r="I2228" s="1353">
        <f t="shared" si="392"/>
        <v>0</v>
      </c>
      <c r="K2228" s="1355">
        <v>4143</v>
      </c>
      <c r="L2228" s="1355" t="s">
        <v>9207</v>
      </c>
    </row>
    <row r="2229" spans="2:12">
      <c r="B2229" s="5" t="s">
        <v>9208</v>
      </c>
      <c r="C2229" s="26" t="s">
        <v>9209</v>
      </c>
      <c r="D2229" s="1347">
        <v>0</v>
      </c>
      <c r="E2229" s="1346">
        <v>0</v>
      </c>
      <c r="F2229" s="611" t="s">
        <v>9210</v>
      </c>
      <c r="G2229" s="1413" t="s">
        <v>2504</v>
      </c>
      <c r="H2229" s="1353">
        <f t="shared" si="391"/>
        <v>0</v>
      </c>
      <c r="I2229" s="1353">
        <f t="shared" si="392"/>
        <v>0</v>
      </c>
      <c r="K2229" s="1355">
        <v>4144</v>
      </c>
      <c r="L2229" s="1355" t="s">
        <v>9211</v>
      </c>
    </row>
    <row r="2230" spans="2:12">
      <c r="B2230" s="5" t="s">
        <v>9212</v>
      </c>
      <c r="C2230" s="26" t="s">
        <v>9213</v>
      </c>
      <c r="D2230" s="1347">
        <v>0</v>
      </c>
      <c r="E2230" s="1346">
        <v>0</v>
      </c>
      <c r="F2230" s="611" t="s">
        <v>9214</v>
      </c>
      <c r="G2230" s="1413" t="s">
        <v>2504</v>
      </c>
      <c r="H2230" s="1353">
        <f t="shared" si="391"/>
        <v>0</v>
      </c>
      <c r="I2230" s="1353">
        <f t="shared" si="392"/>
        <v>0</v>
      </c>
      <c r="K2230" s="1355">
        <v>4145</v>
      </c>
      <c r="L2230" s="1355" t="s">
        <v>9215</v>
      </c>
    </row>
    <row r="2231" spans="2:12">
      <c r="B2231" s="5" t="s">
        <v>9216</v>
      </c>
      <c r="C2231" s="26" t="s">
        <v>9217</v>
      </c>
      <c r="D2231" s="1347">
        <v>0</v>
      </c>
      <c r="E2231" s="1346">
        <v>0</v>
      </c>
      <c r="F2231" s="611" t="s">
        <v>9218</v>
      </c>
      <c r="G2231" s="1413" t="s">
        <v>2504</v>
      </c>
      <c r="H2231" s="1353">
        <f t="shared" si="391"/>
        <v>0</v>
      </c>
      <c r="I2231" s="1353">
        <f t="shared" si="392"/>
        <v>0</v>
      </c>
      <c r="K2231" s="1355">
        <v>4146</v>
      </c>
      <c r="L2231" s="1355" t="s">
        <v>9219</v>
      </c>
    </row>
    <row r="2232" spans="2:12">
      <c r="B2232" s="5" t="s">
        <v>9220</v>
      </c>
      <c r="C2232" s="26" t="s">
        <v>9221</v>
      </c>
      <c r="D2232" s="1347">
        <v>0</v>
      </c>
      <c r="E2232" s="1346">
        <v>0</v>
      </c>
      <c r="F2232" s="611" t="s">
        <v>9222</v>
      </c>
      <c r="G2232" s="1413" t="s">
        <v>2504</v>
      </c>
      <c r="H2232" s="1353">
        <f t="shared" si="391"/>
        <v>0</v>
      </c>
      <c r="I2232" s="1353">
        <f t="shared" si="392"/>
        <v>0</v>
      </c>
      <c r="K2232" s="1355">
        <v>4147</v>
      </c>
      <c r="L2232" s="1355" t="s">
        <v>9223</v>
      </c>
    </row>
    <row r="2233" spans="2:12">
      <c r="B2233" s="5" t="s">
        <v>9224</v>
      </c>
      <c r="C2233" s="26" t="s">
        <v>9225</v>
      </c>
      <c r="D2233" s="1347">
        <v>0</v>
      </c>
      <c r="E2233" s="1346">
        <v>0</v>
      </c>
      <c r="F2233" s="611" t="s">
        <v>9226</v>
      </c>
      <c r="G2233" s="1413" t="s">
        <v>2504</v>
      </c>
      <c r="H2233" s="1353">
        <f t="shared" si="391"/>
        <v>0</v>
      </c>
      <c r="I2233" s="1353">
        <f t="shared" si="392"/>
        <v>0</v>
      </c>
      <c r="K2233" s="1355">
        <v>4148</v>
      </c>
      <c r="L2233" s="1355" t="s">
        <v>9227</v>
      </c>
    </row>
    <row r="2234" spans="2:12">
      <c r="B2234" s="5" t="s">
        <v>9228</v>
      </c>
      <c r="C2234" s="26" t="s">
        <v>9229</v>
      </c>
      <c r="D2234" s="1347">
        <v>0</v>
      </c>
      <c r="E2234" s="1346">
        <v>0</v>
      </c>
      <c r="F2234" s="611" t="s">
        <v>9230</v>
      </c>
      <c r="G2234" s="1413" t="s">
        <v>2504</v>
      </c>
      <c r="H2234" s="1353">
        <f t="shared" si="391"/>
        <v>0</v>
      </c>
      <c r="I2234" s="1353">
        <f t="shared" si="392"/>
        <v>0</v>
      </c>
      <c r="K2234" s="1355">
        <v>4149</v>
      </c>
      <c r="L2234" s="1355" t="s">
        <v>9231</v>
      </c>
    </row>
    <row r="2235" spans="2:12">
      <c r="B2235" s="5" t="s">
        <v>9232</v>
      </c>
      <c r="C2235" s="26" t="s">
        <v>9233</v>
      </c>
      <c r="D2235" s="1347">
        <v>0</v>
      </c>
      <c r="E2235" s="1346">
        <v>0</v>
      </c>
      <c r="F2235" s="611" t="s">
        <v>9234</v>
      </c>
      <c r="G2235" s="1413" t="s">
        <v>2504</v>
      </c>
      <c r="H2235" s="1353">
        <f t="shared" si="391"/>
        <v>0</v>
      </c>
      <c r="I2235" s="1353">
        <f t="shared" si="392"/>
        <v>0</v>
      </c>
      <c r="K2235" s="1355">
        <v>4150</v>
      </c>
      <c r="L2235" s="1355" t="s">
        <v>9235</v>
      </c>
    </row>
    <row r="2236" spans="2:12">
      <c r="B2236" s="5" t="s">
        <v>9236</v>
      </c>
      <c r="C2236" s="26" t="s">
        <v>9237</v>
      </c>
      <c r="D2236" s="1347">
        <v>0</v>
      </c>
      <c r="E2236" s="1346">
        <v>0</v>
      </c>
      <c r="F2236" s="611" t="s">
        <v>9238</v>
      </c>
      <c r="G2236" s="1413" t="s">
        <v>2504</v>
      </c>
      <c r="H2236" s="1353">
        <f t="shared" si="391"/>
        <v>0</v>
      </c>
      <c r="I2236" s="1353">
        <f t="shared" si="392"/>
        <v>0</v>
      </c>
      <c r="K2236" s="1355">
        <v>4151</v>
      </c>
      <c r="L2236" s="1355" t="s">
        <v>9239</v>
      </c>
    </row>
    <row r="2237" spans="2:12">
      <c r="B2237" s="5" t="s">
        <v>9240</v>
      </c>
      <c r="C2237" s="26" t="s">
        <v>9241</v>
      </c>
      <c r="D2237" s="1347">
        <v>0</v>
      </c>
      <c r="E2237" s="1346">
        <v>0</v>
      </c>
      <c r="F2237" s="611" t="s">
        <v>9242</v>
      </c>
      <c r="G2237" s="1413" t="s">
        <v>2504</v>
      </c>
      <c r="H2237" s="1353">
        <f t="shared" si="391"/>
        <v>0</v>
      </c>
      <c r="I2237" s="1353">
        <f t="shared" si="392"/>
        <v>0</v>
      </c>
      <c r="K2237" s="1355">
        <v>4152</v>
      </c>
      <c r="L2237" s="1355" t="s">
        <v>9243</v>
      </c>
    </row>
    <row r="2238" spans="2:12">
      <c r="B2238" s="5" t="s">
        <v>9244</v>
      </c>
      <c r="C2238" s="26" t="s">
        <v>9245</v>
      </c>
      <c r="D2238" s="1347">
        <v>0</v>
      </c>
      <c r="E2238" s="1346">
        <v>0</v>
      </c>
      <c r="F2238" s="611" t="s">
        <v>9246</v>
      </c>
      <c r="G2238" s="1413" t="s">
        <v>2504</v>
      </c>
      <c r="H2238" s="1353">
        <f t="shared" si="391"/>
        <v>0</v>
      </c>
      <c r="I2238" s="1353">
        <f t="shared" si="392"/>
        <v>0</v>
      </c>
      <c r="K2238" s="1355">
        <v>4153</v>
      </c>
      <c r="L2238" s="1355" t="s">
        <v>9247</v>
      </c>
    </row>
    <row r="2239" spans="2:12">
      <c r="B2239" s="5" t="s">
        <v>9248</v>
      </c>
      <c r="C2239" s="26" t="s">
        <v>9249</v>
      </c>
      <c r="D2239" s="1347">
        <v>0</v>
      </c>
      <c r="E2239" s="1346">
        <v>0</v>
      </c>
      <c r="F2239" s="611" t="s">
        <v>9250</v>
      </c>
      <c r="G2239" s="1413" t="s">
        <v>2504</v>
      </c>
      <c r="H2239" s="1353">
        <f t="shared" si="391"/>
        <v>0</v>
      </c>
      <c r="I2239" s="1353">
        <f t="shared" si="392"/>
        <v>0</v>
      </c>
      <c r="K2239" s="1355">
        <v>4154</v>
      </c>
      <c r="L2239" s="1355" t="s">
        <v>9251</v>
      </c>
    </row>
    <row r="2240" spans="2:12">
      <c r="B2240" s="5" t="s">
        <v>9252</v>
      </c>
      <c r="C2240" s="26" t="s">
        <v>9253</v>
      </c>
      <c r="D2240" s="1347">
        <v>0</v>
      </c>
      <c r="E2240" s="1346">
        <v>0</v>
      </c>
      <c r="F2240" s="611" t="s">
        <v>9254</v>
      </c>
      <c r="G2240" s="1413" t="s">
        <v>2504</v>
      </c>
      <c r="H2240" s="1353">
        <f t="shared" si="391"/>
        <v>0</v>
      </c>
      <c r="I2240" s="1353">
        <f t="shared" si="392"/>
        <v>0</v>
      </c>
      <c r="K2240" s="1355">
        <v>4155</v>
      </c>
      <c r="L2240" s="1355" t="s">
        <v>9255</v>
      </c>
    </row>
    <row r="2241" spans="2:12">
      <c r="B2241" s="5" t="s">
        <v>9256</v>
      </c>
      <c r="C2241" s="26" t="s">
        <v>9257</v>
      </c>
      <c r="D2241" s="1347">
        <v>0</v>
      </c>
      <c r="E2241" s="1346">
        <v>0</v>
      </c>
      <c r="F2241" s="611" t="s">
        <v>9258</v>
      </c>
      <c r="G2241" s="1413" t="s">
        <v>2504</v>
      </c>
      <c r="H2241" s="1353">
        <f t="shared" si="391"/>
        <v>0</v>
      </c>
      <c r="I2241" s="1353">
        <f t="shared" si="392"/>
        <v>0</v>
      </c>
      <c r="K2241" s="1355">
        <v>4156</v>
      </c>
      <c r="L2241" s="1355" t="s">
        <v>9259</v>
      </c>
    </row>
    <row r="2242" spans="2:12">
      <c r="B2242" s="5" t="s">
        <v>9260</v>
      </c>
      <c r="C2242" s="26" t="s">
        <v>9261</v>
      </c>
      <c r="D2242" s="1347">
        <v>0</v>
      </c>
      <c r="E2242" s="1346">
        <v>0</v>
      </c>
      <c r="F2242" s="611" t="s">
        <v>9262</v>
      </c>
      <c r="G2242" s="1413" t="s">
        <v>2504</v>
      </c>
      <c r="H2242" s="1353">
        <f>M1498-M1510</f>
        <v>0</v>
      </c>
      <c r="I2242" s="1353">
        <f>N1498-N1510</f>
        <v>0</v>
      </c>
      <c r="K2242" s="1355">
        <v>4157</v>
      </c>
      <c r="L2242" s="1355" t="s">
        <v>9263</v>
      </c>
    </row>
    <row r="2243" spans="2:12">
      <c r="B2243" s="5" t="s">
        <v>9264</v>
      </c>
      <c r="C2243" s="26" t="s">
        <v>9265</v>
      </c>
      <c r="D2243" s="1347">
        <v>0</v>
      </c>
      <c r="E2243" s="1346">
        <v>0</v>
      </c>
      <c r="F2243" s="611" t="s">
        <v>9266</v>
      </c>
      <c r="G2243" s="1413" t="s">
        <v>2504</v>
      </c>
      <c r="H2243" s="1353">
        <f>M1499-M1511</f>
        <v>0</v>
      </c>
      <c r="I2243" s="1353">
        <f>N1499-N1511</f>
        <v>0</v>
      </c>
      <c r="K2243" s="1355">
        <v>4158</v>
      </c>
      <c r="L2243" s="1355" t="s">
        <v>9267</v>
      </c>
    </row>
    <row r="2244" spans="2:12">
      <c r="B2244" s="5" t="s">
        <v>9268</v>
      </c>
      <c r="C2244" s="26" t="s">
        <v>9269</v>
      </c>
      <c r="D2244" s="1347">
        <v>0</v>
      </c>
      <c r="E2244" s="1346">
        <v>0</v>
      </c>
      <c r="F2244" s="611" t="s">
        <v>9270</v>
      </c>
      <c r="G2244" s="1413" t="s">
        <v>2504</v>
      </c>
      <c r="H2244" s="1353">
        <f t="shared" ref="H2244:H2259" si="393">M2624-M2660</f>
        <v>0</v>
      </c>
      <c r="I2244" s="1353">
        <f t="shared" ref="I2244:I2259" si="394">N2624-N2660</f>
        <v>0</v>
      </c>
      <c r="K2244" s="1355">
        <v>4159</v>
      </c>
      <c r="L2244" s="1355" t="s">
        <v>9271</v>
      </c>
    </row>
    <row r="2245" spans="2:12">
      <c r="B2245" s="5" t="s">
        <v>9272</v>
      </c>
      <c r="C2245" s="26" t="s">
        <v>9273</v>
      </c>
      <c r="D2245" s="1347">
        <v>0</v>
      </c>
      <c r="E2245" s="1346">
        <v>0</v>
      </c>
      <c r="F2245" s="611" t="s">
        <v>9274</v>
      </c>
      <c r="G2245" s="1413" t="s">
        <v>2504</v>
      </c>
      <c r="H2245" s="1353">
        <f t="shared" si="393"/>
        <v>0</v>
      </c>
      <c r="I2245" s="1353">
        <f t="shared" si="394"/>
        <v>0</v>
      </c>
      <c r="K2245" s="1355">
        <v>4160</v>
      </c>
      <c r="L2245" s="1355" t="s">
        <v>9275</v>
      </c>
    </row>
    <row r="2246" spans="2:12">
      <c r="B2246" s="5" t="s">
        <v>9276</v>
      </c>
      <c r="C2246" s="26" t="s">
        <v>9277</v>
      </c>
      <c r="D2246" s="1347">
        <v>0</v>
      </c>
      <c r="E2246" s="1346">
        <v>0</v>
      </c>
      <c r="F2246" s="611" t="s">
        <v>9278</v>
      </c>
      <c r="G2246" s="1413" t="s">
        <v>2504</v>
      </c>
      <c r="H2246" s="1353">
        <f t="shared" si="393"/>
        <v>0</v>
      </c>
      <c r="I2246" s="1353">
        <f t="shared" si="394"/>
        <v>0</v>
      </c>
      <c r="K2246" s="1355">
        <v>4161</v>
      </c>
      <c r="L2246" s="1355" t="s">
        <v>9279</v>
      </c>
    </row>
    <row r="2247" spans="2:12">
      <c r="B2247" s="5" t="s">
        <v>9280</v>
      </c>
      <c r="C2247" s="26" t="s">
        <v>9281</v>
      </c>
      <c r="D2247" s="1347">
        <v>0</v>
      </c>
      <c r="E2247" s="1346">
        <v>0</v>
      </c>
      <c r="F2247" s="611" t="s">
        <v>9282</v>
      </c>
      <c r="G2247" s="1413" t="s">
        <v>2504</v>
      </c>
      <c r="H2247" s="1353">
        <f t="shared" si="393"/>
        <v>0</v>
      </c>
      <c r="I2247" s="1353">
        <f t="shared" si="394"/>
        <v>0</v>
      </c>
      <c r="K2247" s="1355">
        <v>4162</v>
      </c>
      <c r="L2247" s="1355" t="s">
        <v>9283</v>
      </c>
    </row>
    <row r="2248" spans="2:12">
      <c r="B2248" s="5" t="s">
        <v>9284</v>
      </c>
      <c r="C2248" s="26" t="s">
        <v>9285</v>
      </c>
      <c r="D2248" s="1347">
        <v>0</v>
      </c>
      <c r="E2248" s="1346">
        <v>0</v>
      </c>
      <c r="F2248" s="611" t="s">
        <v>9286</v>
      </c>
      <c r="G2248" s="1413" t="s">
        <v>2504</v>
      </c>
      <c r="H2248" s="1353">
        <f t="shared" si="393"/>
        <v>0</v>
      </c>
      <c r="I2248" s="1353">
        <f t="shared" si="394"/>
        <v>0</v>
      </c>
      <c r="K2248" s="1355">
        <v>4163</v>
      </c>
      <c r="L2248" s="1355" t="s">
        <v>9287</v>
      </c>
    </row>
    <row r="2249" spans="2:12">
      <c r="B2249" s="5" t="s">
        <v>9288</v>
      </c>
      <c r="C2249" s="26" t="s">
        <v>9289</v>
      </c>
      <c r="D2249" s="1347">
        <v>0</v>
      </c>
      <c r="E2249" s="1346">
        <v>0</v>
      </c>
      <c r="F2249" s="611" t="s">
        <v>9290</v>
      </c>
      <c r="G2249" s="1413" t="s">
        <v>2504</v>
      </c>
      <c r="H2249" s="1353">
        <f t="shared" si="393"/>
        <v>0</v>
      </c>
      <c r="I2249" s="1353">
        <f t="shared" si="394"/>
        <v>0</v>
      </c>
      <c r="K2249" s="1355">
        <v>4164</v>
      </c>
      <c r="L2249" s="1355" t="s">
        <v>9291</v>
      </c>
    </row>
    <row r="2250" spans="2:12">
      <c r="B2250" s="5" t="s">
        <v>9292</v>
      </c>
      <c r="C2250" s="26" t="s">
        <v>9293</v>
      </c>
      <c r="D2250" s="1347">
        <v>0</v>
      </c>
      <c r="E2250" s="1346">
        <v>0</v>
      </c>
      <c r="F2250" s="611" t="s">
        <v>9294</v>
      </c>
      <c r="G2250" s="1413" t="s">
        <v>2504</v>
      </c>
      <c r="H2250" s="1353">
        <f t="shared" si="393"/>
        <v>0</v>
      </c>
      <c r="I2250" s="1353">
        <f t="shared" si="394"/>
        <v>0</v>
      </c>
      <c r="K2250" s="1355">
        <v>4165</v>
      </c>
      <c r="L2250" s="1355" t="s">
        <v>9295</v>
      </c>
    </row>
    <row r="2251" spans="2:12">
      <c r="B2251" s="5" t="s">
        <v>9296</v>
      </c>
      <c r="C2251" s="26" t="s">
        <v>9297</v>
      </c>
      <c r="D2251" s="1347">
        <v>0</v>
      </c>
      <c r="E2251" s="1346">
        <v>0</v>
      </c>
      <c r="F2251" s="611" t="s">
        <v>9298</v>
      </c>
      <c r="G2251" s="1413" t="s">
        <v>2504</v>
      </c>
      <c r="H2251" s="1353">
        <f t="shared" si="393"/>
        <v>0</v>
      </c>
      <c r="I2251" s="1353">
        <f t="shared" si="394"/>
        <v>0</v>
      </c>
      <c r="K2251" s="1355">
        <v>4166</v>
      </c>
      <c r="L2251" s="1355" t="s">
        <v>9299</v>
      </c>
    </row>
    <row r="2252" spans="2:12">
      <c r="B2252" s="5" t="s">
        <v>9300</v>
      </c>
      <c r="C2252" s="26" t="s">
        <v>9301</v>
      </c>
      <c r="D2252" s="1347">
        <v>0</v>
      </c>
      <c r="E2252" s="1346">
        <v>0</v>
      </c>
      <c r="F2252" s="611" t="s">
        <v>9302</v>
      </c>
      <c r="G2252" s="1413" t="s">
        <v>2504</v>
      </c>
      <c r="H2252" s="1353">
        <f t="shared" si="393"/>
        <v>0</v>
      </c>
      <c r="I2252" s="1353">
        <f t="shared" si="394"/>
        <v>0</v>
      </c>
      <c r="K2252" s="1355">
        <v>4167</v>
      </c>
      <c r="L2252" s="1355" t="s">
        <v>9303</v>
      </c>
    </row>
    <row r="2253" spans="2:12">
      <c r="B2253" s="5" t="s">
        <v>9304</v>
      </c>
      <c r="C2253" s="26" t="s">
        <v>9305</v>
      </c>
      <c r="D2253" s="1347">
        <v>0</v>
      </c>
      <c r="E2253" s="1346">
        <v>0</v>
      </c>
      <c r="F2253" s="611" t="s">
        <v>9306</v>
      </c>
      <c r="G2253" s="1413" t="s">
        <v>2504</v>
      </c>
      <c r="H2253" s="1353">
        <f t="shared" si="393"/>
        <v>0</v>
      </c>
      <c r="I2253" s="1353">
        <f t="shared" si="394"/>
        <v>0</v>
      </c>
      <c r="K2253" s="1355">
        <v>4168</v>
      </c>
      <c r="L2253" s="1355" t="s">
        <v>9307</v>
      </c>
    </row>
    <row r="2254" spans="2:12">
      <c r="B2254" s="5" t="s">
        <v>9308</v>
      </c>
      <c r="C2254" s="26" t="s">
        <v>9309</v>
      </c>
      <c r="D2254" s="1347">
        <v>0</v>
      </c>
      <c r="E2254" s="1346">
        <v>0</v>
      </c>
      <c r="F2254" s="611" t="s">
        <v>9310</v>
      </c>
      <c r="G2254" s="1413" t="s">
        <v>2504</v>
      </c>
      <c r="H2254" s="1353">
        <f t="shared" si="393"/>
        <v>0</v>
      </c>
      <c r="I2254" s="1353">
        <f t="shared" si="394"/>
        <v>0</v>
      </c>
      <c r="K2254" s="1355">
        <v>4169</v>
      </c>
      <c r="L2254" s="1355" t="s">
        <v>9311</v>
      </c>
    </row>
    <row r="2255" spans="2:12">
      <c r="B2255" s="5" t="s">
        <v>9312</v>
      </c>
      <c r="C2255" s="26" t="s">
        <v>9313</v>
      </c>
      <c r="D2255" s="1347">
        <v>0</v>
      </c>
      <c r="E2255" s="1346">
        <v>0</v>
      </c>
      <c r="F2255" s="611" t="s">
        <v>9314</v>
      </c>
      <c r="G2255" s="1413" t="s">
        <v>2504</v>
      </c>
      <c r="H2255" s="1353">
        <f t="shared" si="393"/>
        <v>0</v>
      </c>
      <c r="I2255" s="1353">
        <f t="shared" si="394"/>
        <v>0</v>
      </c>
      <c r="K2255" s="1355">
        <v>4170</v>
      </c>
      <c r="L2255" s="1355" t="s">
        <v>9315</v>
      </c>
    </row>
    <row r="2256" spans="2:12">
      <c r="B2256" s="5" t="s">
        <v>9316</v>
      </c>
      <c r="C2256" s="26" t="s">
        <v>9317</v>
      </c>
      <c r="D2256" s="1347">
        <v>0</v>
      </c>
      <c r="E2256" s="1346">
        <v>0</v>
      </c>
      <c r="F2256" s="611" t="s">
        <v>9318</v>
      </c>
      <c r="G2256" s="1413" t="s">
        <v>2504</v>
      </c>
      <c r="H2256" s="1353">
        <f t="shared" si="393"/>
        <v>0</v>
      </c>
      <c r="I2256" s="1353">
        <f t="shared" si="394"/>
        <v>0</v>
      </c>
      <c r="K2256" s="1355">
        <v>4171</v>
      </c>
      <c r="L2256" s="1355" t="s">
        <v>9319</v>
      </c>
    </row>
    <row r="2257" spans="1:12">
      <c r="B2257" s="5" t="s">
        <v>9320</v>
      </c>
      <c r="C2257" s="26" t="s">
        <v>9321</v>
      </c>
      <c r="D2257" s="1347">
        <v>0</v>
      </c>
      <c r="E2257" s="1346">
        <v>0</v>
      </c>
      <c r="F2257" s="611" t="s">
        <v>9322</v>
      </c>
      <c r="G2257" s="1413" t="s">
        <v>2504</v>
      </c>
      <c r="H2257" s="1353">
        <f t="shared" si="393"/>
        <v>0</v>
      </c>
      <c r="I2257" s="1353">
        <f t="shared" si="394"/>
        <v>0</v>
      </c>
      <c r="K2257" s="1355">
        <v>4172</v>
      </c>
      <c r="L2257" s="1355" t="s">
        <v>9323</v>
      </c>
    </row>
    <row r="2258" spans="1:12">
      <c r="B2258" s="5" t="s">
        <v>9324</v>
      </c>
      <c r="C2258" s="26" t="s">
        <v>9325</v>
      </c>
      <c r="D2258" s="1347">
        <v>0</v>
      </c>
      <c r="E2258" s="1346">
        <v>0</v>
      </c>
      <c r="F2258" s="611" t="s">
        <v>9326</v>
      </c>
      <c r="G2258" s="1413" t="s">
        <v>2504</v>
      </c>
      <c r="H2258" s="1353">
        <f t="shared" si="393"/>
        <v>0</v>
      </c>
      <c r="I2258" s="1353">
        <f t="shared" si="394"/>
        <v>0</v>
      </c>
      <c r="K2258" s="1355">
        <v>4173</v>
      </c>
      <c r="L2258" s="1355" t="s">
        <v>9327</v>
      </c>
    </row>
    <row r="2259" spans="1:12">
      <c r="B2259" s="5" t="s">
        <v>9328</v>
      </c>
      <c r="C2259" s="26" t="s">
        <v>9329</v>
      </c>
      <c r="D2259" s="1347">
        <v>0</v>
      </c>
      <c r="E2259" s="1346">
        <v>0</v>
      </c>
      <c r="F2259" s="611" t="s">
        <v>9330</v>
      </c>
      <c r="G2259" s="1413" t="s">
        <v>2504</v>
      </c>
      <c r="H2259" s="1353">
        <f t="shared" si="393"/>
        <v>0</v>
      </c>
      <c r="I2259" s="1353">
        <f t="shared" si="394"/>
        <v>0</v>
      </c>
      <c r="K2259" s="1355">
        <v>4174</v>
      </c>
      <c r="L2259" s="1355" t="s">
        <v>9331</v>
      </c>
    </row>
    <row r="2260" spans="1:12">
      <c r="B2260" s="5" t="s">
        <v>9332</v>
      </c>
      <c r="C2260" s="26" t="s">
        <v>9333</v>
      </c>
      <c r="D2260" s="1347">
        <v>0</v>
      </c>
      <c r="E2260" s="1346">
        <v>0</v>
      </c>
      <c r="F2260" s="611" t="s">
        <v>9334</v>
      </c>
      <c r="G2260" s="1413" t="s">
        <v>2504</v>
      </c>
      <c r="H2260" s="1353">
        <f>M1503-M1515</f>
        <v>0</v>
      </c>
      <c r="I2260" s="1353">
        <f>N1503-N1515</f>
        <v>0</v>
      </c>
      <c r="K2260" s="1355">
        <v>4175</v>
      </c>
      <c r="L2260" s="1355" t="s">
        <v>9335</v>
      </c>
    </row>
    <row r="2261" spans="1:12">
      <c r="B2261" s="5" t="s">
        <v>9336</v>
      </c>
      <c r="C2261" s="26" t="s">
        <v>9337</v>
      </c>
      <c r="D2261" s="1347">
        <v>0</v>
      </c>
      <c r="E2261" s="1346">
        <v>0</v>
      </c>
      <c r="F2261" s="611" t="s">
        <v>9338</v>
      </c>
      <c r="G2261" s="1413" t="s">
        <v>2504</v>
      </c>
      <c r="H2261" s="1353">
        <f>M1504-M1516</f>
        <v>0</v>
      </c>
      <c r="I2261" s="1353">
        <f>N1504-N1516</f>
        <v>0</v>
      </c>
      <c r="K2261" s="1355">
        <v>4176</v>
      </c>
      <c r="L2261" s="1355" t="s">
        <v>9339</v>
      </c>
    </row>
    <row r="2262" spans="1:12">
      <c r="B2262" s="5" t="s">
        <v>9340</v>
      </c>
      <c r="C2262" s="26" t="s">
        <v>9341</v>
      </c>
      <c r="D2262" s="1347">
        <v>0</v>
      </c>
      <c r="E2262" s="1346">
        <v>0</v>
      </c>
      <c r="F2262" s="611" t="s">
        <v>9342</v>
      </c>
      <c r="G2262" s="1413" t="s">
        <v>2504</v>
      </c>
      <c r="H2262" s="1353">
        <f>M1506-M1518</f>
        <v>0</v>
      </c>
      <c r="I2262" s="1353">
        <f>N1506-N1518</f>
        <v>0</v>
      </c>
      <c r="K2262" s="1355">
        <v>4177</v>
      </c>
      <c r="L2262" s="1355" t="s">
        <v>9343</v>
      </c>
    </row>
    <row r="2263" spans="1:12">
      <c r="B2263" s="5" t="s">
        <v>9344</v>
      </c>
      <c r="C2263" s="26" t="s">
        <v>9345</v>
      </c>
      <c r="D2263" s="1347">
        <v>0</v>
      </c>
      <c r="E2263" s="1346">
        <v>0</v>
      </c>
      <c r="F2263" s="611" t="s">
        <v>9346</v>
      </c>
      <c r="G2263" s="1391">
        <v>1544</v>
      </c>
      <c r="H2263" s="1353">
        <f>M1519</f>
        <v>0</v>
      </c>
      <c r="I2263" s="1353">
        <f>N1519</f>
        <v>0</v>
      </c>
      <c r="K2263" s="1355">
        <v>4178</v>
      </c>
      <c r="L2263" s="1355" t="s">
        <v>9347</v>
      </c>
    </row>
    <row r="2264" spans="1:12">
      <c r="B2264" s="1074" t="s">
        <v>9348</v>
      </c>
      <c r="C2264" s="1097">
        <v>445</v>
      </c>
      <c r="D2264" s="1347">
        <v>0</v>
      </c>
      <c r="E2264" s="1346">
        <v>0</v>
      </c>
      <c r="F2264" s="611" t="s">
        <v>9349</v>
      </c>
      <c r="G2264" s="1391">
        <v>514</v>
      </c>
      <c r="H2264" s="611">
        <f>M514</f>
        <v>0</v>
      </c>
      <c r="I2264" s="611">
        <f>N514</f>
        <v>0</v>
      </c>
      <c r="K2264" s="1355">
        <v>4179</v>
      </c>
      <c r="L2264" s="1355" t="s">
        <v>9350</v>
      </c>
    </row>
    <row r="2265" spans="1:12">
      <c r="B2265" s="1074" t="s">
        <v>9351</v>
      </c>
      <c r="C2265" s="1097">
        <v>645</v>
      </c>
      <c r="D2265" s="1347">
        <v>0</v>
      </c>
      <c r="E2265" s="1346">
        <v>0</v>
      </c>
      <c r="F2265" s="611" t="s">
        <v>9352</v>
      </c>
      <c r="G2265" s="1413" t="s">
        <v>2504</v>
      </c>
      <c r="H2265" s="611">
        <f>M514-M524</f>
        <v>0</v>
      </c>
      <c r="I2265" s="611">
        <f>N514-N524</f>
        <v>0</v>
      </c>
      <c r="K2265" s="1355">
        <v>4180</v>
      </c>
      <c r="L2265" s="1355" t="s">
        <v>9353</v>
      </c>
    </row>
    <row r="2266" spans="1:12">
      <c r="A2266" s="611" t="s">
        <v>9354</v>
      </c>
      <c r="B2266" s="1074" t="s">
        <v>5293</v>
      </c>
      <c r="C2266" s="26" t="s">
        <v>691</v>
      </c>
      <c r="D2266" s="1347">
        <v>0</v>
      </c>
      <c r="E2266" s="1346">
        <v>0</v>
      </c>
      <c r="F2266" s="611" t="s">
        <v>6721</v>
      </c>
      <c r="G2266" s="1408">
        <v>1545</v>
      </c>
      <c r="H2266" s="1353">
        <f>M1520</f>
        <v>0</v>
      </c>
      <c r="I2266" s="1353">
        <f>N1520</f>
        <v>0</v>
      </c>
      <c r="K2266" s="1355">
        <v>4181</v>
      </c>
      <c r="L2266" s="1355" t="s">
        <v>9355</v>
      </c>
    </row>
    <row r="2267" spans="1:12">
      <c r="B2267" s="5" t="s">
        <v>9356</v>
      </c>
      <c r="C2267" s="26" t="s">
        <v>694</v>
      </c>
      <c r="D2267" s="1347">
        <v>62171</v>
      </c>
      <c r="E2267" s="1346">
        <v>423573</v>
      </c>
      <c r="F2267" s="611" t="s">
        <v>6725</v>
      </c>
      <c r="G2267" s="1408">
        <v>1546</v>
      </c>
      <c r="H2267" s="1353">
        <f>M1521</f>
        <v>0</v>
      </c>
      <c r="I2267" s="1353">
        <f>N1521</f>
        <v>0</v>
      </c>
      <c r="K2267" s="1355">
        <v>4182</v>
      </c>
      <c r="L2267" s="1355" t="s">
        <v>9357</v>
      </c>
    </row>
    <row r="2268" spans="1:12">
      <c r="B2268" s="5" t="s">
        <v>9358</v>
      </c>
      <c r="C2268" s="26">
        <v>448</v>
      </c>
      <c r="D2268" s="1347">
        <v>1913477</v>
      </c>
      <c r="E2268" s="1346">
        <v>6876504</v>
      </c>
      <c r="F2268" s="611" t="s">
        <v>6741</v>
      </c>
      <c r="G2268" s="1408">
        <v>1550</v>
      </c>
      <c r="H2268" s="1353">
        <f>M1525</f>
        <v>0</v>
      </c>
      <c r="I2268" s="1353">
        <f>N1525</f>
        <v>0</v>
      </c>
      <c r="K2268" s="1355">
        <v>4183</v>
      </c>
      <c r="L2268" s="1355" t="s">
        <v>9359</v>
      </c>
    </row>
    <row r="2269" spans="1:12">
      <c r="B2269" s="1074" t="s">
        <v>5302</v>
      </c>
      <c r="C2269" s="26" t="s">
        <v>700</v>
      </c>
      <c r="D2269" s="1347">
        <v>0</v>
      </c>
      <c r="E2269" s="1346">
        <v>0</v>
      </c>
      <c r="F2269" s="611" t="s">
        <v>6729</v>
      </c>
      <c r="G2269" s="1408">
        <v>1547</v>
      </c>
      <c r="H2269" s="1353">
        <f>M1522</f>
        <v>0</v>
      </c>
      <c r="I2269" s="1353">
        <f>N1522</f>
        <v>0</v>
      </c>
      <c r="K2269" s="1355">
        <v>4184</v>
      </c>
      <c r="L2269" s="1355" t="s">
        <v>9360</v>
      </c>
    </row>
    <row r="2270" spans="1:12">
      <c r="B2270" s="5" t="s">
        <v>9361</v>
      </c>
      <c r="C2270" s="26" t="s">
        <v>703</v>
      </c>
      <c r="D2270" s="1347">
        <v>231998</v>
      </c>
      <c r="E2270" s="1346">
        <v>955545</v>
      </c>
      <c r="F2270" s="611" t="s">
        <v>6733</v>
      </c>
      <c r="G2270" s="1408">
        <v>1548</v>
      </c>
      <c r="H2270" s="1353">
        <f>M1523</f>
        <v>0</v>
      </c>
      <c r="I2270" s="1353">
        <f>N1523</f>
        <v>0</v>
      </c>
      <c r="K2270" s="1355">
        <v>4185</v>
      </c>
      <c r="L2270" s="1355" t="s">
        <v>9362</v>
      </c>
    </row>
    <row r="2271" spans="1:12">
      <c r="B2271" s="5" t="s">
        <v>9363</v>
      </c>
      <c r="C2271" s="26">
        <v>452</v>
      </c>
      <c r="D2271" s="1347">
        <v>1216537</v>
      </c>
      <c r="E2271" s="1346">
        <v>1350838</v>
      </c>
      <c r="F2271" s="611" t="s">
        <v>6749</v>
      </c>
      <c r="G2271" s="1408">
        <v>1552</v>
      </c>
      <c r="H2271" s="1353">
        <f>M1527</f>
        <v>0</v>
      </c>
      <c r="I2271" s="1353">
        <f>N1527</f>
        <v>0</v>
      </c>
      <c r="K2271" s="1355">
        <v>4186</v>
      </c>
      <c r="L2271" s="1355" t="s">
        <v>9364</v>
      </c>
    </row>
    <row r="2272" spans="1:12">
      <c r="B2272" s="5" t="s">
        <v>9365</v>
      </c>
      <c r="C2272" s="26">
        <v>456</v>
      </c>
      <c r="D2272" s="1347">
        <v>1998853</v>
      </c>
      <c r="E2272" s="1346">
        <v>6952190</v>
      </c>
      <c r="F2272" s="611" t="s">
        <v>6761</v>
      </c>
      <c r="G2272" s="1408">
        <v>1555</v>
      </c>
      <c r="H2272" s="1353">
        <f>M1530</f>
        <v>0</v>
      </c>
      <c r="I2272" s="1353">
        <f>N1530</f>
        <v>0</v>
      </c>
      <c r="K2272" s="1355">
        <v>4187</v>
      </c>
      <c r="L2272" s="1355" t="s">
        <v>9366</v>
      </c>
    </row>
    <row r="2273" spans="1:13">
      <c r="A2273" s="611" t="s">
        <v>9367</v>
      </c>
      <c r="B2273" s="1074" t="s">
        <v>5293</v>
      </c>
      <c r="C2273" s="26" t="s">
        <v>9368</v>
      </c>
      <c r="D2273" s="1347">
        <v>0</v>
      </c>
      <c r="E2273" s="1346">
        <v>0</v>
      </c>
      <c r="F2273" s="611" t="s">
        <v>9369</v>
      </c>
      <c r="G2273" s="1413" t="s">
        <v>2504</v>
      </c>
      <c r="H2273" s="1353">
        <f>M1520-M1534</f>
        <v>0</v>
      </c>
      <c r="I2273" s="1353">
        <f>N1520-N1534</f>
        <v>0</v>
      </c>
      <c r="K2273" s="1355">
        <v>4188</v>
      </c>
      <c r="L2273" s="1355" t="s">
        <v>9370</v>
      </c>
    </row>
    <row r="2274" spans="1:13">
      <c r="B2274" s="5" t="s">
        <v>9371</v>
      </c>
      <c r="C2274" s="26" t="s">
        <v>9372</v>
      </c>
      <c r="D2274" s="1347">
        <v>51396</v>
      </c>
      <c r="E2274" s="1346">
        <v>378871</v>
      </c>
      <c r="F2274" s="611" t="s">
        <v>9373</v>
      </c>
      <c r="G2274" s="1413" t="s">
        <v>2504</v>
      </c>
      <c r="H2274" s="1353">
        <f>M1521-M1535</f>
        <v>0</v>
      </c>
      <c r="I2274" s="1353">
        <f>N1521-N1535</f>
        <v>0</v>
      </c>
      <c r="K2274" s="1355">
        <v>4189</v>
      </c>
      <c r="L2274" s="1355" t="s">
        <v>9374</v>
      </c>
    </row>
    <row r="2275" spans="1:13">
      <c r="B2275" s="1074" t="s">
        <v>9375</v>
      </c>
      <c r="C2275" s="26" t="s">
        <v>9376</v>
      </c>
      <c r="D2275" s="1347">
        <v>0</v>
      </c>
      <c r="E2275" s="1346">
        <v>0</v>
      </c>
      <c r="F2275" s="611" t="s">
        <v>9377</v>
      </c>
      <c r="G2275" s="1391">
        <v>294</v>
      </c>
      <c r="H2275" s="1353">
        <f>M281</f>
        <v>0</v>
      </c>
      <c r="I2275" s="1353">
        <f>N281</f>
        <v>0</v>
      </c>
      <c r="K2275" s="1355">
        <v>4190</v>
      </c>
      <c r="L2275" s="1355" t="s">
        <v>9378</v>
      </c>
    </row>
    <row r="2276" spans="1:13">
      <c r="B2276" s="5" t="s">
        <v>9379</v>
      </c>
      <c r="C2276" s="26" t="s">
        <v>9380</v>
      </c>
      <c r="D2276" s="1347">
        <v>3295</v>
      </c>
      <c r="E2276" s="1346">
        <v>22312</v>
      </c>
      <c r="F2276" s="611" t="s">
        <v>9381</v>
      </c>
      <c r="G2276" s="1391">
        <v>295</v>
      </c>
      <c r="H2276" s="1353">
        <f>M282</f>
        <v>0</v>
      </c>
      <c r="I2276" s="1353">
        <f>N282</f>
        <v>0</v>
      </c>
      <c r="K2276" s="1355">
        <v>4191</v>
      </c>
      <c r="L2276" s="1355" t="s">
        <v>9382</v>
      </c>
    </row>
    <row r="2277" spans="1:13">
      <c r="B2277" s="5" t="s">
        <v>9383</v>
      </c>
      <c r="C2277" s="26">
        <v>648</v>
      </c>
      <c r="D2277" s="1347">
        <v>1861517</v>
      </c>
      <c r="E2277" s="1346">
        <v>6615573</v>
      </c>
      <c r="F2277" s="611" t="s">
        <v>9384</v>
      </c>
      <c r="G2277" s="1413" t="s">
        <v>2504</v>
      </c>
      <c r="H2277" s="1353">
        <f>M1525-M1539</f>
        <v>0</v>
      </c>
      <c r="I2277" s="1353">
        <f>N1525-N1539</f>
        <v>0</v>
      </c>
      <c r="K2277" s="1355">
        <v>4192</v>
      </c>
      <c r="L2277" s="1355" t="s">
        <v>9385</v>
      </c>
    </row>
    <row r="2278" spans="1:13">
      <c r="B2278" s="5" t="s">
        <v>9386</v>
      </c>
      <c r="C2278" s="26">
        <v>649</v>
      </c>
      <c r="D2278" s="1347">
        <v>0</v>
      </c>
      <c r="E2278" s="1346">
        <v>0</v>
      </c>
      <c r="F2278" s="611" t="s">
        <v>9387</v>
      </c>
      <c r="G2278" s="1413" t="s">
        <v>2504</v>
      </c>
      <c r="H2278" s="1353">
        <f>(M1540)*-1</f>
        <v>0</v>
      </c>
      <c r="I2278" s="1353">
        <f>(N1540)*-1</f>
        <v>0</v>
      </c>
      <c r="K2278" s="1355">
        <v>4193</v>
      </c>
      <c r="L2278" s="1355" t="s">
        <v>9388</v>
      </c>
    </row>
    <row r="2279" spans="1:13">
      <c r="B2279" s="1074" t="s">
        <v>5302</v>
      </c>
      <c r="C2279" s="26" t="s">
        <v>9389</v>
      </c>
      <c r="D2279" s="1347">
        <v>0</v>
      </c>
      <c r="E2279" s="1346">
        <v>0</v>
      </c>
      <c r="F2279" s="611" t="s">
        <v>9390</v>
      </c>
      <c r="G2279" s="1413" t="s">
        <v>2504</v>
      </c>
      <c r="H2279" s="1353">
        <f>M1522-M1536</f>
        <v>0</v>
      </c>
      <c r="I2279" s="1353">
        <f>N1522-N1536</f>
        <v>0</v>
      </c>
      <c r="K2279" s="1355">
        <v>4194</v>
      </c>
      <c r="L2279" s="1355" t="s">
        <v>9391</v>
      </c>
    </row>
    <row r="2280" spans="1:13">
      <c r="B2280" s="5" t="s">
        <v>9392</v>
      </c>
      <c r="C2280" s="26" t="s">
        <v>9393</v>
      </c>
      <c r="D2280" s="1347">
        <v>207346</v>
      </c>
      <c r="E2280" s="1346">
        <v>865630</v>
      </c>
      <c r="F2280" s="611" t="s">
        <v>9394</v>
      </c>
      <c r="G2280" s="1413" t="s">
        <v>2504</v>
      </c>
      <c r="H2280" s="1353">
        <f>M1523-M1537</f>
        <v>0</v>
      </c>
      <c r="I2280" s="1353">
        <f>N1523-N1537</f>
        <v>0</v>
      </c>
      <c r="K2280" s="1355">
        <v>4195</v>
      </c>
      <c r="L2280" s="1355" t="s">
        <v>9395</v>
      </c>
    </row>
    <row r="2281" spans="1:13">
      <c r="B2281" s="1074" t="s">
        <v>9396</v>
      </c>
      <c r="C2281" s="26" t="s">
        <v>9397</v>
      </c>
      <c r="D2281" s="1347">
        <v>0</v>
      </c>
      <c r="E2281" s="1346">
        <v>0</v>
      </c>
      <c r="F2281" s="611" t="s">
        <v>9398</v>
      </c>
      <c r="G2281" s="1391">
        <v>298</v>
      </c>
      <c r="H2281" s="1353">
        <f>M285</f>
        <v>0</v>
      </c>
      <c r="I2281" s="1353">
        <f>N285</f>
        <v>0</v>
      </c>
      <c r="K2281" s="1355">
        <v>4196</v>
      </c>
      <c r="L2281" s="1355" t="s">
        <v>9399</v>
      </c>
    </row>
    <row r="2282" spans="1:13">
      <c r="B2282" s="5" t="s">
        <v>9400</v>
      </c>
      <c r="C2282" s="26" t="s">
        <v>9401</v>
      </c>
      <c r="D2282" s="1347">
        <v>9017</v>
      </c>
      <c r="E2282" s="1346">
        <v>35124</v>
      </c>
      <c r="F2282" s="611" t="s">
        <v>9402</v>
      </c>
      <c r="G2282" s="1391">
        <v>299</v>
      </c>
      <c r="H2282" s="1353">
        <f>M286</f>
        <v>0</v>
      </c>
      <c r="I2282" s="1353">
        <f>N286</f>
        <v>0</v>
      </c>
      <c r="K2282" s="1355">
        <v>4197</v>
      </c>
      <c r="L2282" s="1355" t="s">
        <v>9403</v>
      </c>
    </row>
    <row r="2283" spans="1:13">
      <c r="B2283" s="5" t="s">
        <v>9404</v>
      </c>
      <c r="C2283" s="26">
        <v>652</v>
      </c>
      <c r="D2283" s="1347">
        <v>1190830</v>
      </c>
      <c r="E2283" s="1346">
        <v>1320432</v>
      </c>
      <c r="F2283" s="611" t="s">
        <v>9405</v>
      </c>
      <c r="G2283" s="1413" t="s">
        <v>2504</v>
      </c>
      <c r="H2283" s="1353">
        <f>M1527-M1541</f>
        <v>0</v>
      </c>
      <c r="I2283" s="1353">
        <f>N1527-N1541</f>
        <v>0</v>
      </c>
      <c r="K2283" s="1355">
        <v>4198</v>
      </c>
      <c r="L2283" s="1355" t="s">
        <v>9406</v>
      </c>
    </row>
    <row r="2284" spans="1:13">
      <c r="B2284" s="5" t="s">
        <v>9407</v>
      </c>
      <c r="C2284" s="26">
        <v>653</v>
      </c>
      <c r="D2284" s="1347">
        <v>0</v>
      </c>
      <c r="E2284" s="1346">
        <v>0</v>
      </c>
      <c r="F2284" s="611" t="s">
        <v>9408</v>
      </c>
      <c r="G2284" s="1413" t="s">
        <v>2504</v>
      </c>
      <c r="H2284" s="1353">
        <f>(M1542)*-1</f>
        <v>0</v>
      </c>
      <c r="I2284" s="1353">
        <f>(N1542)*-1</f>
        <v>0</v>
      </c>
      <c r="K2284" s="1355">
        <v>4199</v>
      </c>
      <c r="L2284" s="1355" t="s">
        <v>9409</v>
      </c>
    </row>
    <row r="2285" spans="1:13">
      <c r="B2285" s="5" t="s">
        <v>9410</v>
      </c>
      <c r="C2285" s="26">
        <v>656</v>
      </c>
      <c r="D2285" s="1347">
        <v>1878277</v>
      </c>
      <c r="E2285" s="1346">
        <v>6528915</v>
      </c>
      <c r="F2285" s="611" t="s">
        <v>9411</v>
      </c>
      <c r="G2285" s="1413" t="s">
        <v>2504</v>
      </c>
      <c r="H2285" s="1353">
        <f>M1530-M1544</f>
        <v>0</v>
      </c>
      <c r="I2285" s="1353">
        <f>N1530-N1544</f>
        <v>0</v>
      </c>
      <c r="K2285" s="1355">
        <v>4200</v>
      </c>
      <c r="L2285" s="1355" t="s">
        <v>9412</v>
      </c>
    </row>
    <row r="2286" spans="1:13">
      <c r="B2286" s="5" t="s">
        <v>9413</v>
      </c>
      <c r="C2286" s="26" t="s">
        <v>9414</v>
      </c>
      <c r="D2286" s="1347">
        <v>221358</v>
      </c>
      <c r="E2286" s="1346">
        <v>791793</v>
      </c>
      <c r="F2286" s="611" t="s">
        <v>5347</v>
      </c>
      <c r="G2286" s="1408">
        <v>971</v>
      </c>
      <c r="H2286" s="1353">
        <f>M947</f>
        <v>0</v>
      </c>
      <c r="I2286" s="1353">
        <f>N947</f>
        <v>0</v>
      </c>
      <c r="K2286" s="1355">
        <v>4201</v>
      </c>
      <c r="L2286" s="1355" t="s">
        <v>9415</v>
      </c>
      <c r="M2286" s="1359"/>
    </row>
    <row r="2287" spans="1:13">
      <c r="A2287" s="611" t="s">
        <v>9416</v>
      </c>
      <c r="B2287" s="5" t="s">
        <v>9417</v>
      </c>
      <c r="C2287" s="26" t="s">
        <v>725</v>
      </c>
      <c r="D2287" s="1347">
        <v>53150</v>
      </c>
      <c r="E2287" s="1346">
        <v>169451</v>
      </c>
      <c r="F2287" s="4" t="s">
        <v>6819</v>
      </c>
      <c r="G2287" s="2403">
        <v>1576</v>
      </c>
      <c r="H2287" s="1353">
        <f>M1548</f>
        <v>0</v>
      </c>
      <c r="I2287" s="1353">
        <f>N1548</f>
        <v>0</v>
      </c>
      <c r="K2287" s="1355">
        <v>4202</v>
      </c>
      <c r="L2287" s="1355" t="s">
        <v>9418</v>
      </c>
      <c r="M2287" s="1359"/>
    </row>
    <row r="2288" spans="1:13">
      <c r="B2288" s="5" t="s">
        <v>9419</v>
      </c>
      <c r="C2288" s="26" t="s">
        <v>727</v>
      </c>
      <c r="D2288" s="1347">
        <v>0</v>
      </c>
      <c r="E2288" s="1346">
        <v>0</v>
      </c>
      <c r="F2288" s="4" t="s">
        <v>9420</v>
      </c>
      <c r="G2288" s="2403">
        <v>100229</v>
      </c>
      <c r="H2288" s="1353">
        <f>M2739</f>
        <v>0</v>
      </c>
      <c r="I2288" s="1353">
        <f>N2739</f>
        <v>0</v>
      </c>
      <c r="K2288" s="1355">
        <v>4203</v>
      </c>
      <c r="L2288" s="1355" t="s">
        <v>9421</v>
      </c>
      <c r="M2288" s="1360"/>
    </row>
    <row r="2289" spans="1:13">
      <c r="B2289" s="5" t="s">
        <v>9422</v>
      </c>
      <c r="C2289" s="26" t="s">
        <v>729</v>
      </c>
      <c r="D2289" s="1347">
        <v>0</v>
      </c>
      <c r="E2289" s="1346">
        <v>0</v>
      </c>
      <c r="F2289" s="4" t="s">
        <v>6822</v>
      </c>
      <c r="G2289" s="2403">
        <v>1577</v>
      </c>
      <c r="H2289" s="1353">
        <f>M1549</f>
        <v>0</v>
      </c>
      <c r="I2289" s="1353">
        <f>N1549</f>
        <v>0</v>
      </c>
      <c r="K2289" s="1355">
        <v>4204</v>
      </c>
      <c r="L2289" s="1355" t="s">
        <v>9423</v>
      </c>
      <c r="M2289" s="1360"/>
    </row>
    <row r="2290" spans="1:13">
      <c r="B2290" s="5" t="s">
        <v>9424</v>
      </c>
      <c r="C2290" s="26" t="s">
        <v>731</v>
      </c>
      <c r="D2290" s="1347">
        <v>0</v>
      </c>
      <c r="E2290" s="1346">
        <v>0</v>
      </c>
      <c r="F2290" s="4" t="s">
        <v>9425</v>
      </c>
      <c r="G2290" s="2403">
        <v>100233</v>
      </c>
      <c r="H2290" s="1353">
        <f>M2743</f>
        <v>0</v>
      </c>
      <c r="I2290" s="1353">
        <f>N2743</f>
        <v>0</v>
      </c>
      <c r="K2290" s="1355">
        <v>4205</v>
      </c>
      <c r="L2290" s="1355" t="s">
        <v>9426</v>
      </c>
      <c r="M2290" s="1360"/>
    </row>
    <row r="2291" spans="1:13">
      <c r="B2291" s="5" t="s">
        <v>9427</v>
      </c>
      <c r="C2291" s="26" t="s">
        <v>733</v>
      </c>
      <c r="D2291" s="1347">
        <v>0</v>
      </c>
      <c r="E2291" s="1346">
        <v>0</v>
      </c>
      <c r="F2291" s="4" t="s">
        <v>6825</v>
      </c>
      <c r="G2291" s="2403">
        <v>1578</v>
      </c>
      <c r="H2291" s="1353">
        <f>M1550</f>
        <v>0</v>
      </c>
      <c r="I2291" s="1353">
        <f>N1550</f>
        <v>0</v>
      </c>
      <c r="K2291" s="1355">
        <v>4206</v>
      </c>
      <c r="L2291" s="1355" t="s">
        <v>9428</v>
      </c>
      <c r="M2291" s="1360"/>
    </row>
    <row r="2292" spans="1:13">
      <c r="B2292" s="5" t="s">
        <v>9429</v>
      </c>
      <c r="C2292" s="26" t="s">
        <v>735</v>
      </c>
      <c r="D2292" s="1347">
        <v>0</v>
      </c>
      <c r="E2292" s="1346">
        <v>0</v>
      </c>
      <c r="F2292" s="4" t="s">
        <v>9430</v>
      </c>
      <c r="G2292" s="2403">
        <v>99616</v>
      </c>
      <c r="H2292" s="1353">
        <f>M2747</f>
        <v>0</v>
      </c>
      <c r="I2292" s="1353">
        <f>N2747</f>
        <v>0</v>
      </c>
      <c r="K2292" s="1355">
        <v>4207</v>
      </c>
      <c r="L2292" s="1355" t="s">
        <v>9431</v>
      </c>
      <c r="M2292" s="1360"/>
    </row>
    <row r="2293" spans="1:13">
      <c r="B2293" s="5" t="s">
        <v>9432</v>
      </c>
      <c r="C2293" s="26" t="s">
        <v>737</v>
      </c>
      <c r="D2293" s="1347">
        <v>0</v>
      </c>
      <c r="E2293" s="1346">
        <v>0</v>
      </c>
      <c r="F2293" s="4" t="s">
        <v>9433</v>
      </c>
      <c r="G2293" s="2403">
        <v>100238</v>
      </c>
      <c r="H2293" s="1353">
        <f>M2751</f>
        <v>0</v>
      </c>
      <c r="I2293" s="1353">
        <f>N2751</f>
        <v>0</v>
      </c>
      <c r="K2293" s="1355">
        <v>4208</v>
      </c>
      <c r="L2293" s="1355" t="s">
        <v>9434</v>
      </c>
      <c r="M2293" s="1360"/>
    </row>
    <row r="2294" spans="1:13">
      <c r="B2294" s="1075" t="s">
        <v>9435</v>
      </c>
      <c r="C2294" s="26" t="s">
        <v>740</v>
      </c>
      <c r="D2294" s="1347">
        <v>0</v>
      </c>
      <c r="E2294" s="1346">
        <v>0</v>
      </c>
      <c r="F2294" s="4" t="s">
        <v>6828</v>
      </c>
      <c r="G2294" s="2403">
        <v>1579</v>
      </c>
      <c r="H2294" s="1353">
        <f>M1551</f>
        <v>0</v>
      </c>
      <c r="I2294" s="1353">
        <f>N1551</f>
        <v>0</v>
      </c>
      <c r="K2294" s="1355">
        <v>4209</v>
      </c>
      <c r="L2294" s="1355" t="s">
        <v>9436</v>
      </c>
      <c r="M2294" s="1360"/>
    </row>
    <row r="2295" spans="1:13">
      <c r="B2295" s="1075" t="s">
        <v>9437</v>
      </c>
      <c r="C2295" s="26" t="s">
        <v>742</v>
      </c>
      <c r="D2295" s="1347">
        <v>0</v>
      </c>
      <c r="E2295" s="1346">
        <v>0</v>
      </c>
      <c r="F2295" s="4" t="s">
        <v>9438</v>
      </c>
      <c r="G2295" s="2403">
        <v>100242</v>
      </c>
      <c r="H2295" s="1353">
        <f>M2755</f>
        <v>0</v>
      </c>
      <c r="I2295" s="1353">
        <f>N2755</f>
        <v>0</v>
      </c>
      <c r="K2295" s="1355">
        <v>4210</v>
      </c>
      <c r="L2295" s="1355" t="s">
        <v>9439</v>
      </c>
      <c r="M2295" s="1360"/>
    </row>
    <row r="2296" spans="1:13">
      <c r="B2296" s="1075" t="s">
        <v>9440</v>
      </c>
      <c r="C2296" s="26" t="s">
        <v>744</v>
      </c>
      <c r="D2296" s="1347">
        <v>0</v>
      </c>
      <c r="E2296" s="1346">
        <v>0</v>
      </c>
      <c r="F2296" s="4" t="s">
        <v>6831</v>
      </c>
      <c r="G2296" s="2403">
        <v>1580</v>
      </c>
      <c r="H2296" s="1353">
        <f>M1552</f>
        <v>0</v>
      </c>
      <c r="I2296" s="1353">
        <f>N1552</f>
        <v>0</v>
      </c>
      <c r="K2296" s="1355">
        <v>4211</v>
      </c>
      <c r="L2296" s="1355" t="s">
        <v>9441</v>
      </c>
      <c r="M2296" s="1360"/>
    </row>
    <row r="2297" spans="1:13">
      <c r="B2297" s="1075" t="s">
        <v>9442</v>
      </c>
      <c r="C2297" s="26" t="s">
        <v>747</v>
      </c>
      <c r="D2297" s="1347">
        <v>0</v>
      </c>
      <c r="E2297" s="1346">
        <v>0</v>
      </c>
      <c r="F2297" s="4" t="s">
        <v>9443</v>
      </c>
      <c r="G2297" s="2403">
        <v>100246</v>
      </c>
      <c r="H2297" s="1353">
        <f>M2759</f>
        <v>0</v>
      </c>
      <c r="I2297" s="1353">
        <f>N2759</f>
        <v>0</v>
      </c>
      <c r="K2297" s="1355">
        <v>4212</v>
      </c>
      <c r="L2297" s="1355" t="s">
        <v>9444</v>
      </c>
      <c r="M2297" s="1360"/>
    </row>
    <row r="2298" spans="1:13">
      <c r="B2298" s="1075" t="s">
        <v>9445</v>
      </c>
      <c r="C2298" s="26" t="s">
        <v>749</v>
      </c>
      <c r="D2298" s="1347">
        <v>0</v>
      </c>
      <c r="E2298" s="1346">
        <v>0</v>
      </c>
      <c r="F2298" s="4" t="s">
        <v>6834</v>
      </c>
      <c r="G2298" s="2403">
        <v>1581</v>
      </c>
      <c r="H2298" s="1353">
        <f t="shared" ref="H2298:I2301" si="395">M1553</f>
        <v>0</v>
      </c>
      <c r="I2298" s="1353">
        <f t="shared" si="395"/>
        <v>0</v>
      </c>
      <c r="K2298" s="1355">
        <v>4213</v>
      </c>
      <c r="L2298" s="1355" t="s">
        <v>9446</v>
      </c>
      <c r="M2298" s="1360"/>
    </row>
    <row r="2299" spans="1:13">
      <c r="B2299" s="5" t="s">
        <v>9447</v>
      </c>
      <c r="C2299" s="26">
        <v>462</v>
      </c>
      <c r="D2299" s="1347">
        <v>30570</v>
      </c>
      <c r="E2299" s="1346">
        <v>98951</v>
      </c>
      <c r="F2299" s="611" t="s">
        <v>6838</v>
      </c>
      <c r="G2299" s="1408">
        <v>1582</v>
      </c>
      <c r="H2299" s="1353">
        <f t="shared" si="395"/>
        <v>0</v>
      </c>
      <c r="I2299" s="1353">
        <f t="shared" si="395"/>
        <v>0</v>
      </c>
      <c r="K2299" s="1355">
        <v>4214</v>
      </c>
      <c r="L2299" s="1355" t="s">
        <v>9448</v>
      </c>
      <c r="M2299" s="1360"/>
    </row>
    <row r="2300" spans="1:13">
      <c r="B2300" s="5" t="s">
        <v>9449</v>
      </c>
      <c r="C2300" s="26">
        <v>463</v>
      </c>
      <c r="D2300" s="1347">
        <v>49243</v>
      </c>
      <c r="E2300" s="1346">
        <v>182492</v>
      </c>
      <c r="F2300" s="611" t="s">
        <v>6841</v>
      </c>
      <c r="G2300" s="1408">
        <v>1583</v>
      </c>
      <c r="H2300" s="1353">
        <f t="shared" si="395"/>
        <v>0</v>
      </c>
      <c r="I2300" s="1353">
        <f t="shared" si="395"/>
        <v>0</v>
      </c>
      <c r="K2300" s="1355">
        <v>4215</v>
      </c>
      <c r="L2300" s="1355" t="s">
        <v>9450</v>
      </c>
      <c r="M2300" s="1360"/>
    </row>
    <row r="2301" spans="1:13">
      <c r="B2301" s="5" t="s">
        <v>9451</v>
      </c>
      <c r="C2301" s="26">
        <v>464</v>
      </c>
      <c r="D2301" s="1347">
        <v>0</v>
      </c>
      <c r="E2301" s="1346">
        <v>0</v>
      </c>
      <c r="F2301" s="611" t="s">
        <v>6844</v>
      </c>
      <c r="G2301" s="1408">
        <v>1584</v>
      </c>
      <c r="H2301" s="1353">
        <f t="shared" si="395"/>
        <v>0</v>
      </c>
      <c r="I2301" s="1353">
        <f t="shared" si="395"/>
        <v>0</v>
      </c>
      <c r="K2301" s="1355">
        <v>4216</v>
      </c>
      <c r="L2301" s="1355" t="s">
        <v>9452</v>
      </c>
      <c r="M2301" s="1360"/>
    </row>
    <row r="2302" spans="1:13">
      <c r="B2302" s="5" t="s">
        <v>9453</v>
      </c>
      <c r="C2302" s="26">
        <v>469</v>
      </c>
      <c r="D2302" s="1347">
        <v>1931</v>
      </c>
      <c r="E2302" s="1346">
        <v>7349</v>
      </c>
      <c r="F2302" s="611" t="s">
        <v>6850</v>
      </c>
      <c r="G2302" s="1408">
        <v>1586</v>
      </c>
      <c r="H2302" s="1353">
        <f t="shared" ref="H2302:I2307" si="396">M1558</f>
        <v>0</v>
      </c>
      <c r="I2302" s="1353">
        <f t="shared" si="396"/>
        <v>0</v>
      </c>
      <c r="K2302" s="1355">
        <v>4217</v>
      </c>
      <c r="L2302" s="1355" t="s">
        <v>9454</v>
      </c>
      <c r="M2302" s="1360"/>
    </row>
    <row r="2303" spans="1:13">
      <c r="B2303" s="5" t="s">
        <v>9455</v>
      </c>
      <c r="C2303" s="26">
        <v>466</v>
      </c>
      <c r="D2303" s="1347">
        <v>6838</v>
      </c>
      <c r="E2303" s="1346">
        <v>24840</v>
      </c>
      <c r="F2303" s="611" t="s">
        <v>6853</v>
      </c>
      <c r="G2303" s="1408">
        <v>1587</v>
      </c>
      <c r="H2303" s="1353">
        <f t="shared" si="396"/>
        <v>0</v>
      </c>
      <c r="I2303" s="1353">
        <f t="shared" si="396"/>
        <v>0</v>
      </c>
      <c r="K2303" s="1355">
        <v>4218</v>
      </c>
      <c r="L2303" s="1355" t="s">
        <v>9456</v>
      </c>
    </row>
    <row r="2304" spans="1:13">
      <c r="A2304" s="611" t="s">
        <v>9457</v>
      </c>
      <c r="B2304" s="5" t="s">
        <v>9458</v>
      </c>
      <c r="C2304" s="26">
        <v>470</v>
      </c>
      <c r="D2304" s="1347">
        <v>14527</v>
      </c>
      <c r="E2304" s="1346">
        <v>49745</v>
      </c>
      <c r="F2304" s="611" t="s">
        <v>6856</v>
      </c>
      <c r="G2304" s="1408">
        <v>1589</v>
      </c>
      <c r="H2304" s="1353">
        <f t="shared" si="396"/>
        <v>0</v>
      </c>
      <c r="I2304" s="1353">
        <f t="shared" si="396"/>
        <v>0</v>
      </c>
      <c r="K2304" s="1355">
        <v>4219</v>
      </c>
      <c r="L2304" s="1355" t="s">
        <v>9459</v>
      </c>
    </row>
    <row r="2305" spans="1:13">
      <c r="B2305" s="5" t="s">
        <v>9460</v>
      </c>
      <c r="C2305" s="26">
        <v>471</v>
      </c>
      <c r="D2305" s="1347">
        <v>30077</v>
      </c>
      <c r="E2305" s="1346">
        <v>100444</v>
      </c>
      <c r="F2305" s="611" t="s">
        <v>6859</v>
      </c>
      <c r="G2305" s="1408">
        <v>1590</v>
      </c>
      <c r="H2305" s="1353">
        <f t="shared" si="396"/>
        <v>0</v>
      </c>
      <c r="I2305" s="1353">
        <f t="shared" si="396"/>
        <v>0</v>
      </c>
      <c r="K2305" s="1355">
        <v>4220</v>
      </c>
      <c r="L2305" s="1355" t="s">
        <v>9461</v>
      </c>
    </row>
    <row r="2306" spans="1:13">
      <c r="B2306" s="5" t="s">
        <v>9447</v>
      </c>
      <c r="C2306" s="26">
        <v>472</v>
      </c>
      <c r="D2306" s="1347">
        <v>0</v>
      </c>
      <c r="E2306" s="1346">
        <v>0</v>
      </c>
      <c r="F2306" s="611" t="s">
        <v>6862</v>
      </c>
      <c r="G2306" s="1408">
        <v>1591</v>
      </c>
      <c r="H2306" s="1353">
        <f t="shared" si="396"/>
        <v>0</v>
      </c>
      <c r="I2306" s="1353">
        <f t="shared" si="396"/>
        <v>0</v>
      </c>
      <c r="K2306" s="1355">
        <v>4221</v>
      </c>
      <c r="L2306" s="1355" t="s">
        <v>9462</v>
      </c>
    </row>
    <row r="2307" spans="1:13">
      <c r="B2307" s="5" t="s">
        <v>9449</v>
      </c>
      <c r="C2307" s="26">
        <v>473</v>
      </c>
      <c r="D2307" s="1347">
        <v>7746</v>
      </c>
      <c r="E2307" s="1346">
        <v>28073</v>
      </c>
      <c r="F2307" s="611" t="s">
        <v>6865</v>
      </c>
      <c r="G2307" s="1408">
        <v>1592</v>
      </c>
      <c r="H2307" s="1353">
        <f t="shared" si="396"/>
        <v>0</v>
      </c>
      <c r="I2307" s="1353">
        <f t="shared" si="396"/>
        <v>0</v>
      </c>
      <c r="K2307" s="1355">
        <v>4222</v>
      </c>
      <c r="L2307" s="1355" t="s">
        <v>9463</v>
      </c>
    </row>
    <row r="2308" spans="1:13">
      <c r="B2308" s="5" t="s">
        <v>9455</v>
      </c>
      <c r="C2308" s="26">
        <v>476</v>
      </c>
      <c r="D2308" s="1347">
        <v>60000</v>
      </c>
      <c r="E2308" s="1346">
        <v>234714</v>
      </c>
      <c r="F2308" s="611" t="s">
        <v>6871</v>
      </c>
      <c r="G2308" s="1408">
        <v>1594</v>
      </c>
      <c r="H2308" s="1353">
        <f>M1565</f>
        <v>0</v>
      </c>
      <c r="I2308" s="1353">
        <f>N1565</f>
        <v>0</v>
      </c>
      <c r="K2308" s="1355">
        <v>4223</v>
      </c>
      <c r="L2308" s="1355" t="s">
        <v>9464</v>
      </c>
    </row>
    <row r="2309" spans="1:13">
      <c r="B2309" s="5" t="s">
        <v>9465</v>
      </c>
      <c r="C2309" s="26">
        <v>479</v>
      </c>
      <c r="D2309" s="1347">
        <v>13040</v>
      </c>
      <c r="E2309" s="1346">
        <v>40282</v>
      </c>
      <c r="F2309" s="611" t="s">
        <v>6874</v>
      </c>
      <c r="G2309" s="1408">
        <v>1595</v>
      </c>
      <c r="H2309" s="1353">
        <f>M1566</f>
        <v>0</v>
      </c>
      <c r="I2309" s="1353">
        <f>N1566</f>
        <v>0</v>
      </c>
      <c r="K2309" s="1355">
        <v>4224</v>
      </c>
      <c r="L2309" s="1355" t="s">
        <v>9466</v>
      </c>
    </row>
    <row r="2310" spans="1:13">
      <c r="B2310" s="5" t="s">
        <v>9467</v>
      </c>
      <c r="C2310" s="26" t="s">
        <v>9468</v>
      </c>
      <c r="D2310" s="1347">
        <v>47763</v>
      </c>
      <c r="E2310" s="1346">
        <v>174275</v>
      </c>
      <c r="F2310" s="611" t="s">
        <v>5771</v>
      </c>
      <c r="G2310" s="1408">
        <v>1145</v>
      </c>
      <c r="H2310" s="1353">
        <f>M1121</f>
        <v>0</v>
      </c>
      <c r="I2310" s="1353">
        <f>N1121</f>
        <v>0</v>
      </c>
      <c r="K2310" s="1355">
        <v>4225</v>
      </c>
      <c r="L2310" s="1355" t="s">
        <v>9469</v>
      </c>
    </row>
    <row r="2311" spans="1:13">
      <c r="A2311" s="611" t="s">
        <v>9470</v>
      </c>
      <c r="B2311" s="5" t="s">
        <v>9471</v>
      </c>
      <c r="C2311" s="26">
        <v>480</v>
      </c>
      <c r="D2311" s="1347">
        <v>49592</v>
      </c>
      <c r="E2311" s="1346">
        <v>125042</v>
      </c>
      <c r="F2311" s="611" t="s">
        <v>6880</v>
      </c>
      <c r="G2311" s="1408">
        <v>1598</v>
      </c>
      <c r="H2311" s="1353">
        <f t="shared" ref="H2311:H2312" si="397">M1568</f>
        <v>0</v>
      </c>
      <c r="I2311" s="1353">
        <f t="shared" ref="I2311:I2312" si="398">N1568</f>
        <v>0</v>
      </c>
      <c r="K2311" s="1355">
        <v>4226</v>
      </c>
      <c r="L2311" s="1355" t="s">
        <v>9472</v>
      </c>
    </row>
    <row r="2312" spans="1:13">
      <c r="B2312" s="5" t="s">
        <v>9473</v>
      </c>
      <c r="C2312" s="26">
        <v>467</v>
      </c>
      <c r="D2312" s="2401">
        <v>36256</v>
      </c>
      <c r="E2312" s="2402">
        <v>126890</v>
      </c>
      <c r="F2312" s="4" t="s">
        <v>6883</v>
      </c>
      <c r="G2312" s="2403">
        <v>1599</v>
      </c>
      <c r="H2312" s="1353">
        <f t="shared" si="397"/>
        <v>0</v>
      </c>
      <c r="I2312" s="1353">
        <f t="shared" si="398"/>
        <v>0</v>
      </c>
      <c r="K2312" s="1355">
        <v>4227</v>
      </c>
      <c r="L2312" s="1355" t="s">
        <v>9474</v>
      </c>
    </row>
    <row r="2313" spans="1:13">
      <c r="B2313" s="5" t="s">
        <v>9475</v>
      </c>
      <c r="C2313" s="26" t="s">
        <v>768</v>
      </c>
      <c r="D2313" s="2401">
        <v>0</v>
      </c>
      <c r="E2313" s="2402">
        <v>0</v>
      </c>
      <c r="F2313" s="4" t="s">
        <v>9476</v>
      </c>
      <c r="G2313" s="2403">
        <v>100249</v>
      </c>
      <c r="H2313" s="1353">
        <f>M2762</f>
        <v>0</v>
      </c>
      <c r="I2313" s="1353">
        <f>N2762</f>
        <v>0</v>
      </c>
      <c r="K2313" s="1355">
        <v>4228</v>
      </c>
      <c r="L2313" s="1355" t="s">
        <v>9477</v>
      </c>
    </row>
    <row r="2314" spans="1:13">
      <c r="B2314" s="5" t="s">
        <v>9478</v>
      </c>
      <c r="C2314" s="26">
        <v>468</v>
      </c>
      <c r="D2314" s="2401">
        <v>0</v>
      </c>
      <c r="E2314" s="2402">
        <v>0</v>
      </c>
      <c r="F2314" s="4" t="s">
        <v>6886</v>
      </c>
      <c r="G2314" s="2403">
        <v>1600</v>
      </c>
      <c r="H2314" s="1353">
        <f>M1570</f>
        <v>0</v>
      </c>
      <c r="I2314" s="1353">
        <f>N1570</f>
        <v>0</v>
      </c>
      <c r="K2314" s="1355">
        <v>4229</v>
      </c>
      <c r="L2314" s="1355" t="s">
        <v>9479</v>
      </c>
    </row>
    <row r="2315" spans="1:13">
      <c r="B2315" s="5" t="s">
        <v>9480</v>
      </c>
      <c r="C2315" s="26" t="s">
        <v>771</v>
      </c>
      <c r="D2315" s="2401">
        <v>0</v>
      </c>
      <c r="E2315" s="2402">
        <v>0</v>
      </c>
      <c r="F2315" s="4" t="s">
        <v>9481</v>
      </c>
      <c r="G2315" s="2403">
        <v>100252</v>
      </c>
      <c r="H2315" s="1353">
        <f>M2765</f>
        <v>0</v>
      </c>
      <c r="I2315" s="1353">
        <f>N2765</f>
        <v>0</v>
      </c>
      <c r="K2315" s="1355">
        <v>4230</v>
      </c>
      <c r="L2315" s="1355" t="s">
        <v>9482</v>
      </c>
    </row>
    <row r="2316" spans="1:13">
      <c r="B2316" s="5" t="s">
        <v>9483</v>
      </c>
      <c r="C2316" s="26">
        <v>478</v>
      </c>
      <c r="D2316" s="2401">
        <v>0</v>
      </c>
      <c r="E2316" s="2402">
        <v>0</v>
      </c>
      <c r="F2316" s="4" t="s">
        <v>6889</v>
      </c>
      <c r="G2316" s="2403">
        <v>1601</v>
      </c>
      <c r="H2316" s="1353">
        <f>M1571</f>
        <v>0</v>
      </c>
      <c r="I2316" s="1353">
        <f>N1571</f>
        <v>0</v>
      </c>
      <c r="K2316" s="1355">
        <v>4231</v>
      </c>
      <c r="L2316" s="1355" t="s">
        <v>9484</v>
      </c>
    </row>
    <row r="2317" spans="1:13">
      <c r="B2317" s="5" t="s">
        <v>9485</v>
      </c>
      <c r="C2317" s="26">
        <v>477</v>
      </c>
      <c r="D2317" s="2401">
        <v>0</v>
      </c>
      <c r="E2317" s="2402">
        <v>0</v>
      </c>
      <c r="F2317" s="4" t="s">
        <v>6893</v>
      </c>
      <c r="G2317" s="2403">
        <v>1602</v>
      </c>
      <c r="H2317" s="1353">
        <f>M1572</f>
        <v>0</v>
      </c>
      <c r="I2317" s="1353">
        <f>N1572</f>
        <v>0</v>
      </c>
      <c r="K2317" s="1355">
        <v>4232</v>
      </c>
      <c r="L2317" s="1355" t="s">
        <v>9486</v>
      </c>
    </row>
    <row r="2318" spans="1:13">
      <c r="B2318" s="5" t="s">
        <v>9487</v>
      </c>
      <c r="C2318" s="26" t="s">
        <v>776</v>
      </c>
      <c r="D2318" s="2401">
        <v>0</v>
      </c>
      <c r="E2318" s="2402">
        <v>0</v>
      </c>
      <c r="F2318" s="4" t="s">
        <v>9488</v>
      </c>
      <c r="G2318" s="2403">
        <v>100255</v>
      </c>
      <c r="H2318" s="1353">
        <f>M2768</f>
        <v>0</v>
      </c>
      <c r="I2318" s="1353">
        <f>N2768</f>
        <v>0</v>
      </c>
      <c r="K2318" s="1355">
        <v>4233</v>
      </c>
      <c r="L2318" s="1355" t="s">
        <v>9489</v>
      </c>
    </row>
    <row r="2319" spans="1:13">
      <c r="B2319" s="5" t="s">
        <v>9490</v>
      </c>
      <c r="C2319" s="26" t="s">
        <v>778</v>
      </c>
      <c r="D2319" s="2401">
        <v>0</v>
      </c>
      <c r="E2319" s="2402">
        <v>0</v>
      </c>
      <c r="F2319" s="4" t="s">
        <v>9491</v>
      </c>
      <c r="G2319" s="2403">
        <v>100258</v>
      </c>
      <c r="H2319" s="1353">
        <f>M2771</f>
        <v>0</v>
      </c>
      <c r="I2319" s="1353">
        <f>N2771</f>
        <v>0</v>
      </c>
      <c r="K2319" s="1355">
        <v>4234</v>
      </c>
      <c r="L2319" s="1355" t="s">
        <v>9492</v>
      </c>
      <c r="M2319" s="1360"/>
    </row>
    <row r="2320" spans="1:13">
      <c r="B2320" s="5" t="s">
        <v>9493</v>
      </c>
      <c r="C2320" s="26">
        <v>481</v>
      </c>
      <c r="D2320" s="2401">
        <v>34355</v>
      </c>
      <c r="E2320" s="2402">
        <v>160675</v>
      </c>
      <c r="F2320" s="4" t="s">
        <v>6896</v>
      </c>
      <c r="G2320" s="2403">
        <v>1603</v>
      </c>
      <c r="H2320" s="1353">
        <f>M1573</f>
        <v>0</v>
      </c>
      <c r="I2320" s="1353">
        <f>N1573</f>
        <v>0</v>
      </c>
      <c r="K2320" s="1355">
        <v>4235</v>
      </c>
      <c r="L2320" s="1355" t="s">
        <v>9494</v>
      </c>
      <c r="M2320" s="1360"/>
    </row>
    <row r="2321" spans="1:13">
      <c r="B2321" s="5" t="s">
        <v>9495</v>
      </c>
      <c r="C2321" s="26">
        <v>482</v>
      </c>
      <c r="D2321" s="2401">
        <v>7933</v>
      </c>
      <c r="E2321" s="2402">
        <v>38854</v>
      </c>
      <c r="F2321" s="4" t="s">
        <v>6899</v>
      </c>
      <c r="G2321" s="2403">
        <v>1604</v>
      </c>
      <c r="H2321" s="1353">
        <f>M1574</f>
        <v>0</v>
      </c>
      <c r="I2321" s="1353">
        <f>N1574</f>
        <v>0</v>
      </c>
      <c r="K2321" s="1355">
        <v>4236</v>
      </c>
      <c r="L2321" s="1355" t="s">
        <v>9496</v>
      </c>
      <c r="M2321" s="1360"/>
    </row>
    <row r="2322" spans="1:13">
      <c r="B2322" s="5" t="s">
        <v>9497</v>
      </c>
      <c r="C2322" s="26" t="s">
        <v>781</v>
      </c>
      <c r="D2322" s="2401">
        <v>0</v>
      </c>
      <c r="E2322" s="2402">
        <v>0</v>
      </c>
      <c r="F2322" s="4" t="s">
        <v>9498</v>
      </c>
      <c r="G2322" s="2403">
        <v>100261</v>
      </c>
      <c r="H2322" s="1353">
        <f>M2774</f>
        <v>0</v>
      </c>
      <c r="I2322" s="1353">
        <f>N2774</f>
        <v>0</v>
      </c>
      <c r="K2322" s="1355">
        <v>4237</v>
      </c>
      <c r="L2322" s="1355" t="s">
        <v>9499</v>
      </c>
    </row>
    <row r="2323" spans="1:13">
      <c r="B2323" s="5" t="s">
        <v>9500</v>
      </c>
      <c r="C2323" s="26">
        <v>483</v>
      </c>
      <c r="D2323" s="2401">
        <v>23254</v>
      </c>
      <c r="E2323" s="2402">
        <v>101829</v>
      </c>
      <c r="F2323" s="4" t="s">
        <v>6903</v>
      </c>
      <c r="G2323" s="2403">
        <v>1605</v>
      </c>
      <c r="H2323" s="1353">
        <f>M1575</f>
        <v>0</v>
      </c>
      <c r="I2323" s="1353">
        <f>N1575</f>
        <v>0</v>
      </c>
      <c r="K2323" s="1355">
        <v>4238</v>
      </c>
      <c r="L2323" s="1355" t="s">
        <v>9501</v>
      </c>
    </row>
    <row r="2324" spans="1:13">
      <c r="B2324" s="5" t="s">
        <v>9502</v>
      </c>
      <c r="C2324" s="26">
        <v>484</v>
      </c>
      <c r="D2324" s="2401">
        <v>0</v>
      </c>
      <c r="E2324" s="2402">
        <v>0</v>
      </c>
      <c r="F2324" s="4" t="s">
        <v>6907</v>
      </c>
      <c r="G2324" s="2403">
        <v>1606</v>
      </c>
      <c r="H2324" s="1353">
        <f>M1576</f>
        <v>0</v>
      </c>
      <c r="I2324" s="1353">
        <f>N1576</f>
        <v>0</v>
      </c>
      <c r="K2324" s="1355">
        <v>4239</v>
      </c>
      <c r="L2324" s="1355" t="s">
        <v>9503</v>
      </c>
    </row>
    <row r="2325" spans="1:13">
      <c r="B2325" s="5" t="s">
        <v>9504</v>
      </c>
      <c r="C2325" s="26" t="s">
        <v>785</v>
      </c>
      <c r="D2325" s="2401">
        <v>0</v>
      </c>
      <c r="E2325" s="2402">
        <v>0</v>
      </c>
      <c r="F2325" s="4" t="s">
        <v>9505</v>
      </c>
      <c r="G2325" s="2403">
        <v>100264</v>
      </c>
      <c r="H2325" s="1353">
        <f>M2777</f>
        <v>0</v>
      </c>
      <c r="I2325" s="1353">
        <f>N2777</f>
        <v>0</v>
      </c>
      <c r="K2325" s="1355">
        <v>4240</v>
      </c>
      <c r="L2325" s="1355" t="s">
        <v>9506</v>
      </c>
    </row>
    <row r="2326" spans="1:13">
      <c r="B2326" s="5" t="s">
        <v>9507</v>
      </c>
      <c r="C2326" s="26">
        <v>490</v>
      </c>
      <c r="D2326" s="1347">
        <v>6644</v>
      </c>
      <c r="E2326" s="1346">
        <v>81675</v>
      </c>
      <c r="F2326" s="611" t="s">
        <v>6915</v>
      </c>
      <c r="G2326" s="1408">
        <v>1608</v>
      </c>
      <c r="H2326" s="1353">
        <f t="shared" ref="H2326:I2328" si="399">M1578</f>
        <v>0</v>
      </c>
      <c r="I2326" s="1353">
        <f t="shared" si="399"/>
        <v>0</v>
      </c>
      <c r="K2326" s="1355">
        <v>4241</v>
      </c>
      <c r="L2326" s="1355" t="s">
        <v>9508</v>
      </c>
    </row>
    <row r="2327" spans="1:13">
      <c r="B2327" s="5" t="s">
        <v>9509</v>
      </c>
      <c r="C2327" s="26">
        <v>491</v>
      </c>
      <c r="D2327" s="1347">
        <v>6831</v>
      </c>
      <c r="E2327" s="1346">
        <v>22491</v>
      </c>
      <c r="F2327" s="611" t="s">
        <v>6919</v>
      </c>
      <c r="G2327" s="1408">
        <v>1609</v>
      </c>
      <c r="H2327" s="1353">
        <f t="shared" si="399"/>
        <v>0</v>
      </c>
      <c r="I2327" s="1353">
        <f t="shared" si="399"/>
        <v>0</v>
      </c>
      <c r="K2327" s="1355">
        <v>4242</v>
      </c>
      <c r="L2327" s="1355" t="s">
        <v>9510</v>
      </c>
    </row>
    <row r="2328" spans="1:13">
      <c r="B2328" s="5" t="s">
        <v>9511</v>
      </c>
      <c r="C2328" s="26">
        <v>492</v>
      </c>
      <c r="D2328" s="1347">
        <v>0</v>
      </c>
      <c r="E2328" s="1346">
        <v>0</v>
      </c>
      <c r="F2328" s="611" t="s">
        <v>6923</v>
      </c>
      <c r="G2328" s="1408">
        <v>1610</v>
      </c>
      <c r="H2328" s="1353">
        <f t="shared" si="399"/>
        <v>0</v>
      </c>
      <c r="I2328" s="1353">
        <f t="shared" si="399"/>
        <v>0</v>
      </c>
      <c r="K2328" s="1355">
        <v>4243</v>
      </c>
      <c r="L2328" s="1355" t="s">
        <v>9512</v>
      </c>
    </row>
    <row r="2329" spans="1:13">
      <c r="A2329" s="611" t="s">
        <v>9513</v>
      </c>
      <c r="B2329" s="5" t="s">
        <v>9514</v>
      </c>
      <c r="C2329" s="26" t="s">
        <v>9515</v>
      </c>
      <c r="D2329" s="1347">
        <v>22944</v>
      </c>
      <c r="E2329" s="1346">
        <v>76118</v>
      </c>
      <c r="F2329" s="4" t="s">
        <v>9516</v>
      </c>
      <c r="G2329" s="1413" t="s">
        <v>2504</v>
      </c>
      <c r="H2329" s="1353">
        <f>M1548-M1584</f>
        <v>0</v>
      </c>
      <c r="I2329" s="1353">
        <f>N1548-N1584</f>
        <v>0</v>
      </c>
      <c r="K2329" s="1355">
        <v>4244</v>
      </c>
      <c r="L2329" s="1355" t="s">
        <v>9517</v>
      </c>
    </row>
    <row r="2330" spans="1:13">
      <c r="B2330" s="5" t="s">
        <v>9518</v>
      </c>
      <c r="C2330" s="26" t="s">
        <v>9519</v>
      </c>
      <c r="D2330" s="1347">
        <v>0</v>
      </c>
      <c r="E2330" s="1346">
        <v>0</v>
      </c>
      <c r="F2330" s="4" t="s">
        <v>9520</v>
      </c>
      <c r="G2330" s="1413" t="s">
        <v>2504</v>
      </c>
      <c r="H2330" s="1353">
        <f>M2739-M2740</f>
        <v>0</v>
      </c>
      <c r="I2330" s="1353">
        <f>N2739-N2740</f>
        <v>0</v>
      </c>
      <c r="K2330" s="1355">
        <v>4245</v>
      </c>
      <c r="L2330" s="1355" t="s">
        <v>9521</v>
      </c>
    </row>
    <row r="2331" spans="1:13">
      <c r="B2331" s="5" t="s">
        <v>9522</v>
      </c>
      <c r="C2331" s="26" t="s">
        <v>9523</v>
      </c>
      <c r="D2331" s="1347">
        <v>0</v>
      </c>
      <c r="E2331" s="1346">
        <v>0</v>
      </c>
      <c r="F2331" s="4" t="s">
        <v>9524</v>
      </c>
      <c r="G2331" s="1413" t="s">
        <v>2504</v>
      </c>
      <c r="H2331" s="1353">
        <f>M1549-M1585</f>
        <v>0</v>
      </c>
      <c r="I2331" s="1353">
        <f>N1549-N1585</f>
        <v>0</v>
      </c>
      <c r="K2331" s="1355">
        <v>4246</v>
      </c>
      <c r="L2331" s="1355" t="s">
        <v>9525</v>
      </c>
    </row>
    <row r="2332" spans="1:13">
      <c r="B2332" s="5" t="s">
        <v>9526</v>
      </c>
      <c r="C2332" s="26" t="s">
        <v>9527</v>
      </c>
      <c r="D2332" s="1347">
        <v>0</v>
      </c>
      <c r="E2332" s="1346">
        <v>0</v>
      </c>
      <c r="F2332" s="4" t="s">
        <v>9528</v>
      </c>
      <c r="G2332" s="1413" t="s">
        <v>2504</v>
      </c>
      <c r="H2332" s="1353">
        <f>M2743-M2744</f>
        <v>0</v>
      </c>
      <c r="I2332" s="1353">
        <f>N2743-N2744</f>
        <v>0</v>
      </c>
      <c r="K2332" s="1355">
        <v>4247</v>
      </c>
      <c r="L2332" s="1355" t="s">
        <v>9529</v>
      </c>
    </row>
    <row r="2333" spans="1:13">
      <c r="B2333" s="5" t="s">
        <v>9530</v>
      </c>
      <c r="C2333" s="26" t="s">
        <v>9531</v>
      </c>
      <c r="D2333" s="1347">
        <v>0</v>
      </c>
      <c r="E2333" s="1346">
        <v>0</v>
      </c>
      <c r="F2333" s="4" t="s">
        <v>9532</v>
      </c>
      <c r="G2333" s="1413" t="s">
        <v>2504</v>
      </c>
      <c r="H2333" s="1353">
        <f>M1550-M1586</f>
        <v>0</v>
      </c>
      <c r="I2333" s="1353">
        <f>N1550-N1586</f>
        <v>0</v>
      </c>
      <c r="K2333" s="1355">
        <v>4248</v>
      </c>
      <c r="L2333" s="1355" t="s">
        <v>9533</v>
      </c>
    </row>
    <row r="2334" spans="1:13">
      <c r="B2334" s="5" t="s">
        <v>9534</v>
      </c>
      <c r="C2334" s="26" t="s">
        <v>9535</v>
      </c>
      <c r="D2334" s="1347">
        <v>0</v>
      </c>
      <c r="E2334" s="1346">
        <v>0</v>
      </c>
      <c r="F2334" s="4" t="s">
        <v>9536</v>
      </c>
      <c r="G2334" s="1413" t="s">
        <v>2504</v>
      </c>
      <c r="H2334" s="1353">
        <f>M2747-M2748</f>
        <v>0</v>
      </c>
      <c r="I2334" s="1353">
        <f>N2747-N2748</f>
        <v>0</v>
      </c>
      <c r="K2334" s="1355">
        <v>4249</v>
      </c>
      <c r="L2334" s="1355" t="s">
        <v>9537</v>
      </c>
    </row>
    <row r="2335" spans="1:13">
      <c r="B2335" s="5" t="s">
        <v>9538</v>
      </c>
      <c r="C2335" s="26" t="s">
        <v>9539</v>
      </c>
      <c r="D2335" s="1347">
        <v>0</v>
      </c>
      <c r="E2335" s="1346">
        <v>0</v>
      </c>
      <c r="F2335" s="4" t="s">
        <v>9540</v>
      </c>
      <c r="G2335" s="1413" t="s">
        <v>2504</v>
      </c>
      <c r="H2335" s="1353">
        <f>M2751-M2752</f>
        <v>0</v>
      </c>
      <c r="I2335" s="1353">
        <f>N2751-N2752</f>
        <v>0</v>
      </c>
      <c r="K2335" s="1355">
        <v>4250</v>
      </c>
      <c r="L2335" s="1355" t="s">
        <v>9541</v>
      </c>
    </row>
    <row r="2336" spans="1:13">
      <c r="B2336" s="1075" t="s">
        <v>9542</v>
      </c>
      <c r="C2336" s="26" t="s">
        <v>9543</v>
      </c>
      <c r="D2336" s="1347">
        <v>0</v>
      </c>
      <c r="E2336" s="1346">
        <v>0</v>
      </c>
      <c r="F2336" s="4" t="s">
        <v>9544</v>
      </c>
      <c r="G2336" s="1413" t="s">
        <v>2504</v>
      </c>
      <c r="H2336" s="1353">
        <f>M1551-M1587</f>
        <v>0</v>
      </c>
      <c r="I2336" s="1353">
        <f>N1551-N1587</f>
        <v>0</v>
      </c>
      <c r="K2336" s="1355">
        <v>4251</v>
      </c>
      <c r="L2336" s="1355" t="s">
        <v>9545</v>
      </c>
    </row>
    <row r="2337" spans="1:12">
      <c r="B2337" s="1075" t="s">
        <v>9546</v>
      </c>
      <c r="C2337" s="26" t="s">
        <v>9547</v>
      </c>
      <c r="D2337" s="1347">
        <v>0</v>
      </c>
      <c r="E2337" s="1346">
        <v>0</v>
      </c>
      <c r="F2337" s="4" t="s">
        <v>9548</v>
      </c>
      <c r="G2337" s="1413" t="s">
        <v>2504</v>
      </c>
      <c r="H2337" s="1353">
        <f>M2755-M2756</f>
        <v>0</v>
      </c>
      <c r="I2337" s="1353">
        <f>N2755-N2756</f>
        <v>0</v>
      </c>
      <c r="K2337" s="1355">
        <v>4252</v>
      </c>
      <c r="L2337" s="1355" t="s">
        <v>9549</v>
      </c>
    </row>
    <row r="2338" spans="1:12">
      <c r="B2338" s="1075" t="s">
        <v>9550</v>
      </c>
      <c r="C2338" s="26" t="s">
        <v>9551</v>
      </c>
      <c r="D2338" s="1347">
        <v>0</v>
      </c>
      <c r="E2338" s="1346">
        <v>0</v>
      </c>
      <c r="F2338" s="4" t="s">
        <v>9552</v>
      </c>
      <c r="G2338" s="1413" t="s">
        <v>2504</v>
      </c>
      <c r="H2338" s="1353">
        <f>M1552-M1588</f>
        <v>0</v>
      </c>
      <c r="I2338" s="1353">
        <f>N1552-N1588</f>
        <v>0</v>
      </c>
      <c r="K2338" s="1355">
        <v>4253</v>
      </c>
      <c r="L2338" s="1355" t="s">
        <v>9553</v>
      </c>
    </row>
    <row r="2339" spans="1:12">
      <c r="B2339" s="1075" t="s">
        <v>9554</v>
      </c>
      <c r="C2339" s="26" t="s">
        <v>9555</v>
      </c>
      <c r="D2339" s="1347">
        <v>0</v>
      </c>
      <c r="E2339" s="1346">
        <v>0</v>
      </c>
      <c r="F2339" s="4" t="s">
        <v>9556</v>
      </c>
      <c r="G2339" s="1413" t="s">
        <v>2504</v>
      </c>
      <c r="H2339" s="1353">
        <f>M2759-M2760</f>
        <v>0</v>
      </c>
      <c r="I2339" s="1353">
        <f>N2759-N2760</f>
        <v>0</v>
      </c>
      <c r="K2339" s="1355">
        <v>4254</v>
      </c>
      <c r="L2339" s="1355" t="s">
        <v>9557</v>
      </c>
    </row>
    <row r="2340" spans="1:12">
      <c r="B2340" s="1075" t="s">
        <v>9558</v>
      </c>
      <c r="C2340" s="26" t="s">
        <v>9559</v>
      </c>
      <c r="D2340" s="1347">
        <v>0</v>
      </c>
      <c r="E2340" s="1346">
        <v>0</v>
      </c>
      <c r="F2340" s="4" t="s">
        <v>9560</v>
      </c>
      <c r="G2340" s="1413" t="s">
        <v>2504</v>
      </c>
      <c r="H2340" s="1353">
        <f t="shared" ref="H2340:I2343" si="400">M1553-M1589</f>
        <v>0</v>
      </c>
      <c r="I2340" s="1353">
        <f t="shared" si="400"/>
        <v>0</v>
      </c>
      <c r="K2340" s="1355">
        <v>4255</v>
      </c>
      <c r="L2340" s="1355" t="s">
        <v>9561</v>
      </c>
    </row>
    <row r="2341" spans="1:12">
      <c r="B2341" s="5" t="s">
        <v>9562</v>
      </c>
      <c r="C2341" s="26">
        <v>662</v>
      </c>
      <c r="D2341" s="1347">
        <v>18953</v>
      </c>
      <c r="E2341" s="1346">
        <v>63410</v>
      </c>
      <c r="F2341" s="611" t="s">
        <v>9563</v>
      </c>
      <c r="G2341" s="1413" t="s">
        <v>2504</v>
      </c>
      <c r="H2341" s="1353">
        <f t="shared" si="400"/>
        <v>0</v>
      </c>
      <c r="I2341" s="1353">
        <f t="shared" si="400"/>
        <v>0</v>
      </c>
      <c r="K2341" s="1355">
        <v>4256</v>
      </c>
      <c r="L2341" s="1355" t="s">
        <v>9564</v>
      </c>
    </row>
    <row r="2342" spans="1:12">
      <c r="B2342" s="5" t="s">
        <v>9565</v>
      </c>
      <c r="C2342" s="26">
        <v>663</v>
      </c>
      <c r="D2342" s="1347">
        <v>23414</v>
      </c>
      <c r="E2342" s="1346">
        <v>84792</v>
      </c>
      <c r="F2342" s="611" t="s">
        <v>9566</v>
      </c>
      <c r="G2342" s="1413" t="s">
        <v>2504</v>
      </c>
      <c r="H2342" s="1353">
        <f t="shared" si="400"/>
        <v>0</v>
      </c>
      <c r="I2342" s="1353">
        <f t="shared" si="400"/>
        <v>0</v>
      </c>
      <c r="K2342" s="1355">
        <v>4257</v>
      </c>
      <c r="L2342" s="1355" t="s">
        <v>9567</v>
      </c>
    </row>
    <row r="2343" spans="1:12">
      <c r="B2343" s="5" t="s">
        <v>9568</v>
      </c>
      <c r="C2343" s="26">
        <v>664</v>
      </c>
      <c r="D2343" s="1347">
        <v>0</v>
      </c>
      <c r="E2343" s="1346">
        <v>0</v>
      </c>
      <c r="F2343" s="611" t="s">
        <v>9569</v>
      </c>
      <c r="G2343" s="1413" t="s">
        <v>2504</v>
      </c>
      <c r="H2343" s="1353">
        <f t="shared" si="400"/>
        <v>0</v>
      </c>
      <c r="I2343" s="1353">
        <f t="shared" si="400"/>
        <v>0</v>
      </c>
      <c r="K2343" s="1355">
        <v>4258</v>
      </c>
      <c r="L2343" s="1355" t="s">
        <v>9570</v>
      </c>
    </row>
    <row r="2344" spans="1:12">
      <c r="B2344" s="5" t="s">
        <v>9571</v>
      </c>
      <c r="C2344" s="26">
        <v>665</v>
      </c>
      <c r="D2344" s="1347">
        <v>-14140</v>
      </c>
      <c r="E2344" s="1346">
        <v>-41649</v>
      </c>
      <c r="F2344" s="611" t="s">
        <v>9572</v>
      </c>
      <c r="G2344" s="1413" t="s">
        <v>2504</v>
      </c>
      <c r="H2344" s="1353">
        <f>(M1593)*-1</f>
        <v>0</v>
      </c>
      <c r="I2344" s="1353">
        <f>(N1593)*-1</f>
        <v>0</v>
      </c>
      <c r="K2344" s="1355">
        <v>4259</v>
      </c>
      <c r="L2344" s="1355" t="s">
        <v>9573</v>
      </c>
    </row>
    <row r="2345" spans="1:12">
      <c r="B2345" s="5" t="s">
        <v>9574</v>
      </c>
      <c r="C2345" s="26">
        <v>669</v>
      </c>
      <c r="D2345" s="1347">
        <v>831</v>
      </c>
      <c r="E2345" s="1346">
        <v>3324</v>
      </c>
      <c r="F2345" s="611" t="s">
        <v>9575</v>
      </c>
      <c r="G2345" s="1413" t="s">
        <v>2504</v>
      </c>
      <c r="H2345" s="1353">
        <f>M1558-M1595</f>
        <v>0</v>
      </c>
      <c r="I2345" s="1353">
        <f>N1558-N1595</f>
        <v>0</v>
      </c>
      <c r="K2345" s="1355">
        <v>4260</v>
      </c>
      <c r="L2345" s="1355" t="s">
        <v>9576</v>
      </c>
    </row>
    <row r="2346" spans="1:12">
      <c r="B2346" s="5" t="s">
        <v>9577</v>
      </c>
      <c r="C2346" s="26">
        <v>666</v>
      </c>
      <c r="D2346" s="1347">
        <v>5265</v>
      </c>
      <c r="E2346" s="1346">
        <v>19951</v>
      </c>
      <c r="F2346" s="611" t="s">
        <v>9578</v>
      </c>
      <c r="G2346" s="1413" t="s">
        <v>2504</v>
      </c>
      <c r="H2346" s="1353">
        <f>M1559-M1596</f>
        <v>0</v>
      </c>
      <c r="I2346" s="1353">
        <f>N1559-N1596</f>
        <v>0</v>
      </c>
      <c r="K2346" s="1355">
        <v>4261</v>
      </c>
      <c r="L2346" s="1355" t="s">
        <v>9579</v>
      </c>
    </row>
    <row r="2347" spans="1:12">
      <c r="B2347" s="5" t="s">
        <v>9580</v>
      </c>
      <c r="C2347" s="26" t="s">
        <v>9581</v>
      </c>
      <c r="D2347" s="1347">
        <v>84465</v>
      </c>
      <c r="E2347" s="1346">
        <v>277137</v>
      </c>
      <c r="F2347" s="611" t="s">
        <v>5665</v>
      </c>
      <c r="G2347" s="1408">
        <v>1092</v>
      </c>
      <c r="H2347" s="1353">
        <f>M1068</f>
        <v>0</v>
      </c>
      <c r="I2347" s="1353">
        <f>N1068</f>
        <v>0</v>
      </c>
      <c r="K2347" s="1355">
        <v>4262</v>
      </c>
      <c r="L2347" s="1355" t="s">
        <v>9582</v>
      </c>
    </row>
    <row r="2348" spans="1:12">
      <c r="A2348" s="611" t="s">
        <v>9583</v>
      </c>
      <c r="B2348" s="5" t="s">
        <v>9584</v>
      </c>
      <c r="C2348" s="26">
        <v>670</v>
      </c>
      <c r="D2348" s="1347">
        <v>3589</v>
      </c>
      <c r="E2348" s="1346">
        <v>13037</v>
      </c>
      <c r="F2348" s="611" t="s">
        <v>9585</v>
      </c>
      <c r="G2348" s="1413" t="s">
        <v>2504</v>
      </c>
      <c r="H2348" s="1353">
        <f t="shared" ref="H2348:I2351" si="401">M1560-M1597</f>
        <v>0</v>
      </c>
      <c r="I2348" s="1353">
        <f t="shared" si="401"/>
        <v>0</v>
      </c>
      <c r="K2348" s="1355">
        <v>4263</v>
      </c>
      <c r="L2348" s="1355" t="s">
        <v>9586</v>
      </c>
    </row>
    <row r="2349" spans="1:12">
      <c r="B2349" s="5" t="s">
        <v>9587</v>
      </c>
      <c r="C2349" s="26">
        <v>671</v>
      </c>
      <c r="D2349" s="1347">
        <v>6302</v>
      </c>
      <c r="E2349" s="1346">
        <v>27246</v>
      </c>
      <c r="F2349" s="611" t="s">
        <v>9588</v>
      </c>
      <c r="G2349" s="1413" t="s">
        <v>2504</v>
      </c>
      <c r="H2349" s="1353">
        <f t="shared" si="401"/>
        <v>0</v>
      </c>
      <c r="I2349" s="1353">
        <f t="shared" si="401"/>
        <v>0</v>
      </c>
      <c r="K2349" s="1355">
        <v>4264</v>
      </c>
      <c r="L2349" s="1355" t="s">
        <v>9589</v>
      </c>
    </row>
    <row r="2350" spans="1:12">
      <c r="B2350" s="5" t="s">
        <v>9562</v>
      </c>
      <c r="C2350" s="26">
        <v>672</v>
      </c>
      <c r="D2350" s="1347">
        <v>0</v>
      </c>
      <c r="E2350" s="1346">
        <v>0</v>
      </c>
      <c r="F2350" s="611" t="s">
        <v>9590</v>
      </c>
      <c r="G2350" s="1413" t="s">
        <v>2504</v>
      </c>
      <c r="H2350" s="1353">
        <f t="shared" si="401"/>
        <v>0</v>
      </c>
      <c r="I2350" s="1353">
        <f t="shared" si="401"/>
        <v>0</v>
      </c>
      <c r="K2350" s="1355">
        <v>4265</v>
      </c>
      <c r="L2350" s="1355" t="s">
        <v>9591</v>
      </c>
    </row>
    <row r="2351" spans="1:12">
      <c r="B2351" s="5" t="s">
        <v>9565</v>
      </c>
      <c r="C2351" s="26">
        <v>673</v>
      </c>
      <c r="D2351" s="1347">
        <v>2567</v>
      </c>
      <c r="E2351" s="1346">
        <v>16261</v>
      </c>
      <c r="F2351" s="611" t="s">
        <v>9592</v>
      </c>
      <c r="G2351" s="1413" t="s">
        <v>2504</v>
      </c>
      <c r="H2351" s="1353">
        <f t="shared" si="401"/>
        <v>0</v>
      </c>
      <c r="I2351" s="1353">
        <f t="shared" si="401"/>
        <v>0</v>
      </c>
      <c r="K2351" s="1355">
        <v>4266</v>
      </c>
      <c r="L2351" s="1355" t="s">
        <v>9593</v>
      </c>
    </row>
    <row r="2352" spans="1:12">
      <c r="B2352" s="5" t="s">
        <v>9571</v>
      </c>
      <c r="C2352" s="26">
        <v>675</v>
      </c>
      <c r="D2352" s="1347">
        <v>8148</v>
      </c>
      <c r="E2352" s="1346">
        <v>10365</v>
      </c>
      <c r="F2352" s="611" t="s">
        <v>9594</v>
      </c>
      <c r="G2352" s="1413" t="s">
        <v>2504</v>
      </c>
      <c r="H2352" s="1353">
        <f>(M1601)*-1</f>
        <v>0</v>
      </c>
      <c r="I2352" s="1353">
        <f>(N1601)*-1</f>
        <v>0</v>
      </c>
      <c r="K2352" s="1355">
        <v>4267</v>
      </c>
      <c r="L2352" s="1355" t="s">
        <v>9595</v>
      </c>
    </row>
    <row r="2353" spans="1:12">
      <c r="B2353" s="5" t="s">
        <v>9577</v>
      </c>
      <c r="C2353" s="26">
        <v>676</v>
      </c>
      <c r="D2353" s="1347">
        <v>47158</v>
      </c>
      <c r="E2353" s="1346">
        <v>181192</v>
      </c>
      <c r="F2353" s="611" t="s">
        <v>9596</v>
      </c>
      <c r="G2353" s="1413" t="s">
        <v>2504</v>
      </c>
      <c r="H2353" s="1353">
        <f>M1565-M1603</f>
        <v>0</v>
      </c>
      <c r="I2353" s="1353">
        <f>N1565-N1603</f>
        <v>0</v>
      </c>
      <c r="K2353" s="1355">
        <v>4268</v>
      </c>
      <c r="L2353" s="1355" t="s">
        <v>9597</v>
      </c>
    </row>
    <row r="2354" spans="1:12">
      <c r="B2354" s="5" t="s">
        <v>9598</v>
      </c>
      <c r="C2354" s="26">
        <v>679</v>
      </c>
      <c r="D2354" s="1347">
        <v>9863</v>
      </c>
      <c r="E2354" s="1346">
        <v>30882</v>
      </c>
      <c r="F2354" s="611" t="s">
        <v>9599</v>
      </c>
      <c r="G2354" s="1413" t="s">
        <v>2504</v>
      </c>
      <c r="H2354" s="1353">
        <f>M1566-M1604</f>
        <v>0</v>
      </c>
      <c r="I2354" s="1353">
        <f>N1566-N1604</f>
        <v>0</v>
      </c>
      <c r="K2354" s="1355">
        <v>4269</v>
      </c>
      <c r="L2354" s="1355" t="s">
        <v>9600</v>
      </c>
    </row>
    <row r="2355" spans="1:12">
      <c r="A2355" s="611" t="s">
        <v>9601</v>
      </c>
      <c r="B2355" s="5" t="s">
        <v>9602</v>
      </c>
      <c r="C2355" s="26">
        <v>680</v>
      </c>
      <c r="D2355" s="1347">
        <v>34036</v>
      </c>
      <c r="E2355" s="1346">
        <v>88779</v>
      </c>
      <c r="F2355" s="611" t="s">
        <v>9603</v>
      </c>
      <c r="G2355" s="1413" t="s">
        <v>2504</v>
      </c>
      <c r="H2355" s="1353">
        <f t="shared" ref="H2355:H2356" si="402">M1568-M1606</f>
        <v>0</v>
      </c>
      <c r="I2355" s="1353">
        <f t="shared" ref="I2355:I2356" si="403">N1568-N1606</f>
        <v>0</v>
      </c>
      <c r="K2355" s="1355">
        <v>4270</v>
      </c>
      <c r="L2355" s="1355" t="s">
        <v>9604</v>
      </c>
    </row>
    <row r="2356" spans="1:12">
      <c r="B2356" s="5" t="s">
        <v>9605</v>
      </c>
      <c r="C2356" s="26">
        <v>667</v>
      </c>
      <c r="D2356" s="1347">
        <v>21633</v>
      </c>
      <c r="E2356" s="1346">
        <v>74976</v>
      </c>
      <c r="F2356" s="611" t="s">
        <v>9606</v>
      </c>
      <c r="G2356" s="1413" t="s">
        <v>2504</v>
      </c>
      <c r="H2356" s="1353">
        <f t="shared" si="402"/>
        <v>0</v>
      </c>
      <c r="I2356" s="1353">
        <f t="shared" si="403"/>
        <v>0</v>
      </c>
      <c r="K2356" s="1355">
        <v>4271</v>
      </c>
      <c r="L2356" s="1355" t="s">
        <v>9607</v>
      </c>
    </row>
    <row r="2357" spans="1:12">
      <c r="B2357" s="5" t="s">
        <v>9608</v>
      </c>
      <c r="C2357" s="26" t="s">
        <v>9609</v>
      </c>
      <c r="D2357" s="1347">
        <v>0</v>
      </c>
      <c r="E2357" s="1346">
        <v>0</v>
      </c>
      <c r="F2357" s="4" t="s">
        <v>9610</v>
      </c>
      <c r="G2357" s="1413" t="s">
        <v>2504</v>
      </c>
      <c r="H2357" s="1353">
        <f>M2762-M2763</f>
        <v>0</v>
      </c>
      <c r="I2357" s="1353">
        <f>N2762-N2763</f>
        <v>0</v>
      </c>
      <c r="K2357" s="1355">
        <v>4272</v>
      </c>
      <c r="L2357" s="1355" t="s">
        <v>9611</v>
      </c>
    </row>
    <row r="2358" spans="1:12">
      <c r="B2358" s="5" t="s">
        <v>9612</v>
      </c>
      <c r="C2358" s="26">
        <v>668</v>
      </c>
      <c r="D2358" s="1347">
        <v>0</v>
      </c>
      <c r="E2358" s="1346">
        <v>0</v>
      </c>
      <c r="F2358" s="4" t="s">
        <v>9613</v>
      </c>
      <c r="G2358" s="1413" t="s">
        <v>2504</v>
      </c>
      <c r="H2358" s="1353">
        <f>M1570-M1608</f>
        <v>0</v>
      </c>
      <c r="I2358" s="1353">
        <f>N1570-N1608</f>
        <v>0</v>
      </c>
      <c r="K2358" s="1355">
        <v>4273</v>
      </c>
      <c r="L2358" s="1355" t="s">
        <v>9614</v>
      </c>
    </row>
    <row r="2359" spans="1:12">
      <c r="B2359" s="5" t="s">
        <v>9615</v>
      </c>
      <c r="C2359" s="26" t="s">
        <v>9616</v>
      </c>
      <c r="D2359" s="1347">
        <v>0</v>
      </c>
      <c r="E2359" s="1346">
        <v>0</v>
      </c>
      <c r="F2359" s="4" t="s">
        <v>9617</v>
      </c>
      <c r="G2359" s="1413" t="s">
        <v>2504</v>
      </c>
      <c r="H2359" s="1353">
        <f>M2765-M2766</f>
        <v>0</v>
      </c>
      <c r="I2359" s="1353">
        <f>N2765-N2766</f>
        <v>0</v>
      </c>
      <c r="K2359" s="1355">
        <v>4274</v>
      </c>
      <c r="L2359" s="1355" t="s">
        <v>9618</v>
      </c>
    </row>
    <row r="2360" spans="1:12">
      <c r="B2360" s="5" t="s">
        <v>9619</v>
      </c>
      <c r="C2360" s="26">
        <v>678</v>
      </c>
      <c r="D2360" s="1347">
        <v>0</v>
      </c>
      <c r="E2360" s="1346">
        <v>0</v>
      </c>
      <c r="F2360" s="4" t="s">
        <v>9620</v>
      </c>
      <c r="G2360" s="1413" t="s">
        <v>2504</v>
      </c>
      <c r="H2360" s="1353">
        <f>M1571-M1609</f>
        <v>0</v>
      </c>
      <c r="I2360" s="1353">
        <f>N1571-N1609</f>
        <v>0</v>
      </c>
      <c r="K2360" s="1355">
        <v>4275</v>
      </c>
      <c r="L2360" s="1355" t="s">
        <v>9621</v>
      </c>
    </row>
    <row r="2361" spans="1:12">
      <c r="B2361" s="5" t="s">
        <v>9622</v>
      </c>
      <c r="C2361" s="26">
        <v>677</v>
      </c>
      <c r="D2361" s="1347">
        <v>0</v>
      </c>
      <c r="E2361" s="1346">
        <v>0</v>
      </c>
      <c r="F2361" s="4" t="s">
        <v>9623</v>
      </c>
      <c r="G2361" s="1413" t="s">
        <v>2504</v>
      </c>
      <c r="H2361" s="1353">
        <f>M1572-M1610</f>
        <v>0</v>
      </c>
      <c r="I2361" s="1353">
        <f>N1572-N1610</f>
        <v>0</v>
      </c>
      <c r="K2361" s="1355">
        <v>4276</v>
      </c>
      <c r="L2361" s="1355" t="s">
        <v>9624</v>
      </c>
    </row>
    <row r="2362" spans="1:12">
      <c r="B2362" s="5" t="s">
        <v>9487</v>
      </c>
      <c r="C2362" s="26" t="s">
        <v>9625</v>
      </c>
      <c r="D2362" s="1347">
        <v>0</v>
      </c>
      <c r="E2362" s="1346">
        <v>0</v>
      </c>
      <c r="F2362" s="4" t="s">
        <v>9626</v>
      </c>
      <c r="G2362" s="1413" t="s">
        <v>2504</v>
      </c>
      <c r="H2362" s="1353">
        <f>M2768-M2769</f>
        <v>0</v>
      </c>
      <c r="I2362" s="1353">
        <f>N2768-N2769</f>
        <v>0</v>
      </c>
      <c r="K2362" s="1355">
        <v>4277</v>
      </c>
      <c r="L2362" s="1355" t="s">
        <v>9627</v>
      </c>
    </row>
    <row r="2363" spans="1:12">
      <c r="B2363" s="5" t="s">
        <v>9490</v>
      </c>
      <c r="C2363" s="26" t="s">
        <v>9628</v>
      </c>
      <c r="D2363" s="1347">
        <v>0</v>
      </c>
      <c r="E2363" s="1346">
        <v>0</v>
      </c>
      <c r="F2363" s="4" t="s">
        <v>9629</v>
      </c>
      <c r="G2363" s="1413" t="s">
        <v>2504</v>
      </c>
      <c r="H2363" s="1353">
        <f>M2771-M2772</f>
        <v>0</v>
      </c>
      <c r="I2363" s="1353">
        <f>N2771-N2772</f>
        <v>0</v>
      </c>
      <c r="K2363" s="1355">
        <v>4278</v>
      </c>
      <c r="L2363" s="1355" t="s">
        <v>9630</v>
      </c>
    </row>
    <row r="2364" spans="1:12">
      <c r="B2364" s="5" t="s">
        <v>9631</v>
      </c>
      <c r="C2364" s="26">
        <v>681</v>
      </c>
      <c r="D2364" s="1347">
        <v>25197</v>
      </c>
      <c r="E2364" s="1346">
        <v>114454</v>
      </c>
      <c r="F2364" s="4" t="s">
        <v>9632</v>
      </c>
      <c r="G2364" s="1413" t="s">
        <v>2504</v>
      </c>
      <c r="H2364" s="1353">
        <f>M1573-M1611</f>
        <v>0</v>
      </c>
      <c r="I2364" s="1353">
        <f>N1573-N1611</f>
        <v>0</v>
      </c>
      <c r="K2364" s="1355">
        <v>4279</v>
      </c>
      <c r="L2364" s="1355" t="s">
        <v>9633</v>
      </c>
    </row>
    <row r="2365" spans="1:12">
      <c r="B2365" s="5" t="s">
        <v>9634</v>
      </c>
      <c r="C2365" s="26">
        <v>682</v>
      </c>
      <c r="D2365" s="1347">
        <v>4863</v>
      </c>
      <c r="E2365" s="1346">
        <v>24880</v>
      </c>
      <c r="F2365" s="4" t="s">
        <v>9635</v>
      </c>
      <c r="G2365" s="1413" t="s">
        <v>2504</v>
      </c>
      <c r="H2365" s="1353">
        <f>M1574-M1612</f>
        <v>0</v>
      </c>
      <c r="I2365" s="1353">
        <f>N1574-N1612</f>
        <v>0</v>
      </c>
      <c r="K2365" s="1355">
        <v>4280</v>
      </c>
      <c r="L2365" s="1355" t="s">
        <v>9636</v>
      </c>
    </row>
    <row r="2366" spans="1:12">
      <c r="B2366" s="5" t="s">
        <v>9497</v>
      </c>
      <c r="C2366" s="26" t="s">
        <v>9637</v>
      </c>
      <c r="D2366" s="1347">
        <v>0</v>
      </c>
      <c r="E2366" s="1346">
        <v>0</v>
      </c>
      <c r="F2366" s="4" t="s">
        <v>9638</v>
      </c>
      <c r="G2366" s="1413" t="s">
        <v>2504</v>
      </c>
      <c r="H2366" s="1353">
        <f>M2774-M2775</f>
        <v>0</v>
      </c>
      <c r="I2366" s="1353">
        <f>N2774-N2775</f>
        <v>0</v>
      </c>
      <c r="K2366" s="1355">
        <v>4281</v>
      </c>
      <c r="L2366" s="1355" t="s">
        <v>9639</v>
      </c>
    </row>
    <row r="2367" spans="1:12">
      <c r="B2367" s="5" t="s">
        <v>9640</v>
      </c>
      <c r="C2367" s="26">
        <v>683</v>
      </c>
      <c r="D2367" s="1347">
        <v>17794</v>
      </c>
      <c r="E2367" s="1346">
        <v>78309</v>
      </c>
      <c r="F2367" s="4" t="s">
        <v>9641</v>
      </c>
      <c r="G2367" s="1413" t="s">
        <v>2504</v>
      </c>
      <c r="H2367" s="1353">
        <f>M1575-M1613</f>
        <v>0</v>
      </c>
      <c r="I2367" s="1353">
        <f>N1575-N1613</f>
        <v>0</v>
      </c>
      <c r="K2367" s="1355">
        <v>4282</v>
      </c>
      <c r="L2367" s="1355" t="s">
        <v>9642</v>
      </c>
    </row>
    <row r="2368" spans="1:12">
      <c r="B2368" s="5" t="s">
        <v>9643</v>
      </c>
      <c r="C2368" s="26">
        <v>684</v>
      </c>
      <c r="D2368" s="1347">
        <v>0</v>
      </c>
      <c r="E2368" s="1346">
        <v>0</v>
      </c>
      <c r="F2368" s="4" t="s">
        <v>9644</v>
      </c>
      <c r="G2368" s="1413" t="s">
        <v>2504</v>
      </c>
      <c r="H2368" s="1353">
        <f>M1576-M1614</f>
        <v>0</v>
      </c>
      <c r="I2368" s="1353">
        <f>N1576-N1614</f>
        <v>0</v>
      </c>
      <c r="K2368" s="1355">
        <v>4283</v>
      </c>
      <c r="L2368" s="1355" t="s">
        <v>9645</v>
      </c>
    </row>
    <row r="2369" spans="1:12">
      <c r="B2369" s="5" t="s">
        <v>9646</v>
      </c>
      <c r="C2369" s="26" t="s">
        <v>9647</v>
      </c>
      <c r="D2369" s="1347">
        <v>0</v>
      </c>
      <c r="E2369" s="1346">
        <v>0</v>
      </c>
      <c r="F2369" s="4" t="s">
        <v>9648</v>
      </c>
      <c r="G2369" s="1413" t="s">
        <v>2504</v>
      </c>
      <c r="H2369" s="1353">
        <f>M2777-M2778</f>
        <v>0</v>
      </c>
      <c r="I2369" s="1353">
        <f>N2777-N2778</f>
        <v>0</v>
      </c>
      <c r="K2369" s="1355">
        <v>4284</v>
      </c>
      <c r="L2369" s="1355" t="s">
        <v>9649</v>
      </c>
    </row>
    <row r="2370" spans="1:12">
      <c r="B2370" s="5" t="s">
        <v>9650</v>
      </c>
      <c r="C2370" s="26">
        <v>687</v>
      </c>
      <c r="D2370" s="1347">
        <v>450</v>
      </c>
      <c r="E2370" s="1346">
        <v>-10219</v>
      </c>
      <c r="F2370" s="611" t="s">
        <v>9651</v>
      </c>
      <c r="G2370" s="1413" t="s">
        <v>2504</v>
      </c>
      <c r="H2370" s="1353">
        <f>(M1615)*-1</f>
        <v>0</v>
      </c>
      <c r="I2370" s="1353">
        <f>(N1615)*-1</f>
        <v>0</v>
      </c>
      <c r="K2370" s="1355">
        <v>4285</v>
      </c>
      <c r="L2370" s="1355" t="s">
        <v>9652</v>
      </c>
    </row>
    <row r="2371" spans="1:12">
      <c r="B2371" s="5" t="s">
        <v>9653</v>
      </c>
      <c r="C2371" s="26">
        <v>688</v>
      </c>
      <c r="D2371" s="1347">
        <v>0</v>
      </c>
      <c r="E2371" s="1346">
        <v>-1525</v>
      </c>
      <c r="F2371" s="611" t="s">
        <v>9654</v>
      </c>
      <c r="G2371" s="1413" t="s">
        <v>2504</v>
      </c>
      <c r="H2371" s="1353">
        <f>(M1616)*-1</f>
        <v>0</v>
      </c>
      <c r="I2371" s="1353">
        <f>(N1616)*-1</f>
        <v>0</v>
      </c>
      <c r="K2371" s="1355">
        <v>4286</v>
      </c>
      <c r="L2371" s="1355" t="s">
        <v>9655</v>
      </c>
    </row>
    <row r="2372" spans="1:12">
      <c r="B2372" s="5" t="s">
        <v>9656</v>
      </c>
      <c r="C2372" s="26">
        <v>690</v>
      </c>
      <c r="D2372" s="1347">
        <v>5380</v>
      </c>
      <c r="E2372" s="1346">
        <v>62500</v>
      </c>
      <c r="F2372" s="611" t="s">
        <v>9657</v>
      </c>
      <c r="G2372" s="1413" t="s">
        <v>2504</v>
      </c>
      <c r="H2372" s="1353">
        <f t="shared" ref="H2372:I2374" si="404">M1578-M1618</f>
        <v>0</v>
      </c>
      <c r="I2372" s="1353">
        <f t="shared" si="404"/>
        <v>0</v>
      </c>
      <c r="K2372" s="1355">
        <v>4287</v>
      </c>
      <c r="L2372" s="1355" t="s">
        <v>9658</v>
      </c>
    </row>
    <row r="2373" spans="1:12">
      <c r="B2373" s="5" t="s">
        <v>9659</v>
      </c>
      <c r="C2373" s="26">
        <v>691</v>
      </c>
      <c r="D2373" s="1347">
        <v>5856</v>
      </c>
      <c r="E2373" s="1346">
        <v>17629</v>
      </c>
      <c r="F2373" s="611" t="s">
        <v>9660</v>
      </c>
      <c r="G2373" s="1413" t="s">
        <v>2504</v>
      </c>
      <c r="H2373" s="1353">
        <f t="shared" si="404"/>
        <v>0</v>
      </c>
      <c r="I2373" s="1353">
        <f t="shared" si="404"/>
        <v>0</v>
      </c>
      <c r="K2373" s="1355">
        <v>4288</v>
      </c>
      <c r="L2373" s="1355" t="s">
        <v>9661</v>
      </c>
    </row>
    <row r="2374" spans="1:12">
      <c r="B2374" s="5" t="s">
        <v>9662</v>
      </c>
      <c r="C2374" s="26">
        <v>692</v>
      </c>
      <c r="D2374" s="1347">
        <v>0</v>
      </c>
      <c r="E2374" s="1346">
        <v>0</v>
      </c>
      <c r="F2374" s="611" t="s">
        <v>9663</v>
      </c>
      <c r="G2374" s="1413" t="s">
        <v>2504</v>
      </c>
      <c r="H2374" s="1353">
        <f t="shared" si="404"/>
        <v>0</v>
      </c>
      <c r="I2374" s="1353">
        <f t="shared" si="404"/>
        <v>0</v>
      </c>
      <c r="K2374" s="1355">
        <v>4289</v>
      </c>
      <c r="L2374" s="1355" t="s">
        <v>9664</v>
      </c>
    </row>
    <row r="2375" spans="1:12">
      <c r="B2375" s="5" t="s">
        <v>9665</v>
      </c>
      <c r="C2375" s="26" t="s">
        <v>9666</v>
      </c>
      <c r="D2375" s="1347">
        <v>49656</v>
      </c>
      <c r="E2375" s="1346">
        <v>207673</v>
      </c>
      <c r="F2375" s="611" t="s">
        <v>5919</v>
      </c>
      <c r="G2375" s="1408">
        <v>1198</v>
      </c>
      <c r="H2375" s="1353">
        <f>M1174</f>
        <v>0</v>
      </c>
      <c r="I2375" s="1353">
        <f>N1174</f>
        <v>0</v>
      </c>
      <c r="K2375" s="1355">
        <v>4290</v>
      </c>
      <c r="L2375" s="1355" t="s">
        <v>9667</v>
      </c>
    </row>
    <row r="2376" spans="1:12">
      <c r="A2376" s="611" t="s">
        <v>9668</v>
      </c>
      <c r="B2376" s="5" t="s">
        <v>5376</v>
      </c>
      <c r="C2376" s="26">
        <v>810</v>
      </c>
      <c r="D2376" s="1347">
        <v>0</v>
      </c>
      <c r="E2376" s="1346">
        <v>0</v>
      </c>
      <c r="F2376" s="611" t="s">
        <v>7090</v>
      </c>
      <c r="G2376" s="1408">
        <v>1658</v>
      </c>
      <c r="H2376" s="1353">
        <f t="shared" ref="H2376:I2379" si="405">M1624</f>
        <v>0</v>
      </c>
      <c r="I2376" s="1353">
        <f t="shared" si="405"/>
        <v>0</v>
      </c>
      <c r="K2376" s="1355">
        <v>4291</v>
      </c>
      <c r="L2376" s="1355" t="s">
        <v>9669</v>
      </c>
    </row>
    <row r="2377" spans="1:12">
      <c r="B2377" s="5" t="s">
        <v>9670</v>
      </c>
      <c r="C2377" s="26">
        <v>822</v>
      </c>
      <c r="D2377" s="1347">
        <v>0</v>
      </c>
      <c r="E2377" s="1346">
        <v>0</v>
      </c>
      <c r="F2377" s="611" t="s">
        <v>7093</v>
      </c>
      <c r="G2377" s="1408">
        <v>8594</v>
      </c>
      <c r="H2377" s="1353">
        <f t="shared" si="405"/>
        <v>0</v>
      </c>
      <c r="I2377" s="1353">
        <f t="shared" si="405"/>
        <v>0</v>
      </c>
      <c r="K2377" s="1355">
        <v>4292</v>
      </c>
      <c r="L2377" s="1355" t="s">
        <v>9671</v>
      </c>
    </row>
    <row r="2378" spans="1:12">
      <c r="B2378" s="5" t="s">
        <v>5379</v>
      </c>
      <c r="C2378" s="26">
        <v>443</v>
      </c>
      <c r="D2378" s="1347">
        <v>21672</v>
      </c>
      <c r="E2378" s="1346">
        <v>107031</v>
      </c>
      <c r="F2378" s="611" t="s">
        <v>7096</v>
      </c>
      <c r="G2378" s="1408">
        <v>1659</v>
      </c>
      <c r="H2378" s="1353">
        <f t="shared" si="405"/>
        <v>0</v>
      </c>
      <c r="I2378" s="1353">
        <f t="shared" si="405"/>
        <v>0</v>
      </c>
      <c r="K2378" s="1355">
        <v>4293</v>
      </c>
      <c r="L2378" s="1355" t="s">
        <v>9672</v>
      </c>
    </row>
    <row r="2379" spans="1:12">
      <c r="B2379" s="5" t="s">
        <v>5382</v>
      </c>
      <c r="C2379" s="26">
        <v>444</v>
      </c>
      <c r="D2379" s="1347">
        <v>11688</v>
      </c>
      <c r="E2379" s="1346">
        <v>26048</v>
      </c>
      <c r="F2379" s="611" t="s">
        <v>7099</v>
      </c>
      <c r="G2379" s="1408">
        <v>1660</v>
      </c>
      <c r="H2379" s="1353">
        <f t="shared" si="405"/>
        <v>0</v>
      </c>
      <c r="I2379" s="1353">
        <f t="shared" si="405"/>
        <v>0</v>
      </c>
      <c r="K2379" s="1355">
        <v>4294</v>
      </c>
      <c r="L2379" s="1355" t="s">
        <v>9673</v>
      </c>
    </row>
    <row r="2380" spans="1:12">
      <c r="B2380" s="5" t="s">
        <v>5376</v>
      </c>
      <c r="C2380" s="26">
        <v>811</v>
      </c>
      <c r="D2380" s="1347">
        <v>0</v>
      </c>
      <c r="E2380" s="1346">
        <v>0</v>
      </c>
      <c r="F2380" s="611" t="s">
        <v>7105</v>
      </c>
      <c r="G2380" s="1408">
        <v>1662</v>
      </c>
      <c r="H2380" s="1353">
        <f t="shared" ref="H2380:I2383" si="406">M1629</f>
        <v>0</v>
      </c>
      <c r="I2380" s="1353">
        <f t="shared" si="406"/>
        <v>0</v>
      </c>
      <c r="K2380" s="1355">
        <v>4295</v>
      </c>
      <c r="L2380" s="1355" t="s">
        <v>9674</v>
      </c>
    </row>
    <row r="2381" spans="1:12">
      <c r="B2381" s="5" t="s">
        <v>9670</v>
      </c>
      <c r="C2381" s="26">
        <v>823</v>
      </c>
      <c r="D2381" s="1347">
        <v>0</v>
      </c>
      <c r="E2381" s="1346">
        <v>0</v>
      </c>
      <c r="F2381" s="611" t="s">
        <v>7108</v>
      </c>
      <c r="G2381" s="1408">
        <v>8597</v>
      </c>
      <c r="H2381" s="1353">
        <f t="shared" si="406"/>
        <v>0</v>
      </c>
      <c r="I2381" s="1353">
        <f t="shared" si="406"/>
        <v>0</v>
      </c>
      <c r="K2381" s="1355">
        <v>4296</v>
      </c>
      <c r="L2381" s="1355" t="s">
        <v>9675</v>
      </c>
    </row>
    <row r="2382" spans="1:12">
      <c r="B2382" s="5" t="s">
        <v>5379</v>
      </c>
      <c r="C2382" s="26">
        <v>454</v>
      </c>
      <c r="D2382" s="1347">
        <v>6183</v>
      </c>
      <c r="E2382" s="1346">
        <v>29308</v>
      </c>
      <c r="F2382" s="611" t="s">
        <v>7111</v>
      </c>
      <c r="G2382" s="1408">
        <v>1663</v>
      </c>
      <c r="H2382" s="1353">
        <f t="shared" si="406"/>
        <v>0</v>
      </c>
      <c r="I2382" s="1353">
        <f t="shared" si="406"/>
        <v>0</v>
      </c>
      <c r="K2382" s="1355">
        <v>4297</v>
      </c>
      <c r="L2382" s="1355" t="s">
        <v>9676</v>
      </c>
    </row>
    <row r="2383" spans="1:12">
      <c r="B2383" s="5" t="s">
        <v>5382</v>
      </c>
      <c r="C2383" s="26">
        <v>455</v>
      </c>
      <c r="D2383" s="1347">
        <v>0</v>
      </c>
      <c r="E2383" s="1346">
        <v>0</v>
      </c>
      <c r="F2383" s="611" t="s">
        <v>7114</v>
      </c>
      <c r="G2383" s="1408">
        <v>1664</v>
      </c>
      <c r="H2383" s="1353">
        <f t="shared" si="406"/>
        <v>0</v>
      </c>
      <c r="I2383" s="1353">
        <f t="shared" si="406"/>
        <v>0</v>
      </c>
      <c r="K2383" s="1355">
        <v>4298</v>
      </c>
      <c r="L2383" s="1355" t="s">
        <v>9677</v>
      </c>
    </row>
    <row r="2384" spans="1:12">
      <c r="A2384" s="611" t="s">
        <v>9678</v>
      </c>
      <c r="B2384" s="5" t="s">
        <v>5370</v>
      </c>
      <c r="C2384" s="26">
        <v>806</v>
      </c>
      <c r="D2384" s="1347">
        <v>0</v>
      </c>
      <c r="E2384" s="1346">
        <v>0</v>
      </c>
      <c r="F2384" s="611" t="s">
        <v>9679</v>
      </c>
      <c r="G2384" s="1413" t="s">
        <v>2504</v>
      </c>
      <c r="H2384" s="1353">
        <f>(M1635)</f>
        <v>0</v>
      </c>
      <c r="I2384" s="1353">
        <f>(N1635)</f>
        <v>0</v>
      </c>
      <c r="K2384" s="1355">
        <v>4299</v>
      </c>
      <c r="L2384" s="1355" t="s">
        <v>9680</v>
      </c>
    </row>
    <row r="2385" spans="2:12">
      <c r="B2385" s="5" t="s">
        <v>5373</v>
      </c>
      <c r="C2385" s="26">
        <v>807</v>
      </c>
      <c r="D2385" s="1347">
        <v>2518</v>
      </c>
      <c r="E2385" s="1346">
        <v>3750</v>
      </c>
      <c r="F2385" s="611" t="s">
        <v>9681</v>
      </c>
      <c r="G2385" s="1413" t="s">
        <v>2504</v>
      </c>
      <c r="H2385" s="1353">
        <f>(M1636)</f>
        <v>0</v>
      </c>
      <c r="I2385" s="1353">
        <f>(N1636)</f>
        <v>0</v>
      </c>
      <c r="K2385" s="1355">
        <v>4300</v>
      </c>
      <c r="L2385" s="1355" t="s">
        <v>9682</v>
      </c>
    </row>
    <row r="2386" spans="2:12">
      <c r="B2386" s="5" t="s">
        <v>9683</v>
      </c>
      <c r="C2386" s="26">
        <v>850</v>
      </c>
      <c r="D2386" s="1347">
        <v>0</v>
      </c>
      <c r="E2386" s="1346">
        <v>0</v>
      </c>
      <c r="F2386" s="611" t="s">
        <v>9684</v>
      </c>
      <c r="G2386" s="1413" t="s">
        <v>2504</v>
      </c>
      <c r="H2386" s="1353">
        <f>(M1637)*-1</f>
        <v>0</v>
      </c>
      <c r="I2386" s="1353">
        <f>(N1637)*-1</f>
        <v>0</v>
      </c>
      <c r="K2386" s="1355">
        <v>4301</v>
      </c>
      <c r="L2386" s="1355" t="s">
        <v>9685</v>
      </c>
    </row>
    <row r="2387" spans="2:12">
      <c r="B2387" s="5" t="s">
        <v>5376</v>
      </c>
      <c r="C2387" s="26">
        <v>860</v>
      </c>
      <c r="D2387" s="1347">
        <v>0</v>
      </c>
      <c r="E2387" s="1346">
        <v>0</v>
      </c>
      <c r="F2387" s="611" t="s">
        <v>9686</v>
      </c>
      <c r="G2387" s="1413" t="s">
        <v>2504</v>
      </c>
      <c r="H2387" s="1353">
        <f t="shared" ref="H2387:I2390" si="407">M1624-M1638</f>
        <v>0</v>
      </c>
      <c r="I2387" s="1353">
        <f t="shared" si="407"/>
        <v>0</v>
      </c>
      <c r="K2387" s="1355">
        <v>4302</v>
      </c>
      <c r="L2387" s="1355" t="s">
        <v>9687</v>
      </c>
    </row>
    <row r="2388" spans="2:12">
      <c r="B2388" s="5" t="s">
        <v>9670</v>
      </c>
      <c r="C2388" s="26">
        <v>872</v>
      </c>
      <c r="D2388" s="1347">
        <v>0</v>
      </c>
      <c r="E2388" s="1346">
        <v>0</v>
      </c>
      <c r="F2388" s="611" t="s">
        <v>9688</v>
      </c>
      <c r="G2388" s="1413" t="s">
        <v>2504</v>
      </c>
      <c r="H2388" s="1353">
        <f t="shared" si="407"/>
        <v>0</v>
      </c>
      <c r="I2388" s="1353">
        <f t="shared" si="407"/>
        <v>0</v>
      </c>
      <c r="K2388" s="1355">
        <v>4303</v>
      </c>
      <c r="L2388" s="1355" t="s">
        <v>9689</v>
      </c>
    </row>
    <row r="2389" spans="2:12">
      <c r="B2389" s="5" t="s">
        <v>5379</v>
      </c>
      <c r="C2389" s="26">
        <v>643</v>
      </c>
      <c r="D2389" s="1347">
        <v>11632</v>
      </c>
      <c r="E2389" s="1346">
        <v>55833</v>
      </c>
      <c r="F2389" s="611" t="s">
        <v>9690</v>
      </c>
      <c r="G2389" s="1413" t="s">
        <v>2504</v>
      </c>
      <c r="H2389" s="1353">
        <f t="shared" si="407"/>
        <v>0</v>
      </c>
      <c r="I2389" s="1353">
        <f t="shared" si="407"/>
        <v>0</v>
      </c>
      <c r="K2389" s="1355">
        <v>4304</v>
      </c>
      <c r="L2389" s="1355" t="s">
        <v>9691</v>
      </c>
    </row>
    <row r="2390" spans="2:12">
      <c r="B2390" s="5" t="s">
        <v>5382</v>
      </c>
      <c r="C2390" s="26">
        <v>644</v>
      </c>
      <c r="D2390" s="1347">
        <v>5494</v>
      </c>
      <c r="E2390" s="1346">
        <v>11838</v>
      </c>
      <c r="F2390" s="611" t="s">
        <v>9692</v>
      </c>
      <c r="G2390" s="1413" t="s">
        <v>2504</v>
      </c>
      <c r="H2390" s="1353">
        <f t="shared" si="407"/>
        <v>0</v>
      </c>
      <c r="I2390" s="1353">
        <f t="shared" si="407"/>
        <v>0</v>
      </c>
      <c r="K2390" s="1355">
        <v>4305</v>
      </c>
      <c r="L2390" s="1355" t="s">
        <v>9693</v>
      </c>
    </row>
    <row r="2391" spans="2:12">
      <c r="B2391" s="5" t="s">
        <v>9694</v>
      </c>
      <c r="C2391" s="26">
        <v>853</v>
      </c>
      <c r="D2391" s="1347">
        <v>0</v>
      </c>
      <c r="E2391" s="1346">
        <v>0</v>
      </c>
      <c r="F2391" s="611" t="s">
        <v>9695</v>
      </c>
      <c r="G2391" s="1413" t="s">
        <v>2504</v>
      </c>
      <c r="H2391" s="1353">
        <f>(M1642)*-1</f>
        <v>0</v>
      </c>
      <c r="I2391" s="1353">
        <f>(N1642)*-1</f>
        <v>0</v>
      </c>
      <c r="K2391" s="1355">
        <v>4306</v>
      </c>
      <c r="L2391" s="1355" t="s">
        <v>9696</v>
      </c>
    </row>
    <row r="2392" spans="2:12">
      <c r="B2392" s="5" t="s">
        <v>9697</v>
      </c>
      <c r="C2392" s="26">
        <v>855</v>
      </c>
      <c r="D2392" s="1347">
        <v>10140</v>
      </c>
      <c r="E2392" s="1346">
        <v>25892</v>
      </c>
      <c r="F2392" s="611" t="s">
        <v>9698</v>
      </c>
      <c r="G2392" s="1413" t="s">
        <v>2504</v>
      </c>
      <c r="H2392" s="1353">
        <f>(M1643)</f>
        <v>0</v>
      </c>
      <c r="I2392" s="1353">
        <f>(N1643)</f>
        <v>0</v>
      </c>
      <c r="K2392" s="1355">
        <v>4307</v>
      </c>
      <c r="L2392" s="1355" t="s">
        <v>9699</v>
      </c>
    </row>
    <row r="2393" spans="2:12">
      <c r="B2393" s="5" t="s">
        <v>5385</v>
      </c>
      <c r="C2393" s="26">
        <v>808</v>
      </c>
      <c r="D2393" s="1347">
        <v>2380</v>
      </c>
      <c r="E2393" s="1346">
        <v>4199</v>
      </c>
      <c r="F2393" s="611" t="s">
        <v>9700</v>
      </c>
      <c r="G2393" s="1413" t="s">
        <v>2504</v>
      </c>
      <c r="H2393" s="1353">
        <f>(M1645)</f>
        <v>0</v>
      </c>
      <c r="I2393" s="1353">
        <f>(N1645)</f>
        <v>0</v>
      </c>
      <c r="K2393" s="1355">
        <v>4308</v>
      </c>
      <c r="L2393" s="1355" t="s">
        <v>9701</v>
      </c>
    </row>
    <row r="2394" spans="2:12">
      <c r="B2394" s="5" t="s">
        <v>5388</v>
      </c>
      <c r="C2394" s="26">
        <v>809</v>
      </c>
      <c r="D2394" s="1347">
        <v>0</v>
      </c>
      <c r="E2394" s="1346">
        <v>0</v>
      </c>
      <c r="F2394" s="611" t="s">
        <v>9702</v>
      </c>
      <c r="G2394" s="1413" t="s">
        <v>2504</v>
      </c>
      <c r="H2394" s="1353">
        <f>(M1646)</f>
        <v>0</v>
      </c>
      <c r="I2394" s="1353">
        <f>(N1646)</f>
        <v>0</v>
      </c>
      <c r="K2394" s="1355">
        <v>4309</v>
      </c>
      <c r="L2394" s="1355" t="s">
        <v>9703</v>
      </c>
    </row>
    <row r="2395" spans="2:12">
      <c r="B2395" s="5" t="s">
        <v>9683</v>
      </c>
      <c r="C2395" s="26">
        <v>851</v>
      </c>
      <c r="D2395" s="1347">
        <v>0</v>
      </c>
      <c r="E2395" s="1346">
        <v>0</v>
      </c>
      <c r="F2395" s="611" t="s">
        <v>9704</v>
      </c>
      <c r="G2395" s="1413" t="s">
        <v>2504</v>
      </c>
      <c r="H2395" s="1353">
        <f>(M1647)*-1</f>
        <v>0</v>
      </c>
      <c r="I2395" s="1353">
        <f>(N1647)*-1</f>
        <v>0</v>
      </c>
      <c r="K2395" s="1355">
        <v>4310</v>
      </c>
      <c r="L2395" s="1355" t="s">
        <v>9705</v>
      </c>
    </row>
    <row r="2396" spans="2:12">
      <c r="B2396" s="5" t="s">
        <v>5376</v>
      </c>
      <c r="C2396" s="26">
        <v>861</v>
      </c>
      <c r="D2396" s="1347">
        <v>0</v>
      </c>
      <c r="E2396" s="1346">
        <v>0</v>
      </c>
      <c r="F2396" s="611" t="s">
        <v>9706</v>
      </c>
      <c r="G2396" s="1413" t="s">
        <v>2504</v>
      </c>
      <c r="H2396" s="1353">
        <f t="shared" ref="H2396:I2399" si="408">M1629-M1648</f>
        <v>0</v>
      </c>
      <c r="I2396" s="1353">
        <f t="shared" si="408"/>
        <v>0</v>
      </c>
      <c r="K2396" s="1355">
        <v>4311</v>
      </c>
      <c r="L2396" s="1355" t="s">
        <v>9707</v>
      </c>
    </row>
    <row r="2397" spans="2:12">
      <c r="B2397" s="5" t="s">
        <v>9670</v>
      </c>
      <c r="C2397" s="26">
        <v>873</v>
      </c>
      <c r="D2397" s="1347">
        <v>0</v>
      </c>
      <c r="E2397" s="1346">
        <v>0</v>
      </c>
      <c r="F2397" s="611" t="s">
        <v>9708</v>
      </c>
      <c r="G2397" s="1413" t="s">
        <v>2504</v>
      </c>
      <c r="H2397" s="1353">
        <f t="shared" si="408"/>
        <v>0</v>
      </c>
      <c r="I2397" s="1353">
        <f t="shared" si="408"/>
        <v>0</v>
      </c>
      <c r="K2397" s="1355">
        <v>4312</v>
      </c>
      <c r="L2397" s="1355" t="s">
        <v>9709</v>
      </c>
    </row>
    <row r="2398" spans="2:12">
      <c r="B2398" s="5" t="s">
        <v>5379</v>
      </c>
      <c r="C2398" s="26">
        <v>654</v>
      </c>
      <c r="D2398" s="1347">
        <v>2734</v>
      </c>
      <c r="E2398" s="1346">
        <v>12728</v>
      </c>
      <c r="F2398" s="611" t="s">
        <v>9710</v>
      </c>
      <c r="G2398" s="1413" t="s">
        <v>2504</v>
      </c>
      <c r="H2398" s="1353">
        <f t="shared" si="408"/>
        <v>0</v>
      </c>
      <c r="I2398" s="1353">
        <f t="shared" si="408"/>
        <v>0</v>
      </c>
      <c r="K2398" s="1355">
        <v>4313</v>
      </c>
      <c r="L2398" s="1355" t="s">
        <v>9711</v>
      </c>
    </row>
    <row r="2399" spans="2:12">
      <c r="B2399" s="5" t="s">
        <v>5382</v>
      </c>
      <c r="C2399" s="26">
        <v>655</v>
      </c>
      <c r="D2399" s="1347">
        <v>0</v>
      </c>
      <c r="E2399" s="1346">
        <v>0</v>
      </c>
      <c r="F2399" s="611" t="s">
        <v>9712</v>
      </c>
      <c r="G2399" s="1413" t="s">
        <v>2504</v>
      </c>
      <c r="H2399" s="1353">
        <f t="shared" si="408"/>
        <v>0</v>
      </c>
      <c r="I2399" s="1353">
        <f t="shared" si="408"/>
        <v>0</v>
      </c>
      <c r="K2399" s="1355">
        <v>4314</v>
      </c>
      <c r="L2399" s="1355" t="s">
        <v>9713</v>
      </c>
    </row>
    <row r="2400" spans="2:12">
      <c r="B2400" s="5" t="s">
        <v>9714</v>
      </c>
      <c r="C2400" s="26">
        <v>854</v>
      </c>
      <c r="D2400" s="1347">
        <v>0</v>
      </c>
      <c r="E2400" s="1346">
        <v>0</v>
      </c>
      <c r="F2400" s="611" t="s">
        <v>9715</v>
      </c>
      <c r="G2400" s="1413" t="s">
        <v>2504</v>
      </c>
      <c r="H2400" s="1353">
        <f>(M1652)*-1</f>
        <v>0</v>
      </c>
      <c r="I2400" s="1353">
        <f>(N1652)*-1</f>
        <v>0</v>
      </c>
      <c r="K2400" s="1355">
        <v>4315</v>
      </c>
      <c r="L2400" s="1355" t="s">
        <v>9716</v>
      </c>
    </row>
    <row r="2401" spans="1:12">
      <c r="B2401" s="5" t="s">
        <v>9697</v>
      </c>
      <c r="C2401" s="26">
        <v>856</v>
      </c>
      <c r="D2401" s="1347">
        <v>1557</v>
      </c>
      <c r="E2401" s="1346">
        <v>6808</v>
      </c>
      <c r="F2401" s="611" t="s">
        <v>9717</v>
      </c>
      <c r="G2401" s="1413" t="s">
        <v>2504</v>
      </c>
      <c r="H2401" s="1353">
        <f>(M1653)</f>
        <v>0</v>
      </c>
      <c r="I2401" s="1353">
        <f>(N1653)</f>
        <v>0</v>
      </c>
      <c r="K2401" s="1355">
        <v>4316</v>
      </c>
      <c r="L2401" s="1355" t="s">
        <v>9718</v>
      </c>
    </row>
    <row r="2402" spans="1:12">
      <c r="B2402" s="5" t="s">
        <v>9719</v>
      </c>
      <c r="C2402" s="26" t="s">
        <v>9720</v>
      </c>
      <c r="D2402" s="1347">
        <v>12884</v>
      </c>
      <c r="E2402" s="1346">
        <v>57237</v>
      </c>
      <c r="F2402" s="611" t="s">
        <v>7185</v>
      </c>
      <c r="G2402" s="1408">
        <v>1685</v>
      </c>
      <c r="H2402" s="1353">
        <f>M1655</f>
        <v>0</v>
      </c>
      <c r="I2402" s="1353">
        <f>N1655</f>
        <v>0</v>
      </c>
      <c r="K2402" s="1355">
        <v>4317</v>
      </c>
      <c r="L2402" s="1355" t="s">
        <v>9721</v>
      </c>
    </row>
    <row r="2403" spans="1:12" ht="10.5">
      <c r="A2403" s="27" t="s">
        <v>9722</v>
      </c>
      <c r="B2403" s="5" t="s">
        <v>9723</v>
      </c>
      <c r="C2403" s="26">
        <v>511</v>
      </c>
      <c r="D2403" s="1347">
        <v>0</v>
      </c>
      <c r="E2403" s="1346">
        <v>0</v>
      </c>
      <c r="F2403" s="611" t="s">
        <v>7265</v>
      </c>
      <c r="G2403" s="1408">
        <v>1706</v>
      </c>
      <c r="H2403" s="1353">
        <f t="shared" ref="H2403:I2408" si="409">M1675</f>
        <v>0</v>
      </c>
      <c r="I2403" s="1353">
        <f t="shared" si="409"/>
        <v>0</v>
      </c>
      <c r="K2403" s="1355">
        <v>4318</v>
      </c>
      <c r="L2403" s="1355" t="s">
        <v>9724</v>
      </c>
    </row>
    <row r="2404" spans="1:12">
      <c r="B2404" s="5" t="s">
        <v>9725</v>
      </c>
      <c r="C2404" s="26">
        <v>512</v>
      </c>
      <c r="D2404" s="1347">
        <v>0</v>
      </c>
      <c r="E2404" s="1346">
        <v>0</v>
      </c>
      <c r="F2404" s="611" t="s">
        <v>7269</v>
      </c>
      <c r="G2404" s="1408">
        <v>1707</v>
      </c>
      <c r="H2404" s="1353">
        <f t="shared" si="409"/>
        <v>0</v>
      </c>
      <c r="I2404" s="1353">
        <f t="shared" si="409"/>
        <v>0</v>
      </c>
      <c r="K2404" s="1355">
        <v>4319</v>
      </c>
      <c r="L2404" s="1355" t="s">
        <v>9726</v>
      </c>
    </row>
    <row r="2405" spans="1:12">
      <c r="B2405" s="5" t="s">
        <v>9727</v>
      </c>
      <c r="C2405" s="26">
        <v>513</v>
      </c>
      <c r="D2405" s="1347">
        <v>0</v>
      </c>
      <c r="E2405" s="1346">
        <v>0</v>
      </c>
      <c r="F2405" s="611" t="s">
        <v>7273</v>
      </c>
      <c r="G2405" s="1408">
        <v>1708</v>
      </c>
      <c r="H2405" s="1353">
        <f t="shared" si="409"/>
        <v>0</v>
      </c>
      <c r="I2405" s="1353">
        <f t="shared" si="409"/>
        <v>0</v>
      </c>
      <c r="K2405" s="1355">
        <v>4320</v>
      </c>
      <c r="L2405" s="1355" t="s">
        <v>9728</v>
      </c>
    </row>
    <row r="2406" spans="1:12">
      <c r="B2406" s="5" t="s">
        <v>9729</v>
      </c>
      <c r="C2406" s="26">
        <v>514</v>
      </c>
      <c r="D2406" s="1347">
        <v>0</v>
      </c>
      <c r="E2406" s="1346">
        <v>0</v>
      </c>
      <c r="F2406" s="611" t="s">
        <v>7277</v>
      </c>
      <c r="G2406" s="1408">
        <v>1709</v>
      </c>
      <c r="H2406" s="1353">
        <f t="shared" si="409"/>
        <v>0</v>
      </c>
      <c r="I2406" s="1353">
        <f t="shared" si="409"/>
        <v>0</v>
      </c>
      <c r="K2406" s="1355">
        <v>4321</v>
      </c>
      <c r="L2406" s="1355" t="s">
        <v>9730</v>
      </c>
    </row>
    <row r="2407" spans="1:12">
      <c r="B2407" s="5" t="s">
        <v>9731</v>
      </c>
      <c r="C2407" s="26">
        <v>516</v>
      </c>
      <c r="D2407" s="1347">
        <v>0</v>
      </c>
      <c r="E2407" s="1346">
        <v>0</v>
      </c>
      <c r="F2407" s="611" t="s">
        <v>7281</v>
      </c>
      <c r="G2407" s="1408">
        <v>1710</v>
      </c>
      <c r="H2407" s="1353">
        <f t="shared" si="409"/>
        <v>0</v>
      </c>
      <c r="I2407" s="1353">
        <f t="shared" si="409"/>
        <v>0</v>
      </c>
      <c r="K2407" s="1355">
        <v>4322</v>
      </c>
      <c r="L2407" s="1355" t="s">
        <v>9732</v>
      </c>
    </row>
    <row r="2408" spans="1:12">
      <c r="B2408" s="5" t="s">
        <v>9733</v>
      </c>
      <c r="C2408" s="26">
        <v>517</v>
      </c>
      <c r="D2408" s="1347">
        <v>0</v>
      </c>
      <c r="E2408" s="1346">
        <v>0</v>
      </c>
      <c r="F2408" s="611" t="s">
        <v>7285</v>
      </c>
      <c r="G2408" s="1408">
        <v>1711</v>
      </c>
      <c r="H2408" s="1353">
        <f t="shared" si="409"/>
        <v>0</v>
      </c>
      <c r="I2408" s="1353">
        <f t="shared" si="409"/>
        <v>0</v>
      </c>
      <c r="K2408" s="1355">
        <v>4323</v>
      </c>
      <c r="L2408" s="1355" t="s">
        <v>9734</v>
      </c>
    </row>
    <row r="2409" spans="1:12">
      <c r="B2409" s="5" t="s">
        <v>9735</v>
      </c>
      <c r="C2409" s="26">
        <v>711</v>
      </c>
      <c r="D2409" s="1347">
        <v>0</v>
      </c>
      <c r="E2409" s="1346">
        <v>0</v>
      </c>
      <c r="F2409" s="611" t="s">
        <v>7293</v>
      </c>
      <c r="G2409" s="1408">
        <v>1713</v>
      </c>
      <c r="H2409" s="1353">
        <f t="shared" ref="H2409:I2416" si="410">M1682</f>
        <v>0</v>
      </c>
      <c r="I2409" s="1353">
        <f t="shared" si="410"/>
        <v>0</v>
      </c>
      <c r="K2409" s="1355">
        <v>4324</v>
      </c>
      <c r="L2409" s="1355" t="s">
        <v>9736</v>
      </c>
    </row>
    <row r="2410" spans="1:12">
      <c r="B2410" s="5" t="s">
        <v>9737</v>
      </c>
      <c r="C2410" s="26">
        <v>712</v>
      </c>
      <c r="D2410" s="1347">
        <v>0</v>
      </c>
      <c r="E2410" s="1346">
        <v>0</v>
      </c>
      <c r="F2410" s="611" t="s">
        <v>7297</v>
      </c>
      <c r="G2410" s="1408">
        <v>1714</v>
      </c>
      <c r="H2410" s="1353">
        <f t="shared" si="410"/>
        <v>0</v>
      </c>
      <c r="I2410" s="1353">
        <f t="shared" si="410"/>
        <v>0</v>
      </c>
      <c r="K2410" s="1355">
        <v>4325</v>
      </c>
      <c r="L2410" s="1355" t="s">
        <v>9738</v>
      </c>
    </row>
    <row r="2411" spans="1:12">
      <c r="B2411" s="5" t="s">
        <v>9739</v>
      </c>
      <c r="C2411" s="26">
        <v>713</v>
      </c>
      <c r="D2411" s="1347">
        <v>0</v>
      </c>
      <c r="E2411" s="1346">
        <v>0</v>
      </c>
      <c r="F2411" s="611" t="s">
        <v>7301</v>
      </c>
      <c r="G2411" s="1408">
        <v>1715</v>
      </c>
      <c r="H2411" s="1353">
        <f t="shared" si="410"/>
        <v>0</v>
      </c>
      <c r="I2411" s="1353">
        <f t="shared" si="410"/>
        <v>0</v>
      </c>
      <c r="K2411" s="1355">
        <v>4326</v>
      </c>
      <c r="L2411" s="1355" t="s">
        <v>9740</v>
      </c>
    </row>
    <row r="2412" spans="1:12">
      <c r="B2412" s="5" t="s">
        <v>9741</v>
      </c>
      <c r="C2412" s="26">
        <v>714</v>
      </c>
      <c r="D2412" s="1347">
        <v>0</v>
      </c>
      <c r="E2412" s="1346">
        <v>0</v>
      </c>
      <c r="F2412" s="611" t="s">
        <v>7305</v>
      </c>
      <c r="G2412" s="1408">
        <v>1716</v>
      </c>
      <c r="H2412" s="1353">
        <f t="shared" si="410"/>
        <v>0</v>
      </c>
      <c r="I2412" s="1353">
        <f t="shared" si="410"/>
        <v>0</v>
      </c>
      <c r="K2412" s="1355">
        <v>4327</v>
      </c>
      <c r="L2412" s="1355" t="s">
        <v>9742</v>
      </c>
    </row>
    <row r="2413" spans="1:12">
      <c r="B2413" s="5" t="s">
        <v>9743</v>
      </c>
      <c r="C2413" s="26">
        <v>715</v>
      </c>
      <c r="D2413" s="1347">
        <v>0</v>
      </c>
      <c r="E2413" s="1346">
        <v>0</v>
      </c>
      <c r="F2413" s="611" t="s">
        <v>7309</v>
      </c>
      <c r="G2413" s="1408">
        <v>1717</v>
      </c>
      <c r="H2413" s="1353">
        <f t="shared" si="410"/>
        <v>0</v>
      </c>
      <c r="I2413" s="1353">
        <f t="shared" si="410"/>
        <v>0</v>
      </c>
      <c r="K2413" s="1355">
        <v>4328</v>
      </c>
      <c r="L2413" s="1355" t="s">
        <v>9744</v>
      </c>
    </row>
    <row r="2414" spans="1:12">
      <c r="B2414" s="5" t="s">
        <v>9745</v>
      </c>
      <c r="C2414" s="26">
        <v>716</v>
      </c>
      <c r="D2414" s="1347">
        <v>0</v>
      </c>
      <c r="E2414" s="1346">
        <v>0</v>
      </c>
      <c r="F2414" s="611" t="s">
        <v>7313</v>
      </c>
      <c r="G2414" s="1408">
        <v>1718</v>
      </c>
      <c r="H2414" s="1353">
        <f t="shared" si="410"/>
        <v>0</v>
      </c>
      <c r="I2414" s="1353">
        <f t="shared" si="410"/>
        <v>0</v>
      </c>
      <c r="K2414" s="1355">
        <v>4329</v>
      </c>
      <c r="L2414" s="1355" t="s">
        <v>9746</v>
      </c>
    </row>
    <row r="2415" spans="1:12">
      <c r="B2415" s="5" t="s">
        <v>9747</v>
      </c>
      <c r="C2415" s="26">
        <v>717</v>
      </c>
      <c r="D2415" s="1347">
        <v>0</v>
      </c>
      <c r="E2415" s="1346">
        <v>0</v>
      </c>
      <c r="F2415" s="611" t="s">
        <v>7317</v>
      </c>
      <c r="G2415" s="1408">
        <v>1719</v>
      </c>
      <c r="H2415" s="1353">
        <f t="shared" si="410"/>
        <v>0</v>
      </c>
      <c r="I2415" s="1353">
        <f t="shared" si="410"/>
        <v>0</v>
      </c>
      <c r="K2415" s="1355">
        <v>4330</v>
      </c>
      <c r="L2415" s="1355" t="s">
        <v>9748</v>
      </c>
    </row>
    <row r="2416" spans="1:12">
      <c r="B2416" s="5" t="s">
        <v>4430</v>
      </c>
      <c r="C2416" s="26">
        <v>718</v>
      </c>
      <c r="D2416" s="1347">
        <v>0</v>
      </c>
      <c r="E2416" s="1346">
        <v>0</v>
      </c>
      <c r="F2416" s="611" t="s">
        <v>7321</v>
      </c>
      <c r="G2416" s="1408">
        <v>1720</v>
      </c>
      <c r="H2416" s="1353">
        <f t="shared" si="410"/>
        <v>0</v>
      </c>
      <c r="I2416" s="1353">
        <f t="shared" si="410"/>
        <v>0</v>
      </c>
      <c r="K2416" s="1355">
        <v>4331</v>
      </c>
      <c r="L2416" s="1355" t="s">
        <v>9749</v>
      </c>
    </row>
    <row r="2417" spans="1:12">
      <c r="B2417" s="5" t="s">
        <v>9750</v>
      </c>
      <c r="C2417" s="26" t="s">
        <v>9751</v>
      </c>
      <c r="D2417" s="1347">
        <v>0</v>
      </c>
      <c r="E2417" s="1346">
        <v>0</v>
      </c>
      <c r="F2417" s="611" t="s">
        <v>7333</v>
      </c>
      <c r="G2417" s="1408">
        <v>1723</v>
      </c>
      <c r="H2417" s="1353">
        <f>M1692</f>
        <v>0</v>
      </c>
      <c r="I2417" s="1353">
        <f>N1692</f>
        <v>0</v>
      </c>
      <c r="K2417" s="1355">
        <v>4332</v>
      </c>
      <c r="L2417" s="1355" t="s">
        <v>9752</v>
      </c>
    </row>
    <row r="2418" spans="1:12" ht="10.5">
      <c r="A2418" s="27" t="s">
        <v>9753</v>
      </c>
      <c r="B2418" s="5" t="s">
        <v>9723</v>
      </c>
      <c r="C2418" s="26">
        <v>521</v>
      </c>
      <c r="D2418" s="1347">
        <v>0</v>
      </c>
      <c r="E2418" s="1346">
        <v>0</v>
      </c>
      <c r="F2418" s="611" t="s">
        <v>7341</v>
      </c>
      <c r="G2418" s="1408">
        <v>1725</v>
      </c>
      <c r="H2418" s="1353">
        <f t="shared" ref="H2418:I2423" si="411">M1694</f>
        <v>0</v>
      </c>
      <c r="I2418" s="1353">
        <f t="shared" si="411"/>
        <v>0</v>
      </c>
      <c r="K2418" s="1355">
        <v>4333</v>
      </c>
      <c r="L2418" s="1355" t="s">
        <v>9754</v>
      </c>
    </row>
    <row r="2419" spans="1:12">
      <c r="B2419" s="5" t="s">
        <v>9725</v>
      </c>
      <c r="C2419" s="26">
        <v>522</v>
      </c>
      <c r="D2419" s="1347">
        <v>0</v>
      </c>
      <c r="E2419" s="1346">
        <v>0</v>
      </c>
      <c r="F2419" s="611" t="s">
        <v>7345</v>
      </c>
      <c r="G2419" s="1408">
        <v>1726</v>
      </c>
      <c r="H2419" s="1353">
        <f t="shared" si="411"/>
        <v>0</v>
      </c>
      <c r="I2419" s="1353">
        <f t="shared" si="411"/>
        <v>0</v>
      </c>
      <c r="K2419" s="1355">
        <v>4334</v>
      </c>
      <c r="L2419" s="1355" t="s">
        <v>9755</v>
      </c>
    </row>
    <row r="2420" spans="1:12">
      <c r="B2420" s="5" t="s">
        <v>9727</v>
      </c>
      <c r="C2420" s="26">
        <v>523</v>
      </c>
      <c r="D2420" s="1347">
        <v>0</v>
      </c>
      <c r="E2420" s="1346">
        <v>0</v>
      </c>
      <c r="F2420" s="611" t="s">
        <v>7349</v>
      </c>
      <c r="G2420" s="1408">
        <v>1727</v>
      </c>
      <c r="H2420" s="1353">
        <f t="shared" si="411"/>
        <v>0</v>
      </c>
      <c r="I2420" s="1353">
        <f t="shared" si="411"/>
        <v>0</v>
      </c>
      <c r="K2420" s="1355">
        <v>4335</v>
      </c>
      <c r="L2420" s="1355" t="s">
        <v>9756</v>
      </c>
    </row>
    <row r="2421" spans="1:12">
      <c r="B2421" s="5" t="s">
        <v>9729</v>
      </c>
      <c r="C2421" s="26">
        <v>524</v>
      </c>
      <c r="D2421" s="1347">
        <v>0</v>
      </c>
      <c r="E2421" s="1346">
        <v>0</v>
      </c>
      <c r="F2421" s="611" t="s">
        <v>7352</v>
      </c>
      <c r="G2421" s="1408">
        <v>1728</v>
      </c>
      <c r="H2421" s="1353">
        <f t="shared" si="411"/>
        <v>0</v>
      </c>
      <c r="I2421" s="1353">
        <f t="shared" si="411"/>
        <v>0</v>
      </c>
      <c r="K2421" s="1355">
        <v>4336</v>
      </c>
      <c r="L2421" s="1355" t="s">
        <v>9757</v>
      </c>
    </row>
    <row r="2422" spans="1:12">
      <c r="B2422" s="5" t="s">
        <v>9731</v>
      </c>
      <c r="C2422" s="26">
        <v>526</v>
      </c>
      <c r="D2422" s="1347">
        <v>0</v>
      </c>
      <c r="E2422" s="1346">
        <v>0</v>
      </c>
      <c r="F2422" s="611" t="s">
        <v>7355</v>
      </c>
      <c r="G2422" s="1408">
        <v>1729</v>
      </c>
      <c r="H2422" s="1353">
        <f t="shared" si="411"/>
        <v>0</v>
      </c>
      <c r="I2422" s="1353">
        <f t="shared" si="411"/>
        <v>0</v>
      </c>
      <c r="K2422" s="1355">
        <v>4337</v>
      </c>
      <c r="L2422" s="1355" t="s">
        <v>9758</v>
      </c>
    </row>
    <row r="2423" spans="1:12">
      <c r="B2423" s="5" t="s">
        <v>9733</v>
      </c>
      <c r="C2423" s="26">
        <v>527</v>
      </c>
      <c r="D2423" s="1347">
        <v>0</v>
      </c>
      <c r="E2423" s="1346">
        <v>0</v>
      </c>
      <c r="F2423" s="611" t="s">
        <v>7358</v>
      </c>
      <c r="G2423" s="1408">
        <v>1730</v>
      </c>
      <c r="H2423" s="1353">
        <f t="shared" si="411"/>
        <v>0</v>
      </c>
      <c r="I2423" s="1353">
        <f t="shared" si="411"/>
        <v>0</v>
      </c>
      <c r="K2423" s="1355">
        <v>4338</v>
      </c>
      <c r="L2423" s="1355" t="s">
        <v>9759</v>
      </c>
    </row>
    <row r="2424" spans="1:12">
      <c r="B2424" s="5" t="s">
        <v>9735</v>
      </c>
      <c r="C2424" s="26">
        <v>721</v>
      </c>
      <c r="D2424" s="1347">
        <v>0</v>
      </c>
      <c r="E2424" s="1346">
        <v>0</v>
      </c>
      <c r="F2424" s="611" t="s">
        <v>7364</v>
      </c>
      <c r="G2424" s="1408">
        <v>1732</v>
      </c>
      <c r="H2424" s="1353">
        <f t="shared" ref="H2424:I2431" si="412">M1701</f>
        <v>0</v>
      </c>
      <c r="I2424" s="1353">
        <f t="shared" si="412"/>
        <v>0</v>
      </c>
      <c r="K2424" s="1355">
        <v>4339</v>
      </c>
      <c r="L2424" s="1355" t="s">
        <v>9760</v>
      </c>
    </row>
    <row r="2425" spans="1:12">
      <c r="B2425" s="5" t="s">
        <v>9737</v>
      </c>
      <c r="C2425" s="26">
        <v>722</v>
      </c>
      <c r="D2425" s="1347">
        <v>0</v>
      </c>
      <c r="E2425" s="1346">
        <v>0</v>
      </c>
      <c r="F2425" s="611" t="s">
        <v>7367</v>
      </c>
      <c r="G2425" s="1408">
        <v>1733</v>
      </c>
      <c r="H2425" s="1353">
        <f t="shared" si="412"/>
        <v>0</v>
      </c>
      <c r="I2425" s="1353">
        <f t="shared" si="412"/>
        <v>0</v>
      </c>
      <c r="K2425" s="1355">
        <v>4340</v>
      </c>
      <c r="L2425" s="1355" t="s">
        <v>9761</v>
      </c>
    </row>
    <row r="2426" spans="1:12">
      <c r="B2426" s="5" t="s">
        <v>9739</v>
      </c>
      <c r="C2426" s="26">
        <v>723</v>
      </c>
      <c r="D2426" s="1347">
        <v>0</v>
      </c>
      <c r="E2426" s="1346">
        <v>0</v>
      </c>
      <c r="F2426" s="611" t="s">
        <v>7370</v>
      </c>
      <c r="G2426" s="1408">
        <v>1734</v>
      </c>
      <c r="H2426" s="1353">
        <f t="shared" si="412"/>
        <v>0</v>
      </c>
      <c r="I2426" s="1353">
        <f t="shared" si="412"/>
        <v>0</v>
      </c>
      <c r="K2426" s="1355">
        <v>4341</v>
      </c>
      <c r="L2426" s="1355" t="s">
        <v>9762</v>
      </c>
    </row>
    <row r="2427" spans="1:12">
      <c r="B2427" s="5" t="s">
        <v>9741</v>
      </c>
      <c r="C2427" s="26">
        <v>724</v>
      </c>
      <c r="D2427" s="1347">
        <v>0</v>
      </c>
      <c r="E2427" s="1346">
        <v>0</v>
      </c>
      <c r="F2427" s="611" t="s">
        <v>7373</v>
      </c>
      <c r="G2427" s="1408">
        <v>1735</v>
      </c>
      <c r="H2427" s="1353">
        <f t="shared" si="412"/>
        <v>0</v>
      </c>
      <c r="I2427" s="1353">
        <f t="shared" si="412"/>
        <v>0</v>
      </c>
      <c r="K2427" s="1355">
        <v>4342</v>
      </c>
      <c r="L2427" s="1355" t="s">
        <v>9763</v>
      </c>
    </row>
    <row r="2428" spans="1:12">
      <c r="B2428" s="5" t="s">
        <v>9743</v>
      </c>
      <c r="C2428" s="26">
        <v>725</v>
      </c>
      <c r="D2428" s="1347">
        <v>0</v>
      </c>
      <c r="E2428" s="1346">
        <v>0</v>
      </c>
      <c r="F2428" s="611" t="s">
        <v>7376</v>
      </c>
      <c r="G2428" s="1408">
        <v>1736</v>
      </c>
      <c r="H2428" s="1353">
        <f t="shared" si="412"/>
        <v>0</v>
      </c>
      <c r="I2428" s="1353">
        <f t="shared" si="412"/>
        <v>0</v>
      </c>
      <c r="K2428" s="1355">
        <v>4343</v>
      </c>
      <c r="L2428" s="1355" t="s">
        <v>9764</v>
      </c>
    </row>
    <row r="2429" spans="1:12">
      <c r="B2429" s="5" t="s">
        <v>9745</v>
      </c>
      <c r="C2429" s="26">
        <v>726</v>
      </c>
      <c r="D2429" s="1347">
        <v>0</v>
      </c>
      <c r="E2429" s="1346">
        <v>0</v>
      </c>
      <c r="F2429" s="611" t="s">
        <v>7379</v>
      </c>
      <c r="G2429" s="1408">
        <v>1737</v>
      </c>
      <c r="H2429" s="1353">
        <f t="shared" si="412"/>
        <v>0</v>
      </c>
      <c r="I2429" s="1353">
        <f t="shared" si="412"/>
        <v>0</v>
      </c>
      <c r="K2429" s="1355">
        <v>4344</v>
      </c>
      <c r="L2429" s="1355" t="s">
        <v>9765</v>
      </c>
    </row>
    <row r="2430" spans="1:12">
      <c r="B2430" s="5" t="s">
        <v>9747</v>
      </c>
      <c r="C2430" s="26">
        <v>727</v>
      </c>
      <c r="D2430" s="1347">
        <v>0</v>
      </c>
      <c r="E2430" s="1346">
        <v>0</v>
      </c>
      <c r="F2430" s="611" t="s">
        <v>7382</v>
      </c>
      <c r="G2430" s="1408">
        <v>1738</v>
      </c>
      <c r="H2430" s="1353">
        <f t="shared" si="412"/>
        <v>0</v>
      </c>
      <c r="I2430" s="1353">
        <f t="shared" si="412"/>
        <v>0</v>
      </c>
      <c r="K2430" s="1355">
        <v>4345</v>
      </c>
      <c r="L2430" s="1355" t="s">
        <v>9766</v>
      </c>
    </row>
    <row r="2431" spans="1:12">
      <c r="B2431" s="5" t="s">
        <v>4430</v>
      </c>
      <c r="C2431" s="26">
        <v>728</v>
      </c>
      <c r="D2431" s="1347">
        <v>0</v>
      </c>
      <c r="E2431" s="1346">
        <v>0</v>
      </c>
      <c r="F2431" s="611" t="s">
        <v>7385</v>
      </c>
      <c r="G2431" s="1408">
        <v>1739</v>
      </c>
      <c r="H2431" s="1353">
        <f t="shared" si="412"/>
        <v>0</v>
      </c>
      <c r="I2431" s="1353">
        <f t="shared" si="412"/>
        <v>0</v>
      </c>
      <c r="K2431" s="1355">
        <v>4346</v>
      </c>
      <c r="L2431" s="1355" t="s">
        <v>9767</v>
      </c>
    </row>
    <row r="2432" spans="1:12">
      <c r="B2432" s="5" t="s">
        <v>9750</v>
      </c>
      <c r="C2432" s="26" t="s">
        <v>9768</v>
      </c>
      <c r="D2432" s="1347">
        <v>0</v>
      </c>
      <c r="E2432" s="1346">
        <v>0</v>
      </c>
      <c r="F2432" s="611" t="s">
        <v>7394</v>
      </c>
      <c r="G2432" s="1408">
        <v>1742</v>
      </c>
      <c r="H2432" s="1353">
        <f>M1711</f>
        <v>0</v>
      </c>
      <c r="I2432" s="1353">
        <f>N1711</f>
        <v>0</v>
      </c>
      <c r="K2432" s="1355">
        <v>4347</v>
      </c>
      <c r="L2432" s="1355" t="s">
        <v>9769</v>
      </c>
    </row>
    <row r="2433" spans="1:12" ht="10.5">
      <c r="A2433" s="27" t="s">
        <v>9770</v>
      </c>
      <c r="B2433" s="5" t="s">
        <v>9729</v>
      </c>
      <c r="C2433" s="26">
        <v>534</v>
      </c>
      <c r="D2433" s="1347">
        <v>0</v>
      </c>
      <c r="E2433" s="1346">
        <v>0</v>
      </c>
      <c r="F2433" s="611" t="s">
        <v>7400</v>
      </c>
      <c r="G2433" s="1408">
        <v>1744</v>
      </c>
      <c r="H2433" s="1353">
        <f t="shared" ref="H2433:I2435" si="413">M1713</f>
        <v>0</v>
      </c>
      <c r="I2433" s="1353">
        <f t="shared" si="413"/>
        <v>0</v>
      </c>
      <c r="K2433" s="1355">
        <v>4348</v>
      </c>
      <c r="L2433" s="1355" t="s">
        <v>9771</v>
      </c>
    </row>
    <row r="2434" spans="1:12">
      <c r="B2434" s="5" t="s">
        <v>9772</v>
      </c>
      <c r="C2434" s="26">
        <v>535</v>
      </c>
      <c r="D2434" s="1347">
        <v>0</v>
      </c>
      <c r="E2434" s="1346">
        <v>0</v>
      </c>
      <c r="F2434" s="611" t="s">
        <v>7403</v>
      </c>
      <c r="G2434" s="1408">
        <v>1745</v>
      </c>
      <c r="H2434" s="1353">
        <f t="shared" si="413"/>
        <v>0</v>
      </c>
      <c r="I2434" s="1353">
        <f t="shared" si="413"/>
        <v>0</v>
      </c>
      <c r="K2434" s="1355">
        <v>4349</v>
      </c>
      <c r="L2434" s="1355" t="s">
        <v>9773</v>
      </c>
    </row>
    <row r="2435" spans="1:12">
      <c r="B2435" s="5" t="s">
        <v>9731</v>
      </c>
      <c r="C2435" s="26">
        <v>536</v>
      </c>
      <c r="D2435" s="1347">
        <v>0</v>
      </c>
      <c r="E2435" s="1346">
        <v>0</v>
      </c>
      <c r="F2435" s="611" t="s">
        <v>7406</v>
      </c>
      <c r="G2435" s="1408">
        <v>1746</v>
      </c>
      <c r="H2435" s="1353">
        <f t="shared" si="413"/>
        <v>0</v>
      </c>
      <c r="I2435" s="1353">
        <f t="shared" si="413"/>
        <v>0</v>
      </c>
      <c r="K2435" s="1355">
        <v>4350</v>
      </c>
      <c r="L2435" s="1355" t="s">
        <v>9774</v>
      </c>
    </row>
    <row r="2436" spans="1:12">
      <c r="B2436" s="5" t="s">
        <v>9735</v>
      </c>
      <c r="C2436" s="26">
        <v>731</v>
      </c>
      <c r="D2436" s="1347">
        <v>0</v>
      </c>
      <c r="E2436" s="1346">
        <v>0</v>
      </c>
      <c r="F2436" s="611" t="s">
        <v>7413</v>
      </c>
      <c r="G2436" s="1408">
        <v>1748</v>
      </c>
      <c r="H2436" s="1353">
        <f t="shared" ref="H2436:I2443" si="414">M1717</f>
        <v>0</v>
      </c>
      <c r="I2436" s="1353">
        <f t="shared" si="414"/>
        <v>0</v>
      </c>
      <c r="K2436" s="1355">
        <v>4351</v>
      </c>
      <c r="L2436" s="1355" t="s">
        <v>9775</v>
      </c>
    </row>
    <row r="2437" spans="1:12">
      <c r="B2437" s="5" t="s">
        <v>9737</v>
      </c>
      <c r="C2437" s="26">
        <v>732</v>
      </c>
      <c r="D2437" s="1347">
        <v>0</v>
      </c>
      <c r="E2437" s="1346">
        <v>0</v>
      </c>
      <c r="F2437" s="611" t="s">
        <v>7416</v>
      </c>
      <c r="G2437" s="1408">
        <v>1749</v>
      </c>
      <c r="H2437" s="1353">
        <f t="shared" si="414"/>
        <v>0</v>
      </c>
      <c r="I2437" s="1353">
        <f t="shared" si="414"/>
        <v>0</v>
      </c>
      <c r="K2437" s="1355">
        <v>4352</v>
      </c>
      <c r="L2437" s="1355" t="s">
        <v>9776</v>
      </c>
    </row>
    <row r="2438" spans="1:12">
      <c r="B2438" s="5" t="s">
        <v>9739</v>
      </c>
      <c r="C2438" s="26">
        <v>733</v>
      </c>
      <c r="D2438" s="1347">
        <v>0</v>
      </c>
      <c r="E2438" s="1346">
        <v>0</v>
      </c>
      <c r="F2438" s="611" t="s">
        <v>7419</v>
      </c>
      <c r="G2438" s="1408">
        <v>1750</v>
      </c>
      <c r="H2438" s="1353">
        <f t="shared" si="414"/>
        <v>0</v>
      </c>
      <c r="I2438" s="1353">
        <f t="shared" si="414"/>
        <v>0</v>
      </c>
      <c r="K2438" s="1355">
        <v>4353</v>
      </c>
      <c r="L2438" s="1355" t="s">
        <v>9777</v>
      </c>
    </row>
    <row r="2439" spans="1:12">
      <c r="B2439" s="5" t="s">
        <v>9741</v>
      </c>
      <c r="C2439" s="26">
        <v>734</v>
      </c>
      <c r="D2439" s="1347">
        <v>0</v>
      </c>
      <c r="E2439" s="1346">
        <v>0</v>
      </c>
      <c r="F2439" s="611" t="s">
        <v>7422</v>
      </c>
      <c r="G2439" s="1408">
        <v>1751</v>
      </c>
      <c r="H2439" s="1353">
        <f t="shared" si="414"/>
        <v>0</v>
      </c>
      <c r="I2439" s="1353">
        <f t="shared" si="414"/>
        <v>0</v>
      </c>
      <c r="K2439" s="1355">
        <v>4354</v>
      </c>
      <c r="L2439" s="1355" t="s">
        <v>9778</v>
      </c>
    </row>
    <row r="2440" spans="1:12">
      <c r="B2440" s="5" t="s">
        <v>9743</v>
      </c>
      <c r="C2440" s="26">
        <v>735</v>
      </c>
      <c r="D2440" s="1347">
        <v>0</v>
      </c>
      <c r="E2440" s="1346">
        <v>0</v>
      </c>
      <c r="F2440" s="611" t="s">
        <v>7425</v>
      </c>
      <c r="G2440" s="1408">
        <v>1752</v>
      </c>
      <c r="H2440" s="1353">
        <f t="shared" si="414"/>
        <v>0</v>
      </c>
      <c r="I2440" s="1353">
        <f t="shared" si="414"/>
        <v>0</v>
      </c>
      <c r="K2440" s="1355">
        <v>4355</v>
      </c>
      <c r="L2440" s="1355" t="s">
        <v>9779</v>
      </c>
    </row>
    <row r="2441" spans="1:12">
      <c r="B2441" s="5" t="s">
        <v>9745</v>
      </c>
      <c r="C2441" s="26">
        <v>736</v>
      </c>
      <c r="D2441" s="1347">
        <v>0</v>
      </c>
      <c r="E2441" s="1346">
        <v>0</v>
      </c>
      <c r="F2441" s="611" t="s">
        <v>7428</v>
      </c>
      <c r="G2441" s="1408">
        <v>1753</v>
      </c>
      <c r="H2441" s="1353">
        <f t="shared" si="414"/>
        <v>0</v>
      </c>
      <c r="I2441" s="1353">
        <f t="shared" si="414"/>
        <v>0</v>
      </c>
      <c r="K2441" s="1355">
        <v>4356</v>
      </c>
      <c r="L2441" s="1355" t="s">
        <v>9780</v>
      </c>
    </row>
    <row r="2442" spans="1:12">
      <c r="B2442" s="5" t="s">
        <v>9747</v>
      </c>
      <c r="C2442" s="26">
        <v>737</v>
      </c>
      <c r="D2442" s="1347">
        <v>0</v>
      </c>
      <c r="E2442" s="1346">
        <v>0</v>
      </c>
      <c r="F2442" s="611" t="s">
        <v>7431</v>
      </c>
      <c r="G2442" s="1408">
        <v>1754</v>
      </c>
      <c r="H2442" s="1353">
        <f t="shared" si="414"/>
        <v>0</v>
      </c>
      <c r="I2442" s="1353">
        <f t="shared" si="414"/>
        <v>0</v>
      </c>
      <c r="K2442" s="1355">
        <v>4357</v>
      </c>
      <c r="L2442" s="1355" t="s">
        <v>9781</v>
      </c>
    </row>
    <row r="2443" spans="1:12">
      <c r="B2443" s="5" t="s">
        <v>4430</v>
      </c>
      <c r="C2443" s="26">
        <v>738</v>
      </c>
      <c r="D2443" s="1347">
        <v>0</v>
      </c>
      <c r="E2443" s="1346">
        <v>0</v>
      </c>
      <c r="F2443" s="611" t="s">
        <v>7434</v>
      </c>
      <c r="G2443" s="1408">
        <v>1755</v>
      </c>
      <c r="H2443" s="1353">
        <f t="shared" si="414"/>
        <v>0</v>
      </c>
      <c r="I2443" s="1353">
        <f t="shared" si="414"/>
        <v>0</v>
      </c>
      <c r="K2443" s="1355">
        <v>4358</v>
      </c>
      <c r="L2443" s="1355" t="s">
        <v>9782</v>
      </c>
    </row>
    <row r="2444" spans="1:12">
      <c r="B2444" s="5" t="s">
        <v>9750</v>
      </c>
      <c r="C2444" s="26" t="s">
        <v>9783</v>
      </c>
      <c r="D2444" s="1347">
        <v>0</v>
      </c>
      <c r="E2444" s="1346">
        <v>0</v>
      </c>
      <c r="F2444" s="611" t="s">
        <v>7443</v>
      </c>
      <c r="G2444" s="1408">
        <v>1758</v>
      </c>
      <c r="H2444" s="1353">
        <f>M1727</f>
        <v>0</v>
      </c>
      <c r="I2444" s="1353">
        <f>N1727</f>
        <v>0</v>
      </c>
      <c r="K2444" s="1355">
        <v>4359</v>
      </c>
      <c r="L2444" s="1355" t="s">
        <v>9784</v>
      </c>
    </row>
    <row r="2445" spans="1:12">
      <c r="B2445" s="5" t="s">
        <v>9785</v>
      </c>
      <c r="C2445" s="26" t="s">
        <v>9786</v>
      </c>
      <c r="D2445" s="1347">
        <v>0</v>
      </c>
      <c r="E2445" s="1346">
        <v>0</v>
      </c>
      <c r="F2445" s="611" t="s">
        <v>5518</v>
      </c>
      <c r="G2445" s="1408">
        <v>1030</v>
      </c>
      <c r="H2445" s="1353">
        <f>M1006</f>
        <v>0</v>
      </c>
      <c r="I2445" s="1353">
        <f>N1006</f>
        <v>0</v>
      </c>
      <c r="K2445" s="1355">
        <v>4360</v>
      </c>
      <c r="L2445" s="1355" t="s">
        <v>9787</v>
      </c>
    </row>
    <row r="2446" spans="1:12">
      <c r="B2446" s="5" t="s">
        <v>9788</v>
      </c>
      <c r="C2446" s="26">
        <v>542</v>
      </c>
      <c r="D2446" s="1347">
        <v>0</v>
      </c>
      <c r="E2446" s="1346">
        <v>0</v>
      </c>
      <c r="F2446" s="611" t="s">
        <v>4159</v>
      </c>
      <c r="G2446" s="1408">
        <v>621</v>
      </c>
      <c r="H2446" s="1353">
        <f t="shared" ref="H2446:I2448" si="415">M601</f>
        <v>0</v>
      </c>
      <c r="I2446" s="1353">
        <f t="shared" si="415"/>
        <v>0</v>
      </c>
      <c r="K2446" s="1355">
        <v>4361</v>
      </c>
      <c r="L2446" s="1355" t="s">
        <v>9789</v>
      </c>
    </row>
    <row r="2447" spans="1:12">
      <c r="B2447" s="5" t="s">
        <v>9790</v>
      </c>
      <c r="C2447" s="26">
        <v>543</v>
      </c>
      <c r="D2447" s="1347">
        <v>0</v>
      </c>
      <c r="E2447" s="1346">
        <v>0</v>
      </c>
      <c r="F2447" s="611" t="s">
        <v>4163</v>
      </c>
      <c r="G2447" s="1408">
        <v>622</v>
      </c>
      <c r="H2447" s="1353">
        <f t="shared" si="415"/>
        <v>0</v>
      </c>
      <c r="I2447" s="1353">
        <f t="shared" si="415"/>
        <v>0</v>
      </c>
      <c r="K2447" s="1355">
        <v>4362</v>
      </c>
      <c r="L2447" s="1355" t="s">
        <v>9791</v>
      </c>
    </row>
    <row r="2448" spans="1:12">
      <c r="B2448" s="5" t="s">
        <v>9792</v>
      </c>
      <c r="C2448" s="26">
        <v>544</v>
      </c>
      <c r="D2448" s="1347">
        <v>0</v>
      </c>
      <c r="E2448" s="1346">
        <v>0</v>
      </c>
      <c r="F2448" s="611" t="s">
        <v>4167</v>
      </c>
      <c r="G2448" s="1408">
        <v>623</v>
      </c>
      <c r="H2448" s="1353">
        <f t="shared" si="415"/>
        <v>0</v>
      </c>
      <c r="I2448" s="1353">
        <f t="shared" si="415"/>
        <v>0</v>
      </c>
      <c r="K2448" s="1355">
        <v>4363</v>
      </c>
      <c r="L2448" s="1355" t="s">
        <v>9793</v>
      </c>
    </row>
    <row r="2449" spans="1:12">
      <c r="B2449" s="5" t="s">
        <v>9794</v>
      </c>
      <c r="C2449" s="26">
        <v>742</v>
      </c>
      <c r="D2449" s="1347">
        <v>0</v>
      </c>
      <c r="E2449" s="1346">
        <v>0</v>
      </c>
      <c r="F2449" s="611" t="s">
        <v>9795</v>
      </c>
      <c r="G2449" s="1413" t="s">
        <v>2504</v>
      </c>
      <c r="H2449" s="1367">
        <f t="shared" ref="H2449:I2451" si="416">M601-M607</f>
        <v>0</v>
      </c>
      <c r="I2449" s="1367">
        <f t="shared" si="416"/>
        <v>0</v>
      </c>
      <c r="K2449" s="1355">
        <v>4364</v>
      </c>
      <c r="L2449" s="1355" t="s">
        <v>9796</v>
      </c>
    </row>
    <row r="2450" spans="1:12">
      <c r="B2450" s="5" t="s">
        <v>9797</v>
      </c>
      <c r="C2450" s="26">
        <v>743</v>
      </c>
      <c r="D2450" s="1347">
        <v>0</v>
      </c>
      <c r="E2450" s="1346">
        <v>0</v>
      </c>
      <c r="F2450" s="611" t="s">
        <v>9798</v>
      </c>
      <c r="G2450" s="1413" t="s">
        <v>2504</v>
      </c>
      <c r="H2450" s="1367">
        <f t="shared" si="416"/>
        <v>0</v>
      </c>
      <c r="I2450" s="1367">
        <f t="shared" si="416"/>
        <v>0</v>
      </c>
      <c r="K2450" s="1355">
        <v>4365</v>
      </c>
      <c r="L2450" s="1355" t="s">
        <v>9799</v>
      </c>
    </row>
    <row r="2451" spans="1:12">
      <c r="B2451" s="5" t="s">
        <v>9800</v>
      </c>
      <c r="C2451" s="26">
        <v>744</v>
      </c>
      <c r="D2451" s="1347">
        <v>0</v>
      </c>
      <c r="E2451" s="1346">
        <v>0</v>
      </c>
      <c r="F2451" s="611" t="s">
        <v>9801</v>
      </c>
      <c r="G2451" s="1413" t="s">
        <v>2504</v>
      </c>
      <c r="H2451" s="1367">
        <f t="shared" si="416"/>
        <v>0</v>
      </c>
      <c r="I2451" s="1367">
        <f t="shared" si="416"/>
        <v>0</v>
      </c>
      <c r="K2451" s="1355">
        <v>4366</v>
      </c>
      <c r="L2451" s="1355" t="s">
        <v>9802</v>
      </c>
    </row>
    <row r="2452" spans="1:12">
      <c r="B2452" s="5" t="s">
        <v>9803</v>
      </c>
      <c r="C2452" s="26">
        <v>541</v>
      </c>
      <c r="D2452" s="1347">
        <v>0</v>
      </c>
      <c r="E2452" s="1346">
        <v>0</v>
      </c>
      <c r="F2452" s="611" t="s">
        <v>9804</v>
      </c>
      <c r="G2452" s="1413" t="s">
        <v>2504</v>
      </c>
      <c r="H2452" s="1353">
        <f>M605</f>
        <v>0</v>
      </c>
      <c r="I2452" s="1353">
        <f>N605</f>
        <v>0</v>
      </c>
      <c r="K2452" s="1355">
        <v>4367</v>
      </c>
      <c r="L2452" s="1355" t="s">
        <v>9805</v>
      </c>
    </row>
    <row r="2453" spans="1:12">
      <c r="B2453" s="5" t="s">
        <v>9806</v>
      </c>
      <c r="C2453" s="26">
        <v>741</v>
      </c>
      <c r="D2453" s="1347">
        <v>0</v>
      </c>
      <c r="E2453" s="1346">
        <v>0</v>
      </c>
      <c r="F2453" s="611" t="s">
        <v>9807</v>
      </c>
      <c r="G2453" s="1413" t="s">
        <v>2504</v>
      </c>
      <c r="H2453" s="1353">
        <f>(M606)*-1</f>
        <v>0</v>
      </c>
      <c r="I2453" s="1353">
        <f>(N606)*-1</f>
        <v>0</v>
      </c>
      <c r="K2453" s="1355">
        <v>4368</v>
      </c>
      <c r="L2453" s="1355" t="s">
        <v>9808</v>
      </c>
    </row>
    <row r="2454" spans="1:12">
      <c r="B2454" s="5" t="s">
        <v>9697</v>
      </c>
      <c r="C2454" s="26">
        <v>740</v>
      </c>
      <c r="D2454" s="1347">
        <v>0</v>
      </c>
      <c r="E2454" s="1346">
        <v>0</v>
      </c>
      <c r="F2454" s="611" t="s">
        <v>9809</v>
      </c>
      <c r="G2454" s="1413" t="s">
        <v>2504</v>
      </c>
      <c r="H2454" s="1353">
        <f>(M610)*-1</f>
        <v>0</v>
      </c>
      <c r="I2454" s="1353">
        <f>(N610)*-1</f>
        <v>0</v>
      </c>
      <c r="K2454" s="1355">
        <v>4369</v>
      </c>
      <c r="L2454" s="1355" t="s">
        <v>9810</v>
      </c>
    </row>
    <row r="2455" spans="1:12">
      <c r="B2455" s="5" t="s">
        <v>9811</v>
      </c>
      <c r="C2455" s="26" t="s">
        <v>9812</v>
      </c>
      <c r="D2455" s="1347">
        <v>0</v>
      </c>
      <c r="E2455" s="1346">
        <v>0</v>
      </c>
      <c r="F2455" s="611" t="s">
        <v>4199</v>
      </c>
      <c r="G2455" s="1408">
        <v>631</v>
      </c>
      <c r="H2455" s="1353">
        <f>M611</f>
        <v>0</v>
      </c>
      <c r="I2455" s="1353">
        <f>N611</f>
        <v>0</v>
      </c>
      <c r="K2455" s="1355">
        <v>4370</v>
      </c>
      <c r="L2455" s="1355" t="s">
        <v>9813</v>
      </c>
    </row>
    <row r="2456" spans="1:12">
      <c r="A2456" s="611" t="s">
        <v>9814</v>
      </c>
      <c r="B2456" s="5"/>
      <c r="C2456" s="26"/>
      <c r="D2456" s="1347"/>
      <c r="E2456" s="1346"/>
      <c r="K2456" s="1355">
        <v>4371</v>
      </c>
      <c r="L2456" s="1355" t="s">
        <v>9815</v>
      </c>
    </row>
    <row r="2457" spans="1:12">
      <c r="B2457" s="5" t="s">
        <v>9816</v>
      </c>
      <c r="C2457" s="6" t="s">
        <v>9817</v>
      </c>
      <c r="D2457" s="1345"/>
      <c r="E2457" s="1351" t="s">
        <v>15492</v>
      </c>
      <c r="F2457" s="1342"/>
      <c r="I2457" s="1392" t="str">
        <f>J2457</f>
        <v>2</v>
      </c>
      <c r="J2457" s="1393" t="s">
        <v>15492</v>
      </c>
      <c r="K2457" s="1355">
        <v>4372</v>
      </c>
      <c r="L2457" s="1355" t="s">
        <v>9818</v>
      </c>
    </row>
    <row r="2458" spans="1:12">
      <c r="B2458" s="5" t="s">
        <v>9819</v>
      </c>
      <c r="C2458" s="6" t="s">
        <v>9820</v>
      </c>
      <c r="D2458" s="1345"/>
      <c r="E2458" s="1351" t="s">
        <v>15498</v>
      </c>
      <c r="F2458" s="1342"/>
      <c r="I2458" s="1394" t="str">
        <f>J2458</f>
        <v>319719</v>
      </c>
      <c r="J2458" s="1395" t="s">
        <v>15498</v>
      </c>
      <c r="K2458" s="1355">
        <v>4373</v>
      </c>
      <c r="L2458" s="1355" t="s">
        <v>9821</v>
      </c>
    </row>
    <row r="2459" spans="1:12">
      <c r="B2459" s="5" t="s">
        <v>9822</v>
      </c>
      <c r="C2459" s="6" t="s">
        <v>9823</v>
      </c>
      <c r="D2459" s="1345"/>
      <c r="E2459" s="1346">
        <v>30</v>
      </c>
      <c r="F2459" s="1342"/>
      <c r="I2459" s="1396">
        <f>DAY(DATE(J2465,I2460+1,1)-1)</f>
        <v>30</v>
      </c>
      <c r="J2459" s="1395" t="s">
        <v>15500</v>
      </c>
      <c r="K2459" s="1355">
        <v>4374</v>
      </c>
      <c r="L2459" s="1355" t="s">
        <v>9824</v>
      </c>
    </row>
    <row r="2460" spans="1:12">
      <c r="B2460" s="5" t="s">
        <v>9825</v>
      </c>
      <c r="C2460" s="6" t="s">
        <v>9826</v>
      </c>
      <c r="D2460" s="1345"/>
      <c r="E2460" s="1346">
        <v>4</v>
      </c>
      <c r="F2460" s="1342"/>
      <c r="I2460" s="1394">
        <f>J2466</f>
        <v>4</v>
      </c>
      <c r="J2460" s="1395" t="s">
        <v>15502</v>
      </c>
      <c r="K2460" s="1355">
        <v>4375</v>
      </c>
      <c r="L2460" s="1355" t="s">
        <v>9827</v>
      </c>
    </row>
    <row r="2461" spans="1:12">
      <c r="B2461" s="5" t="s">
        <v>9828</v>
      </c>
      <c r="C2461" s="6" t="s">
        <v>9829</v>
      </c>
      <c r="D2461" s="1345"/>
      <c r="E2461" s="1351">
        <v>2025</v>
      </c>
      <c r="F2461" s="1342"/>
      <c r="I2461" s="1394">
        <f>J2465</f>
        <v>2025</v>
      </c>
      <c r="J2461" s="1395" t="s">
        <v>15494</v>
      </c>
      <c r="K2461" s="1355">
        <v>4376</v>
      </c>
      <c r="L2461" s="1355" t="s">
        <v>9830</v>
      </c>
    </row>
    <row r="2462" spans="1:12">
      <c r="B2462" s="5" t="s">
        <v>9831</v>
      </c>
      <c r="C2462" s="6" t="s">
        <v>9832</v>
      </c>
      <c r="D2462" s="1345"/>
      <c r="E2462" s="1346" t="s">
        <v>15500</v>
      </c>
      <c r="F2462" s="1342"/>
      <c r="I2462" s="1394" t="str">
        <f>J2459</f>
        <v>HAWKESBURY CHEV CADILLAC BUICK GMC</v>
      </c>
      <c r="J2462" s="1395" t="s">
        <v>15505</v>
      </c>
      <c r="K2462" s="1355">
        <v>4377</v>
      </c>
      <c r="L2462" s="1355" t="s">
        <v>9833</v>
      </c>
    </row>
    <row r="2463" spans="1:12">
      <c r="B2463" s="5" t="s">
        <v>9834</v>
      </c>
      <c r="C2463" s="6" t="s">
        <v>9835</v>
      </c>
      <c r="D2463" s="1345"/>
      <c r="E2463" s="1346" t="s">
        <v>15502</v>
      </c>
      <c r="F2463" s="1342"/>
      <c r="I2463" s="1394" t="str">
        <f>J2460</f>
        <v>640 MAIN STREET WEST</v>
      </c>
      <c r="J2463" s="1395" t="s">
        <v>15507</v>
      </c>
      <c r="K2463" s="1355">
        <v>4378</v>
      </c>
      <c r="L2463" s="1355" t="s">
        <v>9836</v>
      </c>
    </row>
    <row r="2464" spans="1:12">
      <c r="B2464" s="5" t="s">
        <v>9837</v>
      </c>
      <c r="C2464" s="6" t="s">
        <v>9838</v>
      </c>
      <c r="D2464" s="1345"/>
      <c r="E2464" s="1346"/>
      <c r="F2464" s="1342"/>
      <c r="I2464" s="1397"/>
      <c r="J2464" s="1395" t="s">
        <v>15509</v>
      </c>
      <c r="K2464" s="1355">
        <v>4379</v>
      </c>
      <c r="L2464" s="1355" t="s">
        <v>9839</v>
      </c>
    </row>
    <row r="2465" spans="2:12">
      <c r="B2465" s="5" t="s">
        <v>9840</v>
      </c>
      <c r="C2465" s="6" t="s">
        <v>9840</v>
      </c>
      <c r="D2465" s="1345"/>
      <c r="E2465" s="1346" t="s">
        <v>15505</v>
      </c>
      <c r="F2465" s="1342"/>
      <c r="I2465" s="1394" t="str">
        <f>J2462</f>
        <v>HAWKESBURY</v>
      </c>
      <c r="J2465" s="1395">
        <v>2025</v>
      </c>
      <c r="K2465" s="1355">
        <v>4380</v>
      </c>
      <c r="L2465" s="1355" t="s">
        <v>9841</v>
      </c>
    </row>
    <row r="2466" spans="2:12">
      <c r="B2466" s="5" t="s">
        <v>9842</v>
      </c>
      <c r="C2466" s="6" t="s">
        <v>9843</v>
      </c>
      <c r="D2466" s="1345"/>
      <c r="E2466" s="1346" t="s">
        <v>15507</v>
      </c>
      <c r="F2466" s="1342"/>
      <c r="I2466" s="1394" t="str">
        <f>J2463</f>
        <v>ON</v>
      </c>
      <c r="J2466" s="1395">
        <v>4</v>
      </c>
      <c r="K2466" s="1355">
        <v>4381</v>
      </c>
      <c r="L2466" s="1355" t="s">
        <v>9844</v>
      </c>
    </row>
    <row r="2467" spans="2:12">
      <c r="B2467" s="5" t="s">
        <v>9845</v>
      </c>
      <c r="C2467" s="6" t="s">
        <v>9846</v>
      </c>
      <c r="D2467" s="1345"/>
      <c r="E2467" s="1356" t="s">
        <v>15509</v>
      </c>
      <c r="F2467" s="1342"/>
      <c r="I2467" s="1394" t="str">
        <f>J2464</f>
        <v>K6A2J3</v>
      </c>
      <c r="J2467" s="1395"/>
      <c r="K2467" s="1355">
        <v>4382</v>
      </c>
      <c r="L2467" s="1355" t="s">
        <v>9847</v>
      </c>
    </row>
    <row r="2468" spans="2:12">
      <c r="B2468" s="5" t="s">
        <v>9848</v>
      </c>
      <c r="C2468" s="6" t="s">
        <v>9849</v>
      </c>
      <c r="D2468" s="1345"/>
      <c r="E2468" s="1356"/>
      <c r="F2468" s="1342"/>
      <c r="I2468" s="1394"/>
      <c r="J2468" s="1395">
        <v>24593020</v>
      </c>
      <c r="K2468" s="1355">
        <v>4383</v>
      </c>
      <c r="L2468" s="1355" t="s">
        <v>9850</v>
      </c>
    </row>
    <row r="2469" spans="2:12">
      <c r="B2469" s="5" t="s">
        <v>9851</v>
      </c>
      <c r="C2469" s="26" t="s">
        <v>9852</v>
      </c>
      <c r="D2469" s="1345"/>
      <c r="E2469" s="1346">
        <v>24593020</v>
      </c>
      <c r="I2469" s="1398">
        <f>J2468</f>
        <v>24593020</v>
      </c>
      <c r="J2469" s="1399"/>
      <c r="K2469" s="1355">
        <v>4384</v>
      </c>
      <c r="L2469" s="1355" t="s">
        <v>9853</v>
      </c>
    </row>
    <row r="2470" spans="2:12">
      <c r="B2470" s="5" t="s">
        <v>9854</v>
      </c>
      <c r="C2470" s="26" t="s">
        <v>9855</v>
      </c>
      <c r="D2470" s="1345"/>
      <c r="E2470" s="1749">
        <v>998</v>
      </c>
      <c r="I2470" s="1353"/>
      <c r="K2470" s="1355">
        <v>4385</v>
      </c>
      <c r="L2470" s="1355" t="s">
        <v>9856</v>
      </c>
    </row>
    <row r="2471" spans="2:12">
      <c r="B2471" s="5"/>
      <c r="C2471" s="26"/>
      <c r="D2471" s="1347"/>
      <c r="E2471" s="1346"/>
      <c r="I2471" s="1400" t="s">
        <v>9857</v>
      </c>
      <c r="J2471" s="1393">
        <f ca="1">MONTH(NOW())</f>
        <v>6</v>
      </c>
      <c r="K2471" s="1355">
        <v>4386</v>
      </c>
      <c r="L2471" s="1355" t="s">
        <v>9858</v>
      </c>
    </row>
    <row r="2472" spans="2:12">
      <c r="B2472" s="5"/>
      <c r="C2472" s="26"/>
      <c r="D2472" s="1347"/>
      <c r="E2472" s="1346"/>
      <c r="I2472" s="1401" t="s">
        <v>9859</v>
      </c>
      <c r="J2472" s="1399">
        <f>J2466</f>
        <v>4</v>
      </c>
      <c r="K2472" s="1355">
        <v>4387</v>
      </c>
      <c r="L2472" s="1355" t="s">
        <v>9860</v>
      </c>
    </row>
    <row r="2473" spans="2:12">
      <c r="B2473" s="5"/>
      <c r="C2473" s="26"/>
      <c r="D2473" s="1347"/>
      <c r="E2473" s="1346"/>
      <c r="K2473" s="1355">
        <v>4388</v>
      </c>
      <c r="L2473" s="1355" t="s">
        <v>9861</v>
      </c>
    </row>
    <row r="2474" spans="2:12">
      <c r="B2474" s="5"/>
      <c r="C2474" s="26"/>
      <c r="D2474" s="1347"/>
      <c r="E2474" s="1346"/>
      <c r="K2474" s="1355">
        <v>4389</v>
      </c>
      <c r="L2474" s="1355" t="s">
        <v>9862</v>
      </c>
    </row>
    <row r="2475" spans="2:12">
      <c r="B2475" s="5"/>
      <c r="C2475" s="26"/>
      <c r="D2475" s="1347"/>
      <c r="E2475" s="1346"/>
      <c r="K2475" s="1355">
        <v>4390</v>
      </c>
      <c r="L2475" s="1355" t="s">
        <v>9863</v>
      </c>
    </row>
    <row r="2476" spans="2:12">
      <c r="B2476" s="5"/>
      <c r="C2476" s="26"/>
      <c r="D2476" s="1347"/>
      <c r="E2476" s="1346"/>
      <c r="H2476" s="611" t="s">
        <v>9864</v>
      </c>
      <c r="I2476" s="611">
        <f>DAYS360(+I2461&amp;"/1/1",+I2461&amp;"/"&amp;I2460&amp;"/"&amp;I2459)</f>
        <v>119</v>
      </c>
      <c r="K2476" s="1355">
        <v>4391</v>
      </c>
      <c r="L2476" s="1355" t="s">
        <v>9865</v>
      </c>
    </row>
    <row r="2477" spans="2:12">
      <c r="B2477" s="5"/>
      <c r="C2477" s="26"/>
      <c r="D2477" s="1347"/>
      <c r="E2477" s="1346"/>
      <c r="K2477" s="1355">
        <v>4392</v>
      </c>
      <c r="L2477" s="1355" t="s">
        <v>9866</v>
      </c>
    </row>
    <row r="2478" spans="2:12">
      <c r="B2478" s="5"/>
      <c r="C2478" s="26"/>
      <c r="D2478" s="1347"/>
      <c r="E2478" s="1346"/>
      <c r="K2478" s="1355">
        <v>4393</v>
      </c>
      <c r="L2478" s="1355" t="s">
        <v>9867</v>
      </c>
    </row>
    <row r="2479" spans="2:12">
      <c r="B2479" s="5"/>
      <c r="C2479" s="26"/>
      <c r="D2479" s="1347"/>
      <c r="E2479" s="1346"/>
      <c r="K2479" s="1355">
        <v>4394</v>
      </c>
      <c r="L2479" s="1355" t="s">
        <v>9868</v>
      </c>
    </row>
    <row r="2480" spans="2:12">
      <c r="D2480" s="1353"/>
      <c r="E2480" s="1353"/>
      <c r="K2480" s="1355">
        <v>4395</v>
      </c>
      <c r="L2480" s="1355" t="s">
        <v>9869</v>
      </c>
    </row>
    <row r="2481" spans="1:12">
      <c r="D2481" s="1353"/>
      <c r="E2481" s="1353"/>
      <c r="F2481" s="1357" t="s">
        <v>9870</v>
      </c>
      <c r="K2481" s="1355">
        <v>4396</v>
      </c>
      <c r="L2481" s="1355" t="s">
        <v>9871</v>
      </c>
    </row>
    <row r="2482" spans="1:12">
      <c r="B2482" s="611" t="s">
        <v>5596</v>
      </c>
      <c r="D2482" s="1353"/>
      <c r="E2482" s="1353">
        <f>SUMIF(F1039:F1102,"&lt;&gt;1",E1039:E1102)</f>
        <v>63943325</v>
      </c>
      <c r="F2482" s="1358"/>
      <c r="G2482" s="1117"/>
      <c r="K2482" s="1355">
        <v>4397</v>
      </c>
      <c r="L2482" s="1355" t="s">
        <v>9872</v>
      </c>
    </row>
    <row r="2483" spans="1:12">
      <c r="A2483" s="611" t="s">
        <v>9873</v>
      </c>
      <c r="B2483" s="611" t="s">
        <v>5734</v>
      </c>
      <c r="D2483" s="1353"/>
      <c r="E2483" s="1353">
        <f>SUMIF(H1103:H1127,"&lt;&gt;1",E1103:E1127)*-1</f>
        <v>-25442534</v>
      </c>
      <c r="F2483" s="1358"/>
      <c r="K2483" s="1355">
        <v>4398</v>
      </c>
      <c r="L2483" s="1355" t="s">
        <v>9874</v>
      </c>
    </row>
    <row r="2484" spans="1:12">
      <c r="B2484" s="611" t="s">
        <v>9875</v>
      </c>
      <c r="D2484" s="1353"/>
      <c r="E2484" s="1353">
        <f>SUMIF(H1128:H1132,"&lt;&gt;1",E1128:E1132)*-1</f>
        <v>-4339811</v>
      </c>
      <c r="F2484" s="1358"/>
      <c r="K2484" s="1355">
        <v>4399</v>
      </c>
      <c r="L2484" s="1355" t="s">
        <v>9876</v>
      </c>
    </row>
    <row r="2485" spans="1:12">
      <c r="B2485" s="611" t="s">
        <v>5803</v>
      </c>
      <c r="D2485" s="1353">
        <f>SUMIF(H1135:H1444,"&lt;&gt;1",D1135:D1444)</f>
        <v>577339</v>
      </c>
      <c r="E2485" s="1353">
        <v>100001</v>
      </c>
      <c r="F2485" s="1358"/>
      <c r="K2485" s="1355">
        <v>4400</v>
      </c>
      <c r="L2485" s="1355" t="s">
        <v>9877</v>
      </c>
    </row>
    <row r="2486" spans="1:12">
      <c r="B2486" s="611" t="s">
        <v>9878</v>
      </c>
      <c r="D2486" s="1353">
        <f>SUMIF(H1446:H1450,"&lt;&gt;1",D1446:D1450)*-1</f>
        <v>-53269</v>
      </c>
      <c r="E2486" s="1353">
        <f>SUMIF(H1446:H1450,"&lt;&gt;1",E1446:E1450)*-1</f>
        <v>-284730</v>
      </c>
      <c r="F2486" s="1358"/>
      <c r="K2486" s="1355">
        <v>4401</v>
      </c>
      <c r="L2486" s="1355" t="s">
        <v>9879</v>
      </c>
    </row>
    <row r="2487" spans="1:12">
      <c r="B2487" s="611" t="s">
        <v>9880</v>
      </c>
      <c r="D2487" s="1353">
        <f>SUMIF(H1451:H1452,"&lt;&gt;1",D1451:D1452)</f>
        <v>18</v>
      </c>
      <c r="E2487" s="1353">
        <f>SUMIF(H1451:H1452,"&lt;&gt;1",E1451:E1452)</f>
        <v>42</v>
      </c>
      <c r="F2487" s="1358"/>
      <c r="H2487" s="1359"/>
      <c r="I2487" s="1359"/>
      <c r="J2487" s="1359"/>
      <c r="K2487" s="1355">
        <v>4402</v>
      </c>
      <c r="L2487" s="1355" t="s">
        <v>9881</v>
      </c>
    </row>
    <row r="2488" spans="1:12">
      <c r="D2488" s="1353"/>
      <c r="E2488" s="1353"/>
      <c r="F2488" s="1358"/>
      <c r="H2488" s="1359"/>
      <c r="I2488" s="1359"/>
      <c r="J2488" s="1359"/>
      <c r="K2488" s="1355">
        <v>4403</v>
      </c>
      <c r="L2488" s="1355" t="s">
        <v>9882</v>
      </c>
    </row>
    <row r="2489" spans="1:12">
      <c r="A2489" s="611" t="s">
        <v>9883</v>
      </c>
      <c r="B2489" s="611" t="s">
        <v>9884</v>
      </c>
      <c r="D2489" s="1353">
        <f>SUMIF(H1454:H1493,"&lt;&gt;1",D1454:D1493)*-1</f>
        <v>-1660774</v>
      </c>
      <c r="E2489" s="1353">
        <f>SUMIF(H1454:H1493,"&lt;&gt;1",E1454:E1493)*-1</f>
        <v>-5329388</v>
      </c>
      <c r="F2489" s="1358">
        <f>Page5_CHV_MCI!$G$51</f>
        <v>1660774</v>
      </c>
      <c r="H2489" s="1360"/>
      <c r="I2489" s="1360"/>
      <c r="J2489" s="1117"/>
      <c r="K2489" s="1355">
        <v>4404</v>
      </c>
      <c r="L2489" s="1355" t="s">
        <v>9885</v>
      </c>
    </row>
    <row r="2490" spans="1:12">
      <c r="B2490" s="611" t="s">
        <v>9886</v>
      </c>
      <c r="D2490" s="1353">
        <f>SUMIF(H1535:H1574,"&lt;&gt;1",D1535:D1574)*-1</f>
        <v>-166774</v>
      </c>
      <c r="E2490" s="1353">
        <f>SUMIF(H1535:H1574,"&lt;&gt;1",E1535:E1574)*-1</f>
        <v>-743403</v>
      </c>
      <c r="F2490" s="1358">
        <f>Page5_CHV_VE!$G$51</f>
        <v>166774</v>
      </c>
      <c r="H2490" s="1360"/>
      <c r="I2490" s="1360"/>
      <c r="J2490" s="1117"/>
      <c r="K2490" s="1355">
        <v>4405</v>
      </c>
      <c r="L2490" s="1355" t="s">
        <v>9887</v>
      </c>
    </row>
    <row r="2491" spans="1:12">
      <c r="B2491" s="611" t="s">
        <v>9888</v>
      </c>
      <c r="D2491" s="1353">
        <f>SUMIF(H1616:H1655,"&lt;&gt;1",D1616:D1655)*-1</f>
        <v>0</v>
      </c>
      <c r="E2491" s="1353">
        <f>SUMIF(H1616:H1655,"&lt;&gt;1",E1616:E1655)*-1</f>
        <v>0</v>
      </c>
      <c r="F2491" s="1358">
        <f>Page5_BUI_VE!$G$51</f>
        <v>0</v>
      </c>
      <c r="H2491" s="1360"/>
      <c r="I2491" s="1360"/>
      <c r="J2491" s="1117"/>
      <c r="K2491" s="1355">
        <v>4406</v>
      </c>
      <c r="L2491" s="1355" t="s">
        <v>9889</v>
      </c>
    </row>
    <row r="2492" spans="1:12">
      <c r="B2492" s="611" t="s">
        <v>9890</v>
      </c>
      <c r="D2492" s="1353">
        <f>SUMIF(H1697:H1736,"&lt;&gt;1",D1697:D1736)*-1</f>
        <v>-370953</v>
      </c>
      <c r="E2492" s="1353">
        <f>SUMIF(H1697:H1736,"&lt;&gt;1",E1697:E1736)*-1</f>
        <v>-807943</v>
      </c>
      <c r="F2492" s="1358">
        <f>Page5_BUI_MCI!$G$51</f>
        <v>370953</v>
      </c>
      <c r="H2492" s="1360"/>
      <c r="I2492" s="1360"/>
      <c r="J2492" s="1117"/>
      <c r="K2492" s="1355">
        <v>4407</v>
      </c>
      <c r="L2492" s="1355" t="s">
        <v>9891</v>
      </c>
    </row>
    <row r="2493" spans="1:12">
      <c r="B2493" s="611" t="s">
        <v>9892</v>
      </c>
      <c r="D2493" s="1353">
        <f>SUMIF(H1778:H1817,"&lt;&gt;1",D1778:D1817)*-1</f>
        <v>-662216</v>
      </c>
      <c r="E2493" s="1353">
        <f>SUMIF(H1778:H1817,"&lt;&gt;1",E1778:E1817)*-1</f>
        <v>-3890529</v>
      </c>
      <c r="F2493" s="1358">
        <f>Page5_CAD_MCI!$G$51</f>
        <v>662216</v>
      </c>
      <c r="H2493" s="1360"/>
      <c r="I2493" s="1360"/>
      <c r="J2493" s="1117"/>
      <c r="K2493" s="1355">
        <v>4408</v>
      </c>
      <c r="L2493" s="1355" t="s">
        <v>9893</v>
      </c>
    </row>
    <row r="2494" spans="1:12">
      <c r="B2494" s="611" t="s">
        <v>9894</v>
      </c>
      <c r="D2494" s="1353">
        <f>SUMIF(H1859:H1898,"&lt;&gt;1",D1859:D1898)*-1</f>
        <v>-906847</v>
      </c>
      <c r="E2494" s="1353">
        <f>SUMIF(H1859:H1898,"&lt;&gt;1",E1859:E1898)*-1</f>
        <v>-4120986</v>
      </c>
      <c r="F2494" s="1358">
        <f>Page5_GMC_MCI!$G$51</f>
        <v>906847</v>
      </c>
      <c r="H2494" s="1360"/>
      <c r="I2494" s="1360"/>
      <c r="J2494" s="1117"/>
      <c r="K2494" s="1355">
        <v>4409</v>
      </c>
      <c r="L2494" s="1355" t="s">
        <v>9895</v>
      </c>
    </row>
    <row r="2495" spans="1:12">
      <c r="B2495" s="611" t="s">
        <v>9896</v>
      </c>
      <c r="D2495" s="1353">
        <f>SUMIF(H1940:H1979,"&lt;&gt;1",D1940:D1979)*-1</f>
        <v>-529537</v>
      </c>
      <c r="E2495" s="1353">
        <f>SUMIF(H1940:H1979,"&lt;&gt;1",E1940:E1979)*-1</f>
        <v>-961197</v>
      </c>
      <c r="F2495" s="1358">
        <f>Page5_CAD_VE!$G$51</f>
        <v>529537</v>
      </c>
      <c r="H2495" s="1360"/>
      <c r="I2495" s="1360"/>
      <c r="J2495" s="1117"/>
      <c r="K2495" s="1355">
        <v>4410</v>
      </c>
      <c r="L2495" s="1355" t="s">
        <v>9897</v>
      </c>
    </row>
    <row r="2496" spans="1:12">
      <c r="B2496" s="611" t="s">
        <v>9898</v>
      </c>
      <c r="D2496" s="1353">
        <f>SUMIF(H2264:H2264,"&lt;&gt;1",D2264:D2264)*-1</f>
        <v>0</v>
      </c>
      <c r="E2496" s="1353">
        <f>SUMIF(H2264:H2264,"&lt;&gt;1",E2264:E2264)*-1</f>
        <v>0</v>
      </c>
      <c r="F2496" s="1358">
        <f>Page5j_SANS_OBJECT!$G$51</f>
        <v>0</v>
      </c>
      <c r="H2496" s="1360"/>
      <c r="I2496" s="1360"/>
      <c r="J2496" s="1117"/>
      <c r="K2496" s="1355">
        <v>4411</v>
      </c>
      <c r="L2496" s="1355" t="s">
        <v>9899</v>
      </c>
    </row>
    <row r="2497" spans="1:12">
      <c r="B2497" s="611" t="s">
        <v>9900</v>
      </c>
      <c r="D2497" s="1353">
        <f>SUMIF(H2266:H2272,"&lt;&gt;1",D2266:D2272)*-1</f>
        <v>-5423036</v>
      </c>
      <c r="E2497" s="1353">
        <f>SUMIF(H2266:H2272,"&lt;&gt;1",E2266:E2272)*-1</f>
        <v>-16558650</v>
      </c>
      <c r="F2497" s="1358">
        <f>Page6!G17</f>
        <v>5423036</v>
      </c>
      <c r="H2497" s="1360"/>
      <c r="I2497" s="1360"/>
      <c r="J2497" s="1117"/>
      <c r="K2497" s="1355">
        <v>4412</v>
      </c>
      <c r="L2497" s="1355" t="s">
        <v>9901</v>
      </c>
    </row>
    <row r="2498" spans="1:12">
      <c r="B2498" s="611" t="s">
        <v>9902</v>
      </c>
      <c r="D2498" s="1353">
        <f>SUMIF(H2287:H2303,"&lt;&gt;1",D2287:D2303)*-1</f>
        <v>-141732</v>
      </c>
      <c r="E2498" s="1353">
        <f>SUMIF(H2287:H2303,"&lt;&gt;1",E2287:E2303)*-1</f>
        <v>-483083</v>
      </c>
      <c r="F2498" s="1358">
        <f>Page6!G43</f>
        <v>141732</v>
      </c>
      <c r="H2498" s="1360"/>
      <c r="I2498" s="1360"/>
      <c r="J2498" s="1117"/>
      <c r="K2498" s="1355">
        <v>4413</v>
      </c>
      <c r="L2498" s="1355" t="s">
        <v>9903</v>
      </c>
    </row>
    <row r="2499" spans="1:12">
      <c r="B2499" s="611" t="s">
        <v>9904</v>
      </c>
      <c r="D2499" s="1353">
        <f>SUMIF(H2304:H2309,"&lt;&gt;1",D2304:D2309)*-1</f>
        <v>-125390</v>
      </c>
      <c r="E2499" s="1353">
        <f>SUMIF(H2304:H2309,"&lt;&gt;1",E2304:E2309)*-1</f>
        <v>-453258</v>
      </c>
      <c r="F2499" s="1358">
        <f>Page6!G52</f>
        <v>125390</v>
      </c>
      <c r="H2499" s="1360"/>
      <c r="I2499" s="1360"/>
      <c r="J2499" s="1117"/>
      <c r="K2499" s="1355">
        <v>4414</v>
      </c>
      <c r="L2499" s="1355" t="s">
        <v>9905</v>
      </c>
    </row>
    <row r="2500" spans="1:12">
      <c r="B2500" s="611" t="s">
        <v>9906</v>
      </c>
      <c r="D2500" s="1353">
        <f>SUMIF(H2311:H2328,"&lt;&gt;1",D2311:D2328)*-1</f>
        <v>-164865</v>
      </c>
      <c r="E2500" s="1353">
        <f>SUMIF(H2311:H2328,"&lt;&gt;1",E2311:E2328)*-1</f>
        <v>-657456</v>
      </c>
      <c r="F2500" s="1358">
        <f>Page6!G77</f>
        <v>164865</v>
      </c>
      <c r="H2500" s="1360"/>
      <c r="I2500" s="1360"/>
      <c r="J2500" s="1117"/>
      <c r="K2500" s="1355">
        <v>4415</v>
      </c>
      <c r="L2500" s="1355" t="s">
        <v>9907</v>
      </c>
    </row>
    <row r="2501" spans="1:12">
      <c r="B2501" s="611" t="s">
        <v>9908</v>
      </c>
      <c r="D2501" s="1353">
        <f>(SUMIF(H2403:H2408,"&lt;&gt;1",D2403:D2408)+SUMIF(H2417:H2423,"&lt;&gt;1",D2417:D2423)+SUMIF(H2432:H2435,"&lt;&gt;1",D2432:D2435)+D2444)*-1</f>
        <v>0</v>
      </c>
      <c r="E2501" s="1353">
        <f>(SUMIF(H2403:H2408,"&lt;&gt;1",E2403:E2408)+SUMIF(H2417:H2423,"&lt;&gt;1",E2417:E2423)+SUMIF(H2432:H2435,"&lt;&gt;1",E2432:E2435)+E2444)*-1</f>
        <v>0</v>
      </c>
      <c r="F2501" s="1358">
        <f>Page8!H12+Page8!H26</f>
        <v>0</v>
      </c>
      <c r="H2501" s="1360"/>
      <c r="I2501" s="1361"/>
      <c r="J2501" s="1117"/>
      <c r="K2501" s="1355">
        <v>4416</v>
      </c>
      <c r="L2501" s="1355" t="s">
        <v>9909</v>
      </c>
    </row>
    <row r="2502" spans="1:12">
      <c r="B2502" s="611" t="s">
        <v>9910</v>
      </c>
      <c r="D2502" s="1353">
        <f>SUMIF(H2446:H2448,"&lt;&gt;1",D2446:D2448)*-1</f>
        <v>0</v>
      </c>
      <c r="E2502" s="1353">
        <f>SUMIF(H2446:H2448,"&lt;&gt;1",E2446:E2448)*-1</f>
        <v>0</v>
      </c>
      <c r="F2502" s="1358">
        <f>Page8!H54</f>
        <v>0</v>
      </c>
      <c r="H2502" s="1360"/>
      <c r="I2502" s="1361"/>
      <c r="J2502" s="1117"/>
      <c r="K2502" s="1355">
        <v>4417</v>
      </c>
      <c r="L2502" s="1355" t="s">
        <v>9911</v>
      </c>
    </row>
    <row r="2503" spans="1:12">
      <c r="B2503" s="611" t="s">
        <v>9912</v>
      </c>
      <c r="D2503" s="1353">
        <f>SUMIF(H2376:H2383,"&lt;&gt;1",D2376:D2383)*-1</f>
        <v>-39543</v>
      </c>
      <c r="E2503" s="1353">
        <f>SUMIF(H2376:H2383,"&lt;&gt;1",E2376:E2383)*-1</f>
        <v>-162387</v>
      </c>
      <c r="F2503" s="1358">
        <f>Page7!F24</f>
        <v>44441</v>
      </c>
      <c r="H2503" s="1360"/>
      <c r="I2503" s="1360"/>
      <c r="J2503" s="1117"/>
      <c r="K2503" s="1355">
        <v>4418</v>
      </c>
      <c r="L2503" s="1355" t="s">
        <v>9913</v>
      </c>
    </row>
    <row r="2504" spans="1:12">
      <c r="C2504" s="1117"/>
      <c r="D2504" s="1362"/>
      <c r="E2504" s="1353"/>
      <c r="F2504" s="1358"/>
      <c r="K2504" s="1355">
        <v>4419</v>
      </c>
      <c r="L2504" s="1355" t="s">
        <v>9914</v>
      </c>
    </row>
    <row r="2505" spans="1:12">
      <c r="A2505" s="611" t="s">
        <v>9915</v>
      </c>
      <c r="B2505" s="611" t="s">
        <v>9884</v>
      </c>
      <c r="D2505" s="1353">
        <f>SUMIF(D1494:D1533,"&lt;&gt;1",D1494:D1533)</f>
        <v>1600969</v>
      </c>
      <c r="E2505" s="1353">
        <f>SUMIF(E1494:E1533,"&lt;&gt;1",E1494:E1533)</f>
        <v>5187720</v>
      </c>
      <c r="F2505" s="1358">
        <f>Page5_CHV_MCI!$H$51</f>
        <v>1600969</v>
      </c>
      <c r="K2505" s="1355">
        <v>4420</v>
      </c>
      <c r="L2505" s="1355" t="s">
        <v>9916</v>
      </c>
    </row>
    <row r="2506" spans="1:12">
      <c r="B2506" s="611" t="s">
        <v>9886</v>
      </c>
      <c r="D2506" s="1353">
        <f>SUMIF(H1575:H1614,"&lt;&gt;1",D1575:D1614)</f>
        <v>161694</v>
      </c>
      <c r="E2506" s="1353">
        <f>SUMIF(H1575:H1614,"&lt;&gt;1",E1575:E1614)</f>
        <v>720974</v>
      </c>
      <c r="F2506" s="1358">
        <f>Page5_CHV_VE!$H$51</f>
        <v>161694</v>
      </c>
      <c r="K2506" s="1355">
        <v>4421</v>
      </c>
      <c r="L2506" s="1355" t="s">
        <v>9917</v>
      </c>
    </row>
    <row r="2507" spans="1:12">
      <c r="B2507" s="611" t="s">
        <v>9888</v>
      </c>
      <c r="D2507" s="1353">
        <f>SUMIF(H1656:H1695,"&lt;&gt;1",D1656:D1695)</f>
        <v>0</v>
      </c>
      <c r="E2507" s="1353">
        <f>SUMIF(H1656:H1695,"&lt;&gt;1",E1656:E1695)</f>
        <v>0</v>
      </c>
      <c r="F2507" s="1358">
        <f>Page5_BUI_VE!$H$51</f>
        <v>0</v>
      </c>
      <c r="K2507" s="1355">
        <v>4422</v>
      </c>
      <c r="L2507" s="1355" t="s">
        <v>9918</v>
      </c>
    </row>
    <row r="2508" spans="1:12">
      <c r="B2508" s="611" t="s">
        <v>9890</v>
      </c>
      <c r="D2508" s="1353">
        <f>SUMIF(H1737:H1776,"&lt;&gt;1",D1737:D1776)</f>
        <v>357322</v>
      </c>
      <c r="E2508" s="1353">
        <f>SUMIF(H1737:H1776,"&lt;&gt;1",E1737:E1776)</f>
        <v>785565</v>
      </c>
      <c r="F2508" s="1358">
        <f>Page5_BUI_MCI!$H$51</f>
        <v>357322</v>
      </c>
      <c r="K2508" s="1355">
        <v>4423</v>
      </c>
      <c r="L2508" s="1355" t="s">
        <v>9919</v>
      </c>
    </row>
    <row r="2509" spans="1:12">
      <c r="B2509" s="611" t="s">
        <v>9892</v>
      </c>
      <c r="D2509" s="1353">
        <f>SUMIF(H1818:H1857,"&lt;&gt;1",D1818:D1857)</f>
        <v>647624</v>
      </c>
      <c r="E2509" s="1353">
        <f>SUMIF(H1818:H1857,"&lt;&gt;1",E1818:E1857)</f>
        <v>3751082</v>
      </c>
      <c r="F2509" s="1358">
        <f>Page5_CAD_MCI!$H$51</f>
        <v>647624</v>
      </c>
      <c r="K2509" s="1355">
        <v>4424</v>
      </c>
      <c r="L2509" s="1355" t="s">
        <v>9920</v>
      </c>
    </row>
    <row r="2510" spans="1:12">
      <c r="B2510" s="611" t="s">
        <v>9894</v>
      </c>
      <c r="D2510" s="1353">
        <f>SUMIF(H1899:H1938,"&lt;&gt;1",D1899:D1938)</f>
        <v>866553</v>
      </c>
      <c r="E2510" s="1353">
        <f>SUMIF(H1899:H1938,"&lt;&gt;1",E1899:E1938)</f>
        <v>3949833</v>
      </c>
      <c r="F2510" s="1358">
        <f>Page5_GMC_MCI!$H$51</f>
        <v>866553</v>
      </c>
      <c r="K2510" s="1355">
        <v>4425</v>
      </c>
      <c r="L2510" s="1355" t="s">
        <v>9921</v>
      </c>
    </row>
    <row r="2511" spans="1:12">
      <c r="B2511" s="611" t="s">
        <v>9896</v>
      </c>
      <c r="D2511" s="1117">
        <f>SUMIF(H1980:H2019,"&lt;&gt;1",D1980:D2019)</f>
        <v>509047</v>
      </c>
      <c r="E2511" s="1117">
        <f>SUMIF(H1980:H2019,"&lt;&gt;1",E1980:E2019)</f>
        <v>922883</v>
      </c>
      <c r="F2511" s="1358">
        <f>Page5_CAD_VE!$H$51</f>
        <v>509047</v>
      </c>
      <c r="K2511" s="1355">
        <v>4426</v>
      </c>
      <c r="L2511" s="1355" t="s">
        <v>9922</v>
      </c>
    </row>
    <row r="2512" spans="1:12">
      <c r="B2512" s="611" t="s">
        <v>9898</v>
      </c>
      <c r="D2512" s="1117">
        <f>SUMIF(H2262:H2263,"&lt;&gt;1",D2262:D2263)</f>
        <v>0</v>
      </c>
      <c r="E2512" s="1117">
        <f>SUMIF(H2262:H2263,"&lt;&gt;1",E2262:E2263)</f>
        <v>0</v>
      </c>
      <c r="F2512" s="1358">
        <f>Page5j_SANS_OBJECT!$H$51</f>
        <v>0</v>
      </c>
      <c r="K2512" s="1355">
        <v>4427</v>
      </c>
      <c r="L2512" s="1355" t="s">
        <v>9923</v>
      </c>
    </row>
    <row r="2513" spans="2:12">
      <c r="B2513" s="611" t="s">
        <v>9900</v>
      </c>
      <c r="D2513" s="1117">
        <f>SUMIF(H2273:H2285,"&lt;&gt;1",D2273:D2285)</f>
        <v>5201678</v>
      </c>
      <c r="E2513" s="1117">
        <f>SUMIF(H2273:H2285,"&lt;&gt;1",E2273:E2285)</f>
        <v>15766857</v>
      </c>
      <c r="F2513" s="1358">
        <f>Page6!H17</f>
        <v>5201678</v>
      </c>
      <c r="K2513" s="1355">
        <v>4428</v>
      </c>
      <c r="L2513" s="1355" t="s">
        <v>9924</v>
      </c>
    </row>
    <row r="2514" spans="2:12">
      <c r="B2514" s="611" t="s">
        <v>9902</v>
      </c>
      <c r="D2514" s="1117">
        <f>SUMIF(H2329:H2346,"&lt;&gt;1",D2329:D2346)</f>
        <v>57267</v>
      </c>
      <c r="E2514" s="1117">
        <f>SUMIF(H2329:H2346,"&lt;&gt;1",E2329:E2346)</f>
        <v>205946</v>
      </c>
      <c r="F2514" s="1358">
        <f>Page6!H43</f>
        <v>57267</v>
      </c>
      <c r="K2514" s="1355">
        <v>4429</v>
      </c>
      <c r="L2514" s="1355" t="s">
        <v>9925</v>
      </c>
    </row>
    <row r="2515" spans="2:12">
      <c r="B2515" s="611" t="s">
        <v>9904</v>
      </c>
      <c r="D2515" s="1117">
        <f>SUMIF(H2348:H2354,"&lt;&gt;1",D2348:D2354)</f>
        <v>77627</v>
      </c>
      <c r="E2515" s="1117">
        <f>SUMIF(H2348:H2354,"&lt;&gt;1",E2348:E2354)</f>
        <v>278983</v>
      </c>
      <c r="F2515" s="1358">
        <f>Page6!H52</f>
        <v>77627</v>
      </c>
      <c r="K2515" s="1355">
        <v>4430</v>
      </c>
      <c r="L2515" s="1355" t="s">
        <v>9926</v>
      </c>
    </row>
    <row r="2516" spans="2:12">
      <c r="B2516" s="611" t="s">
        <v>9906</v>
      </c>
      <c r="D2516" s="1117">
        <f>SUMIF(H2355:H2374,"&lt;&gt;1",D2355:D2374)</f>
        <v>115209</v>
      </c>
      <c r="E2516" s="1117">
        <f>SUMIF(H2355:H2374,"&lt;&gt;1",E2355:E2374)</f>
        <v>449783</v>
      </c>
      <c r="F2516" s="1358">
        <f>Page6!H77</f>
        <v>115209</v>
      </c>
      <c r="K2516" s="1355">
        <v>4431</v>
      </c>
      <c r="L2516" s="1355" t="s">
        <v>9927</v>
      </c>
    </row>
    <row r="2517" spans="2:12">
      <c r="B2517" s="611" t="s">
        <v>9908</v>
      </c>
      <c r="D2517" s="1117">
        <f>SUMIF(H2409:H2416,"&lt;&gt;1",D2409:D2416)+SUMIF(H2424:H2431,"&lt;&gt;1",D2424:D2431)+SUMIF(H2436:H2443,"&lt;&gt;1",D2436:D2443)</f>
        <v>0</v>
      </c>
      <c r="E2517" s="1117">
        <f>SUMIF(H2409:H2416,"&lt;&gt;1",E2409:E2416)+SUMIF(H2424:H2431,"&lt;&gt;1",E2424:E2431)+SUMIF(H2436:H2443,"&lt;&gt;1",E2436:E2443)</f>
        <v>0</v>
      </c>
      <c r="F2517" s="1358">
        <f>Page8!H22</f>
        <v>0</v>
      </c>
      <c r="K2517" s="1355">
        <v>4432</v>
      </c>
      <c r="L2517" s="1355" t="s">
        <v>9928</v>
      </c>
    </row>
    <row r="2518" spans="2:12">
      <c r="B2518" s="611" t="s">
        <v>9910</v>
      </c>
      <c r="D2518" s="1117">
        <f>SUMIF(H2449:H2454,"&lt;&gt;1",D2449:D2454)</f>
        <v>0</v>
      </c>
      <c r="E2518" s="1117">
        <f>SUMIF(H2449:H2454,"&lt;&gt;1",E2449:E2454)</f>
        <v>0</v>
      </c>
      <c r="F2518" s="1358">
        <f>Page8!J54-Page8!J49-Page8!J53-Page8!H48</f>
        <v>0</v>
      </c>
      <c r="K2518" s="1355">
        <v>4433</v>
      </c>
      <c r="L2518" s="1355" t="s">
        <v>9929</v>
      </c>
    </row>
    <row r="2519" spans="2:12">
      <c r="B2519" s="611" t="s">
        <v>9912</v>
      </c>
      <c r="D2519" s="1117">
        <f>SUMIF(H2384:H2401,"&lt;&gt;1",D2384:D2401)</f>
        <v>36455</v>
      </c>
      <c r="E2519" s="1117">
        <f>SUMIF(H2384:H2401,"&lt;&gt;1",E2384:E2401)</f>
        <v>121048</v>
      </c>
      <c r="F2519" s="1358">
        <f>Page7!G24-Page7!F4-Page7!F5-Page7!G6-Page7!G11-Page7!G12-Page7!F14-Page7!F15-Page7!G16-Page7!G21-Page7!G22</f>
        <v>14962</v>
      </c>
      <c r="K2519" s="1355">
        <v>4434</v>
      </c>
      <c r="L2519" s="1355" t="s">
        <v>9930</v>
      </c>
    </row>
    <row r="2520" spans="2:12">
      <c r="C2520" s="1117"/>
      <c r="G2520" s="1117"/>
      <c r="H2520" s="1360"/>
      <c r="K2520" s="1355">
        <v>4435</v>
      </c>
      <c r="L2520" s="1355" t="s">
        <v>9931</v>
      </c>
    </row>
    <row r="2521" spans="2:12">
      <c r="B2521" s="611" t="s">
        <v>9932</v>
      </c>
      <c r="C2521" s="1117"/>
      <c r="E2521" s="1363">
        <f>SUM(E2482:E2520)</f>
        <v>31948687</v>
      </c>
      <c r="F2521" s="1358"/>
      <c r="H2521" s="1360"/>
      <c r="K2521" s="1355">
        <v>4436</v>
      </c>
      <c r="L2521" s="1355" t="s">
        <v>9933</v>
      </c>
    </row>
    <row r="2522" spans="2:12">
      <c r="B2522" s="611" t="s">
        <v>9934</v>
      </c>
      <c r="D2522" s="1364">
        <f>SUM(D2485:D2520)*-1</f>
        <v>36134</v>
      </c>
      <c r="E2522" s="1364">
        <f>SUM(E2485:E2520)*-1</f>
        <v>2212293</v>
      </c>
      <c r="F2522" s="1365">
        <f>Page2!G68</f>
        <v>129671</v>
      </c>
      <c r="H2522" s="1360"/>
      <c r="K2522" s="1355">
        <v>4437</v>
      </c>
      <c r="L2522" s="1355" t="s">
        <v>9935</v>
      </c>
    </row>
    <row r="2523" spans="2:12">
      <c r="C2523" s="1117"/>
      <c r="K2523" s="1355">
        <v>4438</v>
      </c>
      <c r="L2523" s="1355" t="s">
        <v>9936</v>
      </c>
    </row>
    <row r="2524" spans="2:12">
      <c r="B2524" s="1366" t="s">
        <v>9937</v>
      </c>
      <c r="D2524" s="1117">
        <f>(SUM(D2489:D2503)+SUM(D2505:D2519))*-1</f>
        <v>560222</v>
      </c>
      <c r="E2524" s="1117">
        <f>(SUM(E2489:E2503)+SUM(E2505:E2519))*-1</f>
        <v>2027606</v>
      </c>
      <c r="F2524" s="1358">
        <f>Page2!G5</f>
        <v>577339</v>
      </c>
      <c r="G2524" s="1117"/>
      <c r="K2524" s="1355">
        <v>4439</v>
      </c>
      <c r="L2524" s="1355" t="s">
        <v>9938</v>
      </c>
    </row>
    <row r="2525" spans="2:12">
      <c r="B2525" s="1366" t="s">
        <v>5803</v>
      </c>
      <c r="D2525" s="1117">
        <f>D2485*-1</f>
        <v>-577339</v>
      </c>
      <c r="E2525" s="1117">
        <f>E2485*-1</f>
        <v>-100001</v>
      </c>
      <c r="F2525" s="1358">
        <f>Page2!G60+Page2!G64+Page2!G65+Page2!G67</f>
        <v>500919</v>
      </c>
      <c r="G2525" s="1117"/>
      <c r="K2525" s="1355">
        <v>4440</v>
      </c>
      <c r="L2525" s="1355" t="s">
        <v>9939</v>
      </c>
    </row>
    <row r="2526" spans="2:12">
      <c r="B2526" s="1367" t="s">
        <v>9940</v>
      </c>
      <c r="D2526" s="1117">
        <f>D2524+D2525</f>
        <v>-17117</v>
      </c>
      <c r="E2526" s="1117">
        <f>E2524+E2525</f>
        <v>1927605</v>
      </c>
      <c r="F2526" s="1358">
        <f>Page2!G61-Page2!G64-Page2!G65-Page2!G67</f>
        <v>76420</v>
      </c>
      <c r="G2526" s="1117"/>
      <c r="K2526" s="1355">
        <v>4441</v>
      </c>
      <c r="L2526" s="1355" t="s">
        <v>9941</v>
      </c>
    </row>
    <row r="2527" spans="2:12">
      <c r="B2527" s="1366" t="s">
        <v>9942</v>
      </c>
      <c r="D2527" s="1117">
        <f>(D2486+D2487)*-1</f>
        <v>53251</v>
      </c>
      <c r="E2527" s="1117">
        <f>(E2486+E2487)*-1</f>
        <v>284688</v>
      </c>
      <c r="F2527" s="1358">
        <f>Page2!G62</f>
        <v>53251</v>
      </c>
      <c r="G2527" s="1117"/>
      <c r="K2527" s="1355">
        <v>4442</v>
      </c>
      <c r="L2527" s="1355" t="s">
        <v>9943</v>
      </c>
    </row>
    <row r="2528" spans="2:12">
      <c r="B2528" s="1366" t="s">
        <v>9944</v>
      </c>
      <c r="D2528" s="1364">
        <f>D2526+D2527</f>
        <v>36134</v>
      </c>
      <c r="E2528" s="1364">
        <f>E2526+E2527</f>
        <v>2212293</v>
      </c>
      <c r="F2528" s="1365">
        <f>Page2!G68</f>
        <v>129671</v>
      </c>
      <c r="G2528" s="1117"/>
      <c r="K2528" s="1355">
        <v>4443</v>
      </c>
      <c r="L2528" s="1355" t="s">
        <v>9945</v>
      </c>
    </row>
    <row r="2529" spans="2:12">
      <c r="C2529" s="1117"/>
      <c r="K2529" s="1355">
        <v>4444</v>
      </c>
      <c r="L2529" s="1355" t="s">
        <v>9946</v>
      </c>
    </row>
    <row r="2530" spans="2:12">
      <c r="C2530" s="1117"/>
      <c r="K2530" s="1355">
        <v>4445</v>
      </c>
      <c r="L2530" s="1355" t="s">
        <v>9947</v>
      </c>
    </row>
    <row r="2531" spans="2:12">
      <c r="C2531" s="1117"/>
      <c r="K2531" s="1355">
        <v>4446</v>
      </c>
      <c r="L2531" s="1355" t="s">
        <v>9948</v>
      </c>
    </row>
    <row r="2532" spans="2:12">
      <c r="C2532" s="1117"/>
      <c r="K2532" s="1355">
        <v>4447</v>
      </c>
      <c r="L2532" s="1355" t="s">
        <v>9949</v>
      </c>
    </row>
    <row r="2533" spans="2:12">
      <c r="C2533" s="1117"/>
      <c r="D2533" s="1366" t="s">
        <v>1903</v>
      </c>
      <c r="E2533" s="1366" t="s">
        <v>1904</v>
      </c>
      <c r="F2533" s="1367" t="s">
        <v>834</v>
      </c>
      <c r="K2533" s="1355">
        <v>4448</v>
      </c>
      <c r="L2533" s="1355" t="s">
        <v>9950</v>
      </c>
    </row>
    <row r="2534" spans="2:12">
      <c r="B2534" s="611" t="s">
        <v>9951</v>
      </c>
      <c r="D2534" s="1117">
        <f>COUNTA(D1039:D2454)</f>
        <v>1416</v>
      </c>
      <c r="E2534" s="1117">
        <f>COUNTA(E1039:E2454)</f>
        <v>1416</v>
      </c>
      <c r="F2534" s="611">
        <f>E2534+D2534</f>
        <v>2832</v>
      </c>
      <c r="K2534" s="1355">
        <v>4449</v>
      </c>
      <c r="L2534" s="1355" t="s">
        <v>9952</v>
      </c>
    </row>
    <row r="2535" spans="2:12">
      <c r="B2535" s="611" t="s">
        <v>9953</v>
      </c>
      <c r="C2535" s="1117"/>
      <c r="D2535" s="1117">
        <f>COUNTA(D3:D1036)</f>
        <v>996</v>
      </c>
      <c r="E2535" s="1117">
        <f>COUNTA(E3:E1036)</f>
        <v>1009</v>
      </c>
      <c r="F2535" s="611">
        <f>D2535+E2535</f>
        <v>2005</v>
      </c>
      <c r="K2535" s="1355">
        <v>4450</v>
      </c>
      <c r="L2535" s="1355" t="s">
        <v>9954</v>
      </c>
    </row>
    <row r="2536" spans="2:12">
      <c r="B2536" s="611" t="s">
        <v>9955</v>
      </c>
      <c r="C2536" s="1117"/>
      <c r="D2536" s="1364">
        <f>D2534+D2535</f>
        <v>2412</v>
      </c>
      <c r="E2536" s="1364">
        <f>E2534+E2535</f>
        <v>2425</v>
      </c>
      <c r="F2536" s="1368">
        <f>E2536+D2536</f>
        <v>4837</v>
      </c>
      <c r="K2536" s="1355">
        <v>4451</v>
      </c>
      <c r="L2536" s="1355" t="s">
        <v>9956</v>
      </c>
    </row>
    <row r="2537" spans="2:12">
      <c r="C2537" s="1117"/>
      <c r="K2537" s="1355">
        <v>4452</v>
      </c>
      <c r="L2537" s="1355" t="s">
        <v>9957</v>
      </c>
    </row>
    <row r="2538" spans="2:12">
      <c r="C2538" s="1117"/>
      <c r="K2538" s="1355">
        <v>4453</v>
      </c>
      <c r="L2538" s="1355" t="s">
        <v>9958</v>
      </c>
    </row>
    <row r="2539" spans="2:12">
      <c r="C2539" s="1117"/>
      <c r="K2539" s="1355">
        <v>4454</v>
      </c>
      <c r="L2539" s="1355" t="s">
        <v>9959</v>
      </c>
    </row>
    <row r="2540" spans="2:12">
      <c r="C2540" s="1117"/>
      <c r="K2540" s="1355">
        <v>4455</v>
      </c>
      <c r="L2540" s="1355" t="s">
        <v>9960</v>
      </c>
    </row>
    <row r="2541" spans="2:12">
      <c r="C2541" s="1117"/>
      <c r="K2541" s="1355">
        <v>4456</v>
      </c>
      <c r="L2541" s="1355" t="s">
        <v>9961</v>
      </c>
    </row>
    <row r="2542" spans="2:12">
      <c r="C2542" s="1117"/>
      <c r="K2542" s="1355">
        <v>4457</v>
      </c>
      <c r="L2542" s="1355" t="s">
        <v>9962</v>
      </c>
    </row>
    <row r="2543" spans="2:12">
      <c r="C2543" s="1117"/>
      <c r="K2543" s="1355">
        <v>4458</v>
      </c>
      <c r="L2543" s="1355" t="s">
        <v>9963</v>
      </c>
    </row>
    <row r="2544" spans="2:12">
      <c r="C2544" s="1117"/>
      <c r="K2544" s="1355">
        <v>4459</v>
      </c>
      <c r="L2544" s="1355" t="s">
        <v>9964</v>
      </c>
    </row>
    <row r="2545" spans="3:12">
      <c r="C2545" s="1117"/>
      <c r="K2545" s="1355">
        <v>4460</v>
      </c>
      <c r="L2545" s="1355" t="s">
        <v>9965</v>
      </c>
    </row>
    <row r="2546" spans="3:12">
      <c r="C2546" s="1117"/>
      <c r="K2546" s="1355">
        <v>4461</v>
      </c>
      <c r="L2546" s="1355" t="s">
        <v>9966</v>
      </c>
    </row>
    <row r="2547" spans="3:12">
      <c r="C2547" s="1117"/>
      <c r="K2547" s="1355">
        <v>4462</v>
      </c>
      <c r="L2547" s="1355" t="s">
        <v>9967</v>
      </c>
    </row>
    <row r="2548" spans="3:12">
      <c r="C2548" s="1117"/>
      <c r="K2548" s="1355">
        <v>4463</v>
      </c>
      <c r="L2548" s="1355" t="s">
        <v>9968</v>
      </c>
    </row>
    <row r="2549" spans="3:12">
      <c r="C2549" s="1117"/>
      <c r="K2549" s="1355">
        <v>4464</v>
      </c>
      <c r="L2549" s="1355" t="s">
        <v>9969</v>
      </c>
    </row>
    <row r="2550" spans="3:12">
      <c r="C2550" s="1117"/>
      <c r="K2550" s="1355">
        <v>4465</v>
      </c>
      <c r="L2550" s="1355" t="s">
        <v>9970</v>
      </c>
    </row>
    <row r="2551" spans="3:12">
      <c r="C2551" s="1117"/>
      <c r="K2551" s="1355">
        <v>4466</v>
      </c>
      <c r="L2551" s="1355" t="s">
        <v>9971</v>
      </c>
    </row>
    <row r="2552" spans="3:12">
      <c r="C2552" s="1117"/>
      <c r="K2552" s="1355">
        <v>4467</v>
      </c>
      <c r="L2552" s="1355" t="s">
        <v>9972</v>
      </c>
    </row>
    <row r="2553" spans="3:12">
      <c r="C2553" s="1117"/>
      <c r="K2553" s="1355">
        <v>4468</v>
      </c>
      <c r="L2553" s="1355" t="s">
        <v>9973</v>
      </c>
    </row>
    <row r="2554" spans="3:12">
      <c r="C2554" s="1117"/>
      <c r="K2554" s="1355">
        <v>4469</v>
      </c>
      <c r="L2554" s="1355" t="s">
        <v>9974</v>
      </c>
    </row>
    <row r="2555" spans="3:12">
      <c r="C2555" s="1117"/>
      <c r="K2555" s="1355">
        <v>4470</v>
      </c>
      <c r="L2555" s="1355" t="s">
        <v>9975</v>
      </c>
    </row>
    <row r="2556" spans="3:12">
      <c r="C2556" s="1117"/>
      <c r="K2556" s="1355">
        <v>4471</v>
      </c>
      <c r="L2556" s="1355" t="s">
        <v>9976</v>
      </c>
    </row>
    <row r="2557" spans="3:12">
      <c r="C2557" s="1117"/>
      <c r="K2557" s="1355">
        <v>4472</v>
      </c>
      <c r="L2557" s="1355" t="s">
        <v>9977</v>
      </c>
    </row>
    <row r="2558" spans="3:12">
      <c r="C2558" s="1117"/>
      <c r="K2558" s="1355">
        <v>4473</v>
      </c>
      <c r="L2558" s="1355" t="s">
        <v>9978</v>
      </c>
    </row>
    <row r="2559" spans="3:12">
      <c r="C2559" s="1117"/>
      <c r="K2559" s="1355">
        <v>4474</v>
      </c>
      <c r="L2559" s="1355" t="s">
        <v>9979</v>
      </c>
    </row>
    <row r="2560" spans="3:12">
      <c r="C2560" s="1117"/>
      <c r="K2560" s="1355">
        <v>4475</v>
      </c>
      <c r="L2560" s="1355" t="s">
        <v>9980</v>
      </c>
    </row>
    <row r="2561" spans="3:12">
      <c r="C2561" s="1117"/>
      <c r="K2561" s="1355">
        <v>4476</v>
      </c>
      <c r="L2561" s="1355" t="s">
        <v>9981</v>
      </c>
    </row>
    <row r="2562" spans="3:12">
      <c r="C2562" s="1117"/>
      <c r="K2562" s="1355">
        <v>4477</v>
      </c>
      <c r="L2562" s="1355" t="s">
        <v>9982</v>
      </c>
    </row>
    <row r="2563" spans="3:12">
      <c r="C2563" s="1117"/>
      <c r="K2563" s="1355">
        <v>4478</v>
      </c>
      <c r="L2563" s="1355" t="s">
        <v>9983</v>
      </c>
    </row>
    <row r="2564" spans="3:12">
      <c r="C2564" s="1117"/>
      <c r="K2564" s="1355">
        <v>4479</v>
      </c>
      <c r="L2564" s="1355" t="s">
        <v>9984</v>
      </c>
    </row>
    <row r="2565" spans="3:12">
      <c r="C2565" s="1117"/>
      <c r="K2565" s="1355">
        <v>4480</v>
      </c>
      <c r="L2565" s="1355" t="s">
        <v>9985</v>
      </c>
    </row>
    <row r="2566" spans="3:12">
      <c r="C2566" s="1117"/>
      <c r="K2566" s="1355">
        <v>4481</v>
      </c>
      <c r="L2566" s="1355" t="s">
        <v>9986</v>
      </c>
    </row>
    <row r="2567" spans="3:12">
      <c r="C2567" s="1117"/>
      <c r="K2567" s="1355">
        <v>4482</v>
      </c>
      <c r="L2567" s="1355" t="s">
        <v>9987</v>
      </c>
    </row>
    <row r="2568" spans="3:12">
      <c r="C2568" s="1117"/>
      <c r="K2568" s="1355">
        <v>4483</v>
      </c>
      <c r="L2568" s="1355" t="s">
        <v>9988</v>
      </c>
    </row>
    <row r="2569" spans="3:12">
      <c r="C2569" s="1117"/>
      <c r="K2569" s="1355">
        <v>4484</v>
      </c>
      <c r="L2569" s="1355" t="s">
        <v>9989</v>
      </c>
    </row>
    <row r="2570" spans="3:12">
      <c r="C2570" s="1117"/>
      <c r="K2570" s="1355">
        <v>4485</v>
      </c>
      <c r="L2570" s="1355" t="s">
        <v>9990</v>
      </c>
    </row>
    <row r="2571" spans="3:12">
      <c r="C2571" s="1117"/>
      <c r="K2571" s="1355">
        <v>4486</v>
      </c>
      <c r="L2571" s="1355" t="s">
        <v>9991</v>
      </c>
    </row>
    <row r="2572" spans="3:12">
      <c r="C2572" s="1117"/>
      <c r="K2572" s="1355">
        <v>4487</v>
      </c>
      <c r="L2572" s="1355" t="s">
        <v>9992</v>
      </c>
    </row>
    <row r="2573" spans="3:12">
      <c r="C2573" s="1117"/>
      <c r="K2573" s="1355">
        <v>4488</v>
      </c>
      <c r="L2573" s="1355" t="s">
        <v>9993</v>
      </c>
    </row>
    <row r="2574" spans="3:12">
      <c r="C2574" s="1117"/>
      <c r="K2574" s="1355">
        <v>4489</v>
      </c>
      <c r="L2574" s="1355" t="s">
        <v>9994</v>
      </c>
    </row>
    <row r="2575" spans="3:12">
      <c r="C2575" s="1117"/>
      <c r="K2575" s="1355">
        <v>4490</v>
      </c>
      <c r="L2575" s="1355" t="s">
        <v>9995</v>
      </c>
    </row>
    <row r="2576" spans="3:12">
      <c r="C2576" s="1117"/>
      <c r="K2576" s="1355">
        <v>4491</v>
      </c>
      <c r="L2576" s="1355" t="s">
        <v>9996</v>
      </c>
    </row>
    <row r="2577" spans="3:12">
      <c r="C2577" s="1117"/>
      <c r="K2577" s="1355">
        <v>4492</v>
      </c>
      <c r="L2577" s="1355" t="s">
        <v>9997</v>
      </c>
    </row>
    <row r="2578" spans="3:12">
      <c r="C2578" s="1117"/>
      <c r="K2578" s="1355">
        <v>4493</v>
      </c>
      <c r="L2578" s="1355" t="s">
        <v>9998</v>
      </c>
    </row>
    <row r="2579" spans="3:12">
      <c r="C2579" s="1117"/>
      <c r="K2579" s="1355">
        <v>4494</v>
      </c>
      <c r="L2579" s="1355" t="s">
        <v>9999</v>
      </c>
    </row>
    <row r="2580" spans="3:12">
      <c r="C2580" s="1117"/>
      <c r="K2580" s="1355">
        <v>4495</v>
      </c>
      <c r="L2580" s="1355" t="s">
        <v>10000</v>
      </c>
    </row>
    <row r="2581" spans="3:12">
      <c r="C2581" s="1117"/>
      <c r="K2581" s="1355">
        <v>4496</v>
      </c>
      <c r="L2581" s="1355" t="s">
        <v>10001</v>
      </c>
    </row>
    <row r="2582" spans="3:12">
      <c r="C2582" s="1117"/>
      <c r="K2582" s="1355">
        <v>4497</v>
      </c>
      <c r="L2582" s="1355" t="s">
        <v>10002</v>
      </c>
    </row>
    <row r="2583" spans="3:12">
      <c r="C2583" s="1117"/>
      <c r="K2583" s="1355">
        <v>4498</v>
      </c>
      <c r="L2583" s="1355" t="s">
        <v>10003</v>
      </c>
    </row>
    <row r="2584" spans="3:12">
      <c r="C2584" s="1117"/>
      <c r="K2584" s="1355">
        <v>4499</v>
      </c>
      <c r="L2584" s="1355" t="s">
        <v>10004</v>
      </c>
    </row>
    <row r="2585" spans="3:12">
      <c r="C2585" s="1117"/>
      <c r="K2585" s="1355">
        <v>4500</v>
      </c>
      <c r="L2585" s="1355" t="s">
        <v>10005</v>
      </c>
    </row>
    <row r="2586" spans="3:12">
      <c r="C2586" s="1117"/>
      <c r="K2586" s="1355">
        <v>4501</v>
      </c>
      <c r="L2586" s="1355" t="s">
        <v>10006</v>
      </c>
    </row>
    <row r="2587" spans="3:12">
      <c r="C2587" s="1117"/>
      <c r="K2587" s="1355">
        <v>4502</v>
      </c>
      <c r="L2587" s="1355" t="s">
        <v>10007</v>
      </c>
    </row>
    <row r="2588" spans="3:12">
      <c r="C2588" s="1117"/>
      <c r="K2588" s="1355">
        <v>4503</v>
      </c>
      <c r="L2588" s="1355" t="s">
        <v>10008</v>
      </c>
    </row>
    <row r="2589" spans="3:12">
      <c r="C2589" s="1117"/>
      <c r="K2589" s="1355">
        <v>4504</v>
      </c>
      <c r="L2589" s="1355" t="s">
        <v>10009</v>
      </c>
    </row>
    <row r="2590" spans="3:12">
      <c r="C2590" s="1117"/>
      <c r="K2590" s="1355">
        <v>4505</v>
      </c>
      <c r="L2590" s="1355" t="s">
        <v>10010</v>
      </c>
    </row>
    <row r="2591" spans="3:12">
      <c r="C2591" s="1117"/>
      <c r="K2591" s="1355">
        <v>4506</v>
      </c>
      <c r="L2591" s="1355" t="s">
        <v>10011</v>
      </c>
    </row>
    <row r="2592" spans="3:12">
      <c r="C2592" s="1117"/>
      <c r="K2592" s="1355">
        <v>4507</v>
      </c>
      <c r="L2592" s="1355" t="s">
        <v>10012</v>
      </c>
    </row>
    <row r="2593" spans="3:12">
      <c r="C2593" s="1117"/>
      <c r="K2593" s="1355">
        <v>4508</v>
      </c>
      <c r="L2593" s="1355" t="s">
        <v>10013</v>
      </c>
    </row>
    <row r="2594" spans="3:12">
      <c r="C2594" s="1117"/>
      <c r="K2594" s="1355">
        <v>4509</v>
      </c>
      <c r="L2594" s="1355" t="s">
        <v>10014</v>
      </c>
    </row>
    <row r="2595" spans="3:12">
      <c r="C2595" s="1117"/>
      <c r="K2595" s="1355">
        <v>4510</v>
      </c>
      <c r="L2595" s="1355" t="s">
        <v>10015</v>
      </c>
    </row>
    <row r="2596" spans="3:12">
      <c r="C2596" s="1117"/>
      <c r="K2596" s="1355">
        <v>4511</v>
      </c>
      <c r="L2596" s="1355" t="s">
        <v>10016</v>
      </c>
    </row>
    <row r="2597" spans="3:12">
      <c r="C2597" s="1117"/>
      <c r="K2597" s="1355">
        <v>4512</v>
      </c>
      <c r="L2597" s="1355" t="s">
        <v>10017</v>
      </c>
    </row>
    <row r="2598" spans="3:12">
      <c r="C2598" s="1117"/>
      <c r="K2598" s="1355">
        <v>4513</v>
      </c>
      <c r="L2598" s="1355" t="s">
        <v>10018</v>
      </c>
    </row>
    <row r="2599" spans="3:12">
      <c r="C2599" s="1117"/>
      <c r="K2599" s="1355">
        <v>4514</v>
      </c>
      <c r="L2599" s="1355" t="s">
        <v>10019</v>
      </c>
    </row>
    <row r="2600" spans="3:12">
      <c r="C2600" s="1117"/>
      <c r="K2600" s="1355">
        <v>4515</v>
      </c>
      <c r="L2600" s="1355" t="s">
        <v>10020</v>
      </c>
    </row>
    <row r="2601" spans="3:12">
      <c r="C2601" s="1117"/>
      <c r="K2601" s="1355">
        <v>4516</v>
      </c>
      <c r="L2601" s="1355" t="s">
        <v>10021</v>
      </c>
    </row>
    <row r="2602" spans="3:12">
      <c r="C2602" s="1117"/>
      <c r="K2602" s="1355">
        <v>4517</v>
      </c>
      <c r="L2602" s="1355" t="s">
        <v>10022</v>
      </c>
    </row>
    <row r="2603" spans="3:12">
      <c r="C2603" s="1117"/>
      <c r="K2603" s="1355">
        <v>4518</v>
      </c>
      <c r="L2603" s="1355" t="s">
        <v>10023</v>
      </c>
    </row>
    <row r="2604" spans="3:12">
      <c r="C2604" s="1117"/>
      <c r="K2604" s="1355">
        <v>4519</v>
      </c>
      <c r="L2604" s="1355" t="s">
        <v>10024</v>
      </c>
    </row>
    <row r="2605" spans="3:12">
      <c r="C2605" s="1117"/>
      <c r="K2605" s="1355">
        <v>4870</v>
      </c>
      <c r="L2605" s="1355" t="s">
        <v>10025</v>
      </c>
    </row>
    <row r="2606" spans="3:12">
      <c r="C2606" s="1117"/>
      <c r="K2606" s="1355">
        <v>4871</v>
      </c>
      <c r="L2606" s="1355" t="s">
        <v>10026</v>
      </c>
    </row>
    <row r="2607" spans="3:12">
      <c r="C2607" s="1117"/>
      <c r="K2607" s="1355">
        <v>4872</v>
      </c>
      <c r="L2607" s="1355" t="s">
        <v>10027</v>
      </c>
    </row>
    <row r="2608" spans="3:12">
      <c r="C2608" s="1117"/>
      <c r="K2608" s="1355">
        <v>4873</v>
      </c>
      <c r="L2608" s="1355" t="s">
        <v>10028</v>
      </c>
    </row>
    <row r="2609" spans="3:12">
      <c r="C2609" s="1117"/>
      <c r="K2609" s="1355">
        <v>4874</v>
      </c>
      <c r="L2609" s="1355" t="s">
        <v>10029</v>
      </c>
    </row>
    <row r="2610" spans="3:12">
      <c r="C2610" s="1117"/>
      <c r="K2610" s="1355">
        <v>4875</v>
      </c>
      <c r="L2610" s="1355" t="s">
        <v>10030</v>
      </c>
    </row>
    <row r="2611" spans="3:12">
      <c r="C2611" s="1117"/>
      <c r="K2611" s="1355">
        <v>4876</v>
      </c>
      <c r="L2611" s="1355" t="s">
        <v>10031</v>
      </c>
    </row>
    <row r="2612" spans="3:12">
      <c r="C2612" s="1117"/>
      <c r="K2612" s="1355">
        <v>4877</v>
      </c>
      <c r="L2612" s="1355" t="s">
        <v>10032</v>
      </c>
    </row>
    <row r="2613" spans="3:12">
      <c r="C2613" s="1117"/>
      <c r="K2613" s="1355">
        <v>4878</v>
      </c>
      <c r="L2613" s="1355" t="s">
        <v>10033</v>
      </c>
    </row>
    <row r="2614" spans="3:12">
      <c r="C2614" s="1117"/>
      <c r="K2614" s="1355">
        <v>4879</v>
      </c>
      <c r="L2614" s="1355" t="s">
        <v>10034</v>
      </c>
    </row>
    <row r="2615" spans="3:12">
      <c r="C2615" s="1117"/>
      <c r="K2615" s="1355">
        <v>4880</v>
      </c>
      <c r="L2615" s="1355" t="s">
        <v>10035</v>
      </c>
    </row>
    <row r="2616" spans="3:12">
      <c r="C2616" s="1117"/>
      <c r="K2616" s="1355">
        <v>4881</v>
      </c>
      <c r="L2616" s="1355" t="s">
        <v>10036</v>
      </c>
    </row>
    <row r="2617" spans="3:12">
      <c r="C2617" s="1117"/>
      <c r="K2617" s="1355">
        <v>4882</v>
      </c>
      <c r="L2617" s="1355" t="s">
        <v>10037</v>
      </c>
    </row>
    <row r="2618" spans="3:12">
      <c r="C2618" s="1117"/>
      <c r="K2618" s="1355">
        <v>4883</v>
      </c>
      <c r="L2618" s="1355" t="s">
        <v>10038</v>
      </c>
    </row>
    <row r="2619" spans="3:12">
      <c r="C2619" s="1117"/>
      <c r="K2619" s="1355">
        <v>4884</v>
      </c>
      <c r="L2619" s="1355" t="s">
        <v>10039</v>
      </c>
    </row>
    <row r="2620" spans="3:12">
      <c r="C2620" s="1117"/>
      <c r="K2620" s="1355">
        <v>4885</v>
      </c>
      <c r="L2620" s="1355" t="s">
        <v>10040</v>
      </c>
    </row>
    <row r="2621" spans="3:12">
      <c r="C2621" s="1117"/>
      <c r="K2621" s="1355">
        <v>4886</v>
      </c>
      <c r="L2621" s="1355" t="s">
        <v>10041</v>
      </c>
    </row>
    <row r="2622" spans="3:12">
      <c r="C2622" s="1117"/>
      <c r="K2622" s="1355">
        <v>4887</v>
      </c>
      <c r="L2622" s="1355" t="s">
        <v>10042</v>
      </c>
    </row>
    <row r="2623" spans="3:12">
      <c r="C2623" s="1117"/>
      <c r="K2623" s="1355">
        <v>4888</v>
      </c>
      <c r="L2623" s="1355" t="s">
        <v>10043</v>
      </c>
    </row>
    <row r="2624" spans="3:12">
      <c r="C2624" s="1117"/>
      <c r="K2624" s="1355">
        <v>4889</v>
      </c>
      <c r="L2624" s="1355" t="s">
        <v>10044</v>
      </c>
    </row>
    <row r="2625" spans="3:12">
      <c r="C2625" s="1117"/>
      <c r="K2625" s="1355">
        <v>4890</v>
      </c>
      <c r="L2625" s="1355" t="s">
        <v>10045</v>
      </c>
    </row>
    <row r="2626" spans="3:12">
      <c r="C2626" s="1117"/>
      <c r="K2626" s="1355">
        <v>4891</v>
      </c>
      <c r="L2626" s="1355" t="s">
        <v>10046</v>
      </c>
    </row>
    <row r="2627" spans="3:12">
      <c r="C2627" s="1117"/>
      <c r="K2627" s="1355">
        <v>4892</v>
      </c>
      <c r="L2627" s="1355" t="s">
        <v>10047</v>
      </c>
    </row>
    <row r="2628" spans="3:12">
      <c r="C2628" s="1117"/>
      <c r="K2628" s="1355">
        <v>4893</v>
      </c>
      <c r="L2628" s="1355" t="s">
        <v>10048</v>
      </c>
    </row>
    <row r="2629" spans="3:12">
      <c r="C2629" s="1117"/>
      <c r="K2629" s="1355">
        <v>4894</v>
      </c>
      <c r="L2629" s="1355" t="s">
        <v>10049</v>
      </c>
    </row>
    <row r="2630" spans="3:12">
      <c r="C2630" s="1117"/>
      <c r="K2630" s="1355">
        <v>4895</v>
      </c>
      <c r="L2630" s="1355" t="s">
        <v>10050</v>
      </c>
    </row>
    <row r="2631" spans="3:12">
      <c r="C2631" s="1117"/>
      <c r="K2631" s="1355">
        <v>4896</v>
      </c>
      <c r="L2631" s="1355" t="s">
        <v>10051</v>
      </c>
    </row>
    <row r="2632" spans="3:12">
      <c r="C2632" s="1117"/>
      <c r="K2632" s="1355">
        <v>4897</v>
      </c>
      <c r="L2632" s="1355" t="s">
        <v>10052</v>
      </c>
    </row>
    <row r="2633" spans="3:12">
      <c r="C2633" s="1117"/>
      <c r="K2633" s="1355">
        <v>4898</v>
      </c>
      <c r="L2633" s="1355" t="s">
        <v>10053</v>
      </c>
    </row>
    <row r="2634" spans="3:12">
      <c r="C2634" s="1117"/>
      <c r="K2634" s="1355">
        <v>4899</v>
      </c>
      <c r="L2634" s="1355" t="s">
        <v>10054</v>
      </c>
    </row>
    <row r="2635" spans="3:12">
      <c r="C2635" s="1117"/>
      <c r="K2635" s="1355">
        <v>4900</v>
      </c>
      <c r="L2635" s="1355" t="s">
        <v>10055</v>
      </c>
    </row>
    <row r="2636" spans="3:12">
      <c r="C2636" s="1117"/>
      <c r="K2636" s="1355">
        <v>4901</v>
      </c>
      <c r="L2636" s="1355" t="s">
        <v>10056</v>
      </c>
    </row>
    <row r="2637" spans="3:12">
      <c r="C2637" s="1117"/>
      <c r="K2637" s="1355">
        <v>4902</v>
      </c>
      <c r="L2637" s="1355" t="s">
        <v>10057</v>
      </c>
    </row>
    <row r="2638" spans="3:12">
      <c r="C2638" s="1117"/>
      <c r="K2638" s="1355">
        <v>4903</v>
      </c>
      <c r="L2638" s="1355" t="s">
        <v>10058</v>
      </c>
    </row>
    <row r="2639" spans="3:12">
      <c r="C2639" s="1117"/>
      <c r="K2639" s="1355">
        <v>4904</v>
      </c>
      <c r="L2639" s="1355" t="s">
        <v>10059</v>
      </c>
    </row>
    <row r="2640" spans="3:12">
      <c r="C2640" s="1117"/>
      <c r="K2640" s="1355">
        <v>4905</v>
      </c>
      <c r="L2640" s="1355" t="s">
        <v>10060</v>
      </c>
    </row>
    <row r="2641" spans="3:12">
      <c r="C2641" s="1117"/>
      <c r="K2641" s="1355">
        <v>4906</v>
      </c>
      <c r="L2641" s="1355" t="s">
        <v>10061</v>
      </c>
    </row>
    <row r="2642" spans="3:12">
      <c r="C2642" s="1117"/>
      <c r="K2642" s="1355">
        <v>4907</v>
      </c>
      <c r="L2642" s="1355" t="s">
        <v>10062</v>
      </c>
    </row>
    <row r="2643" spans="3:12">
      <c r="C2643" s="1117"/>
      <c r="K2643" s="1355">
        <v>4908</v>
      </c>
      <c r="L2643" s="1355" t="s">
        <v>10063</v>
      </c>
    </row>
    <row r="2644" spans="3:12">
      <c r="C2644" s="1117"/>
      <c r="K2644" s="1355">
        <v>4909</v>
      </c>
      <c r="L2644" s="1355" t="s">
        <v>10064</v>
      </c>
    </row>
    <row r="2645" spans="3:12">
      <c r="C2645" s="1117"/>
      <c r="K2645" s="1355">
        <v>4910</v>
      </c>
      <c r="L2645" s="1355" t="s">
        <v>10065</v>
      </c>
    </row>
    <row r="2646" spans="3:12">
      <c r="C2646" s="1117"/>
      <c r="K2646" s="1355">
        <v>4911</v>
      </c>
      <c r="L2646" s="1355" t="s">
        <v>10066</v>
      </c>
    </row>
    <row r="2647" spans="3:12">
      <c r="C2647" s="1117"/>
      <c r="K2647" s="1355">
        <v>4912</v>
      </c>
      <c r="L2647" s="1355" t="s">
        <v>10067</v>
      </c>
    </row>
    <row r="2648" spans="3:12">
      <c r="C2648" s="1117"/>
      <c r="K2648" s="1355">
        <v>4913</v>
      </c>
      <c r="L2648" s="1355" t="s">
        <v>10068</v>
      </c>
    </row>
    <row r="2649" spans="3:12">
      <c r="C2649" s="1117"/>
      <c r="K2649" s="1355">
        <v>4914</v>
      </c>
      <c r="L2649" s="1355" t="s">
        <v>10069</v>
      </c>
    </row>
    <row r="2650" spans="3:12">
      <c r="C2650" s="1117"/>
      <c r="K2650" s="1355">
        <v>4915</v>
      </c>
      <c r="L2650" s="1355" t="s">
        <v>10070</v>
      </c>
    </row>
    <row r="2651" spans="3:12">
      <c r="C2651" s="1117"/>
      <c r="K2651" s="1355">
        <v>4916</v>
      </c>
      <c r="L2651" s="1355" t="s">
        <v>10071</v>
      </c>
    </row>
    <row r="2652" spans="3:12">
      <c r="C2652" s="1117"/>
      <c r="K2652" s="1355">
        <v>4917</v>
      </c>
      <c r="L2652" s="1355" t="s">
        <v>10072</v>
      </c>
    </row>
    <row r="2653" spans="3:12">
      <c r="C2653" s="1117"/>
      <c r="K2653" s="1355">
        <v>4918</v>
      </c>
      <c r="L2653" s="1355" t="s">
        <v>10073</v>
      </c>
    </row>
    <row r="2654" spans="3:12">
      <c r="C2654" s="1117"/>
      <c r="K2654" s="1355">
        <v>4919</v>
      </c>
      <c r="L2654" s="1355" t="s">
        <v>10074</v>
      </c>
    </row>
    <row r="2655" spans="3:12">
      <c r="C2655" s="1117"/>
      <c r="K2655" s="1355">
        <v>4920</v>
      </c>
      <c r="L2655" s="1355" t="s">
        <v>10075</v>
      </c>
    </row>
    <row r="2656" spans="3:12">
      <c r="C2656" s="1117"/>
      <c r="K2656" s="1355">
        <v>4921</v>
      </c>
      <c r="L2656" s="1355" t="s">
        <v>10076</v>
      </c>
    </row>
    <row r="2657" spans="3:12">
      <c r="C2657" s="1117"/>
      <c r="K2657" s="1355">
        <v>4922</v>
      </c>
      <c r="L2657" s="1355" t="s">
        <v>10077</v>
      </c>
    </row>
    <row r="2658" spans="3:12">
      <c r="C2658" s="1117"/>
      <c r="K2658" s="1355">
        <v>4923</v>
      </c>
      <c r="L2658" s="1355" t="s">
        <v>10078</v>
      </c>
    </row>
    <row r="2659" spans="3:12">
      <c r="C2659" s="1117"/>
      <c r="K2659" s="1355">
        <v>4924</v>
      </c>
      <c r="L2659" s="1355" t="s">
        <v>10079</v>
      </c>
    </row>
    <row r="2660" spans="3:12">
      <c r="C2660" s="1117"/>
      <c r="K2660" s="1355">
        <v>4925</v>
      </c>
      <c r="L2660" s="1355" t="s">
        <v>10080</v>
      </c>
    </row>
    <row r="2661" spans="3:12">
      <c r="C2661" s="1117"/>
      <c r="K2661" s="1355">
        <v>4926</v>
      </c>
      <c r="L2661" s="1355" t="s">
        <v>10081</v>
      </c>
    </row>
    <row r="2662" spans="3:12">
      <c r="C2662" s="1117"/>
      <c r="K2662" s="1355">
        <v>4927</v>
      </c>
      <c r="L2662" s="1355" t="s">
        <v>10082</v>
      </c>
    </row>
    <row r="2663" spans="3:12">
      <c r="C2663" s="1117"/>
      <c r="K2663" s="1355">
        <v>4928</v>
      </c>
      <c r="L2663" s="1355" t="s">
        <v>10083</v>
      </c>
    </row>
    <row r="2664" spans="3:12">
      <c r="C2664" s="1117"/>
      <c r="K2664" s="1355">
        <v>4929</v>
      </c>
      <c r="L2664" s="1355" t="s">
        <v>10084</v>
      </c>
    </row>
    <row r="2665" spans="3:12">
      <c r="C2665" s="1117"/>
      <c r="K2665" s="1355">
        <v>4930</v>
      </c>
      <c r="L2665" s="1355" t="s">
        <v>10085</v>
      </c>
    </row>
    <row r="2666" spans="3:12">
      <c r="C2666" s="1117"/>
      <c r="K2666" s="1355">
        <v>4931</v>
      </c>
      <c r="L2666" s="1355" t="s">
        <v>10086</v>
      </c>
    </row>
    <row r="2667" spans="3:12">
      <c r="C2667" s="1117"/>
      <c r="K2667" s="1355">
        <v>4932</v>
      </c>
      <c r="L2667" s="1355" t="s">
        <v>10087</v>
      </c>
    </row>
    <row r="2668" spans="3:12">
      <c r="C2668" s="1117"/>
      <c r="K2668" s="1355">
        <v>4933</v>
      </c>
      <c r="L2668" s="1355" t="s">
        <v>10088</v>
      </c>
    </row>
    <row r="2669" spans="3:12">
      <c r="C2669" s="1117"/>
      <c r="K2669" s="1355">
        <v>4934</v>
      </c>
      <c r="L2669" s="1355" t="s">
        <v>10089</v>
      </c>
    </row>
    <row r="2670" spans="3:12">
      <c r="C2670" s="1117"/>
      <c r="K2670" s="1355">
        <v>4935</v>
      </c>
      <c r="L2670" s="1355" t="s">
        <v>10090</v>
      </c>
    </row>
    <row r="2671" spans="3:12">
      <c r="C2671" s="1117"/>
      <c r="K2671" s="1355">
        <v>4936</v>
      </c>
      <c r="L2671" s="1355" t="s">
        <v>10091</v>
      </c>
    </row>
    <row r="2672" spans="3:12">
      <c r="C2672" s="1117"/>
      <c r="K2672" s="1355">
        <v>4937</v>
      </c>
      <c r="L2672" s="1355" t="s">
        <v>10092</v>
      </c>
    </row>
    <row r="2673" spans="3:12">
      <c r="C2673" s="1117"/>
      <c r="K2673" s="1355">
        <v>4938</v>
      </c>
      <c r="L2673" s="1355" t="s">
        <v>10093</v>
      </c>
    </row>
    <row r="2674" spans="3:12">
      <c r="C2674" s="1117"/>
      <c r="K2674" s="1355">
        <v>4939</v>
      </c>
      <c r="L2674" s="1355" t="s">
        <v>10094</v>
      </c>
    </row>
    <row r="2675" spans="3:12">
      <c r="C2675" s="1117"/>
      <c r="K2675" s="1355">
        <v>4940</v>
      </c>
      <c r="L2675" s="1355" t="s">
        <v>10095</v>
      </c>
    </row>
    <row r="2676" spans="3:12">
      <c r="C2676" s="1117"/>
      <c r="K2676" s="1355">
        <v>4941</v>
      </c>
      <c r="L2676" s="1355" t="s">
        <v>10096</v>
      </c>
    </row>
    <row r="2677" spans="3:12">
      <c r="C2677" s="1117"/>
      <c r="K2677" s="1391">
        <v>7456</v>
      </c>
      <c r="L2677" s="1391" t="s">
        <v>5346</v>
      </c>
    </row>
    <row r="2678" spans="3:12">
      <c r="C2678" s="1117"/>
      <c r="K2678" s="1391">
        <v>7457</v>
      </c>
      <c r="L2678" s="1391" t="s">
        <v>5565</v>
      </c>
    </row>
    <row r="2679" spans="3:12">
      <c r="C2679" s="1117"/>
      <c r="K2679" s="1391">
        <v>7458</v>
      </c>
      <c r="L2679" s="1391" t="s">
        <v>10097</v>
      </c>
    </row>
    <row r="2680" spans="3:12">
      <c r="C2680" s="1117"/>
      <c r="K2680" s="1391">
        <v>7459</v>
      </c>
      <c r="L2680" s="1391" t="s">
        <v>5350</v>
      </c>
    </row>
    <row r="2681" spans="3:12">
      <c r="C2681" s="1117"/>
      <c r="K2681" s="1391">
        <v>7884</v>
      </c>
      <c r="L2681" s="1391" t="s">
        <v>10098</v>
      </c>
    </row>
    <row r="2682" spans="3:12">
      <c r="C2682" s="1117"/>
      <c r="K2682" s="1391">
        <v>7885</v>
      </c>
      <c r="L2682" s="1391" t="s">
        <v>10099</v>
      </c>
    </row>
    <row r="2683" spans="3:12">
      <c r="C2683" s="1117"/>
      <c r="K2683" s="1391">
        <v>7886</v>
      </c>
      <c r="L2683" s="1391" t="s">
        <v>10100</v>
      </c>
    </row>
    <row r="2684" spans="3:12">
      <c r="C2684" s="1117"/>
      <c r="K2684" s="1391">
        <v>7887</v>
      </c>
      <c r="L2684" s="1391" t="s">
        <v>10101</v>
      </c>
    </row>
    <row r="2685" spans="3:12">
      <c r="C2685" s="1117"/>
      <c r="K2685" s="1391">
        <v>7888</v>
      </c>
      <c r="L2685" s="1391" t="s">
        <v>10102</v>
      </c>
    </row>
    <row r="2686" spans="3:12">
      <c r="C2686" s="1117"/>
      <c r="K2686" s="1391">
        <v>7889</v>
      </c>
      <c r="L2686" s="1391" t="s">
        <v>10103</v>
      </c>
    </row>
    <row r="2687" spans="3:12">
      <c r="C2687" s="1117"/>
      <c r="K2687" s="1391">
        <v>7890</v>
      </c>
      <c r="L2687" s="1391" t="s">
        <v>10104</v>
      </c>
    </row>
    <row r="2688" spans="3:12">
      <c r="C2688" s="1117"/>
      <c r="K2688" s="1391">
        <v>7891</v>
      </c>
      <c r="L2688" s="1391" t="s">
        <v>10105</v>
      </c>
    </row>
    <row r="2689" spans="3:12">
      <c r="C2689" s="1117"/>
      <c r="K2689" s="1391">
        <v>7892</v>
      </c>
      <c r="L2689" s="1391" t="s">
        <v>10106</v>
      </c>
    </row>
    <row r="2690" spans="3:12">
      <c r="C2690" s="1117"/>
      <c r="K2690" s="1391">
        <v>7893</v>
      </c>
      <c r="L2690" s="1391" t="s">
        <v>10107</v>
      </c>
    </row>
    <row r="2691" spans="3:12">
      <c r="C2691" s="1117"/>
      <c r="K2691" s="1391">
        <v>7894</v>
      </c>
      <c r="L2691" s="1391" t="s">
        <v>10108</v>
      </c>
    </row>
    <row r="2692" spans="3:12">
      <c r="C2692" s="1117"/>
      <c r="K2692" s="1391">
        <v>7895</v>
      </c>
      <c r="L2692" s="1391" t="s">
        <v>10109</v>
      </c>
    </row>
    <row r="2693" spans="3:12">
      <c r="C2693" s="1117"/>
      <c r="K2693" s="1391">
        <v>7896</v>
      </c>
      <c r="L2693" s="1391" t="s">
        <v>10110</v>
      </c>
    </row>
    <row r="2694" spans="3:12">
      <c r="C2694" s="1117"/>
      <c r="K2694" s="1391">
        <v>7897</v>
      </c>
      <c r="L2694" s="1391" t="s">
        <v>10111</v>
      </c>
    </row>
    <row r="2695" spans="3:12">
      <c r="C2695" s="1117"/>
      <c r="K2695" s="1391">
        <v>7898</v>
      </c>
      <c r="L2695" s="1391" t="s">
        <v>10112</v>
      </c>
    </row>
    <row r="2696" spans="3:12">
      <c r="C2696" s="1117"/>
      <c r="K2696" s="1391">
        <v>7899</v>
      </c>
      <c r="L2696" s="1391" t="s">
        <v>10113</v>
      </c>
    </row>
    <row r="2697" spans="3:12">
      <c r="C2697" s="1117"/>
      <c r="K2697" s="1391">
        <v>7900</v>
      </c>
      <c r="L2697" s="1391" t="s">
        <v>10114</v>
      </c>
    </row>
    <row r="2698" spans="3:12">
      <c r="C2698" s="1117"/>
      <c r="K2698" s="1391">
        <v>7901</v>
      </c>
      <c r="L2698" s="1391" t="s">
        <v>10115</v>
      </c>
    </row>
    <row r="2699" spans="3:12">
      <c r="C2699" s="1117"/>
      <c r="K2699" s="1391">
        <v>7902</v>
      </c>
      <c r="L2699" s="1391" t="s">
        <v>10116</v>
      </c>
    </row>
    <row r="2700" spans="3:12">
      <c r="C2700" s="1117"/>
      <c r="K2700" s="1391">
        <v>7903</v>
      </c>
      <c r="L2700" s="1391" t="s">
        <v>10117</v>
      </c>
    </row>
    <row r="2701" spans="3:12">
      <c r="C2701" s="1117"/>
      <c r="K2701" s="1391">
        <v>7904</v>
      </c>
      <c r="L2701" s="1391" t="s">
        <v>10118</v>
      </c>
    </row>
    <row r="2702" spans="3:12">
      <c r="C2702" s="1117"/>
      <c r="K2702" s="1391">
        <v>7905</v>
      </c>
      <c r="L2702" s="1391" t="s">
        <v>10119</v>
      </c>
    </row>
    <row r="2703" spans="3:12">
      <c r="C2703" s="1117"/>
      <c r="K2703" s="1391">
        <v>7906</v>
      </c>
      <c r="L2703" s="1391" t="s">
        <v>10120</v>
      </c>
    </row>
    <row r="2704" spans="3:12">
      <c r="C2704" s="1117"/>
      <c r="K2704" s="1391">
        <v>7907</v>
      </c>
      <c r="L2704" s="1391" t="s">
        <v>10121</v>
      </c>
    </row>
    <row r="2705" spans="3:12">
      <c r="C2705" s="1117"/>
      <c r="K2705" s="1391">
        <v>7908</v>
      </c>
      <c r="L2705" s="1391" t="s">
        <v>10122</v>
      </c>
    </row>
    <row r="2706" spans="3:12">
      <c r="C2706" s="1117"/>
      <c r="K2706" s="1391">
        <v>7910</v>
      </c>
      <c r="L2706" s="1391" t="s">
        <v>6137</v>
      </c>
    </row>
    <row r="2707" spans="3:12">
      <c r="C2707" s="1117"/>
      <c r="K2707" s="1391">
        <v>1761</v>
      </c>
      <c r="L2707" s="1391" t="s">
        <v>5645</v>
      </c>
    </row>
    <row r="2708" spans="3:12">
      <c r="C2708" s="1117"/>
      <c r="K2708" s="1391">
        <v>1762</v>
      </c>
      <c r="L2708" s="1391" t="s">
        <v>5754</v>
      </c>
    </row>
    <row r="2709" spans="3:12">
      <c r="C2709" s="1117"/>
      <c r="K2709" s="1391">
        <v>13274</v>
      </c>
      <c r="L2709" s="1391" t="s">
        <v>6480</v>
      </c>
    </row>
    <row r="2710" spans="3:12">
      <c r="C2710" s="1117"/>
      <c r="K2710" s="2222">
        <v>100181</v>
      </c>
      <c r="L2710" s="2222" t="s">
        <v>1927</v>
      </c>
    </row>
    <row r="2711" spans="3:12">
      <c r="C2711" s="1117"/>
      <c r="K2711" s="2222">
        <v>100182</v>
      </c>
      <c r="L2711" s="2222" t="s">
        <v>1949</v>
      </c>
    </row>
    <row r="2712" spans="3:12">
      <c r="C2712" s="1117"/>
      <c r="K2712" s="2222">
        <v>100183</v>
      </c>
      <c r="L2712" s="2222" t="s">
        <v>10123</v>
      </c>
    </row>
    <row r="2713" spans="3:12">
      <c r="C2713" s="1117"/>
      <c r="K2713" s="2222">
        <v>100184</v>
      </c>
      <c r="L2713" s="2222" t="s">
        <v>10124</v>
      </c>
    </row>
    <row r="2714" spans="3:12">
      <c r="C2714" s="1117"/>
      <c r="K2714" s="2222">
        <v>100185</v>
      </c>
      <c r="L2714" s="2222" t="s">
        <v>10125</v>
      </c>
    </row>
    <row r="2715" spans="3:12">
      <c r="C2715" s="1117"/>
      <c r="K2715" s="2222">
        <v>100186</v>
      </c>
      <c r="L2715" s="2222" t="s">
        <v>10126</v>
      </c>
    </row>
    <row r="2716" spans="3:12">
      <c r="C2716" s="1117"/>
      <c r="K2716" s="2222">
        <v>100187</v>
      </c>
      <c r="L2716" s="2222" t="s">
        <v>10127</v>
      </c>
    </row>
    <row r="2717" spans="3:12">
      <c r="C2717" s="1117"/>
      <c r="K2717" s="2222">
        <v>100188</v>
      </c>
      <c r="L2717" s="2222" t="s">
        <v>10128</v>
      </c>
    </row>
    <row r="2718" spans="3:12">
      <c r="C2718" s="1117"/>
      <c r="K2718" s="2222">
        <v>100189</v>
      </c>
      <c r="L2718" s="2222" t="s">
        <v>1935</v>
      </c>
    </row>
    <row r="2719" spans="3:12">
      <c r="C2719" s="1117"/>
      <c r="K2719" s="2222">
        <v>100190</v>
      </c>
      <c r="L2719" s="2222" t="s">
        <v>1955</v>
      </c>
    </row>
    <row r="2720" spans="3:12">
      <c r="C2720" s="1117"/>
      <c r="K2720" s="2222">
        <v>100191</v>
      </c>
      <c r="L2720" s="2222" t="s">
        <v>10129</v>
      </c>
    </row>
    <row r="2721" spans="3:12">
      <c r="C2721" s="1117"/>
      <c r="K2721" s="2222">
        <v>100192</v>
      </c>
      <c r="L2721" s="2222" t="s">
        <v>10130</v>
      </c>
    </row>
    <row r="2722" spans="3:12">
      <c r="C2722" s="1117"/>
      <c r="K2722" s="2222">
        <v>100193</v>
      </c>
      <c r="L2722" s="2222" t="s">
        <v>10131</v>
      </c>
    </row>
    <row r="2723" spans="3:12">
      <c r="C2723" s="1117"/>
      <c r="K2723" s="2222">
        <v>100194</v>
      </c>
      <c r="L2723" s="2222" t="s">
        <v>10132</v>
      </c>
    </row>
    <row r="2724" spans="3:12">
      <c r="C2724" s="1117"/>
      <c r="K2724" s="2222">
        <v>100195</v>
      </c>
      <c r="L2724" s="2222" t="s">
        <v>10133</v>
      </c>
    </row>
    <row r="2725" spans="3:12">
      <c r="C2725" s="1117"/>
      <c r="K2725" s="2222">
        <v>100196</v>
      </c>
      <c r="L2725" s="2222" t="s">
        <v>10134</v>
      </c>
    </row>
    <row r="2726" spans="3:12">
      <c r="C2726" s="1117"/>
      <c r="K2726" s="2222">
        <v>100197</v>
      </c>
      <c r="L2726" s="2222" t="s">
        <v>10135</v>
      </c>
    </row>
    <row r="2727" spans="3:12">
      <c r="C2727" s="1117"/>
      <c r="K2727" s="2222">
        <v>100198</v>
      </c>
      <c r="L2727" s="2222" t="s">
        <v>10136</v>
      </c>
    </row>
    <row r="2728" spans="3:12">
      <c r="C2728" s="1117"/>
      <c r="K2728" s="2222">
        <v>100200</v>
      </c>
      <c r="L2728" s="2222" t="s">
        <v>10137</v>
      </c>
    </row>
    <row r="2729" spans="3:12">
      <c r="K2729" s="2222">
        <v>100201</v>
      </c>
      <c r="L2729" s="2222" t="s">
        <v>10138</v>
      </c>
    </row>
    <row r="2730" spans="3:12">
      <c r="K2730" s="2222">
        <v>100202</v>
      </c>
      <c r="L2730" s="2222" t="s">
        <v>10139</v>
      </c>
    </row>
    <row r="2731" spans="3:12">
      <c r="K2731" s="2222">
        <v>100204</v>
      </c>
      <c r="L2731" s="2222" t="s">
        <v>10140</v>
      </c>
    </row>
    <row r="2732" spans="3:12">
      <c r="K2732" s="2222">
        <v>100205</v>
      </c>
      <c r="L2732" s="2222" t="s">
        <v>2135</v>
      </c>
    </row>
    <row r="2733" spans="3:12">
      <c r="K2733" s="2222">
        <v>100206</v>
      </c>
      <c r="L2733" s="2222" t="s">
        <v>2166</v>
      </c>
    </row>
    <row r="2734" spans="3:12">
      <c r="K2734" s="2222">
        <v>100207</v>
      </c>
      <c r="L2734" s="2222" t="s">
        <v>2197</v>
      </c>
    </row>
    <row r="2735" spans="3:12">
      <c r="K2735" s="2222">
        <v>100208</v>
      </c>
      <c r="L2735" s="2222" t="s">
        <v>2248</v>
      </c>
    </row>
    <row r="2736" spans="3:12">
      <c r="K2736" s="2222">
        <v>100209</v>
      </c>
      <c r="L2736" s="2222" t="s">
        <v>2283</v>
      </c>
    </row>
    <row r="2737" spans="11:12">
      <c r="K2737" s="2222">
        <v>100210</v>
      </c>
      <c r="L2737" s="2222" t="s">
        <v>2318</v>
      </c>
    </row>
    <row r="2738" spans="11:12">
      <c r="K2738" s="2222">
        <v>100211</v>
      </c>
      <c r="L2738" s="2222" t="s">
        <v>2349</v>
      </c>
    </row>
    <row r="2739" spans="11:12">
      <c r="K2739" s="2222">
        <v>100212</v>
      </c>
      <c r="L2739" s="2222" t="s">
        <v>10141</v>
      </c>
    </row>
    <row r="2740" spans="11:12">
      <c r="K2740" s="2406">
        <v>100228</v>
      </c>
      <c r="L2740" s="2406" t="s">
        <v>5317</v>
      </c>
    </row>
    <row r="2741" spans="11:12">
      <c r="K2741" s="2406">
        <v>100229</v>
      </c>
      <c r="L2741" s="2406" t="s">
        <v>9420</v>
      </c>
    </row>
    <row r="2742" spans="11:12">
      <c r="K2742" s="2406">
        <v>100230</v>
      </c>
      <c r="L2742" s="2406" t="s">
        <v>10142</v>
      </c>
    </row>
    <row r="2743" spans="11:12">
      <c r="K2743" s="2406">
        <v>100231</v>
      </c>
      <c r="L2743" s="2406" t="s">
        <v>9520</v>
      </c>
    </row>
    <row r="2744" spans="11:12">
      <c r="K2744" s="2406">
        <v>100232</v>
      </c>
      <c r="L2744" s="2406" t="s">
        <v>5322</v>
      </c>
    </row>
    <row r="2745" spans="11:12">
      <c r="K2745" s="2406">
        <v>100233</v>
      </c>
      <c r="L2745" s="2406" t="s">
        <v>9425</v>
      </c>
    </row>
    <row r="2746" spans="11:12">
      <c r="K2746" s="2406">
        <v>100234</v>
      </c>
      <c r="L2746" s="2406" t="s">
        <v>10143</v>
      </c>
    </row>
    <row r="2747" spans="11:12">
      <c r="K2747" s="2406">
        <v>100235</v>
      </c>
      <c r="L2747" s="2406" t="s">
        <v>9528</v>
      </c>
    </row>
    <row r="2748" spans="11:12">
      <c r="K2748" s="2406">
        <v>99615</v>
      </c>
      <c r="L2748" s="2406" t="s">
        <v>5327</v>
      </c>
    </row>
    <row r="2749" spans="11:12">
      <c r="K2749" s="2406">
        <v>99616</v>
      </c>
      <c r="L2749" s="2406" t="s">
        <v>10144</v>
      </c>
    </row>
    <row r="2750" spans="11:12">
      <c r="K2750" s="2406">
        <v>99617</v>
      </c>
      <c r="L2750" s="2406" t="s">
        <v>10145</v>
      </c>
    </row>
    <row r="2751" spans="11:12">
      <c r="K2751" s="2406">
        <v>100236</v>
      </c>
      <c r="L2751" s="2406" t="s">
        <v>9536</v>
      </c>
    </row>
    <row r="2752" spans="11:12">
      <c r="K2752" s="2406">
        <v>100237</v>
      </c>
      <c r="L2752" s="2406" t="s">
        <v>5330</v>
      </c>
    </row>
    <row r="2753" spans="11:12">
      <c r="K2753" s="2406">
        <v>100238</v>
      </c>
      <c r="L2753" s="2406" t="s">
        <v>9433</v>
      </c>
    </row>
    <row r="2754" spans="11:12">
      <c r="K2754" s="2406">
        <v>100239</v>
      </c>
      <c r="L2754" s="2406" t="s">
        <v>10146</v>
      </c>
    </row>
    <row r="2755" spans="11:12">
      <c r="K2755" s="2406">
        <v>100240</v>
      </c>
      <c r="L2755" s="2406" t="s">
        <v>9540</v>
      </c>
    </row>
    <row r="2756" spans="11:12">
      <c r="K2756" s="2406">
        <v>100241</v>
      </c>
      <c r="L2756" s="2406" t="s">
        <v>5335</v>
      </c>
    </row>
    <row r="2757" spans="11:12">
      <c r="K2757" s="2406">
        <v>100242</v>
      </c>
      <c r="L2757" s="2406" t="s">
        <v>9438</v>
      </c>
    </row>
    <row r="2758" spans="11:12">
      <c r="K2758" s="2406">
        <v>100243</v>
      </c>
      <c r="L2758" s="2406" t="s">
        <v>10147</v>
      </c>
    </row>
    <row r="2759" spans="11:12">
      <c r="K2759" s="2406">
        <v>100244</v>
      </c>
      <c r="L2759" s="2406" t="s">
        <v>9548</v>
      </c>
    </row>
    <row r="2760" spans="11:12">
      <c r="K2760" s="2406">
        <v>100245</v>
      </c>
      <c r="L2760" s="2406" t="s">
        <v>5340</v>
      </c>
    </row>
    <row r="2761" spans="11:12">
      <c r="K2761" s="2406">
        <v>100246</v>
      </c>
      <c r="L2761" s="2406" t="s">
        <v>9443</v>
      </c>
    </row>
    <row r="2762" spans="11:12">
      <c r="K2762" s="2406">
        <v>100247</v>
      </c>
      <c r="L2762" s="2406" t="s">
        <v>10148</v>
      </c>
    </row>
    <row r="2763" spans="11:12">
      <c r="K2763" s="2406">
        <v>100248</v>
      </c>
      <c r="L2763" s="2406" t="s">
        <v>9556</v>
      </c>
    </row>
    <row r="2764" spans="11:12">
      <c r="K2764" s="2406">
        <v>100249</v>
      </c>
      <c r="L2764" s="2406" t="s">
        <v>9476</v>
      </c>
    </row>
    <row r="2765" spans="11:12">
      <c r="K2765" s="2406">
        <v>100250</v>
      </c>
      <c r="L2765" s="2406" t="s">
        <v>10149</v>
      </c>
    </row>
    <row r="2766" spans="11:12">
      <c r="K2766" s="2406">
        <v>100251</v>
      </c>
      <c r="L2766" s="2406" t="s">
        <v>9610</v>
      </c>
    </row>
    <row r="2767" spans="11:12">
      <c r="K2767" s="2406">
        <v>100252</v>
      </c>
      <c r="L2767" s="2406" t="s">
        <v>9481</v>
      </c>
    </row>
    <row r="2768" spans="11:12">
      <c r="K2768" s="2406">
        <v>100253</v>
      </c>
      <c r="L2768" s="2406" t="s">
        <v>10150</v>
      </c>
    </row>
    <row r="2769" spans="11:12">
      <c r="K2769" s="2406">
        <v>100254</v>
      </c>
      <c r="L2769" s="2406" t="s">
        <v>9617</v>
      </c>
    </row>
    <row r="2770" spans="11:12">
      <c r="K2770" s="2406">
        <v>100255</v>
      </c>
      <c r="L2770" s="2406" t="s">
        <v>9488</v>
      </c>
    </row>
    <row r="2771" spans="11:12">
      <c r="K2771" s="2406">
        <v>100256</v>
      </c>
      <c r="L2771" s="2406" t="s">
        <v>10151</v>
      </c>
    </row>
    <row r="2772" spans="11:12">
      <c r="K2772" s="2406">
        <v>100257</v>
      </c>
      <c r="L2772" s="2406" t="s">
        <v>9626</v>
      </c>
    </row>
    <row r="2773" spans="11:12">
      <c r="K2773" s="2406">
        <v>100258</v>
      </c>
      <c r="L2773" s="2406" t="s">
        <v>9491</v>
      </c>
    </row>
    <row r="2774" spans="11:12">
      <c r="K2774" s="2406">
        <v>100259</v>
      </c>
      <c r="L2774" s="2406" t="s">
        <v>10152</v>
      </c>
    </row>
    <row r="2775" spans="11:12">
      <c r="K2775" s="2406">
        <v>100260</v>
      </c>
      <c r="L2775" s="2406" t="s">
        <v>9629</v>
      </c>
    </row>
    <row r="2776" spans="11:12">
      <c r="K2776" s="2406">
        <v>100261</v>
      </c>
      <c r="L2776" s="2406" t="s">
        <v>9498</v>
      </c>
    </row>
    <row r="2777" spans="11:12">
      <c r="K2777" s="2406">
        <v>100262</v>
      </c>
      <c r="L2777" s="2406" t="s">
        <v>10153</v>
      </c>
    </row>
    <row r="2778" spans="11:12">
      <c r="K2778" s="2406">
        <v>100263</v>
      </c>
      <c r="L2778" s="2406" t="s">
        <v>9638</v>
      </c>
    </row>
    <row r="2779" spans="11:12">
      <c r="K2779" s="2406">
        <v>100264</v>
      </c>
      <c r="L2779" s="2406" t="s">
        <v>9505</v>
      </c>
    </row>
    <row r="2780" spans="11:12">
      <c r="K2780" s="2406">
        <v>100265</v>
      </c>
      <c r="L2780" s="2406" t="s">
        <v>10154</v>
      </c>
    </row>
    <row r="2781" spans="11:12">
      <c r="K2781" s="2406">
        <v>100266</v>
      </c>
      <c r="L2781" s="2406" t="s">
        <v>9648</v>
      </c>
    </row>
    <row r="2782" spans="11:12">
      <c r="K2782" s="2406">
        <v>100267</v>
      </c>
      <c r="L2782" s="2406" t="s">
        <v>4541</v>
      </c>
    </row>
    <row r="2783" spans="11:12">
      <c r="K2783" s="2406">
        <v>100268</v>
      </c>
      <c r="L2783" s="2406" t="s">
        <v>4544</v>
      </c>
    </row>
    <row r="2784" spans="11:12">
      <c r="K2784" s="2406">
        <v>100269</v>
      </c>
      <c r="L2784" s="2406" t="s">
        <v>4547</v>
      </c>
    </row>
    <row r="2785" spans="11:12">
      <c r="K2785" s="2406">
        <v>100270</v>
      </c>
      <c r="L2785" s="2406" t="s">
        <v>4550</v>
      </c>
    </row>
    <row r="2786" spans="11:12">
      <c r="K2786" s="2406">
        <v>100271</v>
      </c>
      <c r="L2786" s="2406" t="s">
        <v>4553</v>
      </c>
    </row>
    <row r="2787" spans="11:12">
      <c r="K2787" s="2406">
        <v>100272</v>
      </c>
      <c r="L2787" s="2406" t="s">
        <v>4556</v>
      </c>
    </row>
    <row r="2788" spans="11:12">
      <c r="K2788" s="2406">
        <v>100273</v>
      </c>
      <c r="L2788" s="2406" t="s">
        <v>4559</v>
      </c>
    </row>
    <row r="2789" spans="11:12">
      <c r="K2789" s="2406">
        <v>100274</v>
      </c>
      <c r="L2789" s="2406" t="s">
        <v>4562</v>
      </c>
    </row>
    <row r="2790" spans="11:12">
      <c r="K2790" s="2406">
        <v>100275</v>
      </c>
      <c r="L2790" s="2406" t="s">
        <v>4578</v>
      </c>
    </row>
    <row r="2791" spans="11:12">
      <c r="K2791" s="2406">
        <v>100276</v>
      </c>
      <c r="L2791" s="2406" t="s">
        <v>4581</v>
      </c>
    </row>
    <row r="2792" spans="11:12">
      <c r="K2792" s="2406">
        <v>100277</v>
      </c>
      <c r="L2792" s="2406" t="s">
        <v>4584</v>
      </c>
    </row>
    <row r="2793" spans="11:12">
      <c r="K2793" s="2406">
        <v>100278</v>
      </c>
      <c r="L2793" s="2406" t="s">
        <v>4587</v>
      </c>
    </row>
    <row r="2794" spans="11:12">
      <c r="K2794" s="2406">
        <v>100279</v>
      </c>
      <c r="L2794" s="2406" t="s">
        <v>4590</v>
      </c>
    </row>
    <row r="2795" spans="11:12">
      <c r="K2795" s="2406">
        <v>100280</v>
      </c>
      <c r="L2795" s="2406" t="s">
        <v>4593</v>
      </c>
    </row>
    <row r="2796" spans="11:12">
      <c r="K2796" s="2406">
        <v>100281</v>
      </c>
      <c r="L2796" s="2406" t="s">
        <v>4596</v>
      </c>
    </row>
    <row r="2797" spans="11:12">
      <c r="K2797" s="2406">
        <v>100282</v>
      </c>
      <c r="L2797" s="2406" t="s">
        <v>4599</v>
      </c>
    </row>
    <row r="2798" spans="11:12">
      <c r="K2798" s="2406">
        <v>100283</v>
      </c>
      <c r="L2798" s="2406" t="s">
        <v>4602</v>
      </c>
    </row>
    <row r="2799" spans="11:12">
      <c r="K2799" s="2406">
        <v>100284</v>
      </c>
      <c r="L2799" s="2406" t="s">
        <v>4605</v>
      </c>
    </row>
    <row r="2800" spans="11:12">
      <c r="K2800" s="2406">
        <v>100285</v>
      </c>
      <c r="L2800" s="2406" t="s">
        <v>4608</v>
      </c>
    </row>
    <row r="2801" spans="11:12">
      <c r="K2801" s="2406">
        <v>100286</v>
      </c>
      <c r="L2801" s="2406" t="s">
        <v>4611</v>
      </c>
    </row>
    <row r="2802" spans="11:12">
      <c r="K2802" s="2406">
        <v>100287</v>
      </c>
      <c r="L2802" s="2406" t="s">
        <v>4614</v>
      </c>
    </row>
    <row r="2803" spans="11:12">
      <c r="K2803" s="2406">
        <v>100288</v>
      </c>
      <c r="L2803" s="2406" t="s">
        <v>4617</v>
      </c>
    </row>
    <row r="2804" spans="11:12">
      <c r="K2804" s="2406">
        <v>100289</v>
      </c>
      <c r="L2804" s="2406" t="s">
        <v>4620</v>
      </c>
    </row>
    <row r="2805" spans="11:12">
      <c r="K2805" s="2406">
        <v>100290</v>
      </c>
      <c r="L2805" s="2406" t="s">
        <v>4623</v>
      </c>
    </row>
    <row r="2806" spans="11:12">
      <c r="K2806" s="2406">
        <v>100291</v>
      </c>
      <c r="L2806" s="2406" t="s">
        <v>4626</v>
      </c>
    </row>
    <row r="2807" spans="11:12">
      <c r="K2807" s="2406">
        <v>100292</v>
      </c>
      <c r="L2807" s="2406" t="s">
        <v>4629</v>
      </c>
    </row>
    <row r="2808" spans="11:12">
      <c r="K2808" s="2406">
        <v>100293</v>
      </c>
      <c r="L2808" s="2406" t="s">
        <v>4632</v>
      </c>
    </row>
    <row r="2809" spans="11:12">
      <c r="K2809" s="2406">
        <v>100294</v>
      </c>
      <c r="L2809" s="2406" t="s">
        <v>4635</v>
      </c>
    </row>
    <row r="2810" spans="11:12">
      <c r="K2810" s="2406">
        <v>100295</v>
      </c>
      <c r="L2810" s="2406" t="s">
        <v>4569</v>
      </c>
    </row>
    <row r="2811" spans="11:12">
      <c r="K2811" s="2406">
        <v>100296</v>
      </c>
      <c r="L2811" s="2406" t="s">
        <v>4572</v>
      </c>
    </row>
    <row r="2812" spans="11:12">
      <c r="K2812" s="2406">
        <v>100297</v>
      </c>
      <c r="L2812" s="2406" t="s">
        <v>4575</v>
      </c>
    </row>
    <row r="2813" spans="11:12">
      <c r="K2813" s="2406">
        <v>100298</v>
      </c>
      <c r="L2813" s="2406" t="s">
        <v>4783</v>
      </c>
    </row>
    <row r="2814" spans="11:12">
      <c r="K2814" s="2406">
        <v>100299</v>
      </c>
      <c r="L2814" s="2406" t="s">
        <v>4787</v>
      </c>
    </row>
    <row r="2815" spans="11:12">
      <c r="K2815" s="2406">
        <v>100300</v>
      </c>
      <c r="L2815" s="2406" t="s">
        <v>4791</v>
      </c>
    </row>
    <row r="2816" spans="11:12">
      <c r="K2816" s="2406">
        <v>100301</v>
      </c>
      <c r="L2816" s="2406" t="s">
        <v>4795</v>
      </c>
    </row>
    <row r="2817" spans="11:12">
      <c r="K2817" s="2406">
        <v>100302</v>
      </c>
      <c r="L2817" s="2406" t="s">
        <v>4799</v>
      </c>
    </row>
    <row r="2818" spans="11:12">
      <c r="K2818" s="2406">
        <v>100303</v>
      </c>
      <c r="L2818" s="2406" t="s">
        <v>4803</v>
      </c>
    </row>
    <row r="2819" spans="11:12">
      <c r="K2819" s="2406">
        <v>100304</v>
      </c>
      <c r="L2819" s="2406" t="s">
        <v>4807</v>
      </c>
    </row>
    <row r="2820" spans="11:12">
      <c r="K2820" s="2406">
        <v>100305</v>
      </c>
      <c r="L2820" s="2406" t="s">
        <v>4811</v>
      </c>
    </row>
    <row r="2821" spans="11:12">
      <c r="K2821" s="2406">
        <v>100306</v>
      </c>
      <c r="L2821" s="2406" t="s">
        <v>4831</v>
      </c>
    </row>
    <row r="2822" spans="11:12">
      <c r="K2822" s="2406">
        <v>100307</v>
      </c>
      <c r="L2822" s="2406" t="s">
        <v>4835</v>
      </c>
    </row>
    <row r="2823" spans="11:12">
      <c r="K2823" s="2406">
        <v>100308</v>
      </c>
      <c r="L2823" s="2406" t="s">
        <v>4839</v>
      </c>
    </row>
    <row r="2824" spans="11:12">
      <c r="K2824" s="2406">
        <v>100309</v>
      </c>
      <c r="L2824" s="2406" t="s">
        <v>4843</v>
      </c>
    </row>
    <row r="2825" spans="11:12">
      <c r="K2825" s="2406">
        <v>100310</v>
      </c>
      <c r="L2825" s="2406" t="s">
        <v>4847</v>
      </c>
    </row>
    <row r="2826" spans="11:12">
      <c r="K2826" s="2406">
        <v>100311</v>
      </c>
      <c r="L2826" s="2406" t="s">
        <v>4851</v>
      </c>
    </row>
    <row r="2827" spans="11:12">
      <c r="K2827" s="2406">
        <v>100312</v>
      </c>
      <c r="L2827" s="2406" t="s">
        <v>4855</v>
      </c>
    </row>
    <row r="2828" spans="11:12">
      <c r="K2828" s="2406">
        <v>100313</v>
      </c>
      <c r="L2828" s="2406" t="s">
        <v>4859</v>
      </c>
    </row>
    <row r="2829" spans="11:12">
      <c r="K2829" s="2406">
        <v>100314</v>
      </c>
      <c r="L2829" s="2406" t="s">
        <v>4863</v>
      </c>
    </row>
    <row r="2830" spans="11:12">
      <c r="K2830" s="2406">
        <v>100315</v>
      </c>
      <c r="L2830" s="2406" t="s">
        <v>4867</v>
      </c>
    </row>
    <row r="2831" spans="11:12">
      <c r="K2831" s="2406">
        <v>100316</v>
      </c>
      <c r="L2831" s="2406" t="s">
        <v>4871</v>
      </c>
    </row>
    <row r="2832" spans="11:12">
      <c r="K2832" s="2406">
        <v>100317</v>
      </c>
      <c r="L2832" s="2406" t="s">
        <v>4875</v>
      </c>
    </row>
    <row r="2833" spans="11:12">
      <c r="K2833" s="2406">
        <v>100318</v>
      </c>
      <c r="L2833" s="2406" t="s">
        <v>4879</v>
      </c>
    </row>
    <row r="2834" spans="11:12">
      <c r="K2834" s="2406">
        <v>100319</v>
      </c>
      <c r="L2834" s="2406" t="s">
        <v>4883</v>
      </c>
    </row>
    <row r="2835" spans="11:12">
      <c r="K2835" s="2406">
        <v>100320</v>
      </c>
      <c r="L2835" s="2406" t="s">
        <v>4887</v>
      </c>
    </row>
    <row r="2836" spans="11:12">
      <c r="K2836" s="2406">
        <v>100321</v>
      </c>
      <c r="L2836" s="2406" t="s">
        <v>4891</v>
      </c>
    </row>
    <row r="2837" spans="11:12">
      <c r="K2837" s="2406">
        <v>100322</v>
      </c>
      <c r="L2837" s="2406" t="s">
        <v>4895</v>
      </c>
    </row>
    <row r="2838" spans="11:12">
      <c r="K2838" s="2406">
        <v>100323</v>
      </c>
      <c r="L2838" s="2406" t="s">
        <v>4899</v>
      </c>
    </row>
    <row r="2839" spans="11:12">
      <c r="K2839" s="2406">
        <v>100324</v>
      </c>
      <c r="L2839" s="2406" t="s">
        <v>4903</v>
      </c>
    </row>
    <row r="2840" spans="11:12">
      <c r="K2840" s="2406">
        <v>100325</v>
      </c>
      <c r="L2840" s="2406" t="s">
        <v>4907</v>
      </c>
    </row>
    <row r="2841" spans="11:12">
      <c r="K2841" s="2406">
        <v>100326</v>
      </c>
      <c r="L2841" s="2406" t="s">
        <v>4819</v>
      </c>
    </row>
    <row r="2842" spans="11:12">
      <c r="K2842" s="2406">
        <v>100327</v>
      </c>
      <c r="L2842" s="2406" t="s">
        <v>4823</v>
      </c>
    </row>
    <row r="2843" spans="11:12">
      <c r="K2843" s="2406">
        <v>100328</v>
      </c>
      <c r="L2843" s="2406" t="s">
        <v>4827</v>
      </c>
    </row>
    <row r="2844" spans="11:12">
      <c r="K2844" s="2406">
        <v>100329</v>
      </c>
      <c r="L2844" s="2406" t="s">
        <v>10155</v>
      </c>
    </row>
    <row r="2845" spans="11:12">
      <c r="K2845" s="2406">
        <v>100330</v>
      </c>
      <c r="L2845" s="2406" t="s">
        <v>10156</v>
      </c>
    </row>
    <row r="2846" spans="11:12">
      <c r="K2846" s="2406">
        <v>100331</v>
      </c>
      <c r="L2846" s="2406" t="s">
        <v>10157</v>
      </c>
    </row>
    <row r="2847" spans="11:12">
      <c r="K2847" s="2406">
        <v>100332</v>
      </c>
      <c r="L2847" s="2406" t="s">
        <v>10158</v>
      </c>
    </row>
    <row r="2848" spans="11:12">
      <c r="K2848" s="2406">
        <v>100333</v>
      </c>
      <c r="L2848" s="2406" t="s">
        <v>10159</v>
      </c>
    </row>
    <row r="2849" spans="11:12">
      <c r="K2849" s="2406">
        <v>100334</v>
      </c>
      <c r="L2849" s="2406" t="s">
        <v>10160</v>
      </c>
    </row>
    <row r="2850" spans="11:12">
      <c r="K2850" s="2406">
        <v>100335</v>
      </c>
      <c r="L2850" s="2406" t="s">
        <v>10161</v>
      </c>
    </row>
    <row r="2851" spans="11:12">
      <c r="K2851" s="2406">
        <v>100336</v>
      </c>
      <c r="L2851" s="2406" t="s">
        <v>10162</v>
      </c>
    </row>
    <row r="2852" spans="11:12">
      <c r="K2852" s="2406">
        <v>100337</v>
      </c>
      <c r="L2852" s="2406" t="s">
        <v>10163</v>
      </c>
    </row>
    <row r="2853" spans="11:12">
      <c r="K2853" s="2406">
        <v>100338</v>
      </c>
      <c r="L2853" s="2406" t="s">
        <v>10164</v>
      </c>
    </row>
    <row r="2854" spans="11:12">
      <c r="K2854" s="2406">
        <v>100339</v>
      </c>
      <c r="L2854" s="2406" t="s">
        <v>10165</v>
      </c>
    </row>
    <row r="2855" spans="11:12">
      <c r="K2855" s="2406">
        <v>100340</v>
      </c>
      <c r="L2855" s="2406" t="s">
        <v>10166</v>
      </c>
    </row>
    <row r="2856" spans="11:12">
      <c r="K2856" s="2406">
        <v>100341</v>
      </c>
      <c r="L2856" s="2406" t="s">
        <v>10167</v>
      </c>
    </row>
    <row r="2857" spans="11:12">
      <c r="K2857" s="2406">
        <v>100342</v>
      </c>
      <c r="L2857" s="2406" t="s">
        <v>10168</v>
      </c>
    </row>
    <row r="2858" spans="11:12">
      <c r="K2858" s="2406">
        <v>100343</v>
      </c>
      <c r="L2858" s="2406" t="s">
        <v>10169</v>
      </c>
    </row>
    <row r="2859" spans="11:12">
      <c r="K2859" s="2406">
        <v>100344</v>
      </c>
      <c r="L2859" s="2406" t="s">
        <v>10170</v>
      </c>
    </row>
    <row r="2860" spans="11:12">
      <c r="K2860" s="2406">
        <v>100345</v>
      </c>
      <c r="L2860" s="2406" t="s">
        <v>10171</v>
      </c>
    </row>
    <row r="2861" spans="11:12">
      <c r="K2861" s="2406">
        <v>100346</v>
      </c>
      <c r="L2861" s="2406" t="s">
        <v>10172</v>
      </c>
    </row>
    <row r="2862" spans="11:12">
      <c r="K2862" s="2406">
        <v>100347</v>
      </c>
      <c r="L2862" s="2406" t="s">
        <v>10173</v>
      </c>
    </row>
    <row r="2863" spans="11:12">
      <c r="K2863" s="2406">
        <v>100348</v>
      </c>
      <c r="L2863" s="2406" t="s">
        <v>10174</v>
      </c>
    </row>
    <row r="2864" spans="11:12">
      <c r="K2864" s="2406">
        <v>100349</v>
      </c>
      <c r="L2864" s="2406" t="s">
        <v>10175</v>
      </c>
    </row>
    <row r="2865" spans="11:12">
      <c r="K2865" s="2406">
        <v>100350</v>
      </c>
      <c r="L2865" s="2406" t="s">
        <v>10176</v>
      </c>
    </row>
    <row r="2866" spans="11:12">
      <c r="K2866" s="2406">
        <v>100351</v>
      </c>
      <c r="L2866" s="2406" t="s">
        <v>10177</v>
      </c>
    </row>
    <row r="2867" spans="11:12">
      <c r="K2867" s="2406">
        <v>100352</v>
      </c>
      <c r="L2867" s="2406" t="s">
        <v>10178</v>
      </c>
    </row>
    <row r="2868" spans="11:12">
      <c r="K2868" s="2406">
        <v>100353</v>
      </c>
      <c r="L2868" s="2406" t="s">
        <v>10179</v>
      </c>
    </row>
    <row r="2869" spans="11:12">
      <c r="K2869" s="2406">
        <v>100354</v>
      </c>
      <c r="L2869" s="2406" t="s">
        <v>10180</v>
      </c>
    </row>
    <row r="2870" spans="11:12">
      <c r="K2870" s="2406">
        <v>100355</v>
      </c>
      <c r="L2870" s="2406" t="s">
        <v>10181</v>
      </c>
    </row>
    <row r="2871" spans="11:12">
      <c r="K2871" s="2406">
        <v>100356</v>
      </c>
      <c r="L2871" s="2406" t="s">
        <v>10182</v>
      </c>
    </row>
    <row r="2872" spans="11:12">
      <c r="K2872" s="2406">
        <v>100357</v>
      </c>
      <c r="L2872" s="2406" t="s">
        <v>10183</v>
      </c>
    </row>
    <row r="2873" spans="11:12">
      <c r="K2873" s="2406">
        <v>100358</v>
      </c>
      <c r="L2873" s="2406" t="s">
        <v>10184</v>
      </c>
    </row>
    <row r="2874" spans="11:12">
      <c r="K2874" s="2406">
        <v>100359</v>
      </c>
      <c r="L2874" s="2406" t="s">
        <v>10185</v>
      </c>
    </row>
    <row r="2875" spans="11:12">
      <c r="K2875" s="2406">
        <v>100360</v>
      </c>
      <c r="L2875" s="2406" t="s">
        <v>4918</v>
      </c>
    </row>
    <row r="2876" spans="11:12">
      <c r="K2876" s="2406">
        <v>100361</v>
      </c>
      <c r="L2876" s="2406" t="s">
        <v>4921</v>
      </c>
    </row>
    <row r="2877" spans="11:12">
      <c r="K2877" s="2406">
        <v>100362</v>
      </c>
      <c r="L2877" s="2406" t="s">
        <v>4924</v>
      </c>
    </row>
    <row r="2878" spans="11:12">
      <c r="K2878" s="2406">
        <v>100363</v>
      </c>
      <c r="L2878" s="2406" t="s">
        <v>4927</v>
      </c>
    </row>
    <row r="2879" spans="11:12">
      <c r="K2879" s="2406">
        <v>100364</v>
      </c>
      <c r="L2879" s="2406" t="s">
        <v>4930</v>
      </c>
    </row>
    <row r="2880" spans="11:12">
      <c r="K2880" s="2406">
        <v>100365</v>
      </c>
      <c r="L2880" s="2406" t="s">
        <v>4933</v>
      </c>
    </row>
    <row r="2881" spans="11:12">
      <c r="K2881" s="2406">
        <v>100366</v>
      </c>
      <c r="L2881" s="2406" t="s">
        <v>4936</v>
      </c>
    </row>
    <row r="2882" spans="11:12">
      <c r="K2882" s="2406">
        <v>100367</v>
      </c>
      <c r="L2882" s="2406" t="s">
        <v>4939</v>
      </c>
    </row>
    <row r="2883" spans="11:12">
      <c r="K2883" s="2406">
        <v>100368</v>
      </c>
      <c r="L2883" s="2406" t="s">
        <v>4955</v>
      </c>
    </row>
    <row r="2884" spans="11:12">
      <c r="K2884" s="2406">
        <v>100369</v>
      </c>
      <c r="L2884" s="2406" t="s">
        <v>4958</v>
      </c>
    </row>
    <row r="2885" spans="11:12">
      <c r="K2885" s="2406">
        <v>100370</v>
      </c>
      <c r="L2885" s="2406" t="s">
        <v>4961</v>
      </c>
    </row>
    <row r="2886" spans="11:12">
      <c r="K2886" s="2406">
        <v>100371</v>
      </c>
      <c r="L2886" s="2406" t="s">
        <v>4964</v>
      </c>
    </row>
    <row r="2887" spans="11:12">
      <c r="K2887" s="2406">
        <v>100372</v>
      </c>
      <c r="L2887" s="2406" t="s">
        <v>4967</v>
      </c>
    </row>
    <row r="2888" spans="11:12">
      <c r="K2888" s="2406">
        <v>100373</v>
      </c>
      <c r="L2888" s="2406" t="s">
        <v>4970</v>
      </c>
    </row>
    <row r="2889" spans="11:12">
      <c r="K2889" s="2406">
        <v>100374</v>
      </c>
      <c r="L2889" s="2406" t="s">
        <v>4973</v>
      </c>
    </row>
    <row r="2890" spans="11:12">
      <c r="K2890" s="2406">
        <v>100375</v>
      </c>
      <c r="L2890" s="2406" t="s">
        <v>4976</v>
      </c>
    </row>
    <row r="2891" spans="11:12">
      <c r="K2891" s="2406">
        <v>100376</v>
      </c>
      <c r="L2891" s="2406" t="s">
        <v>4979</v>
      </c>
    </row>
    <row r="2892" spans="11:12">
      <c r="K2892" s="2406">
        <v>100377</v>
      </c>
      <c r="L2892" s="2406" t="s">
        <v>4982</v>
      </c>
    </row>
    <row r="2893" spans="11:12">
      <c r="K2893" s="2406">
        <v>100378</v>
      </c>
      <c r="L2893" s="2406" t="s">
        <v>4985</v>
      </c>
    </row>
    <row r="2894" spans="11:12">
      <c r="K2894" s="2406">
        <v>100379</v>
      </c>
      <c r="L2894" s="2406" t="s">
        <v>4988</v>
      </c>
    </row>
    <row r="2895" spans="11:12">
      <c r="K2895" s="2406">
        <v>100380</v>
      </c>
      <c r="L2895" s="2406" t="s">
        <v>4991</v>
      </c>
    </row>
    <row r="2896" spans="11:12">
      <c r="K2896" s="2406">
        <v>100381</v>
      </c>
      <c r="L2896" s="2406" t="s">
        <v>4994</v>
      </c>
    </row>
    <row r="2897" spans="11:12">
      <c r="K2897" s="2406">
        <v>100382</v>
      </c>
      <c r="L2897" s="2406" t="s">
        <v>4997</v>
      </c>
    </row>
    <row r="2898" spans="11:12">
      <c r="K2898" s="2406">
        <v>100383</v>
      </c>
      <c r="L2898" s="2406" t="s">
        <v>5000</v>
      </c>
    </row>
    <row r="2899" spans="11:12">
      <c r="K2899" s="2406">
        <v>100384</v>
      </c>
      <c r="L2899" s="2406" t="s">
        <v>5003</v>
      </c>
    </row>
    <row r="2900" spans="11:12">
      <c r="K2900" s="2406">
        <v>100385</v>
      </c>
      <c r="L2900" s="2406" t="s">
        <v>5006</v>
      </c>
    </row>
    <row r="2901" spans="11:12">
      <c r="K2901" s="2406">
        <v>100386</v>
      </c>
      <c r="L2901" s="2406" t="s">
        <v>5009</v>
      </c>
    </row>
    <row r="2902" spans="11:12">
      <c r="K2902" s="2406">
        <v>100387</v>
      </c>
      <c r="L2902" s="2406" t="s">
        <v>5012</v>
      </c>
    </row>
    <row r="2903" spans="11:12">
      <c r="K2903" s="2406">
        <v>100388</v>
      </c>
      <c r="L2903" s="2406" t="s">
        <v>4946</v>
      </c>
    </row>
    <row r="2904" spans="11:12">
      <c r="K2904" s="2406">
        <v>100389</v>
      </c>
      <c r="L2904" s="2406" t="s">
        <v>4949</v>
      </c>
    </row>
    <row r="2905" spans="11:12">
      <c r="K2905" s="2406">
        <v>100390</v>
      </c>
      <c r="L2905" s="2406" t="s">
        <v>4952</v>
      </c>
    </row>
    <row r="2906" spans="11:12">
      <c r="K2906" s="2406">
        <v>100391</v>
      </c>
      <c r="L2906" s="2406" t="s">
        <v>5160</v>
      </c>
    </row>
    <row r="2907" spans="11:12">
      <c r="K2907" s="2406">
        <v>100392</v>
      </c>
      <c r="L2907" s="2406" t="s">
        <v>5164</v>
      </c>
    </row>
    <row r="2908" spans="11:12">
      <c r="K2908" s="2406">
        <v>100393</v>
      </c>
      <c r="L2908" s="2406" t="s">
        <v>5168</v>
      </c>
    </row>
    <row r="2909" spans="11:12">
      <c r="K2909" s="2406">
        <v>100394</v>
      </c>
      <c r="L2909" s="2406" t="s">
        <v>5172</v>
      </c>
    </row>
    <row r="2910" spans="11:12">
      <c r="K2910" s="2406">
        <v>100395</v>
      </c>
      <c r="L2910" s="2406" t="s">
        <v>5176</v>
      </c>
    </row>
    <row r="2911" spans="11:12">
      <c r="K2911" s="2406">
        <v>100396</v>
      </c>
      <c r="L2911" s="2406" t="s">
        <v>5180</v>
      </c>
    </row>
    <row r="2912" spans="11:12">
      <c r="K2912" s="2406">
        <v>100397</v>
      </c>
      <c r="L2912" s="2406" t="s">
        <v>5184</v>
      </c>
    </row>
    <row r="2913" spans="11:12">
      <c r="K2913" s="2406">
        <v>100398</v>
      </c>
      <c r="L2913" s="2406" t="s">
        <v>5188</v>
      </c>
    </row>
    <row r="2914" spans="11:12">
      <c r="K2914" s="2406">
        <v>100399</v>
      </c>
      <c r="L2914" s="2406" t="s">
        <v>5208</v>
      </c>
    </row>
    <row r="2915" spans="11:12">
      <c r="K2915" s="2406">
        <v>100400</v>
      </c>
      <c r="L2915" s="2406" t="s">
        <v>5212</v>
      </c>
    </row>
    <row r="2916" spans="11:12">
      <c r="K2916" s="2406">
        <v>100401</v>
      </c>
      <c r="L2916" s="2406" t="s">
        <v>5216</v>
      </c>
    </row>
    <row r="2917" spans="11:12">
      <c r="K2917" s="2406">
        <v>100402</v>
      </c>
      <c r="L2917" s="2406" t="s">
        <v>5220</v>
      </c>
    </row>
    <row r="2918" spans="11:12">
      <c r="K2918" s="2406">
        <v>100403</v>
      </c>
      <c r="L2918" s="2406" t="s">
        <v>5224</v>
      </c>
    </row>
    <row r="2919" spans="11:12">
      <c r="K2919" s="2406">
        <v>100404</v>
      </c>
      <c r="L2919" s="2406" t="s">
        <v>5228</v>
      </c>
    </row>
    <row r="2920" spans="11:12">
      <c r="K2920" s="2406">
        <v>100405</v>
      </c>
      <c r="L2920" s="2406" t="s">
        <v>5232</v>
      </c>
    </row>
    <row r="2921" spans="11:12">
      <c r="K2921" s="2406">
        <v>100406</v>
      </c>
      <c r="L2921" s="2406" t="s">
        <v>5236</v>
      </c>
    </row>
    <row r="2922" spans="11:12">
      <c r="K2922" s="2406">
        <v>100407</v>
      </c>
      <c r="L2922" s="2406" t="s">
        <v>5240</v>
      </c>
    </row>
    <row r="2923" spans="11:12">
      <c r="K2923" s="2406">
        <v>100408</v>
      </c>
      <c r="L2923" s="2406" t="s">
        <v>5244</v>
      </c>
    </row>
    <row r="2924" spans="11:12">
      <c r="K2924" s="2406">
        <v>100409</v>
      </c>
      <c r="L2924" s="2406" t="s">
        <v>5248</v>
      </c>
    </row>
    <row r="2925" spans="11:12">
      <c r="K2925" s="2406">
        <v>100410</v>
      </c>
      <c r="L2925" s="2406" t="s">
        <v>5252</v>
      </c>
    </row>
    <row r="2926" spans="11:12">
      <c r="K2926" s="2406">
        <v>100411</v>
      </c>
      <c r="L2926" s="2406" t="s">
        <v>5256</v>
      </c>
    </row>
    <row r="2927" spans="11:12">
      <c r="K2927" s="2406">
        <v>100412</v>
      </c>
      <c r="L2927" s="2406" t="s">
        <v>5260</v>
      </c>
    </row>
    <row r="2928" spans="11:12">
      <c r="K2928" s="2406">
        <v>100413</v>
      </c>
      <c r="L2928" s="2406" t="s">
        <v>5264</v>
      </c>
    </row>
    <row r="2929" spans="11:12">
      <c r="K2929" s="2406">
        <v>100414</v>
      </c>
      <c r="L2929" s="2406" t="s">
        <v>5268</v>
      </c>
    </row>
    <row r="2930" spans="11:12">
      <c r="K2930" s="2406">
        <v>100415</v>
      </c>
      <c r="L2930" s="2406" t="s">
        <v>5272</v>
      </c>
    </row>
    <row r="2931" spans="11:12">
      <c r="K2931" s="2406">
        <v>100416</v>
      </c>
      <c r="L2931" s="2406" t="s">
        <v>5276</v>
      </c>
    </row>
    <row r="2932" spans="11:12">
      <c r="K2932" s="2406">
        <v>100417</v>
      </c>
      <c r="L2932" s="2406" t="s">
        <v>5280</v>
      </c>
    </row>
    <row r="2933" spans="11:12">
      <c r="K2933" s="2406">
        <v>100418</v>
      </c>
      <c r="L2933" s="2406" t="s">
        <v>5284</v>
      </c>
    </row>
    <row r="2934" spans="11:12">
      <c r="K2934" s="2406">
        <v>100419</v>
      </c>
      <c r="L2934" s="2406" t="s">
        <v>5196</v>
      </c>
    </row>
    <row r="2935" spans="11:12">
      <c r="K2935" s="2406">
        <v>100420</v>
      </c>
      <c r="L2935" s="2406" t="s">
        <v>5200</v>
      </c>
    </row>
    <row r="2936" spans="11:12">
      <c r="K2936" s="2406">
        <v>100421</v>
      </c>
      <c r="L2936" s="2406" t="s">
        <v>5204</v>
      </c>
    </row>
    <row r="2937" spans="11:12">
      <c r="K2937" s="2406">
        <v>100422</v>
      </c>
      <c r="L2937" s="2406" t="s">
        <v>10186</v>
      </c>
    </row>
    <row r="2938" spans="11:12">
      <c r="K2938" s="2406">
        <v>100423</v>
      </c>
      <c r="L2938" s="2406" t="s">
        <v>10187</v>
      </c>
    </row>
    <row r="2939" spans="11:12">
      <c r="K2939" s="2406">
        <v>100424</v>
      </c>
      <c r="L2939" s="2406" t="s">
        <v>10188</v>
      </c>
    </row>
    <row r="2940" spans="11:12">
      <c r="K2940" s="2406">
        <v>100425</v>
      </c>
      <c r="L2940" s="2406" t="s">
        <v>10189</v>
      </c>
    </row>
    <row r="2941" spans="11:12">
      <c r="K2941" s="2406">
        <v>100426</v>
      </c>
      <c r="L2941" s="2406" t="s">
        <v>10190</v>
      </c>
    </row>
    <row r="2942" spans="11:12">
      <c r="K2942" s="2406">
        <v>100427</v>
      </c>
      <c r="L2942" s="2406" t="s">
        <v>10191</v>
      </c>
    </row>
    <row r="2943" spans="11:12">
      <c r="K2943" s="2406">
        <v>100428</v>
      </c>
      <c r="L2943" s="2406" t="s">
        <v>10192</v>
      </c>
    </row>
    <row r="2944" spans="11:12">
      <c r="K2944" s="2406">
        <v>100429</v>
      </c>
      <c r="L2944" s="2406" t="s">
        <v>10193</v>
      </c>
    </row>
    <row r="2945" spans="11:12">
      <c r="K2945" s="2406">
        <v>100430</v>
      </c>
      <c r="L2945" s="2406" t="s">
        <v>10194</v>
      </c>
    </row>
    <row r="2946" spans="11:12">
      <c r="K2946" s="2406">
        <v>100431</v>
      </c>
      <c r="L2946" s="2406" t="s">
        <v>10195</v>
      </c>
    </row>
    <row r="2947" spans="11:12">
      <c r="K2947" s="2406">
        <v>100432</v>
      </c>
      <c r="L2947" s="2406" t="s">
        <v>10196</v>
      </c>
    </row>
    <row r="2948" spans="11:12">
      <c r="K2948" s="2406">
        <v>100433</v>
      </c>
      <c r="L2948" s="2406" t="s">
        <v>10197</v>
      </c>
    </row>
    <row r="2949" spans="11:12">
      <c r="K2949" s="2406">
        <v>100434</v>
      </c>
      <c r="L2949" s="2406" t="s">
        <v>10198</v>
      </c>
    </row>
    <row r="2950" spans="11:12">
      <c r="K2950" s="2406">
        <v>100435</v>
      </c>
      <c r="L2950" s="2406" t="s">
        <v>10199</v>
      </c>
    </row>
    <row r="2951" spans="11:12">
      <c r="K2951" s="2406">
        <v>100436</v>
      </c>
      <c r="L2951" s="2406" t="s">
        <v>10200</v>
      </c>
    </row>
    <row r="2952" spans="11:12">
      <c r="K2952" s="2406">
        <v>100437</v>
      </c>
      <c r="L2952" s="2406" t="s">
        <v>10201</v>
      </c>
    </row>
    <row r="2953" spans="11:12">
      <c r="K2953" s="2406">
        <v>100438</v>
      </c>
      <c r="L2953" s="2406" t="s">
        <v>10202</v>
      </c>
    </row>
    <row r="2954" spans="11:12">
      <c r="K2954" s="2406">
        <v>100439</v>
      </c>
      <c r="L2954" s="2406" t="s">
        <v>10203</v>
      </c>
    </row>
    <row r="2955" spans="11:12">
      <c r="K2955" s="2406">
        <v>100440</v>
      </c>
      <c r="L2955" s="2406" t="s">
        <v>10204</v>
      </c>
    </row>
    <row r="2956" spans="11:12">
      <c r="K2956" s="2406">
        <v>100441</v>
      </c>
      <c r="L2956" s="2406" t="s">
        <v>10205</v>
      </c>
    </row>
    <row r="2957" spans="11:12">
      <c r="K2957" s="2406">
        <v>100442</v>
      </c>
      <c r="L2957" s="2406" t="s">
        <v>10206</v>
      </c>
    </row>
    <row r="2958" spans="11:12">
      <c r="K2958" s="2406">
        <v>100443</v>
      </c>
      <c r="L2958" s="2406" t="s">
        <v>10207</v>
      </c>
    </row>
    <row r="2959" spans="11:12">
      <c r="K2959" s="2406">
        <v>100444</v>
      </c>
      <c r="L2959" s="2406" t="s">
        <v>10208</v>
      </c>
    </row>
    <row r="2960" spans="11:12">
      <c r="K2960" s="2406">
        <v>100445</v>
      </c>
      <c r="L2960" s="2406" t="s">
        <v>10209</v>
      </c>
    </row>
    <row r="2961" spans="11:12">
      <c r="K2961" s="2406">
        <v>100446</v>
      </c>
      <c r="L2961" s="2406" t="s">
        <v>10210</v>
      </c>
    </row>
    <row r="2962" spans="11:12">
      <c r="K2962" s="2406">
        <v>100447</v>
      </c>
      <c r="L2962" s="2406" t="s">
        <v>10211</v>
      </c>
    </row>
    <row r="2963" spans="11:12">
      <c r="K2963" s="2406">
        <v>100448</v>
      </c>
      <c r="L2963" s="2406" t="s">
        <v>10212</v>
      </c>
    </row>
    <row r="2964" spans="11:12">
      <c r="K2964" s="2406">
        <v>100449</v>
      </c>
      <c r="L2964" s="2406" t="s">
        <v>10213</v>
      </c>
    </row>
    <row r="2965" spans="11:12">
      <c r="K2965" s="2406">
        <v>100450</v>
      </c>
      <c r="L2965" s="2406" t="s">
        <v>10214</v>
      </c>
    </row>
    <row r="2966" spans="11:12">
      <c r="K2966" s="2406">
        <v>100451</v>
      </c>
      <c r="L2966" s="2406" t="s">
        <v>10215</v>
      </c>
    </row>
    <row r="2967" spans="11:12">
      <c r="K2967" s="2406">
        <v>100452</v>
      </c>
      <c r="L2967" s="2406" t="s">
        <v>10216</v>
      </c>
    </row>
    <row r="2968" spans="11:12">
      <c r="K2968" s="2406">
        <v>100555</v>
      </c>
      <c r="L2968" s="2406" t="s">
        <v>10217</v>
      </c>
    </row>
    <row r="2969" spans="11:12">
      <c r="K2969" s="2406">
        <v>100556</v>
      </c>
      <c r="L2969" s="2406" t="s">
        <v>10218</v>
      </c>
    </row>
    <row r="2970" spans="11:12">
      <c r="K2970" s="2406">
        <v>100559</v>
      </c>
      <c r="L2970" s="2406" t="s">
        <v>10219</v>
      </c>
    </row>
    <row r="2971" spans="11:12">
      <c r="K2971" s="2406">
        <v>100560</v>
      </c>
      <c r="L2971" s="2406" t="s">
        <v>10220</v>
      </c>
    </row>
  </sheetData>
  <customSheetViews>
    <customSheetView guid="{42A0DCD3-5C27-4BB4-A491-D2E7F84D8A17}" scale="80" showGridLines="0" showRuler="0">
      <pane ySplit="1" topLeftCell="A2" activePane="bottomLeft" state="frozen"/>
      <selection pane="bottomLeft" activeCell="D13" sqref="D13"/>
      <pageMargins left="0.75" right="0.75" top="1" bottom="1" header="0.5" footer="0.5"/>
      <pageSetup orientation="landscape" r:id="rId1"/>
      <headerFooter alignWithMargins="0"/>
    </customSheetView>
    <customSheetView guid="{EB281BD4-ABCF-428C-A6C2-8158A21EF819}" scale="75" showGridLines="0" showRuler="0" topLeftCell="B1">
      <pane ySplit="2" topLeftCell="A3" activePane="bottomLeft" state="frozen"/>
      <selection pane="bottomLeft" activeCell="B28" sqref="B28"/>
      <pageMargins left="0.75" right="0.75" top="1" bottom="1" header="0.5" footer="0.5"/>
      <pageSetup orientation="landscape" r:id="rId2"/>
      <headerFooter alignWithMargins="0"/>
    </customSheetView>
    <customSheetView guid="{FA29746F-8847-4779-9FAE-66945DB06B8D}" scale="80" state="hidden" showRuler="0">
      <pane ySplit="2" topLeftCell="A1896" activePane="bottomLeft" state="frozen"/>
      <selection pane="bottomLeft" activeCell="B1908" sqref="B1908"/>
      <pageMargins left="0.75" right="0.75" top="1" bottom="1" header="0.5" footer="0.5"/>
      <pageSetup orientation="landscape"/>
      <headerFooter alignWithMargins="0"/>
    </customSheetView>
  </customSheetViews>
  <phoneticPr fontId="7" type="noConversion"/>
  <pageMargins left="0.75" right="0.75" top="1" bottom="1" header="0.5" footer="0.5"/>
  <pageSetup orientation="landscape"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3"/>
  <dimension ref="A1:V3074"/>
  <sheetViews>
    <sheetView showRowColHeaders="0" zoomScale="80" workbookViewId="0">
      <pane xSplit="3" ySplit="2" topLeftCell="D3" activePane="bottomRight" state="frozen"/>
      <selection activeCell="C2147" sqref="C2147"/>
      <selection pane="topRight" activeCell="C2147" sqref="C2147"/>
      <selection pane="bottomLeft" activeCell="C2147" sqref="C2147"/>
      <selection pane="bottomRight"/>
    </sheetView>
  </sheetViews>
  <sheetFormatPr baseColWidth="10" defaultColWidth="9.1796875" defaultRowHeight="12.5"/>
  <cols>
    <col min="2" max="2" width="34.453125" style="5" customWidth="1"/>
    <col min="3" max="3" width="9.81640625" style="1064" customWidth="1"/>
    <col min="4" max="4" width="14.1796875" customWidth="1"/>
    <col min="5" max="5" width="12.81640625" bestFit="1" customWidth="1"/>
    <col min="6" max="6" width="34.1796875" customWidth="1"/>
    <col min="7" max="7" width="0.81640625" customWidth="1"/>
    <col min="8" max="8" width="2.81640625" hidden="1" customWidth="1"/>
    <col min="9" max="9" width="1.81640625" customWidth="1"/>
    <col min="10" max="10" width="2.1796875" customWidth="1"/>
    <col min="11" max="11" width="5.1796875" style="799" customWidth="1"/>
    <col min="12" max="12" width="6.1796875" style="789" customWidth="1"/>
    <col min="13" max="13" width="13" style="790" customWidth="1"/>
    <col min="14" max="14" width="5.54296875" style="790" customWidth="1"/>
    <col min="15" max="15" width="12.1796875" style="790" customWidth="1"/>
    <col min="16" max="16" width="8" style="790" customWidth="1"/>
    <col min="17" max="18" width="9.1796875" style="791" customWidth="1"/>
  </cols>
  <sheetData>
    <row r="1" spans="1:18" ht="13">
      <c r="A1" s="788" t="s">
        <v>10221</v>
      </c>
      <c r="B1" s="27" t="s">
        <v>10222</v>
      </c>
      <c r="D1" s="832" t="s">
        <v>10223</v>
      </c>
      <c r="E1" s="832"/>
      <c r="F1" s="751"/>
      <c r="K1" s="799" t="s">
        <v>10224</v>
      </c>
      <c r="N1" s="790" t="s">
        <v>10225</v>
      </c>
    </row>
    <row r="2" spans="1:18" ht="39.75" customHeight="1">
      <c r="C2" s="1039" t="s">
        <v>1902</v>
      </c>
      <c r="D2" s="28" t="s">
        <v>1903</v>
      </c>
      <c r="E2" s="219" t="s">
        <v>1904</v>
      </c>
      <c r="F2" s="751" t="s">
        <v>10226</v>
      </c>
      <c r="G2" s="751" t="s">
        <v>10227</v>
      </c>
      <c r="H2" s="749" t="s">
        <v>10228</v>
      </c>
      <c r="I2" s="749" t="s">
        <v>10229</v>
      </c>
      <c r="J2" s="748" t="s">
        <v>10230</v>
      </c>
      <c r="K2" s="1072" t="s">
        <v>10231</v>
      </c>
      <c r="L2" s="792" t="s">
        <v>10232</v>
      </c>
      <c r="M2" s="793" t="s">
        <v>10233</v>
      </c>
      <c r="N2" s="794" t="s">
        <v>10234</v>
      </c>
      <c r="O2" s="795" t="s">
        <v>10235</v>
      </c>
      <c r="P2" s="796" t="s">
        <v>10236</v>
      </c>
      <c r="Q2" s="791" t="s">
        <v>10237</v>
      </c>
      <c r="R2" s="797" t="s">
        <v>10238</v>
      </c>
    </row>
    <row r="3" spans="1:18">
      <c r="B3" s="5" t="s">
        <v>10239</v>
      </c>
      <c r="C3" s="1039"/>
      <c r="D3" t="str">
        <f>MID(OR_VEH!C708,1,3)&amp;MID(OR_VEH!C708,5,1)</f>
        <v>2.22</v>
      </c>
      <c r="E3" s="1338" t="str">
        <f>MID(OR_VEH!C708,1,3)&amp;MID(OR_VEH!C708,5,1)</f>
        <v>2.22</v>
      </c>
      <c r="F3" t="str">
        <f>TEXT(K3,"00")&amp;"-"&amp;L3&amp;IF(M3="","","-"&amp;M3)&amp;IF(N3="","","-"&amp;N3)&amp;IF(OR(O3="",O3=0),"","-"&amp;O3)&amp;IF(P3="","","-"&amp;P3)</f>
        <v>00-00-VERSION-NBR-CURR</v>
      </c>
      <c r="G3" t="s">
        <v>127</v>
      </c>
      <c r="H3" t="s">
        <v>95</v>
      </c>
      <c r="I3" t="s">
        <v>10240</v>
      </c>
      <c r="K3" s="1073" t="s">
        <v>10241</v>
      </c>
      <c r="L3" s="789" t="s">
        <v>10241</v>
      </c>
      <c r="M3" s="790" t="s">
        <v>10242</v>
      </c>
      <c r="O3" s="790" t="s">
        <v>10243</v>
      </c>
      <c r="P3" s="790" t="s">
        <v>10244</v>
      </c>
    </row>
    <row r="4" spans="1:18">
      <c r="B4" s="5" t="s">
        <v>10245</v>
      </c>
      <c r="C4" s="1041" t="s">
        <v>9855</v>
      </c>
      <c r="D4">
        <f>Page1!M93</f>
        <v>998</v>
      </c>
      <c r="E4">
        <f>Page1!M93</f>
        <v>998</v>
      </c>
      <c r="F4" t="str">
        <f>TEXT(K4,"00")&amp;"-"&amp;L4&amp;IF(M4="","","-"&amp;M4)&amp;IF(N4="","","-"&amp;N4)&amp;IF(OR(O4="",O4=0),"","-"&amp;O4)&amp;IF(P4="","","-"&amp;P4)</f>
        <v>00-00-DSP-NBR-CURR</v>
      </c>
      <c r="G4" t="s">
        <v>127</v>
      </c>
      <c r="H4" t="s">
        <v>95</v>
      </c>
      <c r="I4" t="s">
        <v>10246</v>
      </c>
      <c r="K4" s="1073" t="s">
        <v>10241</v>
      </c>
      <c r="L4" s="789" t="s">
        <v>10241</v>
      </c>
      <c r="M4" s="790" t="s">
        <v>9855</v>
      </c>
      <c r="O4" s="790" t="s">
        <v>10243</v>
      </c>
      <c r="P4" s="790" t="s">
        <v>10244</v>
      </c>
    </row>
    <row r="5" spans="1:18">
      <c r="B5" s="5" t="s">
        <v>9819</v>
      </c>
      <c r="C5" s="1041" t="s">
        <v>9820</v>
      </c>
      <c r="D5" t="str">
        <f>Page1!$C$6</f>
        <v>319719</v>
      </c>
      <c r="E5" s="14" t="str">
        <f>Page1!$C$6</f>
        <v>319719</v>
      </c>
      <c r="F5" t="str">
        <f>TEXT(K5,"00")&amp;"-"&amp;L5&amp;IF(M5="","","-"&amp;M5)&amp;IF(N5="","","-"&amp;N5)&amp;IF(OR(O5="",O5=0),"","-"&amp;O5)&amp;IF(P5="","","-"&amp;P5)</f>
        <v>00-00-BAC-NBR-CURR</v>
      </c>
      <c r="G5" t="s">
        <v>127</v>
      </c>
      <c r="H5" t="s">
        <v>95</v>
      </c>
      <c r="I5" t="s">
        <v>10246</v>
      </c>
      <c r="K5" s="1073" t="s">
        <v>10241</v>
      </c>
      <c r="L5" s="789" t="s">
        <v>10241</v>
      </c>
      <c r="M5" s="790" t="s">
        <v>9820</v>
      </c>
      <c r="O5" s="790" t="s">
        <v>10243</v>
      </c>
      <c r="P5" s="790" t="s">
        <v>10244</v>
      </c>
    </row>
    <row r="6" spans="1:18">
      <c r="B6" s="5" t="s">
        <v>10247</v>
      </c>
      <c r="C6" s="1040"/>
      <c r="D6">
        <f ca="1">IFERROR((OR_VEH!C707-Minus_Accuracy_Pts),0)</f>
        <v>1000</v>
      </c>
      <c r="E6" s="14">
        <f ca="1">IFERROR((OR_VEH!C707-Minus_Accuracy_Pts),0)</f>
        <v>1000</v>
      </c>
      <c r="F6" t="str">
        <f>TEXT(K6,"00")&amp;"-"&amp;L6&amp;IF(M6="","","-"&amp;M6)&amp;IF(N6="","","-"&amp;N6)&amp;IF(OR(O6="",O6=0),"","-"&amp;O6)&amp;IF(P6="","","-"&amp;P6)</f>
        <v>00-00-ACCURCY-POINTS-CURR</v>
      </c>
      <c r="G6" t="s">
        <v>127</v>
      </c>
      <c r="H6" t="s">
        <v>10248</v>
      </c>
      <c r="I6" t="s">
        <v>10249</v>
      </c>
      <c r="K6" s="1073" t="s">
        <v>10241</v>
      </c>
      <c r="L6" s="789" t="s">
        <v>10241</v>
      </c>
      <c r="M6" s="799" t="s">
        <v>10250</v>
      </c>
      <c r="N6" s="799"/>
      <c r="O6" s="799" t="s">
        <v>10251</v>
      </c>
      <c r="P6" s="799" t="s">
        <v>10244</v>
      </c>
    </row>
    <row r="7" spans="1:18">
      <c r="B7" s="800" t="s">
        <v>10252</v>
      </c>
      <c r="C7" s="1040"/>
      <c r="D7" s="529">
        <f>Page1!G44</f>
        <v>0</v>
      </c>
      <c r="E7" s="801">
        <f>Page1!G44</f>
        <v>0</v>
      </c>
      <c r="F7" t="str">
        <f t="shared" ref="F7:F14" si="0">TEXT(K7,"00")&amp;"-"&amp;L7&amp;IF(M7="","","-"&amp;M7)&amp;IF(N7="","","-"&amp;N7)&amp;IF(OR(O7="",O7=0),"","-"&amp;O7)&amp;IF(P7="","","-"&amp;P7)</f>
        <v>00-00-275-UNIT-CURR</v>
      </c>
      <c r="G7" t="s">
        <v>127</v>
      </c>
      <c r="H7" t="s">
        <v>95</v>
      </c>
      <c r="I7" t="s">
        <v>10253</v>
      </c>
      <c r="K7" s="1073" t="s">
        <v>10241</v>
      </c>
      <c r="L7" s="789" t="s">
        <v>10241</v>
      </c>
      <c r="M7" s="790" t="s">
        <v>10254</v>
      </c>
      <c r="O7" s="799" t="s">
        <v>10255</v>
      </c>
      <c r="P7" s="799" t="s">
        <v>10244</v>
      </c>
    </row>
    <row r="8" spans="1:18">
      <c r="B8" s="5" t="s">
        <v>10256</v>
      </c>
      <c r="C8" s="1040"/>
      <c r="D8" s="529">
        <f>Page1!$G$45</f>
        <v>0</v>
      </c>
      <c r="E8" s="529">
        <f>Page1!$G$45</f>
        <v>0</v>
      </c>
      <c r="F8" t="str">
        <f t="shared" si="0"/>
        <v>00-00-277-UNIT-CURR</v>
      </c>
      <c r="G8" t="s">
        <v>127</v>
      </c>
      <c r="H8" t="s">
        <v>95</v>
      </c>
      <c r="I8" t="s">
        <v>10253</v>
      </c>
      <c r="K8" s="1073" t="s">
        <v>10241</v>
      </c>
      <c r="L8" s="789" t="s">
        <v>10241</v>
      </c>
      <c r="M8" s="790" t="s">
        <v>10257</v>
      </c>
      <c r="O8" s="799" t="s">
        <v>10255</v>
      </c>
      <c r="P8" s="799" t="s">
        <v>10244</v>
      </c>
    </row>
    <row r="9" spans="1:18">
      <c r="B9" s="24" t="s">
        <v>10258</v>
      </c>
      <c r="C9" s="1040"/>
      <c r="D9" s="529">
        <f>Page1!$F$61</f>
        <v>1</v>
      </c>
      <c r="E9">
        <f>Page1!$F$61</f>
        <v>1</v>
      </c>
      <c r="F9" t="str">
        <f t="shared" si="0"/>
        <v>00-00-285CAR-UNIT-CURR</v>
      </c>
      <c r="G9" t="s">
        <v>127</v>
      </c>
      <c r="H9" t="s">
        <v>95</v>
      </c>
      <c r="I9" t="s">
        <v>10253</v>
      </c>
      <c r="K9" s="1073" t="s">
        <v>10241</v>
      </c>
      <c r="L9" s="789" t="s">
        <v>10241</v>
      </c>
      <c r="M9" s="790" t="s">
        <v>10259</v>
      </c>
      <c r="O9" s="799" t="s">
        <v>10255</v>
      </c>
      <c r="P9" s="799" t="s">
        <v>10244</v>
      </c>
    </row>
    <row r="10" spans="1:18">
      <c r="B10" s="24" t="s">
        <v>10260</v>
      </c>
      <c r="C10" s="1040"/>
      <c r="D10" s="529">
        <f>Page1!$H$61</f>
        <v>1</v>
      </c>
      <c r="E10">
        <f>Page1!$H$61</f>
        <v>1</v>
      </c>
      <c r="F10" t="str">
        <f t="shared" si="0"/>
        <v>00-00-285TRK-UNIT-CURR</v>
      </c>
      <c r="G10" t="s">
        <v>127</v>
      </c>
      <c r="H10" t="s">
        <v>95</v>
      </c>
      <c r="I10" t="s">
        <v>10253</v>
      </c>
      <c r="K10" s="1073" t="s">
        <v>10241</v>
      </c>
      <c r="L10" s="789" t="s">
        <v>10241</v>
      </c>
      <c r="M10" s="790" t="s">
        <v>10261</v>
      </c>
      <c r="O10" s="799" t="s">
        <v>10255</v>
      </c>
      <c r="P10" s="799" t="s">
        <v>10244</v>
      </c>
    </row>
    <row r="11" spans="1:18">
      <c r="B11" s="5" t="s">
        <v>2395</v>
      </c>
      <c r="C11" s="1038"/>
      <c r="D11" s="7">
        <f>Page1!O17</f>
        <v>0</v>
      </c>
      <c r="E11" s="7">
        <f>Page1!O17</f>
        <v>0</v>
      </c>
      <c r="F11" t="str">
        <f t="shared" si="0"/>
        <v>00-00-310DP-AMT-CURR</v>
      </c>
      <c r="G11" t="s">
        <v>127</v>
      </c>
      <c r="H11" t="s">
        <v>95</v>
      </c>
      <c r="I11" t="s">
        <v>10253</v>
      </c>
      <c r="K11" s="1073" t="s">
        <v>10241</v>
      </c>
      <c r="L11" s="789" t="s">
        <v>10241</v>
      </c>
      <c r="M11" s="790" t="s">
        <v>10262</v>
      </c>
      <c r="O11" s="799" t="s">
        <v>10263</v>
      </c>
      <c r="P11" s="799" t="s">
        <v>10244</v>
      </c>
    </row>
    <row r="12" spans="1:18">
      <c r="B12" s="5" t="s">
        <v>10264</v>
      </c>
      <c r="C12" s="1040"/>
      <c r="D12" s="7">
        <f>Page1!P46</f>
        <v>422000</v>
      </c>
      <c r="E12" s="7">
        <f>Page1!P46</f>
        <v>422000</v>
      </c>
      <c r="F12" t="str">
        <f t="shared" si="0"/>
        <v>00-00-NWC-QLTD-CURR</v>
      </c>
      <c r="G12" t="s">
        <v>127</v>
      </c>
      <c r="H12" t="s">
        <v>95</v>
      </c>
      <c r="I12" t="s">
        <v>10253</v>
      </c>
      <c r="K12" s="1073" t="s">
        <v>10241</v>
      </c>
      <c r="L12" s="789" t="s">
        <v>10241</v>
      </c>
      <c r="M12" s="790" t="s">
        <v>10265</v>
      </c>
      <c r="O12" s="799" t="s">
        <v>10266</v>
      </c>
      <c r="P12" s="799" t="s">
        <v>10244</v>
      </c>
    </row>
    <row r="13" spans="1:18">
      <c r="B13" s="40" t="s">
        <v>10267</v>
      </c>
      <c r="C13" s="1043"/>
      <c r="D13" s="7">
        <f>Page1!P47</f>
        <v>1459909</v>
      </c>
      <c r="E13" s="7">
        <f>Page1!P47</f>
        <v>1459909</v>
      </c>
      <c r="F13" t="str">
        <f t="shared" si="0"/>
        <v>00-00-NWC-DLR-CURR</v>
      </c>
      <c r="G13" t="s">
        <v>127</v>
      </c>
      <c r="H13" t="s">
        <v>95</v>
      </c>
      <c r="I13" t="s">
        <v>10253</v>
      </c>
      <c r="J13" t="s">
        <v>10268</v>
      </c>
      <c r="K13" s="1073" t="s">
        <v>10241</v>
      </c>
      <c r="L13" s="789" t="s">
        <v>10241</v>
      </c>
      <c r="M13" s="790" t="s">
        <v>10265</v>
      </c>
      <c r="O13" s="799" t="s">
        <v>10269</v>
      </c>
      <c r="P13" s="799" t="s">
        <v>10244</v>
      </c>
      <c r="Q13" s="791" t="s">
        <v>773</v>
      </c>
    </row>
    <row r="14" spans="1:18">
      <c r="B14" s="5" t="s">
        <v>10270</v>
      </c>
      <c r="C14" s="1040"/>
      <c r="E14" s="7"/>
      <c r="F14" t="str">
        <f t="shared" si="0"/>
        <v>00-00-NWC-STANDARD-CURR</v>
      </c>
      <c r="G14" t="s">
        <v>127</v>
      </c>
      <c r="H14" t="s">
        <v>95</v>
      </c>
      <c r="I14" t="s">
        <v>10253</v>
      </c>
      <c r="K14" s="1073" t="s">
        <v>10241</v>
      </c>
      <c r="L14" s="789" t="s">
        <v>10241</v>
      </c>
      <c r="M14" s="790" t="s">
        <v>10265</v>
      </c>
      <c r="O14" s="799" t="s">
        <v>10271</v>
      </c>
      <c r="P14" s="799" t="s">
        <v>10244</v>
      </c>
    </row>
    <row r="15" spans="1:18">
      <c r="B15" s="41" t="s">
        <v>10272</v>
      </c>
      <c r="C15" s="1038" t="s">
        <v>725</v>
      </c>
      <c r="D15" s="804">
        <f>Page4!D66</f>
        <v>131.5</v>
      </c>
      <c r="E15" s="804">
        <f>Page4!D66</f>
        <v>131.5</v>
      </c>
      <c r="F15" t="str">
        <f t="shared" ref="F15:F27" si="1">TEXT(K15,"00")&amp;"-"&amp;L15&amp;IF(M15="","","-"&amp;M15)&amp;IF(N15="","","-"&amp;N15)&amp;IF(OR(O15="",O15=0),"","-"&amp;O15)&amp;IF(P15="","","-"&amp;P15)</f>
        <v>05-00-460A-LABORATE-CURR</v>
      </c>
      <c r="G15" t="s">
        <v>127</v>
      </c>
      <c r="H15" t="s">
        <v>95</v>
      </c>
      <c r="I15" t="s">
        <v>10273</v>
      </c>
      <c r="K15" s="1073" t="s">
        <v>10274</v>
      </c>
      <c r="L15" s="789" t="s">
        <v>10241</v>
      </c>
      <c r="M15" s="790" t="s">
        <v>725</v>
      </c>
      <c r="O15" s="790" t="s">
        <v>10275</v>
      </c>
      <c r="P15" s="790" t="s">
        <v>10244</v>
      </c>
      <c r="R15" s="30"/>
    </row>
    <row r="16" spans="1:18">
      <c r="B16" s="41" t="s">
        <v>10276</v>
      </c>
      <c r="C16" s="1038" t="s">
        <v>729</v>
      </c>
      <c r="D16" s="804">
        <f>Page4!D67</f>
        <v>131.5</v>
      </c>
      <c r="E16" s="804">
        <f>Page4!D67</f>
        <v>131.5</v>
      </c>
      <c r="F16" t="str">
        <f t="shared" si="1"/>
        <v>05-00-460B-LABORATE-CURR</v>
      </c>
      <c r="G16" t="s">
        <v>127</v>
      </c>
      <c r="H16" t="s">
        <v>95</v>
      </c>
      <c r="I16" t="s">
        <v>10273</v>
      </c>
      <c r="K16" s="1073" t="s">
        <v>10274</v>
      </c>
      <c r="L16" s="789" t="s">
        <v>10241</v>
      </c>
      <c r="M16" s="790" t="s">
        <v>729</v>
      </c>
      <c r="O16" s="790" t="s">
        <v>10275</v>
      </c>
      <c r="P16" s="790" t="s">
        <v>10244</v>
      </c>
      <c r="R16" s="30"/>
    </row>
    <row r="17" spans="1:18">
      <c r="B17" s="41" t="s">
        <v>10277</v>
      </c>
      <c r="C17" s="1038" t="s">
        <v>733</v>
      </c>
      <c r="D17" s="804">
        <f>Page4!D68</f>
        <v>131.5</v>
      </c>
      <c r="E17" s="804">
        <f>Page4!D68</f>
        <v>131.5</v>
      </c>
      <c r="F17" t="str">
        <f t="shared" si="1"/>
        <v>05-00-460C-LABORATE-CURR</v>
      </c>
      <c r="G17" t="s">
        <v>127</v>
      </c>
      <c r="H17" t="s">
        <v>95</v>
      </c>
      <c r="I17" t="s">
        <v>10273</v>
      </c>
      <c r="K17" s="1073" t="s">
        <v>10274</v>
      </c>
      <c r="L17" s="789" t="s">
        <v>10241</v>
      </c>
      <c r="M17" s="790" t="s">
        <v>733</v>
      </c>
      <c r="O17" s="790" t="s">
        <v>10275</v>
      </c>
      <c r="P17" s="790" t="s">
        <v>10244</v>
      </c>
      <c r="R17" s="30"/>
    </row>
    <row r="18" spans="1:18">
      <c r="B18" s="41" t="s">
        <v>10278</v>
      </c>
      <c r="C18" s="1038" t="s">
        <v>740</v>
      </c>
      <c r="D18" s="804">
        <f>Page4!F66</f>
        <v>0</v>
      </c>
      <c r="E18" s="804">
        <f>Page4!F66</f>
        <v>0</v>
      </c>
      <c r="F18" t="str">
        <f t="shared" si="1"/>
        <v>05-00-461A-LABORATE-CURR</v>
      </c>
      <c r="G18" t="s">
        <v>127</v>
      </c>
      <c r="H18" t="s">
        <v>95</v>
      </c>
      <c r="I18" t="s">
        <v>10273</v>
      </c>
      <c r="K18" s="1073" t="s">
        <v>10274</v>
      </c>
      <c r="L18" s="789" t="s">
        <v>10241</v>
      </c>
      <c r="M18" s="790" t="s">
        <v>740</v>
      </c>
      <c r="O18" s="790" t="s">
        <v>10275</v>
      </c>
      <c r="P18" s="790" t="s">
        <v>10244</v>
      </c>
      <c r="R18" s="30"/>
    </row>
    <row r="19" spans="1:18">
      <c r="B19" s="41" t="s">
        <v>10279</v>
      </c>
      <c r="C19" s="1038" t="s">
        <v>744</v>
      </c>
      <c r="D19" s="804">
        <f>Page4!F67</f>
        <v>0</v>
      </c>
      <c r="E19" s="804">
        <f>Page4!F67</f>
        <v>0</v>
      </c>
      <c r="F19" t="str">
        <f t="shared" si="1"/>
        <v>05-00-461B-LABORATE-CURR</v>
      </c>
      <c r="G19" t="s">
        <v>127</v>
      </c>
      <c r="H19" t="s">
        <v>95</v>
      </c>
      <c r="I19" t="s">
        <v>10273</v>
      </c>
      <c r="K19" s="1073" t="s">
        <v>10274</v>
      </c>
      <c r="L19" s="789" t="s">
        <v>10241</v>
      </c>
      <c r="M19" s="790" t="s">
        <v>744</v>
      </c>
      <c r="O19" s="790" t="s">
        <v>10275</v>
      </c>
      <c r="P19" s="790" t="s">
        <v>10244</v>
      </c>
      <c r="R19" s="30"/>
    </row>
    <row r="20" spans="1:18">
      <c r="B20" s="41" t="s">
        <v>10280</v>
      </c>
      <c r="C20" s="1038" t="s">
        <v>749</v>
      </c>
      <c r="D20" s="804">
        <f>Page4!F68</f>
        <v>0</v>
      </c>
      <c r="E20" s="804">
        <f>Page4!F68</f>
        <v>0</v>
      </c>
      <c r="F20" t="str">
        <f t="shared" si="1"/>
        <v>05-00-461C-LABORATE-CURR</v>
      </c>
      <c r="G20" t="s">
        <v>127</v>
      </c>
      <c r="H20" t="s">
        <v>95</v>
      </c>
      <c r="I20" t="s">
        <v>10273</v>
      </c>
      <c r="K20" s="1073" t="s">
        <v>10274</v>
      </c>
      <c r="L20" s="789" t="s">
        <v>10241</v>
      </c>
      <c r="M20" s="790" t="s">
        <v>749</v>
      </c>
      <c r="O20" s="790" t="s">
        <v>10275</v>
      </c>
      <c r="P20" s="790" t="s">
        <v>10244</v>
      </c>
      <c r="R20" s="30"/>
    </row>
    <row r="21" spans="1:18">
      <c r="B21" s="41" t="s">
        <v>10281</v>
      </c>
      <c r="C21" s="1038">
        <v>462</v>
      </c>
      <c r="D21" s="804">
        <f>Page4!L66</f>
        <v>94.4</v>
      </c>
      <c r="E21" s="804">
        <f>Page4!L66</f>
        <v>94.4</v>
      </c>
      <c r="F21" t="str">
        <f t="shared" si="1"/>
        <v>05-00-462-LABORATE-CURR</v>
      </c>
      <c r="G21" t="s">
        <v>127</v>
      </c>
      <c r="H21" t="s">
        <v>95</v>
      </c>
      <c r="I21" t="s">
        <v>10273</v>
      </c>
      <c r="K21" s="1073" t="s">
        <v>10274</v>
      </c>
      <c r="L21" s="789" t="s">
        <v>10241</v>
      </c>
      <c r="M21" s="790">
        <v>462</v>
      </c>
      <c r="O21" s="790" t="s">
        <v>10275</v>
      </c>
      <c r="P21" s="790" t="s">
        <v>10244</v>
      </c>
      <c r="R21" s="30"/>
    </row>
    <row r="22" spans="1:18">
      <c r="B22" s="41" t="s">
        <v>10282</v>
      </c>
      <c r="C22" s="1038">
        <v>463</v>
      </c>
      <c r="D22" s="804">
        <f>Page4!L67</f>
        <v>131.5</v>
      </c>
      <c r="E22" s="804">
        <f>Page4!L67</f>
        <v>131.5</v>
      </c>
      <c r="F22" t="str">
        <f t="shared" si="1"/>
        <v>05-00-463-LABORATE-CURR</v>
      </c>
      <c r="G22" t="s">
        <v>127</v>
      </c>
      <c r="H22" t="s">
        <v>95</v>
      </c>
      <c r="I22" t="s">
        <v>10273</v>
      </c>
      <c r="K22" s="1073" t="s">
        <v>10274</v>
      </c>
      <c r="L22" s="789" t="s">
        <v>10241</v>
      </c>
      <c r="M22" s="790">
        <v>463</v>
      </c>
      <c r="O22" s="790" t="s">
        <v>10275</v>
      </c>
      <c r="P22" s="790" t="s">
        <v>10244</v>
      </c>
      <c r="R22" s="30"/>
    </row>
    <row r="23" spans="1:18">
      <c r="B23" s="41" t="s">
        <v>10283</v>
      </c>
      <c r="C23" s="1038">
        <v>472</v>
      </c>
      <c r="D23" s="804">
        <f>Page4!N66</f>
        <v>0</v>
      </c>
      <c r="E23" s="804">
        <f>Page4!N66</f>
        <v>0</v>
      </c>
      <c r="F23" t="str">
        <f t="shared" si="1"/>
        <v>06-00-472-LABORATE-CURR</v>
      </c>
      <c r="G23" t="s">
        <v>127</v>
      </c>
      <c r="H23" t="s">
        <v>95</v>
      </c>
      <c r="I23" t="s">
        <v>10273</v>
      </c>
      <c r="K23" s="1073" t="s">
        <v>10284</v>
      </c>
      <c r="L23" s="789" t="s">
        <v>10241</v>
      </c>
      <c r="M23" s="790">
        <v>472</v>
      </c>
      <c r="O23" s="790" t="s">
        <v>10275</v>
      </c>
      <c r="P23" s="790" t="s">
        <v>10244</v>
      </c>
      <c r="R23" s="30"/>
    </row>
    <row r="24" spans="1:18">
      <c r="B24" s="41" t="s">
        <v>10285</v>
      </c>
      <c r="C24" s="1038">
        <v>473</v>
      </c>
      <c r="D24" s="804">
        <f>Page4!N67</f>
        <v>75</v>
      </c>
      <c r="E24" s="804">
        <f>Page4!N67</f>
        <v>75</v>
      </c>
      <c r="F24" t="str">
        <f t="shared" si="1"/>
        <v>06-00-473-LABORATE-CURR</v>
      </c>
      <c r="G24" t="s">
        <v>127</v>
      </c>
      <c r="H24" t="s">
        <v>95</v>
      </c>
      <c r="I24" t="s">
        <v>10273</v>
      </c>
      <c r="K24" s="1073" t="s">
        <v>10284</v>
      </c>
      <c r="L24" s="789" t="s">
        <v>10241</v>
      </c>
      <c r="M24" s="790">
        <v>473</v>
      </c>
      <c r="O24" s="790" t="s">
        <v>10275</v>
      </c>
      <c r="P24" s="790" t="s">
        <v>10244</v>
      </c>
      <c r="R24" s="30"/>
    </row>
    <row r="25" spans="1:18">
      <c r="B25" s="41" t="s">
        <v>2434</v>
      </c>
      <c r="C25" s="1038">
        <v>470</v>
      </c>
      <c r="D25" s="804">
        <f>Page4!N68</f>
        <v>75</v>
      </c>
      <c r="E25" s="804">
        <f>Page4!N68</f>
        <v>75</v>
      </c>
      <c r="F25" t="str">
        <f t="shared" si="1"/>
        <v>06-00-470-LABORATE-CURR</v>
      </c>
      <c r="G25" t="s">
        <v>127</v>
      </c>
      <c r="H25" t="s">
        <v>95</v>
      </c>
      <c r="I25" t="s">
        <v>10273</v>
      </c>
      <c r="K25" s="1073" t="s">
        <v>10284</v>
      </c>
      <c r="L25" s="789" t="s">
        <v>10241</v>
      </c>
      <c r="M25" s="790">
        <v>470</v>
      </c>
      <c r="O25" s="790" t="s">
        <v>10275</v>
      </c>
      <c r="P25" s="790" t="s">
        <v>10244</v>
      </c>
      <c r="R25" s="30"/>
    </row>
    <row r="26" spans="1:18">
      <c r="B26" s="41" t="s">
        <v>2437</v>
      </c>
      <c r="C26" s="1038">
        <v>471</v>
      </c>
      <c r="D26" s="804">
        <f>Page4!N69</f>
        <v>75</v>
      </c>
      <c r="E26" s="804">
        <f>Page4!N69</f>
        <v>75</v>
      </c>
      <c r="F26" t="str">
        <f t="shared" si="1"/>
        <v>06-00-471-LABORATE-CURR</v>
      </c>
      <c r="G26" t="s">
        <v>127</v>
      </c>
      <c r="H26" t="s">
        <v>95</v>
      </c>
      <c r="I26" t="s">
        <v>10273</v>
      </c>
      <c r="K26" s="1073" t="s">
        <v>10284</v>
      </c>
      <c r="L26" s="789" t="s">
        <v>10241</v>
      </c>
      <c r="M26" s="790">
        <v>471</v>
      </c>
      <c r="O26" s="790" t="s">
        <v>10275</v>
      </c>
      <c r="P26" s="790" t="s">
        <v>10244</v>
      </c>
      <c r="R26" s="30"/>
    </row>
    <row r="27" spans="1:18">
      <c r="A27" s="805" t="s">
        <v>10286</v>
      </c>
      <c r="B27" s="5" t="str">
        <f>Page5_CHV_MCI!C4</f>
        <v>VOLT</v>
      </c>
      <c r="C27" s="1038" t="str">
        <f>OR_VEH!D3</f>
        <v>400-001</v>
      </c>
      <c r="D27" s="7">
        <f>Page5_CHV_MCI!F4</f>
        <v>0</v>
      </c>
      <c r="E27" s="7">
        <f>Page5_CHV_MCI!K4</f>
        <v>0</v>
      </c>
      <c r="F27" t="str">
        <f t="shared" si="1"/>
        <v>01-00-400-001-UNIT-CURR</v>
      </c>
      <c r="G27" t="s">
        <v>127</v>
      </c>
      <c r="H27" t="s">
        <v>10287</v>
      </c>
      <c r="I27" t="s">
        <v>10253</v>
      </c>
      <c r="K27" s="1073" t="s">
        <v>10288</v>
      </c>
      <c r="L27" s="789" t="s">
        <v>10241</v>
      </c>
      <c r="M27" s="790" t="str">
        <f>LEFT(C27,3)</f>
        <v>400</v>
      </c>
      <c r="N27" s="790" t="str">
        <f>RIGHT(C27,3)</f>
        <v>001</v>
      </c>
      <c r="O27" s="799" t="s">
        <v>10255</v>
      </c>
      <c r="P27" s="799" t="s">
        <v>10244</v>
      </c>
      <c r="R27" s="30"/>
    </row>
    <row r="28" spans="1:18">
      <c r="B28" s="5" t="str">
        <f>Page5_CHV_MCI!C5</f>
        <v>MALIBU</v>
      </c>
      <c r="C28" s="1038" t="str">
        <f>OR_VEH!D4</f>
        <v>401-001</v>
      </c>
      <c r="D28" s="7">
        <f>Page5_CHV_MCI!F5</f>
        <v>0</v>
      </c>
      <c r="E28" s="7">
        <f>Page5_CHV_MCI!K5</f>
        <v>1</v>
      </c>
      <c r="F28" t="str">
        <f t="shared" ref="F28:F90" si="2">TEXT(K28,"00")&amp;"-"&amp;L28&amp;IF(M28="","","-"&amp;M28)&amp;IF(N28="","","-"&amp;N28)&amp;IF(OR(O28="",O28=0),"","-"&amp;O28)&amp;IF(P28="","","-"&amp;P28)</f>
        <v>01-00-401-001-UNIT-CURR</v>
      </c>
      <c r="G28" t="s">
        <v>127</v>
      </c>
      <c r="H28" t="s">
        <v>10287</v>
      </c>
      <c r="I28" t="s">
        <v>10253</v>
      </c>
      <c r="K28" s="1073" t="s">
        <v>10288</v>
      </c>
      <c r="L28" s="789" t="s">
        <v>10241</v>
      </c>
      <c r="M28" s="790" t="str">
        <f t="shared" ref="M28:M45" si="3">LEFT(C28,3)</f>
        <v>401</v>
      </c>
      <c r="N28" s="790" t="str">
        <f t="shared" ref="N28:N45" si="4">RIGHT(C28,3)</f>
        <v>001</v>
      </c>
      <c r="O28" s="799" t="s">
        <v>10255</v>
      </c>
      <c r="P28" s="799" t="s">
        <v>10244</v>
      </c>
      <c r="R28" s="30"/>
    </row>
    <row r="29" spans="1:18">
      <c r="B29" s="5" t="str">
        <f>Page5_CHV_MCI!C6</f>
        <v>SONIC</v>
      </c>
      <c r="C29" s="1038" t="str">
        <f>OR_VEH!D5</f>
        <v>402-001</v>
      </c>
      <c r="D29" s="7">
        <f>Page5_CHV_MCI!F6</f>
        <v>0</v>
      </c>
      <c r="E29" s="7">
        <f>Page5_CHV_MCI!K6</f>
        <v>0</v>
      </c>
      <c r="F29" t="str">
        <f t="shared" si="2"/>
        <v>01-00-402-001-UNIT-CURR</v>
      </c>
      <c r="G29" t="s">
        <v>127</v>
      </c>
      <c r="H29" t="s">
        <v>10287</v>
      </c>
      <c r="I29" t="s">
        <v>10253</v>
      </c>
      <c r="K29" s="1073" t="s">
        <v>10288</v>
      </c>
      <c r="L29" s="789" t="s">
        <v>10241</v>
      </c>
      <c r="M29" s="790" t="str">
        <f t="shared" si="3"/>
        <v>402</v>
      </c>
      <c r="N29" s="790" t="str">
        <f t="shared" si="4"/>
        <v>001</v>
      </c>
      <c r="O29" s="799" t="s">
        <v>10255</v>
      </c>
      <c r="P29" s="799" t="s">
        <v>10244</v>
      </c>
      <c r="R29" s="30"/>
    </row>
    <row r="30" spans="1:18">
      <c r="B30" s="5" t="str">
        <f>Page5_CHV_MCI!C7</f>
        <v>IMPALA</v>
      </c>
      <c r="C30" s="1038" t="str">
        <f>OR_VEH!D6</f>
        <v>403-001</v>
      </c>
      <c r="D30" s="7">
        <f>Page5_CHV_MCI!F7</f>
        <v>0</v>
      </c>
      <c r="E30" s="7">
        <f>Page5_CHV_MCI!K7</f>
        <v>0</v>
      </c>
      <c r="F30" t="str">
        <f t="shared" si="2"/>
        <v>01-00-403-001-UNIT-CURR</v>
      </c>
      <c r="G30" t="s">
        <v>127</v>
      </c>
      <c r="H30" t="s">
        <v>10287</v>
      </c>
      <c r="I30" t="s">
        <v>10253</v>
      </c>
      <c r="K30" s="1073" t="s">
        <v>10288</v>
      </c>
      <c r="L30" s="789" t="s">
        <v>10241</v>
      </c>
      <c r="M30" s="790" t="str">
        <f t="shared" si="3"/>
        <v>403</v>
      </c>
      <c r="N30" s="790" t="str">
        <f t="shared" si="4"/>
        <v>001</v>
      </c>
      <c r="O30" s="799" t="s">
        <v>10255</v>
      </c>
      <c r="P30" s="799" t="s">
        <v>10244</v>
      </c>
      <c r="R30" s="30"/>
    </row>
    <row r="31" spans="1:18">
      <c r="B31" s="5" t="str">
        <f>Page5_CHV_MCI!C8</f>
        <v>SPARK</v>
      </c>
      <c r="C31" s="1038" t="str">
        <f>OR_VEH!D7</f>
        <v>404-001</v>
      </c>
      <c r="D31" s="7">
        <f>Page5_CHV_MCI!F8</f>
        <v>0</v>
      </c>
      <c r="E31" s="7">
        <f>Page5_CHV_MCI!K8</f>
        <v>0</v>
      </c>
      <c r="F31" t="str">
        <f t="shared" si="2"/>
        <v>01-00-404-001-UNIT-CURR</v>
      </c>
      <c r="G31" t="s">
        <v>127</v>
      </c>
      <c r="H31" t="s">
        <v>10287</v>
      </c>
      <c r="I31" t="s">
        <v>10253</v>
      </c>
      <c r="K31" s="1073" t="s">
        <v>10288</v>
      </c>
      <c r="L31" s="789" t="s">
        <v>10241</v>
      </c>
      <c r="M31" s="790" t="str">
        <f t="shared" si="3"/>
        <v>404</v>
      </c>
      <c r="N31" s="790" t="str">
        <f t="shared" si="4"/>
        <v>001</v>
      </c>
      <c r="O31" s="799" t="s">
        <v>10255</v>
      </c>
      <c r="P31" s="799" t="s">
        <v>10244</v>
      </c>
      <c r="R31" s="30"/>
    </row>
    <row r="32" spans="1:18">
      <c r="B32" s="5" t="str">
        <f>Page5_CHV_MCI!C9</f>
        <v>CORVETTE</v>
      </c>
      <c r="C32" s="1038" t="str">
        <f>OR_VEH!D8</f>
        <v>405-001</v>
      </c>
      <c r="D32" s="7">
        <f>Page5_CHV_MCI!F9</f>
        <v>0</v>
      </c>
      <c r="E32" s="7">
        <f>Page5_CHV_MCI!K9</f>
        <v>0</v>
      </c>
      <c r="F32" t="str">
        <f t="shared" si="2"/>
        <v>01-00-405-001-UNIT-CURR</v>
      </c>
      <c r="G32" t="s">
        <v>127</v>
      </c>
      <c r="H32" t="s">
        <v>10287</v>
      </c>
      <c r="I32" t="s">
        <v>10253</v>
      </c>
      <c r="K32" s="1073" t="s">
        <v>10288</v>
      </c>
      <c r="L32" s="789" t="s">
        <v>10241</v>
      </c>
      <c r="M32" s="790" t="str">
        <f t="shared" si="3"/>
        <v>405</v>
      </c>
      <c r="N32" s="790" t="str">
        <f t="shared" si="4"/>
        <v>001</v>
      </c>
      <c r="O32" s="799" t="s">
        <v>10255</v>
      </c>
      <c r="P32" s="799" t="s">
        <v>10244</v>
      </c>
      <c r="R32" s="30"/>
    </row>
    <row r="33" spans="2:18">
      <c r="B33" s="5" t="str">
        <f>Page5_CHV_MCI!C10</f>
        <v>CORVETTE E-RAY</v>
      </c>
      <c r="C33" s="1038" t="str">
        <f>OR_VEH!D9</f>
        <v>406-001</v>
      </c>
      <c r="D33" s="7">
        <f>Page5_CHV_MCI!F10</f>
        <v>0</v>
      </c>
      <c r="E33" s="7">
        <f>Page5_CHV_MCI!K10</f>
        <v>0</v>
      </c>
      <c r="F33" t="str">
        <f t="shared" si="2"/>
        <v>01-00-406-001-UNIT-CURR</v>
      </c>
      <c r="G33" t="s">
        <v>127</v>
      </c>
      <c r="H33" t="s">
        <v>10287</v>
      </c>
      <c r="I33" t="s">
        <v>10253</v>
      </c>
      <c r="K33" s="1073" t="s">
        <v>10288</v>
      </c>
      <c r="L33" s="789" t="s">
        <v>10241</v>
      </c>
      <c r="M33" s="790" t="str">
        <f t="shared" si="3"/>
        <v>406</v>
      </c>
      <c r="N33" s="790" t="str">
        <f t="shared" si="4"/>
        <v>001</v>
      </c>
      <c r="O33" s="799" t="s">
        <v>10255</v>
      </c>
      <c r="P33" s="799" t="s">
        <v>10244</v>
      </c>
      <c r="R33" s="30"/>
    </row>
    <row r="34" spans="2:18">
      <c r="B34" s="5" t="str">
        <f>Page5_CHV_MCI!C11</f>
        <v>NE PAS UTILISER</v>
      </c>
      <c r="C34" s="1038" t="str">
        <f>OR_VEH!D10</f>
        <v>407-001</v>
      </c>
      <c r="D34" s="7">
        <f>Page5_CHV_MCI!F11</f>
        <v>0</v>
      </c>
      <c r="E34" s="7">
        <f>Page5_CHV_MCI!K11</f>
        <v>0</v>
      </c>
      <c r="F34" t="str">
        <f t="shared" si="2"/>
        <v>01-00-407-001-UNIT-CURR</v>
      </c>
      <c r="G34" t="s">
        <v>127</v>
      </c>
      <c r="H34" t="s">
        <v>10287</v>
      </c>
      <c r="I34" t="s">
        <v>10253</v>
      </c>
      <c r="K34" s="1073" t="s">
        <v>10288</v>
      </c>
      <c r="L34" s="789" t="s">
        <v>10241</v>
      </c>
      <c r="M34" s="790" t="str">
        <f t="shared" si="3"/>
        <v>407</v>
      </c>
      <c r="N34" s="790" t="str">
        <f t="shared" si="4"/>
        <v>001</v>
      </c>
      <c r="O34" s="799" t="s">
        <v>10255</v>
      </c>
      <c r="P34" s="799" t="s">
        <v>10244</v>
      </c>
      <c r="R34" s="30"/>
    </row>
    <row r="35" spans="2:18">
      <c r="B35" s="5" t="str">
        <f>Page5_CHV_MCI!C12</f>
        <v>NE PAS UTILISER</v>
      </c>
      <c r="C35" s="1038" t="str">
        <f>OR_VEH!D11</f>
        <v>408-001</v>
      </c>
      <c r="D35" s="7">
        <f>Page5_CHV_MCI!F12</f>
        <v>0</v>
      </c>
      <c r="E35" s="7">
        <f>Page5_CHV_MCI!K12</f>
        <v>0</v>
      </c>
      <c r="F35" t="str">
        <f t="shared" si="2"/>
        <v>01-00-408-001-UNIT-CURR</v>
      </c>
      <c r="G35" t="s">
        <v>127</v>
      </c>
      <c r="H35" t="s">
        <v>10287</v>
      </c>
      <c r="I35" t="s">
        <v>10253</v>
      </c>
      <c r="K35" s="1073" t="s">
        <v>10288</v>
      </c>
      <c r="L35" s="789" t="s">
        <v>10241</v>
      </c>
      <c r="M35" s="790" t="str">
        <f t="shared" si="3"/>
        <v>408</v>
      </c>
      <c r="N35" s="790" t="str">
        <f t="shared" si="4"/>
        <v>001</v>
      </c>
      <c r="O35" s="799" t="s">
        <v>10255</v>
      </c>
      <c r="P35" s="799" t="s">
        <v>10244</v>
      </c>
      <c r="R35" s="30"/>
    </row>
    <row r="36" spans="2:18">
      <c r="B36" s="5" t="str">
        <f>Page5_CHV_MCI!C13</f>
        <v>NE PAS UTILISER</v>
      </c>
      <c r="C36" s="1038" t="str">
        <f>OR_VEH!D12</f>
        <v>409-001</v>
      </c>
      <c r="D36" s="7">
        <f>Page5_CHV_MCI!F13</f>
        <v>0</v>
      </c>
      <c r="E36" s="7">
        <f>Page5_CHV_MCI!K13</f>
        <v>0</v>
      </c>
      <c r="F36" t="str">
        <f t="shared" si="2"/>
        <v>01-00-409-001-UNIT-CURR</v>
      </c>
      <c r="G36" t="s">
        <v>127</v>
      </c>
      <c r="H36" t="s">
        <v>10287</v>
      </c>
      <c r="I36" t="s">
        <v>10253</v>
      </c>
      <c r="K36" s="1073" t="s">
        <v>10288</v>
      </c>
      <c r="L36" s="789" t="s">
        <v>10241</v>
      </c>
      <c r="M36" s="790" t="str">
        <f t="shared" si="3"/>
        <v>409</v>
      </c>
      <c r="N36" s="790" t="str">
        <f t="shared" si="4"/>
        <v>001</v>
      </c>
      <c r="O36" s="799" t="s">
        <v>10255</v>
      </c>
      <c r="P36" s="799" t="s">
        <v>10244</v>
      </c>
      <c r="R36" s="30"/>
    </row>
    <row r="37" spans="2:18">
      <c r="B37" s="5" t="str">
        <f>Page5_CHV_MCI!C14</f>
        <v>CAMARO</v>
      </c>
      <c r="C37" s="1038" t="str">
        <f>OR_VEH!D13</f>
        <v>410-001</v>
      </c>
      <c r="D37" s="7">
        <f>Page5_CHV_MCI!F14</f>
        <v>0</v>
      </c>
      <c r="E37" s="7">
        <f>Page5_CHV_MCI!K14</f>
        <v>0</v>
      </c>
      <c r="F37" t="str">
        <f t="shared" si="2"/>
        <v>01-00-410-001-UNIT-CURR</v>
      </c>
      <c r="G37" t="s">
        <v>127</v>
      </c>
      <c r="H37" t="s">
        <v>10287</v>
      </c>
      <c r="I37" t="s">
        <v>10253</v>
      </c>
      <c r="K37" s="1073" t="s">
        <v>10288</v>
      </c>
      <c r="L37" s="789" t="s">
        <v>10241</v>
      </c>
      <c r="M37" s="790" t="str">
        <f t="shared" si="3"/>
        <v>410</v>
      </c>
      <c r="N37" s="790" t="str">
        <f t="shared" si="4"/>
        <v>001</v>
      </c>
      <c r="O37" s="790" t="s">
        <v>10255</v>
      </c>
      <c r="P37" s="790" t="s">
        <v>10244</v>
      </c>
      <c r="R37" s="30"/>
    </row>
    <row r="38" spans="2:18">
      <c r="B38" s="5" t="str">
        <f>Page5_CHV_MCI!C15</f>
        <v>CRUZE</v>
      </c>
      <c r="C38" s="1038" t="str">
        <f>OR_VEH!D14</f>
        <v>411-001</v>
      </c>
      <c r="D38" s="7">
        <f>Page5_CHV_MCI!F15</f>
        <v>0</v>
      </c>
      <c r="E38" s="7">
        <f>Page5_CHV_MCI!K15</f>
        <v>0</v>
      </c>
      <c r="F38" t="str">
        <f t="shared" si="2"/>
        <v>01-00-411-001-UNIT-CURR</v>
      </c>
      <c r="G38" t="s">
        <v>127</v>
      </c>
      <c r="H38" t="s">
        <v>10287</v>
      </c>
      <c r="I38" t="s">
        <v>10253</v>
      </c>
      <c r="K38" s="1073" t="s">
        <v>10288</v>
      </c>
      <c r="L38" s="789" t="s">
        <v>10241</v>
      </c>
      <c r="M38" s="790" t="str">
        <f t="shared" si="3"/>
        <v>411</v>
      </c>
      <c r="N38" s="790" t="str">
        <f t="shared" si="4"/>
        <v>001</v>
      </c>
      <c r="O38" s="790" t="s">
        <v>10255</v>
      </c>
      <c r="P38" s="790" t="s">
        <v>10244</v>
      </c>
      <c r="R38" s="30"/>
    </row>
    <row r="39" spans="2:18">
      <c r="B39" s="5" t="str">
        <f>Page5_CHV_MCI!C16</f>
        <v>NE PAS UTILISER</v>
      </c>
      <c r="C39" s="1038" t="str">
        <f>OR_VEH!D15</f>
        <v>412-001</v>
      </c>
      <c r="D39" s="7">
        <f>Page5_CHV_MCI!F16</f>
        <v>0</v>
      </c>
      <c r="E39" s="7">
        <f>Page5_CHV_MCI!K16</f>
        <v>0</v>
      </c>
      <c r="F39" t="str">
        <f t="shared" si="2"/>
        <v>01-00-412-001-UNIT-CURR</v>
      </c>
      <c r="G39" t="s">
        <v>127</v>
      </c>
      <c r="H39" t="s">
        <v>10287</v>
      </c>
      <c r="I39" t="s">
        <v>10253</v>
      </c>
      <c r="K39" s="1073" t="s">
        <v>10288</v>
      </c>
      <c r="L39" s="789" t="s">
        <v>10241</v>
      </c>
      <c r="M39" s="790" t="str">
        <f t="shared" si="3"/>
        <v>412</v>
      </c>
      <c r="N39" s="790" t="str">
        <f t="shared" si="4"/>
        <v>001</v>
      </c>
      <c r="O39" s="790" t="s">
        <v>10255</v>
      </c>
      <c r="P39" s="790" t="s">
        <v>10244</v>
      </c>
      <c r="R39" s="30"/>
    </row>
    <row r="40" spans="2:18">
      <c r="B40" s="5" t="str">
        <f>Page5_CHV_MCI!C17</f>
        <v>NE PAS UTILISER</v>
      </c>
      <c r="C40" s="1038" t="str">
        <f>OR_VEH!D16</f>
        <v>413-001</v>
      </c>
      <c r="D40" s="7">
        <f>Page5_CHV_MCI!F17</f>
        <v>0</v>
      </c>
      <c r="E40" s="7">
        <f>Page5_CHV_MCI!K17</f>
        <v>0</v>
      </c>
      <c r="F40" t="str">
        <f t="shared" si="2"/>
        <v>01-00-413-001-UNIT-CURR</v>
      </c>
      <c r="G40" t="s">
        <v>127</v>
      </c>
      <c r="H40" t="s">
        <v>10287</v>
      </c>
      <c r="I40" t="s">
        <v>10253</v>
      </c>
      <c r="K40" s="1073" t="s">
        <v>10288</v>
      </c>
      <c r="L40" s="789" t="s">
        <v>10241</v>
      </c>
      <c r="M40" s="790" t="str">
        <f t="shared" si="3"/>
        <v>413</v>
      </c>
      <c r="N40" s="790" t="str">
        <f t="shared" si="4"/>
        <v>001</v>
      </c>
      <c r="O40" s="790" t="s">
        <v>10255</v>
      </c>
      <c r="P40" s="790" t="s">
        <v>10244</v>
      </c>
      <c r="R40" s="30"/>
    </row>
    <row r="41" spans="2:18">
      <c r="B41" s="5" t="str">
        <f>Page5_CHV_MCI!C18</f>
        <v>NE PAS UTILISER</v>
      </c>
      <c r="C41" s="1038" t="str">
        <f>OR_VEH!D17</f>
        <v>414-001</v>
      </c>
      <c r="D41" s="7">
        <f>Page5_CHV_MCI!F18</f>
        <v>0</v>
      </c>
      <c r="E41" s="7">
        <f>Page5_CHV_MCI!K18</f>
        <v>0</v>
      </c>
      <c r="F41" t="str">
        <f t="shared" si="2"/>
        <v>01-00-414-001-UNIT-CURR</v>
      </c>
      <c r="G41" t="s">
        <v>127</v>
      </c>
      <c r="H41" t="s">
        <v>10287</v>
      </c>
      <c r="I41" t="s">
        <v>10253</v>
      </c>
      <c r="K41" s="1073" t="s">
        <v>10288</v>
      </c>
      <c r="L41" s="789" t="s">
        <v>10241</v>
      </c>
      <c r="M41" s="790" t="str">
        <f t="shared" si="3"/>
        <v>414</v>
      </c>
      <c r="N41" s="790" t="str">
        <f t="shared" si="4"/>
        <v>001</v>
      </c>
      <c r="O41" s="790" t="s">
        <v>10255</v>
      </c>
      <c r="P41" s="790" t="s">
        <v>10244</v>
      </c>
      <c r="R41" s="30"/>
    </row>
    <row r="42" spans="2:18">
      <c r="B42" s="5" t="str">
        <f>Page5_CHV_MCI!C19</f>
        <v>NE PAS UTILISER</v>
      </c>
      <c r="C42" s="1038" t="str">
        <f>OR_VEH!D18</f>
        <v>415-001</v>
      </c>
      <c r="D42" s="7">
        <f>Page5_CHV_MCI!F19</f>
        <v>0</v>
      </c>
      <c r="E42" s="7">
        <f>Page5_CHV_MCI!K19</f>
        <v>0</v>
      </c>
      <c r="F42" t="str">
        <f t="shared" si="2"/>
        <v>01-00-415-001-UNIT-CURR</v>
      </c>
      <c r="G42" t="s">
        <v>127</v>
      </c>
      <c r="H42" t="s">
        <v>10287</v>
      </c>
      <c r="I42" t="s">
        <v>10253</v>
      </c>
      <c r="K42" s="1073" t="s">
        <v>10288</v>
      </c>
      <c r="L42" s="789" t="s">
        <v>10241</v>
      </c>
      <c r="M42" s="790" t="str">
        <f t="shared" si="3"/>
        <v>415</v>
      </c>
      <c r="N42" s="790" t="str">
        <f t="shared" si="4"/>
        <v>001</v>
      </c>
      <c r="O42" s="790" t="s">
        <v>10255</v>
      </c>
      <c r="P42" s="790" t="s">
        <v>10244</v>
      </c>
      <c r="R42" s="30"/>
    </row>
    <row r="43" spans="2:18">
      <c r="B43" s="5" t="str">
        <f>Page5_CHV_MCI!C20</f>
        <v>POUR USAGE FUTUR</v>
      </c>
      <c r="C43" s="1038" t="str">
        <f>OR_VEH!D19</f>
        <v>416-001</v>
      </c>
      <c r="D43" s="7">
        <f>Page5_CHV_MCI!F20</f>
        <v>0</v>
      </c>
      <c r="E43" s="7">
        <f>Page5_CHV_MCI!K20</f>
        <v>0</v>
      </c>
      <c r="F43" t="str">
        <f t="shared" si="2"/>
        <v>01-00-416-001-UNIT-CURR</v>
      </c>
      <c r="G43" t="s">
        <v>127</v>
      </c>
      <c r="H43" t="s">
        <v>10287</v>
      </c>
      <c r="I43" t="s">
        <v>10253</v>
      </c>
      <c r="K43" s="1073" t="s">
        <v>10288</v>
      </c>
      <c r="L43" s="789" t="s">
        <v>10241</v>
      </c>
      <c r="M43" s="790" t="str">
        <f t="shared" si="3"/>
        <v>416</v>
      </c>
      <c r="N43" s="790" t="str">
        <f t="shared" si="4"/>
        <v>001</v>
      </c>
      <c r="O43" s="790" t="s">
        <v>10255</v>
      </c>
      <c r="P43" s="790" t="s">
        <v>10244</v>
      </c>
      <c r="R43" s="30"/>
    </row>
    <row r="44" spans="2:18">
      <c r="B44" s="5" t="str">
        <f>Page5_CHV_MCI!C21</f>
        <v>NE PAS UTILISER</v>
      </c>
      <c r="C44" s="1038" t="str">
        <f>OR_VEH!D20</f>
        <v>417-001</v>
      </c>
      <c r="D44" s="7">
        <f>Page5_CHV_MCI!F21</f>
        <v>0</v>
      </c>
      <c r="E44" s="7">
        <f>Page5_CHV_MCI!K21</f>
        <v>0</v>
      </c>
      <c r="F44" t="str">
        <f t="shared" si="2"/>
        <v>01-00-417-001-UNIT-CURR</v>
      </c>
      <c r="G44" t="s">
        <v>127</v>
      </c>
      <c r="H44" t="s">
        <v>10287</v>
      </c>
      <c r="I44" t="s">
        <v>10253</v>
      </c>
      <c r="K44" s="1073" t="s">
        <v>10288</v>
      </c>
      <c r="L44" s="789" t="s">
        <v>10241</v>
      </c>
      <c r="M44" s="790" t="str">
        <f t="shared" si="3"/>
        <v>417</v>
      </c>
      <c r="N44" s="790" t="str">
        <f t="shared" si="4"/>
        <v>001</v>
      </c>
      <c r="O44" s="790" t="s">
        <v>10255</v>
      </c>
      <c r="P44" s="790" t="s">
        <v>10244</v>
      </c>
      <c r="R44" s="30"/>
    </row>
    <row r="45" spans="2:18">
      <c r="B45" s="5" t="str">
        <f>Page5_CHV_MCI!C22</f>
        <v>AUTRES CHEVROLET</v>
      </c>
      <c r="C45" s="1038" t="str">
        <f>OR_VEH!D21</f>
        <v>418-001</v>
      </c>
      <c r="D45" s="7">
        <f>Page5_CHV_MCI!F22</f>
        <v>0</v>
      </c>
      <c r="E45" s="7">
        <f>Page5_CHV_MCI!K22</f>
        <v>0</v>
      </c>
      <c r="F45" t="str">
        <f t="shared" si="2"/>
        <v>01-00-418-001-UNIT-CURR</v>
      </c>
      <c r="G45" t="s">
        <v>127</v>
      </c>
      <c r="H45" t="s">
        <v>10287</v>
      </c>
      <c r="I45" t="s">
        <v>10253</v>
      </c>
      <c r="K45" s="1073" t="s">
        <v>10288</v>
      </c>
      <c r="L45" s="789" t="s">
        <v>10241</v>
      </c>
      <c r="M45" s="790" t="str">
        <f t="shared" si="3"/>
        <v>418</v>
      </c>
      <c r="N45" s="790" t="str">
        <f t="shared" si="4"/>
        <v>001</v>
      </c>
      <c r="O45" s="799" t="s">
        <v>10255</v>
      </c>
      <c r="P45" s="799" t="s">
        <v>10244</v>
      </c>
      <c r="R45" s="30"/>
    </row>
    <row r="46" spans="2:18">
      <c r="B46" s="27" t="s">
        <v>10289</v>
      </c>
      <c r="C46" s="1042"/>
      <c r="D46" s="7">
        <f>Page5_CHV_MCI!F23</f>
        <v>0</v>
      </c>
      <c r="E46" s="7">
        <f>Page5_CHV_MCI!K23</f>
        <v>1</v>
      </c>
      <c r="F46" t="str">
        <f t="shared" si="2"/>
        <v>01-00-RTLCAR5A-UNIT-CURR</v>
      </c>
      <c r="G46" t="s">
        <v>127</v>
      </c>
      <c r="H46" t="s">
        <v>10287</v>
      </c>
      <c r="I46" t="s">
        <v>10253</v>
      </c>
      <c r="J46" t="s">
        <v>10268</v>
      </c>
      <c r="K46" s="1073" t="s">
        <v>10288</v>
      </c>
      <c r="L46" s="789" t="s">
        <v>10241</v>
      </c>
      <c r="M46" s="790" t="s">
        <v>10290</v>
      </c>
      <c r="O46" s="790" t="s">
        <v>10255</v>
      </c>
      <c r="P46" s="790" t="s">
        <v>10244</v>
      </c>
      <c r="Q46" s="791" t="s">
        <v>773</v>
      </c>
    </row>
    <row r="47" spans="2:18">
      <c r="B47" s="5" t="str">
        <f>Page5_CHV_MCI!C24</f>
        <v>MÉMO* VENTES INTERNET VOITURES</v>
      </c>
      <c r="C47" s="1038" t="str">
        <f>OR_VEH!D23</f>
        <v>419P5A</v>
      </c>
      <c r="D47" s="7">
        <f>Page5_CHV_MCI!F24</f>
        <v>0</v>
      </c>
      <c r="E47" s="7">
        <f>Page5_CHV_MCI!K24</f>
        <v>0</v>
      </c>
      <c r="F47" t="str">
        <f t="shared" si="2"/>
        <v>01-00-419P5A-UNIT-CURR</v>
      </c>
      <c r="G47" t="s">
        <v>127</v>
      </c>
      <c r="H47" t="s">
        <v>10287</v>
      </c>
      <c r="I47" t="s">
        <v>10253</v>
      </c>
      <c r="K47" s="1073" t="s">
        <v>10288</v>
      </c>
      <c r="L47" s="789" t="s">
        <v>10241</v>
      </c>
      <c r="M47" s="855" t="str">
        <f>C47</f>
        <v>419P5A</v>
      </c>
      <c r="N47" s="855"/>
      <c r="O47" s="790" t="s">
        <v>10255</v>
      </c>
      <c r="P47" s="790" t="s">
        <v>10244</v>
      </c>
      <c r="R47" s="30"/>
    </row>
    <row r="48" spans="2:18">
      <c r="B48" s="5" t="str">
        <f>Page5_CHV_MCI!C25</f>
        <v>TOTAL PARCS - VOITURES</v>
      </c>
      <c r="C48" s="1038" t="str">
        <f>OR_VEH!D24</f>
        <v>420P5A</v>
      </c>
      <c r="D48" s="7">
        <f>Page5_CHV_MCI!F25</f>
        <v>0</v>
      </c>
      <c r="E48" s="7">
        <f>Page5_CHV_MCI!K25</f>
        <v>0</v>
      </c>
      <c r="F48" t="str">
        <f t="shared" si="2"/>
        <v>01-00-420P5A-UNIT-CURR</v>
      </c>
      <c r="G48" t="s">
        <v>127</v>
      </c>
      <c r="H48" t="s">
        <v>10287</v>
      </c>
      <c r="I48" t="s">
        <v>10253</v>
      </c>
      <c r="K48" s="1073" t="s">
        <v>10288</v>
      </c>
      <c r="L48" s="789" t="s">
        <v>10241</v>
      </c>
      <c r="M48" s="855" t="str">
        <f>C48</f>
        <v>420P5A</v>
      </c>
      <c r="N48" s="855"/>
      <c r="O48" s="799" t="s">
        <v>10255</v>
      </c>
      <c r="P48" s="799" t="s">
        <v>10244</v>
      </c>
      <c r="R48" s="30"/>
    </row>
    <row r="49" spans="2:18">
      <c r="B49" s="5" t="str">
        <f>Page5_CHV_MCI!C26</f>
        <v>TOTAL INTERNE - VOITURES</v>
      </c>
      <c r="C49" s="1038" t="str">
        <f>OR_VEH!D25</f>
        <v>421P5A</v>
      </c>
      <c r="D49" s="7">
        <f>Page5_CHV_MCI!F26</f>
        <v>0</v>
      </c>
      <c r="E49" s="7">
        <f>Page5_CHV_MCI!K26</f>
        <v>0</v>
      </c>
      <c r="F49" t="str">
        <f t="shared" si="2"/>
        <v>01-00-421P5A-UNIT-CURR</v>
      </c>
      <c r="G49" t="s">
        <v>127</v>
      </c>
      <c r="H49" t="s">
        <v>10287</v>
      </c>
      <c r="I49" t="s">
        <v>10253</v>
      </c>
      <c r="K49" s="1073" t="s">
        <v>10288</v>
      </c>
      <c r="L49" s="789" t="s">
        <v>10241</v>
      </c>
      <c r="M49" s="855" t="str">
        <f>C49</f>
        <v>421P5A</v>
      </c>
      <c r="N49" s="855"/>
      <c r="O49" s="799" t="s">
        <v>10255</v>
      </c>
      <c r="P49" s="799" t="s">
        <v>10244</v>
      </c>
      <c r="R49" s="30"/>
    </row>
    <row r="50" spans="2:18">
      <c r="B50" s="27" t="s">
        <v>10291</v>
      </c>
      <c r="C50" s="1042"/>
      <c r="D50" s="7">
        <f>Page5_CHV_MCI!F27</f>
        <v>0</v>
      </c>
      <c r="E50" s="7">
        <f>Page5_CHV_MCI!K27</f>
        <v>1</v>
      </c>
      <c r="F50" t="str">
        <f t="shared" si="2"/>
        <v>01-00-TOTCAR5A-UNIT-CURR</v>
      </c>
      <c r="G50" t="s">
        <v>127</v>
      </c>
      <c r="H50" t="s">
        <v>10287</v>
      </c>
      <c r="I50" t="s">
        <v>10253</v>
      </c>
      <c r="J50" t="s">
        <v>10268</v>
      </c>
      <c r="K50" s="1073" t="s">
        <v>10288</v>
      </c>
      <c r="L50" s="789" t="s">
        <v>10241</v>
      </c>
      <c r="M50" s="790" t="s">
        <v>10292</v>
      </c>
      <c r="O50" s="790" t="s">
        <v>10255</v>
      </c>
      <c r="P50" s="790" t="s">
        <v>10244</v>
      </c>
      <c r="Q50" s="791" t="s">
        <v>773</v>
      </c>
    </row>
    <row r="51" spans="2:18">
      <c r="B51" s="5" t="str">
        <f>Page5_CHV_MCI!C28</f>
        <v>NE PAS UTILISER</v>
      </c>
      <c r="C51" s="1038" t="str">
        <f>OR_VEH!D27</f>
        <v>423-001</v>
      </c>
      <c r="D51" s="7">
        <f>Page5_CHV_MCI!F28</f>
        <v>0</v>
      </c>
      <c r="E51" s="7">
        <f>Page5_CHV_MCI!K28</f>
        <v>0</v>
      </c>
      <c r="F51" t="str">
        <f t="shared" si="2"/>
        <v>01-00-423-001-UNIT-CURR</v>
      </c>
      <c r="G51" t="s">
        <v>127</v>
      </c>
      <c r="H51" t="s">
        <v>10287</v>
      </c>
      <c r="I51" t="s">
        <v>10253</v>
      </c>
      <c r="K51" s="1073" t="s">
        <v>10288</v>
      </c>
      <c r="L51" s="789" t="s">
        <v>10241</v>
      </c>
      <c r="M51" s="790" t="str">
        <f t="shared" ref="M51:M66" si="5">LEFT(C51,3)</f>
        <v>423</v>
      </c>
      <c r="N51" s="790" t="str">
        <f t="shared" ref="N51:N66" si="6">RIGHT(C51,3)</f>
        <v>001</v>
      </c>
      <c r="O51" s="799" t="s">
        <v>10255</v>
      </c>
      <c r="P51" s="799" t="s">
        <v>10244</v>
      </c>
      <c r="R51" s="30"/>
    </row>
    <row r="52" spans="2:18">
      <c r="B52" s="5" t="str">
        <f>Page5_CHV_MCI!C29</f>
        <v>NE PAS UTILISER</v>
      </c>
      <c r="C52" s="1038" t="str">
        <f>OR_VEH!D28</f>
        <v>424-001</v>
      </c>
      <c r="D52" s="7">
        <f>Page5_CHV_MCI!F29</f>
        <v>0</v>
      </c>
      <c r="E52" s="7">
        <f>Page5_CHV_MCI!K29</f>
        <v>0</v>
      </c>
      <c r="F52" t="str">
        <f t="shared" si="2"/>
        <v>01-00-424-001-UNIT-CURR</v>
      </c>
      <c r="G52" t="s">
        <v>127</v>
      </c>
      <c r="H52" t="s">
        <v>10287</v>
      </c>
      <c r="I52" t="s">
        <v>10253</v>
      </c>
      <c r="K52" s="1073" t="s">
        <v>10288</v>
      </c>
      <c r="L52" s="789" t="s">
        <v>10241</v>
      </c>
      <c r="M52" s="790" t="str">
        <f t="shared" si="5"/>
        <v>424</v>
      </c>
      <c r="N52" s="790" t="str">
        <f t="shared" si="6"/>
        <v>001</v>
      </c>
      <c r="O52" s="799" t="s">
        <v>10255</v>
      </c>
      <c r="P52" s="799" t="s">
        <v>10244</v>
      </c>
      <c r="R52" s="30"/>
    </row>
    <row r="53" spans="2:18">
      <c r="B53" s="5" t="str">
        <f>Page5_CHV_MCI!C30</f>
        <v>EXPRESS</v>
      </c>
      <c r="C53" s="1038" t="str">
        <f>OR_VEH!D29</f>
        <v>425-001</v>
      </c>
      <c r="D53" s="7">
        <f>Page5_CHV_MCI!F30</f>
        <v>1</v>
      </c>
      <c r="E53" s="7">
        <f>Page5_CHV_MCI!K30</f>
        <v>1</v>
      </c>
      <c r="F53" t="str">
        <f t="shared" si="2"/>
        <v>01-00-425-001-UNIT-CURR</v>
      </c>
      <c r="G53" t="s">
        <v>127</v>
      </c>
      <c r="H53" t="s">
        <v>10287</v>
      </c>
      <c r="I53" t="s">
        <v>10253</v>
      </c>
      <c r="K53" s="1073" t="s">
        <v>10288</v>
      </c>
      <c r="L53" s="789" t="s">
        <v>10241</v>
      </c>
      <c r="M53" s="790" t="str">
        <f t="shared" si="5"/>
        <v>425</v>
      </c>
      <c r="N53" s="790" t="str">
        <f t="shared" si="6"/>
        <v>001</v>
      </c>
      <c r="O53" s="799" t="s">
        <v>10255</v>
      </c>
      <c r="P53" s="799" t="s">
        <v>10244</v>
      </c>
      <c r="R53" s="30"/>
    </row>
    <row r="54" spans="2:18">
      <c r="B54" s="5" t="str">
        <f>Page5_CHV_MCI!C31</f>
        <v>COLORADO</v>
      </c>
      <c r="C54" s="1038" t="str">
        <f>OR_VEH!D30</f>
        <v>426-001</v>
      </c>
      <c r="D54" s="7">
        <f>Page5_CHV_MCI!F31</f>
        <v>1</v>
      </c>
      <c r="E54" s="7">
        <f>Page5_CHV_MCI!K31</f>
        <v>1</v>
      </c>
      <c r="F54" t="str">
        <f t="shared" si="2"/>
        <v>01-00-426-001-UNIT-CURR</v>
      </c>
      <c r="G54" t="s">
        <v>127</v>
      </c>
      <c r="H54" t="s">
        <v>10287</v>
      </c>
      <c r="I54" t="s">
        <v>10253</v>
      </c>
      <c r="K54" s="1073" t="s">
        <v>10288</v>
      </c>
      <c r="L54" s="789" t="s">
        <v>10241</v>
      </c>
      <c r="M54" s="790" t="str">
        <f t="shared" si="5"/>
        <v>426</v>
      </c>
      <c r="N54" s="790" t="str">
        <f t="shared" si="6"/>
        <v>001</v>
      </c>
      <c r="O54" s="799" t="s">
        <v>10255</v>
      </c>
      <c r="P54" s="799" t="s">
        <v>10244</v>
      </c>
      <c r="R54" s="30"/>
    </row>
    <row r="55" spans="2:18">
      <c r="B55" s="5" t="str">
        <f>Page5_CHV_MCI!C32</f>
        <v>TRAVERSE</v>
      </c>
      <c r="C55" s="1038" t="str">
        <f>OR_VEH!D31</f>
        <v>427-001</v>
      </c>
      <c r="D55" s="7">
        <f>Page5_CHV_MCI!F32</f>
        <v>0</v>
      </c>
      <c r="E55" s="7">
        <f>Page5_CHV_MCI!K32</f>
        <v>2</v>
      </c>
      <c r="F55" t="str">
        <f t="shared" si="2"/>
        <v>01-00-427-001-UNIT-CURR</v>
      </c>
      <c r="G55" t="s">
        <v>127</v>
      </c>
      <c r="H55" t="s">
        <v>10287</v>
      </c>
      <c r="I55" t="s">
        <v>10253</v>
      </c>
      <c r="K55" s="1073" t="s">
        <v>10288</v>
      </c>
      <c r="L55" s="789" t="s">
        <v>10241</v>
      </c>
      <c r="M55" s="790" t="str">
        <f t="shared" si="5"/>
        <v>427</v>
      </c>
      <c r="N55" s="790" t="str">
        <f t="shared" si="6"/>
        <v>001</v>
      </c>
      <c r="O55" s="799" t="s">
        <v>10255</v>
      </c>
      <c r="P55" s="799" t="s">
        <v>10244</v>
      </c>
      <c r="R55" s="30"/>
    </row>
    <row r="56" spans="2:18">
      <c r="B56" s="5" t="str">
        <f>Page5_CHV_MCI!C33</f>
        <v>TRAX</v>
      </c>
      <c r="C56" s="1038" t="str">
        <f>OR_VEH!D32</f>
        <v>428-001</v>
      </c>
      <c r="D56" s="7">
        <f>Page5_CHV_MCI!F33</f>
        <v>5</v>
      </c>
      <c r="E56" s="7">
        <f>Page5_CHV_MCI!K33</f>
        <v>10</v>
      </c>
      <c r="F56" t="str">
        <f t="shared" si="2"/>
        <v>01-00-428-001-UNIT-CURR</v>
      </c>
      <c r="G56" t="s">
        <v>127</v>
      </c>
      <c r="H56" t="s">
        <v>10287</v>
      </c>
      <c r="I56" t="s">
        <v>10253</v>
      </c>
      <c r="K56" s="1073" t="s">
        <v>10288</v>
      </c>
      <c r="L56" s="789" t="s">
        <v>10241</v>
      </c>
      <c r="M56" s="790" t="str">
        <f t="shared" si="5"/>
        <v>428</v>
      </c>
      <c r="N56" s="790" t="str">
        <f t="shared" si="6"/>
        <v>001</v>
      </c>
      <c r="O56" s="799" t="s">
        <v>10255</v>
      </c>
      <c r="P56" s="799" t="s">
        <v>10244</v>
      </c>
      <c r="R56" s="30"/>
    </row>
    <row r="57" spans="2:18">
      <c r="B57" s="5" t="str">
        <f>Page5_CHV_MCI!C34</f>
        <v>TAHOE/SUBURBAN</v>
      </c>
      <c r="C57" s="1038" t="str">
        <f>OR_VEH!D33</f>
        <v>429-001</v>
      </c>
      <c r="D57" s="7">
        <f>Page5_CHV_MCI!F34</f>
        <v>1</v>
      </c>
      <c r="E57" s="7">
        <f>Page5_CHV_MCI!K34</f>
        <v>4</v>
      </c>
      <c r="F57" t="str">
        <f t="shared" si="2"/>
        <v>01-00-429-001-UNIT-CURR</v>
      </c>
      <c r="G57" t="s">
        <v>127</v>
      </c>
      <c r="H57" t="s">
        <v>10287</v>
      </c>
      <c r="I57" t="s">
        <v>10253</v>
      </c>
      <c r="K57" s="1073" t="s">
        <v>10288</v>
      </c>
      <c r="L57" s="789" t="s">
        <v>10241</v>
      </c>
      <c r="M57" s="790" t="str">
        <f t="shared" si="5"/>
        <v>429</v>
      </c>
      <c r="N57" s="790" t="str">
        <f t="shared" si="6"/>
        <v>001</v>
      </c>
      <c r="O57" s="799" t="s">
        <v>10255</v>
      </c>
      <c r="P57" s="799" t="s">
        <v>10244</v>
      </c>
      <c r="R57" s="30"/>
    </row>
    <row r="58" spans="2:18">
      <c r="B58" s="5" t="str">
        <f>Page5_CHV_MCI!C35</f>
        <v>CL 1500 SILVERADO</v>
      </c>
      <c r="C58" s="1038" t="str">
        <f>OR_VEH!D34</f>
        <v>430-001</v>
      </c>
      <c r="D58" s="7">
        <f>Page5_CHV_MCI!F35</f>
        <v>9</v>
      </c>
      <c r="E58" s="7">
        <f>Page5_CHV_MCI!K35</f>
        <v>24</v>
      </c>
      <c r="F58" t="str">
        <f t="shared" si="2"/>
        <v>01-00-430-001-UNIT-CURR</v>
      </c>
      <c r="G58" t="s">
        <v>127</v>
      </c>
      <c r="H58" t="s">
        <v>10287</v>
      </c>
      <c r="I58" t="s">
        <v>10253</v>
      </c>
      <c r="K58" s="1073" t="s">
        <v>10288</v>
      </c>
      <c r="L58" s="789" t="s">
        <v>10241</v>
      </c>
      <c r="M58" s="790" t="str">
        <f t="shared" si="5"/>
        <v>430</v>
      </c>
      <c r="N58" s="790" t="str">
        <f t="shared" si="6"/>
        <v>001</v>
      </c>
      <c r="O58" s="799" t="s">
        <v>10255</v>
      </c>
      <c r="P58" s="799" t="s">
        <v>10244</v>
      </c>
      <c r="R58" s="30"/>
    </row>
    <row r="59" spans="2:18">
      <c r="B59" s="5" t="str">
        <f>Page5_CHV_MCI!C36</f>
        <v>CL 2500 SILVERADO</v>
      </c>
      <c r="C59" s="1038" t="str">
        <f>OR_VEH!D35</f>
        <v>431-001</v>
      </c>
      <c r="D59" s="7">
        <f>Page5_CHV_MCI!F36</f>
        <v>0</v>
      </c>
      <c r="E59" s="7">
        <f>Page5_CHV_MCI!K36</f>
        <v>2</v>
      </c>
      <c r="F59" t="str">
        <f t="shared" si="2"/>
        <v>01-00-431-001-UNIT-CURR</v>
      </c>
      <c r="G59" t="s">
        <v>127</v>
      </c>
      <c r="H59" t="s">
        <v>10287</v>
      </c>
      <c r="I59" t="s">
        <v>10253</v>
      </c>
      <c r="K59" s="1073" t="s">
        <v>10288</v>
      </c>
      <c r="L59" s="789" t="s">
        <v>10241</v>
      </c>
      <c r="M59" s="790" t="str">
        <f t="shared" si="5"/>
        <v>431</v>
      </c>
      <c r="N59" s="790" t="str">
        <f t="shared" si="6"/>
        <v>001</v>
      </c>
      <c r="O59" s="799" t="s">
        <v>10255</v>
      </c>
      <c r="P59" s="799" t="s">
        <v>10244</v>
      </c>
      <c r="R59" s="30"/>
    </row>
    <row r="60" spans="2:18">
      <c r="B60" s="5" t="str">
        <f>Page5_CHV_MCI!C37</f>
        <v>CL 3500 SILVERADO</v>
      </c>
      <c r="C60" s="1038" t="str">
        <f>OR_VEH!D36</f>
        <v>432-001</v>
      </c>
      <c r="D60" s="7">
        <f>Page5_CHV_MCI!F37</f>
        <v>0</v>
      </c>
      <c r="E60" s="7">
        <f>Page5_CHV_MCI!K37</f>
        <v>0</v>
      </c>
      <c r="F60" t="str">
        <f t="shared" si="2"/>
        <v>01-00-432-001-UNIT-CURR</v>
      </c>
      <c r="G60" t="s">
        <v>127</v>
      </c>
      <c r="H60" t="s">
        <v>10287</v>
      </c>
      <c r="I60" t="s">
        <v>10253</v>
      </c>
      <c r="K60" s="1073" t="s">
        <v>10288</v>
      </c>
      <c r="L60" s="789" t="s">
        <v>10241</v>
      </c>
      <c r="M60" s="790" t="str">
        <f t="shared" si="5"/>
        <v>432</v>
      </c>
      <c r="N60" s="790" t="str">
        <f t="shared" si="6"/>
        <v>001</v>
      </c>
      <c r="O60" s="799" t="s">
        <v>10255</v>
      </c>
      <c r="P60" s="799" t="s">
        <v>10244</v>
      </c>
      <c r="R60" s="30"/>
    </row>
    <row r="61" spans="2:18">
      <c r="B61" s="5" t="str">
        <f>Page5_CHV_MCI!C38</f>
        <v>BLAZER</v>
      </c>
      <c r="C61" s="1038" t="str">
        <f>OR_VEH!D37</f>
        <v>433-001</v>
      </c>
      <c r="D61" s="7">
        <f>Page5_CHV_MCI!F38</f>
        <v>0</v>
      </c>
      <c r="E61" s="7">
        <f>Page5_CHV_MCI!K38</f>
        <v>3</v>
      </c>
      <c r="F61" t="str">
        <f t="shared" si="2"/>
        <v>01-00-433-001-UNIT-CURR</v>
      </c>
      <c r="G61" t="s">
        <v>127</v>
      </c>
      <c r="H61" t="s">
        <v>10287</v>
      </c>
      <c r="I61" t="s">
        <v>10253</v>
      </c>
      <c r="K61" s="1073" t="s">
        <v>10288</v>
      </c>
      <c r="L61" s="789" t="s">
        <v>10241</v>
      </c>
      <c r="M61" s="790" t="str">
        <f t="shared" si="5"/>
        <v>433</v>
      </c>
      <c r="N61" s="790" t="str">
        <f t="shared" si="6"/>
        <v>001</v>
      </c>
      <c r="O61" s="799" t="s">
        <v>10255</v>
      </c>
      <c r="P61" s="799" t="s">
        <v>10244</v>
      </c>
      <c r="R61" s="30"/>
    </row>
    <row r="62" spans="2:18">
      <c r="B62" s="5" t="str">
        <f>Page5_CHV_MCI!C39</f>
        <v>EQUINOX</v>
      </c>
      <c r="C62" s="1038" t="str">
        <f>OR_VEH!D38</f>
        <v>434-001</v>
      </c>
      <c r="D62" s="7">
        <f>Page5_CHV_MCI!F39</f>
        <v>0</v>
      </c>
      <c r="E62" s="7">
        <f>Page5_CHV_MCI!K39</f>
        <v>0</v>
      </c>
      <c r="F62" t="str">
        <f t="shared" si="2"/>
        <v>01-00-434-001-UNIT-CURR</v>
      </c>
      <c r="G62" t="s">
        <v>127</v>
      </c>
      <c r="H62" t="s">
        <v>10287</v>
      </c>
      <c r="I62" t="s">
        <v>10253</v>
      </c>
      <c r="K62" s="1073" t="s">
        <v>10288</v>
      </c>
      <c r="L62" s="789" t="s">
        <v>10241</v>
      </c>
      <c r="M62" s="790" t="str">
        <f t="shared" si="5"/>
        <v>434</v>
      </c>
      <c r="N62" s="790" t="str">
        <f t="shared" si="6"/>
        <v>001</v>
      </c>
      <c r="O62" s="799" t="s">
        <v>10255</v>
      </c>
      <c r="P62" s="799" t="s">
        <v>10244</v>
      </c>
      <c r="R62" s="30"/>
    </row>
    <row r="63" spans="2:18">
      <c r="B63" s="5" t="str">
        <f>Page5_CHV_MCI!C40</f>
        <v>CITY EXPRESS</v>
      </c>
      <c r="C63" s="1038" t="str">
        <f>OR_VEH!D39</f>
        <v>435-001</v>
      </c>
      <c r="D63" s="7">
        <f>Page5_CHV_MCI!F40</f>
        <v>0</v>
      </c>
      <c r="E63" s="7">
        <f>Page5_CHV_MCI!K40</f>
        <v>0</v>
      </c>
      <c r="F63" t="str">
        <f t="shared" si="2"/>
        <v>01-00-435-001-UNIT-CURR</v>
      </c>
      <c r="G63" t="s">
        <v>127</v>
      </c>
      <c r="H63" t="s">
        <v>10287</v>
      </c>
      <c r="I63" t="s">
        <v>10253</v>
      </c>
      <c r="K63" s="1073" t="s">
        <v>10288</v>
      </c>
      <c r="L63" s="789" t="s">
        <v>10241</v>
      </c>
      <c r="M63" s="790" t="str">
        <f t="shared" si="5"/>
        <v>435</v>
      </c>
      <c r="N63" s="790" t="str">
        <f t="shared" si="6"/>
        <v>001</v>
      </c>
      <c r="O63" s="799" t="s">
        <v>10255</v>
      </c>
      <c r="P63" s="799" t="s">
        <v>10244</v>
      </c>
      <c r="R63" s="30"/>
    </row>
    <row r="64" spans="2:18">
      <c r="B64" s="5" t="str">
        <f>Page5_CHV_MCI!C41</f>
        <v>TRAILBLAZER</v>
      </c>
      <c r="C64" s="1038" t="str">
        <f>OR_VEH!D40</f>
        <v>436-001</v>
      </c>
      <c r="D64" s="7">
        <f>Page5_CHV_MCI!F41</f>
        <v>1</v>
      </c>
      <c r="E64" s="7">
        <f>Page5_CHV_MCI!K41</f>
        <v>1</v>
      </c>
      <c r="F64" t="str">
        <f t="shared" si="2"/>
        <v>01-00-436-001-UNIT-CURR</v>
      </c>
      <c r="G64" t="s">
        <v>127</v>
      </c>
      <c r="H64" t="s">
        <v>10287</v>
      </c>
      <c r="I64" t="s">
        <v>10253</v>
      </c>
      <c r="K64" s="1073" t="s">
        <v>10288</v>
      </c>
      <c r="L64" s="789" t="s">
        <v>10241</v>
      </c>
      <c r="M64" s="790" t="str">
        <f t="shared" si="5"/>
        <v>436</v>
      </c>
      <c r="N64" s="790" t="str">
        <f t="shared" si="6"/>
        <v>001</v>
      </c>
      <c r="O64" s="790" t="s">
        <v>10255</v>
      </c>
      <c r="P64" s="790" t="s">
        <v>10244</v>
      </c>
      <c r="R64" s="30"/>
    </row>
    <row r="65" spans="1:18">
      <c r="B65" s="5" t="str">
        <f>Page5_CHV_MCI!C42</f>
        <v>POUR USAGE FUTUR</v>
      </c>
      <c r="C65" s="1038" t="str">
        <f>OR_VEH!D41</f>
        <v>437-001</v>
      </c>
      <c r="D65" s="7">
        <f>Page5_CHV_MCI!F42</f>
        <v>0</v>
      </c>
      <c r="E65" s="7">
        <f>Page5_CHV_MCI!K42</f>
        <v>0</v>
      </c>
      <c r="F65" t="str">
        <f t="shared" si="2"/>
        <v>01-00-437-001-UNIT-CURR</v>
      </c>
      <c r="G65" t="s">
        <v>127</v>
      </c>
      <c r="H65" t="s">
        <v>10287</v>
      </c>
      <c r="I65" t="s">
        <v>10253</v>
      </c>
      <c r="K65" s="1073" t="s">
        <v>10288</v>
      </c>
      <c r="L65" s="789" t="s">
        <v>10241</v>
      </c>
      <c r="M65" s="790" t="str">
        <f t="shared" si="5"/>
        <v>437</v>
      </c>
      <c r="N65" s="790" t="str">
        <f t="shared" si="6"/>
        <v>001</v>
      </c>
      <c r="O65" s="790" t="s">
        <v>10255</v>
      </c>
      <c r="P65" s="790" t="s">
        <v>10244</v>
      </c>
      <c r="R65" s="30"/>
    </row>
    <row r="66" spans="1:18">
      <c r="B66" s="5" t="str">
        <f>Page5_CHV_MCI!C43</f>
        <v>AUTRES CHEVROLET</v>
      </c>
      <c r="C66" s="1038" t="str">
        <f>OR_VEH!D42</f>
        <v>438-001</v>
      </c>
      <c r="D66" s="7">
        <f>Page5_CHV_MCI!F43</f>
        <v>0</v>
      </c>
      <c r="E66" s="7">
        <f>Page5_CHV_MCI!K43</f>
        <v>0</v>
      </c>
      <c r="F66" t="str">
        <f t="shared" si="2"/>
        <v>01-00-438-001-UNIT-CURR</v>
      </c>
      <c r="G66" t="s">
        <v>127</v>
      </c>
      <c r="H66" t="s">
        <v>10287</v>
      </c>
      <c r="I66" t="s">
        <v>10253</v>
      </c>
      <c r="K66" s="1073" t="s">
        <v>10288</v>
      </c>
      <c r="L66" s="789" t="s">
        <v>10241</v>
      </c>
      <c r="M66" s="790" t="str">
        <f t="shared" si="5"/>
        <v>438</v>
      </c>
      <c r="N66" s="790" t="str">
        <f t="shared" si="6"/>
        <v>001</v>
      </c>
      <c r="O66" s="790" t="s">
        <v>10255</v>
      </c>
      <c r="P66" s="790" t="s">
        <v>10244</v>
      </c>
      <c r="R66" s="30"/>
    </row>
    <row r="67" spans="1:18">
      <c r="B67" s="51" t="s">
        <v>10293</v>
      </c>
      <c r="C67" s="1042"/>
      <c r="D67" s="7">
        <f>Page5_CHV_MCI!F44</f>
        <v>18</v>
      </c>
      <c r="E67" s="7">
        <f>Page5_CHV_MCI!K44</f>
        <v>48</v>
      </c>
      <c r="F67" t="str">
        <f t="shared" si="2"/>
        <v>01-00-RTLTRK5A-UNIT-CURR</v>
      </c>
      <c r="G67" t="s">
        <v>127</v>
      </c>
      <c r="H67" t="s">
        <v>10287</v>
      </c>
      <c r="I67" t="s">
        <v>10253</v>
      </c>
      <c r="J67" t="s">
        <v>10268</v>
      </c>
      <c r="K67" s="1073" t="s">
        <v>10288</v>
      </c>
      <c r="L67" s="789" t="s">
        <v>10241</v>
      </c>
      <c r="M67" s="790" t="s">
        <v>10294</v>
      </c>
      <c r="O67" s="790" t="s">
        <v>10255</v>
      </c>
      <c r="P67" s="790" t="s">
        <v>10244</v>
      </c>
      <c r="Q67" s="791" t="s">
        <v>773</v>
      </c>
    </row>
    <row r="68" spans="1:18">
      <c r="B68" s="5" t="str">
        <f>Page5_CHV_MCI!C45</f>
        <v>MÉMO* VENTES INTERNET CAMIONS</v>
      </c>
      <c r="C68" s="1038" t="str">
        <f>OR_VEH!D44</f>
        <v>439P5A</v>
      </c>
      <c r="D68" s="7">
        <f>Page5_CHV_MCI!F45</f>
        <v>0</v>
      </c>
      <c r="E68" s="7">
        <f>Page5_CHV_MCI!K45</f>
        <v>0</v>
      </c>
      <c r="F68" t="str">
        <f t="shared" si="2"/>
        <v>01-00-439P5A-UNIT-CURR</v>
      </c>
      <c r="G68" t="s">
        <v>127</v>
      </c>
      <c r="H68" t="s">
        <v>10287</v>
      </c>
      <c r="I68" t="s">
        <v>10253</v>
      </c>
      <c r="K68" s="1073" t="s">
        <v>10288</v>
      </c>
      <c r="L68" s="789" t="s">
        <v>10241</v>
      </c>
      <c r="M68" s="855" t="str">
        <f>C68</f>
        <v>439P5A</v>
      </c>
      <c r="N68" s="855"/>
      <c r="O68" s="790" t="s">
        <v>10255</v>
      </c>
      <c r="P68" s="790" t="s">
        <v>10244</v>
      </c>
      <c r="R68" s="30"/>
    </row>
    <row r="69" spans="1:18">
      <c r="B69" s="5" t="str">
        <f>Page5_CHV_MCI!C46</f>
        <v>TOTAL PARCS - CAMIONS</v>
      </c>
      <c r="C69" s="1038" t="str">
        <f>OR_VEH!D45</f>
        <v>440P5A</v>
      </c>
      <c r="D69" s="7">
        <f>Page5_CHV_MCI!F46</f>
        <v>10</v>
      </c>
      <c r="E69" s="7">
        <f>Page5_CHV_MCI!K46</f>
        <v>34</v>
      </c>
      <c r="F69" t="str">
        <f t="shared" si="2"/>
        <v>01-00-440P5A-UNIT-CURR</v>
      </c>
      <c r="G69" t="s">
        <v>127</v>
      </c>
      <c r="H69" t="s">
        <v>10287</v>
      </c>
      <c r="I69" t="s">
        <v>10253</v>
      </c>
      <c r="K69" s="1073" t="s">
        <v>10288</v>
      </c>
      <c r="L69" s="789" t="s">
        <v>10241</v>
      </c>
      <c r="M69" s="855" t="str">
        <f>C69</f>
        <v>440P5A</v>
      </c>
      <c r="N69" s="855"/>
      <c r="O69" s="799" t="s">
        <v>10255</v>
      </c>
      <c r="P69" s="799" t="s">
        <v>10244</v>
      </c>
      <c r="R69" s="30"/>
    </row>
    <row r="70" spans="1:18">
      <c r="B70" s="5" t="str">
        <f>Page5_CHV_MCI!C47</f>
        <v xml:space="preserve">TOTAL IINTERNE - CAMIONS </v>
      </c>
      <c r="C70" s="1038" t="str">
        <f>OR_VEH!D46</f>
        <v>441P5A</v>
      </c>
      <c r="D70" s="7">
        <f>Page5_CHV_MCI!F47</f>
        <v>0</v>
      </c>
      <c r="E70" s="7">
        <f>Page5_CHV_MCI!K47</f>
        <v>0</v>
      </c>
      <c r="F70" t="str">
        <f t="shared" si="2"/>
        <v>01-00-441P5A-UNIT-CURR</v>
      </c>
      <c r="G70" t="s">
        <v>127</v>
      </c>
      <c r="H70" t="s">
        <v>10287</v>
      </c>
      <c r="I70" t="s">
        <v>10253</v>
      </c>
      <c r="K70" s="1073" t="s">
        <v>10288</v>
      </c>
      <c r="L70" s="789" t="s">
        <v>10241</v>
      </c>
      <c r="M70" s="855" t="str">
        <f>C70</f>
        <v>441P5A</v>
      </c>
      <c r="N70" s="855"/>
      <c r="O70" s="799" t="s">
        <v>10255</v>
      </c>
      <c r="P70" s="799" t="s">
        <v>10244</v>
      </c>
      <c r="R70" s="30"/>
    </row>
    <row r="71" spans="1:18">
      <c r="B71" s="27" t="s">
        <v>10295</v>
      </c>
      <c r="C71" s="1042"/>
      <c r="D71" s="7">
        <f>Page5_CHV_MCI!F48</f>
        <v>28</v>
      </c>
      <c r="E71" s="7">
        <f>Page5_CHV_MCI!K48</f>
        <v>82</v>
      </c>
      <c r="F71" t="str">
        <f t="shared" si="2"/>
        <v>01-00-TOTTRK5A-UNIT-CURR</v>
      </c>
      <c r="G71" t="s">
        <v>127</v>
      </c>
      <c r="H71" t="s">
        <v>10287</v>
      </c>
      <c r="I71" t="s">
        <v>10253</v>
      </c>
      <c r="J71" t="s">
        <v>10268</v>
      </c>
      <c r="K71" s="1073" t="s">
        <v>10288</v>
      </c>
      <c r="L71" s="789" t="s">
        <v>10241</v>
      </c>
      <c r="M71" s="790" t="s">
        <v>10296</v>
      </c>
      <c r="O71" s="790" t="s">
        <v>10255</v>
      </c>
      <c r="P71" s="790" t="s">
        <v>10244</v>
      </c>
      <c r="Q71" s="791" t="s">
        <v>773</v>
      </c>
    </row>
    <row r="72" spans="1:18">
      <c r="B72" s="5" t="str">
        <f>Page5_CHV_MCI!C50</f>
        <v>ACCESSOIRES</v>
      </c>
      <c r="C72" s="1038" t="str">
        <f>OR_VEH!D49</f>
        <v>457P5A</v>
      </c>
      <c r="D72" s="7">
        <f>Page5_CHV_MCI!F50</f>
        <v>0</v>
      </c>
      <c r="E72" s="7">
        <f>Page5_CHV_MCI!K50</f>
        <v>0</v>
      </c>
      <c r="F72" t="str">
        <f t="shared" si="2"/>
        <v>01-00-457P5A-UNIT-CURR</v>
      </c>
      <c r="G72" t="s">
        <v>127</v>
      </c>
      <c r="H72" t="s">
        <v>10287</v>
      </c>
      <c r="I72" t="s">
        <v>10253</v>
      </c>
      <c r="K72" s="1073" t="s">
        <v>10288</v>
      </c>
      <c r="L72" s="789" t="s">
        <v>10241</v>
      </c>
      <c r="M72" s="855" t="str">
        <f>C72</f>
        <v>457P5A</v>
      </c>
      <c r="N72" s="855"/>
      <c r="O72" s="790" t="s">
        <v>10255</v>
      </c>
      <c r="P72" s="790" t="s">
        <v>10244</v>
      </c>
      <c r="R72" s="30"/>
    </row>
    <row r="73" spans="1:18">
      <c r="B73" s="27" t="s">
        <v>10297</v>
      </c>
      <c r="C73" s="1044"/>
      <c r="D73" s="7">
        <f>Page5_CHV_MCI!$F$51</f>
        <v>28</v>
      </c>
      <c r="E73" s="7">
        <f>Page5_CHV_MCI!$K$51</f>
        <v>83</v>
      </c>
      <c r="F73" t="str">
        <f t="shared" si="2"/>
        <v>01-00-TOTVEH5A-UNIT-CURR</v>
      </c>
      <c r="G73" t="s">
        <v>127</v>
      </c>
      <c r="H73" t="s">
        <v>10287</v>
      </c>
      <c r="I73" t="s">
        <v>10253</v>
      </c>
      <c r="J73" t="s">
        <v>10268</v>
      </c>
      <c r="K73" s="1073" t="s">
        <v>10288</v>
      </c>
      <c r="L73" s="789" t="s">
        <v>10241</v>
      </c>
      <c r="M73" s="790" t="s">
        <v>10298</v>
      </c>
      <c r="O73" s="790" t="s">
        <v>10255</v>
      </c>
      <c r="P73" s="790" t="s">
        <v>10244</v>
      </c>
      <c r="Q73" s="791" t="s">
        <v>773</v>
      </c>
    </row>
    <row r="74" spans="1:18">
      <c r="A74" s="805" t="s">
        <v>10299</v>
      </c>
      <c r="B74" s="5" t="str">
        <f>Page5_CHV_VE!C4</f>
        <v>NE PAS UTILISER</v>
      </c>
      <c r="C74" s="1038" t="str">
        <f>OR_VEH!D53</f>
        <v>400-002</v>
      </c>
      <c r="D74" s="7">
        <f>Page5_CHV_VE!F4</f>
        <v>0</v>
      </c>
      <c r="E74" s="7">
        <f>Page5_CHV_VE!K4</f>
        <v>0</v>
      </c>
      <c r="F74" t="str">
        <f t="shared" si="2"/>
        <v>01-00-400-002-UNIT-CURR</v>
      </c>
      <c r="G74" t="s">
        <v>127</v>
      </c>
      <c r="H74" t="s">
        <v>10287</v>
      </c>
      <c r="I74" t="s">
        <v>10253</v>
      </c>
      <c r="K74" s="1073" t="s">
        <v>10288</v>
      </c>
      <c r="L74" s="789" t="s">
        <v>10241</v>
      </c>
      <c r="M74" s="790" t="str">
        <f>LEFT(C74,3)</f>
        <v>400</v>
      </c>
      <c r="N74" s="790" t="str">
        <f>RIGHT(C74,3)</f>
        <v>002</v>
      </c>
      <c r="O74" s="799" t="s">
        <v>10255</v>
      </c>
      <c r="P74" s="799" t="s">
        <v>10244</v>
      </c>
      <c r="R74" s="30"/>
    </row>
    <row r="75" spans="1:18">
      <c r="B75" s="5" t="str">
        <f>Page5_CHV_VE!C5</f>
        <v>NE PAS UTILISER</v>
      </c>
      <c r="C75" s="1038" t="str">
        <f>OR_VEH!D54</f>
        <v>401-002</v>
      </c>
      <c r="D75" s="7">
        <f>Page5_CHV_VE!F5</f>
        <v>0</v>
      </c>
      <c r="E75" s="7">
        <f>Page5_CHV_VE!K5</f>
        <v>0</v>
      </c>
      <c r="F75" t="str">
        <f t="shared" si="2"/>
        <v>01-00-401-002-UNIT-CURR</v>
      </c>
      <c r="G75" t="s">
        <v>127</v>
      </c>
      <c r="H75" t="s">
        <v>10287</v>
      </c>
      <c r="I75" t="s">
        <v>10253</v>
      </c>
      <c r="K75" s="1073" t="s">
        <v>10288</v>
      </c>
      <c r="L75" s="789" t="s">
        <v>10241</v>
      </c>
      <c r="M75" s="790" t="str">
        <f t="shared" ref="M75:M92" si="7">LEFT(C75,3)</f>
        <v>401</v>
      </c>
      <c r="N75" s="790" t="str">
        <f t="shared" ref="N75:N92" si="8">RIGHT(C75,3)</f>
        <v>002</v>
      </c>
      <c r="O75" s="799" t="s">
        <v>10255</v>
      </c>
      <c r="P75" s="799" t="s">
        <v>10244</v>
      </c>
      <c r="R75" s="30"/>
    </row>
    <row r="76" spans="1:18">
      <c r="B76" s="5" t="str">
        <f>Page5_CHV_VE!C6</f>
        <v>NE PAS UTILISER</v>
      </c>
      <c r="C76" s="1038" t="str">
        <f>OR_VEH!D55</f>
        <v>402-002</v>
      </c>
      <c r="D76" s="7">
        <f>Page5_CHV_VE!F6</f>
        <v>0</v>
      </c>
      <c r="E76" s="7">
        <f>Page5_CHV_VE!K6</f>
        <v>0</v>
      </c>
      <c r="F76" t="str">
        <f t="shared" si="2"/>
        <v>01-00-402-002-UNIT-CURR</v>
      </c>
      <c r="G76" t="s">
        <v>127</v>
      </c>
      <c r="H76" t="s">
        <v>10287</v>
      </c>
      <c r="I76" t="s">
        <v>10253</v>
      </c>
      <c r="K76" s="1073" t="s">
        <v>10288</v>
      </c>
      <c r="L76" s="789" t="s">
        <v>10241</v>
      </c>
      <c r="M76" s="790" t="str">
        <f t="shared" si="7"/>
        <v>402</v>
      </c>
      <c r="N76" s="790" t="str">
        <f t="shared" si="8"/>
        <v>002</v>
      </c>
      <c r="O76" s="799" t="s">
        <v>10255</v>
      </c>
      <c r="P76" s="799" t="s">
        <v>10244</v>
      </c>
      <c r="R76" s="30"/>
    </row>
    <row r="77" spans="1:18">
      <c r="B77" s="5" t="str">
        <f>Page5_CHV_VE!C7</f>
        <v>NE PAS UTILISER</v>
      </c>
      <c r="C77" s="1038" t="str">
        <f>OR_VEH!D56</f>
        <v>403-002</v>
      </c>
      <c r="D77" s="7">
        <f>Page5_CHV_VE!F7</f>
        <v>0</v>
      </c>
      <c r="E77" s="7">
        <f>Page5_CHV_VE!K7</f>
        <v>0</v>
      </c>
      <c r="F77" t="str">
        <f t="shared" si="2"/>
        <v>01-00-403-002-UNIT-CURR</v>
      </c>
      <c r="G77" t="s">
        <v>127</v>
      </c>
      <c r="H77" t="s">
        <v>10287</v>
      </c>
      <c r="I77" t="s">
        <v>10253</v>
      </c>
      <c r="K77" s="1073" t="s">
        <v>10288</v>
      </c>
      <c r="L77" s="789" t="s">
        <v>10241</v>
      </c>
      <c r="M77" s="790" t="str">
        <f t="shared" si="7"/>
        <v>403</v>
      </c>
      <c r="N77" s="790" t="str">
        <f t="shared" si="8"/>
        <v>002</v>
      </c>
      <c r="O77" s="799" t="s">
        <v>10255</v>
      </c>
      <c r="P77" s="799" t="s">
        <v>10244</v>
      </c>
      <c r="R77" s="30"/>
    </row>
    <row r="78" spans="1:18">
      <c r="B78" s="5" t="str">
        <f>Page5_CHV_VE!C8</f>
        <v>NE PAS UTILISER</v>
      </c>
      <c r="C78" s="1038" t="str">
        <f>OR_VEH!D57</f>
        <v>404-002</v>
      </c>
      <c r="D78" s="7">
        <f>Page5_CHV_VE!F8</f>
        <v>0</v>
      </c>
      <c r="E78" s="7">
        <f>Page5_CHV_VE!K8</f>
        <v>0</v>
      </c>
      <c r="F78" t="str">
        <f t="shared" si="2"/>
        <v>01-00-404-002-UNIT-CURR</v>
      </c>
      <c r="G78" t="s">
        <v>127</v>
      </c>
      <c r="H78" t="s">
        <v>10287</v>
      </c>
      <c r="I78" t="s">
        <v>10253</v>
      </c>
      <c r="K78" s="1073" t="s">
        <v>10288</v>
      </c>
      <c r="L78" s="789" t="s">
        <v>10241</v>
      </c>
      <c r="M78" s="790" t="str">
        <f t="shared" si="7"/>
        <v>404</v>
      </c>
      <c r="N78" s="790" t="str">
        <f t="shared" si="8"/>
        <v>002</v>
      </c>
      <c r="O78" s="799" t="s">
        <v>10255</v>
      </c>
      <c r="P78" s="799" t="s">
        <v>10244</v>
      </c>
      <c r="R78" s="30"/>
    </row>
    <row r="79" spans="1:18">
      <c r="B79" s="5" t="str">
        <f>Page5_CHV_VE!C9</f>
        <v>NE PAS UTILISER</v>
      </c>
      <c r="C79" s="1038" t="str">
        <f>OR_VEH!D58</f>
        <v>405-002</v>
      </c>
      <c r="D79" s="7">
        <f>Page5_CHV_VE!F9</f>
        <v>0</v>
      </c>
      <c r="E79" s="7">
        <f>Page5_CHV_VE!K9</f>
        <v>0</v>
      </c>
      <c r="F79" t="str">
        <f t="shared" si="2"/>
        <v>01-00-405-002-UNIT-CURR</v>
      </c>
      <c r="G79" t="s">
        <v>127</v>
      </c>
      <c r="H79" t="s">
        <v>10287</v>
      </c>
      <c r="I79" t="s">
        <v>10253</v>
      </c>
      <c r="K79" s="1073" t="s">
        <v>10288</v>
      </c>
      <c r="L79" s="789" t="s">
        <v>10241</v>
      </c>
      <c r="M79" s="790" t="str">
        <f t="shared" si="7"/>
        <v>405</v>
      </c>
      <c r="N79" s="790" t="str">
        <f t="shared" si="8"/>
        <v>002</v>
      </c>
      <c r="O79" s="799" t="s">
        <v>10255</v>
      </c>
      <c r="P79" s="799" t="s">
        <v>10244</v>
      </c>
      <c r="R79" s="30"/>
    </row>
    <row r="80" spans="1:18">
      <c r="B80" s="5" t="str">
        <f>Page5_CHV_VE!C10</f>
        <v>NE PAS UTILISER</v>
      </c>
      <c r="C80" s="1038" t="str">
        <f>OR_VEH!D59</f>
        <v>406-002</v>
      </c>
      <c r="D80" s="7">
        <f>Page5_CHV_VE!F10</f>
        <v>0</v>
      </c>
      <c r="E80" s="7">
        <f>Page5_CHV_VE!K10</f>
        <v>0</v>
      </c>
      <c r="F80" t="str">
        <f t="shared" si="2"/>
        <v>01-00-406-002-UNIT-CURR</v>
      </c>
      <c r="G80" t="s">
        <v>127</v>
      </c>
      <c r="H80" t="s">
        <v>10287</v>
      </c>
      <c r="I80" t="s">
        <v>10253</v>
      </c>
      <c r="K80" s="1073" t="s">
        <v>10288</v>
      </c>
      <c r="L80" s="789" t="s">
        <v>10241</v>
      </c>
      <c r="M80" s="790" t="str">
        <f t="shared" si="7"/>
        <v>406</v>
      </c>
      <c r="N80" s="790" t="str">
        <f t="shared" si="8"/>
        <v>002</v>
      </c>
      <c r="O80" s="799" t="s">
        <v>10255</v>
      </c>
      <c r="P80" s="799" t="s">
        <v>10244</v>
      </c>
      <c r="R80" s="30"/>
    </row>
    <row r="81" spans="2:18">
      <c r="B81" s="5" t="str">
        <f>Page5_CHV_VE!C11</f>
        <v>NE PAS UTILISER</v>
      </c>
      <c r="C81" s="1038" t="str">
        <f>OR_VEH!D60</f>
        <v>407-002</v>
      </c>
      <c r="D81" s="7">
        <f>Page5_CHV_VE!F11</f>
        <v>0</v>
      </c>
      <c r="E81" s="7">
        <f>Page5_CHV_VE!K11</f>
        <v>0</v>
      </c>
      <c r="F81" t="str">
        <f t="shared" si="2"/>
        <v>01-00-407-002-UNIT-CURR</v>
      </c>
      <c r="G81" t="s">
        <v>127</v>
      </c>
      <c r="H81" t="s">
        <v>10287</v>
      </c>
      <c r="I81" t="s">
        <v>10253</v>
      </c>
      <c r="K81" s="1073" t="s">
        <v>10288</v>
      </c>
      <c r="L81" s="789" t="s">
        <v>10241</v>
      </c>
      <c r="M81" s="790" t="str">
        <f t="shared" si="7"/>
        <v>407</v>
      </c>
      <c r="N81" s="790" t="str">
        <f t="shared" si="8"/>
        <v>002</v>
      </c>
      <c r="O81" s="799" t="s">
        <v>10255</v>
      </c>
      <c r="P81" s="799" t="s">
        <v>10244</v>
      </c>
      <c r="R81" s="30"/>
    </row>
    <row r="82" spans="2:18">
      <c r="B82" s="5" t="str">
        <f>Page5_CHV_VE!C12</f>
        <v>NE PAS UTILISER</v>
      </c>
      <c r="C82" s="1038" t="str">
        <f>OR_VEH!D61</f>
        <v>408-002</v>
      </c>
      <c r="D82" s="7">
        <f>Page5_CHV_VE!F12</f>
        <v>0</v>
      </c>
      <c r="E82" s="7">
        <f>Page5_CHV_VE!K12</f>
        <v>0</v>
      </c>
      <c r="F82" t="str">
        <f t="shared" si="2"/>
        <v>01-00-408-002-UNIT-CURR</v>
      </c>
      <c r="G82" t="s">
        <v>127</v>
      </c>
      <c r="H82" t="s">
        <v>10287</v>
      </c>
      <c r="I82" t="s">
        <v>10253</v>
      </c>
      <c r="K82" s="1073" t="s">
        <v>10288</v>
      </c>
      <c r="L82" s="789" t="s">
        <v>10241</v>
      </c>
      <c r="M82" s="790" t="str">
        <f t="shared" si="7"/>
        <v>408</v>
      </c>
      <c r="N82" s="790" t="str">
        <f t="shared" si="8"/>
        <v>002</v>
      </c>
      <c r="O82" s="799" t="s">
        <v>10255</v>
      </c>
      <c r="P82" s="799" t="s">
        <v>10244</v>
      </c>
      <c r="R82" s="30"/>
    </row>
    <row r="83" spans="2:18">
      <c r="B83" s="5" t="str">
        <f>Page5_CHV_VE!C13</f>
        <v>NE PAS UTILISER</v>
      </c>
      <c r="C83" s="1038" t="str">
        <f>OR_VEH!D62</f>
        <v>409-002</v>
      </c>
      <c r="D83" s="7">
        <f>Page5_CHV_VE!F13</f>
        <v>0</v>
      </c>
      <c r="E83" s="7">
        <f>Page5_CHV_VE!K13</f>
        <v>0</v>
      </c>
      <c r="F83" t="str">
        <f t="shared" si="2"/>
        <v>01-00-409-002-UNIT-CURR</v>
      </c>
      <c r="G83" t="s">
        <v>127</v>
      </c>
      <c r="H83" t="s">
        <v>10287</v>
      </c>
      <c r="I83" t="s">
        <v>10253</v>
      </c>
      <c r="K83" s="1073" t="s">
        <v>10288</v>
      </c>
      <c r="L83" s="789" t="s">
        <v>10241</v>
      </c>
      <c r="M83" s="790" t="str">
        <f t="shared" si="7"/>
        <v>409</v>
      </c>
      <c r="N83" s="790" t="str">
        <f t="shared" si="8"/>
        <v>002</v>
      </c>
      <c r="O83" s="799" t="s">
        <v>10255</v>
      </c>
      <c r="P83" s="799" t="s">
        <v>10244</v>
      </c>
      <c r="R83" s="30"/>
    </row>
    <row r="84" spans="2:18">
      <c r="B84" s="5" t="str">
        <f>Page5_CHV_VE!C14</f>
        <v>NE PAS UTILISER</v>
      </c>
      <c r="C84" s="1038" t="str">
        <f>OR_VEH!D63</f>
        <v>410-002</v>
      </c>
      <c r="D84" s="7">
        <f>Page5_CHV_VE!F14</f>
        <v>0</v>
      </c>
      <c r="E84" s="7">
        <f>Page5_CHV_VE!K14</f>
        <v>0</v>
      </c>
      <c r="F84" t="str">
        <f t="shared" si="2"/>
        <v>01-00-410-002-UNIT-CURR</v>
      </c>
      <c r="G84" t="s">
        <v>127</v>
      </c>
      <c r="H84" t="s">
        <v>10287</v>
      </c>
      <c r="I84" t="s">
        <v>10253</v>
      </c>
      <c r="K84" s="1073" t="s">
        <v>10288</v>
      </c>
      <c r="L84" s="789" t="s">
        <v>10241</v>
      </c>
      <c r="M84" s="790" t="str">
        <f t="shared" si="7"/>
        <v>410</v>
      </c>
      <c r="N84" s="790" t="str">
        <f t="shared" si="8"/>
        <v>002</v>
      </c>
      <c r="O84" s="799" t="s">
        <v>10255</v>
      </c>
      <c r="P84" s="799" t="s">
        <v>10244</v>
      </c>
      <c r="R84" s="30"/>
    </row>
    <row r="85" spans="2:18">
      <c r="B85" s="5" t="str">
        <f>Page5_CHV_VE!C15</f>
        <v>NE PAS UTILISER</v>
      </c>
      <c r="C85" s="1038" t="str">
        <f>OR_VEH!D64</f>
        <v>411-002</v>
      </c>
      <c r="D85" s="7">
        <f>Page5_CHV_VE!F15</f>
        <v>0</v>
      </c>
      <c r="E85" s="7">
        <f>Page5_CHV_VE!K15</f>
        <v>0</v>
      </c>
      <c r="F85" t="str">
        <f t="shared" si="2"/>
        <v>01-00-411-002-UNIT-CURR</v>
      </c>
      <c r="G85" t="s">
        <v>127</v>
      </c>
      <c r="H85" t="s">
        <v>10287</v>
      </c>
      <c r="I85" t="s">
        <v>10253</v>
      </c>
      <c r="K85" s="1073" t="s">
        <v>10288</v>
      </c>
      <c r="L85" s="789" t="s">
        <v>10241</v>
      </c>
      <c r="M85" s="790" t="str">
        <f t="shared" si="7"/>
        <v>411</v>
      </c>
      <c r="N85" s="790" t="str">
        <f t="shared" si="8"/>
        <v>002</v>
      </c>
      <c r="O85" s="790" t="s">
        <v>10255</v>
      </c>
      <c r="P85" s="790" t="s">
        <v>10244</v>
      </c>
      <c r="R85" s="30"/>
    </row>
    <row r="86" spans="2:18">
      <c r="B86" s="5" t="str">
        <f>Page5_CHV_VE!C16</f>
        <v>NE PAS UTILISER</v>
      </c>
      <c r="C86" s="1038" t="str">
        <f>OR_VEH!D65</f>
        <v>412-002</v>
      </c>
      <c r="D86" s="7">
        <f>Page5_CHV_VE!F16</f>
        <v>0</v>
      </c>
      <c r="E86" s="7">
        <f>Page5_CHV_VE!K16</f>
        <v>0</v>
      </c>
      <c r="F86" t="str">
        <f t="shared" si="2"/>
        <v>01-00-412-002-UNIT-CURR</v>
      </c>
      <c r="G86" t="s">
        <v>127</v>
      </c>
      <c r="H86" t="s">
        <v>10287</v>
      </c>
      <c r="I86" t="s">
        <v>10253</v>
      </c>
      <c r="K86" s="1073" t="s">
        <v>10288</v>
      </c>
      <c r="L86" s="789" t="s">
        <v>10241</v>
      </c>
      <c r="M86" s="790" t="str">
        <f t="shared" si="7"/>
        <v>412</v>
      </c>
      <c r="N86" s="790" t="str">
        <f t="shared" si="8"/>
        <v>002</v>
      </c>
      <c r="O86" s="790" t="s">
        <v>10255</v>
      </c>
      <c r="P86" s="790" t="s">
        <v>10244</v>
      </c>
      <c r="R86" s="30"/>
    </row>
    <row r="87" spans="2:18">
      <c r="B87" s="5" t="str">
        <f>Page5_CHV_VE!C17</f>
        <v>NE PAS UTILISER</v>
      </c>
      <c r="C87" s="1038" t="str">
        <f>OR_VEH!D66</f>
        <v>413-002</v>
      </c>
      <c r="D87" s="7">
        <f>Page5_CHV_VE!F17</f>
        <v>0</v>
      </c>
      <c r="E87" s="7">
        <f>Page5_CHV_VE!K17</f>
        <v>0</v>
      </c>
      <c r="F87" t="str">
        <f t="shared" si="2"/>
        <v>01-00-413-002-UNIT-CURR</v>
      </c>
      <c r="G87" t="s">
        <v>127</v>
      </c>
      <c r="H87" t="s">
        <v>10287</v>
      </c>
      <c r="I87" t="s">
        <v>10253</v>
      </c>
      <c r="K87" s="1073" t="s">
        <v>10288</v>
      </c>
      <c r="L87" s="789" t="s">
        <v>10241</v>
      </c>
      <c r="M87" s="790" t="str">
        <f t="shared" si="7"/>
        <v>413</v>
      </c>
      <c r="N87" s="790" t="str">
        <f t="shared" si="8"/>
        <v>002</v>
      </c>
      <c r="O87" s="790" t="s">
        <v>10255</v>
      </c>
      <c r="P87" s="790" t="s">
        <v>10244</v>
      </c>
      <c r="R87" s="30"/>
    </row>
    <row r="88" spans="2:18">
      <c r="B88" s="5" t="str">
        <f>Page5_CHV_VE!C18</f>
        <v>NE PAS UTILISER</v>
      </c>
      <c r="C88" s="1038" t="str">
        <f>OR_VEH!D67</f>
        <v>414-002</v>
      </c>
      <c r="D88" s="7">
        <f>Page5_CHV_VE!F18</f>
        <v>0</v>
      </c>
      <c r="E88" s="7">
        <f>Page5_CHV_VE!K18</f>
        <v>0</v>
      </c>
      <c r="F88" t="str">
        <f t="shared" si="2"/>
        <v>01-00-414-002-UNIT-CURR</v>
      </c>
      <c r="G88" t="s">
        <v>127</v>
      </c>
      <c r="H88" t="s">
        <v>10287</v>
      </c>
      <c r="I88" t="s">
        <v>10253</v>
      </c>
      <c r="K88" s="1073" t="s">
        <v>10288</v>
      </c>
      <c r="L88" s="789" t="s">
        <v>10241</v>
      </c>
      <c r="M88" s="790" t="str">
        <f t="shared" si="7"/>
        <v>414</v>
      </c>
      <c r="N88" s="790" t="str">
        <f t="shared" si="8"/>
        <v>002</v>
      </c>
      <c r="O88" s="790" t="s">
        <v>10255</v>
      </c>
      <c r="P88" s="790" t="s">
        <v>10244</v>
      </c>
      <c r="R88" s="30"/>
    </row>
    <row r="89" spans="2:18">
      <c r="B89" s="5" t="str">
        <f>Page5_CHV_VE!C19</f>
        <v>NE PAS UTILISER</v>
      </c>
      <c r="C89" s="1038" t="str">
        <f>OR_VEH!D68</f>
        <v>415-002</v>
      </c>
      <c r="D89" s="7">
        <f>Page5_CHV_VE!F19</f>
        <v>0</v>
      </c>
      <c r="E89" s="7">
        <f>Page5_CHV_VE!K19</f>
        <v>0</v>
      </c>
      <c r="F89" t="str">
        <f t="shared" si="2"/>
        <v>01-00-415-002-UNIT-CURR</v>
      </c>
      <c r="G89" t="s">
        <v>127</v>
      </c>
      <c r="H89" t="s">
        <v>10287</v>
      </c>
      <c r="I89" t="s">
        <v>10253</v>
      </c>
      <c r="K89" s="1073" t="s">
        <v>10288</v>
      </c>
      <c r="L89" s="789" t="s">
        <v>10241</v>
      </c>
      <c r="M89" s="790" t="str">
        <f t="shared" si="7"/>
        <v>415</v>
      </c>
      <c r="N89" s="790" t="str">
        <f t="shared" si="8"/>
        <v>002</v>
      </c>
      <c r="O89" s="790" t="s">
        <v>10255</v>
      </c>
      <c r="P89" s="790" t="s">
        <v>10244</v>
      </c>
      <c r="R89" s="30"/>
    </row>
    <row r="90" spans="2:18">
      <c r="B90" s="5" t="str">
        <f>Page5_CHV_VE!C20</f>
        <v>NE PAS UTILISER</v>
      </c>
      <c r="C90" s="1038" t="str">
        <f>OR_VEH!D69</f>
        <v>416-002</v>
      </c>
      <c r="D90" s="7">
        <f>Page5_CHV_VE!F20</f>
        <v>0</v>
      </c>
      <c r="E90" s="7">
        <f>Page5_CHV_VE!K20</f>
        <v>0</v>
      </c>
      <c r="F90" t="str">
        <f t="shared" si="2"/>
        <v>01-00-416-002-UNIT-CURR</v>
      </c>
      <c r="G90" t="s">
        <v>127</v>
      </c>
      <c r="H90" t="s">
        <v>10287</v>
      </c>
      <c r="I90" t="s">
        <v>10253</v>
      </c>
      <c r="K90" s="1073" t="s">
        <v>10288</v>
      </c>
      <c r="L90" s="789" t="s">
        <v>10241</v>
      </c>
      <c r="M90" s="790" t="str">
        <f t="shared" si="7"/>
        <v>416</v>
      </c>
      <c r="N90" s="790" t="str">
        <f t="shared" si="8"/>
        <v>002</v>
      </c>
      <c r="O90" s="790" t="s">
        <v>10255</v>
      </c>
      <c r="P90" s="790" t="s">
        <v>10244</v>
      </c>
      <c r="R90" s="30"/>
    </row>
    <row r="91" spans="2:18">
      <c r="B91" s="5" t="str">
        <f>Page5_CHV_VE!C21</f>
        <v>NE PAS UTILISER</v>
      </c>
      <c r="C91" s="1038" t="str">
        <f>OR_VEH!D70</f>
        <v>417-002</v>
      </c>
      <c r="D91" s="7">
        <f>Page5_CHV_VE!F21</f>
        <v>0</v>
      </c>
      <c r="E91" s="7">
        <f>Page5_CHV_VE!K21</f>
        <v>0</v>
      </c>
      <c r="F91" t="str">
        <f t="shared" ref="F91:F154" si="9">TEXT(K91,"00")&amp;"-"&amp;L91&amp;IF(M91="","","-"&amp;M91)&amp;IF(N91="","","-"&amp;N91)&amp;IF(OR(O91="",O91=0),"","-"&amp;O91)&amp;IF(P91="","","-"&amp;P91)</f>
        <v>01-00-417-002-UNIT-CURR</v>
      </c>
      <c r="G91" t="s">
        <v>127</v>
      </c>
      <c r="H91" t="s">
        <v>10287</v>
      </c>
      <c r="I91" t="s">
        <v>10253</v>
      </c>
      <c r="K91" s="1073" t="s">
        <v>10288</v>
      </c>
      <c r="L91" s="789" t="s">
        <v>10241</v>
      </c>
      <c r="M91" s="790" t="str">
        <f t="shared" si="7"/>
        <v>417</v>
      </c>
      <c r="N91" s="790" t="str">
        <f t="shared" si="8"/>
        <v>002</v>
      </c>
      <c r="O91" s="790" t="s">
        <v>10255</v>
      </c>
      <c r="P91" s="790" t="s">
        <v>10244</v>
      </c>
      <c r="R91" s="30"/>
    </row>
    <row r="92" spans="2:18">
      <c r="B92" s="5" t="str">
        <f>Page5_CHV_VE!C22</f>
        <v>NE PAS UTILISER</v>
      </c>
      <c r="C92" s="1038" t="str">
        <f>OR_VEH!D71</f>
        <v>418-002</v>
      </c>
      <c r="D92" s="7">
        <f>Page5_CHV_VE!F22</f>
        <v>0</v>
      </c>
      <c r="E92" s="7">
        <f>Page5_CHV_VE!K22</f>
        <v>0</v>
      </c>
      <c r="F92" t="str">
        <f t="shared" si="9"/>
        <v>01-00-418-002-UNIT-CURR</v>
      </c>
      <c r="G92" t="s">
        <v>127</v>
      </c>
      <c r="H92" t="s">
        <v>10287</v>
      </c>
      <c r="I92" t="s">
        <v>10253</v>
      </c>
      <c r="K92" s="1073" t="s">
        <v>10288</v>
      </c>
      <c r="L92" s="789" t="s">
        <v>10241</v>
      </c>
      <c r="M92" s="790" t="str">
        <f t="shared" si="7"/>
        <v>418</v>
      </c>
      <c r="N92" s="790" t="str">
        <f t="shared" si="8"/>
        <v>002</v>
      </c>
      <c r="O92" s="799" t="s">
        <v>10255</v>
      </c>
      <c r="P92" s="799" t="s">
        <v>10244</v>
      </c>
      <c r="R92" s="30"/>
    </row>
    <row r="93" spans="2:18">
      <c r="B93" s="27" t="s">
        <v>10300</v>
      </c>
      <c r="C93" s="1042"/>
      <c r="D93" s="7">
        <f>Page5_CHV_VE!F23</f>
        <v>0</v>
      </c>
      <c r="E93" s="7">
        <f>Page5_CHV_VE!K23</f>
        <v>0</v>
      </c>
      <c r="F93" t="str">
        <f t="shared" si="9"/>
        <v>01-00-RTLCAR5B-UNIT-CURR</v>
      </c>
      <c r="G93" t="s">
        <v>127</v>
      </c>
      <c r="H93" t="s">
        <v>10287</v>
      </c>
      <c r="I93" t="s">
        <v>10253</v>
      </c>
      <c r="J93" t="s">
        <v>10268</v>
      </c>
      <c r="K93" s="1073" t="s">
        <v>10288</v>
      </c>
      <c r="L93" s="789" t="s">
        <v>10241</v>
      </c>
      <c r="M93" s="790" t="s">
        <v>10301</v>
      </c>
      <c r="O93" s="790" t="s">
        <v>10255</v>
      </c>
      <c r="P93" s="790" t="s">
        <v>10244</v>
      </c>
      <c r="Q93" s="791" t="s">
        <v>773</v>
      </c>
    </row>
    <row r="94" spans="2:18">
      <c r="B94" s="5" t="str">
        <f>Page5_CHV_VE!C24</f>
        <v>MÉMO* VENTES INTERNET VOITURES</v>
      </c>
      <c r="C94" s="1038" t="str">
        <f>OR_VEH!D73</f>
        <v>419P5B</v>
      </c>
      <c r="D94" s="7">
        <f>Page5_CHV_VE!F24</f>
        <v>0</v>
      </c>
      <c r="E94" s="7">
        <f>Page5_CHV_VE!K24</f>
        <v>0</v>
      </c>
      <c r="F94" t="str">
        <f t="shared" si="9"/>
        <v>01-00-419P5B-UNIT-CURR</v>
      </c>
      <c r="G94" t="s">
        <v>127</v>
      </c>
      <c r="H94" t="s">
        <v>10287</v>
      </c>
      <c r="I94" t="s">
        <v>10253</v>
      </c>
      <c r="K94" s="1073" t="s">
        <v>10288</v>
      </c>
      <c r="L94" s="789" t="s">
        <v>10241</v>
      </c>
      <c r="M94" s="855" t="str">
        <f>C94</f>
        <v>419P5B</v>
      </c>
      <c r="N94" s="855"/>
      <c r="O94" s="790" t="s">
        <v>10255</v>
      </c>
      <c r="P94" s="790" t="s">
        <v>10244</v>
      </c>
      <c r="R94" s="30"/>
    </row>
    <row r="95" spans="2:18">
      <c r="B95" s="5" t="str">
        <f>Page5_CHV_VE!C25</f>
        <v>TOTAL PARCS - VOITURES</v>
      </c>
      <c r="C95" s="1038" t="str">
        <f>OR_VEH!D74</f>
        <v>420P5B</v>
      </c>
      <c r="D95" s="7">
        <f>Page5_CHV_VE!F25</f>
        <v>0</v>
      </c>
      <c r="E95" s="7">
        <f>Page5_CHV_VE!K25</f>
        <v>0</v>
      </c>
      <c r="F95" t="str">
        <f t="shared" si="9"/>
        <v>01-00-420P5B-UNIT-CURR</v>
      </c>
      <c r="G95" t="s">
        <v>127</v>
      </c>
      <c r="H95" t="s">
        <v>10287</v>
      </c>
      <c r="I95" t="s">
        <v>10253</v>
      </c>
      <c r="K95" s="1073" t="s">
        <v>10288</v>
      </c>
      <c r="L95" s="789" t="s">
        <v>10241</v>
      </c>
      <c r="M95" s="855" t="str">
        <f>C95</f>
        <v>420P5B</v>
      </c>
      <c r="N95" s="855"/>
      <c r="O95" s="799" t="s">
        <v>10255</v>
      </c>
      <c r="P95" s="799" t="s">
        <v>10244</v>
      </c>
      <c r="R95" s="30"/>
    </row>
    <row r="96" spans="2:18">
      <c r="B96" s="5" t="str">
        <f>Page5_CHV_VE!C26</f>
        <v>TOTAL INTERNE - VOITURES</v>
      </c>
      <c r="C96" s="1038" t="str">
        <f>OR_VEH!D75</f>
        <v>421P5B</v>
      </c>
      <c r="D96" s="7">
        <f>Page5_CHV_VE!F26</f>
        <v>0</v>
      </c>
      <c r="E96" s="7">
        <f>Page5_CHV_VE!K26</f>
        <v>0</v>
      </c>
      <c r="F96" t="str">
        <f t="shared" si="9"/>
        <v>01-00-421P5B-UNIT-CURR</v>
      </c>
      <c r="G96" t="s">
        <v>127</v>
      </c>
      <c r="H96" t="s">
        <v>10287</v>
      </c>
      <c r="I96" t="s">
        <v>10253</v>
      </c>
      <c r="K96" s="1073" t="s">
        <v>10288</v>
      </c>
      <c r="L96" s="789" t="s">
        <v>10241</v>
      </c>
      <c r="M96" s="855" t="str">
        <f>C96</f>
        <v>421P5B</v>
      </c>
      <c r="N96" s="855"/>
      <c r="O96" s="799" t="s">
        <v>10255</v>
      </c>
      <c r="P96" s="799" t="s">
        <v>10244</v>
      </c>
      <c r="R96" s="30"/>
    </row>
    <row r="97" spans="2:18">
      <c r="B97" s="27" t="s">
        <v>10302</v>
      </c>
      <c r="C97" s="1042"/>
      <c r="D97" s="7">
        <f>Page5_CHV_VE!F27</f>
        <v>0</v>
      </c>
      <c r="E97" s="7">
        <f>Page5_CHV_VE!K27</f>
        <v>0</v>
      </c>
      <c r="F97" t="str">
        <f t="shared" si="9"/>
        <v>01-00-TOTCAR5B-UNIT-CURR</v>
      </c>
      <c r="G97" t="s">
        <v>127</v>
      </c>
      <c r="H97" t="s">
        <v>10287</v>
      </c>
      <c r="I97" t="s">
        <v>10253</v>
      </c>
      <c r="J97" t="s">
        <v>10268</v>
      </c>
      <c r="K97" s="1073" t="s">
        <v>10288</v>
      </c>
      <c r="L97" s="789" t="s">
        <v>10241</v>
      </c>
      <c r="M97" s="790" t="s">
        <v>10303</v>
      </c>
      <c r="O97" s="790" t="s">
        <v>10255</v>
      </c>
      <c r="P97" s="790" t="s">
        <v>10244</v>
      </c>
      <c r="Q97" s="791" t="s">
        <v>773</v>
      </c>
    </row>
    <row r="98" spans="2:18">
      <c r="B98" s="5" t="str">
        <f>Page5_CHV_VE!C28</f>
        <v>BOLT EUV</v>
      </c>
      <c r="C98" s="1038" t="str">
        <f>OR_VEH!D77</f>
        <v>423-002</v>
      </c>
      <c r="D98" s="7">
        <f>Page5_CHV_VE!F28</f>
        <v>0</v>
      </c>
      <c r="E98" s="7">
        <f>Page5_CHV_VE!K28</f>
        <v>0</v>
      </c>
      <c r="F98" t="str">
        <f t="shared" si="9"/>
        <v>01-00-423-002-UNIT-CURR</v>
      </c>
      <c r="G98" t="s">
        <v>127</v>
      </c>
      <c r="H98" t="s">
        <v>10287</v>
      </c>
      <c r="I98" t="s">
        <v>10253</v>
      </c>
      <c r="K98" s="1073" t="s">
        <v>10288</v>
      </c>
      <c r="L98" s="789" t="s">
        <v>10241</v>
      </c>
      <c r="M98" s="790" t="str">
        <f t="shared" ref="M98:M113" si="10">LEFT(C98,3)</f>
        <v>423</v>
      </c>
      <c r="N98" s="790" t="str">
        <f t="shared" ref="N98:N113" si="11">RIGHT(C98,3)</f>
        <v>002</v>
      </c>
      <c r="O98" s="799" t="s">
        <v>10255</v>
      </c>
      <c r="P98" s="799" t="s">
        <v>10244</v>
      </c>
      <c r="R98" s="30"/>
    </row>
    <row r="99" spans="2:18">
      <c r="B99" s="5" t="str">
        <f>Page5_CHV_VE!C29</f>
        <v>BOLT EV</v>
      </c>
      <c r="C99" s="1038" t="str">
        <f>OR_VEH!D78</f>
        <v>424-002</v>
      </c>
      <c r="D99" s="7">
        <f>Page5_CHV_VE!F29</f>
        <v>0</v>
      </c>
      <c r="E99" s="7">
        <f>Page5_CHV_VE!K29</f>
        <v>0</v>
      </c>
      <c r="F99" t="str">
        <f t="shared" si="9"/>
        <v>01-00-424-002-UNIT-CURR</v>
      </c>
      <c r="G99" t="s">
        <v>127</v>
      </c>
      <c r="H99" t="s">
        <v>10287</v>
      </c>
      <c r="I99" t="s">
        <v>10253</v>
      </c>
      <c r="K99" s="1073" t="s">
        <v>10288</v>
      </c>
      <c r="L99" s="789" t="s">
        <v>10241</v>
      </c>
      <c r="M99" s="790" t="str">
        <f t="shared" si="10"/>
        <v>424</v>
      </c>
      <c r="N99" s="790" t="str">
        <f t="shared" si="11"/>
        <v>002</v>
      </c>
      <c r="O99" s="799" t="s">
        <v>10255</v>
      </c>
      <c r="P99" s="799" t="s">
        <v>10244</v>
      </c>
      <c r="R99" s="30"/>
    </row>
    <row r="100" spans="2:18">
      <c r="B100" s="5" t="str">
        <f>Page5_CHV_VE!C30</f>
        <v>BLAZER EV</v>
      </c>
      <c r="C100" s="1038" t="str">
        <f>OR_VEH!D79</f>
        <v>425-002</v>
      </c>
      <c r="D100" s="7">
        <f>Page5_CHV_VE!F30</f>
        <v>0</v>
      </c>
      <c r="E100" s="7">
        <f>Page5_CHV_VE!K30</f>
        <v>1</v>
      </c>
      <c r="F100" t="str">
        <f t="shared" si="9"/>
        <v>01-00-425-002-UNIT-CURR</v>
      </c>
      <c r="G100" t="s">
        <v>127</v>
      </c>
      <c r="H100" t="s">
        <v>10287</v>
      </c>
      <c r="I100" t="s">
        <v>10253</v>
      </c>
      <c r="K100" s="1073" t="s">
        <v>10288</v>
      </c>
      <c r="L100" s="789" t="s">
        <v>10241</v>
      </c>
      <c r="M100" s="790" t="str">
        <f t="shared" si="10"/>
        <v>425</v>
      </c>
      <c r="N100" s="790" t="str">
        <f t="shared" si="11"/>
        <v>002</v>
      </c>
      <c r="O100" s="799" t="s">
        <v>10255</v>
      </c>
      <c r="P100" s="799" t="s">
        <v>10244</v>
      </c>
      <c r="R100" s="30"/>
    </row>
    <row r="101" spans="2:18">
      <c r="B101" s="5" t="str">
        <f>Page5_CHV_VE!C31</f>
        <v>EQUINOX EV</v>
      </c>
      <c r="C101" s="1038" t="str">
        <f>OR_VEH!D80</f>
        <v>426-002</v>
      </c>
      <c r="D101" s="7">
        <f>Page5_CHV_VE!F31</f>
        <v>3</v>
      </c>
      <c r="E101" s="7">
        <f>Page5_CHV_VE!K31</f>
        <v>7</v>
      </c>
      <c r="F101" t="str">
        <f t="shared" si="9"/>
        <v>01-00-426-002-UNIT-CURR</v>
      </c>
      <c r="G101" t="s">
        <v>127</v>
      </c>
      <c r="H101" t="s">
        <v>10287</v>
      </c>
      <c r="I101" t="s">
        <v>10253</v>
      </c>
      <c r="K101" s="1073" t="s">
        <v>10288</v>
      </c>
      <c r="L101" s="789" t="s">
        <v>10241</v>
      </c>
      <c r="M101" s="790" t="str">
        <f t="shared" si="10"/>
        <v>426</v>
      </c>
      <c r="N101" s="790" t="str">
        <f t="shared" si="11"/>
        <v>002</v>
      </c>
      <c r="O101" s="799" t="s">
        <v>10255</v>
      </c>
      <c r="P101" s="799" t="s">
        <v>10244</v>
      </c>
      <c r="R101" s="30"/>
    </row>
    <row r="102" spans="2:18">
      <c r="B102" s="5" t="str">
        <f>Page5_CHV_VE!C32</f>
        <v>SILVERADO EV</v>
      </c>
      <c r="C102" s="1038" t="str">
        <f>OR_VEH!D81</f>
        <v>427-002</v>
      </c>
      <c r="D102" s="7">
        <f>Page5_CHV_VE!F32</f>
        <v>0</v>
      </c>
      <c r="E102" s="7">
        <f>Page5_CHV_VE!K32</f>
        <v>3</v>
      </c>
      <c r="F102" t="str">
        <f t="shared" si="9"/>
        <v>01-00-427-002-UNIT-CURR</v>
      </c>
      <c r="G102" t="s">
        <v>127</v>
      </c>
      <c r="H102" t="s">
        <v>10287</v>
      </c>
      <c r="I102" t="s">
        <v>10253</v>
      </c>
      <c r="K102" s="1073" t="s">
        <v>10288</v>
      </c>
      <c r="L102" s="789" t="s">
        <v>10241</v>
      </c>
      <c r="M102" s="790" t="str">
        <f t="shared" si="10"/>
        <v>427</v>
      </c>
      <c r="N102" s="790" t="str">
        <f t="shared" si="11"/>
        <v>002</v>
      </c>
      <c r="O102" s="799" t="s">
        <v>10255</v>
      </c>
      <c r="P102" s="799" t="s">
        <v>10244</v>
      </c>
      <c r="R102" s="30"/>
    </row>
    <row r="103" spans="2:18">
      <c r="B103" s="5" t="str">
        <f>Page5_CHV_VE!C33</f>
        <v>ZEVO 400 AWD</v>
      </c>
      <c r="C103" s="1038" t="str">
        <f>OR_VEH!D82</f>
        <v>428-002</v>
      </c>
      <c r="D103" s="7">
        <f>Page5_CHV_VE!F33</f>
        <v>0</v>
      </c>
      <c r="E103" s="7">
        <f>Page5_CHV_VE!K33</f>
        <v>0</v>
      </c>
      <c r="F103" t="str">
        <f t="shared" si="9"/>
        <v>01-00-428-002-UNIT-CURR</v>
      </c>
      <c r="G103" t="s">
        <v>127</v>
      </c>
      <c r="H103" t="s">
        <v>10287</v>
      </c>
      <c r="I103" t="s">
        <v>10253</v>
      </c>
      <c r="K103" s="1073" t="s">
        <v>10288</v>
      </c>
      <c r="L103" s="789" t="s">
        <v>10241</v>
      </c>
      <c r="M103" s="790" t="str">
        <f t="shared" si="10"/>
        <v>428</v>
      </c>
      <c r="N103" s="790" t="str">
        <f t="shared" si="11"/>
        <v>002</v>
      </c>
      <c r="O103" s="799" t="s">
        <v>10255</v>
      </c>
      <c r="P103" s="799" t="s">
        <v>10244</v>
      </c>
      <c r="R103" s="30"/>
    </row>
    <row r="104" spans="2:18">
      <c r="B104" s="5" t="str">
        <f>Page5_CHV_VE!C34</f>
        <v>ZEVO 600 AWD</v>
      </c>
      <c r="C104" s="1038" t="str">
        <f>OR_VEH!D83</f>
        <v>429-002</v>
      </c>
      <c r="D104" s="7">
        <f>Page5_CHV_VE!F34</f>
        <v>0</v>
      </c>
      <c r="E104" s="7">
        <f>Page5_CHV_VE!K34</f>
        <v>0</v>
      </c>
      <c r="F104" t="str">
        <f t="shared" si="9"/>
        <v>01-00-429-002-UNIT-CURR</v>
      </c>
      <c r="G104" t="s">
        <v>127</v>
      </c>
      <c r="H104" t="s">
        <v>10287</v>
      </c>
      <c r="I104" t="s">
        <v>10253</v>
      </c>
      <c r="K104" s="1073" t="s">
        <v>10288</v>
      </c>
      <c r="L104" s="789" t="s">
        <v>10241</v>
      </c>
      <c r="M104" s="790" t="str">
        <f t="shared" si="10"/>
        <v>429</v>
      </c>
      <c r="N104" s="790" t="str">
        <f t="shared" si="11"/>
        <v>002</v>
      </c>
      <c r="O104" s="799" t="s">
        <v>10255</v>
      </c>
      <c r="P104" s="799" t="s">
        <v>10244</v>
      </c>
      <c r="R104" s="30"/>
    </row>
    <row r="105" spans="2:18">
      <c r="B105" s="5" t="str">
        <f>Page5_CHV_VE!C35</f>
        <v>NE PAS UTILISER</v>
      </c>
      <c r="C105" s="1038" t="str">
        <f>OR_VEH!D84</f>
        <v>430-002</v>
      </c>
      <c r="D105" s="7">
        <f>Page5_CHV_VE!F35</f>
        <v>0</v>
      </c>
      <c r="E105" s="7">
        <f>Page5_CHV_VE!K35</f>
        <v>0</v>
      </c>
      <c r="F105" t="str">
        <f t="shared" si="9"/>
        <v>01-00-430-002-UNIT-CURR</v>
      </c>
      <c r="G105" t="s">
        <v>127</v>
      </c>
      <c r="H105" t="s">
        <v>10287</v>
      </c>
      <c r="I105" t="s">
        <v>10253</v>
      </c>
      <c r="K105" s="1073" t="s">
        <v>10288</v>
      </c>
      <c r="L105" s="789" t="s">
        <v>10241</v>
      </c>
      <c r="M105" s="790" t="str">
        <f t="shared" si="10"/>
        <v>430</v>
      </c>
      <c r="N105" s="790" t="str">
        <f t="shared" si="11"/>
        <v>002</v>
      </c>
      <c r="O105" s="799" t="s">
        <v>10255</v>
      </c>
      <c r="P105" s="799" t="s">
        <v>10244</v>
      </c>
      <c r="R105" s="30"/>
    </row>
    <row r="106" spans="2:18">
      <c r="B106" s="5" t="str">
        <f>Page5_CHV_VE!C36</f>
        <v>NE PAS UTILISER</v>
      </c>
      <c r="C106" s="1038" t="str">
        <f>OR_VEH!D85</f>
        <v>431-002</v>
      </c>
      <c r="D106" s="7">
        <f>Page5_CHV_VE!F36</f>
        <v>0</v>
      </c>
      <c r="E106" s="7">
        <f>Page5_CHV_VE!K36</f>
        <v>0</v>
      </c>
      <c r="F106" t="str">
        <f t="shared" si="9"/>
        <v>01-00-431-002-UNIT-CURR</v>
      </c>
      <c r="G106" t="s">
        <v>127</v>
      </c>
      <c r="H106" t="s">
        <v>10287</v>
      </c>
      <c r="I106" t="s">
        <v>10253</v>
      </c>
      <c r="K106" s="1073" t="s">
        <v>10288</v>
      </c>
      <c r="L106" s="789" t="s">
        <v>10241</v>
      </c>
      <c r="M106" s="790" t="str">
        <f t="shared" si="10"/>
        <v>431</v>
      </c>
      <c r="N106" s="790" t="str">
        <f t="shared" si="11"/>
        <v>002</v>
      </c>
      <c r="O106" s="799" t="s">
        <v>10255</v>
      </c>
      <c r="P106" s="799" t="s">
        <v>10244</v>
      </c>
      <c r="R106" s="30"/>
    </row>
    <row r="107" spans="2:18">
      <c r="B107" s="5" t="str">
        <f>Page5_CHV_VE!C37</f>
        <v>NE PAS UTILISER</v>
      </c>
      <c r="C107" s="1038" t="str">
        <f>OR_VEH!D86</f>
        <v>432-002</v>
      </c>
      <c r="D107" s="7">
        <f>Page5_CHV_VE!F37</f>
        <v>0</v>
      </c>
      <c r="E107" s="7">
        <f>Page5_CHV_VE!K37</f>
        <v>0</v>
      </c>
      <c r="F107" t="str">
        <f t="shared" si="9"/>
        <v>01-00-432-002-UNIT-CURR</v>
      </c>
      <c r="G107" t="s">
        <v>127</v>
      </c>
      <c r="H107" t="s">
        <v>10287</v>
      </c>
      <c r="I107" t="s">
        <v>10253</v>
      </c>
      <c r="K107" s="1073" t="s">
        <v>10288</v>
      </c>
      <c r="L107" s="789" t="s">
        <v>10241</v>
      </c>
      <c r="M107" s="790" t="str">
        <f t="shared" si="10"/>
        <v>432</v>
      </c>
      <c r="N107" s="790" t="str">
        <f t="shared" si="11"/>
        <v>002</v>
      </c>
      <c r="O107" s="799" t="s">
        <v>10255</v>
      </c>
      <c r="P107" s="799" t="s">
        <v>10244</v>
      </c>
      <c r="R107" s="30"/>
    </row>
    <row r="108" spans="2:18">
      <c r="B108" s="5" t="str">
        <f>Page5_CHV_VE!C38</f>
        <v>NE PAS UTILISER</v>
      </c>
      <c r="C108" s="1038" t="str">
        <f>OR_VEH!D87</f>
        <v>433-002</v>
      </c>
      <c r="D108" s="7">
        <f>Page5_CHV_VE!F38</f>
        <v>0</v>
      </c>
      <c r="E108" s="7">
        <f>Page5_CHV_VE!K38</f>
        <v>0</v>
      </c>
      <c r="F108" t="str">
        <f t="shared" si="9"/>
        <v>01-00-433-002-UNIT-CURR</v>
      </c>
      <c r="G108" t="s">
        <v>127</v>
      </c>
      <c r="H108" t="s">
        <v>10287</v>
      </c>
      <c r="I108" t="s">
        <v>10253</v>
      </c>
      <c r="K108" s="1073" t="s">
        <v>10288</v>
      </c>
      <c r="L108" s="789" t="s">
        <v>10241</v>
      </c>
      <c r="M108" s="790" t="str">
        <f t="shared" si="10"/>
        <v>433</v>
      </c>
      <c r="N108" s="790" t="str">
        <f t="shared" si="11"/>
        <v>002</v>
      </c>
      <c r="O108" s="799" t="s">
        <v>10255</v>
      </c>
      <c r="P108" s="799" t="s">
        <v>10244</v>
      </c>
      <c r="R108" s="30"/>
    </row>
    <row r="109" spans="2:18">
      <c r="B109" s="5" t="str">
        <f>Page5_CHV_VE!C39</f>
        <v>NE PAS UTILISER</v>
      </c>
      <c r="C109" s="1038" t="str">
        <f>OR_VEH!D88</f>
        <v>434-002</v>
      </c>
      <c r="D109" s="7">
        <f>Page5_CHV_VE!F39</f>
        <v>0</v>
      </c>
      <c r="E109" s="7">
        <f>Page5_CHV_VE!K39</f>
        <v>0</v>
      </c>
      <c r="F109" t="str">
        <f t="shared" si="9"/>
        <v>01-00-434-002-UNIT-CURR</v>
      </c>
      <c r="G109" t="s">
        <v>127</v>
      </c>
      <c r="H109" t="s">
        <v>10287</v>
      </c>
      <c r="I109" t="s">
        <v>10253</v>
      </c>
      <c r="K109" s="1073" t="s">
        <v>10288</v>
      </c>
      <c r="L109" s="789" t="s">
        <v>10241</v>
      </c>
      <c r="M109" s="790" t="str">
        <f t="shared" si="10"/>
        <v>434</v>
      </c>
      <c r="N109" s="790" t="str">
        <f t="shared" si="11"/>
        <v>002</v>
      </c>
      <c r="O109" s="799" t="s">
        <v>10255</v>
      </c>
      <c r="P109" s="799" t="s">
        <v>10244</v>
      </c>
      <c r="R109" s="30"/>
    </row>
    <row r="110" spans="2:18">
      <c r="B110" s="5" t="str">
        <f>Page5_CHV_VE!C40</f>
        <v>NE PAS UTILISER</v>
      </c>
      <c r="C110" s="1038" t="str">
        <f>OR_VEH!D89</f>
        <v>435-002</v>
      </c>
      <c r="D110" s="7">
        <f>Page5_CHV_VE!F40</f>
        <v>0</v>
      </c>
      <c r="E110" s="7">
        <f>Page5_CHV_VE!K40</f>
        <v>0</v>
      </c>
      <c r="F110" t="str">
        <f t="shared" si="9"/>
        <v>01-00-435-002-UNIT-CURR</v>
      </c>
      <c r="G110" t="s">
        <v>127</v>
      </c>
      <c r="H110" t="s">
        <v>10287</v>
      </c>
      <c r="I110" t="s">
        <v>10253</v>
      </c>
      <c r="K110" s="1073" t="s">
        <v>10288</v>
      </c>
      <c r="L110" s="789" t="s">
        <v>10241</v>
      </c>
      <c r="M110" s="790" t="str">
        <f t="shared" si="10"/>
        <v>435</v>
      </c>
      <c r="N110" s="790" t="str">
        <f t="shared" si="11"/>
        <v>002</v>
      </c>
      <c r="O110" s="799" t="s">
        <v>10255</v>
      </c>
      <c r="P110" s="799" t="s">
        <v>10244</v>
      </c>
      <c r="R110" s="30"/>
    </row>
    <row r="111" spans="2:18">
      <c r="B111" s="5" t="str">
        <f>Page5_CHV_VE!C41</f>
        <v>NE PAS UTILISER</v>
      </c>
      <c r="C111" s="1038" t="str">
        <f>OR_VEH!D90</f>
        <v>436-002</v>
      </c>
      <c r="D111" s="7">
        <f>Page5_CHV_VE!F41</f>
        <v>0</v>
      </c>
      <c r="E111" s="7">
        <f>Page5_CHV_VE!K41</f>
        <v>0</v>
      </c>
      <c r="F111" t="str">
        <f t="shared" si="9"/>
        <v>01-00-436-002-UNIT-CURR</v>
      </c>
      <c r="G111" t="s">
        <v>127</v>
      </c>
      <c r="H111" t="s">
        <v>10287</v>
      </c>
      <c r="I111" t="s">
        <v>10253</v>
      </c>
      <c r="K111" s="1073" t="s">
        <v>10288</v>
      </c>
      <c r="L111" s="789" t="s">
        <v>10241</v>
      </c>
      <c r="M111" s="790" t="str">
        <f t="shared" si="10"/>
        <v>436</v>
      </c>
      <c r="N111" s="790" t="str">
        <f t="shared" si="11"/>
        <v>002</v>
      </c>
      <c r="O111" s="790" t="s">
        <v>10255</v>
      </c>
      <c r="P111" s="790" t="s">
        <v>10244</v>
      </c>
      <c r="R111" s="30"/>
    </row>
    <row r="112" spans="2:18">
      <c r="B112" s="5" t="str">
        <f>Page5_CHV_VE!C42</f>
        <v>NE PAS UTILISER</v>
      </c>
      <c r="C112" s="1038" t="str">
        <f>OR_VEH!D91</f>
        <v>437-002</v>
      </c>
      <c r="D112" s="7">
        <f>Page5_CHV_VE!F42</f>
        <v>0</v>
      </c>
      <c r="E112" s="7">
        <f>Page5_CHV_VE!K42</f>
        <v>0</v>
      </c>
      <c r="F112" t="str">
        <f t="shared" si="9"/>
        <v>01-00-437-002-UNIT-CURR</v>
      </c>
      <c r="G112" t="s">
        <v>127</v>
      </c>
      <c r="H112" t="s">
        <v>10287</v>
      </c>
      <c r="I112" t="s">
        <v>10253</v>
      </c>
      <c r="K112" s="1073" t="s">
        <v>10288</v>
      </c>
      <c r="L112" s="789" t="s">
        <v>10241</v>
      </c>
      <c r="M112" s="790" t="str">
        <f t="shared" si="10"/>
        <v>437</v>
      </c>
      <c r="N112" s="790" t="str">
        <f t="shared" si="11"/>
        <v>002</v>
      </c>
      <c r="O112" s="790" t="s">
        <v>10255</v>
      </c>
      <c r="P112" s="790" t="s">
        <v>10244</v>
      </c>
      <c r="R112" s="30"/>
    </row>
    <row r="113" spans="1:18">
      <c r="B113" s="5" t="str">
        <f>Page5_CHV_VE!C43</f>
        <v>NE PAS UTILISER</v>
      </c>
      <c r="C113" s="1038" t="str">
        <f>OR_VEH!D92</f>
        <v>438-002</v>
      </c>
      <c r="D113" s="7">
        <f>Page5_CHV_VE!F43</f>
        <v>0</v>
      </c>
      <c r="E113" s="7">
        <f>Page5_CHV_VE!K43</f>
        <v>0</v>
      </c>
      <c r="F113" t="str">
        <f t="shared" si="9"/>
        <v>01-00-438-002-UNIT-CURR</v>
      </c>
      <c r="G113" t="s">
        <v>127</v>
      </c>
      <c r="H113" t="s">
        <v>10287</v>
      </c>
      <c r="I113" t="s">
        <v>10253</v>
      </c>
      <c r="K113" s="1073" t="s">
        <v>10288</v>
      </c>
      <c r="L113" s="789" t="s">
        <v>10241</v>
      </c>
      <c r="M113" s="790" t="str">
        <f t="shared" si="10"/>
        <v>438</v>
      </c>
      <c r="N113" s="790" t="str">
        <f t="shared" si="11"/>
        <v>002</v>
      </c>
      <c r="O113" s="790" t="s">
        <v>10255</v>
      </c>
      <c r="P113" s="790" t="s">
        <v>10244</v>
      </c>
      <c r="R113" s="30"/>
    </row>
    <row r="114" spans="1:18">
      <c r="B114" s="51" t="s">
        <v>10304</v>
      </c>
      <c r="C114" s="1042"/>
      <c r="D114" s="7">
        <f>Page5_CHV_VE!F44</f>
        <v>3</v>
      </c>
      <c r="E114" s="7">
        <f>Page5_CHV_VE!K44</f>
        <v>11</v>
      </c>
      <c r="F114" t="str">
        <f t="shared" si="9"/>
        <v>01-00-RTLTRK5B-UNIT-CURR</v>
      </c>
      <c r="G114" t="s">
        <v>127</v>
      </c>
      <c r="H114" t="s">
        <v>10287</v>
      </c>
      <c r="I114" t="s">
        <v>10253</v>
      </c>
      <c r="J114" t="s">
        <v>10268</v>
      </c>
      <c r="K114" s="1073" t="s">
        <v>10288</v>
      </c>
      <c r="L114" s="789" t="s">
        <v>10241</v>
      </c>
      <c r="M114" s="790" t="s">
        <v>10305</v>
      </c>
      <c r="O114" s="790" t="s">
        <v>10255</v>
      </c>
      <c r="P114" s="790" t="s">
        <v>10244</v>
      </c>
      <c r="Q114" s="791" t="s">
        <v>773</v>
      </c>
    </row>
    <row r="115" spans="1:18">
      <c r="B115" s="5" t="str">
        <f>Page5_CHV_VE!C45</f>
        <v>MÉMO* VENTES INTERNET CAMIONS</v>
      </c>
      <c r="C115" s="1038" t="str">
        <f>OR_VEH!D94</f>
        <v>439P5B</v>
      </c>
      <c r="D115" s="7">
        <f>Page5_CHV_VE!F45</f>
        <v>0</v>
      </c>
      <c r="E115" s="7">
        <f>Page5_CHV_VE!K45</f>
        <v>0</v>
      </c>
      <c r="F115" t="str">
        <f t="shared" si="9"/>
        <v>01-00-439P5B-UNIT-CURR</v>
      </c>
      <c r="G115" t="s">
        <v>127</v>
      </c>
      <c r="H115" t="s">
        <v>10287</v>
      </c>
      <c r="I115" t="s">
        <v>10253</v>
      </c>
      <c r="K115" s="1073" t="s">
        <v>10288</v>
      </c>
      <c r="L115" s="789" t="s">
        <v>10241</v>
      </c>
      <c r="M115" s="855" t="str">
        <f>C115</f>
        <v>439P5B</v>
      </c>
      <c r="N115" s="855"/>
      <c r="O115" s="790" t="s">
        <v>10255</v>
      </c>
      <c r="P115" s="790" t="s">
        <v>10244</v>
      </c>
      <c r="R115" s="30"/>
    </row>
    <row r="116" spans="1:18">
      <c r="B116" s="5" t="str">
        <f>Page5_CHV_VE!C46</f>
        <v>TOTAL PARCS - CAMIONS</v>
      </c>
      <c r="C116" s="1038" t="str">
        <f>OR_VEH!D95</f>
        <v>440P5B</v>
      </c>
      <c r="D116" s="7">
        <f>Page5_CHV_VE!F46</f>
        <v>0</v>
      </c>
      <c r="E116" s="7">
        <f>Page5_CHV_VE!K46</f>
        <v>0</v>
      </c>
      <c r="F116" t="str">
        <f t="shared" si="9"/>
        <v>01-00-440P5B-UNIT-CURR</v>
      </c>
      <c r="G116" t="s">
        <v>127</v>
      </c>
      <c r="H116" t="s">
        <v>10287</v>
      </c>
      <c r="I116" t="s">
        <v>10253</v>
      </c>
      <c r="K116" s="1073" t="s">
        <v>10288</v>
      </c>
      <c r="L116" s="789" t="s">
        <v>10241</v>
      </c>
      <c r="M116" s="855" t="str">
        <f>C116</f>
        <v>440P5B</v>
      </c>
      <c r="N116" s="855"/>
      <c r="O116" s="790" t="s">
        <v>10255</v>
      </c>
      <c r="P116" s="790" t="s">
        <v>10244</v>
      </c>
      <c r="R116" s="30"/>
    </row>
    <row r="117" spans="1:18">
      <c r="B117" s="5" t="str">
        <f>Page5_CHV_VE!C47</f>
        <v xml:space="preserve">TOTAL IINTERNE - CAMIONS </v>
      </c>
      <c r="C117" s="1038" t="str">
        <f>OR_VEH!D96</f>
        <v>441P5B</v>
      </c>
      <c r="D117" s="7">
        <f>Page5_CHV_VE!F47</f>
        <v>0</v>
      </c>
      <c r="E117" s="7">
        <f>Page5_CHV_VE!K47</f>
        <v>0</v>
      </c>
      <c r="F117" t="str">
        <f t="shared" si="9"/>
        <v>01-00-441P5B-UNIT-CURR</v>
      </c>
      <c r="G117" t="s">
        <v>127</v>
      </c>
      <c r="H117" t="s">
        <v>10287</v>
      </c>
      <c r="I117" t="s">
        <v>10253</v>
      </c>
      <c r="K117" s="1073" t="s">
        <v>10288</v>
      </c>
      <c r="L117" s="789" t="s">
        <v>10241</v>
      </c>
      <c r="M117" s="855" t="str">
        <f>C117</f>
        <v>441P5B</v>
      </c>
      <c r="N117" s="855"/>
      <c r="O117" s="790" t="s">
        <v>10255</v>
      </c>
      <c r="P117" s="790" t="s">
        <v>10244</v>
      </c>
      <c r="R117" s="30"/>
    </row>
    <row r="118" spans="1:18">
      <c r="B118" s="27" t="s">
        <v>10306</v>
      </c>
      <c r="C118" s="1042"/>
      <c r="D118" s="7">
        <f>Page5_CHV_VE!F48</f>
        <v>3</v>
      </c>
      <c r="E118" s="7">
        <f>Page5_CHV_VE!K48</f>
        <v>11</v>
      </c>
      <c r="F118" t="str">
        <f t="shared" si="9"/>
        <v>01-00-TOTTRK5B-UNIT-CURR</v>
      </c>
      <c r="G118" t="s">
        <v>127</v>
      </c>
      <c r="H118" t="s">
        <v>10287</v>
      </c>
      <c r="I118" t="s">
        <v>10253</v>
      </c>
      <c r="J118" t="s">
        <v>10268</v>
      </c>
      <c r="K118" s="1073" t="s">
        <v>10288</v>
      </c>
      <c r="L118" s="789" t="s">
        <v>10241</v>
      </c>
      <c r="M118" s="790" t="s">
        <v>10307</v>
      </c>
      <c r="O118" s="790" t="s">
        <v>10255</v>
      </c>
      <c r="P118" s="790" t="s">
        <v>10244</v>
      </c>
      <c r="Q118" s="791" t="s">
        <v>773</v>
      </c>
    </row>
    <row r="119" spans="1:18">
      <c r="B119" s="5" t="str">
        <f>Page5_CHV_VE!C50</f>
        <v>ACCESSOIRES</v>
      </c>
      <c r="C119" s="1038" t="str">
        <f>OR_VEH!D99</f>
        <v>457P5B</v>
      </c>
      <c r="D119" s="7">
        <f>Page5_CHV_VE!F50</f>
        <v>0</v>
      </c>
      <c r="E119" s="7">
        <f>Page5_CHV_VE!K50</f>
        <v>0</v>
      </c>
      <c r="F119" t="str">
        <f t="shared" si="9"/>
        <v>01-00-457P5B-UNIT-CURR</v>
      </c>
      <c r="G119" t="s">
        <v>127</v>
      </c>
      <c r="H119" t="s">
        <v>10287</v>
      </c>
      <c r="I119" t="s">
        <v>10253</v>
      </c>
      <c r="K119" s="1073" t="s">
        <v>10288</v>
      </c>
      <c r="L119" s="789" t="s">
        <v>10241</v>
      </c>
      <c r="M119" s="855" t="str">
        <f>C119</f>
        <v>457P5B</v>
      </c>
      <c r="N119" s="855"/>
      <c r="O119" s="790" t="s">
        <v>10255</v>
      </c>
      <c r="P119" s="790" t="s">
        <v>10244</v>
      </c>
      <c r="R119" s="30"/>
    </row>
    <row r="120" spans="1:18">
      <c r="B120" s="27" t="s">
        <v>10308</v>
      </c>
      <c r="C120" s="1044"/>
      <c r="D120" s="7">
        <f>Page5_CHV_VE!$F$51</f>
        <v>3</v>
      </c>
      <c r="E120" s="7">
        <f>Page5_CHV_VE!$K$51</f>
        <v>11</v>
      </c>
      <c r="F120" t="str">
        <f t="shared" si="9"/>
        <v>01-00-TOTVEH5B-UNIT-CURR</v>
      </c>
      <c r="G120" t="s">
        <v>127</v>
      </c>
      <c r="H120" t="s">
        <v>10287</v>
      </c>
      <c r="I120" t="s">
        <v>10253</v>
      </c>
      <c r="J120" t="s">
        <v>10268</v>
      </c>
      <c r="K120" s="1073" t="s">
        <v>10288</v>
      </c>
      <c r="L120" s="789" t="s">
        <v>10241</v>
      </c>
      <c r="M120" s="790" t="s">
        <v>10309</v>
      </c>
      <c r="O120" s="790" t="s">
        <v>10255</v>
      </c>
      <c r="P120" s="790" t="s">
        <v>10244</v>
      </c>
      <c r="Q120" s="791" t="s">
        <v>773</v>
      </c>
    </row>
    <row r="121" spans="1:18">
      <c r="A121" s="805" t="s">
        <v>10310</v>
      </c>
      <c r="B121" s="5" t="str">
        <f>Page5_BUI_VE!C4</f>
        <v>NE PAS UTILISER</v>
      </c>
      <c r="C121" s="1045" t="str">
        <f>OR_VEH!D103</f>
        <v>400-003</v>
      </c>
      <c r="D121" s="7">
        <f>Page5_BUI_VE!F4</f>
        <v>0</v>
      </c>
      <c r="E121" s="7">
        <f>Page5_BUI_VE!K4</f>
        <v>0</v>
      </c>
      <c r="F121" t="str">
        <f t="shared" si="9"/>
        <v>01-00-400-003-UNIT-CURR</v>
      </c>
      <c r="G121" t="s">
        <v>127</v>
      </c>
      <c r="H121" t="s">
        <v>10287</v>
      </c>
      <c r="I121" t="s">
        <v>10253</v>
      </c>
      <c r="K121" s="1073" t="s">
        <v>10288</v>
      </c>
      <c r="L121" s="789" t="s">
        <v>10241</v>
      </c>
      <c r="M121" s="790" t="str">
        <f>LEFT(C121,3)</f>
        <v>400</v>
      </c>
      <c r="N121" s="790" t="str">
        <f>RIGHT(C121,3)</f>
        <v>003</v>
      </c>
      <c r="O121" s="799" t="s">
        <v>10255</v>
      </c>
      <c r="P121" s="799" t="s">
        <v>10244</v>
      </c>
      <c r="R121" s="30"/>
    </row>
    <row r="122" spans="1:18">
      <c r="B122" s="5" t="str">
        <f>Page5_BUI_VE!C5</f>
        <v>NE PAS UTILISER</v>
      </c>
      <c r="C122" s="1045" t="str">
        <f>OR_VEH!D104</f>
        <v>401-003</v>
      </c>
      <c r="D122" s="7">
        <f>Page5_BUI_VE!F5</f>
        <v>0</v>
      </c>
      <c r="E122" s="7">
        <f>Page5_BUI_VE!K5</f>
        <v>0</v>
      </c>
      <c r="F122" t="str">
        <f t="shared" si="9"/>
        <v>01-00-401-003-UNIT-CURR</v>
      </c>
      <c r="G122" t="s">
        <v>127</v>
      </c>
      <c r="H122" t="s">
        <v>10287</v>
      </c>
      <c r="I122" t="s">
        <v>10253</v>
      </c>
      <c r="K122" s="1073" t="s">
        <v>10288</v>
      </c>
      <c r="L122" s="789" t="s">
        <v>10241</v>
      </c>
      <c r="M122" s="790" t="str">
        <f t="shared" ref="M122:M139" si="12">LEFT(C122,3)</f>
        <v>401</v>
      </c>
      <c r="N122" s="790" t="str">
        <f t="shared" ref="N122:N139" si="13">RIGHT(C122,3)</f>
        <v>003</v>
      </c>
      <c r="O122" s="799" t="s">
        <v>10255</v>
      </c>
      <c r="P122" s="799" t="s">
        <v>10244</v>
      </c>
      <c r="R122" s="30"/>
    </row>
    <row r="123" spans="1:18">
      <c r="B123" s="5" t="str">
        <f>Page5_BUI_VE!C6</f>
        <v>NE PAS UTILISER</v>
      </c>
      <c r="C123" s="1045" t="str">
        <f>OR_VEH!D105</f>
        <v>402-003</v>
      </c>
      <c r="D123" s="7">
        <f>Page5_BUI_VE!F6</f>
        <v>0</v>
      </c>
      <c r="E123" s="7">
        <f>Page5_BUI_VE!K6</f>
        <v>0</v>
      </c>
      <c r="F123" t="str">
        <f t="shared" si="9"/>
        <v>01-00-402-003-UNIT-CURR</v>
      </c>
      <c r="G123" t="s">
        <v>127</v>
      </c>
      <c r="H123" t="s">
        <v>10287</v>
      </c>
      <c r="I123" t="s">
        <v>10253</v>
      </c>
      <c r="K123" s="1073" t="s">
        <v>10288</v>
      </c>
      <c r="L123" s="789" t="s">
        <v>10241</v>
      </c>
      <c r="M123" s="790" t="str">
        <f t="shared" si="12"/>
        <v>402</v>
      </c>
      <c r="N123" s="790" t="str">
        <f t="shared" si="13"/>
        <v>003</v>
      </c>
      <c r="O123" s="799" t="s">
        <v>10255</v>
      </c>
      <c r="P123" s="799" t="s">
        <v>10244</v>
      </c>
      <c r="R123" s="30"/>
    </row>
    <row r="124" spans="1:18">
      <c r="B124" s="5" t="str">
        <f>Page5_BUI_VE!C7</f>
        <v>NE PAS UTILISER</v>
      </c>
      <c r="C124" s="1045" t="str">
        <f>OR_VEH!D106</f>
        <v>403-003</v>
      </c>
      <c r="D124" s="7">
        <f>Page5_BUI_VE!F7</f>
        <v>0</v>
      </c>
      <c r="E124" s="7">
        <f>Page5_BUI_VE!K7</f>
        <v>0</v>
      </c>
      <c r="F124" t="str">
        <f t="shared" si="9"/>
        <v>01-00-403-003-UNIT-CURR</v>
      </c>
      <c r="G124" t="s">
        <v>127</v>
      </c>
      <c r="H124" t="s">
        <v>10287</v>
      </c>
      <c r="I124" t="s">
        <v>10253</v>
      </c>
      <c r="K124" s="1073" t="s">
        <v>10288</v>
      </c>
      <c r="L124" s="789" t="s">
        <v>10241</v>
      </c>
      <c r="M124" s="790" t="str">
        <f t="shared" si="12"/>
        <v>403</v>
      </c>
      <c r="N124" s="790" t="str">
        <f t="shared" si="13"/>
        <v>003</v>
      </c>
      <c r="O124" s="799" t="s">
        <v>10255</v>
      </c>
      <c r="P124" s="799" t="s">
        <v>10244</v>
      </c>
      <c r="R124" s="30"/>
    </row>
    <row r="125" spans="1:18">
      <c r="B125" s="5" t="str">
        <f>Page5_BUI_VE!C8</f>
        <v>NE PAS UTILISER</v>
      </c>
      <c r="C125" s="1045" t="str">
        <f>OR_VEH!D107</f>
        <v>404-003</v>
      </c>
      <c r="D125" s="7">
        <f>Page5_BUI_VE!F8</f>
        <v>0</v>
      </c>
      <c r="E125" s="7">
        <f>Page5_BUI_VE!K8</f>
        <v>0</v>
      </c>
      <c r="F125" t="str">
        <f t="shared" si="9"/>
        <v>01-00-404-003-UNIT-CURR</v>
      </c>
      <c r="G125" t="s">
        <v>127</v>
      </c>
      <c r="H125" t="s">
        <v>10287</v>
      </c>
      <c r="I125" t="s">
        <v>10253</v>
      </c>
      <c r="K125" s="1073" t="s">
        <v>10288</v>
      </c>
      <c r="L125" s="789" t="s">
        <v>10241</v>
      </c>
      <c r="M125" s="790" t="str">
        <f t="shared" si="12"/>
        <v>404</v>
      </c>
      <c r="N125" s="790" t="str">
        <f t="shared" si="13"/>
        <v>003</v>
      </c>
      <c r="O125" s="799" t="s">
        <v>10255</v>
      </c>
      <c r="P125" s="799" t="s">
        <v>10244</v>
      </c>
      <c r="R125" s="30"/>
    </row>
    <row r="126" spans="1:18">
      <c r="B126" s="5" t="str">
        <f>Page5_BUI_VE!C9</f>
        <v>NE PAS UTILISER</v>
      </c>
      <c r="C126" s="1045" t="str">
        <f>OR_VEH!D108</f>
        <v>405-003</v>
      </c>
      <c r="D126" s="7">
        <f>Page5_BUI_VE!F9</f>
        <v>0</v>
      </c>
      <c r="E126" s="7">
        <f>Page5_BUI_VE!K9</f>
        <v>0</v>
      </c>
      <c r="F126" t="str">
        <f t="shared" si="9"/>
        <v>01-00-405-003-UNIT-CURR</v>
      </c>
      <c r="G126" t="s">
        <v>127</v>
      </c>
      <c r="H126" t="s">
        <v>10287</v>
      </c>
      <c r="I126" t="s">
        <v>10253</v>
      </c>
      <c r="K126" s="1073" t="s">
        <v>10288</v>
      </c>
      <c r="L126" s="789" t="s">
        <v>10241</v>
      </c>
      <c r="M126" s="790" t="str">
        <f t="shared" si="12"/>
        <v>405</v>
      </c>
      <c r="N126" s="790" t="str">
        <f t="shared" si="13"/>
        <v>003</v>
      </c>
      <c r="O126" s="799" t="s">
        <v>10255</v>
      </c>
      <c r="P126" s="799" t="s">
        <v>10244</v>
      </c>
      <c r="R126" s="30"/>
    </row>
    <row r="127" spans="1:18">
      <c r="B127" s="5" t="str">
        <f>Page5_BUI_VE!C10</f>
        <v>NE PAS UTILISER</v>
      </c>
      <c r="C127" s="1045" t="str">
        <f>OR_VEH!D109</f>
        <v>406-003</v>
      </c>
      <c r="D127" s="7">
        <f>Page5_BUI_VE!F10</f>
        <v>0</v>
      </c>
      <c r="E127" s="7">
        <f>Page5_BUI_VE!K10</f>
        <v>0</v>
      </c>
      <c r="F127" t="str">
        <f t="shared" si="9"/>
        <v>01-00-406-003-UNIT-CURR</v>
      </c>
      <c r="G127" t="s">
        <v>127</v>
      </c>
      <c r="H127" t="s">
        <v>10287</v>
      </c>
      <c r="I127" t="s">
        <v>10253</v>
      </c>
      <c r="K127" s="1073" t="s">
        <v>10288</v>
      </c>
      <c r="L127" s="789" t="s">
        <v>10241</v>
      </c>
      <c r="M127" s="790" t="str">
        <f t="shared" si="12"/>
        <v>406</v>
      </c>
      <c r="N127" s="790" t="str">
        <f t="shared" si="13"/>
        <v>003</v>
      </c>
      <c r="O127" s="799" t="s">
        <v>10255</v>
      </c>
      <c r="P127" s="799" t="s">
        <v>10244</v>
      </c>
      <c r="R127" s="30"/>
    </row>
    <row r="128" spans="1:18">
      <c r="B128" s="5" t="str">
        <f>Page5_BUI_VE!C11</f>
        <v>NE PAS UTILISER</v>
      </c>
      <c r="C128" s="1045" t="str">
        <f>OR_VEH!D110</f>
        <v>407-003</v>
      </c>
      <c r="D128" s="7">
        <f>Page5_BUI_VE!F11</f>
        <v>0</v>
      </c>
      <c r="E128" s="7">
        <f>Page5_BUI_VE!K11</f>
        <v>0</v>
      </c>
      <c r="F128" t="str">
        <f t="shared" si="9"/>
        <v>01-00-407-003-UNIT-CURR</v>
      </c>
      <c r="G128" t="s">
        <v>127</v>
      </c>
      <c r="H128" t="s">
        <v>10287</v>
      </c>
      <c r="I128" t="s">
        <v>10253</v>
      </c>
      <c r="K128" s="1073" t="s">
        <v>10288</v>
      </c>
      <c r="L128" s="789" t="s">
        <v>10241</v>
      </c>
      <c r="M128" s="790" t="str">
        <f t="shared" si="12"/>
        <v>407</v>
      </c>
      <c r="N128" s="790" t="str">
        <f t="shared" si="13"/>
        <v>003</v>
      </c>
      <c r="O128" s="799" t="s">
        <v>10255</v>
      </c>
      <c r="P128" s="799" t="s">
        <v>10244</v>
      </c>
      <c r="R128" s="30"/>
    </row>
    <row r="129" spans="2:18">
      <c r="B129" s="5" t="str">
        <f>Page5_BUI_VE!C12</f>
        <v>NE PAS UTILISER</v>
      </c>
      <c r="C129" s="1045" t="str">
        <f>OR_VEH!D111</f>
        <v>408-003</v>
      </c>
      <c r="D129" s="7">
        <f>Page5_BUI_VE!F12</f>
        <v>0</v>
      </c>
      <c r="E129" s="7">
        <f>Page5_BUI_VE!K12</f>
        <v>0</v>
      </c>
      <c r="F129" t="str">
        <f t="shared" si="9"/>
        <v>01-00-408-003-UNIT-CURR</v>
      </c>
      <c r="G129" t="s">
        <v>127</v>
      </c>
      <c r="H129" t="s">
        <v>10287</v>
      </c>
      <c r="I129" t="s">
        <v>10253</v>
      </c>
      <c r="K129" s="1073" t="s">
        <v>10288</v>
      </c>
      <c r="L129" s="789" t="s">
        <v>10241</v>
      </c>
      <c r="M129" s="790" t="str">
        <f t="shared" si="12"/>
        <v>408</v>
      </c>
      <c r="N129" s="790" t="str">
        <f t="shared" si="13"/>
        <v>003</v>
      </c>
      <c r="O129" s="799" t="s">
        <v>10255</v>
      </c>
      <c r="P129" s="799" t="s">
        <v>10244</v>
      </c>
      <c r="R129" s="30"/>
    </row>
    <row r="130" spans="2:18">
      <c r="B130" s="5" t="str">
        <f>Page5_BUI_VE!C13</f>
        <v>NE PAS UTILISER</v>
      </c>
      <c r="C130" s="1045" t="str">
        <f>OR_VEH!D112</f>
        <v>409-003</v>
      </c>
      <c r="D130" s="7">
        <f>Page5_BUI_VE!F13</f>
        <v>0</v>
      </c>
      <c r="E130" s="7">
        <f>Page5_BUI_VE!K13</f>
        <v>0</v>
      </c>
      <c r="F130" t="str">
        <f t="shared" si="9"/>
        <v>01-00-409-003-UNIT-CURR</v>
      </c>
      <c r="G130" t="s">
        <v>127</v>
      </c>
      <c r="H130" t="s">
        <v>10287</v>
      </c>
      <c r="I130" t="s">
        <v>10253</v>
      </c>
      <c r="K130" s="1073" t="s">
        <v>10288</v>
      </c>
      <c r="L130" s="789" t="s">
        <v>10241</v>
      </c>
      <c r="M130" s="790" t="str">
        <f t="shared" si="12"/>
        <v>409</v>
      </c>
      <c r="N130" s="790" t="str">
        <f t="shared" si="13"/>
        <v>003</v>
      </c>
      <c r="O130" s="799" t="s">
        <v>10255</v>
      </c>
      <c r="P130" s="799" t="s">
        <v>10244</v>
      </c>
      <c r="R130" s="30"/>
    </row>
    <row r="131" spans="2:18">
      <c r="B131" s="5" t="str">
        <f>Page5_BUI_VE!C14</f>
        <v>NE PAS UTILISER</v>
      </c>
      <c r="C131" s="1045" t="str">
        <f>OR_VEH!D113</f>
        <v>410-003</v>
      </c>
      <c r="D131" s="7">
        <f>Page5_BUI_VE!F14</f>
        <v>0</v>
      </c>
      <c r="E131" s="7">
        <f>Page5_BUI_VE!K14</f>
        <v>0</v>
      </c>
      <c r="F131" t="str">
        <f t="shared" si="9"/>
        <v>01-00-410-003-UNIT-CURR</v>
      </c>
      <c r="G131" t="s">
        <v>127</v>
      </c>
      <c r="H131" t="s">
        <v>10287</v>
      </c>
      <c r="I131" t="s">
        <v>10253</v>
      </c>
      <c r="K131" s="1073" t="s">
        <v>10288</v>
      </c>
      <c r="L131" s="789" t="s">
        <v>10241</v>
      </c>
      <c r="M131" s="790" t="str">
        <f t="shared" si="12"/>
        <v>410</v>
      </c>
      <c r="N131" s="790" t="str">
        <f t="shared" si="13"/>
        <v>003</v>
      </c>
      <c r="O131" s="799" t="s">
        <v>10255</v>
      </c>
      <c r="P131" s="799" t="s">
        <v>10244</v>
      </c>
      <c r="R131" s="30"/>
    </row>
    <row r="132" spans="2:18">
      <c r="B132" s="5" t="str">
        <f>Page5_BUI_VE!C15</f>
        <v>NE PAS UTILISER</v>
      </c>
      <c r="C132" s="1045" t="str">
        <f>OR_VEH!D114</f>
        <v>411-003</v>
      </c>
      <c r="D132" s="7">
        <f>Page5_BUI_VE!F15</f>
        <v>0</v>
      </c>
      <c r="E132" s="7">
        <f>Page5_BUI_VE!K15</f>
        <v>0</v>
      </c>
      <c r="F132" t="str">
        <f t="shared" si="9"/>
        <v>01-00-411-003-UNIT-CURR</v>
      </c>
      <c r="G132" t="s">
        <v>127</v>
      </c>
      <c r="H132" t="s">
        <v>10287</v>
      </c>
      <c r="I132" t="s">
        <v>10253</v>
      </c>
      <c r="K132" s="1073" t="s">
        <v>10288</v>
      </c>
      <c r="L132" s="789" t="s">
        <v>10241</v>
      </c>
      <c r="M132" s="790" t="str">
        <f t="shared" si="12"/>
        <v>411</v>
      </c>
      <c r="N132" s="790" t="str">
        <f t="shared" si="13"/>
        <v>003</v>
      </c>
      <c r="O132" s="790" t="s">
        <v>10255</v>
      </c>
      <c r="P132" s="790" t="s">
        <v>10244</v>
      </c>
      <c r="R132" s="30"/>
    </row>
    <row r="133" spans="2:18">
      <c r="B133" s="5" t="str">
        <f>Page5_BUI_VE!C16</f>
        <v>NE PAS UTILISER</v>
      </c>
      <c r="C133" s="1045" t="str">
        <f>OR_VEH!D115</f>
        <v>412-003</v>
      </c>
      <c r="D133" s="7">
        <f>Page5_BUI_VE!F16</f>
        <v>0</v>
      </c>
      <c r="E133" s="7">
        <f>Page5_BUI_VE!K16</f>
        <v>0</v>
      </c>
      <c r="F133" t="str">
        <f t="shared" si="9"/>
        <v>01-00-412-003-UNIT-CURR</v>
      </c>
      <c r="G133" t="s">
        <v>127</v>
      </c>
      <c r="H133" t="s">
        <v>10287</v>
      </c>
      <c r="I133" t="s">
        <v>10253</v>
      </c>
      <c r="K133" s="1073" t="s">
        <v>10288</v>
      </c>
      <c r="L133" s="789" t="s">
        <v>10241</v>
      </c>
      <c r="M133" s="790" t="str">
        <f t="shared" si="12"/>
        <v>412</v>
      </c>
      <c r="N133" s="790" t="str">
        <f t="shared" si="13"/>
        <v>003</v>
      </c>
      <c r="O133" s="790" t="s">
        <v>10255</v>
      </c>
      <c r="P133" s="790" t="s">
        <v>10244</v>
      </c>
      <c r="R133" s="30"/>
    </row>
    <row r="134" spans="2:18">
      <c r="B134" s="5" t="str">
        <f>Page5_BUI_VE!C17</f>
        <v>NE PAS UTILISER</v>
      </c>
      <c r="C134" s="1045" t="str">
        <f>OR_VEH!D116</f>
        <v>413-003</v>
      </c>
      <c r="D134" s="7">
        <f>Page5_BUI_VE!F17</f>
        <v>0</v>
      </c>
      <c r="E134" s="7">
        <f>Page5_BUI_VE!K17</f>
        <v>0</v>
      </c>
      <c r="F134" t="str">
        <f t="shared" si="9"/>
        <v>01-00-413-003-UNIT-CURR</v>
      </c>
      <c r="G134" t="s">
        <v>127</v>
      </c>
      <c r="H134" t="s">
        <v>10287</v>
      </c>
      <c r="I134" t="s">
        <v>10253</v>
      </c>
      <c r="K134" s="1073" t="s">
        <v>10288</v>
      </c>
      <c r="L134" s="789" t="s">
        <v>10241</v>
      </c>
      <c r="M134" s="790" t="str">
        <f t="shared" si="12"/>
        <v>413</v>
      </c>
      <c r="N134" s="790" t="str">
        <f t="shared" si="13"/>
        <v>003</v>
      </c>
      <c r="O134" s="790" t="s">
        <v>10255</v>
      </c>
      <c r="P134" s="790" t="s">
        <v>10244</v>
      </c>
      <c r="R134" s="30"/>
    </row>
    <row r="135" spans="2:18">
      <c r="B135" s="5" t="str">
        <f>Page5_BUI_VE!C18</f>
        <v>NE PAS UTILISER</v>
      </c>
      <c r="C135" s="1045" t="str">
        <f>OR_VEH!D117</f>
        <v>414-003</v>
      </c>
      <c r="D135" s="7">
        <f>Page5_BUI_VE!F18</f>
        <v>0</v>
      </c>
      <c r="E135" s="7">
        <f>Page5_BUI_VE!K18</f>
        <v>0</v>
      </c>
      <c r="F135" t="str">
        <f t="shared" si="9"/>
        <v>01-00-414-003-UNIT-CURR</v>
      </c>
      <c r="G135" t="s">
        <v>127</v>
      </c>
      <c r="H135" t="s">
        <v>10287</v>
      </c>
      <c r="I135" t="s">
        <v>10253</v>
      </c>
      <c r="K135" s="1073" t="s">
        <v>10288</v>
      </c>
      <c r="L135" s="789" t="s">
        <v>10241</v>
      </c>
      <c r="M135" s="790" t="str">
        <f t="shared" si="12"/>
        <v>414</v>
      </c>
      <c r="N135" s="790" t="str">
        <f t="shared" si="13"/>
        <v>003</v>
      </c>
      <c r="O135" s="790" t="s">
        <v>10255</v>
      </c>
      <c r="P135" s="790" t="s">
        <v>10244</v>
      </c>
      <c r="R135" s="30"/>
    </row>
    <row r="136" spans="2:18">
      <c r="B136" s="5" t="str">
        <f>Page5_BUI_VE!C19</f>
        <v>NE PAS UTILISER</v>
      </c>
      <c r="C136" s="1045" t="str">
        <f>OR_VEH!D118</f>
        <v>415-003</v>
      </c>
      <c r="D136" s="7">
        <f>Page5_BUI_VE!F19</f>
        <v>0</v>
      </c>
      <c r="E136" s="7">
        <f>Page5_BUI_VE!K19</f>
        <v>0</v>
      </c>
      <c r="F136" t="str">
        <f t="shared" si="9"/>
        <v>01-00-415-003-UNIT-CURR</v>
      </c>
      <c r="G136" t="s">
        <v>127</v>
      </c>
      <c r="H136" t="s">
        <v>10287</v>
      </c>
      <c r="I136" t="s">
        <v>10253</v>
      </c>
      <c r="K136" s="1073" t="s">
        <v>10288</v>
      </c>
      <c r="L136" s="789" t="s">
        <v>10241</v>
      </c>
      <c r="M136" s="790" t="str">
        <f t="shared" si="12"/>
        <v>415</v>
      </c>
      <c r="N136" s="790" t="str">
        <f t="shared" si="13"/>
        <v>003</v>
      </c>
      <c r="O136" s="790" t="s">
        <v>10255</v>
      </c>
      <c r="P136" s="790" t="s">
        <v>10244</v>
      </c>
      <c r="R136" s="30"/>
    </row>
    <row r="137" spans="2:18">
      <c r="B137" s="5" t="str">
        <f>Page5_BUI_VE!C20</f>
        <v>NE PAS UTILISER</v>
      </c>
      <c r="C137" s="1045" t="str">
        <f>OR_VEH!D119</f>
        <v>416-003</v>
      </c>
      <c r="D137" s="7">
        <f>Page5_BUI_VE!F20</f>
        <v>0</v>
      </c>
      <c r="E137" s="7">
        <f>Page5_BUI_VE!K20</f>
        <v>0</v>
      </c>
      <c r="F137" t="str">
        <f t="shared" si="9"/>
        <v>01-00-416-003-UNIT-CURR</v>
      </c>
      <c r="G137" t="s">
        <v>127</v>
      </c>
      <c r="H137" t="s">
        <v>10287</v>
      </c>
      <c r="I137" t="s">
        <v>10253</v>
      </c>
      <c r="K137" s="1073" t="s">
        <v>10288</v>
      </c>
      <c r="L137" s="789" t="s">
        <v>10241</v>
      </c>
      <c r="M137" s="790" t="str">
        <f t="shared" si="12"/>
        <v>416</v>
      </c>
      <c r="N137" s="790" t="str">
        <f t="shared" si="13"/>
        <v>003</v>
      </c>
      <c r="O137" s="790" t="s">
        <v>10255</v>
      </c>
      <c r="P137" s="790" t="s">
        <v>10244</v>
      </c>
      <c r="R137" s="30"/>
    </row>
    <row r="138" spans="2:18">
      <c r="B138" s="5" t="str">
        <f>Page5_BUI_VE!C21</f>
        <v>NE PAS UTILISER</v>
      </c>
      <c r="C138" s="1045" t="str">
        <f>OR_VEH!D120</f>
        <v>417-003</v>
      </c>
      <c r="D138" s="7">
        <f>Page5_BUI_VE!F21</f>
        <v>0</v>
      </c>
      <c r="E138" s="7">
        <f>Page5_BUI_VE!K21</f>
        <v>0</v>
      </c>
      <c r="F138" t="str">
        <f t="shared" si="9"/>
        <v>01-00-417-003-UNIT-CURR</v>
      </c>
      <c r="G138" t="s">
        <v>127</v>
      </c>
      <c r="H138" t="s">
        <v>10287</v>
      </c>
      <c r="I138" t="s">
        <v>10253</v>
      </c>
      <c r="K138" s="1073" t="s">
        <v>10288</v>
      </c>
      <c r="L138" s="789" t="s">
        <v>10241</v>
      </c>
      <c r="M138" s="790" t="str">
        <f t="shared" si="12"/>
        <v>417</v>
      </c>
      <c r="N138" s="790" t="str">
        <f t="shared" si="13"/>
        <v>003</v>
      </c>
      <c r="O138" s="790" t="s">
        <v>10255</v>
      </c>
      <c r="P138" s="790" t="s">
        <v>10244</v>
      </c>
      <c r="R138" s="30"/>
    </row>
    <row r="139" spans="2:18">
      <c r="B139" s="5" t="str">
        <f>Page5_BUI_VE!C22</f>
        <v>NE PAS UTILISER</v>
      </c>
      <c r="C139" s="1045" t="str">
        <f>OR_VEH!D121</f>
        <v>418-003</v>
      </c>
      <c r="D139" s="7">
        <f>Page5_BUI_VE!F22</f>
        <v>0</v>
      </c>
      <c r="E139" s="7">
        <f>Page5_BUI_VE!K22</f>
        <v>0</v>
      </c>
      <c r="F139" t="str">
        <f t="shared" si="9"/>
        <v>01-00-418-003-UNIT-CURR</v>
      </c>
      <c r="G139" t="s">
        <v>127</v>
      </c>
      <c r="H139" t="s">
        <v>10287</v>
      </c>
      <c r="I139" t="s">
        <v>10253</v>
      </c>
      <c r="K139" s="1073" t="s">
        <v>10288</v>
      </c>
      <c r="L139" s="789" t="s">
        <v>10241</v>
      </c>
      <c r="M139" s="790" t="str">
        <f t="shared" si="12"/>
        <v>418</v>
      </c>
      <c r="N139" s="790" t="str">
        <f t="shared" si="13"/>
        <v>003</v>
      </c>
      <c r="O139" s="799" t="s">
        <v>10255</v>
      </c>
      <c r="P139" s="799" t="s">
        <v>10244</v>
      </c>
      <c r="R139" s="30"/>
    </row>
    <row r="140" spans="2:18">
      <c r="B140" s="27" t="s">
        <v>10311</v>
      </c>
      <c r="C140" s="1042"/>
      <c r="D140" s="7">
        <f>Page5_BUI_VE!F23</f>
        <v>0</v>
      </c>
      <c r="E140" s="7">
        <f>Page5_BUI_VE!K23</f>
        <v>0</v>
      </c>
      <c r="F140" t="str">
        <f t="shared" si="9"/>
        <v>01-00-RTLCAR5C-UNIT-CURR</v>
      </c>
      <c r="G140" t="s">
        <v>127</v>
      </c>
      <c r="H140" t="s">
        <v>10287</v>
      </c>
      <c r="I140" t="s">
        <v>10253</v>
      </c>
      <c r="J140" t="s">
        <v>10268</v>
      </c>
      <c r="K140" s="1073" t="s">
        <v>10288</v>
      </c>
      <c r="L140" s="789" t="s">
        <v>10241</v>
      </c>
      <c r="M140" s="790" t="s">
        <v>10312</v>
      </c>
      <c r="O140" s="790" t="s">
        <v>10255</v>
      </c>
      <c r="P140" s="790" t="s">
        <v>10244</v>
      </c>
      <c r="Q140" s="791" t="s">
        <v>773</v>
      </c>
    </row>
    <row r="141" spans="2:18">
      <c r="B141" s="5" t="str">
        <f>Page5_BUI_VE!C24</f>
        <v>MÉMO* VENTES INTERNET VOITURES</v>
      </c>
      <c r="C141" s="1045" t="str">
        <f>OR_VEH!D123</f>
        <v>419P5C</v>
      </c>
      <c r="D141" s="7">
        <f>Page5_BUI_VE!F24</f>
        <v>0</v>
      </c>
      <c r="E141" s="7">
        <f>Page5_BUI_VE!K24</f>
        <v>0</v>
      </c>
      <c r="F141" t="str">
        <f t="shared" si="9"/>
        <v>01-00-419P5C-UNIT-CURR</v>
      </c>
      <c r="G141" t="s">
        <v>127</v>
      </c>
      <c r="H141" t="s">
        <v>10287</v>
      </c>
      <c r="I141" t="s">
        <v>10253</v>
      </c>
      <c r="K141" s="1073" t="s">
        <v>10288</v>
      </c>
      <c r="L141" s="789" t="s">
        <v>10241</v>
      </c>
      <c r="M141" s="855" t="str">
        <f>C141</f>
        <v>419P5C</v>
      </c>
      <c r="N141" s="855"/>
      <c r="O141" s="790" t="s">
        <v>10255</v>
      </c>
      <c r="P141" s="790" t="s">
        <v>10244</v>
      </c>
      <c r="R141" s="30"/>
    </row>
    <row r="142" spans="2:18">
      <c r="B142" s="5" t="str">
        <f>Page5_BUI_VE!C25</f>
        <v>TOTAL PARCS - VOITURES</v>
      </c>
      <c r="C142" s="1045" t="str">
        <f>OR_VEH!D124</f>
        <v>420P5C</v>
      </c>
      <c r="D142" s="7">
        <f>Page5_BUI_VE!F25</f>
        <v>0</v>
      </c>
      <c r="E142" s="7">
        <f>Page5_BUI_VE!K25</f>
        <v>0</v>
      </c>
      <c r="F142" t="str">
        <f t="shared" si="9"/>
        <v>01-00-420P5C-UNIT-CURR</v>
      </c>
      <c r="G142" t="s">
        <v>127</v>
      </c>
      <c r="H142" t="s">
        <v>10287</v>
      </c>
      <c r="I142" t="s">
        <v>10253</v>
      </c>
      <c r="K142" s="1073" t="s">
        <v>10288</v>
      </c>
      <c r="L142" s="789" t="s">
        <v>10241</v>
      </c>
      <c r="M142" s="855" t="str">
        <f>C142</f>
        <v>420P5C</v>
      </c>
      <c r="N142" s="855"/>
      <c r="O142" s="799" t="s">
        <v>10255</v>
      </c>
      <c r="P142" s="799" t="s">
        <v>10244</v>
      </c>
      <c r="R142" s="30"/>
    </row>
    <row r="143" spans="2:18">
      <c r="B143" s="5" t="str">
        <f>Page5_BUI_VE!C26</f>
        <v>TOTAL INTERNE - VOITURES</v>
      </c>
      <c r="C143" s="1045" t="str">
        <f>OR_VEH!D125</f>
        <v>421P5C</v>
      </c>
      <c r="D143" s="7">
        <f>Page5_BUI_VE!F26</f>
        <v>0</v>
      </c>
      <c r="E143" s="7">
        <f>Page5_BUI_VE!K26</f>
        <v>0</v>
      </c>
      <c r="F143" t="str">
        <f t="shared" si="9"/>
        <v>01-00-421P5C-UNIT-CURR</v>
      </c>
      <c r="G143" t="s">
        <v>127</v>
      </c>
      <c r="H143" t="s">
        <v>10287</v>
      </c>
      <c r="I143" t="s">
        <v>10253</v>
      </c>
      <c r="K143" s="1073" t="s">
        <v>10288</v>
      </c>
      <c r="L143" s="789" t="s">
        <v>10241</v>
      </c>
      <c r="M143" s="855" t="str">
        <f>C143</f>
        <v>421P5C</v>
      </c>
      <c r="N143" s="855"/>
      <c r="O143" s="799" t="s">
        <v>10255</v>
      </c>
      <c r="P143" s="799" t="s">
        <v>10244</v>
      </c>
      <c r="R143" s="30"/>
    </row>
    <row r="144" spans="2:18">
      <c r="B144" s="27" t="s">
        <v>10313</v>
      </c>
      <c r="C144" s="1042"/>
      <c r="D144" s="7">
        <f>Page5_BUI_VE!F27</f>
        <v>0</v>
      </c>
      <c r="E144" s="7">
        <f>Page5_BUI_VE!K27</f>
        <v>0</v>
      </c>
      <c r="F144" t="str">
        <f t="shared" si="9"/>
        <v>01-00-TOTCAR5C-UNIT-CURR</v>
      </c>
      <c r="G144" t="s">
        <v>127</v>
      </c>
      <c r="H144" t="s">
        <v>10287</v>
      </c>
      <c r="I144" t="s">
        <v>10253</v>
      </c>
      <c r="J144" t="s">
        <v>10268</v>
      </c>
      <c r="K144" s="1073" t="s">
        <v>10288</v>
      </c>
      <c r="L144" s="789" t="s">
        <v>10241</v>
      </c>
      <c r="M144" s="790" t="s">
        <v>10314</v>
      </c>
      <c r="O144" s="790" t="s">
        <v>10255</v>
      </c>
      <c r="P144" s="790" t="s">
        <v>10244</v>
      </c>
      <c r="Q144" s="791" t="s">
        <v>773</v>
      </c>
    </row>
    <row r="145" spans="2:18">
      <c r="B145" s="5" t="str">
        <f>Page5_BUI_VE!C28</f>
        <v>NE PAS UTILISER</v>
      </c>
      <c r="C145" s="1045" t="str">
        <f>OR_VEH!D127</f>
        <v>423-003</v>
      </c>
      <c r="D145" s="7">
        <f>Page5_BUI_VE!F28</f>
        <v>0</v>
      </c>
      <c r="E145" s="7">
        <f>Page5_BUI_VE!K28</f>
        <v>0</v>
      </c>
      <c r="F145" t="str">
        <f t="shared" si="9"/>
        <v>01-00-423-003-UNIT-CURR</v>
      </c>
      <c r="G145" t="s">
        <v>127</v>
      </c>
      <c r="H145" t="s">
        <v>10287</v>
      </c>
      <c r="I145" t="s">
        <v>10253</v>
      </c>
      <c r="K145" s="1073" t="s">
        <v>10288</v>
      </c>
      <c r="L145" s="789" t="s">
        <v>10241</v>
      </c>
      <c r="M145" s="790" t="str">
        <f t="shared" ref="M145:M160" si="14">LEFT(C145,3)</f>
        <v>423</v>
      </c>
      <c r="N145" s="790" t="str">
        <f t="shared" ref="N145:N160" si="15">RIGHT(C145,3)</f>
        <v>003</v>
      </c>
      <c r="O145" s="799" t="s">
        <v>10255</v>
      </c>
      <c r="P145" s="799" t="s">
        <v>10244</v>
      </c>
      <c r="R145" s="30"/>
    </row>
    <row r="146" spans="2:18">
      <c r="B146" s="5" t="str">
        <f>Page5_BUI_VE!C29</f>
        <v>NE PAS UTILISER</v>
      </c>
      <c r="C146" s="1045" t="str">
        <f>OR_VEH!D128</f>
        <v>424-003</v>
      </c>
      <c r="D146" s="7">
        <f>Page5_BUI_VE!F29</f>
        <v>0</v>
      </c>
      <c r="E146" s="7">
        <f>Page5_BUI_VE!K29</f>
        <v>0</v>
      </c>
      <c r="F146" t="str">
        <f t="shared" si="9"/>
        <v>01-00-424-003-UNIT-CURR</v>
      </c>
      <c r="G146" t="s">
        <v>127</v>
      </c>
      <c r="H146" t="s">
        <v>10287</v>
      </c>
      <c r="I146" t="s">
        <v>10253</v>
      </c>
      <c r="K146" s="1073" t="s">
        <v>10288</v>
      </c>
      <c r="L146" s="789" t="s">
        <v>10241</v>
      </c>
      <c r="M146" s="790" t="str">
        <f t="shared" si="14"/>
        <v>424</v>
      </c>
      <c r="N146" s="790" t="str">
        <f t="shared" si="15"/>
        <v>003</v>
      </c>
      <c r="O146" s="799" t="s">
        <v>10255</v>
      </c>
      <c r="P146" s="799" t="s">
        <v>10244</v>
      </c>
      <c r="R146" s="30"/>
    </row>
    <row r="147" spans="2:18">
      <c r="B147" s="5" t="str">
        <f>Page5_BUI_VE!C30</f>
        <v>NE PAS UTILISER</v>
      </c>
      <c r="C147" s="1045" t="str">
        <f>OR_VEH!D129</f>
        <v>425-003</v>
      </c>
      <c r="D147" s="7">
        <f>Page5_BUI_VE!F30</f>
        <v>0</v>
      </c>
      <c r="E147" s="7">
        <f>Page5_BUI_VE!K30</f>
        <v>0</v>
      </c>
      <c r="F147" t="str">
        <f t="shared" si="9"/>
        <v>01-00-425-003-UNIT-CURR</v>
      </c>
      <c r="G147" t="s">
        <v>127</v>
      </c>
      <c r="H147" t="s">
        <v>10287</v>
      </c>
      <c r="I147" t="s">
        <v>10253</v>
      </c>
      <c r="K147" s="1073" t="s">
        <v>10288</v>
      </c>
      <c r="L147" s="789" t="s">
        <v>10241</v>
      </c>
      <c r="M147" s="790" t="str">
        <f t="shared" si="14"/>
        <v>425</v>
      </c>
      <c r="N147" s="790" t="str">
        <f t="shared" si="15"/>
        <v>003</v>
      </c>
      <c r="O147" s="790" t="s">
        <v>10255</v>
      </c>
      <c r="P147" s="790" t="s">
        <v>10244</v>
      </c>
      <c r="R147" s="30"/>
    </row>
    <row r="148" spans="2:18">
      <c r="B148" s="5" t="str">
        <f>Page5_BUI_VE!C31</f>
        <v>NE PAS UTILISER</v>
      </c>
      <c r="C148" s="1045" t="str">
        <f>OR_VEH!D130</f>
        <v>426-003</v>
      </c>
      <c r="D148" s="7">
        <f>Page5_BUI_VE!F31</f>
        <v>0</v>
      </c>
      <c r="E148" s="7">
        <f>Page5_BUI_VE!K31</f>
        <v>0</v>
      </c>
      <c r="F148" t="str">
        <f t="shared" si="9"/>
        <v>01-00-426-003-UNIT-CURR</v>
      </c>
      <c r="G148" t="s">
        <v>127</v>
      </c>
      <c r="H148" t="s">
        <v>10287</v>
      </c>
      <c r="I148" t="s">
        <v>10253</v>
      </c>
      <c r="K148" s="1073" t="s">
        <v>10288</v>
      </c>
      <c r="L148" s="789" t="s">
        <v>10241</v>
      </c>
      <c r="M148" s="790" t="str">
        <f t="shared" si="14"/>
        <v>426</v>
      </c>
      <c r="N148" s="790" t="str">
        <f t="shared" si="15"/>
        <v>003</v>
      </c>
      <c r="O148" s="790" t="s">
        <v>10255</v>
      </c>
      <c r="P148" s="790" t="s">
        <v>10244</v>
      </c>
      <c r="R148" s="30"/>
    </row>
    <row r="149" spans="2:18">
      <c r="B149" s="5" t="str">
        <f>Page5_BUI_VE!C32</f>
        <v>NE PAS UTILISER</v>
      </c>
      <c r="C149" s="1045" t="str">
        <f>OR_VEH!D131</f>
        <v>427-003</v>
      </c>
      <c r="D149" s="7">
        <f>Page5_BUI_VE!F32</f>
        <v>0</v>
      </c>
      <c r="E149" s="7">
        <f>Page5_BUI_VE!K32</f>
        <v>0</v>
      </c>
      <c r="F149" t="str">
        <f t="shared" si="9"/>
        <v>01-00-427-003-UNIT-CURR</v>
      </c>
      <c r="G149" t="s">
        <v>127</v>
      </c>
      <c r="H149" t="s">
        <v>10287</v>
      </c>
      <c r="I149" t="s">
        <v>10253</v>
      </c>
      <c r="K149" s="1073" t="s">
        <v>10288</v>
      </c>
      <c r="L149" s="789" t="s">
        <v>10241</v>
      </c>
      <c r="M149" s="790" t="str">
        <f t="shared" si="14"/>
        <v>427</v>
      </c>
      <c r="N149" s="790" t="str">
        <f t="shared" si="15"/>
        <v>003</v>
      </c>
      <c r="O149" s="790" t="s">
        <v>10255</v>
      </c>
      <c r="P149" s="790" t="s">
        <v>10244</v>
      </c>
      <c r="R149" s="30"/>
    </row>
    <row r="150" spans="2:18">
      <c r="B150" s="5" t="str">
        <f>Page5_BUI_VE!C33</f>
        <v>NE PAS UTILISER</v>
      </c>
      <c r="C150" s="1045" t="str">
        <f>OR_VEH!D132</f>
        <v>428-003</v>
      </c>
      <c r="D150" s="7">
        <f>Page5_BUI_VE!F33</f>
        <v>0</v>
      </c>
      <c r="E150" s="7">
        <f>Page5_BUI_VE!K33</f>
        <v>0</v>
      </c>
      <c r="F150" t="str">
        <f t="shared" si="9"/>
        <v>01-00-428-003-UNIT-CURR</v>
      </c>
      <c r="G150" t="s">
        <v>127</v>
      </c>
      <c r="H150" t="s">
        <v>10287</v>
      </c>
      <c r="I150" t="s">
        <v>10253</v>
      </c>
      <c r="K150" s="1073" t="s">
        <v>10288</v>
      </c>
      <c r="L150" s="789" t="s">
        <v>10241</v>
      </c>
      <c r="M150" s="790" t="str">
        <f t="shared" si="14"/>
        <v>428</v>
      </c>
      <c r="N150" s="790" t="str">
        <f t="shared" si="15"/>
        <v>003</v>
      </c>
      <c r="O150" s="790" t="s">
        <v>10255</v>
      </c>
      <c r="P150" s="790" t="s">
        <v>10244</v>
      </c>
      <c r="R150" s="30"/>
    </row>
    <row r="151" spans="2:18">
      <c r="B151" s="5" t="str">
        <f>Page5_BUI_VE!C34</f>
        <v>NE PAS UTILISER</v>
      </c>
      <c r="C151" s="1045" t="str">
        <f>OR_VEH!D133</f>
        <v>429-003</v>
      </c>
      <c r="D151" s="7">
        <f>Page5_BUI_VE!F34</f>
        <v>0</v>
      </c>
      <c r="E151" s="7">
        <f>Page5_BUI_VE!K34</f>
        <v>0</v>
      </c>
      <c r="F151" t="str">
        <f t="shared" si="9"/>
        <v>01-00-429-003-UNIT-CURR</v>
      </c>
      <c r="G151" t="s">
        <v>127</v>
      </c>
      <c r="H151" t="s">
        <v>10287</v>
      </c>
      <c r="I151" t="s">
        <v>10253</v>
      </c>
      <c r="K151" s="1073" t="s">
        <v>10288</v>
      </c>
      <c r="L151" s="789" t="s">
        <v>10241</v>
      </c>
      <c r="M151" s="790" t="str">
        <f t="shared" si="14"/>
        <v>429</v>
      </c>
      <c r="N151" s="790" t="str">
        <f t="shared" si="15"/>
        <v>003</v>
      </c>
      <c r="O151" s="790" t="s">
        <v>10255</v>
      </c>
      <c r="P151" s="790" t="s">
        <v>10244</v>
      </c>
      <c r="R151" s="30"/>
    </row>
    <row r="152" spans="2:18">
      <c r="B152" s="5" t="str">
        <f>Page5_BUI_VE!C35</f>
        <v>NE PAS UTILISER</v>
      </c>
      <c r="C152" s="1045" t="str">
        <f>OR_VEH!D134</f>
        <v>430-003</v>
      </c>
      <c r="D152" s="7">
        <f>Page5_BUI_VE!F35</f>
        <v>0</v>
      </c>
      <c r="E152" s="7">
        <f>Page5_BUI_VE!K35</f>
        <v>0</v>
      </c>
      <c r="F152" t="str">
        <f t="shared" si="9"/>
        <v>01-00-430-003-UNIT-CURR</v>
      </c>
      <c r="G152" t="s">
        <v>127</v>
      </c>
      <c r="H152" t="s">
        <v>10287</v>
      </c>
      <c r="I152" t="s">
        <v>10253</v>
      </c>
      <c r="K152" s="1073" t="s">
        <v>10288</v>
      </c>
      <c r="L152" s="789" t="s">
        <v>10241</v>
      </c>
      <c r="M152" s="790" t="str">
        <f t="shared" si="14"/>
        <v>430</v>
      </c>
      <c r="N152" s="790" t="str">
        <f t="shared" si="15"/>
        <v>003</v>
      </c>
      <c r="O152" s="790" t="s">
        <v>10255</v>
      </c>
      <c r="P152" s="790" t="s">
        <v>10244</v>
      </c>
      <c r="R152" s="30"/>
    </row>
    <row r="153" spans="2:18">
      <c r="B153" s="5" t="str">
        <f>Page5_BUI_VE!C36</f>
        <v>NE PAS UTILISER</v>
      </c>
      <c r="C153" s="1045" t="str">
        <f>OR_VEH!D135</f>
        <v>431-003</v>
      </c>
      <c r="D153" s="7">
        <f>Page5_BUI_VE!F36</f>
        <v>0</v>
      </c>
      <c r="E153" s="7">
        <f>Page5_BUI_VE!K36</f>
        <v>0</v>
      </c>
      <c r="F153" t="str">
        <f t="shared" si="9"/>
        <v>01-00-431-003-UNIT-CURR</v>
      </c>
      <c r="G153" t="s">
        <v>127</v>
      </c>
      <c r="H153" t="s">
        <v>10287</v>
      </c>
      <c r="I153" t="s">
        <v>10253</v>
      </c>
      <c r="K153" s="1073" t="s">
        <v>10288</v>
      </c>
      <c r="L153" s="789" t="s">
        <v>10241</v>
      </c>
      <c r="M153" s="790" t="str">
        <f t="shared" si="14"/>
        <v>431</v>
      </c>
      <c r="N153" s="790" t="str">
        <f t="shared" si="15"/>
        <v>003</v>
      </c>
      <c r="O153" s="790" t="s">
        <v>10255</v>
      </c>
      <c r="P153" s="790" t="s">
        <v>10244</v>
      </c>
      <c r="R153" s="30"/>
    </row>
    <row r="154" spans="2:18">
      <c r="B154" s="5" t="str">
        <f>Page5_BUI_VE!C37</f>
        <v>NE PAS UTILISER</v>
      </c>
      <c r="C154" s="1045" t="str">
        <f>OR_VEH!D136</f>
        <v>432-003</v>
      </c>
      <c r="D154" s="7">
        <f>Page5_BUI_VE!F37</f>
        <v>0</v>
      </c>
      <c r="E154" s="7">
        <f>Page5_BUI_VE!K37</f>
        <v>0</v>
      </c>
      <c r="F154" t="str">
        <f t="shared" si="9"/>
        <v>01-00-432-003-UNIT-CURR</v>
      </c>
      <c r="G154" t="s">
        <v>127</v>
      </c>
      <c r="H154" t="s">
        <v>10287</v>
      </c>
      <c r="I154" t="s">
        <v>10253</v>
      </c>
      <c r="K154" s="1073" t="s">
        <v>10288</v>
      </c>
      <c r="L154" s="789" t="s">
        <v>10241</v>
      </c>
      <c r="M154" s="790" t="str">
        <f t="shared" si="14"/>
        <v>432</v>
      </c>
      <c r="N154" s="790" t="str">
        <f t="shared" si="15"/>
        <v>003</v>
      </c>
      <c r="O154" s="790" t="s">
        <v>10255</v>
      </c>
      <c r="P154" s="790" t="s">
        <v>10244</v>
      </c>
      <c r="R154" s="30"/>
    </row>
    <row r="155" spans="2:18">
      <c r="B155" s="5" t="str">
        <f>Page5_BUI_VE!C38</f>
        <v>NE PAS UTILISER</v>
      </c>
      <c r="C155" s="1045" t="str">
        <f>OR_VEH!D137</f>
        <v>433-003</v>
      </c>
      <c r="D155" s="7">
        <f>Page5_BUI_VE!F38</f>
        <v>0</v>
      </c>
      <c r="E155" s="7">
        <f>Page5_BUI_VE!K38</f>
        <v>0</v>
      </c>
      <c r="F155" t="str">
        <f t="shared" ref="F155:F218" si="16">TEXT(K155,"00")&amp;"-"&amp;L155&amp;IF(M155="","","-"&amp;M155)&amp;IF(N155="","","-"&amp;N155)&amp;IF(OR(O155="",O155=0),"","-"&amp;O155)&amp;IF(P155="","","-"&amp;P155)</f>
        <v>01-00-433-003-UNIT-CURR</v>
      </c>
      <c r="G155" t="s">
        <v>127</v>
      </c>
      <c r="H155" t="s">
        <v>10287</v>
      </c>
      <c r="I155" t="s">
        <v>10253</v>
      </c>
      <c r="K155" s="1073" t="s">
        <v>10288</v>
      </c>
      <c r="L155" s="789" t="s">
        <v>10241</v>
      </c>
      <c r="M155" s="790" t="str">
        <f t="shared" si="14"/>
        <v>433</v>
      </c>
      <c r="N155" s="790" t="str">
        <f t="shared" si="15"/>
        <v>003</v>
      </c>
      <c r="O155" s="790" t="s">
        <v>10255</v>
      </c>
      <c r="P155" s="790" t="s">
        <v>10244</v>
      </c>
      <c r="R155" s="30"/>
    </row>
    <row r="156" spans="2:18">
      <c r="B156" s="5" t="str">
        <f>Page5_BUI_VE!C39</f>
        <v>NE PAS UTILISER</v>
      </c>
      <c r="C156" s="1045" t="str">
        <f>OR_VEH!D138</f>
        <v>434-003</v>
      </c>
      <c r="D156" s="7">
        <f>Page5_BUI_VE!F39</f>
        <v>0</v>
      </c>
      <c r="E156" s="7">
        <f>Page5_BUI_VE!K39</f>
        <v>0</v>
      </c>
      <c r="F156" t="str">
        <f t="shared" si="16"/>
        <v>01-00-434-003-UNIT-CURR</v>
      </c>
      <c r="G156" t="s">
        <v>127</v>
      </c>
      <c r="H156" t="s">
        <v>10287</v>
      </c>
      <c r="I156" t="s">
        <v>10253</v>
      </c>
      <c r="K156" s="1073" t="s">
        <v>10288</v>
      </c>
      <c r="L156" s="789" t="s">
        <v>10241</v>
      </c>
      <c r="M156" s="790" t="str">
        <f t="shared" si="14"/>
        <v>434</v>
      </c>
      <c r="N156" s="790" t="str">
        <f t="shared" si="15"/>
        <v>003</v>
      </c>
      <c r="O156" s="790" t="s">
        <v>10255</v>
      </c>
      <c r="P156" s="790" t="s">
        <v>10244</v>
      </c>
      <c r="R156" s="30"/>
    </row>
    <row r="157" spans="2:18">
      <c r="B157" s="5" t="str">
        <f>Page5_BUI_VE!C40</f>
        <v>NE PAS UTILISER</v>
      </c>
      <c r="C157" s="1045" t="str">
        <f>OR_VEH!D139</f>
        <v>435-003</v>
      </c>
      <c r="D157" s="7">
        <f>Page5_BUI_VE!F40</f>
        <v>0</v>
      </c>
      <c r="E157" s="7">
        <f>Page5_BUI_VE!K40</f>
        <v>0</v>
      </c>
      <c r="F157" t="str">
        <f t="shared" si="16"/>
        <v>01-00-435-003-UNIT-CURR</v>
      </c>
      <c r="G157" t="s">
        <v>127</v>
      </c>
      <c r="H157" t="s">
        <v>10287</v>
      </c>
      <c r="I157" t="s">
        <v>10253</v>
      </c>
      <c r="K157" s="1073" t="s">
        <v>10288</v>
      </c>
      <c r="L157" s="789" t="s">
        <v>10241</v>
      </c>
      <c r="M157" s="790" t="str">
        <f t="shared" si="14"/>
        <v>435</v>
      </c>
      <c r="N157" s="790" t="str">
        <f t="shared" si="15"/>
        <v>003</v>
      </c>
      <c r="O157" s="790" t="s">
        <v>10255</v>
      </c>
      <c r="P157" s="790" t="s">
        <v>10244</v>
      </c>
      <c r="R157" s="30"/>
    </row>
    <row r="158" spans="2:18">
      <c r="B158" s="5" t="str">
        <f>Page5_BUI_VE!C41</f>
        <v>NE PAS UTILISER</v>
      </c>
      <c r="C158" s="1045" t="str">
        <f>OR_VEH!D140</f>
        <v>436-003</v>
      </c>
      <c r="D158" s="7">
        <f>Page5_BUI_VE!F41</f>
        <v>0</v>
      </c>
      <c r="E158" s="7">
        <f>Page5_BUI_VE!K41</f>
        <v>0</v>
      </c>
      <c r="F158" t="str">
        <f t="shared" si="16"/>
        <v>01-00-436-003-UNIT-CURR</v>
      </c>
      <c r="G158" t="s">
        <v>127</v>
      </c>
      <c r="H158" t="s">
        <v>10287</v>
      </c>
      <c r="I158" t="s">
        <v>10253</v>
      </c>
      <c r="K158" s="1073" t="s">
        <v>10288</v>
      </c>
      <c r="L158" s="789" t="s">
        <v>10241</v>
      </c>
      <c r="M158" s="790" t="str">
        <f t="shared" si="14"/>
        <v>436</v>
      </c>
      <c r="N158" s="790" t="str">
        <f t="shared" si="15"/>
        <v>003</v>
      </c>
      <c r="O158" s="790" t="s">
        <v>10255</v>
      </c>
      <c r="P158" s="790" t="s">
        <v>10244</v>
      </c>
      <c r="R158" s="30"/>
    </row>
    <row r="159" spans="2:18">
      <c r="B159" s="5" t="str">
        <f>Page5_BUI_VE!C42</f>
        <v>NE PAS UTILISER</v>
      </c>
      <c r="C159" s="1045" t="str">
        <f>OR_VEH!D141</f>
        <v>437-003</v>
      </c>
      <c r="D159" s="7">
        <f>Page5_BUI_VE!F42</f>
        <v>0</v>
      </c>
      <c r="E159" s="7">
        <f>Page5_BUI_VE!K42</f>
        <v>0</v>
      </c>
      <c r="F159" t="str">
        <f t="shared" si="16"/>
        <v>01-00-437-003-UNIT-CURR</v>
      </c>
      <c r="G159" t="s">
        <v>127</v>
      </c>
      <c r="H159" t="s">
        <v>10287</v>
      </c>
      <c r="I159" t="s">
        <v>10253</v>
      </c>
      <c r="K159" s="1073" t="s">
        <v>10288</v>
      </c>
      <c r="L159" s="789" t="s">
        <v>10241</v>
      </c>
      <c r="M159" s="790" t="str">
        <f t="shared" si="14"/>
        <v>437</v>
      </c>
      <c r="N159" s="790" t="str">
        <f t="shared" si="15"/>
        <v>003</v>
      </c>
      <c r="O159" s="790" t="s">
        <v>10255</v>
      </c>
      <c r="P159" s="790" t="s">
        <v>10244</v>
      </c>
      <c r="R159" s="30"/>
    </row>
    <row r="160" spans="2:18">
      <c r="B160" s="5" t="str">
        <f>Page5_BUI_VE!C43</f>
        <v>NE PAS UTILISER</v>
      </c>
      <c r="C160" s="1045" t="str">
        <f>OR_VEH!D142</f>
        <v>438-001</v>
      </c>
      <c r="D160" s="7">
        <f>Page5_BUI_VE!F43</f>
        <v>0</v>
      </c>
      <c r="E160" s="7">
        <f>Page5_BUI_VE!K43</f>
        <v>0</v>
      </c>
      <c r="F160" t="str">
        <f t="shared" si="16"/>
        <v>01-00-438-001-UNIT-CURR</v>
      </c>
      <c r="G160" t="s">
        <v>127</v>
      </c>
      <c r="H160" t="s">
        <v>10287</v>
      </c>
      <c r="I160" t="s">
        <v>10253</v>
      </c>
      <c r="K160" s="1073" t="s">
        <v>10288</v>
      </c>
      <c r="L160" s="789" t="s">
        <v>10241</v>
      </c>
      <c r="M160" s="790" t="str">
        <f t="shared" si="14"/>
        <v>438</v>
      </c>
      <c r="N160" s="790" t="str">
        <f t="shared" si="15"/>
        <v>001</v>
      </c>
      <c r="O160" s="790" t="s">
        <v>10255</v>
      </c>
      <c r="P160" s="790" t="s">
        <v>10244</v>
      </c>
      <c r="R160" s="30"/>
    </row>
    <row r="161" spans="1:18">
      <c r="B161" s="51" t="s">
        <v>10315</v>
      </c>
      <c r="C161" s="1042"/>
      <c r="D161" s="7">
        <f>Page5_BUI_VE!F44</f>
        <v>0</v>
      </c>
      <c r="E161" s="7">
        <f>Page5_BUI_VE!K44</f>
        <v>0</v>
      </c>
      <c r="F161" t="str">
        <f t="shared" si="16"/>
        <v>01-00-RTLTRK5C-UNIT-CURR</v>
      </c>
      <c r="G161" t="s">
        <v>127</v>
      </c>
      <c r="H161" t="s">
        <v>10287</v>
      </c>
      <c r="I161" t="s">
        <v>10253</v>
      </c>
      <c r="J161" t="s">
        <v>10268</v>
      </c>
      <c r="K161" s="1073" t="s">
        <v>10288</v>
      </c>
      <c r="L161" s="789" t="s">
        <v>10241</v>
      </c>
      <c r="M161" s="790" t="s">
        <v>10316</v>
      </c>
      <c r="O161" s="790" t="s">
        <v>10255</v>
      </c>
      <c r="P161" s="790" t="s">
        <v>10244</v>
      </c>
      <c r="Q161" s="791" t="s">
        <v>773</v>
      </c>
    </row>
    <row r="162" spans="1:18">
      <c r="B162" s="5" t="str">
        <f>Page5_BUI_VE!C45</f>
        <v>MÉMO* VENTES INTERNET CAMIONS</v>
      </c>
      <c r="C162" s="1045" t="str">
        <f>OR_VEH!D144</f>
        <v>439P5C</v>
      </c>
      <c r="D162" s="7">
        <f>Page5_BUI_VE!F45</f>
        <v>0</v>
      </c>
      <c r="E162" s="7">
        <f>Page5_BUI_VE!K45</f>
        <v>0</v>
      </c>
      <c r="F162" t="str">
        <f t="shared" si="16"/>
        <v>01-00-439P5C-UNIT-CURR</v>
      </c>
      <c r="G162" t="s">
        <v>127</v>
      </c>
      <c r="H162" t="s">
        <v>10287</v>
      </c>
      <c r="I162" t="s">
        <v>10253</v>
      </c>
      <c r="K162" s="1073" t="s">
        <v>10288</v>
      </c>
      <c r="L162" s="789" t="s">
        <v>10241</v>
      </c>
      <c r="M162" s="855" t="str">
        <f>C162</f>
        <v>439P5C</v>
      </c>
      <c r="N162" s="855"/>
      <c r="O162" s="790" t="s">
        <v>10255</v>
      </c>
      <c r="P162" s="790" t="s">
        <v>10244</v>
      </c>
      <c r="R162" s="30"/>
    </row>
    <row r="163" spans="1:18">
      <c r="B163" s="5" t="str">
        <f>Page5_BUI_VE!C46</f>
        <v>TOTAL PARCS - CAMIONS</v>
      </c>
      <c r="C163" s="1045" t="str">
        <f>OR_VEH!D145</f>
        <v>440P5C</v>
      </c>
      <c r="D163" s="7">
        <f>Page5_BUI_VE!F46</f>
        <v>0</v>
      </c>
      <c r="E163" s="7">
        <f>Page5_BUI_VE!K46</f>
        <v>0</v>
      </c>
      <c r="F163" t="str">
        <f t="shared" si="16"/>
        <v>01-00-440P5C-UNIT-CURR</v>
      </c>
      <c r="G163" t="s">
        <v>127</v>
      </c>
      <c r="H163" t="s">
        <v>10287</v>
      </c>
      <c r="I163" t="s">
        <v>10253</v>
      </c>
      <c r="K163" s="1073" t="s">
        <v>10288</v>
      </c>
      <c r="L163" s="789" t="s">
        <v>10241</v>
      </c>
      <c r="M163" s="855" t="str">
        <f>C163</f>
        <v>440P5C</v>
      </c>
      <c r="N163" s="855"/>
      <c r="O163" s="790" t="s">
        <v>10255</v>
      </c>
      <c r="P163" s="790" t="s">
        <v>10244</v>
      </c>
      <c r="R163" s="30"/>
    </row>
    <row r="164" spans="1:18">
      <c r="B164" s="5" t="str">
        <f>Page5_BUI_VE!C47</f>
        <v xml:space="preserve">TOTAL IINTERNE - CAMIONS </v>
      </c>
      <c r="C164" s="1045" t="str">
        <f>OR_VEH!D146</f>
        <v>441P5C</v>
      </c>
      <c r="D164" s="7">
        <f>Page5_BUI_VE!F47</f>
        <v>0</v>
      </c>
      <c r="E164" s="7">
        <f>Page5_BUI_VE!K47</f>
        <v>0</v>
      </c>
      <c r="F164" t="str">
        <f t="shared" si="16"/>
        <v>01-00-441P5C-UNIT-CURR</v>
      </c>
      <c r="G164" t="s">
        <v>127</v>
      </c>
      <c r="H164" t="s">
        <v>10287</v>
      </c>
      <c r="I164" t="s">
        <v>10253</v>
      </c>
      <c r="K164" s="1073" t="s">
        <v>10288</v>
      </c>
      <c r="L164" s="789" t="s">
        <v>10241</v>
      </c>
      <c r="M164" s="855" t="str">
        <f>C164</f>
        <v>441P5C</v>
      </c>
      <c r="N164" s="855"/>
      <c r="O164" s="790" t="s">
        <v>10255</v>
      </c>
      <c r="P164" s="790" t="s">
        <v>10244</v>
      </c>
      <c r="R164" s="30"/>
    </row>
    <row r="165" spans="1:18">
      <c r="B165" s="27" t="s">
        <v>10317</v>
      </c>
      <c r="C165" s="1042"/>
      <c r="D165" s="7">
        <f>Page5_BUI_VE!F48</f>
        <v>0</v>
      </c>
      <c r="E165" s="7">
        <f>Page5_BUI_VE!K48</f>
        <v>0</v>
      </c>
      <c r="F165" t="str">
        <f t="shared" si="16"/>
        <v>01-00-TOTTRK5C-UNIT-CURR</v>
      </c>
      <c r="G165" t="s">
        <v>127</v>
      </c>
      <c r="H165" t="s">
        <v>10287</v>
      </c>
      <c r="I165" t="s">
        <v>10253</v>
      </c>
      <c r="J165" t="s">
        <v>10268</v>
      </c>
      <c r="K165" s="1073" t="s">
        <v>10288</v>
      </c>
      <c r="L165" s="789" t="s">
        <v>10241</v>
      </c>
      <c r="M165" s="790" t="s">
        <v>10318</v>
      </c>
      <c r="O165" s="790" t="s">
        <v>10255</v>
      </c>
      <c r="P165" s="790" t="s">
        <v>10244</v>
      </c>
      <c r="Q165" s="791" t="s">
        <v>773</v>
      </c>
    </row>
    <row r="166" spans="1:18">
      <c r="B166" s="5" t="str">
        <f>Page5_BUI_VE!C50</f>
        <v>ACCESSOIRES</v>
      </c>
      <c r="C166" s="1045" t="str">
        <f>OR_VEH!D149</f>
        <v>457P5C</v>
      </c>
      <c r="D166" s="7">
        <f>Page5_BUI_VE!F50</f>
        <v>0</v>
      </c>
      <c r="E166" s="7">
        <f>Page5_BUI_VE!K50</f>
        <v>0</v>
      </c>
      <c r="F166" t="str">
        <f t="shared" si="16"/>
        <v>01-00-457P5C-UNIT-CURR</v>
      </c>
      <c r="G166" t="s">
        <v>127</v>
      </c>
      <c r="H166" t="s">
        <v>10287</v>
      </c>
      <c r="I166" t="s">
        <v>10253</v>
      </c>
      <c r="K166" s="1073" t="s">
        <v>10288</v>
      </c>
      <c r="L166" s="789" t="s">
        <v>10241</v>
      </c>
      <c r="M166" s="855" t="str">
        <f>C166</f>
        <v>457P5C</v>
      </c>
      <c r="N166" s="855"/>
      <c r="O166" s="790" t="s">
        <v>10255</v>
      </c>
      <c r="P166" s="790" t="s">
        <v>10244</v>
      </c>
      <c r="R166" s="30"/>
    </row>
    <row r="167" spans="1:18">
      <c r="B167" s="27" t="s">
        <v>10319</v>
      </c>
      <c r="C167" s="1046"/>
      <c r="D167" s="7">
        <f>Page5_BUI_VE!F51</f>
        <v>0</v>
      </c>
      <c r="E167" s="7">
        <f>Page5_BUI_VE!K51</f>
        <v>0</v>
      </c>
      <c r="F167" t="str">
        <f t="shared" si="16"/>
        <v>01-00-TOTVEH5C-UNIT-CURR</v>
      </c>
      <c r="G167" t="s">
        <v>127</v>
      </c>
      <c r="H167" t="s">
        <v>10287</v>
      </c>
      <c r="I167" t="s">
        <v>10253</v>
      </c>
      <c r="J167" t="s">
        <v>10268</v>
      </c>
      <c r="K167" s="1073" t="s">
        <v>10288</v>
      </c>
      <c r="L167" s="789" t="s">
        <v>10241</v>
      </c>
      <c r="M167" s="790" t="s">
        <v>10320</v>
      </c>
      <c r="O167" s="790" t="s">
        <v>10255</v>
      </c>
      <c r="P167" s="790" t="s">
        <v>10244</v>
      </c>
      <c r="Q167" s="791" t="s">
        <v>773</v>
      </c>
    </row>
    <row r="168" spans="1:18">
      <c r="A168" s="805" t="s">
        <v>10321</v>
      </c>
      <c r="B168" s="5" t="str">
        <f>Page5_BUI_MCI!C4</f>
        <v>REGAL</v>
      </c>
      <c r="C168" s="1045" t="str">
        <f>OR_VEH!D153</f>
        <v>400-004</v>
      </c>
      <c r="D168" s="7">
        <f>Page5_BUI_MCI!F4</f>
        <v>0</v>
      </c>
      <c r="E168" s="7">
        <f>Page5_BUI_MCI!K4</f>
        <v>0</v>
      </c>
      <c r="F168" t="str">
        <f t="shared" si="16"/>
        <v>01-00-400-004-UNIT-CURR</v>
      </c>
      <c r="G168" t="s">
        <v>127</v>
      </c>
      <c r="H168" t="s">
        <v>10287</v>
      </c>
      <c r="I168" t="s">
        <v>10253</v>
      </c>
      <c r="K168" s="1073" t="s">
        <v>10288</v>
      </c>
      <c r="L168" s="789" t="s">
        <v>10241</v>
      </c>
      <c r="M168" s="790" t="str">
        <f t="shared" ref="M168:M186" si="17">LEFT(C168,3)</f>
        <v>400</v>
      </c>
      <c r="N168" s="790" t="str">
        <f t="shared" ref="N168:N186" si="18">RIGHT(C168,3)</f>
        <v>004</v>
      </c>
      <c r="O168" s="799" t="s">
        <v>10255</v>
      </c>
      <c r="P168" s="799" t="s">
        <v>10244</v>
      </c>
      <c r="R168" s="30"/>
    </row>
    <row r="169" spans="1:18">
      <c r="B169" s="5" t="str">
        <f>Page5_BUI_MCI!C5</f>
        <v>LACROSSE</v>
      </c>
      <c r="C169" s="1045" t="str">
        <f>OR_VEH!D154</f>
        <v>401-004</v>
      </c>
      <c r="D169" s="7">
        <f>Page5_BUI_MCI!F5</f>
        <v>0</v>
      </c>
      <c r="E169" s="7">
        <f>Page5_BUI_MCI!K5</f>
        <v>0</v>
      </c>
      <c r="F169" t="str">
        <f t="shared" si="16"/>
        <v>01-00-401-004-UNIT-CURR</v>
      </c>
      <c r="G169" t="s">
        <v>127</v>
      </c>
      <c r="H169" t="s">
        <v>10287</v>
      </c>
      <c r="I169" t="s">
        <v>10253</v>
      </c>
      <c r="K169" s="1073" t="s">
        <v>10288</v>
      </c>
      <c r="L169" s="789" t="s">
        <v>10241</v>
      </c>
      <c r="M169" s="790" t="str">
        <f t="shared" si="17"/>
        <v>401</v>
      </c>
      <c r="N169" s="790" t="str">
        <f t="shared" si="18"/>
        <v>004</v>
      </c>
      <c r="O169" s="799" t="s">
        <v>10255</v>
      </c>
      <c r="P169" s="799" t="s">
        <v>10244</v>
      </c>
      <c r="R169" s="30"/>
    </row>
    <row r="170" spans="1:18">
      <c r="B170" s="5" t="str">
        <f>Page5_BUI_MCI!C6</f>
        <v>VERANO</v>
      </c>
      <c r="C170" s="1045" t="str">
        <f>OR_VEH!D155</f>
        <v>402-004</v>
      </c>
      <c r="D170" s="7">
        <f>Page5_BUI_MCI!F6</f>
        <v>0</v>
      </c>
      <c r="E170" s="7">
        <f>Page5_BUI_MCI!K6</f>
        <v>0</v>
      </c>
      <c r="F170" t="str">
        <f t="shared" si="16"/>
        <v>01-00-402-004-UNIT-CURR</v>
      </c>
      <c r="G170" t="s">
        <v>127</v>
      </c>
      <c r="H170" t="s">
        <v>10287</v>
      </c>
      <c r="I170" t="s">
        <v>10253</v>
      </c>
      <c r="K170" s="1073" t="s">
        <v>10288</v>
      </c>
      <c r="L170" s="789" t="s">
        <v>10241</v>
      </c>
      <c r="M170" s="790" t="str">
        <f t="shared" si="17"/>
        <v>402</v>
      </c>
      <c r="N170" s="790" t="str">
        <f t="shared" si="18"/>
        <v>004</v>
      </c>
      <c r="O170" s="799" t="s">
        <v>10255</v>
      </c>
      <c r="P170" s="799" t="s">
        <v>10244</v>
      </c>
      <c r="R170" s="30"/>
    </row>
    <row r="171" spans="1:18">
      <c r="B171" s="5" t="str">
        <f>Page5_BUI_MCI!C7</f>
        <v>NE PAS UTILISER</v>
      </c>
      <c r="C171" s="1045" t="str">
        <f>OR_VEH!D156</f>
        <v>403-004</v>
      </c>
      <c r="D171" s="7">
        <f>Page5_BUI_MCI!F7</f>
        <v>0</v>
      </c>
      <c r="E171" s="7">
        <f>Page5_BUI_MCI!K7</f>
        <v>0</v>
      </c>
      <c r="F171" t="str">
        <f t="shared" si="16"/>
        <v>01-00-403-004-UNIT-CURR</v>
      </c>
      <c r="G171" t="s">
        <v>127</v>
      </c>
      <c r="H171" t="s">
        <v>10287</v>
      </c>
      <c r="I171" t="s">
        <v>10253</v>
      </c>
      <c r="K171" s="1073" t="s">
        <v>10288</v>
      </c>
      <c r="L171" s="789" t="s">
        <v>10241</v>
      </c>
      <c r="M171" s="790" t="str">
        <f t="shared" si="17"/>
        <v>403</v>
      </c>
      <c r="N171" s="790" t="str">
        <f t="shared" si="18"/>
        <v>004</v>
      </c>
      <c r="O171" s="799" t="s">
        <v>10255</v>
      </c>
      <c r="P171" s="799" t="s">
        <v>10244</v>
      </c>
      <c r="R171" s="30"/>
    </row>
    <row r="172" spans="1:18">
      <c r="B172" s="5" t="str">
        <f>Page5_BUI_MCI!C8</f>
        <v>NE PAS UTILISER</v>
      </c>
      <c r="C172" s="1045" t="str">
        <f>OR_VEH!D157</f>
        <v>404-004</v>
      </c>
      <c r="D172" s="7">
        <f>Page5_BUI_MCI!F8</f>
        <v>0</v>
      </c>
      <c r="E172" s="7">
        <f>Page5_BUI_MCI!K8</f>
        <v>0</v>
      </c>
      <c r="F172" t="str">
        <f t="shared" si="16"/>
        <v>01-00-404-004-UNIT-CURR</v>
      </c>
      <c r="G172" t="s">
        <v>127</v>
      </c>
      <c r="H172" t="s">
        <v>10287</v>
      </c>
      <c r="I172" t="s">
        <v>10253</v>
      </c>
      <c r="K172" s="1073" t="s">
        <v>10288</v>
      </c>
      <c r="L172" s="789" t="s">
        <v>10241</v>
      </c>
      <c r="M172" s="790" t="str">
        <f t="shared" si="17"/>
        <v>404</v>
      </c>
      <c r="N172" s="790" t="str">
        <f t="shared" si="18"/>
        <v>004</v>
      </c>
      <c r="O172" s="799" t="s">
        <v>10255</v>
      </c>
      <c r="P172" s="799" t="s">
        <v>10244</v>
      </c>
      <c r="R172" s="30"/>
    </row>
    <row r="173" spans="1:18">
      <c r="B173" s="5" t="str">
        <f>Page5_BUI_MCI!C9</f>
        <v>NE PAS UTILISER</v>
      </c>
      <c r="C173" s="1045" t="str">
        <f>OR_VEH!D158</f>
        <v>405-004</v>
      </c>
      <c r="D173" s="7">
        <f>Page5_BUI_MCI!F9</f>
        <v>0</v>
      </c>
      <c r="E173" s="7">
        <f>Page5_BUI_MCI!K9</f>
        <v>0</v>
      </c>
      <c r="F173" t="str">
        <f t="shared" si="16"/>
        <v>01-00-405-004-UNIT-CURR</v>
      </c>
      <c r="G173" t="s">
        <v>127</v>
      </c>
      <c r="H173" t="s">
        <v>10287</v>
      </c>
      <c r="I173" t="s">
        <v>10253</v>
      </c>
      <c r="K173" s="1073" t="s">
        <v>10288</v>
      </c>
      <c r="L173" s="789" t="s">
        <v>10241</v>
      </c>
      <c r="M173" s="790" t="str">
        <f t="shared" si="17"/>
        <v>405</v>
      </c>
      <c r="N173" s="790" t="str">
        <f t="shared" si="18"/>
        <v>004</v>
      </c>
      <c r="O173" s="799" t="s">
        <v>10255</v>
      </c>
      <c r="P173" s="799" t="s">
        <v>10244</v>
      </c>
      <c r="R173" s="30"/>
    </row>
    <row r="174" spans="1:18">
      <c r="B174" s="5" t="str">
        <f>Page5_BUI_MCI!C10</f>
        <v>NE PAS UTILISER</v>
      </c>
      <c r="C174" s="1045" t="str">
        <f>OR_VEH!D159</f>
        <v>406-004</v>
      </c>
      <c r="D174" s="7">
        <f>Page5_BUI_MCI!F10</f>
        <v>0</v>
      </c>
      <c r="E174" s="7">
        <f>Page5_BUI_MCI!K10</f>
        <v>0</v>
      </c>
      <c r="F174" t="str">
        <f t="shared" si="16"/>
        <v>01-00-406-004-UNIT-CURR</v>
      </c>
      <c r="G174" t="s">
        <v>127</v>
      </c>
      <c r="H174" t="s">
        <v>10287</v>
      </c>
      <c r="I174" t="s">
        <v>10253</v>
      </c>
      <c r="K174" s="1073" t="s">
        <v>10288</v>
      </c>
      <c r="L174" s="789" t="s">
        <v>10241</v>
      </c>
      <c r="M174" s="790" t="str">
        <f t="shared" si="17"/>
        <v>406</v>
      </c>
      <c r="N174" s="790" t="str">
        <f t="shared" si="18"/>
        <v>004</v>
      </c>
      <c r="O174" s="790" t="s">
        <v>10255</v>
      </c>
      <c r="P174" s="790" t="s">
        <v>10244</v>
      </c>
      <c r="R174" s="30"/>
    </row>
    <row r="175" spans="1:18">
      <c r="B175" s="5" t="str">
        <f>Page5_BUI_MCI!C11</f>
        <v>NE PAS UTILISER</v>
      </c>
      <c r="C175" s="1045" t="str">
        <f>OR_VEH!D160</f>
        <v>407-004</v>
      </c>
      <c r="D175" s="7">
        <f>Page5_BUI_MCI!F11</f>
        <v>0</v>
      </c>
      <c r="E175" s="7">
        <f>Page5_BUI_MCI!K11</f>
        <v>0</v>
      </c>
      <c r="F175" t="str">
        <f t="shared" si="16"/>
        <v>01-00-407-004-UNIT-CURR</v>
      </c>
      <c r="G175" t="s">
        <v>127</v>
      </c>
      <c r="H175" t="s">
        <v>10287</v>
      </c>
      <c r="I175" t="s">
        <v>10253</v>
      </c>
      <c r="K175" s="1073" t="s">
        <v>10288</v>
      </c>
      <c r="L175" s="789" t="s">
        <v>10241</v>
      </c>
      <c r="M175" s="790" t="str">
        <f t="shared" si="17"/>
        <v>407</v>
      </c>
      <c r="N175" s="790" t="str">
        <f t="shared" si="18"/>
        <v>004</v>
      </c>
      <c r="O175" s="799" t="s">
        <v>10255</v>
      </c>
      <c r="P175" s="799" t="s">
        <v>10244</v>
      </c>
      <c r="R175" s="30"/>
    </row>
    <row r="176" spans="1:18">
      <c r="B176" s="5" t="str">
        <f>Page5_BUI_MCI!C12</f>
        <v>NE PAS UTILISER</v>
      </c>
      <c r="C176" s="1045" t="str">
        <f>OR_VEH!D161</f>
        <v>408-004</v>
      </c>
      <c r="D176" s="7">
        <f>Page5_BUI_MCI!F12</f>
        <v>0</v>
      </c>
      <c r="E176" s="7">
        <f>Page5_BUI_MCI!K12</f>
        <v>0</v>
      </c>
      <c r="F176" t="str">
        <f t="shared" si="16"/>
        <v>01-00-408-004-UNIT-CURR</v>
      </c>
      <c r="G176" t="s">
        <v>127</v>
      </c>
      <c r="H176" t="s">
        <v>10287</v>
      </c>
      <c r="I176" t="s">
        <v>10253</v>
      </c>
      <c r="K176" s="1073" t="s">
        <v>10288</v>
      </c>
      <c r="L176" s="789" t="s">
        <v>10241</v>
      </c>
      <c r="M176" s="790" t="str">
        <f t="shared" si="17"/>
        <v>408</v>
      </c>
      <c r="N176" s="790" t="str">
        <f t="shared" si="18"/>
        <v>004</v>
      </c>
      <c r="O176" s="799" t="s">
        <v>10255</v>
      </c>
      <c r="P176" s="799" t="s">
        <v>10244</v>
      </c>
      <c r="R176" s="30"/>
    </row>
    <row r="177" spans="2:18">
      <c r="B177" s="5" t="str">
        <f>Page5_BUI_MCI!C13</f>
        <v>NE PAS UTILISER</v>
      </c>
      <c r="C177" s="1045" t="str">
        <f>OR_VEH!D162</f>
        <v>409-004</v>
      </c>
      <c r="D177" s="7">
        <f>Page5_BUI_MCI!F13</f>
        <v>0</v>
      </c>
      <c r="E177" s="7">
        <f>Page5_BUI_MCI!K13</f>
        <v>0</v>
      </c>
      <c r="F177" t="str">
        <f t="shared" si="16"/>
        <v>01-00-409-004-UNIT-CURR</v>
      </c>
      <c r="G177" t="s">
        <v>127</v>
      </c>
      <c r="H177" t="s">
        <v>10287</v>
      </c>
      <c r="I177" t="s">
        <v>10253</v>
      </c>
      <c r="K177" s="1073" t="s">
        <v>10288</v>
      </c>
      <c r="L177" s="789" t="s">
        <v>10241</v>
      </c>
      <c r="M177" s="790" t="str">
        <f t="shared" si="17"/>
        <v>409</v>
      </c>
      <c r="N177" s="790" t="str">
        <f t="shared" si="18"/>
        <v>004</v>
      </c>
      <c r="O177" s="799" t="s">
        <v>10255</v>
      </c>
      <c r="P177" s="799" t="s">
        <v>10244</v>
      </c>
      <c r="R177" s="30"/>
    </row>
    <row r="178" spans="2:18">
      <c r="B178" s="5" t="str">
        <f>Page5_BUI_MCI!C14</f>
        <v>NE PAS UTILISER</v>
      </c>
      <c r="C178" s="1045" t="str">
        <f>OR_VEH!D163</f>
        <v>410-004</v>
      </c>
      <c r="D178" s="7">
        <f>Page5_BUI_MCI!F14</f>
        <v>0</v>
      </c>
      <c r="E178" s="7">
        <f>Page5_BUI_MCI!K14</f>
        <v>0</v>
      </c>
      <c r="F178" t="str">
        <f t="shared" si="16"/>
        <v>01-00-410-004-UNIT-CURR</v>
      </c>
      <c r="G178" t="s">
        <v>127</v>
      </c>
      <c r="H178" t="s">
        <v>10287</v>
      </c>
      <c r="I178" t="s">
        <v>10253</v>
      </c>
      <c r="K178" s="1073" t="s">
        <v>10288</v>
      </c>
      <c r="L178" s="789" t="s">
        <v>10241</v>
      </c>
      <c r="M178" s="790" t="str">
        <f t="shared" si="17"/>
        <v>410</v>
      </c>
      <c r="N178" s="790" t="str">
        <f t="shared" si="18"/>
        <v>004</v>
      </c>
      <c r="O178" s="799" t="s">
        <v>10255</v>
      </c>
      <c r="P178" s="799" t="s">
        <v>10244</v>
      </c>
      <c r="R178" s="30"/>
    </row>
    <row r="179" spans="2:18">
      <c r="B179" s="5" t="str">
        <f>Page5_BUI_MCI!C15</f>
        <v>NE PAS UTILISER</v>
      </c>
      <c r="C179" s="1045" t="str">
        <f>OR_VEH!D164</f>
        <v>411-004</v>
      </c>
      <c r="D179" s="7">
        <f>Page5_BUI_MCI!F15</f>
        <v>0</v>
      </c>
      <c r="E179" s="7">
        <f>Page5_BUI_MCI!K15</f>
        <v>0</v>
      </c>
      <c r="F179" t="str">
        <f t="shared" si="16"/>
        <v>01-00-411-004-UNIT-CURR</v>
      </c>
      <c r="G179" t="s">
        <v>127</v>
      </c>
      <c r="H179" t="s">
        <v>10287</v>
      </c>
      <c r="I179" t="s">
        <v>10253</v>
      </c>
      <c r="K179" s="1073" t="s">
        <v>10288</v>
      </c>
      <c r="L179" s="789" t="s">
        <v>10241</v>
      </c>
      <c r="M179" s="790" t="str">
        <f t="shared" si="17"/>
        <v>411</v>
      </c>
      <c r="N179" s="790" t="str">
        <f t="shared" si="18"/>
        <v>004</v>
      </c>
      <c r="O179" s="790" t="s">
        <v>10255</v>
      </c>
      <c r="P179" s="790" t="s">
        <v>10244</v>
      </c>
      <c r="R179" s="30"/>
    </row>
    <row r="180" spans="2:18">
      <c r="B180" s="5" t="str">
        <f>Page5_BUI_MCI!C16</f>
        <v>NE PAS UTILISER</v>
      </c>
      <c r="C180" s="1045" t="str">
        <f>OR_VEH!D165</f>
        <v>412-004</v>
      </c>
      <c r="D180" s="7">
        <f>Page5_BUI_MCI!F16</f>
        <v>0</v>
      </c>
      <c r="E180" s="7">
        <f>Page5_BUI_MCI!K16</f>
        <v>0</v>
      </c>
      <c r="F180" t="str">
        <f t="shared" si="16"/>
        <v>01-00-412-004-UNIT-CURR</v>
      </c>
      <c r="G180" t="s">
        <v>127</v>
      </c>
      <c r="H180" t="s">
        <v>10287</v>
      </c>
      <c r="I180" t="s">
        <v>10253</v>
      </c>
      <c r="K180" s="1073" t="s">
        <v>10288</v>
      </c>
      <c r="L180" s="789" t="s">
        <v>10241</v>
      </c>
      <c r="M180" s="790" t="str">
        <f t="shared" si="17"/>
        <v>412</v>
      </c>
      <c r="N180" s="790" t="str">
        <f t="shared" si="18"/>
        <v>004</v>
      </c>
      <c r="O180" s="790" t="s">
        <v>10255</v>
      </c>
      <c r="P180" s="790" t="s">
        <v>10244</v>
      </c>
      <c r="R180" s="30"/>
    </row>
    <row r="181" spans="2:18">
      <c r="B181" s="5" t="str">
        <f>Page5_BUI_MCI!C17</f>
        <v>NE PAS UTILISER</v>
      </c>
      <c r="C181" s="1045" t="str">
        <f>OR_VEH!D166</f>
        <v>413-004</v>
      </c>
      <c r="D181" s="7">
        <f>Page5_BUI_MCI!F17</f>
        <v>0</v>
      </c>
      <c r="E181" s="7">
        <f>Page5_BUI_MCI!K17</f>
        <v>0</v>
      </c>
      <c r="F181" t="str">
        <f t="shared" si="16"/>
        <v>01-00-413-004-UNIT-CURR</v>
      </c>
      <c r="G181" t="s">
        <v>127</v>
      </c>
      <c r="H181" t="s">
        <v>10287</v>
      </c>
      <c r="I181" t="s">
        <v>10253</v>
      </c>
      <c r="K181" s="1073" t="s">
        <v>10288</v>
      </c>
      <c r="L181" s="789" t="s">
        <v>10241</v>
      </c>
      <c r="M181" s="790" t="str">
        <f t="shared" si="17"/>
        <v>413</v>
      </c>
      <c r="N181" s="790" t="str">
        <f t="shared" si="18"/>
        <v>004</v>
      </c>
      <c r="O181" s="790" t="s">
        <v>10255</v>
      </c>
      <c r="P181" s="790" t="s">
        <v>10244</v>
      </c>
      <c r="R181" s="30"/>
    </row>
    <row r="182" spans="2:18">
      <c r="B182" s="5" t="str">
        <f>Page5_BUI_MCI!C18</f>
        <v>NE PAS UTILISER</v>
      </c>
      <c r="C182" s="1045" t="str">
        <f>OR_VEH!D167</f>
        <v>414-004</v>
      </c>
      <c r="D182" s="7">
        <f>Page5_BUI_MCI!F18</f>
        <v>0</v>
      </c>
      <c r="E182" s="7">
        <f>Page5_BUI_MCI!K18</f>
        <v>0</v>
      </c>
      <c r="F182" t="str">
        <f t="shared" si="16"/>
        <v>01-00-414-004-UNIT-CURR</v>
      </c>
      <c r="G182" t="s">
        <v>127</v>
      </c>
      <c r="H182" t="s">
        <v>10287</v>
      </c>
      <c r="I182" t="s">
        <v>10253</v>
      </c>
      <c r="K182" s="1073" t="s">
        <v>10288</v>
      </c>
      <c r="L182" s="789" t="s">
        <v>10241</v>
      </c>
      <c r="M182" s="790" t="str">
        <f t="shared" si="17"/>
        <v>414</v>
      </c>
      <c r="N182" s="790" t="str">
        <f t="shared" si="18"/>
        <v>004</v>
      </c>
      <c r="O182" s="790" t="s">
        <v>10255</v>
      </c>
      <c r="P182" s="790" t="s">
        <v>10244</v>
      </c>
      <c r="R182" s="30"/>
    </row>
    <row r="183" spans="2:18">
      <c r="B183" s="5" t="str">
        <f>Page5_BUI_MCI!C19</f>
        <v>NE PAS UTILISER</v>
      </c>
      <c r="C183" s="1045" t="str">
        <f>OR_VEH!D168</f>
        <v>415-004</v>
      </c>
      <c r="D183" s="7">
        <f>Page5_BUI_MCI!F19</f>
        <v>0</v>
      </c>
      <c r="E183" s="7">
        <f>Page5_BUI_MCI!K19</f>
        <v>0</v>
      </c>
      <c r="F183" t="str">
        <f t="shared" si="16"/>
        <v>01-00-415-004-UNIT-CURR</v>
      </c>
      <c r="G183" t="s">
        <v>127</v>
      </c>
      <c r="H183" t="s">
        <v>10287</v>
      </c>
      <c r="I183" t="s">
        <v>10253</v>
      </c>
      <c r="K183" s="1073" t="s">
        <v>10288</v>
      </c>
      <c r="L183" s="789" t="s">
        <v>10241</v>
      </c>
      <c r="M183" s="790" t="str">
        <f t="shared" si="17"/>
        <v>415</v>
      </c>
      <c r="N183" s="790" t="str">
        <f t="shared" si="18"/>
        <v>004</v>
      </c>
      <c r="O183" s="790" t="s">
        <v>10255</v>
      </c>
      <c r="P183" s="790" t="s">
        <v>10244</v>
      </c>
      <c r="R183" s="30"/>
    </row>
    <row r="184" spans="2:18">
      <c r="B184" s="5" t="str">
        <f>Page5_BUI_MCI!C20</f>
        <v>POUR USAGE FUTUR</v>
      </c>
      <c r="C184" s="1045" t="str">
        <f>OR_VEH!D169</f>
        <v>416-004</v>
      </c>
      <c r="D184" s="7">
        <f>Page5_BUI_MCI!F20</f>
        <v>0</v>
      </c>
      <c r="E184" s="7">
        <f>Page5_BUI_MCI!K20</f>
        <v>0</v>
      </c>
      <c r="F184" t="str">
        <f t="shared" si="16"/>
        <v>01-00-416-004-UNIT-CURR</v>
      </c>
      <c r="G184" t="s">
        <v>127</v>
      </c>
      <c r="H184" t="s">
        <v>10287</v>
      </c>
      <c r="I184" t="s">
        <v>10253</v>
      </c>
      <c r="K184" s="1073" t="s">
        <v>10288</v>
      </c>
      <c r="L184" s="789" t="s">
        <v>10241</v>
      </c>
      <c r="M184" s="790" t="str">
        <f t="shared" si="17"/>
        <v>416</v>
      </c>
      <c r="N184" s="790" t="str">
        <f t="shared" si="18"/>
        <v>004</v>
      </c>
      <c r="O184" s="790" t="s">
        <v>10255</v>
      </c>
      <c r="P184" s="790" t="s">
        <v>10244</v>
      </c>
      <c r="R184" s="30"/>
    </row>
    <row r="185" spans="2:18">
      <c r="B185" s="5" t="str">
        <f>Page5_BUI_MCI!C21</f>
        <v>NE PAS UTILISER</v>
      </c>
      <c r="C185" s="1045" t="str">
        <f>OR_VEH!D170</f>
        <v>417-004</v>
      </c>
      <c r="D185" s="7">
        <f>Page5_BUI_MCI!F21</f>
        <v>0</v>
      </c>
      <c r="E185" s="7">
        <f>Page5_BUI_MCI!K21</f>
        <v>0</v>
      </c>
      <c r="F185" t="str">
        <f t="shared" si="16"/>
        <v>01-00-417-004-UNIT-CURR</v>
      </c>
      <c r="G185" t="s">
        <v>127</v>
      </c>
      <c r="H185" t="s">
        <v>10287</v>
      </c>
      <c r="I185" t="s">
        <v>10253</v>
      </c>
      <c r="K185" s="1073" t="s">
        <v>10288</v>
      </c>
      <c r="L185" s="789" t="s">
        <v>10241</v>
      </c>
      <c r="M185" s="790" t="str">
        <f t="shared" si="17"/>
        <v>417</v>
      </c>
      <c r="N185" s="790" t="str">
        <f t="shared" si="18"/>
        <v>004</v>
      </c>
      <c r="O185" s="790" t="s">
        <v>10255</v>
      </c>
      <c r="P185" s="790" t="s">
        <v>10244</v>
      </c>
      <c r="R185" s="30"/>
    </row>
    <row r="186" spans="2:18">
      <c r="B186" s="5" t="str">
        <f>Page5_BUI_MCI!C22</f>
        <v>AUTRES BUICK</v>
      </c>
      <c r="C186" s="1045" t="str">
        <f>OR_VEH!D171</f>
        <v>418-004</v>
      </c>
      <c r="D186" s="7">
        <f>Page5_BUI_MCI!F22</f>
        <v>0</v>
      </c>
      <c r="E186" s="7">
        <f>Page5_BUI_MCI!K22</f>
        <v>0</v>
      </c>
      <c r="F186" t="str">
        <f t="shared" si="16"/>
        <v>01-00-418-004-UNIT-CURR</v>
      </c>
      <c r="G186" t="s">
        <v>127</v>
      </c>
      <c r="H186" t="s">
        <v>10287</v>
      </c>
      <c r="I186" t="s">
        <v>10253</v>
      </c>
      <c r="K186" s="1073" t="s">
        <v>10288</v>
      </c>
      <c r="L186" s="789" t="s">
        <v>10241</v>
      </c>
      <c r="M186" s="790" t="str">
        <f t="shared" si="17"/>
        <v>418</v>
      </c>
      <c r="N186" s="790" t="str">
        <f t="shared" si="18"/>
        <v>004</v>
      </c>
      <c r="O186" s="790" t="s">
        <v>10255</v>
      </c>
      <c r="P186" s="790" t="s">
        <v>10244</v>
      </c>
      <c r="R186" s="30"/>
    </row>
    <row r="187" spans="2:18">
      <c r="B187" s="27" t="s">
        <v>10322</v>
      </c>
      <c r="C187" s="1042"/>
      <c r="D187" s="7">
        <f>Page5_BUI_MCI!F23</f>
        <v>0</v>
      </c>
      <c r="E187" s="7">
        <f>Page5_BUI_MCI!K23</f>
        <v>0</v>
      </c>
      <c r="F187" t="str">
        <f t="shared" si="16"/>
        <v>01-00-RTLCAR5D-UNIT-CURR</v>
      </c>
      <c r="G187" t="s">
        <v>127</v>
      </c>
      <c r="H187" t="s">
        <v>10287</v>
      </c>
      <c r="I187" t="s">
        <v>10253</v>
      </c>
      <c r="J187" t="s">
        <v>10268</v>
      </c>
      <c r="K187" s="1073" t="s">
        <v>10288</v>
      </c>
      <c r="L187" s="789" t="s">
        <v>10241</v>
      </c>
      <c r="M187" s="790" t="s">
        <v>10323</v>
      </c>
      <c r="O187" s="790" t="s">
        <v>10255</v>
      </c>
      <c r="P187" s="790" t="s">
        <v>10244</v>
      </c>
      <c r="Q187" s="791" t="s">
        <v>773</v>
      </c>
    </row>
    <row r="188" spans="2:18">
      <c r="B188" s="5" t="str">
        <f>Page5_BUI_MCI!C24</f>
        <v>MÉMO* VENTES INTERNET VOITURES</v>
      </c>
      <c r="C188" s="1045" t="str">
        <f>OR_VEH!D173</f>
        <v>419P5D</v>
      </c>
      <c r="D188" s="7">
        <f>Page5_BUI_MCI!F24</f>
        <v>0</v>
      </c>
      <c r="E188" s="7">
        <f>Page5_BUI_MCI!K24</f>
        <v>0</v>
      </c>
      <c r="F188" t="str">
        <f t="shared" si="16"/>
        <v>01-00-419P5D-UNIT-CURR</v>
      </c>
      <c r="G188" t="s">
        <v>127</v>
      </c>
      <c r="H188" t="s">
        <v>10287</v>
      </c>
      <c r="I188" t="s">
        <v>10253</v>
      </c>
      <c r="K188" s="1073" t="s">
        <v>10288</v>
      </c>
      <c r="L188" s="789" t="s">
        <v>10241</v>
      </c>
      <c r="M188" s="855" t="str">
        <f>C188</f>
        <v>419P5D</v>
      </c>
      <c r="N188" s="855"/>
      <c r="O188" s="790" t="s">
        <v>10255</v>
      </c>
      <c r="P188" s="790" t="s">
        <v>10244</v>
      </c>
      <c r="R188" s="30"/>
    </row>
    <row r="189" spans="2:18">
      <c r="B189" s="5" t="str">
        <f>Page5_BUI_MCI!C25</f>
        <v>TOTAL PARCS - VOITURES</v>
      </c>
      <c r="C189" s="1045" t="str">
        <f>OR_VEH!D174</f>
        <v>420P5D</v>
      </c>
      <c r="D189" s="7">
        <f>Page5_BUI_MCI!F25</f>
        <v>0</v>
      </c>
      <c r="E189" s="7">
        <f>Page5_BUI_MCI!K25</f>
        <v>0</v>
      </c>
      <c r="F189" t="str">
        <f t="shared" si="16"/>
        <v>01-00-420P5D-UNIT-CURR</v>
      </c>
      <c r="G189" t="s">
        <v>127</v>
      </c>
      <c r="H189" t="s">
        <v>10287</v>
      </c>
      <c r="I189" t="s">
        <v>10253</v>
      </c>
      <c r="K189" s="1073" t="s">
        <v>10288</v>
      </c>
      <c r="L189" s="789" t="s">
        <v>10241</v>
      </c>
      <c r="M189" s="855" t="str">
        <f>C189</f>
        <v>420P5D</v>
      </c>
      <c r="N189" s="855"/>
      <c r="O189" s="799" t="s">
        <v>10255</v>
      </c>
      <c r="P189" s="799" t="s">
        <v>10244</v>
      </c>
      <c r="R189" s="30"/>
    </row>
    <row r="190" spans="2:18">
      <c r="B190" s="5" t="str">
        <f>Page5_BUI_MCI!C26</f>
        <v>TOTAL INTERNE - VOITURES</v>
      </c>
      <c r="C190" s="1045" t="str">
        <f>OR_VEH!D175</f>
        <v>421P5D</v>
      </c>
      <c r="D190" s="7">
        <f>Page5_BUI_MCI!F26</f>
        <v>0</v>
      </c>
      <c r="E190" s="7">
        <f>Page5_BUI_MCI!K26</f>
        <v>0</v>
      </c>
      <c r="F190" t="str">
        <f t="shared" si="16"/>
        <v>01-00-421P5D-UNIT-CURR</v>
      </c>
      <c r="G190" t="s">
        <v>127</v>
      </c>
      <c r="H190" t="s">
        <v>10287</v>
      </c>
      <c r="I190" t="s">
        <v>10253</v>
      </c>
      <c r="K190" s="1073" t="s">
        <v>10288</v>
      </c>
      <c r="L190" s="789" t="s">
        <v>10241</v>
      </c>
      <c r="M190" s="855" t="str">
        <f>C190</f>
        <v>421P5D</v>
      </c>
      <c r="N190" s="855"/>
      <c r="O190" s="799" t="s">
        <v>10255</v>
      </c>
      <c r="P190" s="799" t="s">
        <v>10244</v>
      </c>
      <c r="R190" s="30"/>
    </row>
    <row r="191" spans="2:18">
      <c r="B191" s="27" t="s">
        <v>10324</v>
      </c>
      <c r="C191" s="1042"/>
      <c r="D191" s="7">
        <f>Page5_BUI_MCI!F27</f>
        <v>0</v>
      </c>
      <c r="E191" s="7">
        <f>Page5_BUI_MCI!K27</f>
        <v>0</v>
      </c>
      <c r="F191" t="str">
        <f t="shared" si="16"/>
        <v>01-00-TOTCAR5D-UNIT-CURR</v>
      </c>
      <c r="G191" t="s">
        <v>127</v>
      </c>
      <c r="H191" t="s">
        <v>10287</v>
      </c>
      <c r="I191" t="s">
        <v>10253</v>
      </c>
      <c r="J191" t="s">
        <v>10268</v>
      </c>
      <c r="K191" s="1073" t="s">
        <v>10288</v>
      </c>
      <c r="L191" s="789" t="s">
        <v>10241</v>
      </c>
      <c r="M191" s="790" t="s">
        <v>10325</v>
      </c>
      <c r="O191" s="790" t="s">
        <v>10255</v>
      </c>
      <c r="P191" s="790" t="s">
        <v>10244</v>
      </c>
      <c r="Q191" s="791" t="s">
        <v>773</v>
      </c>
    </row>
    <row r="192" spans="2:18">
      <c r="B192" s="5" t="str">
        <f>Page5_BUI_MCI!C28</f>
        <v>NE PAS UTILISER</v>
      </c>
      <c r="C192" s="1045" t="str">
        <f>OR_VEH!D177</f>
        <v>423-004</v>
      </c>
      <c r="D192" s="7">
        <f>Page5_BUI_MCI!F28</f>
        <v>0</v>
      </c>
      <c r="E192" s="7">
        <f>Page5_BUI_MCI!K28</f>
        <v>0</v>
      </c>
      <c r="F192" t="str">
        <f t="shared" si="16"/>
        <v>01-00-423-004-UNIT-CURR</v>
      </c>
      <c r="G192" t="s">
        <v>127</v>
      </c>
      <c r="H192" t="s">
        <v>10287</v>
      </c>
      <c r="I192" t="s">
        <v>10253</v>
      </c>
      <c r="K192" s="1073" t="s">
        <v>10288</v>
      </c>
      <c r="L192" s="789" t="s">
        <v>10241</v>
      </c>
      <c r="M192" s="790" t="str">
        <f t="shared" ref="M192:M207" si="19">LEFT(C192,3)</f>
        <v>423</v>
      </c>
      <c r="N192" s="790" t="str">
        <f t="shared" ref="N192:N207" si="20">RIGHT(C192,3)</f>
        <v>004</v>
      </c>
      <c r="O192" s="799" t="s">
        <v>10255</v>
      </c>
      <c r="P192" s="799" t="s">
        <v>10244</v>
      </c>
      <c r="R192" s="30"/>
    </row>
    <row r="193" spans="2:18">
      <c r="B193" s="5" t="str">
        <f>Page5_BUI_MCI!C29</f>
        <v>ENVISTA</v>
      </c>
      <c r="C193" s="1045" t="str">
        <f>OR_VEH!D178</f>
        <v>424-004</v>
      </c>
      <c r="D193" s="7">
        <f>Page5_BUI_MCI!F29</f>
        <v>5</v>
      </c>
      <c r="E193" s="7">
        <f>Page5_BUI_MCI!K29</f>
        <v>6</v>
      </c>
      <c r="F193" t="str">
        <f t="shared" si="16"/>
        <v>01-00-424-004-UNIT-CURR</v>
      </c>
      <c r="G193" t="s">
        <v>127</v>
      </c>
      <c r="H193" t="s">
        <v>10287</v>
      </c>
      <c r="I193" t="s">
        <v>10253</v>
      </c>
      <c r="K193" s="1073" t="s">
        <v>10288</v>
      </c>
      <c r="L193" s="789" t="s">
        <v>10241</v>
      </c>
      <c r="M193" s="790" t="str">
        <f t="shared" si="19"/>
        <v>424</v>
      </c>
      <c r="N193" s="790" t="str">
        <f t="shared" si="20"/>
        <v>004</v>
      </c>
      <c r="O193" s="790" t="s">
        <v>10255</v>
      </c>
      <c r="P193" s="790" t="s">
        <v>10244</v>
      </c>
      <c r="R193" s="30"/>
    </row>
    <row r="194" spans="2:18">
      <c r="B194" s="5" t="str">
        <f>Page5_BUI_MCI!C30</f>
        <v>NE PAS UTILISER</v>
      </c>
      <c r="C194" s="1045" t="str">
        <f>OR_VEH!D179</f>
        <v>425-004</v>
      </c>
      <c r="D194" s="7">
        <f>Page5_BUI_MCI!F30</f>
        <v>0</v>
      </c>
      <c r="E194" s="7">
        <f>Page5_BUI_MCI!K30</f>
        <v>0</v>
      </c>
      <c r="F194" t="str">
        <f t="shared" si="16"/>
        <v>01-00-425-004-UNIT-CURR</v>
      </c>
      <c r="G194" t="s">
        <v>127</v>
      </c>
      <c r="H194" t="s">
        <v>10287</v>
      </c>
      <c r="I194" t="s">
        <v>10253</v>
      </c>
      <c r="K194" s="1073" t="s">
        <v>10288</v>
      </c>
      <c r="L194" s="789" t="s">
        <v>10241</v>
      </c>
      <c r="M194" s="790" t="str">
        <f t="shared" si="19"/>
        <v>425</v>
      </c>
      <c r="N194" s="790" t="str">
        <f t="shared" si="20"/>
        <v>004</v>
      </c>
      <c r="O194" s="790" t="s">
        <v>10255</v>
      </c>
      <c r="P194" s="790" t="s">
        <v>10244</v>
      </c>
      <c r="R194" s="30"/>
    </row>
    <row r="195" spans="2:18">
      <c r="B195" s="5" t="str">
        <f>Page5_BUI_MCI!C31</f>
        <v>ENCLAVE</v>
      </c>
      <c r="C195" s="1045" t="str">
        <f>OR_VEH!D180</f>
        <v>426-004</v>
      </c>
      <c r="D195" s="7">
        <f>Page5_BUI_MCI!F31</f>
        <v>0</v>
      </c>
      <c r="E195" s="7">
        <f>Page5_BUI_MCI!K31</f>
        <v>1</v>
      </c>
      <c r="F195" t="str">
        <f t="shared" si="16"/>
        <v>01-00-426-004-UNIT-CURR</v>
      </c>
      <c r="G195" t="s">
        <v>127</v>
      </c>
      <c r="H195" t="s">
        <v>10287</v>
      </c>
      <c r="I195" t="s">
        <v>10253</v>
      </c>
      <c r="K195" s="1073" t="s">
        <v>10288</v>
      </c>
      <c r="L195" s="789" t="s">
        <v>10241</v>
      </c>
      <c r="M195" s="790" t="str">
        <f t="shared" si="19"/>
        <v>426</v>
      </c>
      <c r="N195" s="790" t="str">
        <f t="shared" si="20"/>
        <v>004</v>
      </c>
      <c r="O195" s="790" t="s">
        <v>10255</v>
      </c>
      <c r="P195" s="790" t="s">
        <v>10244</v>
      </c>
      <c r="R195" s="30"/>
    </row>
    <row r="196" spans="2:18">
      <c r="B196" s="5" t="str">
        <f>Page5_BUI_MCI!C32</f>
        <v>ENCORE GX</v>
      </c>
      <c r="C196" s="1045" t="str">
        <f>OR_VEH!D181</f>
        <v>427-004</v>
      </c>
      <c r="D196" s="7">
        <f>Page5_BUI_MCI!F32</f>
        <v>0</v>
      </c>
      <c r="E196" s="7">
        <f>Page5_BUI_MCI!K32</f>
        <v>0</v>
      </c>
      <c r="F196" t="str">
        <f t="shared" si="16"/>
        <v>01-00-427-004-UNIT-CURR</v>
      </c>
      <c r="G196" t="s">
        <v>127</v>
      </c>
      <c r="H196" t="s">
        <v>10287</v>
      </c>
      <c r="I196" t="s">
        <v>10253</v>
      </c>
      <c r="K196" s="1073" t="s">
        <v>10288</v>
      </c>
      <c r="L196" s="789" t="s">
        <v>10241</v>
      </c>
      <c r="M196" s="790" t="str">
        <f t="shared" si="19"/>
        <v>427</v>
      </c>
      <c r="N196" s="790" t="str">
        <f t="shared" si="20"/>
        <v>004</v>
      </c>
      <c r="O196" s="790" t="s">
        <v>10255</v>
      </c>
      <c r="P196" s="790" t="s">
        <v>10244</v>
      </c>
      <c r="R196" s="30"/>
    </row>
    <row r="197" spans="2:18">
      <c r="B197" s="5" t="str">
        <f>Page5_BUI_MCI!C33</f>
        <v>ENCORE</v>
      </c>
      <c r="C197" s="1045" t="str">
        <f>OR_VEH!D182</f>
        <v>428-004</v>
      </c>
      <c r="D197" s="7">
        <f>Page5_BUI_MCI!F33</f>
        <v>3</v>
      </c>
      <c r="E197" s="7">
        <f>Page5_BUI_MCI!K33</f>
        <v>5</v>
      </c>
      <c r="F197" t="str">
        <f t="shared" si="16"/>
        <v>01-00-428-004-UNIT-CURR</v>
      </c>
      <c r="G197" t="s">
        <v>127</v>
      </c>
      <c r="H197" t="s">
        <v>10287</v>
      </c>
      <c r="I197" t="s">
        <v>10253</v>
      </c>
      <c r="K197" s="1073" t="s">
        <v>10288</v>
      </c>
      <c r="L197" s="789" t="s">
        <v>10241</v>
      </c>
      <c r="M197" s="790" t="str">
        <f t="shared" si="19"/>
        <v>428</v>
      </c>
      <c r="N197" s="790" t="str">
        <f t="shared" si="20"/>
        <v>004</v>
      </c>
      <c r="O197" s="790" t="s">
        <v>10255</v>
      </c>
      <c r="P197" s="790" t="s">
        <v>10244</v>
      </c>
      <c r="R197" s="30"/>
    </row>
    <row r="198" spans="2:18">
      <c r="B198" s="5" t="str">
        <f>Page5_BUI_MCI!C34</f>
        <v>ENVISION</v>
      </c>
      <c r="C198" s="1045" t="str">
        <f>OR_VEH!D183</f>
        <v>429-004</v>
      </c>
      <c r="D198" s="7">
        <f>Page5_BUI_MCI!F34</f>
        <v>2</v>
      </c>
      <c r="E198" s="7">
        <f>Page5_BUI_MCI!K34</f>
        <v>8</v>
      </c>
      <c r="F198" t="str">
        <f t="shared" si="16"/>
        <v>01-00-429-004-UNIT-CURR</v>
      </c>
      <c r="G198" t="s">
        <v>127</v>
      </c>
      <c r="H198" t="s">
        <v>10287</v>
      </c>
      <c r="I198" t="s">
        <v>10253</v>
      </c>
      <c r="K198" s="1073" t="s">
        <v>10288</v>
      </c>
      <c r="L198" s="789" t="s">
        <v>10241</v>
      </c>
      <c r="M198" s="790" t="str">
        <f t="shared" si="19"/>
        <v>429</v>
      </c>
      <c r="N198" s="790" t="str">
        <f t="shared" si="20"/>
        <v>004</v>
      </c>
      <c r="O198" s="790" t="s">
        <v>10255</v>
      </c>
      <c r="P198" s="790" t="s">
        <v>10244</v>
      </c>
      <c r="R198" s="30"/>
    </row>
    <row r="199" spans="2:18">
      <c r="B199" s="5" t="str">
        <f>Page5_BUI_MCI!C35</f>
        <v>NE PAS UTILISER</v>
      </c>
      <c r="C199" s="1045" t="str">
        <f>OR_VEH!D184</f>
        <v>430-004</v>
      </c>
      <c r="D199" s="7">
        <f>Page5_BUI_MCI!F35</f>
        <v>0</v>
      </c>
      <c r="E199" s="7">
        <f>Page5_BUI_MCI!K35</f>
        <v>0</v>
      </c>
      <c r="F199" t="str">
        <f t="shared" si="16"/>
        <v>01-00-430-004-UNIT-CURR</v>
      </c>
      <c r="G199" t="s">
        <v>127</v>
      </c>
      <c r="H199" t="s">
        <v>10287</v>
      </c>
      <c r="I199" t="s">
        <v>10253</v>
      </c>
      <c r="K199" s="1073" t="s">
        <v>10288</v>
      </c>
      <c r="L199" s="789" t="s">
        <v>10241</v>
      </c>
      <c r="M199" s="790" t="str">
        <f t="shared" si="19"/>
        <v>430</v>
      </c>
      <c r="N199" s="790" t="str">
        <f t="shared" si="20"/>
        <v>004</v>
      </c>
      <c r="O199" s="790" t="s">
        <v>10255</v>
      </c>
      <c r="P199" s="790" t="s">
        <v>10244</v>
      </c>
      <c r="R199" s="30"/>
    </row>
    <row r="200" spans="2:18">
      <c r="B200" s="5" t="str">
        <f>Page5_BUI_MCI!C36</f>
        <v>NE PAS UTILISER</v>
      </c>
      <c r="C200" s="1045" t="str">
        <f>OR_VEH!D185</f>
        <v>431-004</v>
      </c>
      <c r="D200" s="7">
        <f>Page5_BUI_MCI!F36</f>
        <v>0</v>
      </c>
      <c r="E200" s="7">
        <f>Page5_BUI_MCI!K36</f>
        <v>0</v>
      </c>
      <c r="F200" t="str">
        <f t="shared" si="16"/>
        <v>01-00-431-004-UNIT-CURR</v>
      </c>
      <c r="G200" t="s">
        <v>127</v>
      </c>
      <c r="H200" t="s">
        <v>10287</v>
      </c>
      <c r="I200" t="s">
        <v>10253</v>
      </c>
      <c r="K200" s="1073" t="s">
        <v>10288</v>
      </c>
      <c r="L200" s="789" t="s">
        <v>10241</v>
      </c>
      <c r="M200" s="790" t="str">
        <f t="shared" si="19"/>
        <v>431</v>
      </c>
      <c r="N200" s="790" t="str">
        <f t="shared" si="20"/>
        <v>004</v>
      </c>
      <c r="O200" s="790" t="s">
        <v>10255</v>
      </c>
      <c r="P200" s="790" t="s">
        <v>10244</v>
      </c>
      <c r="R200" s="30"/>
    </row>
    <row r="201" spans="2:18">
      <c r="B201" s="5" t="str">
        <f>Page5_BUI_MCI!C37</f>
        <v>NE PAS UTILISER</v>
      </c>
      <c r="C201" s="1045" t="str">
        <f>OR_VEH!D186</f>
        <v>432-004</v>
      </c>
      <c r="D201" s="7">
        <f>Page5_BUI_MCI!F37</f>
        <v>0</v>
      </c>
      <c r="E201" s="7">
        <f>Page5_BUI_MCI!K37</f>
        <v>0</v>
      </c>
      <c r="F201" t="str">
        <f t="shared" si="16"/>
        <v>01-00-432-004-UNIT-CURR</v>
      </c>
      <c r="G201" t="s">
        <v>127</v>
      </c>
      <c r="H201" t="s">
        <v>10287</v>
      </c>
      <c r="I201" t="s">
        <v>10253</v>
      </c>
      <c r="K201" s="1073" t="s">
        <v>10288</v>
      </c>
      <c r="L201" s="789" t="s">
        <v>10241</v>
      </c>
      <c r="M201" s="790" t="str">
        <f t="shared" si="19"/>
        <v>432</v>
      </c>
      <c r="N201" s="790" t="str">
        <f t="shared" si="20"/>
        <v>004</v>
      </c>
      <c r="O201" s="790" t="s">
        <v>10255</v>
      </c>
      <c r="P201" s="790" t="s">
        <v>10244</v>
      </c>
      <c r="R201" s="30"/>
    </row>
    <row r="202" spans="2:18">
      <c r="B202" s="5" t="str">
        <f>Page5_BUI_MCI!C38</f>
        <v>NE PAS UTILISER</v>
      </c>
      <c r="C202" s="1045" t="str">
        <f>OR_VEH!D187</f>
        <v>433-004</v>
      </c>
      <c r="D202" s="7">
        <f>Page5_BUI_MCI!F38</f>
        <v>0</v>
      </c>
      <c r="E202" s="7">
        <f>Page5_BUI_MCI!K38</f>
        <v>0</v>
      </c>
      <c r="F202" t="str">
        <f t="shared" si="16"/>
        <v>01-00-433-004-UNIT-CURR</v>
      </c>
      <c r="G202" t="s">
        <v>127</v>
      </c>
      <c r="H202" t="s">
        <v>10287</v>
      </c>
      <c r="I202" t="s">
        <v>10253</v>
      </c>
      <c r="K202" s="1073" t="s">
        <v>10288</v>
      </c>
      <c r="L202" s="789" t="s">
        <v>10241</v>
      </c>
      <c r="M202" s="790" t="str">
        <f t="shared" si="19"/>
        <v>433</v>
      </c>
      <c r="N202" s="790" t="str">
        <f t="shared" si="20"/>
        <v>004</v>
      </c>
      <c r="O202" s="790" t="s">
        <v>10255</v>
      </c>
      <c r="P202" s="790" t="s">
        <v>10244</v>
      </c>
      <c r="R202" s="30"/>
    </row>
    <row r="203" spans="2:18">
      <c r="B203" s="5" t="str">
        <f>Page5_BUI_MCI!C39</f>
        <v>NE PAS UTILISER</v>
      </c>
      <c r="C203" s="1045" t="str">
        <f>OR_VEH!D188</f>
        <v>434-004</v>
      </c>
      <c r="D203" s="7">
        <f>Page5_BUI_MCI!F39</f>
        <v>0</v>
      </c>
      <c r="E203" s="7">
        <f>Page5_BUI_MCI!K39</f>
        <v>0</v>
      </c>
      <c r="F203" t="str">
        <f t="shared" si="16"/>
        <v>01-00-434-004-UNIT-CURR</v>
      </c>
      <c r="G203" t="s">
        <v>127</v>
      </c>
      <c r="H203" t="s">
        <v>10287</v>
      </c>
      <c r="I203" t="s">
        <v>10253</v>
      </c>
      <c r="K203" s="1073" t="s">
        <v>10288</v>
      </c>
      <c r="L203" s="789" t="s">
        <v>10241</v>
      </c>
      <c r="M203" s="790" t="str">
        <f t="shared" si="19"/>
        <v>434</v>
      </c>
      <c r="N203" s="790" t="str">
        <f t="shared" si="20"/>
        <v>004</v>
      </c>
      <c r="O203" s="790" t="s">
        <v>10255</v>
      </c>
      <c r="P203" s="790" t="s">
        <v>10244</v>
      </c>
      <c r="R203" s="30"/>
    </row>
    <row r="204" spans="2:18">
      <c r="B204" s="5" t="str">
        <f>Page5_BUI_MCI!C40</f>
        <v>NE PAS UTILISER</v>
      </c>
      <c r="C204" s="1045" t="str">
        <f>OR_VEH!D189</f>
        <v>435-004</v>
      </c>
      <c r="D204" s="7">
        <f>Page5_BUI_MCI!F40</f>
        <v>0</v>
      </c>
      <c r="E204" s="7">
        <f>Page5_BUI_MCI!K40</f>
        <v>0</v>
      </c>
      <c r="F204" t="str">
        <f t="shared" si="16"/>
        <v>01-00-435-004-UNIT-CURR</v>
      </c>
      <c r="G204" t="s">
        <v>127</v>
      </c>
      <c r="H204" t="s">
        <v>10287</v>
      </c>
      <c r="I204" t="s">
        <v>10253</v>
      </c>
      <c r="K204" s="1073" t="s">
        <v>10288</v>
      </c>
      <c r="L204" s="789" t="s">
        <v>10241</v>
      </c>
      <c r="M204" s="790" t="str">
        <f t="shared" si="19"/>
        <v>435</v>
      </c>
      <c r="N204" s="790" t="str">
        <f t="shared" si="20"/>
        <v>004</v>
      </c>
      <c r="O204" s="790" t="s">
        <v>10255</v>
      </c>
      <c r="P204" s="790" t="s">
        <v>10244</v>
      </c>
      <c r="R204" s="30"/>
    </row>
    <row r="205" spans="2:18">
      <c r="B205" s="5" t="str">
        <f>Page5_BUI_MCI!C41</f>
        <v>NE PAS UTILISER</v>
      </c>
      <c r="C205" s="1045" t="str">
        <f>OR_VEH!D190</f>
        <v>436-004</v>
      </c>
      <c r="D205" s="7">
        <f>Page5_BUI_MCI!F41</f>
        <v>0</v>
      </c>
      <c r="E205" s="7">
        <f>Page5_BUI_MCI!K41</f>
        <v>0</v>
      </c>
      <c r="F205" t="str">
        <f t="shared" si="16"/>
        <v>01-00-436-004-UNIT-CURR</v>
      </c>
      <c r="G205" t="s">
        <v>127</v>
      </c>
      <c r="H205" t="s">
        <v>10287</v>
      </c>
      <c r="I205" t="s">
        <v>10253</v>
      </c>
      <c r="K205" s="1073" t="s">
        <v>10288</v>
      </c>
      <c r="L205" s="789" t="s">
        <v>10241</v>
      </c>
      <c r="M205" s="790" t="str">
        <f t="shared" si="19"/>
        <v>436</v>
      </c>
      <c r="N205" s="790" t="str">
        <f t="shared" si="20"/>
        <v>004</v>
      </c>
      <c r="O205" s="790" t="s">
        <v>10255</v>
      </c>
      <c r="P205" s="790" t="s">
        <v>10244</v>
      </c>
      <c r="R205" s="30"/>
    </row>
    <row r="206" spans="2:18">
      <c r="B206" s="5" t="str">
        <f>Page5_BUI_MCI!C42</f>
        <v>POUR USAGE FUTUR</v>
      </c>
      <c r="C206" s="1045" t="str">
        <f>OR_VEH!D191</f>
        <v>437-004</v>
      </c>
      <c r="D206" s="7">
        <f>Page5_BUI_MCI!F42</f>
        <v>0</v>
      </c>
      <c r="E206" s="7">
        <f>Page5_BUI_MCI!K42</f>
        <v>0</v>
      </c>
      <c r="F206" t="str">
        <f t="shared" si="16"/>
        <v>01-00-437-004-UNIT-CURR</v>
      </c>
      <c r="G206" t="s">
        <v>127</v>
      </c>
      <c r="H206" t="s">
        <v>10287</v>
      </c>
      <c r="I206" t="s">
        <v>10253</v>
      </c>
      <c r="K206" s="1073" t="s">
        <v>10288</v>
      </c>
      <c r="L206" s="789" t="s">
        <v>10241</v>
      </c>
      <c r="M206" s="790" t="str">
        <f t="shared" si="19"/>
        <v>437</v>
      </c>
      <c r="N206" s="790" t="str">
        <f t="shared" si="20"/>
        <v>004</v>
      </c>
      <c r="O206" s="790" t="s">
        <v>10255</v>
      </c>
      <c r="P206" s="790" t="s">
        <v>10244</v>
      </c>
      <c r="R206" s="30"/>
    </row>
    <row r="207" spans="2:18">
      <c r="B207" s="5" t="str">
        <f>Page5_BUI_MCI!C43</f>
        <v>AUTRES CAMIONS GM</v>
      </c>
      <c r="C207" s="1045" t="str">
        <f>OR_VEH!D192</f>
        <v>438-004</v>
      </c>
      <c r="D207" s="7">
        <f>Page5_BUI_MCI!F43</f>
        <v>0</v>
      </c>
      <c r="E207" s="7">
        <f>Page5_BUI_MCI!K43</f>
        <v>0</v>
      </c>
      <c r="F207" t="str">
        <f t="shared" si="16"/>
        <v>01-00-438-004-UNIT-CURR</v>
      </c>
      <c r="G207" t="s">
        <v>127</v>
      </c>
      <c r="H207" t="s">
        <v>10287</v>
      </c>
      <c r="I207" t="s">
        <v>10253</v>
      </c>
      <c r="K207" s="1073" t="s">
        <v>10288</v>
      </c>
      <c r="L207" s="789" t="s">
        <v>10241</v>
      </c>
      <c r="M207" s="790" t="str">
        <f t="shared" si="19"/>
        <v>438</v>
      </c>
      <c r="N207" s="790" t="str">
        <f t="shared" si="20"/>
        <v>004</v>
      </c>
      <c r="O207" s="790" t="s">
        <v>10255</v>
      </c>
      <c r="P207" s="790" t="s">
        <v>10244</v>
      </c>
      <c r="R207" s="30"/>
    </row>
    <row r="208" spans="2:18">
      <c r="B208" s="51" t="s">
        <v>10326</v>
      </c>
      <c r="C208" s="1042"/>
      <c r="D208" s="7">
        <f>Page5_BUI_MCI!F44</f>
        <v>10</v>
      </c>
      <c r="E208" s="7">
        <f>Page5_BUI_MCI!K44</f>
        <v>20</v>
      </c>
      <c r="F208" t="str">
        <f t="shared" si="16"/>
        <v>01-00-RTLTRK5D-UNIT-CURR</v>
      </c>
      <c r="G208" t="s">
        <v>127</v>
      </c>
      <c r="H208" t="s">
        <v>10287</v>
      </c>
      <c r="I208" t="s">
        <v>10253</v>
      </c>
      <c r="J208" t="s">
        <v>10268</v>
      </c>
      <c r="K208" s="1073" t="s">
        <v>10288</v>
      </c>
      <c r="L208" s="789" t="s">
        <v>10241</v>
      </c>
      <c r="M208" s="790" t="s">
        <v>10327</v>
      </c>
      <c r="O208" s="790" t="s">
        <v>10255</v>
      </c>
      <c r="P208" s="790" t="s">
        <v>10244</v>
      </c>
      <c r="Q208" s="791" t="s">
        <v>773</v>
      </c>
    </row>
    <row r="209" spans="1:18">
      <c r="B209" s="5" t="str">
        <f>Page5_BUI_MCI!C45</f>
        <v>MÉMO* VENTES INTERNET CAMIONS</v>
      </c>
      <c r="C209" s="1045" t="str">
        <f>OR_VEH!D194</f>
        <v>439P5D</v>
      </c>
      <c r="D209" s="7">
        <f>Page5_BUI_MCI!F45</f>
        <v>0</v>
      </c>
      <c r="E209" s="7">
        <f>Page5_BUI_MCI!K45</f>
        <v>0</v>
      </c>
      <c r="F209" t="str">
        <f t="shared" si="16"/>
        <v>01-00-439P5D-UNIT-CURR</v>
      </c>
      <c r="G209" t="s">
        <v>127</v>
      </c>
      <c r="H209" t="s">
        <v>10287</v>
      </c>
      <c r="I209" t="s">
        <v>10253</v>
      </c>
      <c r="K209" s="1073" t="s">
        <v>10288</v>
      </c>
      <c r="L209" s="789" t="s">
        <v>10241</v>
      </c>
      <c r="M209" s="855" t="str">
        <f>C209</f>
        <v>439P5D</v>
      </c>
      <c r="N209" s="855"/>
      <c r="O209" s="790" t="s">
        <v>10255</v>
      </c>
      <c r="P209" s="790" t="s">
        <v>10244</v>
      </c>
      <c r="R209" s="30"/>
    </row>
    <row r="210" spans="1:18">
      <c r="B210" s="5" t="str">
        <f>Page5_BUI_MCI!C46</f>
        <v>TOTAL PARCS - CAMIONS</v>
      </c>
      <c r="C210" s="1045" t="str">
        <f>OR_VEH!D195</f>
        <v>440P5D</v>
      </c>
      <c r="D210" s="7">
        <f>Page5_BUI_MCI!F46</f>
        <v>0</v>
      </c>
      <c r="E210" s="7">
        <f>Page5_BUI_MCI!K46</f>
        <v>0</v>
      </c>
      <c r="F210" t="str">
        <f t="shared" si="16"/>
        <v>01-00-440P5D-UNIT-CURR</v>
      </c>
      <c r="G210" t="s">
        <v>127</v>
      </c>
      <c r="H210" t="s">
        <v>10287</v>
      </c>
      <c r="I210" t="s">
        <v>10253</v>
      </c>
      <c r="K210" s="1073" t="s">
        <v>10288</v>
      </c>
      <c r="L210" s="789" t="s">
        <v>10241</v>
      </c>
      <c r="M210" s="855" t="str">
        <f>C210</f>
        <v>440P5D</v>
      </c>
      <c r="N210" s="855"/>
      <c r="O210" s="790" t="s">
        <v>10255</v>
      </c>
      <c r="P210" s="790" t="s">
        <v>10244</v>
      </c>
      <c r="R210" s="30"/>
    </row>
    <row r="211" spans="1:18">
      <c r="B211" s="5" t="str">
        <f>Page5_BUI_MCI!C47</f>
        <v xml:space="preserve">TOTAL IINTERNE - CAMIONS </v>
      </c>
      <c r="C211" s="1045" t="str">
        <f>OR_VEH!D196</f>
        <v>441P5D</v>
      </c>
      <c r="D211" s="7">
        <f>Page5_BUI_MCI!F47</f>
        <v>0</v>
      </c>
      <c r="E211" s="7">
        <f>Page5_BUI_MCI!K47</f>
        <v>0</v>
      </c>
      <c r="F211" t="str">
        <f t="shared" si="16"/>
        <v>01-00-441P5D-UNIT-CURR</v>
      </c>
      <c r="G211" t="s">
        <v>127</v>
      </c>
      <c r="H211" t="s">
        <v>10287</v>
      </c>
      <c r="I211" t="s">
        <v>10253</v>
      </c>
      <c r="K211" s="1073" t="s">
        <v>10288</v>
      </c>
      <c r="L211" s="789" t="s">
        <v>10241</v>
      </c>
      <c r="M211" s="855" t="str">
        <f>C211</f>
        <v>441P5D</v>
      </c>
      <c r="N211" s="855"/>
      <c r="O211" s="790" t="s">
        <v>10255</v>
      </c>
      <c r="P211" s="790" t="s">
        <v>10244</v>
      </c>
      <c r="R211" s="30"/>
    </row>
    <row r="212" spans="1:18">
      <c r="B212" s="27" t="s">
        <v>10328</v>
      </c>
      <c r="C212" s="1042"/>
      <c r="D212" s="7">
        <f>Page5_BUI_MCI!F48</f>
        <v>10</v>
      </c>
      <c r="E212" s="7">
        <f>Page5_BUI_MCI!K48</f>
        <v>20</v>
      </c>
      <c r="F212" t="str">
        <f t="shared" si="16"/>
        <v>01-00-TOTTRK5D-UNIT-CURR</v>
      </c>
      <c r="G212" t="s">
        <v>127</v>
      </c>
      <c r="H212" t="s">
        <v>10287</v>
      </c>
      <c r="I212" t="s">
        <v>10253</v>
      </c>
      <c r="J212" t="s">
        <v>10268</v>
      </c>
      <c r="K212" s="1073" t="s">
        <v>10288</v>
      </c>
      <c r="L212" s="789" t="s">
        <v>10241</v>
      </c>
      <c r="M212" s="790" t="s">
        <v>10329</v>
      </c>
      <c r="O212" s="790" t="s">
        <v>10255</v>
      </c>
      <c r="P212" s="790" t="s">
        <v>10244</v>
      </c>
      <c r="Q212" s="791" t="s">
        <v>773</v>
      </c>
    </row>
    <row r="213" spans="1:18">
      <c r="B213" s="5" t="str">
        <f>Page5_BUI_MCI!C50</f>
        <v>ACCESSOIRES</v>
      </c>
      <c r="C213" s="1045" t="str">
        <f>OR_VEH!D199</f>
        <v>457P5D</v>
      </c>
      <c r="D213" s="7">
        <f>Page5_BUI_MCI!F50</f>
        <v>0</v>
      </c>
      <c r="E213" s="7">
        <f>Page5_BUI_MCI!K50</f>
        <v>0</v>
      </c>
      <c r="F213" t="str">
        <f t="shared" si="16"/>
        <v>01-00-457P5D-UNIT-CURR</v>
      </c>
      <c r="G213" t="s">
        <v>127</v>
      </c>
      <c r="H213" t="s">
        <v>10287</v>
      </c>
      <c r="I213" t="s">
        <v>10253</v>
      </c>
      <c r="K213" s="1073" t="s">
        <v>10288</v>
      </c>
      <c r="L213" s="789" t="s">
        <v>10241</v>
      </c>
      <c r="M213" s="855" t="str">
        <f>C213</f>
        <v>457P5D</v>
      </c>
      <c r="N213" s="855"/>
      <c r="O213" s="790" t="s">
        <v>10255</v>
      </c>
      <c r="P213" s="790" t="s">
        <v>10244</v>
      </c>
      <c r="R213" s="30"/>
    </row>
    <row r="214" spans="1:18">
      <c r="B214" s="27" t="s">
        <v>10330</v>
      </c>
      <c r="C214" s="1046"/>
      <c r="D214" s="7">
        <f>Page5_BUI_MCI!F51</f>
        <v>10</v>
      </c>
      <c r="E214" s="7">
        <f>Page5_BUI_MCI!K51</f>
        <v>20</v>
      </c>
      <c r="F214" t="str">
        <f t="shared" si="16"/>
        <v>01-00-TOTVEH5D-UNIT-CURR</v>
      </c>
      <c r="G214" t="s">
        <v>127</v>
      </c>
      <c r="H214" t="s">
        <v>10287</v>
      </c>
      <c r="I214" t="s">
        <v>10253</v>
      </c>
      <c r="J214" t="s">
        <v>10268</v>
      </c>
      <c r="K214" s="1073" t="s">
        <v>10288</v>
      </c>
      <c r="L214" s="789" t="s">
        <v>10241</v>
      </c>
      <c r="M214" s="790" t="s">
        <v>10331</v>
      </c>
      <c r="O214" s="790" t="s">
        <v>10255</v>
      </c>
      <c r="P214" s="790" t="s">
        <v>10244</v>
      </c>
      <c r="Q214" s="791" t="s">
        <v>773</v>
      </c>
    </row>
    <row r="215" spans="1:18">
      <c r="A215" s="805" t="s">
        <v>10332</v>
      </c>
      <c r="B215" s="5" t="str">
        <f>Page5_CAD_MCI!C4</f>
        <v>NE PAS UTILISER</v>
      </c>
      <c r="C215" s="1045" t="str">
        <f>OR_VEH!D203</f>
        <v>400-006</v>
      </c>
      <c r="D215" s="7">
        <f>Page5_CAD_MCI!F4</f>
        <v>0</v>
      </c>
      <c r="E215" s="7">
        <f>Page5_CAD_MCI!K4</f>
        <v>0</v>
      </c>
      <c r="F215" t="str">
        <f t="shared" si="16"/>
        <v>01-00-400-006-UNIT-CURR</v>
      </c>
      <c r="G215" t="s">
        <v>127</v>
      </c>
      <c r="H215" t="s">
        <v>10287</v>
      </c>
      <c r="I215" t="s">
        <v>10253</v>
      </c>
      <c r="K215" s="1073" t="s">
        <v>10288</v>
      </c>
      <c r="L215" s="789" t="s">
        <v>10241</v>
      </c>
      <c r="M215" s="790" t="str">
        <f t="shared" ref="M215:M233" si="21">LEFT(C215,3)</f>
        <v>400</v>
      </c>
      <c r="N215" s="790" t="str">
        <f t="shared" ref="N215:N233" si="22">RIGHT(C215,3)</f>
        <v>006</v>
      </c>
      <c r="O215" s="799" t="s">
        <v>10255</v>
      </c>
      <c r="P215" s="799" t="s">
        <v>10244</v>
      </c>
      <c r="R215" s="30"/>
    </row>
    <row r="216" spans="1:18">
      <c r="B216" s="5" t="str">
        <f>Page5_CAD_MCI!C5</f>
        <v>NE PAS UTILISER</v>
      </c>
      <c r="C216" s="1045" t="str">
        <f>OR_VEH!D204</f>
        <v>401-006</v>
      </c>
      <c r="D216" s="7">
        <f>Page5_CAD_MCI!F5</f>
        <v>0</v>
      </c>
      <c r="E216" s="7">
        <f>Page5_CAD_MCI!K5</f>
        <v>0</v>
      </c>
      <c r="F216" t="str">
        <f t="shared" si="16"/>
        <v>01-00-401-006-UNIT-CURR</v>
      </c>
      <c r="G216" t="s">
        <v>127</v>
      </c>
      <c r="H216" t="s">
        <v>10287</v>
      </c>
      <c r="I216" t="s">
        <v>10253</v>
      </c>
      <c r="K216" s="1073" t="s">
        <v>10288</v>
      </c>
      <c r="L216" s="789" t="s">
        <v>10241</v>
      </c>
      <c r="M216" s="790" t="str">
        <f t="shared" si="21"/>
        <v>401</v>
      </c>
      <c r="N216" s="790" t="str">
        <f t="shared" si="22"/>
        <v>006</v>
      </c>
      <c r="O216" s="799" t="s">
        <v>10255</v>
      </c>
      <c r="P216" s="799" t="s">
        <v>10244</v>
      </c>
      <c r="R216" s="30"/>
    </row>
    <row r="217" spans="1:18">
      <c r="B217" s="5" t="str">
        <f>Page5_CAD_MCI!C6</f>
        <v xml:space="preserve">CTS </v>
      </c>
      <c r="C217" s="1045" t="str">
        <f>OR_VEH!D205</f>
        <v>402-006</v>
      </c>
      <c r="D217" s="7">
        <f>Page5_CAD_MCI!F6</f>
        <v>0</v>
      </c>
      <c r="E217" s="7">
        <f>Page5_CAD_MCI!K6</f>
        <v>0</v>
      </c>
      <c r="F217" t="str">
        <f t="shared" si="16"/>
        <v>01-00-402-006-UNIT-CURR</v>
      </c>
      <c r="G217" t="s">
        <v>127</v>
      </c>
      <c r="H217" t="s">
        <v>10287</v>
      </c>
      <c r="I217" t="s">
        <v>10253</v>
      </c>
      <c r="K217" s="1073" t="s">
        <v>10288</v>
      </c>
      <c r="L217" s="789" t="s">
        <v>10241</v>
      </c>
      <c r="M217" s="790" t="str">
        <f t="shared" si="21"/>
        <v>402</v>
      </c>
      <c r="N217" s="790" t="str">
        <f t="shared" si="22"/>
        <v>006</v>
      </c>
      <c r="O217" s="799" t="s">
        <v>10255</v>
      </c>
      <c r="P217" s="799" t="s">
        <v>10244</v>
      </c>
      <c r="R217" s="30"/>
    </row>
    <row r="218" spans="1:18">
      <c r="B218" s="5" t="str">
        <f>Page5_CAD_MCI!C7</f>
        <v>CTS-V</v>
      </c>
      <c r="C218" s="1045" t="str">
        <f>OR_VEH!D206</f>
        <v>403-006</v>
      </c>
      <c r="D218" s="7">
        <f>Page5_CAD_MCI!F7</f>
        <v>0</v>
      </c>
      <c r="E218" s="7">
        <f>Page5_CAD_MCI!K7</f>
        <v>0</v>
      </c>
      <c r="F218" t="str">
        <f t="shared" si="16"/>
        <v>01-00-403-006-UNIT-CURR</v>
      </c>
      <c r="G218" t="s">
        <v>127</v>
      </c>
      <c r="H218" t="s">
        <v>10287</v>
      </c>
      <c r="I218" t="s">
        <v>10253</v>
      </c>
      <c r="K218" s="1073" t="s">
        <v>10288</v>
      </c>
      <c r="L218" s="789" t="s">
        <v>10241</v>
      </c>
      <c r="M218" s="790" t="str">
        <f t="shared" si="21"/>
        <v>403</v>
      </c>
      <c r="N218" s="790" t="str">
        <f t="shared" si="22"/>
        <v>006</v>
      </c>
      <c r="O218" s="799" t="s">
        <v>10255</v>
      </c>
      <c r="P218" s="799" t="s">
        <v>10244</v>
      </c>
      <c r="R218" s="30"/>
    </row>
    <row r="219" spans="1:18">
      <c r="B219" s="5" t="str">
        <f>Page5_CAD_MCI!C8</f>
        <v>CT4</v>
      </c>
      <c r="C219" s="1045" t="str">
        <f>OR_VEH!D207</f>
        <v>404-006</v>
      </c>
      <c r="D219" s="7">
        <f>Page5_CAD_MCI!F8</f>
        <v>0</v>
      </c>
      <c r="E219" s="7">
        <f>Page5_CAD_MCI!K8</f>
        <v>0</v>
      </c>
      <c r="F219" t="str">
        <f t="shared" ref="F219:F282" si="23">TEXT(K219,"00")&amp;"-"&amp;L219&amp;IF(M219="","","-"&amp;M219)&amp;IF(N219="","","-"&amp;N219)&amp;IF(OR(O219="",O219=0),"","-"&amp;O219)&amp;IF(P219="","","-"&amp;P219)</f>
        <v>01-00-404-006-UNIT-CURR</v>
      </c>
      <c r="G219" t="s">
        <v>127</v>
      </c>
      <c r="H219" t="s">
        <v>10287</v>
      </c>
      <c r="I219" t="s">
        <v>10253</v>
      </c>
      <c r="K219" s="1073" t="s">
        <v>10288</v>
      </c>
      <c r="L219" s="789" t="s">
        <v>10241</v>
      </c>
      <c r="M219" s="790" t="str">
        <f t="shared" si="21"/>
        <v>404</v>
      </c>
      <c r="N219" s="790" t="str">
        <f t="shared" si="22"/>
        <v>006</v>
      </c>
      <c r="O219" s="799" t="s">
        <v>10255</v>
      </c>
      <c r="P219" s="799" t="s">
        <v>10244</v>
      </c>
      <c r="R219" s="30"/>
    </row>
    <row r="220" spans="1:18">
      <c r="B220" s="5" t="str">
        <f>Page5_CAD_MCI!C9</f>
        <v>CT5</v>
      </c>
      <c r="C220" s="1045" t="str">
        <f>OR_VEH!D208</f>
        <v>405-006</v>
      </c>
      <c r="D220" s="7">
        <f>Page5_CAD_MCI!F9</f>
        <v>0</v>
      </c>
      <c r="E220" s="7">
        <f>Page5_CAD_MCI!K9</f>
        <v>0</v>
      </c>
      <c r="F220" t="str">
        <f t="shared" si="23"/>
        <v>01-00-405-006-UNIT-CURR</v>
      </c>
      <c r="G220" t="s">
        <v>127</v>
      </c>
      <c r="H220" t="s">
        <v>10287</v>
      </c>
      <c r="I220" t="s">
        <v>10253</v>
      </c>
      <c r="K220" s="1073" t="s">
        <v>10288</v>
      </c>
      <c r="L220" s="789" t="s">
        <v>10241</v>
      </c>
      <c r="M220" s="790" t="str">
        <f t="shared" si="21"/>
        <v>405</v>
      </c>
      <c r="N220" s="790" t="str">
        <f t="shared" si="22"/>
        <v>006</v>
      </c>
      <c r="O220" s="799" t="s">
        <v>10255</v>
      </c>
      <c r="P220" s="799" t="s">
        <v>10244</v>
      </c>
      <c r="R220" s="30"/>
    </row>
    <row r="221" spans="1:18">
      <c r="B221" s="5" t="str">
        <f>Page5_CAD_MCI!C10</f>
        <v>NE PAS UTILISER</v>
      </c>
      <c r="C221" s="1045" t="str">
        <f>OR_VEH!D209</f>
        <v>406-006</v>
      </c>
      <c r="D221" s="7">
        <f>Page5_CAD_MCI!F10</f>
        <v>0</v>
      </c>
      <c r="E221" s="7">
        <f>Page5_CAD_MCI!K10</f>
        <v>0</v>
      </c>
      <c r="F221" t="str">
        <f t="shared" si="23"/>
        <v>01-00-406-006-UNIT-CURR</v>
      </c>
      <c r="G221" t="s">
        <v>127</v>
      </c>
      <c r="H221" t="s">
        <v>10287</v>
      </c>
      <c r="I221" t="s">
        <v>10253</v>
      </c>
      <c r="K221" s="1073" t="s">
        <v>10288</v>
      </c>
      <c r="L221" s="789" t="s">
        <v>10241</v>
      </c>
      <c r="M221" s="790" t="str">
        <f t="shared" si="21"/>
        <v>406</v>
      </c>
      <c r="N221" s="790" t="str">
        <f t="shared" si="22"/>
        <v>006</v>
      </c>
      <c r="O221" s="799" t="s">
        <v>10255</v>
      </c>
      <c r="P221" s="799" t="s">
        <v>10244</v>
      </c>
      <c r="R221" s="30"/>
    </row>
    <row r="222" spans="1:18">
      <c r="B222" s="5" t="str">
        <f>Page5_CAD_MCI!C11</f>
        <v>NE PAS UTILISER</v>
      </c>
      <c r="C222" s="1045" t="str">
        <f>OR_VEH!D210</f>
        <v>407-006</v>
      </c>
      <c r="D222" s="7">
        <f>Page5_CAD_MCI!F11</f>
        <v>0</v>
      </c>
      <c r="E222" s="7">
        <f>Page5_CAD_MCI!K11</f>
        <v>0</v>
      </c>
      <c r="F222" t="str">
        <f t="shared" si="23"/>
        <v>01-00-407-006-UNIT-CURR</v>
      </c>
      <c r="G222" t="s">
        <v>127</v>
      </c>
      <c r="H222" t="s">
        <v>10287</v>
      </c>
      <c r="I222" t="s">
        <v>10253</v>
      </c>
      <c r="K222" s="1073" t="s">
        <v>10288</v>
      </c>
      <c r="L222" s="789" t="s">
        <v>10241</v>
      </c>
      <c r="M222" s="790" t="str">
        <f t="shared" si="21"/>
        <v>407</v>
      </c>
      <c r="N222" s="790" t="str">
        <f t="shared" si="22"/>
        <v>006</v>
      </c>
      <c r="O222" s="799" t="s">
        <v>10255</v>
      </c>
      <c r="P222" s="799" t="s">
        <v>10244</v>
      </c>
      <c r="R222" s="30"/>
    </row>
    <row r="223" spans="1:18">
      <c r="B223" s="5" t="str">
        <f>Page5_CAD_MCI!C12</f>
        <v>ATS</v>
      </c>
      <c r="C223" s="1045" t="str">
        <f>OR_VEH!D211</f>
        <v>408-006</v>
      </c>
      <c r="D223" s="7">
        <f>Page5_CAD_MCI!F12</f>
        <v>0</v>
      </c>
      <c r="E223" s="7">
        <f>Page5_CAD_MCI!K12</f>
        <v>0</v>
      </c>
      <c r="F223" t="str">
        <f t="shared" si="23"/>
        <v>01-00-408-006-UNIT-CURR</v>
      </c>
      <c r="G223" t="s">
        <v>127</v>
      </c>
      <c r="H223" t="s">
        <v>10287</v>
      </c>
      <c r="I223" t="s">
        <v>10253</v>
      </c>
      <c r="K223" s="1073" t="s">
        <v>10288</v>
      </c>
      <c r="L223" s="789" t="s">
        <v>10241</v>
      </c>
      <c r="M223" s="790" t="str">
        <f t="shared" si="21"/>
        <v>408</v>
      </c>
      <c r="N223" s="790" t="str">
        <f t="shared" si="22"/>
        <v>006</v>
      </c>
      <c r="O223" s="799" t="s">
        <v>10255</v>
      </c>
      <c r="P223" s="799" t="s">
        <v>10244</v>
      </c>
      <c r="R223" s="30"/>
    </row>
    <row r="224" spans="1:18">
      <c r="B224" s="5" t="str">
        <f>Page5_CAD_MCI!C13</f>
        <v>XTS</v>
      </c>
      <c r="C224" s="1045" t="str">
        <f>OR_VEH!D212</f>
        <v>409-006</v>
      </c>
      <c r="D224" s="7">
        <f>Page5_CAD_MCI!F13</f>
        <v>0</v>
      </c>
      <c r="E224" s="7">
        <f>Page5_CAD_MCI!K13</f>
        <v>0</v>
      </c>
      <c r="F224" t="str">
        <f t="shared" si="23"/>
        <v>01-00-409-006-UNIT-CURR</v>
      </c>
      <c r="G224" t="s">
        <v>127</v>
      </c>
      <c r="H224" t="s">
        <v>10287</v>
      </c>
      <c r="I224" t="s">
        <v>10253</v>
      </c>
      <c r="K224" s="1073" t="s">
        <v>10288</v>
      </c>
      <c r="L224" s="789" t="s">
        <v>10241</v>
      </c>
      <c r="M224" s="790" t="str">
        <f t="shared" si="21"/>
        <v>409</v>
      </c>
      <c r="N224" s="790" t="str">
        <f t="shared" si="22"/>
        <v>006</v>
      </c>
      <c r="O224" s="790" t="s">
        <v>10255</v>
      </c>
      <c r="P224" s="790" t="s">
        <v>10244</v>
      </c>
      <c r="R224" s="30"/>
    </row>
    <row r="225" spans="2:18">
      <c r="B225" s="5" t="str">
        <f>Page5_CAD_MCI!C14</f>
        <v>ELR</v>
      </c>
      <c r="C225" s="1045" t="str">
        <f>OR_VEH!D213</f>
        <v>410-006</v>
      </c>
      <c r="D225" s="7">
        <f>Page5_CAD_MCI!F14</f>
        <v>0</v>
      </c>
      <c r="E225" s="7">
        <f>Page5_CAD_MCI!K14</f>
        <v>0</v>
      </c>
      <c r="F225" t="str">
        <f t="shared" si="23"/>
        <v>01-00-410-006-UNIT-CURR</v>
      </c>
      <c r="G225" t="s">
        <v>127</v>
      </c>
      <c r="H225" t="s">
        <v>10287</v>
      </c>
      <c r="I225" t="s">
        <v>10253</v>
      </c>
      <c r="K225" s="1073" t="s">
        <v>10288</v>
      </c>
      <c r="L225" s="789" t="s">
        <v>10241</v>
      </c>
      <c r="M225" s="790" t="str">
        <f t="shared" si="21"/>
        <v>410</v>
      </c>
      <c r="N225" s="790" t="str">
        <f t="shared" si="22"/>
        <v>006</v>
      </c>
      <c r="O225" s="790" t="s">
        <v>10255</v>
      </c>
      <c r="P225" s="790" t="s">
        <v>10244</v>
      </c>
      <c r="R225" s="30"/>
    </row>
    <row r="226" spans="2:18">
      <c r="B226" s="5" t="str">
        <f>Page5_CAD_MCI!C15</f>
        <v>ATS-V</v>
      </c>
      <c r="C226" s="1045" t="str">
        <f>OR_VEH!D214</f>
        <v>411-006</v>
      </c>
      <c r="D226" s="7">
        <f>Page5_CAD_MCI!F15</f>
        <v>0</v>
      </c>
      <c r="E226" s="7">
        <f>Page5_CAD_MCI!K15</f>
        <v>0</v>
      </c>
      <c r="F226" t="str">
        <f t="shared" si="23"/>
        <v>01-00-411-006-UNIT-CURR</v>
      </c>
      <c r="G226" t="s">
        <v>127</v>
      </c>
      <c r="H226" t="s">
        <v>10287</v>
      </c>
      <c r="I226" t="s">
        <v>10253</v>
      </c>
      <c r="K226" s="1073" t="s">
        <v>10288</v>
      </c>
      <c r="L226" s="789" t="s">
        <v>10241</v>
      </c>
      <c r="M226" s="790" t="str">
        <f t="shared" si="21"/>
        <v>411</v>
      </c>
      <c r="N226" s="790" t="str">
        <f t="shared" si="22"/>
        <v>006</v>
      </c>
      <c r="O226" s="790" t="s">
        <v>10255</v>
      </c>
      <c r="P226" s="790" t="s">
        <v>10244</v>
      </c>
      <c r="R226" s="30"/>
    </row>
    <row r="227" spans="2:18">
      <c r="B227" s="5" t="str">
        <f>Page5_CAD_MCI!C16</f>
        <v>CT6</v>
      </c>
      <c r="C227" s="1045" t="str">
        <f>OR_VEH!D215</f>
        <v>412-006</v>
      </c>
      <c r="D227" s="7">
        <f>Page5_CAD_MCI!F16</f>
        <v>0</v>
      </c>
      <c r="E227" s="7">
        <f>Page5_CAD_MCI!K16</f>
        <v>0</v>
      </c>
      <c r="F227" t="str">
        <f t="shared" si="23"/>
        <v>01-00-412-006-UNIT-CURR</v>
      </c>
      <c r="G227" t="s">
        <v>127</v>
      </c>
      <c r="H227" t="s">
        <v>10287</v>
      </c>
      <c r="I227" t="s">
        <v>10253</v>
      </c>
      <c r="K227" s="1073" t="s">
        <v>10288</v>
      </c>
      <c r="L227" s="789" t="s">
        <v>10241</v>
      </c>
      <c r="M227" s="790" t="str">
        <f t="shared" si="21"/>
        <v>412</v>
      </c>
      <c r="N227" s="790" t="str">
        <f t="shared" si="22"/>
        <v>006</v>
      </c>
      <c r="O227" s="790" t="s">
        <v>10255</v>
      </c>
      <c r="P227" s="790" t="s">
        <v>10244</v>
      </c>
      <c r="R227" s="30"/>
    </row>
    <row r="228" spans="2:18">
      <c r="B228" s="5" t="str">
        <f>Page5_CAD_MCI!C17</f>
        <v>NE PAS UTILISER</v>
      </c>
      <c r="C228" s="1045" t="str">
        <f>OR_VEH!D216</f>
        <v>413-006</v>
      </c>
      <c r="D228" s="7">
        <f>Page5_CAD_MCI!F17</f>
        <v>0</v>
      </c>
      <c r="E228" s="7">
        <f>Page5_CAD_MCI!K17</f>
        <v>0</v>
      </c>
      <c r="F228" t="str">
        <f t="shared" si="23"/>
        <v>01-00-413-006-UNIT-CURR</v>
      </c>
      <c r="G228" t="s">
        <v>127</v>
      </c>
      <c r="H228" t="s">
        <v>10287</v>
      </c>
      <c r="I228" t="s">
        <v>10253</v>
      </c>
      <c r="K228" s="1073" t="s">
        <v>10288</v>
      </c>
      <c r="L228" s="789" t="s">
        <v>10241</v>
      </c>
      <c r="M228" s="790" t="str">
        <f t="shared" si="21"/>
        <v>413</v>
      </c>
      <c r="N228" s="790" t="str">
        <f t="shared" si="22"/>
        <v>006</v>
      </c>
      <c r="O228" s="790" t="s">
        <v>10255</v>
      </c>
      <c r="P228" s="790" t="s">
        <v>10244</v>
      </c>
      <c r="R228" s="30"/>
    </row>
    <row r="229" spans="2:18">
      <c r="B229" s="5" t="str">
        <f>Page5_CAD_MCI!C18</f>
        <v>NE PAS UTILISER</v>
      </c>
      <c r="C229" s="1045" t="str">
        <f>OR_VEH!D217</f>
        <v>414-006</v>
      </c>
      <c r="D229" s="7">
        <f>Page5_CAD_MCI!F18</f>
        <v>0</v>
      </c>
      <c r="E229" s="7">
        <f>Page5_CAD_MCI!K18</f>
        <v>0</v>
      </c>
      <c r="F229" t="str">
        <f t="shared" si="23"/>
        <v>01-00-414-006-UNIT-CURR</v>
      </c>
      <c r="G229" t="s">
        <v>127</v>
      </c>
      <c r="H229" t="s">
        <v>10287</v>
      </c>
      <c r="I229" t="s">
        <v>10253</v>
      </c>
      <c r="K229" s="1073" t="s">
        <v>10288</v>
      </c>
      <c r="L229" s="789" t="s">
        <v>10241</v>
      </c>
      <c r="M229" s="790" t="str">
        <f t="shared" si="21"/>
        <v>414</v>
      </c>
      <c r="N229" s="790" t="str">
        <f t="shared" si="22"/>
        <v>006</v>
      </c>
      <c r="O229" s="790" t="s">
        <v>10255</v>
      </c>
      <c r="P229" s="790" t="s">
        <v>10244</v>
      </c>
      <c r="R229" s="30"/>
    </row>
    <row r="230" spans="2:18">
      <c r="B230" s="5" t="str">
        <f>Page5_CAD_MCI!C19</f>
        <v>NE PAS UTILISER</v>
      </c>
      <c r="C230" s="1045" t="str">
        <f>OR_VEH!D218</f>
        <v>415-006</v>
      </c>
      <c r="D230" s="7">
        <f>Page5_CAD_MCI!F19</f>
        <v>0</v>
      </c>
      <c r="E230" s="7">
        <f>Page5_CAD_MCI!K19</f>
        <v>0</v>
      </c>
      <c r="F230" t="str">
        <f t="shared" si="23"/>
        <v>01-00-415-006-UNIT-CURR</v>
      </c>
      <c r="G230" t="s">
        <v>127</v>
      </c>
      <c r="H230" t="s">
        <v>10287</v>
      </c>
      <c r="I230" t="s">
        <v>10253</v>
      </c>
      <c r="K230" s="1073" t="s">
        <v>10288</v>
      </c>
      <c r="L230" s="789" t="s">
        <v>10241</v>
      </c>
      <c r="M230" s="790" t="str">
        <f t="shared" si="21"/>
        <v>415</v>
      </c>
      <c r="N230" s="790" t="str">
        <f t="shared" si="22"/>
        <v>006</v>
      </c>
      <c r="O230" s="790" t="s">
        <v>10255</v>
      </c>
      <c r="P230" s="790" t="s">
        <v>10244</v>
      </c>
      <c r="R230" s="30"/>
    </row>
    <row r="231" spans="2:18">
      <c r="B231" s="5" t="str">
        <f>Page5_CAD_MCI!C20</f>
        <v>POUR USAGE FUTUR</v>
      </c>
      <c r="C231" s="1045" t="str">
        <f>OR_VEH!D219</f>
        <v>416-006</v>
      </c>
      <c r="D231" s="7">
        <f>Page5_CAD_MCI!F20</f>
        <v>0</v>
      </c>
      <c r="E231" s="7">
        <f>Page5_CAD_MCI!K20</f>
        <v>0</v>
      </c>
      <c r="F231" t="str">
        <f t="shared" si="23"/>
        <v>01-00-416-006-UNIT-CURR</v>
      </c>
      <c r="G231" t="s">
        <v>127</v>
      </c>
      <c r="H231" t="s">
        <v>10287</v>
      </c>
      <c r="I231" t="s">
        <v>10253</v>
      </c>
      <c r="K231" s="1073" t="s">
        <v>10288</v>
      </c>
      <c r="L231" s="789" t="s">
        <v>10241</v>
      </c>
      <c r="M231" s="790" t="str">
        <f t="shared" si="21"/>
        <v>416</v>
      </c>
      <c r="N231" s="790" t="str">
        <f t="shared" si="22"/>
        <v>006</v>
      </c>
      <c r="O231" s="790" t="s">
        <v>10255</v>
      </c>
      <c r="P231" s="790" t="s">
        <v>10244</v>
      </c>
      <c r="R231" s="30"/>
    </row>
    <row r="232" spans="2:18">
      <c r="B232" s="5" t="str">
        <f>Page5_CAD_MCI!C21</f>
        <v>NE PAS UTILISER</v>
      </c>
      <c r="C232" s="1045" t="str">
        <f>OR_VEH!D220</f>
        <v>417-006</v>
      </c>
      <c r="D232" s="7">
        <f>Page5_CAD_MCI!F21</f>
        <v>0</v>
      </c>
      <c r="E232" s="7">
        <f>Page5_CAD_MCI!K21</f>
        <v>0</v>
      </c>
      <c r="F232" t="str">
        <f t="shared" si="23"/>
        <v>01-00-417-006-UNIT-CURR</v>
      </c>
      <c r="G232" t="s">
        <v>127</v>
      </c>
      <c r="H232" t="s">
        <v>10287</v>
      </c>
      <c r="I232" t="s">
        <v>10253</v>
      </c>
      <c r="K232" s="1073" t="s">
        <v>10288</v>
      </c>
      <c r="L232" s="789" t="s">
        <v>10241</v>
      </c>
      <c r="M232" s="790" t="str">
        <f t="shared" si="21"/>
        <v>417</v>
      </c>
      <c r="N232" s="790" t="str">
        <f t="shared" si="22"/>
        <v>006</v>
      </c>
      <c r="O232" s="790" t="s">
        <v>10255</v>
      </c>
      <c r="P232" s="790" t="s">
        <v>10244</v>
      </c>
      <c r="R232" s="30"/>
    </row>
    <row r="233" spans="2:18">
      <c r="B233" s="5" t="str">
        <f>Page5_CAD_MCI!C22</f>
        <v>AUTRES CADILLAC</v>
      </c>
      <c r="C233" s="1045" t="str">
        <f>OR_VEH!D221</f>
        <v>418-006</v>
      </c>
      <c r="D233" s="7">
        <f>Page5_CAD_MCI!F22</f>
        <v>0</v>
      </c>
      <c r="E233" s="7">
        <f>Page5_CAD_MCI!K22</f>
        <v>0</v>
      </c>
      <c r="F233" t="str">
        <f t="shared" si="23"/>
        <v>01-00-418-006-UNIT-CURR</v>
      </c>
      <c r="G233" t="s">
        <v>127</v>
      </c>
      <c r="H233" t="s">
        <v>10287</v>
      </c>
      <c r="I233" t="s">
        <v>10253</v>
      </c>
      <c r="K233" s="1073" t="s">
        <v>10288</v>
      </c>
      <c r="L233" s="789" t="s">
        <v>10241</v>
      </c>
      <c r="M233" s="790" t="str">
        <f t="shared" si="21"/>
        <v>418</v>
      </c>
      <c r="N233" s="790" t="str">
        <f t="shared" si="22"/>
        <v>006</v>
      </c>
      <c r="O233" s="799" t="s">
        <v>10255</v>
      </c>
      <c r="P233" s="799" t="s">
        <v>10244</v>
      </c>
      <c r="R233" s="30"/>
    </row>
    <row r="234" spans="2:18">
      <c r="B234" s="27" t="s">
        <v>10333</v>
      </c>
      <c r="C234" s="1042"/>
      <c r="D234" s="7">
        <f>Page5_CAD_MCI!F23</f>
        <v>0</v>
      </c>
      <c r="E234" s="7">
        <f>Page5_CAD_MCI!K23</f>
        <v>0</v>
      </c>
      <c r="F234" t="str">
        <f t="shared" si="23"/>
        <v>01-00-RTLCAR5E-UNIT-CURR</v>
      </c>
      <c r="G234" t="s">
        <v>127</v>
      </c>
      <c r="H234" t="s">
        <v>10287</v>
      </c>
      <c r="I234" t="s">
        <v>10253</v>
      </c>
      <c r="J234" t="s">
        <v>10268</v>
      </c>
      <c r="K234" s="1073" t="s">
        <v>10288</v>
      </c>
      <c r="L234" s="789" t="s">
        <v>10241</v>
      </c>
      <c r="M234" s="790" t="s">
        <v>10334</v>
      </c>
      <c r="O234" s="790" t="s">
        <v>10255</v>
      </c>
      <c r="P234" s="790" t="s">
        <v>10244</v>
      </c>
      <c r="Q234" s="791" t="s">
        <v>773</v>
      </c>
    </row>
    <row r="235" spans="2:18">
      <c r="B235" s="5" t="str">
        <f>Page5_CAD_MCI!C24</f>
        <v>MÉMO* VENTES INTERNET VOITURES</v>
      </c>
      <c r="C235" s="1045" t="str">
        <f>OR_VEH!D223</f>
        <v>419P5E</v>
      </c>
      <c r="D235" s="7">
        <f>Page5_CAD_MCI!F24</f>
        <v>0</v>
      </c>
      <c r="E235" s="7">
        <f>Page5_CAD_MCI!K24</f>
        <v>0</v>
      </c>
      <c r="F235" t="str">
        <f t="shared" si="23"/>
        <v>01-00-419P5E-UNIT-CURR</v>
      </c>
      <c r="G235" t="s">
        <v>127</v>
      </c>
      <c r="H235" t="s">
        <v>10287</v>
      </c>
      <c r="I235" t="s">
        <v>10253</v>
      </c>
      <c r="K235" s="1073" t="s">
        <v>10288</v>
      </c>
      <c r="L235" s="789" t="s">
        <v>10241</v>
      </c>
      <c r="M235" s="855" t="str">
        <f>C235</f>
        <v>419P5E</v>
      </c>
      <c r="N235" s="855"/>
      <c r="O235" s="790" t="s">
        <v>10255</v>
      </c>
      <c r="P235" s="790" t="s">
        <v>10244</v>
      </c>
      <c r="R235" s="30"/>
    </row>
    <row r="236" spans="2:18">
      <c r="B236" s="5" t="str">
        <f>Page5_CAD_MCI!C25</f>
        <v>TOTAL PARCS - VOITURES</v>
      </c>
      <c r="C236" s="1045" t="str">
        <f>OR_VEH!D224</f>
        <v>420P5E</v>
      </c>
      <c r="D236" s="7">
        <f>Page5_CAD_MCI!F25</f>
        <v>0</v>
      </c>
      <c r="E236" s="7">
        <f>Page5_CAD_MCI!K25</f>
        <v>0</v>
      </c>
      <c r="F236" t="str">
        <f t="shared" si="23"/>
        <v>01-00-420P5E-UNIT-CURR</v>
      </c>
      <c r="G236" t="s">
        <v>127</v>
      </c>
      <c r="H236" t="s">
        <v>10287</v>
      </c>
      <c r="I236" t="s">
        <v>10253</v>
      </c>
      <c r="K236" s="1073" t="s">
        <v>10288</v>
      </c>
      <c r="L236" s="789" t="s">
        <v>10241</v>
      </c>
      <c r="M236" s="855" t="str">
        <f>C236</f>
        <v>420P5E</v>
      </c>
      <c r="N236" s="855"/>
      <c r="O236" s="799" t="s">
        <v>10255</v>
      </c>
      <c r="P236" s="799" t="s">
        <v>10244</v>
      </c>
      <c r="R236" s="30"/>
    </row>
    <row r="237" spans="2:18">
      <c r="B237" s="5" t="str">
        <f>Page5_CAD_MCI!C26</f>
        <v>TOTAL INTERNE - VOITURES</v>
      </c>
      <c r="C237" s="1045" t="str">
        <f>OR_VEH!D225</f>
        <v>421P5E</v>
      </c>
      <c r="D237" s="7">
        <f>Page5_CAD_MCI!F26</f>
        <v>0</v>
      </c>
      <c r="E237" s="7">
        <f>Page5_CAD_MCI!K26</f>
        <v>0</v>
      </c>
      <c r="F237" t="str">
        <f t="shared" si="23"/>
        <v>01-00-421P5E-UNIT-CURR</v>
      </c>
      <c r="G237" t="s">
        <v>127</v>
      </c>
      <c r="H237" t="s">
        <v>10287</v>
      </c>
      <c r="I237" t="s">
        <v>10253</v>
      </c>
      <c r="K237" s="1073" t="s">
        <v>10288</v>
      </c>
      <c r="L237" s="789" t="s">
        <v>10241</v>
      </c>
      <c r="M237" s="855" t="str">
        <f>C237</f>
        <v>421P5E</v>
      </c>
      <c r="N237" s="855"/>
      <c r="O237" s="799" t="s">
        <v>10255</v>
      </c>
      <c r="P237" s="799" t="s">
        <v>10244</v>
      </c>
      <c r="R237" s="30"/>
    </row>
    <row r="238" spans="2:18">
      <c r="B238" s="27" t="s">
        <v>10335</v>
      </c>
      <c r="C238" s="1042"/>
      <c r="D238" s="7">
        <f>Page5_CAD_MCI!F27</f>
        <v>0</v>
      </c>
      <c r="E238" s="7">
        <f>Page5_CAD_MCI!K27</f>
        <v>0</v>
      </c>
      <c r="F238" t="str">
        <f t="shared" si="23"/>
        <v>01-00-TOTCAR5E-UNIT-CURR</v>
      </c>
      <c r="G238" t="s">
        <v>127</v>
      </c>
      <c r="H238" t="s">
        <v>10287</v>
      </c>
      <c r="I238" t="s">
        <v>10253</v>
      </c>
      <c r="J238" t="s">
        <v>10268</v>
      </c>
      <c r="K238" s="1073" t="s">
        <v>10288</v>
      </c>
      <c r="L238" s="789" t="s">
        <v>10241</v>
      </c>
      <c r="M238" s="790" t="s">
        <v>10336</v>
      </c>
      <c r="O238" s="790" t="s">
        <v>10255</v>
      </c>
      <c r="P238" s="790" t="s">
        <v>10244</v>
      </c>
      <c r="Q238" s="791" t="s">
        <v>773</v>
      </c>
    </row>
    <row r="239" spans="2:18">
      <c r="B239" s="5" t="str">
        <f>Page5_CAD_MCI!C28</f>
        <v xml:space="preserve">ESCALADE   </v>
      </c>
      <c r="C239" s="1045" t="str">
        <f>OR_VEH!D227</f>
        <v>423-006</v>
      </c>
      <c r="D239" s="7">
        <f>Page5_CAD_MCI!F28</f>
        <v>0</v>
      </c>
      <c r="E239" s="7">
        <f>Page5_CAD_MCI!K28</f>
        <v>0</v>
      </c>
      <c r="F239" t="str">
        <f t="shared" si="23"/>
        <v>01-00-423-006-UNIT-CURR</v>
      </c>
      <c r="G239" t="s">
        <v>127</v>
      </c>
      <c r="H239" t="s">
        <v>10287</v>
      </c>
      <c r="I239" t="s">
        <v>10253</v>
      </c>
      <c r="K239" s="1073" t="s">
        <v>10288</v>
      </c>
      <c r="L239" s="789" t="s">
        <v>10241</v>
      </c>
      <c r="M239" s="790" t="str">
        <f t="shared" ref="M239:M254" si="24">LEFT(C239,3)</f>
        <v>423</v>
      </c>
      <c r="N239" s="790" t="str">
        <f t="shared" ref="N239:N254" si="25">RIGHT(C239,3)</f>
        <v>006</v>
      </c>
      <c r="O239" s="799" t="s">
        <v>10255</v>
      </c>
      <c r="P239" s="799" t="s">
        <v>10244</v>
      </c>
      <c r="R239" s="30"/>
    </row>
    <row r="240" spans="2:18">
      <c r="B240" s="5" t="str">
        <f>Page5_CAD_MCI!C29</f>
        <v>NE PAS UTILISER</v>
      </c>
      <c r="C240" s="1045" t="str">
        <f>OR_VEH!D228</f>
        <v>424-006</v>
      </c>
      <c r="D240" s="7">
        <f>Page5_CAD_MCI!F29</f>
        <v>0</v>
      </c>
      <c r="E240" s="7">
        <f>Page5_CAD_MCI!K29</f>
        <v>0</v>
      </c>
      <c r="F240" t="str">
        <f t="shared" si="23"/>
        <v>01-00-424-006-UNIT-CURR</v>
      </c>
      <c r="G240" t="s">
        <v>127</v>
      </c>
      <c r="H240" t="s">
        <v>10287</v>
      </c>
      <c r="I240" t="s">
        <v>10253</v>
      </c>
      <c r="K240" s="1073" t="s">
        <v>10288</v>
      </c>
      <c r="L240" s="789" t="s">
        <v>10241</v>
      </c>
      <c r="M240" s="790" t="str">
        <f t="shared" si="24"/>
        <v>424</v>
      </c>
      <c r="N240" s="790" t="str">
        <f t="shared" si="25"/>
        <v>006</v>
      </c>
      <c r="O240" s="799" t="s">
        <v>10255</v>
      </c>
      <c r="P240" s="799" t="s">
        <v>10244</v>
      </c>
      <c r="R240" s="30"/>
    </row>
    <row r="241" spans="2:18">
      <c r="B241" s="5" t="str">
        <f>Page5_CAD_MCI!C30</f>
        <v>ESCALADE-ESV</v>
      </c>
      <c r="C241" s="1045" t="str">
        <f>OR_VEH!D229</f>
        <v>425-006</v>
      </c>
      <c r="D241" s="7">
        <f>Page5_CAD_MCI!F30</f>
        <v>4</v>
      </c>
      <c r="E241" s="7">
        <f>Page5_CAD_MCI!K30</f>
        <v>17</v>
      </c>
      <c r="F241" t="str">
        <f t="shared" si="23"/>
        <v>01-00-425-006-UNIT-CURR</v>
      </c>
      <c r="G241" t="s">
        <v>127</v>
      </c>
      <c r="H241" t="s">
        <v>10287</v>
      </c>
      <c r="I241" t="s">
        <v>10253</v>
      </c>
      <c r="K241" s="1073" t="s">
        <v>10288</v>
      </c>
      <c r="L241" s="789" t="s">
        <v>10241</v>
      </c>
      <c r="M241" s="790" t="str">
        <f t="shared" si="24"/>
        <v>425</v>
      </c>
      <c r="N241" s="790" t="str">
        <f t="shared" si="25"/>
        <v>006</v>
      </c>
      <c r="O241" s="790" t="s">
        <v>10255</v>
      </c>
      <c r="P241" s="790" t="s">
        <v>10244</v>
      </c>
      <c r="R241" s="30"/>
    </row>
    <row r="242" spans="2:18">
      <c r="B242" s="5" t="str">
        <f>Page5_CAD_MCI!C31</f>
        <v>SRX</v>
      </c>
      <c r="C242" s="1045" t="str">
        <f>OR_VEH!D230</f>
        <v>426-006</v>
      </c>
      <c r="D242" s="7">
        <f>Page5_CAD_MCI!F31</f>
        <v>0</v>
      </c>
      <c r="E242" s="7">
        <f>Page5_CAD_MCI!K31</f>
        <v>0</v>
      </c>
      <c r="F242" t="str">
        <f t="shared" si="23"/>
        <v>01-00-426-006-UNIT-CURR</v>
      </c>
      <c r="G242" t="s">
        <v>127</v>
      </c>
      <c r="H242" t="s">
        <v>10287</v>
      </c>
      <c r="I242" t="s">
        <v>10253</v>
      </c>
      <c r="K242" s="1073" t="s">
        <v>10288</v>
      </c>
      <c r="L242" s="789" t="s">
        <v>10241</v>
      </c>
      <c r="M242" s="790" t="str">
        <f t="shared" si="24"/>
        <v>426</v>
      </c>
      <c r="N242" s="790" t="str">
        <f t="shared" si="25"/>
        <v>006</v>
      </c>
      <c r="O242" s="790" t="s">
        <v>10255</v>
      </c>
      <c r="P242" s="790" t="s">
        <v>10244</v>
      </c>
      <c r="R242" s="30"/>
    </row>
    <row r="243" spans="2:18">
      <c r="B243" s="5" t="str">
        <f>Page5_CAD_MCI!C32</f>
        <v>NE PAS UTILISER</v>
      </c>
      <c r="C243" s="1045" t="str">
        <f>OR_VEH!D231</f>
        <v>427-006</v>
      </c>
      <c r="D243" s="7">
        <f>Page5_CAD_MCI!F32</f>
        <v>0</v>
      </c>
      <c r="E243" s="7">
        <f>Page5_CAD_MCI!K32</f>
        <v>0</v>
      </c>
      <c r="F243" t="str">
        <f t="shared" si="23"/>
        <v>01-00-427-006-UNIT-CURR</v>
      </c>
      <c r="G243" t="s">
        <v>127</v>
      </c>
      <c r="H243" t="s">
        <v>10287</v>
      </c>
      <c r="I243" t="s">
        <v>10253</v>
      </c>
      <c r="K243" s="1073" t="s">
        <v>10288</v>
      </c>
      <c r="L243" s="789" t="s">
        <v>10241</v>
      </c>
      <c r="M243" s="790" t="str">
        <f t="shared" si="24"/>
        <v>427</v>
      </c>
      <c r="N243" s="790" t="str">
        <f t="shared" si="25"/>
        <v>006</v>
      </c>
      <c r="O243" s="790" t="s">
        <v>10255</v>
      </c>
      <c r="P243" s="790" t="s">
        <v>10244</v>
      </c>
      <c r="R243" s="30"/>
    </row>
    <row r="244" spans="2:18">
      <c r="B244" s="5" t="str">
        <f>Page5_CAD_MCI!C33</f>
        <v>NE PAS UTILISER</v>
      </c>
      <c r="C244" s="1045" t="str">
        <f>OR_VEH!D232</f>
        <v>428-006</v>
      </c>
      <c r="D244" s="7">
        <f>Page5_CAD_MCI!F33</f>
        <v>0</v>
      </c>
      <c r="E244" s="7">
        <f>Page5_CAD_MCI!K33</f>
        <v>0</v>
      </c>
      <c r="F244" t="str">
        <f t="shared" si="23"/>
        <v>01-00-428-006-UNIT-CURR</v>
      </c>
      <c r="G244" t="s">
        <v>127</v>
      </c>
      <c r="H244" t="s">
        <v>10287</v>
      </c>
      <c r="I244" t="s">
        <v>10253</v>
      </c>
      <c r="K244" s="1073" t="s">
        <v>10288</v>
      </c>
      <c r="L244" s="789" t="s">
        <v>10241</v>
      </c>
      <c r="M244" s="790" t="str">
        <f t="shared" si="24"/>
        <v>428</v>
      </c>
      <c r="N244" s="790" t="str">
        <f t="shared" si="25"/>
        <v>006</v>
      </c>
      <c r="O244" s="790" t="s">
        <v>10255</v>
      </c>
      <c r="P244" s="790" t="s">
        <v>10244</v>
      </c>
      <c r="R244" s="30"/>
    </row>
    <row r="245" spans="2:18">
      <c r="B245" s="5" t="str">
        <f>Page5_CAD_MCI!C34</f>
        <v>NE PAS UTILISER</v>
      </c>
      <c r="C245" s="1045" t="str">
        <f>OR_VEH!D233</f>
        <v>429-006</v>
      </c>
      <c r="D245" s="7">
        <f>Page5_CAD_MCI!F34</f>
        <v>0</v>
      </c>
      <c r="E245" s="7">
        <f>Page5_CAD_MCI!K34</f>
        <v>0</v>
      </c>
      <c r="F245" t="str">
        <f t="shared" si="23"/>
        <v>01-00-429-006-UNIT-CURR</v>
      </c>
      <c r="G245" t="s">
        <v>127</v>
      </c>
      <c r="H245" t="s">
        <v>10287</v>
      </c>
      <c r="I245" t="s">
        <v>10253</v>
      </c>
      <c r="K245" s="1073" t="s">
        <v>10288</v>
      </c>
      <c r="L245" s="789" t="s">
        <v>10241</v>
      </c>
      <c r="M245" s="790" t="str">
        <f t="shared" si="24"/>
        <v>429</v>
      </c>
      <c r="N245" s="790" t="str">
        <f t="shared" si="25"/>
        <v>006</v>
      </c>
      <c r="O245" s="790" t="s">
        <v>10255</v>
      </c>
      <c r="P245" s="790" t="s">
        <v>10244</v>
      </c>
      <c r="R245" s="30"/>
    </row>
    <row r="246" spans="2:18">
      <c r="B246" s="5" t="str">
        <f>Page5_CAD_MCI!C35</f>
        <v>XT4</v>
      </c>
      <c r="C246" s="1045" t="str">
        <f>OR_VEH!D234</f>
        <v>430-006</v>
      </c>
      <c r="D246" s="7">
        <f>Page5_CAD_MCI!F35</f>
        <v>1</v>
      </c>
      <c r="E246" s="7">
        <f>Page5_CAD_MCI!K35</f>
        <v>11</v>
      </c>
      <c r="F246" t="str">
        <f t="shared" si="23"/>
        <v>01-00-430-006-UNIT-CURR</v>
      </c>
      <c r="G246" t="s">
        <v>127</v>
      </c>
      <c r="H246" t="s">
        <v>10287</v>
      </c>
      <c r="I246" t="s">
        <v>10253</v>
      </c>
      <c r="K246" s="1073" t="s">
        <v>10288</v>
      </c>
      <c r="L246" s="789" t="s">
        <v>10241</v>
      </c>
      <c r="M246" s="790" t="str">
        <f t="shared" si="24"/>
        <v>430</v>
      </c>
      <c r="N246" s="790" t="str">
        <f t="shared" si="25"/>
        <v>006</v>
      </c>
      <c r="O246" s="790" t="s">
        <v>10255</v>
      </c>
      <c r="P246" s="790" t="s">
        <v>10244</v>
      </c>
      <c r="R246" s="30"/>
    </row>
    <row r="247" spans="2:18">
      <c r="B247" s="5" t="str">
        <f>Page5_CAD_MCI!C36</f>
        <v>XT5</v>
      </c>
      <c r="C247" s="1045" t="str">
        <f>OR_VEH!D235</f>
        <v>431-006</v>
      </c>
      <c r="D247" s="7">
        <f>Page5_CAD_MCI!F36</f>
        <v>1</v>
      </c>
      <c r="E247" s="7">
        <f>Page5_CAD_MCI!K36</f>
        <v>7</v>
      </c>
      <c r="F247" t="str">
        <f t="shared" si="23"/>
        <v>01-00-431-006-UNIT-CURR</v>
      </c>
      <c r="G247" t="s">
        <v>127</v>
      </c>
      <c r="H247" t="s">
        <v>10287</v>
      </c>
      <c r="I247" t="s">
        <v>10253</v>
      </c>
      <c r="K247" s="1073" t="s">
        <v>10288</v>
      </c>
      <c r="L247" s="789" t="s">
        <v>10241</v>
      </c>
      <c r="M247" s="790" t="str">
        <f t="shared" si="24"/>
        <v>431</v>
      </c>
      <c r="N247" s="790" t="str">
        <f t="shared" si="25"/>
        <v>006</v>
      </c>
      <c r="O247" s="790" t="s">
        <v>10255</v>
      </c>
      <c r="P247" s="790" t="s">
        <v>10244</v>
      </c>
      <c r="R247" s="30"/>
    </row>
    <row r="248" spans="2:18">
      <c r="B248" s="5" t="str">
        <f>Page5_CAD_MCI!C37</f>
        <v>XT6</v>
      </c>
      <c r="C248" s="1045" t="str">
        <f>OR_VEH!D236</f>
        <v>432-006</v>
      </c>
      <c r="D248" s="7">
        <f>Page5_CAD_MCI!F37</f>
        <v>0</v>
      </c>
      <c r="E248" s="7">
        <f>Page5_CAD_MCI!K37</f>
        <v>5</v>
      </c>
      <c r="F248" t="str">
        <f t="shared" si="23"/>
        <v>01-00-432-006-UNIT-CURR</v>
      </c>
      <c r="G248" t="s">
        <v>127</v>
      </c>
      <c r="H248" t="s">
        <v>10287</v>
      </c>
      <c r="I248" t="s">
        <v>10253</v>
      </c>
      <c r="K248" s="1073" t="s">
        <v>10288</v>
      </c>
      <c r="L248" s="789" t="s">
        <v>10241</v>
      </c>
      <c r="M248" s="790" t="str">
        <f t="shared" si="24"/>
        <v>432</v>
      </c>
      <c r="N248" s="790" t="str">
        <f t="shared" si="25"/>
        <v>006</v>
      </c>
      <c r="O248" s="790" t="s">
        <v>10255</v>
      </c>
      <c r="P248" s="790" t="s">
        <v>10244</v>
      </c>
      <c r="R248" s="30"/>
    </row>
    <row r="249" spans="2:18">
      <c r="B249" s="5" t="str">
        <f>Page5_CAD_MCI!C38</f>
        <v>NE PAS UTILISER</v>
      </c>
      <c r="C249" s="1045" t="str">
        <f>OR_VEH!D237</f>
        <v>433-006</v>
      </c>
      <c r="D249" s="7">
        <f>Page5_CAD_MCI!F38</f>
        <v>0</v>
      </c>
      <c r="E249" s="7">
        <f>Page5_CAD_MCI!K38</f>
        <v>0</v>
      </c>
      <c r="F249" t="str">
        <f t="shared" si="23"/>
        <v>01-00-433-006-UNIT-CURR</v>
      </c>
      <c r="G249" t="s">
        <v>127</v>
      </c>
      <c r="H249" t="s">
        <v>10287</v>
      </c>
      <c r="I249" t="s">
        <v>10253</v>
      </c>
      <c r="K249" s="1073" t="s">
        <v>10288</v>
      </c>
      <c r="L249" s="789" t="s">
        <v>10241</v>
      </c>
      <c r="M249" s="790" t="str">
        <f t="shared" si="24"/>
        <v>433</v>
      </c>
      <c r="N249" s="790" t="str">
        <f t="shared" si="25"/>
        <v>006</v>
      </c>
      <c r="O249" s="790" t="s">
        <v>10255</v>
      </c>
      <c r="P249" s="790" t="s">
        <v>10244</v>
      </c>
      <c r="R249" s="30"/>
    </row>
    <row r="250" spans="2:18">
      <c r="B250" s="5" t="str">
        <f>Page5_CAD_MCI!C39</f>
        <v>ESCALADE V</v>
      </c>
      <c r="C250" s="1045" t="str">
        <f>OR_VEH!D238</f>
        <v>434-006</v>
      </c>
      <c r="D250" s="7">
        <f>Page5_CAD_MCI!F39</f>
        <v>0</v>
      </c>
      <c r="E250" s="7">
        <f>Page5_CAD_MCI!K39</f>
        <v>0</v>
      </c>
      <c r="F250" t="str">
        <f t="shared" si="23"/>
        <v>01-00-434-006-UNIT-CURR</v>
      </c>
      <c r="G250" t="s">
        <v>127</v>
      </c>
      <c r="H250" t="s">
        <v>10287</v>
      </c>
      <c r="I250" t="s">
        <v>10253</v>
      </c>
      <c r="K250" s="1073" t="s">
        <v>10288</v>
      </c>
      <c r="L250" s="789" t="s">
        <v>10241</v>
      </c>
      <c r="M250" s="790" t="str">
        <f t="shared" si="24"/>
        <v>434</v>
      </c>
      <c r="N250" s="790" t="str">
        <f t="shared" si="25"/>
        <v>006</v>
      </c>
      <c r="O250" s="790" t="s">
        <v>10255</v>
      </c>
      <c r="P250" s="790" t="s">
        <v>10244</v>
      </c>
      <c r="R250" s="30"/>
    </row>
    <row r="251" spans="2:18">
      <c r="B251" s="5" t="str">
        <f>Page5_CAD_MCI!C40</f>
        <v>NE PAS UTILISER</v>
      </c>
      <c r="C251" s="1045" t="str">
        <f>OR_VEH!D239</f>
        <v>435-006</v>
      </c>
      <c r="D251" s="7">
        <f>Page5_CAD_MCI!F40</f>
        <v>0</v>
      </c>
      <c r="E251" s="7">
        <f>Page5_CAD_MCI!K40</f>
        <v>0</v>
      </c>
      <c r="F251" t="str">
        <f t="shared" si="23"/>
        <v>01-00-435-006-UNIT-CURR</v>
      </c>
      <c r="G251" t="s">
        <v>127</v>
      </c>
      <c r="H251" t="s">
        <v>10287</v>
      </c>
      <c r="I251" t="s">
        <v>10253</v>
      </c>
      <c r="K251" s="1073" t="s">
        <v>10288</v>
      </c>
      <c r="L251" s="789" t="s">
        <v>10241</v>
      </c>
      <c r="M251" s="790" t="str">
        <f t="shared" si="24"/>
        <v>435</v>
      </c>
      <c r="N251" s="790" t="str">
        <f t="shared" si="25"/>
        <v>006</v>
      </c>
      <c r="O251" s="790" t="s">
        <v>10255</v>
      </c>
      <c r="P251" s="790" t="s">
        <v>10244</v>
      </c>
      <c r="R251" s="30"/>
    </row>
    <row r="252" spans="2:18">
      <c r="B252" s="5" t="str">
        <f>Page5_CAD_MCI!C41</f>
        <v>NE PAS UTILISER</v>
      </c>
      <c r="C252" s="1045" t="str">
        <f>OR_VEH!D240</f>
        <v>436-006</v>
      </c>
      <c r="D252" s="7">
        <f>Page5_CAD_MCI!F41</f>
        <v>0</v>
      </c>
      <c r="E252" s="7">
        <f>Page5_CAD_MCI!K41</f>
        <v>0</v>
      </c>
      <c r="F252" t="str">
        <f t="shared" si="23"/>
        <v>01-00-436-006-UNIT-CURR</v>
      </c>
      <c r="G252" t="s">
        <v>127</v>
      </c>
      <c r="H252" t="s">
        <v>10287</v>
      </c>
      <c r="I252" t="s">
        <v>10253</v>
      </c>
      <c r="K252" s="1073" t="s">
        <v>10288</v>
      </c>
      <c r="L252" s="789" t="s">
        <v>10241</v>
      </c>
      <c r="M252" s="790" t="str">
        <f t="shared" si="24"/>
        <v>436</v>
      </c>
      <c r="N252" s="790" t="str">
        <f t="shared" si="25"/>
        <v>006</v>
      </c>
      <c r="O252" s="790" t="s">
        <v>10255</v>
      </c>
      <c r="P252" s="790" t="s">
        <v>10244</v>
      </c>
      <c r="R252" s="30"/>
    </row>
    <row r="253" spans="2:18">
      <c r="B253" s="5" t="str">
        <f>Page5_CAD_MCI!C42</f>
        <v>POUR USAGE FUTUR</v>
      </c>
      <c r="C253" s="1045" t="str">
        <f>OR_VEH!D241</f>
        <v>437-006</v>
      </c>
      <c r="D253" s="7">
        <f>Page5_CAD_MCI!F42</f>
        <v>0</v>
      </c>
      <c r="E253" s="7">
        <f>Page5_CAD_MCI!K42</f>
        <v>0</v>
      </c>
      <c r="F253" t="str">
        <f t="shared" si="23"/>
        <v>01-00-437-006-UNIT-CURR</v>
      </c>
      <c r="G253" t="s">
        <v>127</v>
      </c>
      <c r="H253" t="s">
        <v>10287</v>
      </c>
      <c r="I253" t="s">
        <v>10253</v>
      </c>
      <c r="K253" s="1073" t="s">
        <v>10288</v>
      </c>
      <c r="L253" s="789" t="s">
        <v>10241</v>
      </c>
      <c r="M253" s="790" t="str">
        <f t="shared" si="24"/>
        <v>437</v>
      </c>
      <c r="N253" s="790" t="str">
        <f t="shared" si="25"/>
        <v>006</v>
      </c>
      <c r="O253" s="790" t="s">
        <v>10255</v>
      </c>
      <c r="P253" s="790" t="s">
        <v>10244</v>
      </c>
      <c r="R253" s="30"/>
    </row>
    <row r="254" spans="2:18">
      <c r="B254" s="5" t="str">
        <f>Page5_CAD_MCI!C43</f>
        <v>AUTRES CAMIONS CADILLAC</v>
      </c>
      <c r="C254" s="1045" t="str">
        <f>OR_VEH!D242</f>
        <v>438-006</v>
      </c>
      <c r="D254" s="7">
        <f>Page5_CAD_MCI!F43</f>
        <v>0</v>
      </c>
      <c r="E254" s="7">
        <f>Page5_CAD_MCI!K43</f>
        <v>0</v>
      </c>
      <c r="F254" t="str">
        <f t="shared" si="23"/>
        <v>01-00-438-006-UNIT-CURR</v>
      </c>
      <c r="G254" t="s">
        <v>127</v>
      </c>
      <c r="H254" t="s">
        <v>10287</v>
      </c>
      <c r="I254" t="s">
        <v>10253</v>
      </c>
      <c r="K254" s="1073" t="s">
        <v>10288</v>
      </c>
      <c r="L254" s="789" t="s">
        <v>10241</v>
      </c>
      <c r="M254" s="790" t="str">
        <f t="shared" si="24"/>
        <v>438</v>
      </c>
      <c r="N254" s="790" t="str">
        <f t="shared" si="25"/>
        <v>006</v>
      </c>
      <c r="O254" s="790" t="s">
        <v>10255</v>
      </c>
      <c r="P254" s="790" t="s">
        <v>10244</v>
      </c>
      <c r="R254" s="30"/>
    </row>
    <row r="255" spans="2:18">
      <c r="B255" s="51" t="s">
        <v>10337</v>
      </c>
      <c r="C255" s="1042"/>
      <c r="D255" s="7">
        <f>Page5_CAD_MCI!F44</f>
        <v>6</v>
      </c>
      <c r="E255" s="7">
        <f>Page5_CAD_MCI!K44</f>
        <v>40</v>
      </c>
      <c r="F255" t="str">
        <f t="shared" si="23"/>
        <v>01-00-RTLTRK5E-UNIT-CURR</v>
      </c>
      <c r="G255" t="s">
        <v>127</v>
      </c>
      <c r="H255" t="s">
        <v>10287</v>
      </c>
      <c r="I255" t="s">
        <v>10253</v>
      </c>
      <c r="J255" t="s">
        <v>10268</v>
      </c>
      <c r="K255" s="1073" t="s">
        <v>10288</v>
      </c>
      <c r="L255" s="789" t="s">
        <v>10241</v>
      </c>
      <c r="M255" s="790" t="s">
        <v>10338</v>
      </c>
      <c r="O255" s="790" t="s">
        <v>10255</v>
      </c>
      <c r="P255" s="790" t="s">
        <v>10244</v>
      </c>
      <c r="Q255" s="791" t="s">
        <v>773</v>
      </c>
    </row>
    <row r="256" spans="2:18">
      <c r="B256" s="5" t="str">
        <f>Page5_CAD_MCI!C45</f>
        <v>MÉMO* VENTES INTERNET CAMIONS</v>
      </c>
      <c r="C256" s="1045" t="str">
        <f>OR_VEH!D244</f>
        <v>439P5E</v>
      </c>
      <c r="D256" s="7">
        <f>Page5_CAD_MCI!F45</f>
        <v>0</v>
      </c>
      <c r="E256" s="7">
        <f>Page5_CAD_MCI!K45</f>
        <v>0</v>
      </c>
      <c r="F256" t="str">
        <f t="shared" si="23"/>
        <v>01-00-439P5E-UNIT-CURR</v>
      </c>
      <c r="G256" t="s">
        <v>127</v>
      </c>
      <c r="H256" t="s">
        <v>10287</v>
      </c>
      <c r="I256" t="s">
        <v>10253</v>
      </c>
      <c r="K256" s="1073" t="s">
        <v>10288</v>
      </c>
      <c r="L256" s="789" t="s">
        <v>10241</v>
      </c>
      <c r="M256" s="855" t="str">
        <f>C256</f>
        <v>439P5E</v>
      </c>
      <c r="N256" s="855"/>
      <c r="O256" s="790" t="s">
        <v>10255</v>
      </c>
      <c r="P256" s="790" t="s">
        <v>10244</v>
      </c>
      <c r="R256" s="30"/>
    </row>
    <row r="257" spans="1:18">
      <c r="B257" s="5" t="str">
        <f>Page5_CAD_MCI!C46</f>
        <v>TOTAL PARCS - CAMIONS</v>
      </c>
      <c r="C257" s="1045" t="str">
        <f>OR_VEH!D245</f>
        <v>440P5E</v>
      </c>
      <c r="D257" s="7">
        <f>Page5_CAD_MCI!F46</f>
        <v>0</v>
      </c>
      <c r="E257" s="7">
        <f>Page5_CAD_MCI!K46</f>
        <v>0</v>
      </c>
      <c r="F257" t="str">
        <f t="shared" si="23"/>
        <v>01-00-440P5E-UNIT-CURR</v>
      </c>
      <c r="G257" t="s">
        <v>127</v>
      </c>
      <c r="H257" t="s">
        <v>10287</v>
      </c>
      <c r="I257" t="s">
        <v>10253</v>
      </c>
      <c r="K257" s="1073" t="s">
        <v>10288</v>
      </c>
      <c r="L257" s="789" t="s">
        <v>10241</v>
      </c>
      <c r="M257" s="855" t="str">
        <f>C257</f>
        <v>440P5E</v>
      </c>
      <c r="N257" s="855"/>
      <c r="O257" s="790" t="s">
        <v>10255</v>
      </c>
      <c r="P257" s="790" t="s">
        <v>10244</v>
      </c>
      <c r="R257" s="30"/>
    </row>
    <row r="258" spans="1:18">
      <c r="B258" s="5" t="str">
        <f>Page5_CAD_MCI!C47</f>
        <v xml:space="preserve">TOTAL IINTERNE - CAMIONS </v>
      </c>
      <c r="C258" s="1045" t="str">
        <f>OR_VEH!D246</f>
        <v>441P5E</v>
      </c>
      <c r="D258" s="7">
        <f>Page5_CAD_MCI!F47</f>
        <v>0</v>
      </c>
      <c r="E258" s="7">
        <f>Page5_CAD_MCI!K47</f>
        <v>0</v>
      </c>
      <c r="F258" t="str">
        <f t="shared" si="23"/>
        <v>01-00-441P5E-UNIT-CURR</v>
      </c>
      <c r="G258" t="s">
        <v>127</v>
      </c>
      <c r="H258" t="s">
        <v>10287</v>
      </c>
      <c r="I258" t="s">
        <v>10253</v>
      </c>
      <c r="K258" s="1073" t="s">
        <v>10288</v>
      </c>
      <c r="L258" s="789" t="s">
        <v>10241</v>
      </c>
      <c r="M258" s="855" t="str">
        <f>C258</f>
        <v>441P5E</v>
      </c>
      <c r="N258" s="855"/>
      <c r="O258" s="790" t="s">
        <v>10255</v>
      </c>
      <c r="P258" s="790" t="s">
        <v>10244</v>
      </c>
      <c r="R258" s="30"/>
    </row>
    <row r="259" spans="1:18">
      <c r="B259" s="27" t="s">
        <v>10339</v>
      </c>
      <c r="C259" s="1042"/>
      <c r="D259" s="7">
        <f>Page5_CAD_MCI!F48</f>
        <v>6</v>
      </c>
      <c r="E259" s="7">
        <f>Page5_CAD_MCI!K48</f>
        <v>40</v>
      </c>
      <c r="F259" t="str">
        <f t="shared" si="23"/>
        <v>01-00-TOTTRK5E-UNIT-CURR</v>
      </c>
      <c r="G259" t="s">
        <v>127</v>
      </c>
      <c r="H259" t="s">
        <v>10287</v>
      </c>
      <c r="I259" t="s">
        <v>10253</v>
      </c>
      <c r="J259" t="s">
        <v>10268</v>
      </c>
      <c r="K259" s="1073" t="s">
        <v>10288</v>
      </c>
      <c r="L259" s="789" t="s">
        <v>10241</v>
      </c>
      <c r="M259" s="790" t="s">
        <v>10340</v>
      </c>
      <c r="O259" s="790" t="s">
        <v>10255</v>
      </c>
      <c r="P259" s="790" t="s">
        <v>10244</v>
      </c>
      <c r="Q259" s="791" t="s">
        <v>773</v>
      </c>
    </row>
    <row r="260" spans="1:18">
      <c r="B260" s="5" t="str">
        <f>Page5_CAD_MCI!C50</f>
        <v>ACCESSOIRES</v>
      </c>
      <c r="C260" s="1045" t="str">
        <f>OR_VEH!D249</f>
        <v>457P5E</v>
      </c>
      <c r="D260" s="7">
        <f>Page5_CAD_MCI!F50</f>
        <v>0</v>
      </c>
      <c r="E260" s="7">
        <f>Page5_CAD_MCI!K50</f>
        <v>0</v>
      </c>
      <c r="F260" t="str">
        <f t="shared" si="23"/>
        <v>01-00-457P5E-UNIT-CURR</v>
      </c>
      <c r="G260" t="s">
        <v>127</v>
      </c>
      <c r="H260" t="s">
        <v>10287</v>
      </c>
      <c r="I260" t="s">
        <v>10253</v>
      </c>
      <c r="K260" s="1073" t="s">
        <v>10288</v>
      </c>
      <c r="L260" s="789" t="s">
        <v>10241</v>
      </c>
      <c r="M260" s="855" t="str">
        <f>C260</f>
        <v>457P5E</v>
      </c>
      <c r="N260" s="855"/>
      <c r="O260" s="790" t="s">
        <v>10255</v>
      </c>
      <c r="P260" s="790" t="s">
        <v>10244</v>
      </c>
      <c r="R260" s="30"/>
    </row>
    <row r="261" spans="1:18">
      <c r="B261" s="27" t="s">
        <v>10341</v>
      </c>
      <c r="C261" s="1044"/>
      <c r="D261" s="7">
        <f>Page5_CAD_MCI!$F$51</f>
        <v>6</v>
      </c>
      <c r="E261" s="7">
        <f>Page5_CAD_MCI!$K$51</f>
        <v>40</v>
      </c>
      <c r="F261" t="str">
        <f t="shared" si="23"/>
        <v>01-00-TOTVEH5E-UNIT-CURR</v>
      </c>
      <c r="G261" t="s">
        <v>127</v>
      </c>
      <c r="H261" t="s">
        <v>10287</v>
      </c>
      <c r="I261" t="s">
        <v>10253</v>
      </c>
      <c r="J261" t="s">
        <v>10268</v>
      </c>
      <c r="K261" s="1073" t="s">
        <v>10288</v>
      </c>
      <c r="L261" s="789" t="s">
        <v>10241</v>
      </c>
      <c r="M261" s="790" t="s">
        <v>10342</v>
      </c>
      <c r="O261" s="790" t="s">
        <v>10255</v>
      </c>
      <c r="P261" s="790" t="s">
        <v>10244</v>
      </c>
      <c r="Q261" s="791" t="s">
        <v>773</v>
      </c>
    </row>
    <row r="262" spans="1:18">
      <c r="A262" s="805" t="s">
        <v>10343</v>
      </c>
      <c r="B262" s="5" t="str">
        <f>Page5_GMC_MCI!C4</f>
        <v>NE PAS UTILISER</v>
      </c>
      <c r="C262" s="1045" t="str">
        <f>OR_VEH!D253</f>
        <v>400-012</v>
      </c>
      <c r="D262" s="7">
        <f>Page5_GMC_MCI!F4</f>
        <v>0</v>
      </c>
      <c r="E262" s="7">
        <f>Page5_GMC_MCI!K4</f>
        <v>0</v>
      </c>
      <c r="F262" t="str">
        <f t="shared" si="23"/>
        <v>01-00-400-012-UNIT-CURR</v>
      </c>
      <c r="G262" t="s">
        <v>127</v>
      </c>
      <c r="H262" t="s">
        <v>10287</v>
      </c>
      <c r="I262" t="s">
        <v>10253</v>
      </c>
      <c r="K262" s="1073" t="s">
        <v>10288</v>
      </c>
      <c r="L262" s="789" t="s">
        <v>10241</v>
      </c>
      <c r="M262" s="790" t="str">
        <f t="shared" ref="M262:M280" si="26">LEFT(C262,3)</f>
        <v>400</v>
      </c>
      <c r="N262" s="790" t="str">
        <f t="shared" ref="N262:N280" si="27">RIGHT(C262,3)</f>
        <v>012</v>
      </c>
      <c r="O262" s="790" t="s">
        <v>10255</v>
      </c>
      <c r="P262" s="790" t="s">
        <v>10244</v>
      </c>
      <c r="R262" s="30"/>
    </row>
    <row r="263" spans="1:18">
      <c r="B263" s="5" t="str">
        <f>Page5_GMC_MCI!C5</f>
        <v>NE PAS UTILISER</v>
      </c>
      <c r="C263" s="1045" t="str">
        <f>OR_VEH!D254</f>
        <v>401-012</v>
      </c>
      <c r="D263" s="7">
        <f>Page5_GMC_MCI!F5</f>
        <v>0</v>
      </c>
      <c r="E263" s="7">
        <f>Page5_GMC_MCI!K5</f>
        <v>0</v>
      </c>
      <c r="F263" t="str">
        <f t="shared" si="23"/>
        <v>01-00-401-012-UNIT-CURR</v>
      </c>
      <c r="G263" t="s">
        <v>127</v>
      </c>
      <c r="H263" t="s">
        <v>10287</v>
      </c>
      <c r="I263" t="s">
        <v>10253</v>
      </c>
      <c r="K263" s="1073" t="s">
        <v>10288</v>
      </c>
      <c r="L263" s="789" t="s">
        <v>10241</v>
      </c>
      <c r="M263" s="790" t="str">
        <f t="shared" si="26"/>
        <v>401</v>
      </c>
      <c r="N263" s="790" t="str">
        <f t="shared" si="27"/>
        <v>012</v>
      </c>
      <c r="O263" s="790" t="s">
        <v>10255</v>
      </c>
      <c r="P263" s="790" t="s">
        <v>10244</v>
      </c>
      <c r="R263" s="30"/>
    </row>
    <row r="264" spans="1:18">
      <c r="B264" s="5" t="str">
        <f>Page5_GMC_MCI!C6</f>
        <v>NE PAS UTILISER</v>
      </c>
      <c r="C264" s="1045" t="str">
        <f>OR_VEH!D255</f>
        <v>402-012</v>
      </c>
      <c r="D264" s="7">
        <f>Page5_GMC_MCI!F6</f>
        <v>0</v>
      </c>
      <c r="E264" s="7">
        <f>Page5_GMC_MCI!K6</f>
        <v>0</v>
      </c>
      <c r="F264" t="str">
        <f t="shared" si="23"/>
        <v>01-00-402-012-UNIT-CURR</v>
      </c>
      <c r="G264" t="s">
        <v>127</v>
      </c>
      <c r="H264" t="s">
        <v>10287</v>
      </c>
      <c r="I264" t="s">
        <v>10253</v>
      </c>
      <c r="K264" s="1073" t="s">
        <v>10288</v>
      </c>
      <c r="L264" s="789" t="s">
        <v>10241</v>
      </c>
      <c r="M264" s="790" t="str">
        <f t="shared" si="26"/>
        <v>402</v>
      </c>
      <c r="N264" s="790" t="str">
        <f t="shared" si="27"/>
        <v>012</v>
      </c>
      <c r="O264" s="790" t="s">
        <v>10255</v>
      </c>
      <c r="P264" s="790" t="s">
        <v>10244</v>
      </c>
      <c r="R264" s="30"/>
    </row>
    <row r="265" spans="1:18">
      <c r="B265" s="5" t="str">
        <f>Page5_GMC_MCI!C7</f>
        <v>NE PAS UTILISER</v>
      </c>
      <c r="C265" s="1045" t="str">
        <f>OR_VEH!D256</f>
        <v>403-012</v>
      </c>
      <c r="D265" s="7">
        <f>Page5_GMC_MCI!F7</f>
        <v>0</v>
      </c>
      <c r="E265" s="7">
        <f>Page5_GMC_MCI!K7</f>
        <v>0</v>
      </c>
      <c r="F265" t="str">
        <f t="shared" si="23"/>
        <v>01-00-403-012-UNIT-CURR</v>
      </c>
      <c r="G265" t="s">
        <v>127</v>
      </c>
      <c r="H265" t="s">
        <v>10287</v>
      </c>
      <c r="I265" t="s">
        <v>10253</v>
      </c>
      <c r="K265" s="1073" t="s">
        <v>10288</v>
      </c>
      <c r="L265" s="789" t="s">
        <v>10241</v>
      </c>
      <c r="M265" s="790" t="str">
        <f t="shared" si="26"/>
        <v>403</v>
      </c>
      <c r="N265" s="790" t="str">
        <f t="shared" si="27"/>
        <v>012</v>
      </c>
      <c r="O265" s="790" t="s">
        <v>10255</v>
      </c>
      <c r="P265" s="790" t="s">
        <v>10244</v>
      </c>
      <c r="R265" s="30"/>
    </row>
    <row r="266" spans="1:18">
      <c r="B266" s="5" t="str">
        <f>Page5_GMC_MCI!C8</f>
        <v>NE PAS UTILISER</v>
      </c>
      <c r="C266" s="1045" t="str">
        <f>OR_VEH!D257</f>
        <v>404-012</v>
      </c>
      <c r="D266" s="7">
        <f>Page5_GMC_MCI!F8</f>
        <v>0</v>
      </c>
      <c r="E266" s="7">
        <f>Page5_GMC_MCI!K8</f>
        <v>0</v>
      </c>
      <c r="F266" t="str">
        <f t="shared" si="23"/>
        <v>01-00-404-012-UNIT-CURR</v>
      </c>
      <c r="G266" t="s">
        <v>127</v>
      </c>
      <c r="H266" t="s">
        <v>10287</v>
      </c>
      <c r="I266" t="s">
        <v>10253</v>
      </c>
      <c r="K266" s="1073" t="s">
        <v>10288</v>
      </c>
      <c r="L266" s="789" t="s">
        <v>10241</v>
      </c>
      <c r="M266" s="790" t="str">
        <f t="shared" si="26"/>
        <v>404</v>
      </c>
      <c r="N266" s="790" t="str">
        <f t="shared" si="27"/>
        <v>012</v>
      </c>
      <c r="O266" s="790" t="s">
        <v>10255</v>
      </c>
      <c r="P266" s="790" t="s">
        <v>10244</v>
      </c>
      <c r="R266" s="30"/>
    </row>
    <row r="267" spans="1:18">
      <c r="B267" s="5" t="str">
        <f>Page5_GMC_MCI!C9</f>
        <v>NE PAS UTILISER</v>
      </c>
      <c r="C267" s="1045" t="str">
        <f>OR_VEH!D258</f>
        <v>405-012</v>
      </c>
      <c r="D267" s="7">
        <f>Page5_GMC_MCI!F9</f>
        <v>0</v>
      </c>
      <c r="E267" s="7">
        <f>Page5_GMC_MCI!K9</f>
        <v>0</v>
      </c>
      <c r="F267" t="str">
        <f t="shared" si="23"/>
        <v>01-00-405-012-UNIT-CURR</v>
      </c>
      <c r="G267" t="s">
        <v>127</v>
      </c>
      <c r="H267" t="s">
        <v>10287</v>
      </c>
      <c r="I267" t="s">
        <v>10253</v>
      </c>
      <c r="K267" s="1073" t="s">
        <v>10288</v>
      </c>
      <c r="L267" s="789" t="s">
        <v>10241</v>
      </c>
      <c r="M267" s="790" t="str">
        <f t="shared" si="26"/>
        <v>405</v>
      </c>
      <c r="N267" s="790" t="str">
        <f t="shared" si="27"/>
        <v>012</v>
      </c>
      <c r="O267" s="790" t="s">
        <v>10255</v>
      </c>
      <c r="P267" s="790" t="s">
        <v>10244</v>
      </c>
      <c r="R267" s="30"/>
    </row>
    <row r="268" spans="1:18">
      <c r="B268" s="5" t="str">
        <f>Page5_GMC_MCI!C10</f>
        <v>NE PAS UTILISER</v>
      </c>
      <c r="C268" s="1045" t="str">
        <f>OR_VEH!D259</f>
        <v>406-012</v>
      </c>
      <c r="D268" s="7">
        <f>Page5_GMC_MCI!F10</f>
        <v>0</v>
      </c>
      <c r="E268" s="7">
        <f>Page5_GMC_MCI!K10</f>
        <v>0</v>
      </c>
      <c r="F268" t="str">
        <f t="shared" si="23"/>
        <v>01-00-406-012-UNIT-CURR</v>
      </c>
      <c r="G268" t="s">
        <v>127</v>
      </c>
      <c r="H268" t="s">
        <v>10287</v>
      </c>
      <c r="I268" t="s">
        <v>10253</v>
      </c>
      <c r="K268" s="1073" t="s">
        <v>10288</v>
      </c>
      <c r="L268" s="789" t="s">
        <v>10241</v>
      </c>
      <c r="M268" s="790" t="str">
        <f t="shared" si="26"/>
        <v>406</v>
      </c>
      <c r="N268" s="790" t="str">
        <f t="shared" si="27"/>
        <v>012</v>
      </c>
      <c r="O268" s="790" t="s">
        <v>10255</v>
      </c>
      <c r="P268" s="790" t="s">
        <v>10244</v>
      </c>
      <c r="R268" s="30"/>
    </row>
    <row r="269" spans="1:18">
      <c r="B269" s="5" t="str">
        <f>Page5_GMC_MCI!C11</f>
        <v>NE PAS UTILISER</v>
      </c>
      <c r="C269" s="1045" t="str">
        <f>OR_VEH!D260</f>
        <v>407-012</v>
      </c>
      <c r="D269" s="7">
        <f>Page5_GMC_MCI!F11</f>
        <v>0</v>
      </c>
      <c r="E269" s="7">
        <f>Page5_GMC_MCI!K11</f>
        <v>0</v>
      </c>
      <c r="F269" t="str">
        <f t="shared" si="23"/>
        <v>01-00-407-012-UNIT-CURR</v>
      </c>
      <c r="G269" t="s">
        <v>127</v>
      </c>
      <c r="H269" t="s">
        <v>10287</v>
      </c>
      <c r="I269" t="s">
        <v>10253</v>
      </c>
      <c r="K269" s="1073" t="s">
        <v>10288</v>
      </c>
      <c r="L269" s="789" t="s">
        <v>10241</v>
      </c>
      <c r="M269" s="790" t="str">
        <f t="shared" si="26"/>
        <v>407</v>
      </c>
      <c r="N269" s="790" t="str">
        <f t="shared" si="27"/>
        <v>012</v>
      </c>
      <c r="O269" s="790" t="s">
        <v>10255</v>
      </c>
      <c r="P269" s="790" t="s">
        <v>10244</v>
      </c>
      <c r="R269" s="30"/>
    </row>
    <row r="270" spans="1:18">
      <c r="B270" s="5" t="str">
        <f>Page5_GMC_MCI!C12</f>
        <v>NE PAS UTILISER</v>
      </c>
      <c r="C270" s="1045" t="str">
        <f>OR_VEH!D261</f>
        <v>408-012</v>
      </c>
      <c r="D270" s="7">
        <f>Page5_GMC_MCI!F12</f>
        <v>0</v>
      </c>
      <c r="E270" s="7">
        <f>Page5_GMC_MCI!K12</f>
        <v>0</v>
      </c>
      <c r="F270" t="str">
        <f t="shared" si="23"/>
        <v>01-00-408-012-UNIT-CURR</v>
      </c>
      <c r="G270" t="s">
        <v>127</v>
      </c>
      <c r="H270" t="s">
        <v>10287</v>
      </c>
      <c r="I270" t="s">
        <v>10253</v>
      </c>
      <c r="K270" s="1073" t="s">
        <v>10288</v>
      </c>
      <c r="L270" s="789" t="s">
        <v>10241</v>
      </c>
      <c r="M270" s="790" t="str">
        <f t="shared" si="26"/>
        <v>408</v>
      </c>
      <c r="N270" s="790" t="str">
        <f t="shared" si="27"/>
        <v>012</v>
      </c>
      <c r="O270" s="790" t="s">
        <v>10255</v>
      </c>
      <c r="P270" s="790" t="s">
        <v>10244</v>
      </c>
      <c r="R270" s="30"/>
    </row>
    <row r="271" spans="1:18">
      <c r="B271" s="5" t="str">
        <f>Page5_GMC_MCI!C13</f>
        <v>NE PAS UTILISER</v>
      </c>
      <c r="C271" s="1045" t="str">
        <f>OR_VEH!D262</f>
        <v>409-012</v>
      </c>
      <c r="D271" s="7">
        <f>Page5_GMC_MCI!F13</f>
        <v>0</v>
      </c>
      <c r="E271" s="7">
        <f>Page5_GMC_MCI!K13</f>
        <v>0</v>
      </c>
      <c r="F271" t="str">
        <f t="shared" si="23"/>
        <v>01-00-409-012-UNIT-CURR</v>
      </c>
      <c r="G271" t="s">
        <v>127</v>
      </c>
      <c r="H271" t="s">
        <v>10287</v>
      </c>
      <c r="I271" t="s">
        <v>10253</v>
      </c>
      <c r="K271" s="1073" t="s">
        <v>10288</v>
      </c>
      <c r="L271" s="789" t="s">
        <v>10241</v>
      </c>
      <c r="M271" s="790" t="str">
        <f t="shared" si="26"/>
        <v>409</v>
      </c>
      <c r="N271" s="790" t="str">
        <f t="shared" si="27"/>
        <v>012</v>
      </c>
      <c r="O271" s="790" t="s">
        <v>10255</v>
      </c>
      <c r="P271" s="790" t="s">
        <v>10244</v>
      </c>
      <c r="R271" s="30"/>
    </row>
    <row r="272" spans="1:18">
      <c r="B272" s="5" t="str">
        <f>Page5_GMC_MCI!C14</f>
        <v>NE PAS UTILISER</v>
      </c>
      <c r="C272" s="1045" t="str">
        <f>OR_VEH!D263</f>
        <v>410-012</v>
      </c>
      <c r="D272" s="7">
        <f>Page5_GMC_MCI!F14</f>
        <v>0</v>
      </c>
      <c r="E272" s="7">
        <f>Page5_GMC_MCI!K14</f>
        <v>0</v>
      </c>
      <c r="F272" t="str">
        <f t="shared" si="23"/>
        <v>01-00-410-012-UNIT-CURR</v>
      </c>
      <c r="G272" t="s">
        <v>127</v>
      </c>
      <c r="H272" t="s">
        <v>10287</v>
      </c>
      <c r="I272" t="s">
        <v>10253</v>
      </c>
      <c r="K272" s="1073" t="s">
        <v>10288</v>
      </c>
      <c r="L272" s="789" t="s">
        <v>10241</v>
      </c>
      <c r="M272" s="790" t="str">
        <f t="shared" si="26"/>
        <v>410</v>
      </c>
      <c r="N272" s="790" t="str">
        <f t="shared" si="27"/>
        <v>012</v>
      </c>
      <c r="O272" s="790" t="s">
        <v>10255</v>
      </c>
      <c r="P272" s="790" t="s">
        <v>10244</v>
      </c>
      <c r="R272" s="30"/>
    </row>
    <row r="273" spans="2:18">
      <c r="B273" s="5" t="str">
        <f>Page5_GMC_MCI!C15</f>
        <v>NE PAS UTILISER</v>
      </c>
      <c r="C273" s="1045" t="str">
        <f>OR_VEH!D264</f>
        <v>411-012</v>
      </c>
      <c r="D273" s="7">
        <f>Page5_GMC_MCI!F15</f>
        <v>0</v>
      </c>
      <c r="E273" s="7">
        <f>Page5_GMC_MCI!K15</f>
        <v>0</v>
      </c>
      <c r="F273" t="str">
        <f t="shared" si="23"/>
        <v>01-00-411-012-UNIT-CURR</v>
      </c>
      <c r="G273" t="s">
        <v>127</v>
      </c>
      <c r="H273" t="s">
        <v>10287</v>
      </c>
      <c r="I273" t="s">
        <v>10253</v>
      </c>
      <c r="K273" s="1073" t="s">
        <v>10288</v>
      </c>
      <c r="L273" s="789" t="s">
        <v>10241</v>
      </c>
      <c r="M273" s="790" t="str">
        <f t="shared" si="26"/>
        <v>411</v>
      </c>
      <c r="N273" s="790" t="str">
        <f t="shared" si="27"/>
        <v>012</v>
      </c>
      <c r="O273" s="790" t="s">
        <v>10255</v>
      </c>
      <c r="P273" s="790" t="s">
        <v>10244</v>
      </c>
      <c r="R273" s="30"/>
    </row>
    <row r="274" spans="2:18">
      <c r="B274" s="5" t="str">
        <f>Page5_GMC_MCI!C16</f>
        <v>NE PAS UTILISER</v>
      </c>
      <c r="C274" s="1045" t="str">
        <f>OR_VEH!D265</f>
        <v>412-012</v>
      </c>
      <c r="D274" s="7">
        <f>Page5_GMC_MCI!F16</f>
        <v>0</v>
      </c>
      <c r="E274" s="7">
        <f>Page5_GMC_MCI!K16</f>
        <v>0</v>
      </c>
      <c r="F274" t="str">
        <f t="shared" si="23"/>
        <v>01-00-412-012-UNIT-CURR</v>
      </c>
      <c r="G274" t="s">
        <v>127</v>
      </c>
      <c r="H274" t="s">
        <v>10287</v>
      </c>
      <c r="I274" t="s">
        <v>10253</v>
      </c>
      <c r="K274" s="1073" t="s">
        <v>10288</v>
      </c>
      <c r="L274" s="789" t="s">
        <v>10241</v>
      </c>
      <c r="M274" s="790" t="str">
        <f t="shared" si="26"/>
        <v>412</v>
      </c>
      <c r="N274" s="790" t="str">
        <f t="shared" si="27"/>
        <v>012</v>
      </c>
      <c r="O274" s="790" t="s">
        <v>10255</v>
      </c>
      <c r="P274" s="790" t="s">
        <v>10244</v>
      </c>
      <c r="R274" s="30"/>
    </row>
    <row r="275" spans="2:18">
      <c r="B275" s="5" t="str">
        <f>Page5_GMC_MCI!C17</f>
        <v>NE PAS UTILISER</v>
      </c>
      <c r="C275" s="1045" t="str">
        <f>OR_VEH!D266</f>
        <v>413-012</v>
      </c>
      <c r="D275" s="7">
        <f>Page5_GMC_MCI!F17</f>
        <v>0</v>
      </c>
      <c r="E275" s="7">
        <f>Page5_GMC_MCI!K17</f>
        <v>0</v>
      </c>
      <c r="F275" t="str">
        <f t="shared" si="23"/>
        <v>01-00-413-012-UNIT-CURR</v>
      </c>
      <c r="G275" t="s">
        <v>127</v>
      </c>
      <c r="H275" t="s">
        <v>10287</v>
      </c>
      <c r="I275" t="s">
        <v>10253</v>
      </c>
      <c r="K275" s="1073" t="s">
        <v>10288</v>
      </c>
      <c r="L275" s="789" t="s">
        <v>10241</v>
      </c>
      <c r="M275" s="790" t="str">
        <f t="shared" si="26"/>
        <v>413</v>
      </c>
      <c r="N275" s="790" t="str">
        <f t="shared" si="27"/>
        <v>012</v>
      </c>
      <c r="O275" s="790" t="s">
        <v>10255</v>
      </c>
      <c r="P275" s="790" t="s">
        <v>10244</v>
      </c>
      <c r="R275" s="30"/>
    </row>
    <row r="276" spans="2:18">
      <c r="B276" s="5" t="str">
        <f>Page5_GMC_MCI!C18</f>
        <v>NE PAS UTILISER</v>
      </c>
      <c r="C276" s="1045" t="str">
        <f>OR_VEH!D267</f>
        <v>414-012</v>
      </c>
      <c r="D276" s="7">
        <f>Page5_GMC_MCI!F18</f>
        <v>0</v>
      </c>
      <c r="E276" s="7">
        <f>Page5_GMC_MCI!K18</f>
        <v>0</v>
      </c>
      <c r="F276" t="str">
        <f t="shared" si="23"/>
        <v>01-00-414-012-UNIT-CURR</v>
      </c>
      <c r="G276" t="s">
        <v>127</v>
      </c>
      <c r="H276" t="s">
        <v>10287</v>
      </c>
      <c r="I276" t="s">
        <v>10253</v>
      </c>
      <c r="K276" s="1073" t="s">
        <v>10288</v>
      </c>
      <c r="L276" s="789" t="s">
        <v>10241</v>
      </c>
      <c r="M276" s="790" t="str">
        <f t="shared" si="26"/>
        <v>414</v>
      </c>
      <c r="N276" s="790" t="str">
        <f t="shared" si="27"/>
        <v>012</v>
      </c>
      <c r="O276" s="790" t="s">
        <v>10255</v>
      </c>
      <c r="P276" s="790" t="s">
        <v>10244</v>
      </c>
      <c r="R276" s="30"/>
    </row>
    <row r="277" spans="2:18">
      <c r="B277" s="5" t="str">
        <f>Page5_GMC_MCI!C19</f>
        <v>NE PAS UTILISER</v>
      </c>
      <c r="C277" s="1045" t="str">
        <f>OR_VEH!D268</f>
        <v>415-012</v>
      </c>
      <c r="D277" s="7">
        <f>Page5_GMC_MCI!F19</f>
        <v>0</v>
      </c>
      <c r="E277" s="7">
        <f>Page5_GMC_MCI!K19</f>
        <v>0</v>
      </c>
      <c r="F277" t="str">
        <f t="shared" si="23"/>
        <v>01-00-415-012-UNIT-CURR</v>
      </c>
      <c r="G277" t="s">
        <v>127</v>
      </c>
      <c r="H277" t="s">
        <v>10287</v>
      </c>
      <c r="I277" t="s">
        <v>10253</v>
      </c>
      <c r="K277" s="1073" t="s">
        <v>10288</v>
      </c>
      <c r="L277" s="789" t="s">
        <v>10241</v>
      </c>
      <c r="M277" s="790" t="str">
        <f t="shared" si="26"/>
        <v>415</v>
      </c>
      <c r="N277" s="790" t="str">
        <f t="shared" si="27"/>
        <v>012</v>
      </c>
      <c r="O277" s="790" t="s">
        <v>10255</v>
      </c>
      <c r="P277" s="790" t="s">
        <v>10244</v>
      </c>
      <c r="R277" s="30"/>
    </row>
    <row r="278" spans="2:18">
      <c r="B278" s="5" t="str">
        <f>Page5_GMC_MCI!C20</f>
        <v>POUR USAGE FUTUR</v>
      </c>
      <c r="C278" s="1045" t="str">
        <f>OR_VEH!D269</f>
        <v>416-012</v>
      </c>
      <c r="D278" s="7">
        <f>Page5_GMC_MCI!F20</f>
        <v>0</v>
      </c>
      <c r="E278" s="7">
        <f>Page5_GMC_MCI!K20</f>
        <v>0</v>
      </c>
      <c r="F278" t="str">
        <f t="shared" si="23"/>
        <v>01-00-416-012-UNIT-CURR</v>
      </c>
      <c r="G278" t="s">
        <v>127</v>
      </c>
      <c r="H278" t="s">
        <v>10287</v>
      </c>
      <c r="I278" t="s">
        <v>10253</v>
      </c>
      <c r="K278" s="1073" t="s">
        <v>10288</v>
      </c>
      <c r="L278" s="789" t="s">
        <v>10241</v>
      </c>
      <c r="M278" s="790" t="str">
        <f t="shared" si="26"/>
        <v>416</v>
      </c>
      <c r="N278" s="790" t="str">
        <f t="shared" si="27"/>
        <v>012</v>
      </c>
      <c r="O278" s="790" t="s">
        <v>10255</v>
      </c>
      <c r="P278" s="790" t="s">
        <v>10244</v>
      </c>
      <c r="R278" s="30"/>
    </row>
    <row r="279" spans="2:18">
      <c r="B279" s="5" t="str">
        <f>Page5_GMC_MCI!C21</f>
        <v>NE PAS UTILISER</v>
      </c>
      <c r="C279" s="1045" t="str">
        <f>OR_VEH!D270</f>
        <v>417-012</v>
      </c>
      <c r="D279" s="7">
        <f>Page5_GMC_MCI!F21</f>
        <v>0</v>
      </c>
      <c r="E279" s="7">
        <f>Page5_GMC_MCI!K21</f>
        <v>0</v>
      </c>
      <c r="F279" t="str">
        <f t="shared" si="23"/>
        <v>01-00-417-012-UNIT-CURR</v>
      </c>
      <c r="G279" t="s">
        <v>127</v>
      </c>
      <c r="H279" t="s">
        <v>10287</v>
      </c>
      <c r="I279" t="s">
        <v>10253</v>
      </c>
      <c r="K279" s="1073" t="s">
        <v>10288</v>
      </c>
      <c r="L279" s="789" t="s">
        <v>10241</v>
      </c>
      <c r="M279" s="790" t="str">
        <f t="shared" si="26"/>
        <v>417</v>
      </c>
      <c r="N279" s="790" t="str">
        <f t="shared" si="27"/>
        <v>012</v>
      </c>
      <c r="O279" s="790" t="s">
        <v>10255</v>
      </c>
      <c r="P279" s="790" t="s">
        <v>10244</v>
      </c>
      <c r="R279" s="30"/>
    </row>
    <row r="280" spans="2:18">
      <c r="B280" s="5" t="str">
        <f>Page5_GMC_MCI!C22</f>
        <v>AUTRES GMC</v>
      </c>
      <c r="C280" s="1045" t="str">
        <f>OR_VEH!D271</f>
        <v>418-012</v>
      </c>
      <c r="D280" s="7">
        <f>Page5_GMC_MCI!F22</f>
        <v>0</v>
      </c>
      <c r="E280" s="7">
        <f>Page5_GMC_MCI!K22</f>
        <v>0</v>
      </c>
      <c r="F280" t="str">
        <f t="shared" si="23"/>
        <v>01-00-418-012-UNIT-CURR</v>
      </c>
      <c r="G280" t="s">
        <v>127</v>
      </c>
      <c r="H280" t="s">
        <v>10287</v>
      </c>
      <c r="I280" t="s">
        <v>10253</v>
      </c>
      <c r="K280" s="1073" t="s">
        <v>10288</v>
      </c>
      <c r="L280" s="789" t="s">
        <v>10241</v>
      </c>
      <c r="M280" s="790" t="str">
        <f t="shared" si="26"/>
        <v>418</v>
      </c>
      <c r="N280" s="790" t="str">
        <f t="shared" si="27"/>
        <v>012</v>
      </c>
      <c r="O280" s="790" t="s">
        <v>10255</v>
      </c>
      <c r="P280" s="790" t="s">
        <v>10244</v>
      </c>
      <c r="R280" s="30"/>
    </row>
    <row r="281" spans="2:18">
      <c r="B281" s="27" t="s">
        <v>10344</v>
      </c>
      <c r="C281" s="1042"/>
      <c r="D281" s="7">
        <f>Page5_GMC_MCI!F23</f>
        <v>0</v>
      </c>
      <c r="E281" s="7">
        <f>Page5_GMC_MCI!K23</f>
        <v>0</v>
      </c>
      <c r="F281" t="str">
        <f t="shared" si="23"/>
        <v>01-00-RTLCAR5F-UNIT-CURR</v>
      </c>
      <c r="G281" t="s">
        <v>127</v>
      </c>
      <c r="H281" t="s">
        <v>10287</v>
      </c>
      <c r="I281" t="s">
        <v>10253</v>
      </c>
      <c r="J281" t="s">
        <v>10268</v>
      </c>
      <c r="K281" s="1073" t="s">
        <v>10288</v>
      </c>
      <c r="L281" s="789" t="s">
        <v>10241</v>
      </c>
      <c r="M281" s="790" t="s">
        <v>10345</v>
      </c>
      <c r="O281" s="790" t="s">
        <v>10255</v>
      </c>
      <c r="P281" s="790" t="s">
        <v>10244</v>
      </c>
      <c r="Q281" s="791" t="s">
        <v>773</v>
      </c>
    </row>
    <row r="282" spans="2:18">
      <c r="B282" s="5" t="str">
        <f>Page5_GMC_MCI!C24</f>
        <v>MÉMO* VENTES INTERNET VOITURES</v>
      </c>
      <c r="C282" s="1045" t="str">
        <f>OR_VEH!D273</f>
        <v>419P5F</v>
      </c>
      <c r="D282" s="7">
        <f>Page5_GMC_MCI!F24</f>
        <v>0</v>
      </c>
      <c r="E282" s="7">
        <f>Page5_GMC_MCI!K24</f>
        <v>0</v>
      </c>
      <c r="F282" t="str">
        <f t="shared" si="23"/>
        <v>01-00-419P5F-UNIT-CURR</v>
      </c>
      <c r="G282" t="s">
        <v>127</v>
      </c>
      <c r="H282" t="s">
        <v>10287</v>
      </c>
      <c r="I282" t="s">
        <v>10253</v>
      </c>
      <c r="K282" s="1073" t="s">
        <v>10288</v>
      </c>
      <c r="L282" s="789" t="s">
        <v>10241</v>
      </c>
      <c r="M282" s="855" t="str">
        <f>C282</f>
        <v>419P5F</v>
      </c>
      <c r="N282" s="855"/>
      <c r="O282" s="790" t="s">
        <v>10255</v>
      </c>
      <c r="P282" s="790" t="s">
        <v>10244</v>
      </c>
      <c r="R282" s="30"/>
    </row>
    <row r="283" spans="2:18">
      <c r="B283" s="5" t="str">
        <f>Page5_GMC_MCI!C25</f>
        <v>TOTAL PARCS - VOITURES</v>
      </c>
      <c r="C283" s="1045" t="str">
        <f>OR_VEH!D274</f>
        <v>420P5F</v>
      </c>
      <c r="D283" s="7">
        <f>Page5_GMC_MCI!F25</f>
        <v>0</v>
      </c>
      <c r="E283" s="7">
        <f>Page5_GMC_MCI!K25</f>
        <v>0</v>
      </c>
      <c r="F283" t="str">
        <f t="shared" ref="F283:F347" si="28">TEXT(K283,"00")&amp;"-"&amp;L283&amp;IF(M283="","","-"&amp;M283)&amp;IF(N283="","","-"&amp;N283)&amp;IF(OR(O283="",O283=0),"","-"&amp;O283)&amp;IF(P283="","","-"&amp;P283)</f>
        <v>01-00-420P5F-UNIT-CURR</v>
      </c>
      <c r="G283" t="s">
        <v>127</v>
      </c>
      <c r="H283" t="s">
        <v>10287</v>
      </c>
      <c r="I283" t="s">
        <v>10253</v>
      </c>
      <c r="K283" s="1073" t="s">
        <v>10288</v>
      </c>
      <c r="L283" s="789" t="s">
        <v>10241</v>
      </c>
      <c r="M283" s="855" t="str">
        <f>C283</f>
        <v>420P5F</v>
      </c>
      <c r="N283" s="855"/>
      <c r="O283" s="790" t="s">
        <v>10255</v>
      </c>
      <c r="P283" s="790" t="s">
        <v>10244</v>
      </c>
      <c r="R283" s="30"/>
    </row>
    <row r="284" spans="2:18">
      <c r="B284" s="5" t="str">
        <f>Page5_GMC_MCI!C26</f>
        <v>TOTAL INTERNE - VOITURES</v>
      </c>
      <c r="C284" s="1045" t="str">
        <f>OR_VEH!D275</f>
        <v>421P5F</v>
      </c>
      <c r="D284" s="7">
        <f>Page5_GMC_MCI!F26</f>
        <v>0</v>
      </c>
      <c r="E284" s="7">
        <f>Page5_GMC_MCI!K26</f>
        <v>0</v>
      </c>
      <c r="F284" t="str">
        <f t="shared" si="28"/>
        <v>01-00-421P5F-UNIT-CURR</v>
      </c>
      <c r="G284" t="s">
        <v>127</v>
      </c>
      <c r="H284" t="s">
        <v>10287</v>
      </c>
      <c r="I284" t="s">
        <v>10253</v>
      </c>
      <c r="K284" s="1073" t="s">
        <v>10288</v>
      </c>
      <c r="L284" s="789" t="s">
        <v>10241</v>
      </c>
      <c r="M284" s="855" t="str">
        <f>C284</f>
        <v>421P5F</v>
      </c>
      <c r="N284" s="855"/>
      <c r="O284" s="790" t="s">
        <v>10255</v>
      </c>
      <c r="P284" s="790" t="s">
        <v>10244</v>
      </c>
      <c r="R284" s="30"/>
    </row>
    <row r="285" spans="2:18">
      <c r="B285" s="27" t="s">
        <v>10346</v>
      </c>
      <c r="C285" s="1042"/>
      <c r="D285" s="7">
        <f>Page5_GMC_MCI!F27</f>
        <v>0</v>
      </c>
      <c r="E285" s="7">
        <f>Page5_GMC_MCI!K27</f>
        <v>0</v>
      </c>
      <c r="F285" t="str">
        <f t="shared" si="28"/>
        <v>01-00-TOTCAR5F-UNIT-CURR</v>
      </c>
      <c r="G285" t="s">
        <v>127</v>
      </c>
      <c r="H285" t="s">
        <v>10287</v>
      </c>
      <c r="I285" t="s">
        <v>10253</v>
      </c>
      <c r="J285" t="s">
        <v>10268</v>
      </c>
      <c r="K285" s="1073" t="s">
        <v>10288</v>
      </c>
      <c r="L285" s="789" t="s">
        <v>10241</v>
      </c>
      <c r="M285" s="790" t="s">
        <v>10347</v>
      </c>
      <c r="O285" s="790" t="s">
        <v>10255</v>
      </c>
      <c r="P285" s="790" t="s">
        <v>10244</v>
      </c>
      <c r="Q285" s="791" t="s">
        <v>773</v>
      </c>
    </row>
    <row r="286" spans="2:18">
      <c r="B286" s="5" t="str">
        <f>Page5_GMC_MCI!C28</f>
        <v>NE PAS UTILISER</v>
      </c>
      <c r="C286" s="1045" t="str">
        <f>OR_VEH!D277</f>
        <v>423-012</v>
      </c>
      <c r="D286" s="7">
        <f>Page5_GMC_MCI!F28</f>
        <v>0</v>
      </c>
      <c r="E286" s="7">
        <f>Page5_GMC_MCI!K28</f>
        <v>0</v>
      </c>
      <c r="F286" t="str">
        <f t="shared" si="28"/>
        <v>01-00-423-012-UNIT-CURR</v>
      </c>
      <c r="G286" t="s">
        <v>127</v>
      </c>
      <c r="H286" t="s">
        <v>10287</v>
      </c>
      <c r="I286" t="s">
        <v>10253</v>
      </c>
      <c r="K286" s="1073" t="s">
        <v>10288</v>
      </c>
      <c r="L286" s="789" t="s">
        <v>10241</v>
      </c>
      <c r="M286" s="790" t="str">
        <f t="shared" ref="M286:M301" si="29">LEFT(C286,3)</f>
        <v>423</v>
      </c>
      <c r="N286" s="790" t="str">
        <f t="shared" ref="N286:N301" si="30">RIGHT(C286,3)</f>
        <v>012</v>
      </c>
      <c r="O286" s="790" t="s">
        <v>10255</v>
      </c>
      <c r="P286" s="790" t="s">
        <v>10244</v>
      </c>
      <c r="R286" s="30"/>
    </row>
    <row r="287" spans="2:18">
      <c r="B287" s="5" t="str">
        <f>Page5_GMC_MCI!C29</f>
        <v>TERRAIN</v>
      </c>
      <c r="C287" s="1045" t="str">
        <f>OR_VEH!D278</f>
        <v>424-012</v>
      </c>
      <c r="D287" s="7">
        <f>Page5_GMC_MCI!F29</f>
        <v>0</v>
      </c>
      <c r="E287" s="7">
        <f>Page5_GMC_MCI!K29</f>
        <v>2</v>
      </c>
      <c r="F287" t="str">
        <f t="shared" si="28"/>
        <v>01-00-424-012-UNIT-CURR</v>
      </c>
      <c r="G287" t="s">
        <v>127</v>
      </c>
      <c r="H287" t="s">
        <v>10287</v>
      </c>
      <c r="I287" t="s">
        <v>10253</v>
      </c>
      <c r="K287" s="1073" t="s">
        <v>10288</v>
      </c>
      <c r="L287" s="789" t="s">
        <v>10241</v>
      </c>
      <c r="M287" s="790" t="str">
        <f t="shared" si="29"/>
        <v>424</v>
      </c>
      <c r="N287" s="790" t="str">
        <f t="shared" si="30"/>
        <v>012</v>
      </c>
      <c r="O287" s="790" t="s">
        <v>10255</v>
      </c>
      <c r="P287" s="790" t="s">
        <v>10244</v>
      </c>
      <c r="R287" s="30"/>
    </row>
    <row r="288" spans="2:18">
      <c r="B288" s="5" t="str">
        <f>Page5_GMC_MCI!C30</f>
        <v>SAVANA</v>
      </c>
      <c r="C288" s="1045" t="str">
        <f>OR_VEH!D279</f>
        <v>425-012</v>
      </c>
      <c r="D288" s="7">
        <f>Page5_GMC_MCI!F30</f>
        <v>0</v>
      </c>
      <c r="E288" s="7">
        <f>Page5_GMC_MCI!K30</f>
        <v>0</v>
      </c>
      <c r="F288" t="str">
        <f t="shared" si="28"/>
        <v>01-00-425-012-UNIT-CURR</v>
      </c>
      <c r="G288" t="s">
        <v>127</v>
      </c>
      <c r="H288" t="s">
        <v>10287</v>
      </c>
      <c r="I288" t="s">
        <v>10253</v>
      </c>
      <c r="K288" s="1073" t="s">
        <v>10288</v>
      </c>
      <c r="L288" s="789" t="s">
        <v>10241</v>
      </c>
      <c r="M288" s="790" t="str">
        <f t="shared" si="29"/>
        <v>425</v>
      </c>
      <c r="N288" s="790" t="str">
        <f t="shared" si="30"/>
        <v>012</v>
      </c>
      <c r="O288" s="790" t="s">
        <v>10255</v>
      </c>
      <c r="P288" s="790" t="s">
        <v>10244</v>
      </c>
      <c r="R288" s="30"/>
    </row>
    <row r="289" spans="2:18">
      <c r="B289" s="5" t="str">
        <f>Page5_GMC_MCI!C31</f>
        <v>CANYON</v>
      </c>
      <c r="C289" s="1045" t="str">
        <f>OR_VEH!D280</f>
        <v>426-012</v>
      </c>
      <c r="D289" s="7">
        <f>Page5_GMC_MCI!F31</f>
        <v>0</v>
      </c>
      <c r="E289" s="7">
        <f>Page5_GMC_MCI!K31</f>
        <v>4</v>
      </c>
      <c r="F289" t="str">
        <f t="shared" si="28"/>
        <v>01-00-426-012-UNIT-CURR</v>
      </c>
      <c r="G289" t="s">
        <v>127</v>
      </c>
      <c r="H289" t="s">
        <v>10287</v>
      </c>
      <c r="I289" t="s">
        <v>10253</v>
      </c>
      <c r="K289" s="1073" t="s">
        <v>10288</v>
      </c>
      <c r="L289" s="789" t="s">
        <v>10241</v>
      </c>
      <c r="M289" s="790" t="str">
        <f t="shared" si="29"/>
        <v>426</v>
      </c>
      <c r="N289" s="790" t="str">
        <f t="shared" si="30"/>
        <v>012</v>
      </c>
      <c r="O289" s="790" t="s">
        <v>10255</v>
      </c>
      <c r="P289" s="790" t="s">
        <v>10244</v>
      </c>
      <c r="R289" s="30"/>
    </row>
    <row r="290" spans="2:18">
      <c r="B290" s="5" t="str">
        <f>Page5_GMC_MCI!C32</f>
        <v>NE PAS UTILISER</v>
      </c>
      <c r="C290" s="1045" t="str">
        <f>OR_VEH!D281</f>
        <v>427-012</v>
      </c>
      <c r="D290" s="7">
        <f>Page5_GMC_MCI!F32</f>
        <v>0</v>
      </c>
      <c r="E290" s="7">
        <f>Page5_GMC_MCI!K32</f>
        <v>0</v>
      </c>
      <c r="F290" t="str">
        <f t="shared" si="28"/>
        <v>01-00-427-012-UNIT-CURR</v>
      </c>
      <c r="G290" t="s">
        <v>127</v>
      </c>
      <c r="H290" t="s">
        <v>10287</v>
      </c>
      <c r="I290" t="s">
        <v>10253</v>
      </c>
      <c r="K290" s="1073" t="s">
        <v>10288</v>
      </c>
      <c r="L290" s="789" t="s">
        <v>10241</v>
      </c>
      <c r="M290" s="790" t="str">
        <f t="shared" si="29"/>
        <v>427</v>
      </c>
      <c r="N290" s="790" t="str">
        <f t="shared" si="30"/>
        <v>012</v>
      </c>
      <c r="O290" s="790" t="s">
        <v>10255</v>
      </c>
      <c r="P290" s="790" t="s">
        <v>10244</v>
      </c>
      <c r="R290" s="30"/>
    </row>
    <row r="291" spans="2:18">
      <c r="B291" s="5" t="str">
        <f>Page5_GMC_MCI!C33</f>
        <v>NE PAS UTILISER</v>
      </c>
      <c r="C291" s="1045" t="str">
        <f>OR_VEH!D282</f>
        <v>428-012</v>
      </c>
      <c r="D291" s="7">
        <f>Page5_GMC_MCI!F33</f>
        <v>0</v>
      </c>
      <c r="E291" s="7">
        <f>Page5_GMC_MCI!K33</f>
        <v>0</v>
      </c>
      <c r="F291" t="str">
        <f t="shared" si="28"/>
        <v>01-00-428-012-UNIT-CURR</v>
      </c>
      <c r="G291" t="s">
        <v>127</v>
      </c>
      <c r="H291" t="s">
        <v>10287</v>
      </c>
      <c r="I291" t="s">
        <v>10253</v>
      </c>
      <c r="K291" s="1073" t="s">
        <v>10288</v>
      </c>
      <c r="L291" s="789" t="s">
        <v>10241</v>
      </c>
      <c r="M291" s="790" t="str">
        <f t="shared" si="29"/>
        <v>428</v>
      </c>
      <c r="N291" s="790" t="str">
        <f t="shared" si="30"/>
        <v>012</v>
      </c>
      <c r="O291" s="790" t="s">
        <v>10255</v>
      </c>
      <c r="P291" s="790" t="s">
        <v>10244</v>
      </c>
      <c r="R291" s="30"/>
    </row>
    <row r="292" spans="2:18">
      <c r="B292" s="5" t="str">
        <f>Page5_GMC_MCI!C34</f>
        <v>NE PAS UTILISER</v>
      </c>
      <c r="C292" s="1045" t="str">
        <f>OR_VEH!D283</f>
        <v>429-012</v>
      </c>
      <c r="D292" s="7">
        <f>Page5_GMC_MCI!F34</f>
        <v>0</v>
      </c>
      <c r="E292" s="7">
        <f>Page5_GMC_MCI!K34</f>
        <v>0</v>
      </c>
      <c r="F292" t="str">
        <f t="shared" si="28"/>
        <v>01-00-429-012-UNIT-CURR</v>
      </c>
      <c r="G292" t="s">
        <v>127</v>
      </c>
      <c r="H292" t="s">
        <v>10287</v>
      </c>
      <c r="I292" t="s">
        <v>10253</v>
      </c>
      <c r="K292" s="1073" t="s">
        <v>10288</v>
      </c>
      <c r="L292" s="789" t="s">
        <v>10241</v>
      </c>
      <c r="M292" s="790" t="str">
        <f t="shared" si="29"/>
        <v>429</v>
      </c>
      <c r="N292" s="790" t="str">
        <f t="shared" si="30"/>
        <v>012</v>
      </c>
      <c r="O292" s="790" t="s">
        <v>10255</v>
      </c>
      <c r="P292" s="790" t="s">
        <v>10244</v>
      </c>
      <c r="R292" s="30"/>
    </row>
    <row r="293" spans="2:18">
      <c r="B293" s="5" t="str">
        <f>Page5_GMC_MCI!C35</f>
        <v>YUKON/XL</v>
      </c>
      <c r="C293" s="1045" t="str">
        <f>OR_VEH!D284</f>
        <v>430-012</v>
      </c>
      <c r="D293" s="7">
        <f>Page5_GMC_MCI!F35</f>
        <v>0</v>
      </c>
      <c r="E293" s="7">
        <f>Page5_GMC_MCI!K35</f>
        <v>3</v>
      </c>
      <c r="F293" t="str">
        <f t="shared" si="28"/>
        <v>01-00-430-012-UNIT-CURR</v>
      </c>
      <c r="G293" t="s">
        <v>127</v>
      </c>
      <c r="H293" t="s">
        <v>10287</v>
      </c>
      <c r="I293" t="s">
        <v>10253</v>
      </c>
      <c r="K293" s="1073" t="s">
        <v>10288</v>
      </c>
      <c r="L293" s="789" t="s">
        <v>10241</v>
      </c>
      <c r="M293" s="790" t="str">
        <f t="shared" si="29"/>
        <v>430</v>
      </c>
      <c r="N293" s="790" t="str">
        <f t="shared" si="30"/>
        <v>012</v>
      </c>
      <c r="O293" s="790" t="s">
        <v>10255</v>
      </c>
      <c r="P293" s="790" t="s">
        <v>10244</v>
      </c>
      <c r="R293" s="30"/>
    </row>
    <row r="294" spans="2:18">
      <c r="B294" s="5" t="str">
        <f>Page5_GMC_MCI!C36</f>
        <v>LD 1500 SIERRA</v>
      </c>
      <c r="C294" s="1045" t="str">
        <f>OR_VEH!D285</f>
        <v>431-012</v>
      </c>
      <c r="D294" s="7">
        <f>Page5_GMC_MCI!F36</f>
        <v>6</v>
      </c>
      <c r="E294" s="7">
        <f>Page5_GMC_MCI!K36</f>
        <v>28</v>
      </c>
      <c r="F294" t="str">
        <f t="shared" si="28"/>
        <v>01-00-431-012-UNIT-CURR</v>
      </c>
      <c r="G294" t="s">
        <v>127</v>
      </c>
      <c r="H294" t="s">
        <v>10287</v>
      </c>
      <c r="I294" t="s">
        <v>10253</v>
      </c>
      <c r="K294" s="1073" t="s">
        <v>10288</v>
      </c>
      <c r="L294" s="789" t="s">
        <v>10241</v>
      </c>
      <c r="M294" s="790" t="str">
        <f t="shared" si="29"/>
        <v>431</v>
      </c>
      <c r="N294" s="790" t="str">
        <f t="shared" si="30"/>
        <v>012</v>
      </c>
      <c r="O294" s="790" t="s">
        <v>10255</v>
      </c>
      <c r="P294" s="790" t="s">
        <v>10244</v>
      </c>
      <c r="R294" s="30"/>
    </row>
    <row r="295" spans="2:18">
      <c r="B295" s="5" t="str">
        <f>Page5_GMC_MCI!C37</f>
        <v>LD 2500 SIERRA</v>
      </c>
      <c r="C295" s="1045" t="str">
        <f>OR_VEH!D286</f>
        <v>432-012</v>
      </c>
      <c r="D295" s="7">
        <f>Page5_GMC_MCI!F37</f>
        <v>5</v>
      </c>
      <c r="E295" s="7">
        <f>Page5_GMC_MCI!K37</f>
        <v>12</v>
      </c>
      <c r="F295" t="str">
        <f t="shared" si="28"/>
        <v>01-00-432-012-UNIT-CURR</v>
      </c>
      <c r="G295" t="s">
        <v>127</v>
      </c>
      <c r="H295" t="s">
        <v>10287</v>
      </c>
      <c r="I295" t="s">
        <v>10253</v>
      </c>
      <c r="K295" s="1073" t="s">
        <v>10288</v>
      </c>
      <c r="L295" s="789" t="s">
        <v>10241</v>
      </c>
      <c r="M295" s="790" t="str">
        <f t="shared" si="29"/>
        <v>432</v>
      </c>
      <c r="N295" s="790" t="str">
        <f t="shared" si="30"/>
        <v>012</v>
      </c>
      <c r="O295" s="790" t="s">
        <v>10255</v>
      </c>
      <c r="P295" s="790" t="s">
        <v>10244</v>
      </c>
      <c r="R295" s="30"/>
    </row>
    <row r="296" spans="2:18">
      <c r="B296" s="5" t="str">
        <f>Page5_GMC_MCI!C38</f>
        <v>LD 3500 SIERRA</v>
      </c>
      <c r="C296" s="1045" t="str">
        <f>OR_VEH!D287</f>
        <v>433-012</v>
      </c>
      <c r="D296" s="7">
        <f>Page5_GMC_MCI!F38</f>
        <v>0</v>
      </c>
      <c r="E296" s="7">
        <f>Page5_GMC_MCI!K38</f>
        <v>0</v>
      </c>
      <c r="F296" t="str">
        <f t="shared" si="28"/>
        <v>01-00-433-012-UNIT-CURR</v>
      </c>
      <c r="G296" t="s">
        <v>127</v>
      </c>
      <c r="H296" t="s">
        <v>10287</v>
      </c>
      <c r="I296" t="s">
        <v>10253</v>
      </c>
      <c r="K296" s="1073" t="s">
        <v>10288</v>
      </c>
      <c r="L296" s="789" t="s">
        <v>10241</v>
      </c>
      <c r="M296" s="790" t="str">
        <f t="shared" si="29"/>
        <v>433</v>
      </c>
      <c r="N296" s="790" t="str">
        <f t="shared" si="30"/>
        <v>012</v>
      </c>
      <c r="O296" s="790" t="s">
        <v>10255</v>
      </c>
      <c r="P296" s="790" t="s">
        <v>10244</v>
      </c>
      <c r="R296" s="30"/>
    </row>
    <row r="297" spans="2:18">
      <c r="B297" s="5" t="str">
        <f>Page5_GMC_MCI!C39</f>
        <v>NE PAS UTILISER</v>
      </c>
      <c r="C297" s="1045" t="str">
        <f>OR_VEH!D288</f>
        <v>434-012</v>
      </c>
      <c r="D297" s="7">
        <f>Page5_GMC_MCI!F39</f>
        <v>0</v>
      </c>
      <c r="E297" s="7">
        <f>Page5_GMC_MCI!K39</f>
        <v>0</v>
      </c>
      <c r="F297" t="str">
        <f t="shared" si="28"/>
        <v>01-00-434-012-UNIT-CURR</v>
      </c>
      <c r="G297" t="s">
        <v>127</v>
      </c>
      <c r="H297" t="s">
        <v>10287</v>
      </c>
      <c r="I297" t="s">
        <v>10253</v>
      </c>
      <c r="K297" s="1073" t="s">
        <v>10288</v>
      </c>
      <c r="L297" s="789" t="s">
        <v>10241</v>
      </c>
      <c r="M297" s="790" t="str">
        <f t="shared" si="29"/>
        <v>434</v>
      </c>
      <c r="N297" s="790" t="str">
        <f t="shared" si="30"/>
        <v>012</v>
      </c>
      <c r="O297" s="790" t="s">
        <v>10255</v>
      </c>
      <c r="P297" s="790" t="s">
        <v>10244</v>
      </c>
      <c r="R297" s="30"/>
    </row>
    <row r="298" spans="2:18">
      <c r="B298" s="5" t="str">
        <f>Page5_GMC_MCI!C40</f>
        <v>NE PAS UTILISER</v>
      </c>
      <c r="C298" s="1045" t="str">
        <f>OR_VEH!D289</f>
        <v>435-012</v>
      </c>
      <c r="D298" s="7">
        <f>Page5_GMC_MCI!F40</f>
        <v>0</v>
      </c>
      <c r="E298" s="7">
        <f>Page5_GMC_MCI!K40</f>
        <v>0</v>
      </c>
      <c r="F298" t="str">
        <f t="shared" si="28"/>
        <v>01-00-435-012-UNIT-CURR</v>
      </c>
      <c r="G298" t="s">
        <v>127</v>
      </c>
      <c r="H298" t="s">
        <v>10287</v>
      </c>
      <c r="I298" t="s">
        <v>10253</v>
      </c>
      <c r="K298" s="1073" t="s">
        <v>10288</v>
      </c>
      <c r="L298" s="789" t="s">
        <v>10241</v>
      </c>
      <c r="M298" s="790" t="str">
        <f t="shared" si="29"/>
        <v>435</v>
      </c>
      <c r="N298" s="790" t="str">
        <f t="shared" si="30"/>
        <v>012</v>
      </c>
      <c r="O298" s="790" t="s">
        <v>10255</v>
      </c>
      <c r="P298" s="790" t="s">
        <v>10244</v>
      </c>
      <c r="R298" s="30"/>
    </row>
    <row r="299" spans="2:18">
      <c r="B299" s="5" t="str">
        <f>Page5_GMC_MCI!C41</f>
        <v>ACADIA</v>
      </c>
      <c r="C299" s="1045" t="str">
        <f>OR_VEH!D290</f>
        <v>436-012</v>
      </c>
      <c r="D299" s="7">
        <f>Page5_GMC_MCI!F41</f>
        <v>0</v>
      </c>
      <c r="E299" s="7">
        <f>Page5_GMC_MCI!K41</f>
        <v>1</v>
      </c>
      <c r="F299" t="str">
        <f t="shared" si="28"/>
        <v>01-00-436-012-UNIT-CURR</v>
      </c>
      <c r="G299" t="s">
        <v>127</v>
      </c>
      <c r="H299" t="s">
        <v>10287</v>
      </c>
      <c r="I299" t="s">
        <v>10253</v>
      </c>
      <c r="K299" s="1073" t="s">
        <v>10288</v>
      </c>
      <c r="L299" s="789" t="s">
        <v>10241</v>
      </c>
      <c r="M299" s="790" t="str">
        <f t="shared" si="29"/>
        <v>436</v>
      </c>
      <c r="N299" s="790" t="str">
        <f t="shared" si="30"/>
        <v>012</v>
      </c>
      <c r="O299" s="790" t="s">
        <v>10255</v>
      </c>
      <c r="P299" s="790" t="s">
        <v>10244</v>
      </c>
      <c r="R299" s="30"/>
    </row>
    <row r="300" spans="2:18">
      <c r="B300" s="5" t="str">
        <f>Page5_GMC_MCI!C42</f>
        <v>POUR USAGE FUTUR</v>
      </c>
      <c r="C300" s="1045" t="str">
        <f>OR_VEH!D291</f>
        <v>437-012</v>
      </c>
      <c r="D300" s="7">
        <f>Page5_GMC_MCI!F42</f>
        <v>0</v>
      </c>
      <c r="E300" s="7">
        <f>Page5_GMC_MCI!K42</f>
        <v>0</v>
      </c>
      <c r="F300" t="str">
        <f t="shared" si="28"/>
        <v>01-00-437-012-UNIT-CURR</v>
      </c>
      <c r="G300" t="s">
        <v>127</v>
      </c>
      <c r="H300" t="s">
        <v>10287</v>
      </c>
      <c r="I300" t="s">
        <v>10253</v>
      </c>
      <c r="K300" s="1073" t="s">
        <v>10288</v>
      </c>
      <c r="L300" s="789" t="s">
        <v>10241</v>
      </c>
      <c r="M300" s="790" t="str">
        <f t="shared" si="29"/>
        <v>437</v>
      </c>
      <c r="N300" s="790" t="str">
        <f t="shared" si="30"/>
        <v>012</v>
      </c>
      <c r="O300" s="790" t="s">
        <v>10255</v>
      </c>
      <c r="P300" s="790" t="s">
        <v>10244</v>
      </c>
      <c r="R300" s="30"/>
    </row>
    <row r="301" spans="2:18">
      <c r="B301" s="5" t="str">
        <f>Page5_GMC_MCI!C43</f>
        <v>AUTRES CAMIONS GMC</v>
      </c>
      <c r="C301" s="1045" t="str">
        <f>OR_VEH!D292</f>
        <v>438-012</v>
      </c>
      <c r="D301" s="7">
        <f>Page5_GMC_MCI!F43</f>
        <v>0</v>
      </c>
      <c r="E301" s="7">
        <f>Page5_GMC_MCI!K43</f>
        <v>0</v>
      </c>
      <c r="F301" t="str">
        <f t="shared" si="28"/>
        <v>01-00-438-012-UNIT-CURR</v>
      </c>
      <c r="G301" t="s">
        <v>127</v>
      </c>
      <c r="H301" t="s">
        <v>10287</v>
      </c>
      <c r="I301" t="s">
        <v>10253</v>
      </c>
      <c r="K301" s="1073" t="s">
        <v>10288</v>
      </c>
      <c r="L301" s="789" t="s">
        <v>10241</v>
      </c>
      <c r="M301" s="790" t="str">
        <f t="shared" si="29"/>
        <v>438</v>
      </c>
      <c r="N301" s="790" t="str">
        <f t="shared" si="30"/>
        <v>012</v>
      </c>
      <c r="O301" s="799" t="s">
        <v>10255</v>
      </c>
      <c r="P301" s="799" t="s">
        <v>10244</v>
      </c>
      <c r="R301" s="30"/>
    </row>
    <row r="302" spans="2:18">
      <c r="B302" s="51" t="s">
        <v>10348</v>
      </c>
      <c r="C302" s="1042"/>
      <c r="D302" s="7">
        <f>Page5_GMC_MCI!F44</f>
        <v>11</v>
      </c>
      <c r="E302" s="7">
        <f>Page5_GMC_MCI!K44</f>
        <v>50</v>
      </c>
      <c r="F302" t="str">
        <f t="shared" si="28"/>
        <v>01-00-RTLTRK5F-UNIT-CURR</v>
      </c>
      <c r="G302" t="s">
        <v>127</v>
      </c>
      <c r="H302" t="s">
        <v>10287</v>
      </c>
      <c r="I302" t="s">
        <v>10253</v>
      </c>
      <c r="J302" t="s">
        <v>10268</v>
      </c>
      <c r="K302" s="1073" t="s">
        <v>10288</v>
      </c>
      <c r="L302" s="789" t="s">
        <v>10241</v>
      </c>
      <c r="M302" s="790" t="s">
        <v>10349</v>
      </c>
      <c r="O302" s="790" t="s">
        <v>10255</v>
      </c>
      <c r="P302" s="790" t="s">
        <v>10244</v>
      </c>
      <c r="Q302" s="791" t="s">
        <v>773</v>
      </c>
    </row>
    <row r="303" spans="2:18">
      <c r="B303" s="5" t="str">
        <f>Page5_GMC_MCI!C45</f>
        <v>MÉMO* VENTES INTERNET CAMIONS</v>
      </c>
      <c r="C303" s="1045" t="str">
        <f>OR_VEH!D294</f>
        <v>439P5F</v>
      </c>
      <c r="D303" s="7">
        <f>Page5_GMC_MCI!F45</f>
        <v>0</v>
      </c>
      <c r="E303" s="7">
        <f>Page5_GMC_MCI!K45</f>
        <v>0</v>
      </c>
      <c r="F303" t="str">
        <f t="shared" si="28"/>
        <v>01-00-439P5F-UNIT-CURR</v>
      </c>
      <c r="G303" t="s">
        <v>127</v>
      </c>
      <c r="H303" t="s">
        <v>10287</v>
      </c>
      <c r="I303" t="s">
        <v>10253</v>
      </c>
      <c r="K303" s="1073" t="s">
        <v>10288</v>
      </c>
      <c r="L303" s="789" t="s">
        <v>10241</v>
      </c>
      <c r="M303" s="855" t="str">
        <f>C303</f>
        <v>439P5F</v>
      </c>
      <c r="N303" s="855"/>
      <c r="O303" s="790" t="s">
        <v>10255</v>
      </c>
      <c r="P303" s="790" t="s">
        <v>10244</v>
      </c>
      <c r="R303" s="30"/>
    </row>
    <row r="304" spans="2:18">
      <c r="B304" s="5" t="str">
        <f>Page5_GMC_MCI!C46</f>
        <v>TOTAL PARCS - CAMIONS</v>
      </c>
      <c r="C304" s="1045" t="str">
        <f>OR_VEH!D295</f>
        <v>440P5F</v>
      </c>
      <c r="D304" s="7">
        <f>Page5_GMC_MCI!F46</f>
        <v>0</v>
      </c>
      <c r="E304" s="7">
        <f>Page5_GMC_MCI!K46</f>
        <v>0</v>
      </c>
      <c r="F304" t="str">
        <f t="shared" si="28"/>
        <v>01-00-440P5F-UNIT-CURR</v>
      </c>
      <c r="G304" t="s">
        <v>127</v>
      </c>
      <c r="H304" t="s">
        <v>10287</v>
      </c>
      <c r="I304" t="s">
        <v>10253</v>
      </c>
      <c r="K304" s="1073" t="s">
        <v>10288</v>
      </c>
      <c r="L304" s="789" t="s">
        <v>10241</v>
      </c>
      <c r="M304" s="855" t="str">
        <f>C304</f>
        <v>440P5F</v>
      </c>
      <c r="N304" s="855"/>
      <c r="O304" s="799" t="s">
        <v>10255</v>
      </c>
      <c r="P304" s="799" t="s">
        <v>10244</v>
      </c>
      <c r="R304" s="30"/>
    </row>
    <row r="305" spans="1:18">
      <c r="B305" s="5" t="str">
        <f>Page5_GMC_MCI!C47</f>
        <v xml:space="preserve">TOTAL IINTERNE - CAMIONS </v>
      </c>
      <c r="C305" s="1045" t="str">
        <f>OR_VEH!D296</f>
        <v>441P5F</v>
      </c>
      <c r="D305" s="7">
        <f>Page5_GMC_MCI!F47</f>
        <v>0</v>
      </c>
      <c r="E305" s="7">
        <f>Page5_GMC_MCI!K47</f>
        <v>0</v>
      </c>
      <c r="F305" t="str">
        <f t="shared" si="28"/>
        <v>01-00-441P5F-UNIT-CURR</v>
      </c>
      <c r="G305" t="s">
        <v>127</v>
      </c>
      <c r="H305" t="s">
        <v>10287</v>
      </c>
      <c r="I305" t="s">
        <v>10253</v>
      </c>
      <c r="K305" s="1073" t="s">
        <v>10288</v>
      </c>
      <c r="L305" s="789" t="s">
        <v>10241</v>
      </c>
      <c r="M305" s="855" t="str">
        <f>C305</f>
        <v>441P5F</v>
      </c>
      <c r="N305" s="855"/>
      <c r="O305" s="799" t="s">
        <v>10255</v>
      </c>
      <c r="P305" s="799" t="s">
        <v>10244</v>
      </c>
      <c r="R305" s="30"/>
    </row>
    <row r="306" spans="1:18">
      <c r="B306" s="27" t="s">
        <v>10350</v>
      </c>
      <c r="C306" s="1042"/>
      <c r="D306" s="7">
        <f>Page5_GMC_MCI!F48</f>
        <v>11</v>
      </c>
      <c r="E306" s="7">
        <f>Page5_GMC_MCI!K48</f>
        <v>50</v>
      </c>
      <c r="F306" t="str">
        <f t="shared" si="28"/>
        <v>01-00-TOTTRK5F-UNIT-CURR</v>
      </c>
      <c r="G306" t="s">
        <v>127</v>
      </c>
      <c r="H306" t="s">
        <v>10287</v>
      </c>
      <c r="I306" t="s">
        <v>10253</v>
      </c>
      <c r="J306" t="s">
        <v>10268</v>
      </c>
      <c r="K306" s="1073" t="s">
        <v>10288</v>
      </c>
      <c r="L306" s="789" t="s">
        <v>10241</v>
      </c>
      <c r="M306" s="790" t="s">
        <v>10351</v>
      </c>
      <c r="O306" s="790" t="s">
        <v>10255</v>
      </c>
      <c r="P306" s="790" t="s">
        <v>10244</v>
      </c>
      <c r="Q306" s="791" t="s">
        <v>773</v>
      </c>
    </row>
    <row r="307" spans="1:18">
      <c r="B307" s="5" t="str">
        <f>Page5_GMC_MCI!C50</f>
        <v>ACCESSOIRES</v>
      </c>
      <c r="C307" s="1045" t="str">
        <f>OR_VEH!D299</f>
        <v>457P5F</v>
      </c>
      <c r="D307" s="7">
        <f>Page5_GMC_MCI!F50</f>
        <v>0</v>
      </c>
      <c r="E307" s="7">
        <f>Page5_GMC_MCI!K50</f>
        <v>0</v>
      </c>
      <c r="F307" t="str">
        <f t="shared" si="28"/>
        <v>01-00-457P5F-UNIT-CURR</v>
      </c>
      <c r="G307" t="s">
        <v>127</v>
      </c>
      <c r="H307" t="s">
        <v>10287</v>
      </c>
      <c r="I307" t="s">
        <v>10253</v>
      </c>
      <c r="K307" s="1073" t="s">
        <v>10288</v>
      </c>
      <c r="L307" s="789" t="s">
        <v>10241</v>
      </c>
      <c r="M307" s="855" t="str">
        <f>C307</f>
        <v>457P5F</v>
      </c>
      <c r="N307" s="855"/>
      <c r="O307" s="790" t="s">
        <v>10255</v>
      </c>
      <c r="P307" s="790" t="s">
        <v>10244</v>
      </c>
      <c r="R307" s="30"/>
    </row>
    <row r="308" spans="1:18">
      <c r="B308" s="27" t="s">
        <v>10352</v>
      </c>
      <c r="C308" s="1044"/>
      <c r="D308" s="7">
        <f>Page5_GMC_MCI!F51</f>
        <v>11</v>
      </c>
      <c r="E308" s="7">
        <f>Page5_GMC_MCI!K51</f>
        <v>50</v>
      </c>
      <c r="F308" t="str">
        <f t="shared" si="28"/>
        <v>01-00-TOTVEH5F-UNIT-CURR</v>
      </c>
      <c r="G308" t="s">
        <v>127</v>
      </c>
      <c r="H308" t="s">
        <v>10287</v>
      </c>
      <c r="I308" t="s">
        <v>10253</v>
      </c>
      <c r="J308" t="s">
        <v>10268</v>
      </c>
      <c r="K308" s="1073" t="s">
        <v>10288</v>
      </c>
      <c r="L308" s="789" t="s">
        <v>10241</v>
      </c>
      <c r="M308" s="790" t="s">
        <v>10353</v>
      </c>
      <c r="O308" s="790" t="s">
        <v>10255</v>
      </c>
      <c r="P308" s="790" t="s">
        <v>10244</v>
      </c>
      <c r="Q308" s="791" t="s">
        <v>773</v>
      </c>
    </row>
    <row r="309" spans="1:18">
      <c r="A309" s="805" t="s">
        <v>10354</v>
      </c>
      <c r="B309" s="5" t="str">
        <f>Page5_CAD_VE!C4</f>
        <v>CELESTIQ</v>
      </c>
      <c r="C309" s="1045" t="str">
        <f>OR_VEH!D303</f>
        <v>400-007</v>
      </c>
      <c r="D309" s="7">
        <f>Page5_CAD_VE!F4</f>
        <v>0</v>
      </c>
      <c r="E309" s="7">
        <f>Page5_CAD_VE!K4</f>
        <v>0</v>
      </c>
      <c r="F309" t="str">
        <f t="shared" si="28"/>
        <v>01-00-400-007-UNIT-CURR</v>
      </c>
      <c r="G309" t="s">
        <v>127</v>
      </c>
      <c r="H309" t="s">
        <v>10287</v>
      </c>
      <c r="I309" t="s">
        <v>10253</v>
      </c>
      <c r="K309" s="1073" t="s">
        <v>10288</v>
      </c>
      <c r="L309" s="789" t="s">
        <v>10241</v>
      </c>
      <c r="M309" s="790" t="str">
        <f t="shared" ref="M309:M327" si="31">LEFT(C309,3)</f>
        <v>400</v>
      </c>
      <c r="N309" s="790" t="str">
        <f t="shared" ref="N309:N327" si="32">RIGHT(C309,3)</f>
        <v>007</v>
      </c>
      <c r="O309" s="799" t="s">
        <v>10255</v>
      </c>
      <c r="P309" s="799" t="s">
        <v>10244</v>
      </c>
      <c r="R309" s="30"/>
    </row>
    <row r="310" spans="1:18">
      <c r="B310" s="5" t="str">
        <f>Page5_CAD_VE!C5</f>
        <v>NE PAS UTILISER</v>
      </c>
      <c r="C310" s="1045" t="str">
        <f>OR_VEH!D304</f>
        <v>401-007</v>
      </c>
      <c r="D310" s="7">
        <f>Page5_CAD_VE!F5</f>
        <v>0</v>
      </c>
      <c r="E310" s="7">
        <f>Page5_CAD_VE!K5</f>
        <v>0</v>
      </c>
      <c r="F310" t="str">
        <f t="shared" si="28"/>
        <v>01-00-401-007-UNIT-CURR</v>
      </c>
      <c r="G310" t="s">
        <v>127</v>
      </c>
      <c r="H310" t="s">
        <v>10287</v>
      </c>
      <c r="I310" t="s">
        <v>10253</v>
      </c>
      <c r="K310" s="1073" t="s">
        <v>10288</v>
      </c>
      <c r="L310" s="789" t="s">
        <v>10241</v>
      </c>
      <c r="M310" s="790" t="str">
        <f t="shared" si="31"/>
        <v>401</v>
      </c>
      <c r="N310" s="790" t="str">
        <f t="shared" si="32"/>
        <v>007</v>
      </c>
      <c r="O310" s="799" t="s">
        <v>10255</v>
      </c>
      <c r="P310" s="799" t="s">
        <v>10244</v>
      </c>
      <c r="R310" s="30"/>
    </row>
    <row r="311" spans="1:18">
      <c r="B311" s="5" t="str">
        <f>Page5_CAD_VE!C6</f>
        <v>NE PAS UTILISER</v>
      </c>
      <c r="C311" s="1045" t="str">
        <f>OR_VEH!D305</f>
        <v>402-007</v>
      </c>
      <c r="D311" s="7">
        <f>Page5_CAD_VE!F6</f>
        <v>0</v>
      </c>
      <c r="E311" s="7">
        <f>Page5_CAD_VE!K6</f>
        <v>0</v>
      </c>
      <c r="F311" t="str">
        <f t="shared" si="28"/>
        <v>01-00-402-007-UNIT-CURR</v>
      </c>
      <c r="G311" t="s">
        <v>127</v>
      </c>
      <c r="H311" t="s">
        <v>10287</v>
      </c>
      <c r="I311" t="s">
        <v>10253</v>
      </c>
      <c r="K311" s="1073" t="s">
        <v>10288</v>
      </c>
      <c r="L311" s="789" t="s">
        <v>10241</v>
      </c>
      <c r="M311" s="790" t="str">
        <f t="shared" si="31"/>
        <v>402</v>
      </c>
      <c r="N311" s="790" t="str">
        <f t="shared" si="32"/>
        <v>007</v>
      </c>
      <c r="O311" s="799" t="s">
        <v>10255</v>
      </c>
      <c r="P311" s="799" t="s">
        <v>10244</v>
      </c>
      <c r="R311" s="30"/>
    </row>
    <row r="312" spans="1:18">
      <c r="B312" s="5" t="str">
        <f>Page5_CAD_VE!C7</f>
        <v>NE PAS UTILISER</v>
      </c>
      <c r="C312" s="1045" t="str">
        <f>OR_VEH!D306</f>
        <v>403-007</v>
      </c>
      <c r="D312" s="7">
        <f>Page5_CAD_VE!F7</f>
        <v>0</v>
      </c>
      <c r="E312" s="7">
        <f>Page5_CAD_VE!K7</f>
        <v>0</v>
      </c>
      <c r="F312" t="str">
        <f t="shared" si="28"/>
        <v>01-00-403-007-UNIT-CURR</v>
      </c>
      <c r="G312" t="s">
        <v>127</v>
      </c>
      <c r="H312" t="s">
        <v>10287</v>
      </c>
      <c r="I312" t="s">
        <v>10253</v>
      </c>
      <c r="K312" s="1073" t="s">
        <v>10288</v>
      </c>
      <c r="L312" s="789" t="s">
        <v>10241</v>
      </c>
      <c r="M312" s="790" t="str">
        <f t="shared" si="31"/>
        <v>403</v>
      </c>
      <c r="N312" s="790" t="str">
        <f t="shared" si="32"/>
        <v>007</v>
      </c>
      <c r="O312" s="799" t="s">
        <v>10255</v>
      </c>
      <c r="P312" s="799" t="s">
        <v>10244</v>
      </c>
      <c r="R312" s="30"/>
    </row>
    <row r="313" spans="1:18">
      <c r="B313" s="5" t="str">
        <f>Page5_CAD_VE!C8</f>
        <v>NE PAS UTILISER</v>
      </c>
      <c r="C313" s="1045" t="str">
        <f>OR_VEH!D307</f>
        <v>404-007</v>
      </c>
      <c r="D313" s="7">
        <f>Page5_CAD_VE!F8</f>
        <v>0</v>
      </c>
      <c r="E313" s="7">
        <f>Page5_CAD_VE!K8</f>
        <v>0</v>
      </c>
      <c r="F313" t="str">
        <f t="shared" si="28"/>
        <v>01-00-404-007-UNIT-CURR</v>
      </c>
      <c r="G313" t="s">
        <v>127</v>
      </c>
      <c r="H313" t="s">
        <v>10287</v>
      </c>
      <c r="I313" t="s">
        <v>10253</v>
      </c>
      <c r="K313" s="1073" t="s">
        <v>10288</v>
      </c>
      <c r="L313" s="789" t="s">
        <v>10241</v>
      </c>
      <c r="M313" s="790" t="str">
        <f t="shared" si="31"/>
        <v>404</v>
      </c>
      <c r="N313" s="790" t="str">
        <f t="shared" si="32"/>
        <v>007</v>
      </c>
      <c r="O313" s="799" t="s">
        <v>10255</v>
      </c>
      <c r="P313" s="799" t="s">
        <v>10244</v>
      </c>
      <c r="R313" s="30"/>
    </row>
    <row r="314" spans="1:18">
      <c r="B314" s="5" t="str">
        <f>Page5_CAD_VE!C9</f>
        <v>NE PAS UTILISER</v>
      </c>
      <c r="C314" s="1045" t="str">
        <f>OR_VEH!D308</f>
        <v>405-007</v>
      </c>
      <c r="D314" s="7">
        <f>Page5_CAD_VE!F9</f>
        <v>0</v>
      </c>
      <c r="E314" s="7">
        <f>Page5_CAD_VE!K9</f>
        <v>0</v>
      </c>
      <c r="F314" t="str">
        <f t="shared" si="28"/>
        <v>01-00-405-007-UNIT-CURR</v>
      </c>
      <c r="G314" t="s">
        <v>127</v>
      </c>
      <c r="H314" t="s">
        <v>10287</v>
      </c>
      <c r="I314" t="s">
        <v>10253</v>
      </c>
      <c r="K314" s="1073" t="s">
        <v>10288</v>
      </c>
      <c r="L314" s="789" t="s">
        <v>10241</v>
      </c>
      <c r="M314" s="790" t="str">
        <f t="shared" si="31"/>
        <v>405</v>
      </c>
      <c r="N314" s="790" t="str">
        <f t="shared" si="32"/>
        <v>007</v>
      </c>
      <c r="O314" s="799" t="s">
        <v>10255</v>
      </c>
      <c r="P314" s="799" t="s">
        <v>10244</v>
      </c>
      <c r="R314" s="30"/>
    </row>
    <row r="315" spans="1:18">
      <c r="B315" s="5" t="str">
        <f>Page5_CAD_VE!C10</f>
        <v>NE PAS UTILISER</v>
      </c>
      <c r="C315" s="1045" t="str">
        <f>OR_VEH!D309</f>
        <v>406-007</v>
      </c>
      <c r="D315" s="7">
        <f>Page5_CAD_VE!F10</f>
        <v>0</v>
      </c>
      <c r="E315" s="7">
        <f>Page5_CAD_VE!K10</f>
        <v>0</v>
      </c>
      <c r="F315" t="str">
        <f t="shared" si="28"/>
        <v>01-00-406-007-UNIT-CURR</v>
      </c>
      <c r="G315" t="s">
        <v>127</v>
      </c>
      <c r="H315" t="s">
        <v>10287</v>
      </c>
      <c r="I315" t="s">
        <v>10253</v>
      </c>
      <c r="K315" s="1073" t="s">
        <v>10288</v>
      </c>
      <c r="L315" s="789" t="s">
        <v>10241</v>
      </c>
      <c r="M315" s="790" t="str">
        <f t="shared" si="31"/>
        <v>406</v>
      </c>
      <c r="N315" s="790" t="str">
        <f t="shared" si="32"/>
        <v>007</v>
      </c>
      <c r="O315" s="799" t="s">
        <v>10255</v>
      </c>
      <c r="P315" s="799" t="s">
        <v>10244</v>
      </c>
      <c r="R315" s="30"/>
    </row>
    <row r="316" spans="1:18">
      <c r="B316" s="5" t="str">
        <f>Page5_CAD_VE!C11</f>
        <v>NE PAS UTILISER</v>
      </c>
      <c r="C316" s="1045" t="str">
        <f>OR_VEH!D310</f>
        <v>407-007</v>
      </c>
      <c r="D316" s="7">
        <f>Page5_CAD_VE!F11</f>
        <v>0</v>
      </c>
      <c r="E316" s="7">
        <f>Page5_CAD_VE!K11</f>
        <v>0</v>
      </c>
      <c r="F316" t="str">
        <f t="shared" si="28"/>
        <v>01-00-407-007-UNIT-CURR</v>
      </c>
      <c r="G316" t="s">
        <v>127</v>
      </c>
      <c r="H316" t="s">
        <v>10287</v>
      </c>
      <c r="I316" t="s">
        <v>10253</v>
      </c>
      <c r="K316" s="1073" t="s">
        <v>10288</v>
      </c>
      <c r="L316" s="789" t="s">
        <v>10241</v>
      </c>
      <c r="M316" s="790" t="str">
        <f t="shared" si="31"/>
        <v>407</v>
      </c>
      <c r="N316" s="790" t="str">
        <f t="shared" si="32"/>
        <v>007</v>
      </c>
      <c r="O316" s="799" t="s">
        <v>10255</v>
      </c>
      <c r="P316" s="799" t="s">
        <v>10244</v>
      </c>
      <c r="R316" s="30"/>
    </row>
    <row r="317" spans="1:18">
      <c r="B317" s="5" t="str">
        <f>Page5_CAD_VE!C12</f>
        <v>NE PAS UTILISER</v>
      </c>
      <c r="C317" s="1045" t="str">
        <f>OR_VEH!D311</f>
        <v>408-007</v>
      </c>
      <c r="D317" s="7">
        <f>Page5_CAD_VE!F12</f>
        <v>0</v>
      </c>
      <c r="E317" s="7">
        <f>Page5_CAD_VE!K12</f>
        <v>0</v>
      </c>
      <c r="F317" t="str">
        <f t="shared" si="28"/>
        <v>01-00-408-007-UNIT-CURR</v>
      </c>
      <c r="G317" t="s">
        <v>127</v>
      </c>
      <c r="H317" t="s">
        <v>10287</v>
      </c>
      <c r="I317" t="s">
        <v>10253</v>
      </c>
      <c r="K317" s="1073" t="s">
        <v>10288</v>
      </c>
      <c r="L317" s="789" t="s">
        <v>10241</v>
      </c>
      <c r="M317" s="790" t="str">
        <f t="shared" si="31"/>
        <v>408</v>
      </c>
      <c r="N317" s="790" t="str">
        <f t="shared" si="32"/>
        <v>007</v>
      </c>
      <c r="O317" s="799" t="s">
        <v>10255</v>
      </c>
      <c r="P317" s="799" t="s">
        <v>10244</v>
      </c>
      <c r="R317" s="30"/>
    </row>
    <row r="318" spans="1:18">
      <c r="B318" s="5" t="str">
        <f>Page5_CAD_VE!C13</f>
        <v>NE PAS UTILISER</v>
      </c>
      <c r="C318" s="1045" t="str">
        <f>OR_VEH!D312</f>
        <v>409-007</v>
      </c>
      <c r="D318" s="7">
        <f>Page5_CAD_VE!F13</f>
        <v>0</v>
      </c>
      <c r="E318" s="7">
        <f>Page5_CAD_VE!K13</f>
        <v>0</v>
      </c>
      <c r="F318" t="str">
        <f t="shared" si="28"/>
        <v>01-00-409-007-UNIT-CURR</v>
      </c>
      <c r="G318" t="s">
        <v>127</v>
      </c>
      <c r="H318" t="s">
        <v>10287</v>
      </c>
      <c r="I318" t="s">
        <v>10253</v>
      </c>
      <c r="K318" s="1073" t="s">
        <v>10288</v>
      </c>
      <c r="L318" s="789" t="s">
        <v>10241</v>
      </c>
      <c r="M318" s="790" t="str">
        <f t="shared" si="31"/>
        <v>409</v>
      </c>
      <c r="N318" s="790" t="str">
        <f t="shared" si="32"/>
        <v>007</v>
      </c>
      <c r="O318" s="799" t="s">
        <v>10255</v>
      </c>
      <c r="P318" s="799" t="s">
        <v>10244</v>
      </c>
      <c r="R318" s="30"/>
    </row>
    <row r="319" spans="1:18">
      <c r="B319" s="5" t="str">
        <f>Page5_CAD_VE!C14</f>
        <v>NE PAS UTILISER</v>
      </c>
      <c r="C319" s="1045" t="str">
        <f>OR_VEH!D313</f>
        <v>410-007</v>
      </c>
      <c r="D319" s="7">
        <f>Page5_CAD_VE!F14</f>
        <v>0</v>
      </c>
      <c r="E319" s="7">
        <f>Page5_CAD_VE!K14</f>
        <v>0</v>
      </c>
      <c r="F319" t="str">
        <f t="shared" si="28"/>
        <v>01-00-410-007-UNIT-CURR</v>
      </c>
      <c r="G319" t="s">
        <v>127</v>
      </c>
      <c r="H319" t="s">
        <v>10287</v>
      </c>
      <c r="I319" t="s">
        <v>10253</v>
      </c>
      <c r="K319" s="1073" t="s">
        <v>10288</v>
      </c>
      <c r="L319" s="789" t="s">
        <v>10241</v>
      </c>
      <c r="M319" s="790" t="str">
        <f t="shared" si="31"/>
        <v>410</v>
      </c>
      <c r="N319" s="790" t="str">
        <f t="shared" si="32"/>
        <v>007</v>
      </c>
      <c r="O319" s="799" t="s">
        <v>10255</v>
      </c>
      <c r="P319" s="799" t="s">
        <v>10244</v>
      </c>
      <c r="R319" s="30"/>
    </row>
    <row r="320" spans="1:18">
      <c r="B320" s="5" t="str">
        <f>Page5_CAD_VE!C15</f>
        <v>NE PAS UTILISER</v>
      </c>
      <c r="C320" s="1045" t="str">
        <f>OR_VEH!D314</f>
        <v>411-007</v>
      </c>
      <c r="D320" s="7">
        <f>Page5_CAD_VE!F15</f>
        <v>0</v>
      </c>
      <c r="E320" s="7">
        <f>Page5_CAD_VE!K15</f>
        <v>0</v>
      </c>
      <c r="F320" t="str">
        <f t="shared" si="28"/>
        <v>01-00-411-007-UNIT-CURR</v>
      </c>
      <c r="G320" t="s">
        <v>127</v>
      </c>
      <c r="H320" t="s">
        <v>10287</v>
      </c>
      <c r="I320" t="s">
        <v>10253</v>
      </c>
      <c r="K320" s="1073" t="s">
        <v>10288</v>
      </c>
      <c r="L320" s="789" t="s">
        <v>10241</v>
      </c>
      <c r="M320" s="790" t="str">
        <f t="shared" si="31"/>
        <v>411</v>
      </c>
      <c r="N320" s="790" t="str">
        <f t="shared" si="32"/>
        <v>007</v>
      </c>
      <c r="O320" s="799" t="s">
        <v>10255</v>
      </c>
      <c r="P320" s="799" t="s">
        <v>10244</v>
      </c>
      <c r="R320" s="30"/>
    </row>
    <row r="321" spans="2:18">
      <c r="B321" s="5" t="str">
        <f>Page5_CAD_VE!C16</f>
        <v>NE PAS UTILISER</v>
      </c>
      <c r="C321" s="1045" t="str">
        <f>OR_VEH!D315</f>
        <v>412-007</v>
      </c>
      <c r="D321" s="7">
        <f>Page5_CAD_VE!F16</f>
        <v>0</v>
      </c>
      <c r="E321" s="7">
        <f>Page5_CAD_VE!K16</f>
        <v>0</v>
      </c>
      <c r="F321" t="str">
        <f t="shared" si="28"/>
        <v>01-00-412-007-UNIT-CURR</v>
      </c>
      <c r="G321" t="s">
        <v>127</v>
      </c>
      <c r="H321" t="s">
        <v>10287</v>
      </c>
      <c r="I321" t="s">
        <v>10253</v>
      </c>
      <c r="K321" s="1073" t="s">
        <v>10288</v>
      </c>
      <c r="L321" s="789" t="s">
        <v>10241</v>
      </c>
      <c r="M321" s="790" t="str">
        <f t="shared" si="31"/>
        <v>412</v>
      </c>
      <c r="N321" s="790" t="str">
        <f t="shared" si="32"/>
        <v>007</v>
      </c>
      <c r="O321" s="799" t="s">
        <v>10255</v>
      </c>
      <c r="P321" s="799" t="s">
        <v>10244</v>
      </c>
      <c r="R321" s="30"/>
    </row>
    <row r="322" spans="2:18">
      <c r="B322" s="5" t="str">
        <f>Page5_CAD_VE!C17</f>
        <v>NE PAS UTILISER</v>
      </c>
      <c r="C322" s="1045" t="str">
        <f>OR_VEH!D316</f>
        <v>413-007</v>
      </c>
      <c r="D322" s="7">
        <f>Page5_CAD_VE!F17</f>
        <v>0</v>
      </c>
      <c r="E322" s="7">
        <f>Page5_CAD_VE!K17</f>
        <v>0</v>
      </c>
      <c r="F322" t="str">
        <f t="shared" si="28"/>
        <v>01-00-413-007-UNIT-CURR</v>
      </c>
      <c r="G322" t="s">
        <v>127</v>
      </c>
      <c r="H322" t="s">
        <v>10287</v>
      </c>
      <c r="I322" t="s">
        <v>10253</v>
      </c>
      <c r="K322" s="1073" t="s">
        <v>10288</v>
      </c>
      <c r="L322" s="789" t="s">
        <v>10241</v>
      </c>
      <c r="M322" s="790" t="str">
        <f t="shared" si="31"/>
        <v>413</v>
      </c>
      <c r="N322" s="790" t="str">
        <f t="shared" si="32"/>
        <v>007</v>
      </c>
      <c r="O322" s="799" t="s">
        <v>10255</v>
      </c>
      <c r="P322" s="799" t="s">
        <v>10244</v>
      </c>
      <c r="R322" s="30"/>
    </row>
    <row r="323" spans="2:18">
      <c r="B323" s="5" t="str">
        <f>Page5_CAD_VE!C18</f>
        <v>NE PAS UTILISER</v>
      </c>
      <c r="C323" s="1045" t="str">
        <f>OR_VEH!D317</f>
        <v>414-007</v>
      </c>
      <c r="D323" s="7">
        <f>Page5_CAD_VE!F18</f>
        <v>0</v>
      </c>
      <c r="E323" s="7">
        <f>Page5_CAD_VE!K18</f>
        <v>0</v>
      </c>
      <c r="F323" t="str">
        <f t="shared" si="28"/>
        <v>01-00-414-007-UNIT-CURR</v>
      </c>
      <c r="G323" t="s">
        <v>127</v>
      </c>
      <c r="H323" t="s">
        <v>10287</v>
      </c>
      <c r="I323" t="s">
        <v>10253</v>
      </c>
      <c r="K323" s="1073" t="s">
        <v>10288</v>
      </c>
      <c r="L323" s="789" t="s">
        <v>10241</v>
      </c>
      <c r="M323" s="790" t="str">
        <f t="shared" si="31"/>
        <v>414</v>
      </c>
      <c r="N323" s="790" t="str">
        <f t="shared" si="32"/>
        <v>007</v>
      </c>
      <c r="O323" s="799" t="s">
        <v>10255</v>
      </c>
      <c r="P323" s="799" t="s">
        <v>10244</v>
      </c>
      <c r="R323" s="30"/>
    </row>
    <row r="324" spans="2:18">
      <c r="B324" s="5" t="str">
        <f>Page5_CAD_VE!C19</f>
        <v>NE PAS UTILISER</v>
      </c>
      <c r="C324" s="1045" t="str">
        <f>OR_VEH!D318</f>
        <v>415-007</v>
      </c>
      <c r="D324" s="7">
        <f>Page5_CAD_VE!F19</f>
        <v>0</v>
      </c>
      <c r="E324" s="7">
        <f>Page5_CAD_VE!K19</f>
        <v>0</v>
      </c>
      <c r="F324" t="str">
        <f t="shared" si="28"/>
        <v>01-00-415-007-UNIT-CURR</v>
      </c>
      <c r="G324" t="s">
        <v>127</v>
      </c>
      <c r="H324" t="s">
        <v>10287</v>
      </c>
      <c r="I324" t="s">
        <v>10253</v>
      </c>
      <c r="K324" s="1073" t="s">
        <v>10288</v>
      </c>
      <c r="L324" s="789" t="s">
        <v>10241</v>
      </c>
      <c r="M324" s="790" t="str">
        <f t="shared" si="31"/>
        <v>415</v>
      </c>
      <c r="N324" s="790" t="str">
        <f t="shared" si="32"/>
        <v>007</v>
      </c>
      <c r="O324" s="799" t="s">
        <v>10255</v>
      </c>
      <c r="P324" s="799" t="s">
        <v>10244</v>
      </c>
      <c r="R324" s="30"/>
    </row>
    <row r="325" spans="2:18">
      <c r="B325" s="5" t="str">
        <f>Page5_CAD_VE!C20</f>
        <v>NE PAS UTILISER</v>
      </c>
      <c r="C325" s="1045" t="str">
        <f>OR_VEH!D319</f>
        <v>416-007</v>
      </c>
      <c r="D325" s="7">
        <f>Page5_CAD_VE!F20</f>
        <v>0</v>
      </c>
      <c r="E325" s="7">
        <f>Page5_CAD_VE!K20</f>
        <v>0</v>
      </c>
      <c r="F325" t="str">
        <f t="shared" si="28"/>
        <v>01-00-416-007-UNIT-CURR</v>
      </c>
      <c r="G325" t="s">
        <v>127</v>
      </c>
      <c r="H325" t="s">
        <v>10287</v>
      </c>
      <c r="I325" t="s">
        <v>10253</v>
      </c>
      <c r="K325" s="1073" t="s">
        <v>10288</v>
      </c>
      <c r="L325" s="789" t="s">
        <v>10241</v>
      </c>
      <c r="M325" s="790" t="str">
        <f t="shared" si="31"/>
        <v>416</v>
      </c>
      <c r="N325" s="790" t="str">
        <f t="shared" si="32"/>
        <v>007</v>
      </c>
      <c r="O325" s="799" t="s">
        <v>10255</v>
      </c>
      <c r="P325" s="799" t="s">
        <v>10244</v>
      </c>
      <c r="R325" s="30"/>
    </row>
    <row r="326" spans="2:18">
      <c r="B326" s="5" t="str">
        <f>Page5_CAD_VE!C21</f>
        <v>NE PAS UTILISER</v>
      </c>
      <c r="C326" s="1045" t="str">
        <f>OR_VEH!D320</f>
        <v>417-007</v>
      </c>
      <c r="D326" s="7">
        <f>Page5_CAD_VE!F21</f>
        <v>0</v>
      </c>
      <c r="E326" s="7">
        <f>Page5_CAD_VE!K21</f>
        <v>0</v>
      </c>
      <c r="F326" t="str">
        <f t="shared" si="28"/>
        <v>01-00-417-007-UNIT-CURR</v>
      </c>
      <c r="G326" t="s">
        <v>127</v>
      </c>
      <c r="H326" t="s">
        <v>10287</v>
      </c>
      <c r="I326" t="s">
        <v>10253</v>
      </c>
      <c r="K326" s="1073" t="s">
        <v>10288</v>
      </c>
      <c r="L326" s="789" t="s">
        <v>10241</v>
      </c>
      <c r="M326" s="790" t="str">
        <f t="shared" si="31"/>
        <v>417</v>
      </c>
      <c r="N326" s="790" t="str">
        <f t="shared" si="32"/>
        <v>007</v>
      </c>
      <c r="O326" s="799" t="s">
        <v>10255</v>
      </c>
      <c r="P326" s="799" t="s">
        <v>10244</v>
      </c>
      <c r="R326" s="30"/>
    </row>
    <row r="327" spans="2:18">
      <c r="B327" s="5" t="str">
        <f>Page5_CAD_VE!C22</f>
        <v>NE PAS UTILISER</v>
      </c>
      <c r="C327" s="1045" t="str">
        <f>OR_VEH!D321</f>
        <v>418-007</v>
      </c>
      <c r="D327" s="7">
        <f>Page5_CAD_VE!F22</f>
        <v>0</v>
      </c>
      <c r="E327" s="7">
        <f>Page5_CAD_VE!K22</f>
        <v>0</v>
      </c>
      <c r="F327" t="str">
        <f t="shared" si="28"/>
        <v>01-00-418-007-UNIT-CURR</v>
      </c>
      <c r="G327" t="s">
        <v>127</v>
      </c>
      <c r="H327" t="s">
        <v>10287</v>
      </c>
      <c r="I327" t="s">
        <v>10253</v>
      </c>
      <c r="K327" s="1073" t="s">
        <v>10288</v>
      </c>
      <c r="L327" s="789" t="s">
        <v>10241</v>
      </c>
      <c r="M327" s="790" t="str">
        <f t="shared" si="31"/>
        <v>418</v>
      </c>
      <c r="N327" s="790" t="str">
        <f t="shared" si="32"/>
        <v>007</v>
      </c>
      <c r="O327" s="799" t="s">
        <v>10255</v>
      </c>
      <c r="P327" s="799" t="s">
        <v>10244</v>
      </c>
      <c r="R327" s="30"/>
    </row>
    <row r="328" spans="2:18">
      <c r="B328" s="27" t="s">
        <v>10355</v>
      </c>
      <c r="C328" s="1042"/>
      <c r="D328" s="7">
        <f>Page5_CAD_VE!F23</f>
        <v>0</v>
      </c>
      <c r="E328" s="7">
        <f>Page5_CAD_VE!K23</f>
        <v>0</v>
      </c>
      <c r="F328" t="str">
        <f t="shared" si="28"/>
        <v>01-00-RTLCAR5G-UNIT-CURR</v>
      </c>
      <c r="G328" t="s">
        <v>127</v>
      </c>
      <c r="H328" t="s">
        <v>10287</v>
      </c>
      <c r="I328" t="s">
        <v>10253</v>
      </c>
      <c r="J328" t="s">
        <v>10268</v>
      </c>
      <c r="K328" s="1073" t="s">
        <v>10288</v>
      </c>
      <c r="L328" s="789" t="s">
        <v>10241</v>
      </c>
      <c r="M328" s="790" t="s">
        <v>10356</v>
      </c>
      <c r="O328" s="790" t="s">
        <v>10255</v>
      </c>
      <c r="P328" s="790" t="s">
        <v>10244</v>
      </c>
      <c r="Q328" s="791" t="s">
        <v>773</v>
      </c>
    </row>
    <row r="329" spans="2:18">
      <c r="B329" s="5" t="str">
        <f>Page5_CAD_VE!C24</f>
        <v>MÉMO* VENTES INTERNET VOITURES</v>
      </c>
      <c r="C329" s="1045" t="str">
        <f>OR_VEH!D323</f>
        <v>419P5G</v>
      </c>
      <c r="D329" s="7">
        <f>Page5_CAD_VE!F24</f>
        <v>0</v>
      </c>
      <c r="E329" s="7">
        <f>Page5_CAD_VE!K24</f>
        <v>0</v>
      </c>
      <c r="F329" t="str">
        <f t="shared" si="28"/>
        <v>01-00-419P5G-UNIT-CURR</v>
      </c>
      <c r="G329" t="s">
        <v>127</v>
      </c>
      <c r="H329" t="s">
        <v>10287</v>
      </c>
      <c r="I329" t="s">
        <v>10253</v>
      </c>
      <c r="K329" s="1073" t="s">
        <v>10288</v>
      </c>
      <c r="L329" s="789" t="s">
        <v>10241</v>
      </c>
      <c r="M329" s="855" t="str">
        <f>C329</f>
        <v>419P5G</v>
      </c>
      <c r="N329" s="855"/>
      <c r="O329" s="790" t="s">
        <v>10255</v>
      </c>
      <c r="P329" s="790" t="s">
        <v>10244</v>
      </c>
      <c r="R329" s="30"/>
    </row>
    <row r="330" spans="2:18">
      <c r="B330" s="5" t="str">
        <f>Page5_CAD_VE!C25</f>
        <v>TOTAL PARCS - VOITURES</v>
      </c>
      <c r="C330" s="1045" t="str">
        <f>OR_VEH!D324</f>
        <v>420P5G</v>
      </c>
      <c r="D330" s="7">
        <f>Page5_CAD_VE!F25</f>
        <v>0</v>
      </c>
      <c r="E330" s="7">
        <f>Page5_CAD_VE!K25</f>
        <v>0</v>
      </c>
      <c r="F330" t="str">
        <f t="shared" si="28"/>
        <v>01-00-420P5G-UNIT-CURR</v>
      </c>
      <c r="G330" t="s">
        <v>127</v>
      </c>
      <c r="H330" t="s">
        <v>10287</v>
      </c>
      <c r="I330" t="s">
        <v>10253</v>
      </c>
      <c r="K330" s="1073" t="s">
        <v>10288</v>
      </c>
      <c r="L330" s="789" t="s">
        <v>10241</v>
      </c>
      <c r="M330" s="855" t="str">
        <f>C330</f>
        <v>420P5G</v>
      </c>
      <c r="N330" s="855"/>
      <c r="O330" s="799" t="s">
        <v>10255</v>
      </c>
      <c r="P330" s="799" t="s">
        <v>10244</v>
      </c>
      <c r="R330" s="30"/>
    </row>
    <row r="331" spans="2:18">
      <c r="B331" s="5" t="str">
        <f>Page5_CAD_VE!C26</f>
        <v>TOTAL INTERNE - VOITURES</v>
      </c>
      <c r="C331" s="1045" t="str">
        <f>OR_VEH!D325</f>
        <v>421P5G</v>
      </c>
      <c r="D331" s="7">
        <f>Page5_CAD_VE!F26</f>
        <v>0</v>
      </c>
      <c r="E331" s="7">
        <f>Page5_CAD_VE!K26</f>
        <v>0</v>
      </c>
      <c r="F331" t="str">
        <f t="shared" si="28"/>
        <v>01-00-421P5G-UNIT-CURR</v>
      </c>
      <c r="G331" t="s">
        <v>127</v>
      </c>
      <c r="H331" t="s">
        <v>10287</v>
      </c>
      <c r="I331" t="s">
        <v>10253</v>
      </c>
      <c r="K331" s="1073" t="s">
        <v>10288</v>
      </c>
      <c r="L331" s="789" t="s">
        <v>10241</v>
      </c>
      <c r="M331" s="855" t="str">
        <f>C331</f>
        <v>421P5G</v>
      </c>
      <c r="N331" s="855"/>
      <c r="O331" s="799" t="s">
        <v>10255</v>
      </c>
      <c r="P331" s="799" t="s">
        <v>10244</v>
      </c>
      <c r="R331" s="30"/>
    </row>
    <row r="332" spans="2:18">
      <c r="B332" s="27" t="s">
        <v>10357</v>
      </c>
      <c r="C332" s="1042"/>
      <c r="D332" s="7">
        <f>Page5_CAD_VE!F27</f>
        <v>0</v>
      </c>
      <c r="E332" s="7">
        <f>Page5_CAD_VE!K27</f>
        <v>0</v>
      </c>
      <c r="F332" t="str">
        <f t="shared" si="28"/>
        <v>01-00-TOTCAR5G-UNIT-CURR</v>
      </c>
      <c r="G332" t="s">
        <v>127</v>
      </c>
      <c r="H332" t="s">
        <v>10287</v>
      </c>
      <c r="I332" t="s">
        <v>10253</v>
      </c>
      <c r="J332" t="s">
        <v>10268</v>
      </c>
      <c r="K332" s="1073" t="s">
        <v>10288</v>
      </c>
      <c r="L332" s="789" t="s">
        <v>10241</v>
      </c>
      <c r="M332" s="790" t="s">
        <v>10358</v>
      </c>
      <c r="O332" s="790" t="s">
        <v>10255</v>
      </c>
      <c r="P332" s="790" t="s">
        <v>10244</v>
      </c>
      <c r="Q332" s="791" t="s">
        <v>773</v>
      </c>
    </row>
    <row r="333" spans="2:18">
      <c r="B333" s="5" t="str">
        <f>Page5_CAD_VE!C28</f>
        <v>LYRIQ</v>
      </c>
      <c r="C333" s="1045" t="str">
        <f>OR_VEH!D327</f>
        <v>423-007</v>
      </c>
      <c r="D333" s="7">
        <f>Page5_CAD_VE!F28</f>
        <v>3</v>
      </c>
      <c r="E333" s="7">
        <f>Page5_CAD_VE!K28</f>
        <v>5</v>
      </c>
      <c r="F333" t="str">
        <f t="shared" si="28"/>
        <v>01-00-423-007-UNIT-CURR</v>
      </c>
      <c r="G333" t="s">
        <v>127</v>
      </c>
      <c r="H333" t="s">
        <v>10287</v>
      </c>
      <c r="I333" t="s">
        <v>10253</v>
      </c>
      <c r="K333" s="1073" t="s">
        <v>10288</v>
      </c>
      <c r="L333" s="789" t="s">
        <v>10241</v>
      </c>
      <c r="M333" s="790" t="str">
        <f t="shared" ref="M333:M348" si="33">LEFT(C333,3)</f>
        <v>423</v>
      </c>
      <c r="N333" s="790" t="str">
        <f t="shared" ref="N333:N348" si="34">RIGHT(C333,3)</f>
        <v>007</v>
      </c>
      <c r="O333" s="799" t="s">
        <v>10255</v>
      </c>
      <c r="P333" s="799" t="s">
        <v>10244</v>
      </c>
      <c r="R333" s="30"/>
    </row>
    <row r="334" spans="2:18">
      <c r="B334" s="5" t="str">
        <f>Page5_CAD_VE!C29</f>
        <v>OPTIQ</v>
      </c>
      <c r="C334" s="1045" t="str">
        <f>OR_VEH!D328</f>
        <v>424-007</v>
      </c>
      <c r="D334" s="7">
        <f>Page5_CAD_VE!F29</f>
        <v>1</v>
      </c>
      <c r="E334" s="7">
        <f>Page5_CAD_VE!K29</f>
        <v>3</v>
      </c>
      <c r="F334" t="str">
        <f t="shared" si="28"/>
        <v>01-00-424-007-UNIT-CURR</v>
      </c>
      <c r="G334" t="s">
        <v>127</v>
      </c>
      <c r="H334" t="s">
        <v>10287</v>
      </c>
      <c r="I334" t="s">
        <v>10253</v>
      </c>
      <c r="K334" s="1073" t="s">
        <v>10288</v>
      </c>
      <c r="L334" s="789" t="s">
        <v>10241</v>
      </c>
      <c r="M334" s="790" t="str">
        <f t="shared" si="33"/>
        <v>424</v>
      </c>
      <c r="N334" s="790" t="str">
        <f t="shared" si="34"/>
        <v>007</v>
      </c>
      <c r="O334" s="799" t="s">
        <v>10255</v>
      </c>
      <c r="P334" s="799" t="s">
        <v>10244</v>
      </c>
      <c r="R334" s="30"/>
    </row>
    <row r="335" spans="2:18">
      <c r="B335" s="5" t="str">
        <f>Page5_CAD_VE!C30</f>
        <v>ESCALADE IQ</v>
      </c>
      <c r="C335" s="1045" t="str">
        <f>OR_VEH!D329</f>
        <v>425-007</v>
      </c>
      <c r="D335" s="7">
        <f>Page5_CAD_VE!F30</f>
        <v>1</v>
      </c>
      <c r="E335" s="7">
        <f>Page5_CAD_VE!K30</f>
        <v>2</v>
      </c>
      <c r="F335" t="str">
        <f t="shared" si="28"/>
        <v>01-00-425-007-UNIT-CURR</v>
      </c>
      <c r="G335" t="s">
        <v>127</v>
      </c>
      <c r="H335" t="s">
        <v>10287</v>
      </c>
      <c r="I335" t="s">
        <v>10253</v>
      </c>
      <c r="K335" s="1073" t="s">
        <v>10288</v>
      </c>
      <c r="L335" s="789" t="s">
        <v>10241</v>
      </c>
      <c r="M335" s="790" t="str">
        <f t="shared" si="33"/>
        <v>425</v>
      </c>
      <c r="N335" s="790" t="str">
        <f t="shared" si="34"/>
        <v>007</v>
      </c>
      <c r="O335" s="790" t="s">
        <v>10255</v>
      </c>
      <c r="P335" s="790" t="s">
        <v>10244</v>
      </c>
      <c r="R335" s="30"/>
    </row>
    <row r="336" spans="2:18">
      <c r="B336" s="5" t="str">
        <f>Page5_CAD_VE!C31</f>
        <v>VISTIQ</v>
      </c>
      <c r="C336" s="1045" t="str">
        <f>OR_VEH!D330</f>
        <v>426-007</v>
      </c>
      <c r="D336" s="7">
        <f>Page5_CAD_VE!F31</f>
        <v>0</v>
      </c>
      <c r="E336" s="7">
        <f>Page5_CAD_VE!K31</f>
        <v>0</v>
      </c>
      <c r="F336" t="str">
        <f t="shared" si="28"/>
        <v>01-00-426-007-UNIT-CURR</v>
      </c>
      <c r="G336" t="s">
        <v>127</v>
      </c>
      <c r="H336" t="s">
        <v>10287</v>
      </c>
      <c r="I336" t="s">
        <v>10253</v>
      </c>
      <c r="K336" s="1073" t="s">
        <v>10288</v>
      </c>
      <c r="L336" s="789" t="s">
        <v>10241</v>
      </c>
      <c r="M336" s="790" t="str">
        <f t="shared" si="33"/>
        <v>426</v>
      </c>
      <c r="N336" s="790" t="str">
        <f t="shared" si="34"/>
        <v>007</v>
      </c>
      <c r="O336" s="790" t="s">
        <v>10255</v>
      </c>
      <c r="P336" s="790" t="s">
        <v>10244</v>
      </c>
      <c r="R336" s="30"/>
    </row>
    <row r="337" spans="2:18">
      <c r="B337" s="5" t="str">
        <f>Page5_CAD_VE!C32</f>
        <v>ESCALADE IQL</v>
      </c>
      <c r="C337" s="1045" t="str">
        <f>OR_VEH!D331</f>
        <v>427-007</v>
      </c>
      <c r="D337" s="7">
        <f>Page5_CAD_VE!F32</f>
        <v>0</v>
      </c>
      <c r="E337" s="7">
        <f>Page5_CAD_VE!K32</f>
        <v>0</v>
      </c>
      <c r="F337" t="str">
        <f t="shared" si="28"/>
        <v>01-00-427-007-UNIT-CURR</v>
      </c>
      <c r="G337" t="s">
        <v>127</v>
      </c>
      <c r="H337" t="s">
        <v>10287</v>
      </c>
      <c r="I337" t="s">
        <v>10253</v>
      </c>
      <c r="K337" s="1073" t="s">
        <v>10288</v>
      </c>
      <c r="L337" s="789" t="s">
        <v>10241</v>
      </c>
      <c r="M337" s="790" t="str">
        <f t="shared" si="33"/>
        <v>427</v>
      </c>
      <c r="N337" s="790" t="str">
        <f t="shared" si="34"/>
        <v>007</v>
      </c>
      <c r="O337" s="790" t="s">
        <v>10255</v>
      </c>
      <c r="P337" s="790" t="s">
        <v>10244</v>
      </c>
      <c r="R337" s="30"/>
    </row>
    <row r="338" spans="2:18">
      <c r="B338" s="5" t="str">
        <f>Page5_CAD_VE!C33</f>
        <v>NE PAS UTILISER</v>
      </c>
      <c r="C338" s="1045" t="str">
        <f>OR_VEH!D332</f>
        <v>428-007</v>
      </c>
      <c r="D338" s="7">
        <f>Page5_CAD_VE!F33</f>
        <v>0</v>
      </c>
      <c r="E338" s="7">
        <f>Page5_CAD_VE!K33</f>
        <v>0</v>
      </c>
      <c r="F338" t="str">
        <f t="shared" si="28"/>
        <v>01-00-428-007-UNIT-CURR</v>
      </c>
      <c r="G338" t="s">
        <v>127</v>
      </c>
      <c r="H338" t="s">
        <v>10287</v>
      </c>
      <c r="I338" t="s">
        <v>10253</v>
      </c>
      <c r="K338" s="1073" t="s">
        <v>10288</v>
      </c>
      <c r="L338" s="789" t="s">
        <v>10241</v>
      </c>
      <c r="M338" s="790" t="str">
        <f t="shared" si="33"/>
        <v>428</v>
      </c>
      <c r="N338" s="790" t="str">
        <f t="shared" si="34"/>
        <v>007</v>
      </c>
      <c r="O338" s="790" t="s">
        <v>10255</v>
      </c>
      <c r="P338" s="790" t="s">
        <v>10244</v>
      </c>
      <c r="R338" s="30"/>
    </row>
    <row r="339" spans="2:18">
      <c r="B339" s="5" t="str">
        <f>Page5_CAD_VE!C34</f>
        <v>NE PAS UTILISER</v>
      </c>
      <c r="C339" s="1045" t="str">
        <f>OR_VEH!D333</f>
        <v>429-007</v>
      </c>
      <c r="D339" s="7">
        <f>Page5_CAD_VE!F34</f>
        <v>0</v>
      </c>
      <c r="E339" s="7">
        <f>Page5_CAD_VE!K34</f>
        <v>0</v>
      </c>
      <c r="F339" t="str">
        <f t="shared" si="28"/>
        <v>01-00-429-007-UNIT-CURR</v>
      </c>
      <c r="G339" t="s">
        <v>127</v>
      </c>
      <c r="H339" t="s">
        <v>10287</v>
      </c>
      <c r="I339" t="s">
        <v>10253</v>
      </c>
      <c r="K339" s="1073" t="s">
        <v>10288</v>
      </c>
      <c r="L339" s="789" t="s">
        <v>10241</v>
      </c>
      <c r="M339" s="790" t="str">
        <f t="shared" si="33"/>
        <v>429</v>
      </c>
      <c r="N339" s="790" t="str">
        <f t="shared" si="34"/>
        <v>007</v>
      </c>
      <c r="O339" s="790" t="s">
        <v>10255</v>
      </c>
      <c r="P339" s="790" t="s">
        <v>10244</v>
      </c>
      <c r="R339" s="30"/>
    </row>
    <row r="340" spans="2:18">
      <c r="B340" s="5" t="str">
        <f>Page5_CAD_VE!C35</f>
        <v>NE PAS UTILISER</v>
      </c>
      <c r="C340" s="1045" t="str">
        <f>OR_VEH!D334</f>
        <v>430-007</v>
      </c>
      <c r="D340" s="7">
        <f>Page5_CAD_VE!F35</f>
        <v>0</v>
      </c>
      <c r="E340" s="7">
        <f>Page5_CAD_VE!K35</f>
        <v>0</v>
      </c>
      <c r="F340" t="str">
        <f t="shared" si="28"/>
        <v>01-00-430-007-UNIT-CURR</v>
      </c>
      <c r="G340" t="s">
        <v>127</v>
      </c>
      <c r="H340" t="s">
        <v>10287</v>
      </c>
      <c r="I340" t="s">
        <v>10253</v>
      </c>
      <c r="K340" s="1073" t="s">
        <v>10288</v>
      </c>
      <c r="L340" s="789" t="s">
        <v>10241</v>
      </c>
      <c r="M340" s="790" t="str">
        <f t="shared" si="33"/>
        <v>430</v>
      </c>
      <c r="N340" s="790" t="str">
        <f t="shared" si="34"/>
        <v>007</v>
      </c>
      <c r="O340" s="790" t="s">
        <v>10255</v>
      </c>
      <c r="P340" s="790" t="s">
        <v>10244</v>
      </c>
      <c r="R340" s="30"/>
    </row>
    <row r="341" spans="2:18">
      <c r="B341" s="5" t="str">
        <f>Page5_CAD_VE!C36</f>
        <v>NE PAS UTILISER</v>
      </c>
      <c r="C341" s="1045" t="str">
        <f>OR_VEH!D335</f>
        <v>431-007</v>
      </c>
      <c r="D341" s="7">
        <f>Page5_CAD_VE!F36</f>
        <v>0</v>
      </c>
      <c r="E341" s="7">
        <f>Page5_CAD_VE!K36</f>
        <v>0</v>
      </c>
      <c r="F341" t="str">
        <f t="shared" si="28"/>
        <v>01-00-431-007-UNIT-CURR</v>
      </c>
      <c r="G341" t="s">
        <v>127</v>
      </c>
      <c r="H341" t="s">
        <v>10287</v>
      </c>
      <c r="I341" t="s">
        <v>10253</v>
      </c>
      <c r="K341" s="1073" t="s">
        <v>10288</v>
      </c>
      <c r="L341" s="789" t="s">
        <v>10241</v>
      </c>
      <c r="M341" s="790" t="str">
        <f t="shared" si="33"/>
        <v>431</v>
      </c>
      <c r="N341" s="790" t="str">
        <f t="shared" si="34"/>
        <v>007</v>
      </c>
      <c r="O341" s="790" t="s">
        <v>10255</v>
      </c>
      <c r="P341" s="790" t="s">
        <v>10244</v>
      </c>
      <c r="R341" s="30"/>
    </row>
    <row r="342" spans="2:18">
      <c r="B342" s="5" t="str">
        <f>Page5_CAD_VE!C37</f>
        <v>NE PAS UTILISER</v>
      </c>
      <c r="C342" s="1045" t="str">
        <f>OR_VEH!D336</f>
        <v>432-007</v>
      </c>
      <c r="D342" s="7">
        <f>Page5_CAD_VE!F37</f>
        <v>0</v>
      </c>
      <c r="E342" s="7">
        <f>Page5_CAD_VE!K37</f>
        <v>0</v>
      </c>
      <c r="F342" t="str">
        <f t="shared" si="28"/>
        <v>01-00-432-007-UNIT-CURR</v>
      </c>
      <c r="G342" t="s">
        <v>127</v>
      </c>
      <c r="H342" t="s">
        <v>10287</v>
      </c>
      <c r="I342" t="s">
        <v>10253</v>
      </c>
      <c r="K342" s="1073" t="s">
        <v>10288</v>
      </c>
      <c r="L342" s="789" t="s">
        <v>10241</v>
      </c>
      <c r="M342" s="790" t="str">
        <f t="shared" si="33"/>
        <v>432</v>
      </c>
      <c r="N342" s="790" t="str">
        <f t="shared" si="34"/>
        <v>007</v>
      </c>
      <c r="O342" s="790" t="s">
        <v>10255</v>
      </c>
      <c r="P342" s="790" t="s">
        <v>10244</v>
      </c>
      <c r="R342" s="30"/>
    </row>
    <row r="343" spans="2:18">
      <c r="B343" s="5" t="str">
        <f>Page5_CAD_VE!C38</f>
        <v>NE PAS UTILISER</v>
      </c>
      <c r="C343" s="1045" t="str">
        <f>OR_VEH!D337</f>
        <v>433-007</v>
      </c>
      <c r="D343" s="7">
        <f>Page5_CAD_VE!F38</f>
        <v>0</v>
      </c>
      <c r="E343" s="7">
        <f>Page5_CAD_VE!K38</f>
        <v>0</v>
      </c>
      <c r="F343" t="str">
        <f t="shared" si="28"/>
        <v>01-00-433-007-UNIT-CURR</v>
      </c>
      <c r="G343" t="s">
        <v>127</v>
      </c>
      <c r="H343" t="s">
        <v>10287</v>
      </c>
      <c r="I343" t="s">
        <v>10253</v>
      </c>
      <c r="K343" s="1073" t="s">
        <v>10288</v>
      </c>
      <c r="L343" s="789" t="s">
        <v>10241</v>
      </c>
      <c r="M343" s="790" t="str">
        <f t="shared" si="33"/>
        <v>433</v>
      </c>
      <c r="N343" s="790" t="str">
        <f t="shared" si="34"/>
        <v>007</v>
      </c>
      <c r="O343" s="790" t="s">
        <v>10255</v>
      </c>
      <c r="P343" s="790" t="s">
        <v>10244</v>
      </c>
      <c r="R343" s="30"/>
    </row>
    <row r="344" spans="2:18">
      <c r="B344" s="5" t="str">
        <f>Page5_CAD_VE!C39</f>
        <v>NE PAS UTILISER</v>
      </c>
      <c r="C344" s="1045" t="str">
        <f>OR_VEH!D338</f>
        <v>434-007</v>
      </c>
      <c r="D344" s="7">
        <f>Page5_CAD_VE!F39</f>
        <v>0</v>
      </c>
      <c r="E344" s="7">
        <f>Page5_CAD_VE!K39</f>
        <v>0</v>
      </c>
      <c r="F344" t="str">
        <f t="shared" si="28"/>
        <v>01-00-434-007-UNIT-CURR</v>
      </c>
      <c r="G344" t="s">
        <v>127</v>
      </c>
      <c r="H344" t="s">
        <v>10287</v>
      </c>
      <c r="I344" t="s">
        <v>10253</v>
      </c>
      <c r="K344" s="1073" t="s">
        <v>10288</v>
      </c>
      <c r="L344" s="789" t="s">
        <v>10241</v>
      </c>
      <c r="M344" s="790" t="str">
        <f t="shared" si="33"/>
        <v>434</v>
      </c>
      <c r="N344" s="790" t="str">
        <f t="shared" si="34"/>
        <v>007</v>
      </c>
      <c r="O344" s="790" t="s">
        <v>10255</v>
      </c>
      <c r="P344" s="790" t="s">
        <v>10244</v>
      </c>
      <c r="R344" s="30"/>
    </row>
    <row r="345" spans="2:18">
      <c r="B345" s="5" t="str">
        <f>Page5_CAD_VE!C40</f>
        <v>NE PAS UTILISER</v>
      </c>
      <c r="C345" s="1045" t="str">
        <f>OR_VEH!D339</f>
        <v>435-007</v>
      </c>
      <c r="D345" s="7">
        <f>Page5_CAD_VE!F40</f>
        <v>0</v>
      </c>
      <c r="E345" s="7">
        <f>Page5_CAD_VE!K40</f>
        <v>0</v>
      </c>
      <c r="F345" t="str">
        <f t="shared" si="28"/>
        <v>01-00-435-007-UNIT-CURR</v>
      </c>
      <c r="G345" t="s">
        <v>127</v>
      </c>
      <c r="H345" t="s">
        <v>10287</v>
      </c>
      <c r="I345" t="s">
        <v>10253</v>
      </c>
      <c r="K345" s="1073" t="s">
        <v>10288</v>
      </c>
      <c r="L345" s="789" t="s">
        <v>10241</v>
      </c>
      <c r="M345" s="790" t="str">
        <f t="shared" si="33"/>
        <v>435</v>
      </c>
      <c r="N345" s="790" t="str">
        <f t="shared" si="34"/>
        <v>007</v>
      </c>
      <c r="O345" s="790" t="s">
        <v>10255</v>
      </c>
      <c r="P345" s="790" t="s">
        <v>10244</v>
      </c>
      <c r="R345" s="30"/>
    </row>
    <row r="346" spans="2:18">
      <c r="B346" s="5" t="str">
        <f>Page5_CAD_VE!C41</f>
        <v>NE PAS UTILISER</v>
      </c>
      <c r="C346" s="1045" t="str">
        <f>OR_VEH!D340</f>
        <v>436-007</v>
      </c>
      <c r="D346" s="7">
        <f>Page5_CAD_VE!F41</f>
        <v>0</v>
      </c>
      <c r="E346" s="7">
        <f>Page5_CAD_VE!K41</f>
        <v>0</v>
      </c>
      <c r="F346" t="str">
        <f t="shared" si="28"/>
        <v>01-00-436-007-UNIT-CURR</v>
      </c>
      <c r="G346" t="s">
        <v>127</v>
      </c>
      <c r="H346" t="s">
        <v>10287</v>
      </c>
      <c r="I346" t="s">
        <v>10253</v>
      </c>
      <c r="K346" s="1073" t="s">
        <v>10288</v>
      </c>
      <c r="L346" s="789" t="s">
        <v>10241</v>
      </c>
      <c r="M346" s="790" t="str">
        <f t="shared" si="33"/>
        <v>436</v>
      </c>
      <c r="N346" s="790" t="str">
        <f t="shared" si="34"/>
        <v>007</v>
      </c>
      <c r="O346" s="790" t="s">
        <v>10255</v>
      </c>
      <c r="P346" s="790" t="s">
        <v>10244</v>
      </c>
      <c r="R346" s="30"/>
    </row>
    <row r="347" spans="2:18">
      <c r="B347" s="5" t="str">
        <f>Page5_CAD_VE!C42</f>
        <v>NE PAS UTILISER</v>
      </c>
      <c r="C347" s="1045" t="str">
        <f>OR_VEH!D341</f>
        <v>437-007</v>
      </c>
      <c r="D347" s="7">
        <f>Page5_CAD_VE!F42</f>
        <v>0</v>
      </c>
      <c r="E347" s="7">
        <f>Page5_CAD_VE!K42</f>
        <v>0</v>
      </c>
      <c r="F347" t="str">
        <f t="shared" si="28"/>
        <v>01-00-437-007-UNIT-CURR</v>
      </c>
      <c r="G347" t="s">
        <v>127</v>
      </c>
      <c r="H347" t="s">
        <v>10287</v>
      </c>
      <c r="I347" t="s">
        <v>10253</v>
      </c>
      <c r="K347" s="1073" t="s">
        <v>10288</v>
      </c>
      <c r="L347" s="789" t="s">
        <v>10241</v>
      </c>
      <c r="M347" s="790" t="str">
        <f t="shared" si="33"/>
        <v>437</v>
      </c>
      <c r="N347" s="790" t="str">
        <f t="shared" si="34"/>
        <v>007</v>
      </c>
      <c r="O347" s="790" t="s">
        <v>10255</v>
      </c>
      <c r="P347" s="790" t="s">
        <v>10244</v>
      </c>
      <c r="R347" s="30"/>
    </row>
    <row r="348" spans="2:18">
      <c r="B348" s="5" t="str">
        <f>Page5_CAD_VE!C43</f>
        <v>NE PAS UTILISER</v>
      </c>
      <c r="C348" s="1045" t="str">
        <f>OR_VEH!D342</f>
        <v>438-007</v>
      </c>
      <c r="D348" s="7">
        <f>Page5_CAD_VE!F43</f>
        <v>0</v>
      </c>
      <c r="E348" s="7">
        <f>Page5_CAD_VE!K43</f>
        <v>0</v>
      </c>
      <c r="F348" t="str">
        <f t="shared" ref="F348:F402" si="35">TEXT(K348,"00")&amp;"-"&amp;L348&amp;IF(M348="","","-"&amp;M348)&amp;IF(N348="","","-"&amp;N348)&amp;IF(OR(O348="",O348=0),"","-"&amp;O348)&amp;IF(P348="","","-"&amp;P348)</f>
        <v>01-00-438-007-UNIT-CURR</v>
      </c>
      <c r="G348" t="s">
        <v>127</v>
      </c>
      <c r="H348" t="s">
        <v>10287</v>
      </c>
      <c r="I348" t="s">
        <v>10253</v>
      </c>
      <c r="K348" s="1073" t="s">
        <v>10288</v>
      </c>
      <c r="L348" s="789" t="s">
        <v>10241</v>
      </c>
      <c r="M348" s="790" t="str">
        <f t="shared" si="33"/>
        <v>438</v>
      </c>
      <c r="N348" s="790" t="str">
        <f t="shared" si="34"/>
        <v>007</v>
      </c>
      <c r="O348" s="790" t="s">
        <v>10255</v>
      </c>
      <c r="P348" s="790" t="s">
        <v>10244</v>
      </c>
      <c r="R348" s="30"/>
    </row>
    <row r="349" spans="2:18">
      <c r="B349" s="51" t="s">
        <v>10359</v>
      </c>
      <c r="C349" s="1042"/>
      <c r="D349" s="7">
        <f>Page5_CAD_VE!F44</f>
        <v>5</v>
      </c>
      <c r="E349" s="7">
        <f>Page5_CAD_VE!K44</f>
        <v>10</v>
      </c>
      <c r="F349" t="str">
        <f t="shared" si="35"/>
        <v>01-00-RTLTRK5G-UNIT-CURR</v>
      </c>
      <c r="G349" t="s">
        <v>127</v>
      </c>
      <c r="H349" t="s">
        <v>10287</v>
      </c>
      <c r="I349" t="s">
        <v>10253</v>
      </c>
      <c r="J349" t="s">
        <v>10268</v>
      </c>
      <c r="K349" s="1073" t="s">
        <v>10288</v>
      </c>
      <c r="L349" s="789" t="s">
        <v>10241</v>
      </c>
      <c r="M349" s="790" t="s">
        <v>10360</v>
      </c>
      <c r="O349" s="790" t="s">
        <v>10255</v>
      </c>
      <c r="P349" s="790" t="s">
        <v>10244</v>
      </c>
      <c r="Q349" s="791" t="s">
        <v>773</v>
      </c>
    </row>
    <row r="350" spans="2:18">
      <c r="B350" s="5" t="str">
        <f>Page5_CAD_VE!C45</f>
        <v>MÉMO* VENTES INTERNET CAMIONS</v>
      </c>
      <c r="C350" s="1045" t="str">
        <f>OR_VEH!D344</f>
        <v>439P5G</v>
      </c>
      <c r="D350" s="7">
        <f>Page5_CAD_VE!F45</f>
        <v>0</v>
      </c>
      <c r="E350" s="7">
        <f>Page5_CAD_VE!K45</f>
        <v>0</v>
      </c>
      <c r="F350" t="str">
        <f t="shared" si="35"/>
        <v>01-00-439P5G-UNIT-CURR</v>
      </c>
      <c r="G350" t="s">
        <v>127</v>
      </c>
      <c r="H350" t="s">
        <v>10287</v>
      </c>
      <c r="I350" t="s">
        <v>10253</v>
      </c>
      <c r="K350" s="1073" t="s">
        <v>10288</v>
      </c>
      <c r="L350" s="789" t="s">
        <v>10241</v>
      </c>
      <c r="M350" s="855" t="str">
        <f>C350</f>
        <v>439P5G</v>
      </c>
      <c r="N350" s="855"/>
      <c r="O350" s="790" t="s">
        <v>10255</v>
      </c>
      <c r="P350" s="790" t="s">
        <v>10244</v>
      </c>
      <c r="R350" s="30"/>
    </row>
    <row r="351" spans="2:18">
      <c r="B351" s="5" t="str">
        <f>Page5_CAD_VE!C46</f>
        <v>TOTAL PARCS - CAMIONS</v>
      </c>
      <c r="C351" s="1045" t="str">
        <f>OR_VEH!D345</f>
        <v>440P5G</v>
      </c>
      <c r="D351" s="7">
        <f>Page5_CAD_VE!F46</f>
        <v>0</v>
      </c>
      <c r="E351" s="7">
        <f>Page5_CAD_VE!K46</f>
        <v>0</v>
      </c>
      <c r="F351" t="str">
        <f t="shared" si="35"/>
        <v>01-00-440P5G-UNIT-CURR</v>
      </c>
      <c r="G351" t="s">
        <v>127</v>
      </c>
      <c r="H351" t="s">
        <v>10287</v>
      </c>
      <c r="I351" t="s">
        <v>10253</v>
      </c>
      <c r="K351" s="1073" t="s">
        <v>10288</v>
      </c>
      <c r="L351" s="789" t="s">
        <v>10241</v>
      </c>
      <c r="M351" s="855" t="str">
        <f>C351</f>
        <v>440P5G</v>
      </c>
      <c r="N351" s="855"/>
      <c r="O351" s="799" t="s">
        <v>10255</v>
      </c>
      <c r="P351" s="799" t="s">
        <v>10244</v>
      </c>
      <c r="R351" s="30"/>
    </row>
    <row r="352" spans="2:18">
      <c r="B352" s="5" t="str">
        <f>Page5_CAD_VE!C47</f>
        <v xml:space="preserve">TOTAL IINTERNE - CAMIONS </v>
      </c>
      <c r="C352" s="1045" t="str">
        <f>OR_VEH!D346</f>
        <v>441P5G</v>
      </c>
      <c r="D352" s="7">
        <f>Page5_CAD_VE!F47</f>
        <v>0</v>
      </c>
      <c r="E352" s="7">
        <f>Page5_CAD_VE!K47</f>
        <v>0</v>
      </c>
      <c r="F352" t="str">
        <f t="shared" si="35"/>
        <v>01-00-441P5G-UNIT-CURR</v>
      </c>
      <c r="G352" t="s">
        <v>127</v>
      </c>
      <c r="H352" t="s">
        <v>10287</v>
      </c>
      <c r="I352" t="s">
        <v>10253</v>
      </c>
      <c r="K352" s="1073" t="s">
        <v>10288</v>
      </c>
      <c r="L352" s="789" t="s">
        <v>10241</v>
      </c>
      <c r="M352" s="855" t="str">
        <f>C352</f>
        <v>441P5G</v>
      </c>
      <c r="N352" s="855"/>
      <c r="O352" s="799" t="s">
        <v>10255</v>
      </c>
      <c r="P352" s="799" t="s">
        <v>10244</v>
      </c>
      <c r="R352" s="30"/>
    </row>
    <row r="353" spans="1:18">
      <c r="B353" s="27" t="s">
        <v>10361</v>
      </c>
      <c r="C353" s="1042"/>
      <c r="D353" s="7">
        <f>Page5_CAD_VE!F48</f>
        <v>5</v>
      </c>
      <c r="E353" s="7">
        <f>Page5_CAD_VE!K48</f>
        <v>10</v>
      </c>
      <c r="F353" t="str">
        <f t="shared" si="35"/>
        <v>01-00-TOTTRK5G-UNIT-CURR</v>
      </c>
      <c r="G353" t="s">
        <v>127</v>
      </c>
      <c r="H353" t="s">
        <v>10287</v>
      </c>
      <c r="I353" t="s">
        <v>10253</v>
      </c>
      <c r="J353" t="s">
        <v>10268</v>
      </c>
      <c r="K353" s="1073" t="s">
        <v>10288</v>
      </c>
      <c r="L353" s="789" t="s">
        <v>10241</v>
      </c>
      <c r="M353" s="790" t="s">
        <v>10362</v>
      </c>
      <c r="O353" s="790" t="s">
        <v>10255</v>
      </c>
      <c r="P353" s="790" t="s">
        <v>10244</v>
      </c>
      <c r="Q353" s="791" t="s">
        <v>773</v>
      </c>
    </row>
    <row r="354" spans="1:18">
      <c r="B354" s="5" t="str">
        <f>Page5_CAD_VE!C50</f>
        <v>ACCESSOIRES</v>
      </c>
      <c r="C354" s="1045" t="str">
        <f>OR_VEH!D349</f>
        <v>457P5G</v>
      </c>
      <c r="D354" s="7">
        <f>Page5_CAD_VE!F50</f>
        <v>0</v>
      </c>
      <c r="E354" s="7">
        <f>Page5_CAD_VE!K50</f>
        <v>0</v>
      </c>
      <c r="F354" t="str">
        <f t="shared" si="35"/>
        <v>01-00-457P5G-UNIT-CURR</v>
      </c>
      <c r="G354" t="s">
        <v>127</v>
      </c>
      <c r="H354" t="s">
        <v>10287</v>
      </c>
      <c r="I354" t="s">
        <v>10253</v>
      </c>
      <c r="K354" s="1073" t="s">
        <v>10288</v>
      </c>
      <c r="L354" s="789" t="s">
        <v>10241</v>
      </c>
      <c r="M354" s="855" t="str">
        <f>C354</f>
        <v>457P5G</v>
      </c>
      <c r="N354" s="855"/>
      <c r="O354" s="790" t="s">
        <v>10255</v>
      </c>
      <c r="P354" s="790" t="s">
        <v>10244</v>
      </c>
      <c r="R354" s="30"/>
    </row>
    <row r="355" spans="1:18">
      <c r="B355" s="27" t="s">
        <v>10363</v>
      </c>
      <c r="C355" s="1044"/>
      <c r="D355" s="7">
        <f>Page5_CAD_VE!$F$51</f>
        <v>5</v>
      </c>
      <c r="E355" s="7">
        <f>Page5_CAD_VE!$K$51</f>
        <v>10</v>
      </c>
      <c r="F355" t="str">
        <f t="shared" si="35"/>
        <v>01-00-TOTVEH5G-UNIT-CURR</v>
      </c>
      <c r="G355" t="s">
        <v>127</v>
      </c>
      <c r="H355" t="s">
        <v>10287</v>
      </c>
      <c r="I355" t="s">
        <v>10253</v>
      </c>
      <c r="J355" t="s">
        <v>10268</v>
      </c>
      <c r="K355" s="1073" t="s">
        <v>10288</v>
      </c>
      <c r="L355" s="789" t="s">
        <v>10241</v>
      </c>
      <c r="M355" s="790" t="s">
        <v>10364</v>
      </c>
      <c r="O355" s="790" t="s">
        <v>10255</v>
      </c>
      <c r="P355" s="790" t="s">
        <v>10244</v>
      </c>
      <c r="Q355" s="791" t="s">
        <v>773</v>
      </c>
    </row>
    <row r="356" spans="1:18">
      <c r="A356" s="805" t="s">
        <v>10365</v>
      </c>
      <c r="B356" s="5" t="str">
        <f>Page5_GMC_VE!C4</f>
        <v>NE PAS UTILISER</v>
      </c>
      <c r="C356" s="1045" t="str">
        <f>OR_VEH!D353</f>
        <v>400-008</v>
      </c>
      <c r="D356" s="7">
        <f>Page5_GMC_VE!F4</f>
        <v>0</v>
      </c>
      <c r="E356" s="7">
        <f>Page5_GMC_VE!K4</f>
        <v>0</v>
      </c>
      <c r="F356" t="str">
        <f t="shared" si="35"/>
        <v>01-00-400-008-UNIT-CURR</v>
      </c>
      <c r="G356" t="s">
        <v>127</v>
      </c>
      <c r="H356" t="s">
        <v>10287</v>
      </c>
      <c r="I356" t="s">
        <v>10253</v>
      </c>
      <c r="J356" t="s">
        <v>10268</v>
      </c>
      <c r="K356" s="1073" t="s">
        <v>10288</v>
      </c>
      <c r="L356" s="789" t="s">
        <v>10241</v>
      </c>
      <c r="M356" s="790" t="str">
        <f t="shared" ref="M356:M374" si="36">LEFT(C356,3)</f>
        <v>400</v>
      </c>
      <c r="N356" s="790" t="str">
        <f t="shared" ref="N356:N374" si="37">RIGHT(C356,3)</f>
        <v>008</v>
      </c>
      <c r="O356" s="799" t="s">
        <v>10255</v>
      </c>
      <c r="P356" s="799" t="s">
        <v>10244</v>
      </c>
      <c r="R356" s="30"/>
    </row>
    <row r="357" spans="1:18">
      <c r="B357" s="5" t="str">
        <f>Page5_GMC_VE!C5</f>
        <v>NE PAS UTILISER</v>
      </c>
      <c r="C357" s="1045" t="str">
        <f>OR_VEH!D354</f>
        <v>401-008</v>
      </c>
      <c r="D357" s="7">
        <f>Page5_GMC_VE!F5</f>
        <v>0</v>
      </c>
      <c r="E357" s="7">
        <f>Page5_GMC_VE!K5</f>
        <v>0</v>
      </c>
      <c r="F357" t="str">
        <f t="shared" si="35"/>
        <v>01-00-401-008-UNIT-CURR</v>
      </c>
      <c r="G357" t="s">
        <v>127</v>
      </c>
      <c r="H357" t="s">
        <v>10287</v>
      </c>
      <c r="I357" t="s">
        <v>10253</v>
      </c>
      <c r="J357" t="s">
        <v>10268</v>
      </c>
      <c r="K357" s="1073" t="s">
        <v>10288</v>
      </c>
      <c r="L357" s="789" t="s">
        <v>10241</v>
      </c>
      <c r="M357" s="790" t="str">
        <f t="shared" si="36"/>
        <v>401</v>
      </c>
      <c r="N357" s="790" t="str">
        <f t="shared" si="37"/>
        <v>008</v>
      </c>
      <c r="O357" s="799" t="s">
        <v>10255</v>
      </c>
      <c r="P357" s="799" t="s">
        <v>10244</v>
      </c>
      <c r="R357" s="30"/>
    </row>
    <row r="358" spans="1:18">
      <c r="B358" s="5" t="str">
        <f>Page5_GMC_VE!C6</f>
        <v>NE PAS UTILISER</v>
      </c>
      <c r="C358" s="1045" t="str">
        <f>OR_VEH!D355</f>
        <v>402-008</v>
      </c>
      <c r="D358" s="7">
        <f>Page5_GMC_VE!F6</f>
        <v>0</v>
      </c>
      <c r="E358" s="7">
        <f>Page5_GMC_VE!K6</f>
        <v>0</v>
      </c>
      <c r="F358" t="str">
        <f t="shared" si="35"/>
        <v>01-00-402-008-UNIT-CURR</v>
      </c>
      <c r="G358" t="s">
        <v>127</v>
      </c>
      <c r="H358" t="s">
        <v>10287</v>
      </c>
      <c r="I358" t="s">
        <v>10253</v>
      </c>
      <c r="J358" t="s">
        <v>10268</v>
      </c>
      <c r="K358" s="1073" t="s">
        <v>10288</v>
      </c>
      <c r="L358" s="789" t="s">
        <v>10241</v>
      </c>
      <c r="M358" s="790" t="str">
        <f t="shared" si="36"/>
        <v>402</v>
      </c>
      <c r="N358" s="790" t="str">
        <f t="shared" si="37"/>
        <v>008</v>
      </c>
      <c r="O358" s="799" t="s">
        <v>10255</v>
      </c>
      <c r="P358" s="799" t="s">
        <v>10244</v>
      </c>
      <c r="R358" s="30"/>
    </row>
    <row r="359" spans="1:18">
      <c r="B359" s="5" t="str">
        <f>Page5_GMC_VE!C7</f>
        <v>NE PAS UTILISER</v>
      </c>
      <c r="C359" s="1045" t="str">
        <f>OR_VEH!D356</f>
        <v>403-008</v>
      </c>
      <c r="D359" s="7">
        <f>Page5_GMC_VE!F7</f>
        <v>0</v>
      </c>
      <c r="E359" s="7">
        <f>Page5_GMC_VE!K7</f>
        <v>0</v>
      </c>
      <c r="F359" t="str">
        <f t="shared" si="35"/>
        <v>01-00-403-008-UNIT-CURR</v>
      </c>
      <c r="G359" t="s">
        <v>127</v>
      </c>
      <c r="H359" t="s">
        <v>10287</v>
      </c>
      <c r="I359" t="s">
        <v>10253</v>
      </c>
      <c r="J359" t="s">
        <v>10268</v>
      </c>
      <c r="K359" s="1073" t="s">
        <v>10288</v>
      </c>
      <c r="L359" s="789" t="s">
        <v>10241</v>
      </c>
      <c r="M359" s="790" t="str">
        <f t="shared" si="36"/>
        <v>403</v>
      </c>
      <c r="N359" s="790" t="str">
        <f t="shared" si="37"/>
        <v>008</v>
      </c>
      <c r="O359" s="799" t="s">
        <v>10255</v>
      </c>
      <c r="P359" s="799" t="s">
        <v>10244</v>
      </c>
      <c r="R359" s="30"/>
    </row>
    <row r="360" spans="1:18">
      <c r="B360" s="5" t="str">
        <f>Page5_GMC_VE!C8</f>
        <v>NE PAS UTILISER</v>
      </c>
      <c r="C360" s="1045" t="str">
        <f>OR_VEH!D357</f>
        <v>404-008</v>
      </c>
      <c r="D360" s="7">
        <f>Page5_GMC_VE!F8</f>
        <v>0</v>
      </c>
      <c r="E360" s="7">
        <f>Page5_GMC_VE!K8</f>
        <v>0</v>
      </c>
      <c r="F360" t="str">
        <f t="shared" si="35"/>
        <v>01-00-404-008-UNIT-CURR</v>
      </c>
      <c r="G360" t="s">
        <v>127</v>
      </c>
      <c r="H360" t="s">
        <v>10287</v>
      </c>
      <c r="I360" t="s">
        <v>10253</v>
      </c>
      <c r="J360" t="s">
        <v>10268</v>
      </c>
      <c r="K360" s="1073" t="s">
        <v>10288</v>
      </c>
      <c r="L360" s="789" t="s">
        <v>10241</v>
      </c>
      <c r="M360" s="790" t="str">
        <f t="shared" si="36"/>
        <v>404</v>
      </c>
      <c r="N360" s="790" t="str">
        <f t="shared" si="37"/>
        <v>008</v>
      </c>
      <c r="O360" s="799" t="s">
        <v>10255</v>
      </c>
      <c r="P360" s="799" t="s">
        <v>10244</v>
      </c>
      <c r="R360" s="30"/>
    </row>
    <row r="361" spans="1:18">
      <c r="B361" s="5" t="str">
        <f>Page5_GMC_VE!C9</f>
        <v>NE PAS UTILISER</v>
      </c>
      <c r="C361" s="1045" t="str">
        <f>OR_VEH!D358</f>
        <v>405-008</v>
      </c>
      <c r="D361" s="7">
        <f>Page5_GMC_VE!F9</f>
        <v>0</v>
      </c>
      <c r="E361" s="7">
        <f>Page5_GMC_VE!K9</f>
        <v>0</v>
      </c>
      <c r="F361" t="str">
        <f t="shared" si="35"/>
        <v>01-00-405-008-UNIT-CURR</v>
      </c>
      <c r="G361" t="s">
        <v>127</v>
      </c>
      <c r="H361" t="s">
        <v>10287</v>
      </c>
      <c r="I361" t="s">
        <v>10253</v>
      </c>
      <c r="J361" t="s">
        <v>10268</v>
      </c>
      <c r="K361" s="1073" t="s">
        <v>10288</v>
      </c>
      <c r="L361" s="789" t="s">
        <v>10241</v>
      </c>
      <c r="M361" s="790" t="str">
        <f t="shared" si="36"/>
        <v>405</v>
      </c>
      <c r="N361" s="790" t="str">
        <f t="shared" si="37"/>
        <v>008</v>
      </c>
      <c r="O361" s="799" t="s">
        <v>10255</v>
      </c>
      <c r="P361" s="799" t="s">
        <v>10244</v>
      </c>
      <c r="R361" s="30"/>
    </row>
    <row r="362" spans="1:18">
      <c r="B362" s="5" t="str">
        <f>Page5_GMC_VE!C10</f>
        <v>NE PAS UTILISER</v>
      </c>
      <c r="C362" s="1045" t="str">
        <f>OR_VEH!D359</f>
        <v>406-008</v>
      </c>
      <c r="D362" s="7">
        <f>Page5_GMC_VE!F10</f>
        <v>0</v>
      </c>
      <c r="E362" s="7">
        <f>Page5_GMC_VE!K10</f>
        <v>0</v>
      </c>
      <c r="F362" t="str">
        <f t="shared" si="35"/>
        <v>01-00-406-008-UNIT-CURR</v>
      </c>
      <c r="G362" t="s">
        <v>127</v>
      </c>
      <c r="H362" t="s">
        <v>10287</v>
      </c>
      <c r="I362" t="s">
        <v>10253</v>
      </c>
      <c r="J362" t="s">
        <v>10268</v>
      </c>
      <c r="K362" s="1073" t="s">
        <v>10288</v>
      </c>
      <c r="L362" s="789" t="s">
        <v>10241</v>
      </c>
      <c r="M362" s="790" t="str">
        <f t="shared" si="36"/>
        <v>406</v>
      </c>
      <c r="N362" s="790" t="str">
        <f t="shared" si="37"/>
        <v>008</v>
      </c>
      <c r="O362" s="799" t="s">
        <v>10255</v>
      </c>
      <c r="P362" s="799" t="s">
        <v>10244</v>
      </c>
      <c r="R362" s="30"/>
    </row>
    <row r="363" spans="1:18">
      <c r="B363" s="5" t="str">
        <f>Page5_GMC_VE!C11</f>
        <v>NE PAS UTILISER</v>
      </c>
      <c r="C363" s="1045" t="str">
        <f>OR_VEH!D360</f>
        <v>407-008</v>
      </c>
      <c r="D363" s="7">
        <f>Page5_GMC_VE!F11</f>
        <v>0</v>
      </c>
      <c r="E363" s="7">
        <f>Page5_GMC_VE!K11</f>
        <v>0</v>
      </c>
      <c r="F363" t="str">
        <f t="shared" si="35"/>
        <v>01-00-407-008-UNIT-CURR</v>
      </c>
      <c r="G363" t="s">
        <v>127</v>
      </c>
      <c r="H363" t="s">
        <v>10287</v>
      </c>
      <c r="I363" t="s">
        <v>10253</v>
      </c>
      <c r="J363" t="s">
        <v>10268</v>
      </c>
      <c r="K363" s="1073" t="s">
        <v>10288</v>
      </c>
      <c r="L363" s="789" t="s">
        <v>10241</v>
      </c>
      <c r="M363" s="790" t="str">
        <f t="shared" si="36"/>
        <v>407</v>
      </c>
      <c r="N363" s="790" t="str">
        <f t="shared" si="37"/>
        <v>008</v>
      </c>
      <c r="O363" s="799" t="s">
        <v>10255</v>
      </c>
      <c r="P363" s="799" t="s">
        <v>10244</v>
      </c>
      <c r="R363" s="30"/>
    </row>
    <row r="364" spans="1:18">
      <c r="B364" s="5" t="str">
        <f>Page5_GMC_VE!C12</f>
        <v>NE PAS UTILISER</v>
      </c>
      <c r="C364" s="1045" t="str">
        <f>OR_VEH!D361</f>
        <v>408-008</v>
      </c>
      <c r="D364" s="7">
        <f>Page5_GMC_VE!F12</f>
        <v>0</v>
      </c>
      <c r="E364" s="7">
        <f>Page5_GMC_VE!K12</f>
        <v>0</v>
      </c>
      <c r="F364" t="str">
        <f t="shared" si="35"/>
        <v>01-00-408-008-UNIT-CURR</v>
      </c>
      <c r="G364" t="s">
        <v>127</v>
      </c>
      <c r="H364" t="s">
        <v>10287</v>
      </c>
      <c r="I364" t="s">
        <v>10253</v>
      </c>
      <c r="J364" t="s">
        <v>10268</v>
      </c>
      <c r="K364" s="1073" t="s">
        <v>10288</v>
      </c>
      <c r="L364" s="789" t="s">
        <v>10241</v>
      </c>
      <c r="M364" s="790" t="str">
        <f t="shared" si="36"/>
        <v>408</v>
      </c>
      <c r="N364" s="790" t="str">
        <f t="shared" si="37"/>
        <v>008</v>
      </c>
      <c r="O364" s="799" t="s">
        <v>10255</v>
      </c>
      <c r="P364" s="799" t="s">
        <v>10244</v>
      </c>
      <c r="R364" s="30"/>
    </row>
    <row r="365" spans="1:18">
      <c r="B365" s="5" t="str">
        <f>Page5_GMC_VE!C13</f>
        <v>NE PAS UTILISER</v>
      </c>
      <c r="C365" s="1045" t="str">
        <f>OR_VEH!D362</f>
        <v>409-008</v>
      </c>
      <c r="D365" s="7">
        <f>Page5_GMC_VE!F13</f>
        <v>0</v>
      </c>
      <c r="E365" s="7">
        <f>Page5_GMC_VE!K13</f>
        <v>0</v>
      </c>
      <c r="F365" t="str">
        <f t="shared" si="35"/>
        <v>01-00-409-008-UNIT-CURR</v>
      </c>
      <c r="G365" t="s">
        <v>127</v>
      </c>
      <c r="H365" t="s">
        <v>10287</v>
      </c>
      <c r="I365" t="s">
        <v>10253</v>
      </c>
      <c r="J365" t="s">
        <v>10268</v>
      </c>
      <c r="K365" s="1073" t="s">
        <v>10288</v>
      </c>
      <c r="L365" s="789" t="s">
        <v>10241</v>
      </c>
      <c r="M365" s="790" t="str">
        <f t="shared" si="36"/>
        <v>409</v>
      </c>
      <c r="N365" s="790" t="str">
        <f t="shared" si="37"/>
        <v>008</v>
      </c>
      <c r="O365" s="799" t="s">
        <v>10255</v>
      </c>
      <c r="P365" s="799" t="s">
        <v>10244</v>
      </c>
      <c r="R365" s="30"/>
    </row>
    <row r="366" spans="1:18">
      <c r="B366" s="5" t="str">
        <f>Page5_GMC_VE!C14</f>
        <v>NE PAS UTILISER</v>
      </c>
      <c r="C366" s="1045" t="str">
        <f>OR_VEH!D363</f>
        <v>410-008</v>
      </c>
      <c r="D366" s="7">
        <f>Page5_GMC_VE!F14</f>
        <v>0</v>
      </c>
      <c r="E366" s="7">
        <f>Page5_GMC_VE!K14</f>
        <v>0</v>
      </c>
      <c r="F366" t="str">
        <f t="shared" si="35"/>
        <v>01-00-410-008-UNIT-CURR</v>
      </c>
      <c r="G366" t="s">
        <v>127</v>
      </c>
      <c r="H366" t="s">
        <v>10287</v>
      </c>
      <c r="I366" t="s">
        <v>10253</v>
      </c>
      <c r="J366" t="s">
        <v>10268</v>
      </c>
      <c r="K366" s="1073" t="s">
        <v>10288</v>
      </c>
      <c r="L366" s="789" t="s">
        <v>10241</v>
      </c>
      <c r="M366" s="790" t="str">
        <f t="shared" si="36"/>
        <v>410</v>
      </c>
      <c r="N366" s="790" t="str">
        <f t="shared" si="37"/>
        <v>008</v>
      </c>
      <c r="O366" s="799" t="s">
        <v>10255</v>
      </c>
      <c r="P366" s="799" t="s">
        <v>10244</v>
      </c>
      <c r="R366" s="30"/>
    </row>
    <row r="367" spans="1:18">
      <c r="B367" s="5" t="str">
        <f>Page5_GMC_VE!C15</f>
        <v>NE PAS UTILISER</v>
      </c>
      <c r="C367" s="1045" t="str">
        <f>OR_VEH!D364</f>
        <v>411-008</v>
      </c>
      <c r="D367" s="7">
        <f>Page5_GMC_VE!F15</f>
        <v>0</v>
      </c>
      <c r="E367" s="7">
        <f>Page5_GMC_VE!K15</f>
        <v>0</v>
      </c>
      <c r="F367" t="str">
        <f t="shared" si="35"/>
        <v>01-00-411-008-UNIT-CURR</v>
      </c>
      <c r="G367" t="s">
        <v>127</v>
      </c>
      <c r="H367" t="s">
        <v>10287</v>
      </c>
      <c r="I367" t="s">
        <v>10253</v>
      </c>
      <c r="K367" s="1073" t="s">
        <v>10288</v>
      </c>
      <c r="L367" s="789" t="s">
        <v>10241</v>
      </c>
      <c r="M367" s="790" t="str">
        <f t="shared" si="36"/>
        <v>411</v>
      </c>
      <c r="N367" s="790" t="str">
        <f t="shared" si="37"/>
        <v>008</v>
      </c>
      <c r="O367" s="790" t="s">
        <v>10255</v>
      </c>
      <c r="P367" s="790" t="s">
        <v>10244</v>
      </c>
      <c r="R367" s="30"/>
    </row>
    <row r="368" spans="1:18">
      <c r="B368" s="5" t="str">
        <f>Page5_GMC_VE!C16</f>
        <v>NE PAS UTILISER</v>
      </c>
      <c r="C368" s="1045" t="str">
        <f>OR_VEH!D365</f>
        <v>412-008</v>
      </c>
      <c r="D368" s="7">
        <f>Page5_GMC_VE!F16</f>
        <v>0</v>
      </c>
      <c r="E368" s="7">
        <f>Page5_GMC_VE!K16</f>
        <v>0</v>
      </c>
      <c r="F368" t="str">
        <f t="shared" si="35"/>
        <v>01-00-412-008-UNIT-CURR</v>
      </c>
      <c r="G368" t="s">
        <v>127</v>
      </c>
      <c r="H368" t="s">
        <v>10287</v>
      </c>
      <c r="I368" t="s">
        <v>10253</v>
      </c>
      <c r="K368" s="1073" t="s">
        <v>10288</v>
      </c>
      <c r="L368" s="789" t="s">
        <v>10241</v>
      </c>
      <c r="M368" s="790" t="str">
        <f t="shared" si="36"/>
        <v>412</v>
      </c>
      <c r="N368" s="790" t="str">
        <f t="shared" si="37"/>
        <v>008</v>
      </c>
      <c r="O368" s="790" t="s">
        <v>10255</v>
      </c>
      <c r="P368" s="790" t="s">
        <v>10244</v>
      </c>
      <c r="R368" s="30"/>
    </row>
    <row r="369" spans="2:18">
      <c r="B369" s="5" t="str">
        <f>Page5_GMC_VE!C17</f>
        <v>NE PAS UTILISER</v>
      </c>
      <c r="C369" s="1045" t="str">
        <f>OR_VEH!D366</f>
        <v>413-008</v>
      </c>
      <c r="D369" s="7">
        <f>Page5_GMC_VE!F17</f>
        <v>0</v>
      </c>
      <c r="E369" s="7">
        <f>Page5_GMC_VE!K17</f>
        <v>0</v>
      </c>
      <c r="F369" t="str">
        <f t="shared" si="35"/>
        <v>01-00-413-008-UNIT-CURR</v>
      </c>
      <c r="G369" t="s">
        <v>127</v>
      </c>
      <c r="H369" t="s">
        <v>10287</v>
      </c>
      <c r="I369" t="s">
        <v>10253</v>
      </c>
      <c r="K369" s="1073" t="s">
        <v>10288</v>
      </c>
      <c r="L369" s="789" t="s">
        <v>10241</v>
      </c>
      <c r="M369" s="790" t="str">
        <f t="shared" si="36"/>
        <v>413</v>
      </c>
      <c r="N369" s="790" t="str">
        <f t="shared" si="37"/>
        <v>008</v>
      </c>
      <c r="O369" s="790" t="s">
        <v>10255</v>
      </c>
      <c r="P369" s="790" t="s">
        <v>10244</v>
      </c>
      <c r="R369" s="30"/>
    </row>
    <row r="370" spans="2:18">
      <c r="B370" s="5" t="str">
        <f>Page5_GMC_VE!C18</f>
        <v>NE PAS UTILISER</v>
      </c>
      <c r="C370" s="1045" t="str">
        <f>OR_VEH!D367</f>
        <v>414-008</v>
      </c>
      <c r="D370" s="7">
        <f>Page5_GMC_VE!F18</f>
        <v>0</v>
      </c>
      <c r="E370" s="7">
        <f>Page5_GMC_VE!K18</f>
        <v>0</v>
      </c>
      <c r="F370" t="str">
        <f t="shared" si="35"/>
        <v>01-00-414-008-UNIT-CURR</v>
      </c>
      <c r="G370" t="s">
        <v>127</v>
      </c>
      <c r="H370" t="s">
        <v>10287</v>
      </c>
      <c r="I370" t="s">
        <v>10253</v>
      </c>
      <c r="K370" s="1073" t="s">
        <v>10288</v>
      </c>
      <c r="L370" s="789" t="s">
        <v>10241</v>
      </c>
      <c r="M370" s="790" t="str">
        <f t="shared" si="36"/>
        <v>414</v>
      </c>
      <c r="N370" s="790" t="str">
        <f t="shared" si="37"/>
        <v>008</v>
      </c>
      <c r="O370" s="790" t="s">
        <v>10255</v>
      </c>
      <c r="P370" s="790" t="s">
        <v>10244</v>
      </c>
      <c r="R370" s="30"/>
    </row>
    <row r="371" spans="2:18">
      <c r="B371" s="5" t="str">
        <f>Page5_GMC_VE!C19</f>
        <v>NE PAS UTILISER</v>
      </c>
      <c r="C371" s="1045" t="str">
        <f>OR_VEH!D368</f>
        <v>415-008</v>
      </c>
      <c r="D371" s="7">
        <f>Page5_GMC_VE!F19</f>
        <v>0</v>
      </c>
      <c r="E371" s="7">
        <f>Page5_GMC_VE!K19</f>
        <v>0</v>
      </c>
      <c r="F371" t="str">
        <f t="shared" si="35"/>
        <v>01-00-415-008-UNIT-CURR</v>
      </c>
      <c r="G371" t="s">
        <v>127</v>
      </c>
      <c r="H371" t="s">
        <v>10287</v>
      </c>
      <c r="I371" t="s">
        <v>10253</v>
      </c>
      <c r="K371" s="1073" t="s">
        <v>10288</v>
      </c>
      <c r="L371" s="789" t="s">
        <v>10241</v>
      </c>
      <c r="M371" s="790" t="str">
        <f t="shared" si="36"/>
        <v>415</v>
      </c>
      <c r="N371" s="790" t="str">
        <f t="shared" si="37"/>
        <v>008</v>
      </c>
      <c r="O371" s="790" t="s">
        <v>10255</v>
      </c>
      <c r="P371" s="790" t="s">
        <v>10244</v>
      </c>
      <c r="R371" s="30"/>
    </row>
    <row r="372" spans="2:18">
      <c r="B372" s="5" t="str">
        <f>Page5_GMC_VE!C20</f>
        <v>NE PAS UTILISER</v>
      </c>
      <c r="C372" s="1045" t="str">
        <f>OR_VEH!D369</f>
        <v>416-008</v>
      </c>
      <c r="D372" s="7">
        <f>Page5_GMC_VE!F20</f>
        <v>0</v>
      </c>
      <c r="E372" s="7">
        <f>Page5_GMC_VE!K20</f>
        <v>0</v>
      </c>
      <c r="F372" t="str">
        <f t="shared" si="35"/>
        <v>01-00-416-008-UNIT-CURR</v>
      </c>
      <c r="G372" t="s">
        <v>127</v>
      </c>
      <c r="H372" t="s">
        <v>10287</v>
      </c>
      <c r="I372" t="s">
        <v>10253</v>
      </c>
      <c r="K372" s="1073" t="s">
        <v>10288</v>
      </c>
      <c r="L372" s="789" t="s">
        <v>10241</v>
      </c>
      <c r="M372" s="790" t="str">
        <f t="shared" si="36"/>
        <v>416</v>
      </c>
      <c r="N372" s="790" t="str">
        <f t="shared" si="37"/>
        <v>008</v>
      </c>
      <c r="O372" s="790" t="s">
        <v>10255</v>
      </c>
      <c r="P372" s="790" t="s">
        <v>10244</v>
      </c>
      <c r="R372" s="30"/>
    </row>
    <row r="373" spans="2:18">
      <c r="B373" s="5" t="str">
        <f>Page5_GMC_VE!C21</f>
        <v>NE PAS UTILISER</v>
      </c>
      <c r="C373" s="1045" t="str">
        <f>OR_VEH!D370</f>
        <v>417-008</v>
      </c>
      <c r="D373" s="7">
        <f>Page5_GMC_VE!F21</f>
        <v>0</v>
      </c>
      <c r="E373" s="7">
        <f>Page5_GMC_VE!K21</f>
        <v>0</v>
      </c>
      <c r="F373" t="str">
        <f t="shared" si="35"/>
        <v>01-00-417-008-UNIT-CURR</v>
      </c>
      <c r="G373" t="s">
        <v>127</v>
      </c>
      <c r="H373" t="s">
        <v>10287</v>
      </c>
      <c r="I373" t="s">
        <v>10253</v>
      </c>
      <c r="K373" s="1073" t="s">
        <v>10288</v>
      </c>
      <c r="L373" s="789" t="s">
        <v>10241</v>
      </c>
      <c r="M373" s="790" t="str">
        <f t="shared" si="36"/>
        <v>417</v>
      </c>
      <c r="N373" s="790" t="str">
        <f t="shared" si="37"/>
        <v>008</v>
      </c>
      <c r="O373" s="790" t="s">
        <v>10255</v>
      </c>
      <c r="P373" s="790" t="s">
        <v>10244</v>
      </c>
      <c r="R373" s="30"/>
    </row>
    <row r="374" spans="2:18">
      <c r="B374" s="5" t="str">
        <f>Page5_GMC_VE!C22</f>
        <v>NE PAS UTILISER</v>
      </c>
      <c r="C374" s="1045" t="str">
        <f>OR_VEH!D371</f>
        <v>418-008</v>
      </c>
      <c r="D374" s="7">
        <f>Page5_GMC_VE!F22</f>
        <v>0</v>
      </c>
      <c r="E374" s="7">
        <f>Page5_GMC_VE!K22</f>
        <v>0</v>
      </c>
      <c r="F374" t="str">
        <f t="shared" si="35"/>
        <v>01-00-418-008-UNIT-CURR</v>
      </c>
      <c r="G374" t="s">
        <v>127</v>
      </c>
      <c r="H374" t="s">
        <v>10287</v>
      </c>
      <c r="I374" t="s">
        <v>10253</v>
      </c>
      <c r="K374" s="1073" t="s">
        <v>10288</v>
      </c>
      <c r="L374" s="789" t="s">
        <v>10241</v>
      </c>
      <c r="M374" s="790" t="str">
        <f t="shared" si="36"/>
        <v>418</v>
      </c>
      <c r="N374" s="790" t="str">
        <f t="shared" si="37"/>
        <v>008</v>
      </c>
      <c r="O374" s="790" t="s">
        <v>10255</v>
      </c>
      <c r="P374" s="790" t="s">
        <v>10244</v>
      </c>
      <c r="R374" s="30"/>
    </row>
    <row r="375" spans="2:18">
      <c r="B375" s="27" t="s">
        <v>10366</v>
      </c>
      <c r="C375" s="1042"/>
      <c r="D375" s="7">
        <f>Page5_GMC_VE!F23</f>
        <v>0</v>
      </c>
      <c r="E375" s="7">
        <f>Page5_GMC_VE!K23</f>
        <v>0</v>
      </c>
      <c r="F375" t="str">
        <f t="shared" si="35"/>
        <v>01-00-RTLCAR5H-UNIT-CURR</v>
      </c>
      <c r="G375" t="s">
        <v>127</v>
      </c>
      <c r="H375" t="s">
        <v>10287</v>
      </c>
      <c r="I375" t="s">
        <v>10253</v>
      </c>
      <c r="J375" t="s">
        <v>10268</v>
      </c>
      <c r="K375" s="1073" t="s">
        <v>10288</v>
      </c>
      <c r="L375" s="789" t="s">
        <v>10241</v>
      </c>
      <c r="M375" s="790" t="s">
        <v>10367</v>
      </c>
      <c r="O375" s="790" t="s">
        <v>10255</v>
      </c>
      <c r="P375" s="790" t="s">
        <v>10244</v>
      </c>
      <c r="Q375" s="791" t="s">
        <v>773</v>
      </c>
    </row>
    <row r="376" spans="2:18">
      <c r="B376" s="5" t="str">
        <f>Page5_GMC_VE!C24</f>
        <v>MÉMO* VENTES INTERNET VOITURES</v>
      </c>
      <c r="C376" s="1045" t="str">
        <f>OR_VEH!D373</f>
        <v>419P5H</v>
      </c>
      <c r="D376" s="7">
        <f>Page5_GMC_VE!F24</f>
        <v>0</v>
      </c>
      <c r="E376" s="7">
        <f>Page5_GMC_VE!K24</f>
        <v>0</v>
      </c>
      <c r="F376" t="str">
        <f t="shared" si="35"/>
        <v>01-00-419P5H-UNIT-CURR</v>
      </c>
      <c r="G376" t="s">
        <v>127</v>
      </c>
      <c r="H376" t="s">
        <v>10287</v>
      </c>
      <c r="I376" t="s">
        <v>10253</v>
      </c>
      <c r="K376" s="1073" t="s">
        <v>10288</v>
      </c>
      <c r="L376" s="789" t="s">
        <v>10241</v>
      </c>
      <c r="M376" s="855" t="str">
        <f>C376</f>
        <v>419P5H</v>
      </c>
      <c r="N376" s="855"/>
      <c r="O376" s="790" t="s">
        <v>10255</v>
      </c>
      <c r="P376" s="790" t="s">
        <v>10244</v>
      </c>
      <c r="R376" s="30"/>
    </row>
    <row r="377" spans="2:18">
      <c r="B377" s="5" t="str">
        <f>Page5_GMC_VE!C25</f>
        <v>TOTAL PARCS - VOITURES</v>
      </c>
      <c r="C377" s="1045" t="str">
        <f>OR_VEH!D374</f>
        <v>420P5H</v>
      </c>
      <c r="D377" s="7">
        <f>Page5_GMC_VE!F25</f>
        <v>0</v>
      </c>
      <c r="E377" s="7">
        <f>Page5_GMC_VE!K25</f>
        <v>0</v>
      </c>
      <c r="F377" t="str">
        <f t="shared" si="35"/>
        <v>01-00-420P5H-UNIT-CURR</v>
      </c>
      <c r="G377" t="s">
        <v>127</v>
      </c>
      <c r="H377" t="s">
        <v>10287</v>
      </c>
      <c r="I377" t="s">
        <v>10253</v>
      </c>
      <c r="K377" s="1073" t="s">
        <v>10288</v>
      </c>
      <c r="L377" s="789" t="s">
        <v>10241</v>
      </c>
      <c r="M377" s="855" t="str">
        <f>C377</f>
        <v>420P5H</v>
      </c>
      <c r="N377" s="855"/>
      <c r="O377" s="790" t="s">
        <v>10255</v>
      </c>
      <c r="P377" s="790" t="s">
        <v>10244</v>
      </c>
      <c r="R377" s="30"/>
    </row>
    <row r="378" spans="2:18">
      <c r="B378" s="5" t="str">
        <f>Page5_GMC_VE!C26</f>
        <v>TOTAL INTERNE - VOITURES</v>
      </c>
      <c r="C378" s="1045" t="str">
        <f>OR_VEH!D375</f>
        <v>421P5H</v>
      </c>
      <c r="D378" s="7">
        <f>Page5_GMC_VE!F26</f>
        <v>0</v>
      </c>
      <c r="E378" s="7">
        <f>Page5_GMC_VE!K26</f>
        <v>0</v>
      </c>
      <c r="F378" t="str">
        <f t="shared" si="35"/>
        <v>01-00-421P5H-UNIT-CURR</v>
      </c>
      <c r="G378" t="s">
        <v>127</v>
      </c>
      <c r="H378" t="s">
        <v>10287</v>
      </c>
      <c r="I378" t="s">
        <v>10253</v>
      </c>
      <c r="K378" s="1073" t="s">
        <v>10288</v>
      </c>
      <c r="L378" s="789" t="s">
        <v>10241</v>
      </c>
      <c r="M378" s="855" t="str">
        <f>C378</f>
        <v>421P5H</v>
      </c>
      <c r="N378" s="855"/>
      <c r="O378" s="790" t="s">
        <v>10255</v>
      </c>
      <c r="P378" s="790" t="s">
        <v>10244</v>
      </c>
      <c r="R378" s="30"/>
    </row>
    <row r="379" spans="2:18">
      <c r="B379" s="27" t="s">
        <v>10368</v>
      </c>
      <c r="C379" s="1042"/>
      <c r="D379" s="7">
        <f>Page5_GMC_VE!F27</f>
        <v>0</v>
      </c>
      <c r="E379" s="7">
        <f>Page5_GMC_VE!K27</f>
        <v>0</v>
      </c>
      <c r="F379" t="str">
        <f t="shared" si="35"/>
        <v>01-00-TOTCAR5H-UNIT-CURR</v>
      </c>
      <c r="G379" t="s">
        <v>127</v>
      </c>
      <c r="H379" t="s">
        <v>10287</v>
      </c>
      <c r="I379" t="s">
        <v>10253</v>
      </c>
      <c r="J379" t="s">
        <v>10268</v>
      </c>
      <c r="K379" s="1073" t="s">
        <v>10288</v>
      </c>
      <c r="L379" s="789" t="s">
        <v>10241</v>
      </c>
      <c r="M379" s="790" t="s">
        <v>10369</v>
      </c>
      <c r="O379" s="790" t="s">
        <v>10255</v>
      </c>
      <c r="P379" s="790" t="s">
        <v>10244</v>
      </c>
      <c r="Q379" s="791" t="s">
        <v>773</v>
      </c>
    </row>
    <row r="380" spans="2:18">
      <c r="B380" s="5" t="str">
        <f>Page5_GMC_VE!C28</f>
        <v>HUMMER EV SUT</v>
      </c>
      <c r="C380" s="1045" t="str">
        <f>OR_VEH!D377</f>
        <v>423-008</v>
      </c>
      <c r="D380" s="7">
        <f>Page5_GMC_VE!F28</f>
        <v>0</v>
      </c>
      <c r="E380" s="7">
        <f>Page5_GMC_VE!K28</f>
        <v>0</v>
      </c>
      <c r="F380" t="str">
        <f t="shared" si="35"/>
        <v>01-00-423-008-UNIT-CURR</v>
      </c>
      <c r="G380" t="s">
        <v>127</v>
      </c>
      <c r="H380" t="s">
        <v>10287</v>
      </c>
      <c r="I380" t="s">
        <v>10253</v>
      </c>
      <c r="K380" s="1073" t="s">
        <v>10288</v>
      </c>
      <c r="L380" s="789" t="s">
        <v>10241</v>
      </c>
      <c r="M380" s="790" t="str">
        <f t="shared" ref="M380:M395" si="38">LEFT(C380,3)</f>
        <v>423</v>
      </c>
      <c r="N380" s="790" t="str">
        <f t="shared" ref="N380:N395" si="39">RIGHT(C380,3)</f>
        <v>008</v>
      </c>
      <c r="O380" s="799" t="s">
        <v>10255</v>
      </c>
      <c r="P380" s="799" t="s">
        <v>10244</v>
      </c>
      <c r="R380" s="30"/>
    </row>
    <row r="381" spans="2:18">
      <c r="B381" s="5" t="str">
        <f>Page5_GMC_VE!C29</f>
        <v>HUMMER EV SUV</v>
      </c>
      <c r="C381" s="1045" t="str">
        <f>OR_VEH!D378</f>
        <v>424-008</v>
      </c>
      <c r="D381" s="7">
        <f>Page5_GMC_VE!F29</f>
        <v>1</v>
      </c>
      <c r="E381" s="7">
        <f>Page5_GMC_VE!K29</f>
        <v>6</v>
      </c>
      <c r="F381" t="str">
        <f t="shared" si="35"/>
        <v>01-00-424-008-UNIT-CURR</v>
      </c>
      <c r="G381" t="s">
        <v>127</v>
      </c>
      <c r="H381" t="s">
        <v>10287</v>
      </c>
      <c r="I381" t="s">
        <v>10253</v>
      </c>
      <c r="K381" s="1073" t="s">
        <v>10288</v>
      </c>
      <c r="L381" s="789" t="s">
        <v>10241</v>
      </c>
      <c r="M381" s="790" t="str">
        <f t="shared" si="38"/>
        <v>424</v>
      </c>
      <c r="N381" s="790" t="str">
        <f t="shared" si="39"/>
        <v>008</v>
      </c>
      <c r="O381" s="799" t="s">
        <v>10255</v>
      </c>
      <c r="P381" s="799" t="s">
        <v>10244</v>
      </c>
      <c r="R381" s="30"/>
    </row>
    <row r="382" spans="2:18">
      <c r="B382" s="5" t="str">
        <f>Page5_GMC_VE!C30</f>
        <v>SIERRA EV</v>
      </c>
      <c r="C382" s="1045" t="str">
        <f>OR_VEH!D379</f>
        <v>425-008</v>
      </c>
      <c r="D382" s="7">
        <f>Page5_GMC_VE!F30</f>
        <v>0</v>
      </c>
      <c r="E382" s="7">
        <f>Page5_GMC_VE!K30</f>
        <v>0</v>
      </c>
      <c r="F382" t="str">
        <f t="shared" si="35"/>
        <v>01-00-425-008-UNIT-CURR</v>
      </c>
      <c r="G382" t="s">
        <v>127</v>
      </c>
      <c r="H382" t="s">
        <v>10287</v>
      </c>
      <c r="I382" t="s">
        <v>10253</v>
      </c>
      <c r="K382" s="1073" t="s">
        <v>10288</v>
      </c>
      <c r="L382" s="789" t="s">
        <v>10241</v>
      </c>
      <c r="M382" s="790" t="str">
        <f t="shared" si="38"/>
        <v>425</v>
      </c>
      <c r="N382" s="790" t="str">
        <f t="shared" si="39"/>
        <v>008</v>
      </c>
      <c r="O382" s="799" t="s">
        <v>10255</v>
      </c>
      <c r="P382" s="799" t="s">
        <v>10244</v>
      </c>
      <c r="R382" s="30"/>
    </row>
    <row r="383" spans="2:18">
      <c r="B383" s="5" t="str">
        <f>Page5_GMC_VE!C31</f>
        <v>NE PAS UTILISER</v>
      </c>
      <c r="C383" s="1045" t="str">
        <f>OR_VEH!D380</f>
        <v>426-008</v>
      </c>
      <c r="D383" s="7">
        <f>Page5_GMC_VE!F31</f>
        <v>0</v>
      </c>
      <c r="E383" s="7">
        <f>Page5_GMC_VE!K31</f>
        <v>0</v>
      </c>
      <c r="F383" t="str">
        <f t="shared" si="35"/>
        <v>01-00-426-008-UNIT-CURR</v>
      </c>
      <c r="G383" t="s">
        <v>127</v>
      </c>
      <c r="H383" t="s">
        <v>10287</v>
      </c>
      <c r="I383" t="s">
        <v>10253</v>
      </c>
      <c r="K383" s="1073" t="s">
        <v>10288</v>
      </c>
      <c r="L383" s="789" t="s">
        <v>10241</v>
      </c>
      <c r="M383" s="790" t="str">
        <f t="shared" si="38"/>
        <v>426</v>
      </c>
      <c r="N383" s="790" t="str">
        <f t="shared" si="39"/>
        <v>008</v>
      </c>
      <c r="O383" s="799" t="s">
        <v>10255</v>
      </c>
      <c r="P383" s="799" t="s">
        <v>10244</v>
      </c>
      <c r="R383" s="30"/>
    </row>
    <row r="384" spans="2:18">
      <c r="B384" s="5" t="str">
        <f>Page5_GMC_VE!C32</f>
        <v>NE PAS UTILISER</v>
      </c>
      <c r="C384" s="1045" t="str">
        <f>OR_VEH!D381</f>
        <v>427-008</v>
      </c>
      <c r="D384" s="7">
        <f>Page5_GMC_VE!F32</f>
        <v>0</v>
      </c>
      <c r="E384" s="7">
        <f>Page5_GMC_VE!K32</f>
        <v>0</v>
      </c>
      <c r="F384" t="str">
        <f t="shared" si="35"/>
        <v>01-00-427-008-UNIT-CURR</v>
      </c>
      <c r="G384" t="s">
        <v>127</v>
      </c>
      <c r="H384" t="s">
        <v>10287</v>
      </c>
      <c r="I384" t="s">
        <v>10253</v>
      </c>
      <c r="K384" s="1073" t="s">
        <v>10288</v>
      </c>
      <c r="L384" s="789" t="s">
        <v>10241</v>
      </c>
      <c r="M384" s="790" t="str">
        <f t="shared" si="38"/>
        <v>427</v>
      </c>
      <c r="N384" s="790" t="str">
        <f t="shared" si="39"/>
        <v>008</v>
      </c>
      <c r="O384" s="799" t="s">
        <v>10255</v>
      </c>
      <c r="P384" s="799" t="s">
        <v>10244</v>
      </c>
      <c r="R384" s="30"/>
    </row>
    <row r="385" spans="2:18">
      <c r="B385" s="5" t="str">
        <f>Page5_GMC_VE!C33</f>
        <v>NE PAS UTILISER</v>
      </c>
      <c r="C385" s="1045" t="str">
        <f>OR_VEH!D382</f>
        <v>428-008</v>
      </c>
      <c r="D385" s="7">
        <f>Page5_GMC_VE!F33</f>
        <v>0</v>
      </c>
      <c r="E385" s="7">
        <f>Page5_GMC_VE!K33</f>
        <v>0</v>
      </c>
      <c r="F385" t="str">
        <f t="shared" si="35"/>
        <v>01-00-428-008-UNIT-CURR</v>
      </c>
      <c r="G385" t="s">
        <v>127</v>
      </c>
      <c r="H385" t="s">
        <v>10287</v>
      </c>
      <c r="I385" t="s">
        <v>10253</v>
      </c>
      <c r="K385" s="1073" t="s">
        <v>10288</v>
      </c>
      <c r="L385" s="789" t="s">
        <v>10241</v>
      </c>
      <c r="M385" s="790" t="str">
        <f t="shared" si="38"/>
        <v>428</v>
      </c>
      <c r="N385" s="790" t="str">
        <f t="shared" si="39"/>
        <v>008</v>
      </c>
      <c r="O385" s="799" t="s">
        <v>10255</v>
      </c>
      <c r="P385" s="799" t="s">
        <v>10244</v>
      </c>
      <c r="R385" s="30"/>
    </row>
    <row r="386" spans="2:18">
      <c r="B386" s="5" t="str">
        <f>Page5_GMC_VE!C34</f>
        <v>NE PAS UTILISER</v>
      </c>
      <c r="C386" s="1045" t="str">
        <f>OR_VEH!D383</f>
        <v>429-008</v>
      </c>
      <c r="D386" s="7">
        <f>Page5_GMC_VE!F34</f>
        <v>0</v>
      </c>
      <c r="E386" s="7">
        <f>Page5_GMC_VE!K34</f>
        <v>0</v>
      </c>
      <c r="F386" t="str">
        <f t="shared" si="35"/>
        <v>01-00-429-008-UNIT-CURR</v>
      </c>
      <c r="G386" t="s">
        <v>127</v>
      </c>
      <c r="H386" t="s">
        <v>10287</v>
      </c>
      <c r="I386" t="s">
        <v>10253</v>
      </c>
      <c r="K386" s="1073" t="s">
        <v>10288</v>
      </c>
      <c r="L386" s="789" t="s">
        <v>10241</v>
      </c>
      <c r="M386" s="790" t="str">
        <f t="shared" si="38"/>
        <v>429</v>
      </c>
      <c r="N386" s="790" t="str">
        <f t="shared" si="39"/>
        <v>008</v>
      </c>
      <c r="O386" s="799" t="s">
        <v>10255</v>
      </c>
      <c r="P386" s="799" t="s">
        <v>10244</v>
      </c>
      <c r="R386" s="30"/>
    </row>
    <row r="387" spans="2:18">
      <c r="B387" s="5" t="str">
        <f>Page5_GMC_VE!C35</f>
        <v>NE PAS UTILISER</v>
      </c>
      <c r="C387" s="1045" t="str">
        <f>OR_VEH!D384</f>
        <v>430-008</v>
      </c>
      <c r="D387" s="7">
        <f>Page5_GMC_VE!F35</f>
        <v>0</v>
      </c>
      <c r="E387" s="7">
        <f>Page5_GMC_VE!K35</f>
        <v>0</v>
      </c>
      <c r="F387" t="str">
        <f t="shared" si="35"/>
        <v>01-00-430-008-UNIT-CURR</v>
      </c>
      <c r="G387" t="s">
        <v>127</v>
      </c>
      <c r="H387" t="s">
        <v>10287</v>
      </c>
      <c r="I387" t="s">
        <v>10253</v>
      </c>
      <c r="K387" s="1073" t="s">
        <v>10288</v>
      </c>
      <c r="L387" s="789" t="s">
        <v>10241</v>
      </c>
      <c r="M387" s="790" t="str">
        <f t="shared" si="38"/>
        <v>430</v>
      </c>
      <c r="N387" s="790" t="str">
        <f t="shared" si="39"/>
        <v>008</v>
      </c>
      <c r="O387" s="799" t="s">
        <v>10255</v>
      </c>
      <c r="P387" s="799" t="s">
        <v>10244</v>
      </c>
      <c r="R387" s="30"/>
    </row>
    <row r="388" spans="2:18">
      <c r="B388" s="5" t="str">
        <f>Page5_GMC_VE!C36</f>
        <v>NE PAS UTILISER</v>
      </c>
      <c r="C388" s="1045" t="str">
        <f>OR_VEH!D385</f>
        <v>431-008</v>
      </c>
      <c r="D388" s="7">
        <f>Page5_GMC_VE!F36</f>
        <v>0</v>
      </c>
      <c r="E388" s="7">
        <f>Page5_GMC_VE!K36</f>
        <v>0</v>
      </c>
      <c r="F388" t="str">
        <f t="shared" si="35"/>
        <v>01-00-431-008-UNIT-CURR</v>
      </c>
      <c r="G388" t="s">
        <v>127</v>
      </c>
      <c r="H388" t="s">
        <v>10287</v>
      </c>
      <c r="I388" t="s">
        <v>10253</v>
      </c>
      <c r="K388" s="1073" t="s">
        <v>10288</v>
      </c>
      <c r="L388" s="789" t="s">
        <v>10241</v>
      </c>
      <c r="M388" s="790" t="str">
        <f t="shared" si="38"/>
        <v>431</v>
      </c>
      <c r="N388" s="790" t="str">
        <f t="shared" si="39"/>
        <v>008</v>
      </c>
      <c r="O388" s="799" t="s">
        <v>10255</v>
      </c>
      <c r="P388" s="799" t="s">
        <v>10244</v>
      </c>
      <c r="R388" s="30"/>
    </row>
    <row r="389" spans="2:18">
      <c r="B389" s="5" t="str">
        <f>Page5_GMC_VE!C37</f>
        <v>NE PAS UTILISER</v>
      </c>
      <c r="C389" s="1045" t="str">
        <f>OR_VEH!D386</f>
        <v>432-008</v>
      </c>
      <c r="D389" s="7">
        <f>Page5_GMC_VE!F37</f>
        <v>0</v>
      </c>
      <c r="E389" s="7">
        <f>Page5_GMC_VE!K37</f>
        <v>0</v>
      </c>
      <c r="F389" t="str">
        <f t="shared" si="35"/>
        <v>01-00-432-008-UNIT-CURR</v>
      </c>
      <c r="G389" t="s">
        <v>127</v>
      </c>
      <c r="H389" t="s">
        <v>10287</v>
      </c>
      <c r="I389" t="s">
        <v>10253</v>
      </c>
      <c r="K389" s="1073" t="s">
        <v>10288</v>
      </c>
      <c r="L389" s="789" t="s">
        <v>10241</v>
      </c>
      <c r="M389" s="790" t="str">
        <f t="shared" si="38"/>
        <v>432</v>
      </c>
      <c r="N389" s="790" t="str">
        <f t="shared" si="39"/>
        <v>008</v>
      </c>
      <c r="O389" s="799" t="s">
        <v>10255</v>
      </c>
      <c r="P389" s="799" t="s">
        <v>10244</v>
      </c>
      <c r="R389" s="30"/>
    </row>
    <row r="390" spans="2:18">
      <c r="B390" s="5" t="str">
        <f>Page5_GMC_VE!C38</f>
        <v>NE PAS UTILISER</v>
      </c>
      <c r="C390" s="1045" t="str">
        <f>OR_VEH!D387</f>
        <v>433-008</v>
      </c>
      <c r="D390" s="7">
        <f>Page5_GMC_VE!F38</f>
        <v>0</v>
      </c>
      <c r="E390" s="7">
        <f>Page5_GMC_VE!K38</f>
        <v>0</v>
      </c>
      <c r="F390" t="str">
        <f t="shared" si="35"/>
        <v>01-00-433-008-UNIT-CURR</v>
      </c>
      <c r="G390" t="s">
        <v>127</v>
      </c>
      <c r="H390" t="s">
        <v>10287</v>
      </c>
      <c r="I390" t="s">
        <v>10253</v>
      </c>
      <c r="K390" s="1073" t="s">
        <v>10288</v>
      </c>
      <c r="L390" s="789" t="s">
        <v>10241</v>
      </c>
      <c r="M390" s="790" t="str">
        <f t="shared" si="38"/>
        <v>433</v>
      </c>
      <c r="N390" s="790" t="str">
        <f t="shared" si="39"/>
        <v>008</v>
      </c>
      <c r="O390" s="790" t="s">
        <v>10255</v>
      </c>
      <c r="P390" s="790" t="s">
        <v>10244</v>
      </c>
      <c r="R390" s="30"/>
    </row>
    <row r="391" spans="2:18">
      <c r="B391" s="5" t="str">
        <f>Page5_GMC_VE!C39</f>
        <v>NE PAS UTILISER</v>
      </c>
      <c r="C391" s="1045" t="str">
        <f>OR_VEH!D388</f>
        <v>434-008</v>
      </c>
      <c r="D391" s="7">
        <f>Page5_GMC_VE!F39</f>
        <v>0</v>
      </c>
      <c r="E391" s="7">
        <f>Page5_GMC_VE!K39</f>
        <v>0</v>
      </c>
      <c r="F391" t="str">
        <f t="shared" si="35"/>
        <v>01-00-434-008-UNIT-CURR</v>
      </c>
      <c r="G391" t="s">
        <v>127</v>
      </c>
      <c r="H391" t="s">
        <v>10287</v>
      </c>
      <c r="I391" t="s">
        <v>10253</v>
      </c>
      <c r="K391" s="1073" t="s">
        <v>10288</v>
      </c>
      <c r="L391" s="789" t="s">
        <v>10241</v>
      </c>
      <c r="M391" s="790" t="str">
        <f t="shared" si="38"/>
        <v>434</v>
      </c>
      <c r="N391" s="790" t="str">
        <f t="shared" si="39"/>
        <v>008</v>
      </c>
      <c r="O391" s="790" t="s">
        <v>10255</v>
      </c>
      <c r="P391" s="790" t="s">
        <v>10244</v>
      </c>
      <c r="R391" s="30"/>
    </row>
    <row r="392" spans="2:18">
      <c r="B392" s="5" t="str">
        <f>Page5_GMC_VE!C40</f>
        <v>NE PAS UTILISER</v>
      </c>
      <c r="C392" s="1045" t="str">
        <f>OR_VEH!D389</f>
        <v>435-008</v>
      </c>
      <c r="D392" s="7">
        <f>Page5_GMC_VE!F40</f>
        <v>0</v>
      </c>
      <c r="E392" s="7">
        <f>Page5_GMC_VE!K40</f>
        <v>0</v>
      </c>
      <c r="F392" t="str">
        <f t="shared" si="35"/>
        <v>01-00-435-008-UNIT-CURR</v>
      </c>
      <c r="G392" t="s">
        <v>127</v>
      </c>
      <c r="H392" t="s">
        <v>10287</v>
      </c>
      <c r="I392" t="s">
        <v>10253</v>
      </c>
      <c r="K392" s="1073" t="s">
        <v>10288</v>
      </c>
      <c r="L392" s="789" t="s">
        <v>10241</v>
      </c>
      <c r="M392" s="790" t="str">
        <f t="shared" si="38"/>
        <v>435</v>
      </c>
      <c r="N392" s="790" t="str">
        <f t="shared" si="39"/>
        <v>008</v>
      </c>
      <c r="O392" s="790" t="s">
        <v>10255</v>
      </c>
      <c r="P392" s="790" t="s">
        <v>10244</v>
      </c>
      <c r="R392" s="30"/>
    </row>
    <row r="393" spans="2:18">
      <c r="B393" s="5" t="str">
        <f>Page5_GMC_VE!C41</f>
        <v>NE PAS UTILISER</v>
      </c>
      <c r="C393" s="1045" t="str">
        <f>OR_VEH!D390</f>
        <v>436-008</v>
      </c>
      <c r="D393" s="7">
        <f>Page5_GMC_VE!F41</f>
        <v>0</v>
      </c>
      <c r="E393" s="7">
        <f>Page5_GMC_VE!K41</f>
        <v>0</v>
      </c>
      <c r="F393" t="str">
        <f t="shared" si="35"/>
        <v>01-00-436-008-UNIT-CURR</v>
      </c>
      <c r="G393" t="s">
        <v>127</v>
      </c>
      <c r="H393" t="s">
        <v>10287</v>
      </c>
      <c r="I393" t="s">
        <v>10253</v>
      </c>
      <c r="K393" s="1073" t="s">
        <v>10288</v>
      </c>
      <c r="L393" s="789" t="s">
        <v>10241</v>
      </c>
      <c r="M393" s="790" t="str">
        <f t="shared" si="38"/>
        <v>436</v>
      </c>
      <c r="N393" s="790" t="str">
        <f t="shared" si="39"/>
        <v>008</v>
      </c>
      <c r="O393" s="790" t="s">
        <v>10255</v>
      </c>
      <c r="P393" s="790" t="s">
        <v>10244</v>
      </c>
      <c r="R393" s="30"/>
    </row>
    <row r="394" spans="2:18">
      <c r="B394" s="5" t="str">
        <f>Page5_GMC_VE!C42</f>
        <v>NE PAS UTILISER</v>
      </c>
      <c r="C394" s="1045" t="str">
        <f>OR_VEH!D391</f>
        <v>437-008</v>
      </c>
      <c r="D394" s="7">
        <f>Page5_GMC_VE!F42</f>
        <v>0</v>
      </c>
      <c r="E394" s="7">
        <f>Page5_GMC_VE!K42</f>
        <v>0</v>
      </c>
      <c r="F394" t="str">
        <f t="shared" si="35"/>
        <v>01-00-437-008-UNIT-CURR</v>
      </c>
      <c r="G394" t="s">
        <v>127</v>
      </c>
      <c r="H394" t="s">
        <v>10287</v>
      </c>
      <c r="I394" t="s">
        <v>10253</v>
      </c>
      <c r="K394" s="1073" t="s">
        <v>10288</v>
      </c>
      <c r="L394" s="789" t="s">
        <v>10241</v>
      </c>
      <c r="M394" s="790" t="str">
        <f t="shared" si="38"/>
        <v>437</v>
      </c>
      <c r="N394" s="790" t="str">
        <f t="shared" si="39"/>
        <v>008</v>
      </c>
      <c r="O394" s="790" t="s">
        <v>10255</v>
      </c>
      <c r="P394" s="790" t="s">
        <v>10244</v>
      </c>
      <c r="R394" s="30"/>
    </row>
    <row r="395" spans="2:18">
      <c r="B395" s="5" t="str">
        <f>Page5_GMC_VE!C43</f>
        <v>NE PAS UTILISER</v>
      </c>
      <c r="C395" s="1045" t="str">
        <f>OR_VEH!D392</f>
        <v>438-008</v>
      </c>
      <c r="D395" s="7">
        <f>Page5_GMC_VE!F43</f>
        <v>0</v>
      </c>
      <c r="E395" s="7">
        <f>Page5_GMC_VE!K43</f>
        <v>0</v>
      </c>
      <c r="F395" t="str">
        <f t="shared" si="35"/>
        <v>01-00-438-008-UNIT-CURR</v>
      </c>
      <c r="G395" t="s">
        <v>127</v>
      </c>
      <c r="H395" t="s">
        <v>10287</v>
      </c>
      <c r="I395" t="s">
        <v>10253</v>
      </c>
      <c r="K395" s="1073" t="s">
        <v>10288</v>
      </c>
      <c r="L395" s="789" t="s">
        <v>10241</v>
      </c>
      <c r="M395" s="790" t="str">
        <f t="shared" si="38"/>
        <v>438</v>
      </c>
      <c r="N395" s="790" t="str">
        <f t="shared" si="39"/>
        <v>008</v>
      </c>
      <c r="O395" s="790" t="s">
        <v>10255</v>
      </c>
      <c r="P395" s="790" t="s">
        <v>10244</v>
      </c>
      <c r="R395" s="30"/>
    </row>
    <row r="396" spans="2:18">
      <c r="B396" s="51" t="s">
        <v>10370</v>
      </c>
      <c r="C396" s="1042"/>
      <c r="D396" s="7">
        <f>Page5_GMC_VE!F44</f>
        <v>1</v>
      </c>
      <c r="E396" s="7">
        <f>Page5_GMC_VE!K44</f>
        <v>6</v>
      </c>
      <c r="F396" t="str">
        <f t="shared" si="35"/>
        <v>01-00-RTLTRK5H-UNIT-CURR</v>
      </c>
      <c r="G396" t="s">
        <v>127</v>
      </c>
      <c r="H396" t="s">
        <v>10287</v>
      </c>
      <c r="I396" t="s">
        <v>10253</v>
      </c>
      <c r="J396" t="s">
        <v>10268</v>
      </c>
      <c r="K396" s="1073" t="s">
        <v>10288</v>
      </c>
      <c r="L396" s="789" t="s">
        <v>10241</v>
      </c>
      <c r="M396" s="790" t="s">
        <v>10371</v>
      </c>
      <c r="O396" s="790" t="s">
        <v>10255</v>
      </c>
      <c r="P396" s="790" t="s">
        <v>10244</v>
      </c>
      <c r="Q396" s="791" t="s">
        <v>773</v>
      </c>
    </row>
    <row r="397" spans="2:18">
      <c r="B397" s="5" t="str">
        <f>Page5_GMC_VE!C45</f>
        <v>MÉMO* VENTES INTERNET CAMIONS</v>
      </c>
      <c r="C397" s="1045" t="str">
        <f>OR_VEH!D394</f>
        <v>439P5H</v>
      </c>
      <c r="D397" s="7">
        <f>Page5_GMC_VE!F45</f>
        <v>0</v>
      </c>
      <c r="E397" s="7">
        <f>Page5_GMC_VE!K45</f>
        <v>0</v>
      </c>
      <c r="F397" t="str">
        <f t="shared" si="35"/>
        <v>01-00-439P5H-UNIT-CURR</v>
      </c>
      <c r="G397" t="s">
        <v>127</v>
      </c>
      <c r="H397" t="s">
        <v>10287</v>
      </c>
      <c r="I397" t="s">
        <v>10253</v>
      </c>
      <c r="K397" s="1073" t="s">
        <v>10288</v>
      </c>
      <c r="L397" s="789" t="s">
        <v>10241</v>
      </c>
      <c r="M397" s="855" t="str">
        <f>C397</f>
        <v>439P5H</v>
      </c>
      <c r="N397" s="855"/>
      <c r="O397" s="790" t="s">
        <v>10255</v>
      </c>
      <c r="P397" s="790" t="s">
        <v>10244</v>
      </c>
      <c r="R397" s="30"/>
    </row>
    <row r="398" spans="2:18">
      <c r="B398" s="5" t="str">
        <f>Page5_GMC_VE!C46</f>
        <v>TOTAL PARCS - CAMIONS</v>
      </c>
      <c r="C398" s="1045" t="str">
        <f>OR_VEH!D395</f>
        <v>440P5H</v>
      </c>
      <c r="D398" s="7">
        <f>Page5_GMC_VE!F46</f>
        <v>0</v>
      </c>
      <c r="E398" s="7">
        <f>Page5_GMC_VE!K46</f>
        <v>0</v>
      </c>
      <c r="F398" t="str">
        <f t="shared" si="35"/>
        <v>01-00-440P5H-UNIT-CURR</v>
      </c>
      <c r="G398" t="s">
        <v>127</v>
      </c>
      <c r="H398" t="s">
        <v>10287</v>
      </c>
      <c r="I398" t="s">
        <v>10253</v>
      </c>
      <c r="K398" s="1073" t="s">
        <v>10288</v>
      </c>
      <c r="L398" s="789" t="s">
        <v>10241</v>
      </c>
      <c r="M398" s="855" t="str">
        <f>C398</f>
        <v>440P5H</v>
      </c>
      <c r="N398" s="855"/>
      <c r="O398" s="799" t="s">
        <v>10255</v>
      </c>
      <c r="P398" s="799" t="s">
        <v>10244</v>
      </c>
      <c r="R398" s="30"/>
    </row>
    <row r="399" spans="2:18">
      <c r="B399" s="5" t="str">
        <f>Page5_GMC_VE!C47</f>
        <v xml:space="preserve">TOTAL IINTERNE - CAMIONS </v>
      </c>
      <c r="C399" s="1045" t="str">
        <f>OR_VEH!D396</f>
        <v>441P5H</v>
      </c>
      <c r="D399" s="7">
        <f>Page5_GMC_VE!F47</f>
        <v>0</v>
      </c>
      <c r="E399" s="7">
        <f>Page5_GMC_VE!K47</f>
        <v>0</v>
      </c>
      <c r="F399" t="str">
        <f t="shared" si="35"/>
        <v>01-00-441P5H-UNIT-CURR</v>
      </c>
      <c r="G399" t="s">
        <v>127</v>
      </c>
      <c r="H399" t="s">
        <v>10287</v>
      </c>
      <c r="I399" t="s">
        <v>10253</v>
      </c>
      <c r="K399" s="1073" t="s">
        <v>10288</v>
      </c>
      <c r="L399" s="789" t="s">
        <v>10241</v>
      </c>
      <c r="M399" s="855" t="str">
        <f>C399</f>
        <v>441P5H</v>
      </c>
      <c r="N399" s="855"/>
      <c r="O399" s="799" t="s">
        <v>10255</v>
      </c>
      <c r="P399" s="799" t="s">
        <v>10244</v>
      </c>
      <c r="R399" s="30"/>
    </row>
    <row r="400" spans="2:18">
      <c r="B400" s="27" t="s">
        <v>10372</v>
      </c>
      <c r="C400" s="1042"/>
      <c r="D400" s="7">
        <f>Page5_GMC_VE!F48</f>
        <v>1</v>
      </c>
      <c r="E400" s="7">
        <f>Page5_GMC_VE!K48</f>
        <v>6</v>
      </c>
      <c r="F400" t="str">
        <f t="shared" si="35"/>
        <v>01-00-TOTTRK5H-UNIT-CURR</v>
      </c>
      <c r="G400" t="s">
        <v>127</v>
      </c>
      <c r="H400" t="s">
        <v>10287</v>
      </c>
      <c r="I400" t="s">
        <v>10253</v>
      </c>
      <c r="J400" t="s">
        <v>10268</v>
      </c>
      <c r="K400" s="1073" t="s">
        <v>10288</v>
      </c>
      <c r="L400" s="789" t="s">
        <v>10241</v>
      </c>
      <c r="M400" s="790" t="s">
        <v>10373</v>
      </c>
      <c r="O400" s="790" t="s">
        <v>10255</v>
      </c>
      <c r="P400" s="790" t="s">
        <v>10244</v>
      </c>
      <c r="Q400" s="791" t="s">
        <v>773</v>
      </c>
    </row>
    <row r="401" spans="1:18">
      <c r="B401" s="5" t="str">
        <f>Page5_GMC_VE!C50</f>
        <v>ACCESSOIRES</v>
      </c>
      <c r="C401" s="1045" t="str">
        <f>OR_VEH!D399</f>
        <v>457P5H</v>
      </c>
      <c r="D401" s="7">
        <f>Page5_GMC_VE!F50</f>
        <v>0</v>
      </c>
      <c r="E401" s="7">
        <f>Page5_GMC_VE!K50</f>
        <v>0</v>
      </c>
      <c r="F401" t="str">
        <f t="shared" si="35"/>
        <v>01-00-457P5H-UNIT-CURR</v>
      </c>
      <c r="G401" t="s">
        <v>127</v>
      </c>
      <c r="H401" t="s">
        <v>10287</v>
      </c>
      <c r="I401" t="s">
        <v>10253</v>
      </c>
      <c r="K401" s="1073" t="s">
        <v>10288</v>
      </c>
      <c r="L401" s="789" t="s">
        <v>10241</v>
      </c>
      <c r="M401" s="855" t="str">
        <f>C401</f>
        <v>457P5H</v>
      </c>
      <c r="N401" s="855"/>
      <c r="O401" s="790" t="s">
        <v>10255</v>
      </c>
      <c r="P401" s="790" t="s">
        <v>10244</v>
      </c>
      <c r="R401" s="30"/>
    </row>
    <row r="402" spans="1:18">
      <c r="B402" s="27" t="s">
        <v>10374</v>
      </c>
      <c r="C402" s="1044"/>
      <c r="D402" s="7">
        <f>Page5_GMC_VE!F51</f>
        <v>1</v>
      </c>
      <c r="E402" s="7">
        <f>Page5_GMC_VE!K51</f>
        <v>6</v>
      </c>
      <c r="F402" t="str">
        <f t="shared" si="35"/>
        <v>01-00-TOTVEH5H-UNIT-CURR</v>
      </c>
      <c r="G402" t="s">
        <v>127</v>
      </c>
      <c r="H402" t="s">
        <v>10287</v>
      </c>
      <c r="I402" t="s">
        <v>10253</v>
      </c>
      <c r="J402" t="s">
        <v>10268</v>
      </c>
      <c r="K402" s="1073" t="s">
        <v>10288</v>
      </c>
      <c r="L402" s="789" t="s">
        <v>10241</v>
      </c>
      <c r="M402" s="790" t="s">
        <v>10375</v>
      </c>
      <c r="O402" s="790" t="s">
        <v>10255</v>
      </c>
      <c r="P402" s="790" t="s">
        <v>10244</v>
      </c>
      <c r="Q402" s="791" t="s">
        <v>773</v>
      </c>
    </row>
    <row r="403" spans="1:18">
      <c r="A403" s="805" t="s">
        <v>10376</v>
      </c>
      <c r="B403" s="5" t="str">
        <f>Page5i_SANS_OBJECT!C4</f>
        <v>NE PAS UTILISER</v>
      </c>
      <c r="C403" s="1045" t="str">
        <f>OR_VEH!D403</f>
        <v>400-015</v>
      </c>
      <c r="D403" s="7">
        <f>Page5i_SANS_OBJECT!F4</f>
        <v>0</v>
      </c>
      <c r="E403" s="7">
        <f>Page5i_SANS_OBJECT!K4</f>
        <v>0</v>
      </c>
      <c r="F403" t="str">
        <f>IF(M403="","",TEXT(K403,"00")&amp;"-"&amp;L403&amp;IF(M403="","","-"&amp;M403)&amp;IF(N403="","","-"&amp;N403)&amp;IF(OR(O403="",O403=0),"","-"&amp;O403)&amp;IF(P403="","","-"&amp;P403))</f>
        <v>01-00-400-015-UNIT-CURR</v>
      </c>
      <c r="G403" t="s">
        <v>127</v>
      </c>
      <c r="H403" t="s">
        <v>10287</v>
      </c>
      <c r="I403" t="s">
        <v>10253</v>
      </c>
      <c r="J403" t="s">
        <v>10268</v>
      </c>
      <c r="K403" s="790" t="str">
        <f>IF($M403="","","01")</f>
        <v>01</v>
      </c>
      <c r="L403" s="789" t="str">
        <f>IF($M403="","","00")</f>
        <v>00</v>
      </c>
      <c r="M403" s="790" t="str">
        <f t="shared" ref="M403:M421" si="40">LEFT(C403,3)</f>
        <v>400</v>
      </c>
      <c r="N403" s="790" t="str">
        <f t="shared" ref="N403:N421" si="41">RIGHT(C403,3)</f>
        <v>015</v>
      </c>
      <c r="O403" s="790" t="str">
        <f>IF($M403="","","UNIT")</f>
        <v>UNIT</v>
      </c>
      <c r="P403" s="790" t="str">
        <f>IF($M403="","","CURR")</f>
        <v>CURR</v>
      </c>
      <c r="R403" s="30"/>
    </row>
    <row r="404" spans="1:18">
      <c r="B404" s="5" t="str">
        <f>Page5i_SANS_OBJECT!C5</f>
        <v>NE PAS UTILISER</v>
      </c>
      <c r="C404" s="1045" t="str">
        <f>OR_VEH!D404</f>
        <v>401-015</v>
      </c>
      <c r="D404" s="7">
        <f>Page5i_SANS_OBJECT!F5</f>
        <v>0</v>
      </c>
      <c r="E404" s="7">
        <f>Page5i_SANS_OBJECT!K5</f>
        <v>0</v>
      </c>
      <c r="F404" t="str">
        <f t="shared" ref="F404:F421" si="42">IF(M404="","",TEXT(K404,"00")&amp;"-"&amp;L404&amp;IF(M404="","","-"&amp;M404)&amp;IF(N404="","","-"&amp;N404)&amp;IF(OR(O404="",O404=0),"","-"&amp;O404)&amp;IF(P404="","","-"&amp;P404))</f>
        <v>01-00-401-015-UNIT-CURR</v>
      </c>
      <c r="G404" t="s">
        <v>127</v>
      </c>
      <c r="H404" t="s">
        <v>10287</v>
      </c>
      <c r="I404" t="s">
        <v>10253</v>
      </c>
      <c r="J404" t="s">
        <v>10268</v>
      </c>
      <c r="K404" s="790" t="str">
        <f t="shared" ref="K404:K421" si="43">IF($M404="","","01")</f>
        <v>01</v>
      </c>
      <c r="L404" s="789" t="str">
        <f t="shared" ref="L404:L421" si="44">IF($M404="","","00")</f>
        <v>00</v>
      </c>
      <c r="M404" s="790" t="str">
        <f t="shared" si="40"/>
        <v>401</v>
      </c>
      <c r="N404" s="790" t="str">
        <f t="shared" si="41"/>
        <v>015</v>
      </c>
      <c r="O404" s="790" t="str">
        <f t="shared" ref="O404:O421" si="45">IF($M404="","","UNIT")</f>
        <v>UNIT</v>
      </c>
      <c r="P404" s="790" t="str">
        <f t="shared" ref="P404:P421" si="46">IF($M404="","","CURR")</f>
        <v>CURR</v>
      </c>
      <c r="R404" s="30"/>
    </row>
    <row r="405" spans="1:18">
      <c r="B405" s="5" t="str">
        <f>Page5i_SANS_OBJECT!C6</f>
        <v>NE PAS UTILISER</v>
      </c>
      <c r="C405" s="1045" t="str">
        <f>OR_VEH!D405</f>
        <v>402-015</v>
      </c>
      <c r="D405" s="7">
        <f>Page5i_SANS_OBJECT!F6</f>
        <v>0</v>
      </c>
      <c r="E405" s="7">
        <f>Page5i_SANS_OBJECT!K6</f>
        <v>0</v>
      </c>
      <c r="F405" t="str">
        <f t="shared" si="42"/>
        <v>01-00-402-015-UNIT-CURR</v>
      </c>
      <c r="G405" t="s">
        <v>127</v>
      </c>
      <c r="H405" t="s">
        <v>10287</v>
      </c>
      <c r="I405" t="s">
        <v>10253</v>
      </c>
      <c r="J405" t="s">
        <v>10268</v>
      </c>
      <c r="K405" s="790" t="str">
        <f t="shared" si="43"/>
        <v>01</v>
      </c>
      <c r="L405" s="789" t="str">
        <f t="shared" si="44"/>
        <v>00</v>
      </c>
      <c r="M405" s="790" t="str">
        <f t="shared" si="40"/>
        <v>402</v>
      </c>
      <c r="N405" s="790" t="str">
        <f t="shared" si="41"/>
        <v>015</v>
      </c>
      <c r="O405" s="790" t="str">
        <f t="shared" si="45"/>
        <v>UNIT</v>
      </c>
      <c r="P405" s="790" t="str">
        <f t="shared" si="46"/>
        <v>CURR</v>
      </c>
      <c r="R405" s="30"/>
    </row>
    <row r="406" spans="1:18">
      <c r="B406" s="5" t="str">
        <f>Page5i_SANS_OBJECT!C7</f>
        <v>NE PAS UTILISER</v>
      </c>
      <c r="C406" s="1045" t="str">
        <f>OR_VEH!D406</f>
        <v>403-015</v>
      </c>
      <c r="D406" s="7">
        <f>Page5i_SANS_OBJECT!F7</f>
        <v>0</v>
      </c>
      <c r="E406" s="7">
        <f>Page5i_SANS_OBJECT!K7</f>
        <v>0</v>
      </c>
      <c r="F406" t="str">
        <f t="shared" si="42"/>
        <v>01-00-403-015-UNIT-CURR</v>
      </c>
      <c r="G406" t="s">
        <v>127</v>
      </c>
      <c r="H406" t="s">
        <v>10287</v>
      </c>
      <c r="I406" t="s">
        <v>10253</v>
      </c>
      <c r="J406" t="s">
        <v>10268</v>
      </c>
      <c r="K406" s="790" t="str">
        <f t="shared" si="43"/>
        <v>01</v>
      </c>
      <c r="L406" s="789" t="str">
        <f t="shared" si="44"/>
        <v>00</v>
      </c>
      <c r="M406" s="790" t="str">
        <f t="shared" si="40"/>
        <v>403</v>
      </c>
      <c r="N406" s="790" t="str">
        <f t="shared" si="41"/>
        <v>015</v>
      </c>
      <c r="O406" s="790" t="str">
        <f t="shared" si="45"/>
        <v>UNIT</v>
      </c>
      <c r="P406" s="790" t="str">
        <f t="shared" si="46"/>
        <v>CURR</v>
      </c>
      <c r="R406" s="30"/>
    </row>
    <row r="407" spans="1:18">
      <c r="B407" s="5" t="str">
        <f>Page5i_SANS_OBJECT!C8</f>
        <v>NE PAS UTILISER</v>
      </c>
      <c r="C407" s="1045" t="str">
        <f>OR_VEH!D407</f>
        <v>404-015</v>
      </c>
      <c r="D407" s="7">
        <f>Page5i_SANS_OBJECT!F8</f>
        <v>0</v>
      </c>
      <c r="E407" s="7">
        <f>Page5i_SANS_OBJECT!K8</f>
        <v>0</v>
      </c>
      <c r="F407" t="str">
        <f t="shared" si="42"/>
        <v>01-00-404-015-UNIT-CURR</v>
      </c>
      <c r="G407" t="s">
        <v>127</v>
      </c>
      <c r="H407" t="s">
        <v>10287</v>
      </c>
      <c r="I407" t="s">
        <v>10253</v>
      </c>
      <c r="J407" t="s">
        <v>10268</v>
      </c>
      <c r="K407" s="790" t="str">
        <f t="shared" si="43"/>
        <v>01</v>
      </c>
      <c r="L407" s="789" t="str">
        <f t="shared" si="44"/>
        <v>00</v>
      </c>
      <c r="M407" s="790" t="str">
        <f t="shared" si="40"/>
        <v>404</v>
      </c>
      <c r="N407" s="790" t="str">
        <f t="shared" si="41"/>
        <v>015</v>
      </c>
      <c r="O407" s="790" t="str">
        <f t="shared" si="45"/>
        <v>UNIT</v>
      </c>
      <c r="P407" s="790" t="str">
        <f t="shared" si="46"/>
        <v>CURR</v>
      </c>
      <c r="R407" s="30"/>
    </row>
    <row r="408" spans="1:18">
      <c r="B408" s="5" t="str">
        <f>Page5i_SANS_OBJECT!C9</f>
        <v>NE PAS UTILISER</v>
      </c>
      <c r="C408" s="1045" t="str">
        <f>OR_VEH!D408</f>
        <v>405-015</v>
      </c>
      <c r="D408" s="7">
        <f>Page5i_SANS_OBJECT!F9</f>
        <v>0</v>
      </c>
      <c r="E408" s="7">
        <f>Page5i_SANS_OBJECT!K9</f>
        <v>0</v>
      </c>
      <c r="F408" t="str">
        <f t="shared" si="42"/>
        <v>01-00-405-015-UNIT-CURR</v>
      </c>
      <c r="G408" t="s">
        <v>127</v>
      </c>
      <c r="H408" t="s">
        <v>10287</v>
      </c>
      <c r="I408" t="s">
        <v>10253</v>
      </c>
      <c r="J408" t="s">
        <v>10268</v>
      </c>
      <c r="K408" s="790" t="str">
        <f t="shared" si="43"/>
        <v>01</v>
      </c>
      <c r="L408" s="789" t="str">
        <f t="shared" si="44"/>
        <v>00</v>
      </c>
      <c r="M408" s="790" t="str">
        <f t="shared" si="40"/>
        <v>405</v>
      </c>
      <c r="N408" s="790" t="str">
        <f t="shared" si="41"/>
        <v>015</v>
      </c>
      <c r="O408" s="790" t="str">
        <f t="shared" si="45"/>
        <v>UNIT</v>
      </c>
      <c r="P408" s="790" t="str">
        <f t="shared" si="46"/>
        <v>CURR</v>
      </c>
      <c r="R408" s="30"/>
    </row>
    <row r="409" spans="1:18">
      <c r="B409" s="5" t="str">
        <f>Page5i_SANS_OBJECT!C10</f>
        <v>NE PAS UTILISER</v>
      </c>
      <c r="C409" s="1045" t="str">
        <f>OR_VEH!D409</f>
        <v>406-015</v>
      </c>
      <c r="D409" s="7">
        <f>Page5i_SANS_OBJECT!F10</f>
        <v>0</v>
      </c>
      <c r="E409" s="7">
        <f>Page5i_SANS_OBJECT!K10</f>
        <v>0</v>
      </c>
      <c r="F409" t="str">
        <f t="shared" si="42"/>
        <v>01-00-406-015-UNIT-CURR</v>
      </c>
      <c r="G409" t="s">
        <v>127</v>
      </c>
      <c r="H409" t="s">
        <v>10287</v>
      </c>
      <c r="I409" t="s">
        <v>10253</v>
      </c>
      <c r="J409" t="s">
        <v>10268</v>
      </c>
      <c r="K409" s="790" t="str">
        <f t="shared" si="43"/>
        <v>01</v>
      </c>
      <c r="L409" s="789" t="str">
        <f t="shared" si="44"/>
        <v>00</v>
      </c>
      <c r="M409" s="790" t="str">
        <f t="shared" si="40"/>
        <v>406</v>
      </c>
      <c r="N409" s="790" t="str">
        <f t="shared" si="41"/>
        <v>015</v>
      </c>
      <c r="O409" s="790" t="str">
        <f t="shared" si="45"/>
        <v>UNIT</v>
      </c>
      <c r="P409" s="790" t="str">
        <f t="shared" si="46"/>
        <v>CURR</v>
      </c>
      <c r="R409" s="30"/>
    </row>
    <row r="410" spans="1:18">
      <c r="B410" s="5" t="str">
        <f>Page5i_SANS_OBJECT!C11</f>
        <v>NE PAS UTILISER</v>
      </c>
      <c r="C410" s="1045" t="str">
        <f>OR_VEH!D410</f>
        <v>407-015</v>
      </c>
      <c r="D410" s="7">
        <f>Page5i_SANS_OBJECT!F11</f>
        <v>0</v>
      </c>
      <c r="E410" s="7">
        <f>Page5i_SANS_OBJECT!K11</f>
        <v>0</v>
      </c>
      <c r="F410" t="str">
        <f t="shared" si="42"/>
        <v>01-00-407-015-UNIT-CURR</v>
      </c>
      <c r="G410" t="s">
        <v>127</v>
      </c>
      <c r="H410" t="s">
        <v>10287</v>
      </c>
      <c r="I410" t="s">
        <v>10253</v>
      </c>
      <c r="J410" t="s">
        <v>10268</v>
      </c>
      <c r="K410" s="790" t="str">
        <f t="shared" si="43"/>
        <v>01</v>
      </c>
      <c r="L410" s="789" t="str">
        <f t="shared" si="44"/>
        <v>00</v>
      </c>
      <c r="M410" s="790" t="str">
        <f t="shared" si="40"/>
        <v>407</v>
      </c>
      <c r="N410" s="790" t="str">
        <f t="shared" si="41"/>
        <v>015</v>
      </c>
      <c r="O410" s="790" t="str">
        <f t="shared" si="45"/>
        <v>UNIT</v>
      </c>
      <c r="P410" s="790" t="str">
        <f t="shared" si="46"/>
        <v>CURR</v>
      </c>
      <c r="R410" s="30"/>
    </row>
    <row r="411" spans="1:18">
      <c r="B411" s="5" t="str">
        <f>Page5i_SANS_OBJECT!C12</f>
        <v>NE PAS UTILISER</v>
      </c>
      <c r="C411" s="1045" t="str">
        <f>OR_VEH!D411</f>
        <v>408-015</v>
      </c>
      <c r="D411" s="7">
        <f>Page5i_SANS_OBJECT!F12</f>
        <v>0</v>
      </c>
      <c r="E411" s="7">
        <f>Page5i_SANS_OBJECT!K12</f>
        <v>0</v>
      </c>
      <c r="F411" t="str">
        <f t="shared" si="42"/>
        <v>01-00-408-015-UNIT-CURR</v>
      </c>
      <c r="G411" t="s">
        <v>127</v>
      </c>
      <c r="H411" t="s">
        <v>10287</v>
      </c>
      <c r="I411" t="s">
        <v>10253</v>
      </c>
      <c r="J411" t="s">
        <v>10268</v>
      </c>
      <c r="K411" s="790" t="str">
        <f t="shared" si="43"/>
        <v>01</v>
      </c>
      <c r="L411" s="789" t="str">
        <f t="shared" si="44"/>
        <v>00</v>
      </c>
      <c r="M411" s="790" t="str">
        <f t="shared" si="40"/>
        <v>408</v>
      </c>
      <c r="N411" s="790" t="str">
        <f t="shared" si="41"/>
        <v>015</v>
      </c>
      <c r="O411" s="790" t="str">
        <f t="shared" si="45"/>
        <v>UNIT</v>
      </c>
      <c r="P411" s="790" t="str">
        <f t="shared" si="46"/>
        <v>CURR</v>
      </c>
      <c r="R411" s="30"/>
    </row>
    <row r="412" spans="1:18">
      <c r="B412" s="5" t="str">
        <f>Page5i_SANS_OBJECT!C13</f>
        <v>NE PAS UTILISER</v>
      </c>
      <c r="C412" s="1045" t="str">
        <f>OR_VEH!D412</f>
        <v>409-015</v>
      </c>
      <c r="D412" s="7">
        <f>Page5i_SANS_OBJECT!F13</f>
        <v>0</v>
      </c>
      <c r="E412" s="7">
        <f>Page5i_SANS_OBJECT!K13</f>
        <v>0</v>
      </c>
      <c r="F412" t="str">
        <f t="shared" si="42"/>
        <v>01-00-409-015-UNIT-CURR</v>
      </c>
      <c r="G412" t="s">
        <v>127</v>
      </c>
      <c r="H412" t="s">
        <v>10287</v>
      </c>
      <c r="I412" t="s">
        <v>10253</v>
      </c>
      <c r="J412" t="s">
        <v>10268</v>
      </c>
      <c r="K412" s="790" t="str">
        <f t="shared" si="43"/>
        <v>01</v>
      </c>
      <c r="L412" s="789" t="str">
        <f t="shared" si="44"/>
        <v>00</v>
      </c>
      <c r="M412" s="790" t="str">
        <f t="shared" si="40"/>
        <v>409</v>
      </c>
      <c r="N412" s="790" t="str">
        <f t="shared" si="41"/>
        <v>015</v>
      </c>
      <c r="O412" s="790" t="str">
        <f t="shared" si="45"/>
        <v>UNIT</v>
      </c>
      <c r="P412" s="790" t="str">
        <f t="shared" si="46"/>
        <v>CURR</v>
      </c>
      <c r="R412" s="30"/>
    </row>
    <row r="413" spans="1:18">
      <c r="B413" s="5" t="str">
        <f>Page5i_SANS_OBJECT!C14</f>
        <v>NE PAS UTILISER</v>
      </c>
      <c r="C413" s="1045" t="str">
        <f>OR_VEH!D413</f>
        <v>410-015</v>
      </c>
      <c r="D413" s="7">
        <f>Page5i_SANS_OBJECT!F14</f>
        <v>0</v>
      </c>
      <c r="E413" s="7">
        <f>Page5i_SANS_OBJECT!K14</f>
        <v>0</v>
      </c>
      <c r="F413" t="str">
        <f t="shared" si="42"/>
        <v>01-00-410-015-UNIT-CURR</v>
      </c>
      <c r="G413" t="s">
        <v>127</v>
      </c>
      <c r="H413" t="s">
        <v>10287</v>
      </c>
      <c r="I413" t="s">
        <v>10253</v>
      </c>
      <c r="J413" t="s">
        <v>10268</v>
      </c>
      <c r="K413" s="790" t="str">
        <f t="shared" si="43"/>
        <v>01</v>
      </c>
      <c r="L413" s="789" t="str">
        <f t="shared" si="44"/>
        <v>00</v>
      </c>
      <c r="M413" s="790" t="str">
        <f t="shared" si="40"/>
        <v>410</v>
      </c>
      <c r="N413" s="790" t="str">
        <f t="shared" si="41"/>
        <v>015</v>
      </c>
      <c r="O413" s="790" t="str">
        <f t="shared" si="45"/>
        <v>UNIT</v>
      </c>
      <c r="P413" s="790" t="str">
        <f t="shared" si="46"/>
        <v>CURR</v>
      </c>
      <c r="R413" s="30"/>
    </row>
    <row r="414" spans="1:18">
      <c r="B414" s="5" t="str">
        <f>Page5i_SANS_OBJECT!C15</f>
        <v>NE PAS UTILISER</v>
      </c>
      <c r="C414" s="1045" t="str">
        <f>OR_VEH!D414</f>
        <v>411-015</v>
      </c>
      <c r="D414" s="7">
        <f>Page5i_SANS_OBJECT!F15</f>
        <v>0</v>
      </c>
      <c r="E414" s="7">
        <f>Page5i_SANS_OBJECT!K15</f>
        <v>0</v>
      </c>
      <c r="F414" t="str">
        <f t="shared" si="42"/>
        <v>01-00-411-015-UNIT-CURR</v>
      </c>
      <c r="G414" t="s">
        <v>127</v>
      </c>
      <c r="H414" t="s">
        <v>10287</v>
      </c>
      <c r="I414" t="s">
        <v>10253</v>
      </c>
      <c r="J414" t="s">
        <v>10268</v>
      </c>
      <c r="K414" s="790" t="str">
        <f t="shared" si="43"/>
        <v>01</v>
      </c>
      <c r="L414" s="789" t="str">
        <f t="shared" si="44"/>
        <v>00</v>
      </c>
      <c r="M414" s="790" t="str">
        <f t="shared" si="40"/>
        <v>411</v>
      </c>
      <c r="N414" s="790" t="str">
        <f t="shared" si="41"/>
        <v>015</v>
      </c>
      <c r="O414" s="790" t="str">
        <f t="shared" si="45"/>
        <v>UNIT</v>
      </c>
      <c r="P414" s="790" t="str">
        <f t="shared" si="46"/>
        <v>CURR</v>
      </c>
      <c r="R414" s="30"/>
    </row>
    <row r="415" spans="1:18">
      <c r="B415" s="5" t="str">
        <f>Page5i_SANS_OBJECT!C16</f>
        <v>NE PAS UTILISER</v>
      </c>
      <c r="C415" s="1045" t="str">
        <f>OR_VEH!D415</f>
        <v>412-015</v>
      </c>
      <c r="D415" s="7">
        <f>Page5i_SANS_OBJECT!F16</f>
        <v>0</v>
      </c>
      <c r="E415" s="7">
        <f>Page5i_SANS_OBJECT!K16</f>
        <v>0</v>
      </c>
      <c r="F415" t="str">
        <f t="shared" si="42"/>
        <v>01-00-412-015-UNIT-CURR</v>
      </c>
      <c r="G415" t="s">
        <v>127</v>
      </c>
      <c r="H415" t="s">
        <v>10287</v>
      </c>
      <c r="I415" t="s">
        <v>10253</v>
      </c>
      <c r="J415" t="s">
        <v>10268</v>
      </c>
      <c r="K415" s="790" t="str">
        <f t="shared" si="43"/>
        <v>01</v>
      </c>
      <c r="L415" s="789" t="str">
        <f t="shared" si="44"/>
        <v>00</v>
      </c>
      <c r="M415" s="790" t="str">
        <f t="shared" si="40"/>
        <v>412</v>
      </c>
      <c r="N415" s="790" t="str">
        <f t="shared" si="41"/>
        <v>015</v>
      </c>
      <c r="O415" s="790" t="str">
        <f t="shared" si="45"/>
        <v>UNIT</v>
      </c>
      <c r="P415" s="790" t="str">
        <f t="shared" si="46"/>
        <v>CURR</v>
      </c>
      <c r="R415" s="30"/>
    </row>
    <row r="416" spans="1:18">
      <c r="B416" s="5" t="str">
        <f>Page5i_SANS_OBJECT!C17</f>
        <v>NE PAS UTILISER</v>
      </c>
      <c r="C416" s="1045" t="str">
        <f>OR_VEH!D416</f>
        <v>413-015</v>
      </c>
      <c r="D416" s="7">
        <f>Page5i_SANS_OBJECT!F17</f>
        <v>0</v>
      </c>
      <c r="E416" s="7">
        <f>Page5i_SANS_OBJECT!K17</f>
        <v>0</v>
      </c>
      <c r="F416" t="str">
        <f t="shared" si="42"/>
        <v>01-00-413-015-UNIT-CURR</v>
      </c>
      <c r="G416" t="s">
        <v>127</v>
      </c>
      <c r="H416" t="s">
        <v>10287</v>
      </c>
      <c r="I416" t="s">
        <v>10253</v>
      </c>
      <c r="J416" t="s">
        <v>10268</v>
      </c>
      <c r="K416" s="790" t="str">
        <f t="shared" si="43"/>
        <v>01</v>
      </c>
      <c r="L416" s="789" t="str">
        <f t="shared" si="44"/>
        <v>00</v>
      </c>
      <c r="M416" s="790" t="str">
        <f t="shared" si="40"/>
        <v>413</v>
      </c>
      <c r="N416" s="790" t="str">
        <f t="shared" si="41"/>
        <v>015</v>
      </c>
      <c r="O416" s="790" t="str">
        <f t="shared" si="45"/>
        <v>UNIT</v>
      </c>
      <c r="P416" s="790" t="str">
        <f t="shared" si="46"/>
        <v>CURR</v>
      </c>
      <c r="R416" s="30"/>
    </row>
    <row r="417" spans="2:18">
      <c r="B417" s="5" t="str">
        <f>Page5i_SANS_OBJECT!C18</f>
        <v>NE PAS UTILISER</v>
      </c>
      <c r="C417" s="1045" t="str">
        <f>OR_VEH!D417</f>
        <v>414-015</v>
      </c>
      <c r="D417" s="7">
        <f>Page5i_SANS_OBJECT!F18</f>
        <v>0</v>
      </c>
      <c r="E417" s="7">
        <f>Page5i_SANS_OBJECT!K18</f>
        <v>0</v>
      </c>
      <c r="F417" t="str">
        <f t="shared" si="42"/>
        <v>01-00-414-015-UNIT-CURR</v>
      </c>
      <c r="G417" t="s">
        <v>127</v>
      </c>
      <c r="H417" t="s">
        <v>10287</v>
      </c>
      <c r="I417" t="s">
        <v>10253</v>
      </c>
      <c r="J417" t="s">
        <v>10268</v>
      </c>
      <c r="K417" s="790" t="str">
        <f t="shared" si="43"/>
        <v>01</v>
      </c>
      <c r="L417" s="789" t="str">
        <f t="shared" si="44"/>
        <v>00</v>
      </c>
      <c r="M417" s="790" t="str">
        <f t="shared" si="40"/>
        <v>414</v>
      </c>
      <c r="N417" s="790" t="str">
        <f t="shared" si="41"/>
        <v>015</v>
      </c>
      <c r="O417" s="790" t="str">
        <f t="shared" si="45"/>
        <v>UNIT</v>
      </c>
      <c r="P417" s="790" t="str">
        <f t="shared" si="46"/>
        <v>CURR</v>
      </c>
      <c r="R417" s="30"/>
    </row>
    <row r="418" spans="2:18">
      <c r="B418" s="5" t="str">
        <f>Page5i_SANS_OBJECT!C19</f>
        <v>NE PAS UTILISER</v>
      </c>
      <c r="C418" s="1045" t="str">
        <f>OR_VEH!D418</f>
        <v>415-015</v>
      </c>
      <c r="D418" s="7">
        <f>Page5i_SANS_OBJECT!F19</f>
        <v>0</v>
      </c>
      <c r="E418" s="7">
        <f>Page5i_SANS_OBJECT!K19</f>
        <v>0</v>
      </c>
      <c r="F418" t="str">
        <f t="shared" si="42"/>
        <v>01-00-415-015-UNIT-CURR</v>
      </c>
      <c r="G418" t="s">
        <v>127</v>
      </c>
      <c r="H418" t="s">
        <v>10287</v>
      </c>
      <c r="I418" t="s">
        <v>10253</v>
      </c>
      <c r="J418" t="s">
        <v>10268</v>
      </c>
      <c r="K418" s="790" t="str">
        <f t="shared" si="43"/>
        <v>01</v>
      </c>
      <c r="L418" s="789" t="str">
        <f t="shared" si="44"/>
        <v>00</v>
      </c>
      <c r="M418" s="790" t="str">
        <f t="shared" si="40"/>
        <v>415</v>
      </c>
      <c r="N418" s="790" t="str">
        <f t="shared" si="41"/>
        <v>015</v>
      </c>
      <c r="O418" s="790" t="str">
        <f t="shared" si="45"/>
        <v>UNIT</v>
      </c>
      <c r="P418" s="790" t="str">
        <f t="shared" si="46"/>
        <v>CURR</v>
      </c>
      <c r="R418" s="30"/>
    </row>
    <row r="419" spans="2:18">
      <c r="B419" s="5" t="str">
        <f>Page5i_SANS_OBJECT!C20</f>
        <v>NE PAS UTILISER</v>
      </c>
      <c r="C419" s="1045" t="str">
        <f>OR_VEH!D419</f>
        <v>416-015</v>
      </c>
      <c r="D419" s="7">
        <f>Page5i_SANS_OBJECT!F20</f>
        <v>0</v>
      </c>
      <c r="E419" s="7">
        <f>Page5i_SANS_OBJECT!K20</f>
        <v>0</v>
      </c>
      <c r="F419" t="str">
        <f t="shared" si="42"/>
        <v>01-00-416-015-UNIT-CURR</v>
      </c>
      <c r="G419" t="s">
        <v>127</v>
      </c>
      <c r="H419" t="s">
        <v>10287</v>
      </c>
      <c r="I419" t="s">
        <v>10253</v>
      </c>
      <c r="J419" t="s">
        <v>10268</v>
      </c>
      <c r="K419" s="790" t="str">
        <f t="shared" si="43"/>
        <v>01</v>
      </c>
      <c r="L419" s="789" t="str">
        <f t="shared" si="44"/>
        <v>00</v>
      </c>
      <c r="M419" s="790" t="str">
        <f t="shared" si="40"/>
        <v>416</v>
      </c>
      <c r="N419" s="790" t="str">
        <f t="shared" si="41"/>
        <v>015</v>
      </c>
      <c r="O419" s="790" t="str">
        <f t="shared" si="45"/>
        <v>UNIT</v>
      </c>
      <c r="P419" s="790" t="str">
        <f t="shared" si="46"/>
        <v>CURR</v>
      </c>
      <c r="R419" s="30"/>
    </row>
    <row r="420" spans="2:18">
      <c r="B420" s="5" t="str">
        <f>Page5i_SANS_OBJECT!C21</f>
        <v>NE PAS UTILISER</v>
      </c>
      <c r="C420" s="1045" t="str">
        <f>OR_VEH!D420</f>
        <v>417-015</v>
      </c>
      <c r="D420" s="7">
        <f>Page5i_SANS_OBJECT!F21</f>
        <v>0</v>
      </c>
      <c r="E420" s="7">
        <f>Page5i_SANS_OBJECT!K21</f>
        <v>0</v>
      </c>
      <c r="F420" t="str">
        <f t="shared" si="42"/>
        <v>01-00-417-015-UNIT-CURR</v>
      </c>
      <c r="G420" t="s">
        <v>127</v>
      </c>
      <c r="H420" t="s">
        <v>10287</v>
      </c>
      <c r="I420" t="s">
        <v>10253</v>
      </c>
      <c r="J420" t="s">
        <v>10268</v>
      </c>
      <c r="K420" s="790" t="str">
        <f t="shared" si="43"/>
        <v>01</v>
      </c>
      <c r="L420" s="789" t="str">
        <f t="shared" si="44"/>
        <v>00</v>
      </c>
      <c r="M420" s="790" t="str">
        <f t="shared" si="40"/>
        <v>417</v>
      </c>
      <c r="N420" s="790" t="str">
        <f t="shared" si="41"/>
        <v>015</v>
      </c>
      <c r="O420" s="790" t="str">
        <f t="shared" si="45"/>
        <v>UNIT</v>
      </c>
      <c r="P420" s="790" t="str">
        <f t="shared" si="46"/>
        <v>CURR</v>
      </c>
      <c r="R420" s="30"/>
    </row>
    <row r="421" spans="2:18">
      <c r="B421" s="5" t="str">
        <f>Page5i_SANS_OBJECT!C22</f>
        <v>NE PAS UTILISER</v>
      </c>
      <c r="C421" s="1045" t="str">
        <f>OR_VEH!D421</f>
        <v>418-015</v>
      </c>
      <c r="D421" s="7">
        <f>Page5i_SANS_OBJECT!F22</f>
        <v>0</v>
      </c>
      <c r="E421" s="7">
        <f>Page5i_SANS_OBJECT!K22</f>
        <v>0</v>
      </c>
      <c r="F421" t="str">
        <f t="shared" si="42"/>
        <v>01-00-418-015-UNIT-CURR</v>
      </c>
      <c r="G421" t="s">
        <v>127</v>
      </c>
      <c r="H421" t="s">
        <v>10287</v>
      </c>
      <c r="I421" t="s">
        <v>10253</v>
      </c>
      <c r="J421" t="s">
        <v>10268</v>
      </c>
      <c r="K421" s="790" t="str">
        <f t="shared" si="43"/>
        <v>01</v>
      </c>
      <c r="L421" s="789" t="str">
        <f t="shared" si="44"/>
        <v>00</v>
      </c>
      <c r="M421" s="790" t="str">
        <f t="shared" si="40"/>
        <v>418</v>
      </c>
      <c r="N421" s="790" t="str">
        <f t="shared" si="41"/>
        <v>015</v>
      </c>
      <c r="O421" s="790" t="str">
        <f t="shared" si="45"/>
        <v>UNIT</v>
      </c>
      <c r="P421" s="790" t="str">
        <f t="shared" si="46"/>
        <v>CURR</v>
      </c>
      <c r="R421" s="30"/>
    </row>
    <row r="422" spans="2:18">
      <c r="B422" s="27" t="s">
        <v>10377</v>
      </c>
      <c r="C422" s="1042"/>
      <c r="D422" s="7">
        <f>Page5i_SANS_OBJECT!F23</f>
        <v>0</v>
      </c>
      <c r="E422" s="7">
        <f>Page5i_SANS_OBJECT!K23</f>
        <v>0</v>
      </c>
      <c r="F422" t="str">
        <f t="shared" ref="F422:F475" si="47">TEXT(K422,"00")&amp;"-"&amp;L422&amp;IF(M422="","","-"&amp;M422)&amp;IF(N422="","","-"&amp;N422)&amp;IF(OR(O422="",O422=0),"","-"&amp;O422)&amp;IF(P422="","","-"&amp;P422)</f>
        <v>01-00-RTLCAR5I-UNIT-CURR</v>
      </c>
      <c r="G422" t="s">
        <v>127</v>
      </c>
      <c r="H422" t="s">
        <v>10287</v>
      </c>
      <c r="I422" t="s">
        <v>10253</v>
      </c>
      <c r="J422" t="s">
        <v>10268</v>
      </c>
      <c r="K422" s="1073" t="s">
        <v>10288</v>
      </c>
      <c r="L422" s="789" t="s">
        <v>10241</v>
      </c>
      <c r="M422" s="790" t="s">
        <v>10378</v>
      </c>
      <c r="O422" s="790" t="s">
        <v>10255</v>
      </c>
      <c r="P422" s="790" t="s">
        <v>10244</v>
      </c>
      <c r="Q422" s="791" t="s">
        <v>773</v>
      </c>
    </row>
    <row r="423" spans="2:18">
      <c r="B423" s="5" t="str">
        <f>Page5i_SANS_OBJECT!C24</f>
        <v>MÉMO* VENTES INTERNET VOITURES</v>
      </c>
      <c r="C423" s="1045" t="str">
        <f>OR_VEH!D423</f>
        <v>419P5I</v>
      </c>
      <c r="D423" s="7">
        <f>Page5i_SANS_OBJECT!F24</f>
        <v>0</v>
      </c>
      <c r="E423" s="7">
        <f>Page5i_SANS_OBJECT!K24</f>
        <v>0</v>
      </c>
      <c r="F423" t="str">
        <f t="shared" si="47"/>
        <v>01-00-419P5I-UNIT-CURR</v>
      </c>
      <c r="G423" t="s">
        <v>127</v>
      </c>
      <c r="H423" t="s">
        <v>10287</v>
      </c>
      <c r="I423" t="s">
        <v>10253</v>
      </c>
      <c r="K423" s="1073" t="s">
        <v>10288</v>
      </c>
      <c r="L423" s="789" t="s">
        <v>10241</v>
      </c>
      <c r="M423" s="855" t="str">
        <f>C423</f>
        <v>419P5I</v>
      </c>
      <c r="N423" s="855"/>
      <c r="O423" s="790" t="s">
        <v>10255</v>
      </c>
      <c r="P423" s="790" t="s">
        <v>10244</v>
      </c>
      <c r="R423" s="30"/>
    </row>
    <row r="424" spans="2:18">
      <c r="B424" s="5" t="str">
        <f>Page5i_SANS_OBJECT!C25</f>
        <v>TOTAL PARCS - VOITURES</v>
      </c>
      <c r="C424" s="1045" t="str">
        <f>OR_VEH!D424</f>
        <v>420P5I</v>
      </c>
      <c r="D424" s="7">
        <f>Page5i_SANS_OBJECT!F25</f>
        <v>0</v>
      </c>
      <c r="E424" s="7">
        <f>Page5i_SANS_OBJECT!K25</f>
        <v>0</v>
      </c>
      <c r="F424" t="str">
        <f t="shared" si="47"/>
        <v>01-00-420P5I-UNIT-CURR</v>
      </c>
      <c r="G424" t="s">
        <v>127</v>
      </c>
      <c r="H424" t="s">
        <v>10287</v>
      </c>
      <c r="I424" t="s">
        <v>10253</v>
      </c>
      <c r="K424" s="1073" t="s">
        <v>10288</v>
      </c>
      <c r="L424" s="789" t="s">
        <v>10241</v>
      </c>
      <c r="M424" s="855" t="str">
        <f>C424</f>
        <v>420P5I</v>
      </c>
      <c r="N424" s="855"/>
      <c r="O424" s="799" t="s">
        <v>10255</v>
      </c>
      <c r="P424" s="799" t="s">
        <v>10244</v>
      </c>
      <c r="R424" s="30"/>
    </row>
    <row r="425" spans="2:18">
      <c r="B425" s="5" t="str">
        <f>Page5i_SANS_OBJECT!C26</f>
        <v>TOTAL INTERNE - VOITURES</v>
      </c>
      <c r="C425" s="1045" t="str">
        <f>OR_VEH!D425</f>
        <v>421P5I</v>
      </c>
      <c r="D425" s="7">
        <f>Page5i_SANS_OBJECT!F26</f>
        <v>0</v>
      </c>
      <c r="E425" s="7">
        <f>Page5i_SANS_OBJECT!K26</f>
        <v>0</v>
      </c>
      <c r="F425" t="str">
        <f t="shared" si="47"/>
        <v>01-00-421P5I-UNIT-CURR</v>
      </c>
      <c r="G425" t="s">
        <v>127</v>
      </c>
      <c r="H425" t="s">
        <v>10287</v>
      </c>
      <c r="I425" t="s">
        <v>10253</v>
      </c>
      <c r="K425" s="1073" t="s">
        <v>10288</v>
      </c>
      <c r="L425" s="789" t="s">
        <v>10241</v>
      </c>
      <c r="M425" s="855" t="str">
        <f>C425</f>
        <v>421P5I</v>
      </c>
      <c r="N425" s="855"/>
      <c r="O425" s="799" t="s">
        <v>10255</v>
      </c>
      <c r="P425" s="799" t="s">
        <v>10244</v>
      </c>
      <c r="R425" s="30"/>
    </row>
    <row r="426" spans="2:18">
      <c r="B426" s="27" t="s">
        <v>10379</v>
      </c>
      <c r="C426" s="1042"/>
      <c r="D426" s="7">
        <f>Page5i_SANS_OBJECT!F27</f>
        <v>0</v>
      </c>
      <c r="E426" s="7">
        <f>Page5i_SANS_OBJECT!K27</f>
        <v>0</v>
      </c>
      <c r="F426" t="str">
        <f t="shared" si="47"/>
        <v>01-00-TOTCAR5I-UNIT-CURR</v>
      </c>
      <c r="G426" t="s">
        <v>127</v>
      </c>
      <c r="H426" t="s">
        <v>10287</v>
      </c>
      <c r="I426" t="s">
        <v>10253</v>
      </c>
      <c r="J426" t="s">
        <v>10268</v>
      </c>
      <c r="K426" s="1073" t="s">
        <v>10288</v>
      </c>
      <c r="L426" s="789" t="s">
        <v>10241</v>
      </c>
      <c r="M426" s="790" t="s">
        <v>10380</v>
      </c>
      <c r="O426" s="790" t="s">
        <v>10255</v>
      </c>
      <c r="P426" s="790" t="s">
        <v>10244</v>
      </c>
      <c r="Q426" s="791" t="s">
        <v>773</v>
      </c>
    </row>
    <row r="427" spans="2:18">
      <c r="B427" s="5" t="str">
        <f>Page5i_SANS_OBJECT!C28</f>
        <v>NE PAS UTILISER</v>
      </c>
      <c r="C427" s="1045" t="str">
        <f>OR_VEH!D427</f>
        <v>423-015</v>
      </c>
      <c r="D427" s="7">
        <f>Page5i_SANS_OBJECT!F28</f>
        <v>0</v>
      </c>
      <c r="E427" s="7">
        <f>Page5i_SANS_OBJECT!K28</f>
        <v>0</v>
      </c>
      <c r="F427" t="str">
        <f t="shared" ref="F427:F442" si="48">IF(M427="","",TEXT(K427,"00")&amp;"-"&amp;L427&amp;IF(M427="","","-"&amp;M427)&amp;IF(N427="","","-"&amp;N427)&amp;IF(OR(O427="",O427=0),"","-"&amp;O427)&amp;IF(P427="","","-"&amp;P427))</f>
        <v>01-00-423-015-UNIT-CURR</v>
      </c>
      <c r="G427" t="s">
        <v>127</v>
      </c>
      <c r="H427" t="s">
        <v>10287</v>
      </c>
      <c r="I427" t="s">
        <v>10253</v>
      </c>
      <c r="J427" t="s">
        <v>10268</v>
      </c>
      <c r="K427" s="790" t="str">
        <f t="shared" ref="K427:K442" si="49">IF($M427="","","01")</f>
        <v>01</v>
      </c>
      <c r="L427" s="789" t="str">
        <f t="shared" ref="L427:L442" si="50">IF($M427="","","00")</f>
        <v>00</v>
      </c>
      <c r="M427" s="790" t="str">
        <f t="shared" ref="M427:M442" si="51">LEFT(C427,3)</f>
        <v>423</v>
      </c>
      <c r="N427" s="790" t="str">
        <f t="shared" ref="N427:N442" si="52">RIGHT(C427,3)</f>
        <v>015</v>
      </c>
      <c r="O427" s="790" t="str">
        <f t="shared" ref="O427:O442" si="53">IF($M427="","","UNIT")</f>
        <v>UNIT</v>
      </c>
      <c r="P427" s="790" t="str">
        <f t="shared" ref="P427:P442" si="54">IF($M427="","","CURR")</f>
        <v>CURR</v>
      </c>
      <c r="R427" s="30"/>
    </row>
    <row r="428" spans="2:18">
      <c r="B428" s="5" t="str">
        <f>Page5i_SANS_OBJECT!C29</f>
        <v>NE PAS UTILISER</v>
      </c>
      <c r="C428" s="1045" t="str">
        <f>OR_VEH!D428</f>
        <v>424-015</v>
      </c>
      <c r="D428" s="7">
        <f>Page5i_SANS_OBJECT!F29</f>
        <v>0</v>
      </c>
      <c r="E428" s="7">
        <f>Page5i_SANS_OBJECT!K29</f>
        <v>0</v>
      </c>
      <c r="F428" t="str">
        <f t="shared" si="48"/>
        <v>01-00-424-015-UNIT-CURR</v>
      </c>
      <c r="G428" t="s">
        <v>127</v>
      </c>
      <c r="H428" t="s">
        <v>10287</v>
      </c>
      <c r="I428" t="s">
        <v>10253</v>
      </c>
      <c r="J428" t="s">
        <v>10268</v>
      </c>
      <c r="K428" s="790" t="str">
        <f t="shared" si="49"/>
        <v>01</v>
      </c>
      <c r="L428" s="789" t="str">
        <f t="shared" si="50"/>
        <v>00</v>
      </c>
      <c r="M428" s="790" t="str">
        <f t="shared" si="51"/>
        <v>424</v>
      </c>
      <c r="N428" s="790" t="str">
        <f t="shared" si="52"/>
        <v>015</v>
      </c>
      <c r="O428" s="790" t="str">
        <f t="shared" si="53"/>
        <v>UNIT</v>
      </c>
      <c r="P428" s="790" t="str">
        <f t="shared" si="54"/>
        <v>CURR</v>
      </c>
      <c r="R428" s="30"/>
    </row>
    <row r="429" spans="2:18">
      <c r="B429" s="5" t="str">
        <f>Page5i_SANS_OBJECT!C30</f>
        <v>NE PAS UTILISER</v>
      </c>
      <c r="C429" s="1045" t="str">
        <f>OR_VEH!D429</f>
        <v>425-015</v>
      </c>
      <c r="D429" s="7">
        <f>Page5i_SANS_OBJECT!F30</f>
        <v>0</v>
      </c>
      <c r="E429" s="7">
        <f>Page5i_SANS_OBJECT!K30</f>
        <v>0</v>
      </c>
      <c r="F429" t="str">
        <f t="shared" si="48"/>
        <v>01-00-425-015-UNIT-CURR</v>
      </c>
      <c r="G429" t="s">
        <v>127</v>
      </c>
      <c r="H429" t="s">
        <v>10287</v>
      </c>
      <c r="I429" t="s">
        <v>10253</v>
      </c>
      <c r="J429" t="s">
        <v>10268</v>
      </c>
      <c r="K429" s="790" t="str">
        <f t="shared" si="49"/>
        <v>01</v>
      </c>
      <c r="L429" s="789" t="str">
        <f t="shared" si="50"/>
        <v>00</v>
      </c>
      <c r="M429" s="790" t="str">
        <f t="shared" si="51"/>
        <v>425</v>
      </c>
      <c r="N429" s="790" t="str">
        <f t="shared" si="52"/>
        <v>015</v>
      </c>
      <c r="O429" s="790" t="str">
        <f t="shared" si="53"/>
        <v>UNIT</v>
      </c>
      <c r="P429" s="790" t="str">
        <f t="shared" si="54"/>
        <v>CURR</v>
      </c>
      <c r="R429" s="30"/>
    </row>
    <row r="430" spans="2:18">
      <c r="B430" s="5" t="str">
        <f>Page5i_SANS_OBJECT!C31</f>
        <v>NE PAS UTILISER</v>
      </c>
      <c r="C430" s="1045" t="str">
        <f>OR_VEH!D430</f>
        <v>426-015</v>
      </c>
      <c r="D430" s="7">
        <f>Page5i_SANS_OBJECT!F31</f>
        <v>0</v>
      </c>
      <c r="E430" s="7">
        <f>Page5i_SANS_OBJECT!K31</f>
        <v>0</v>
      </c>
      <c r="F430" t="str">
        <f t="shared" si="48"/>
        <v>01-00-426-015-UNIT-CURR</v>
      </c>
      <c r="G430" t="s">
        <v>127</v>
      </c>
      <c r="H430" t="s">
        <v>10287</v>
      </c>
      <c r="I430" t="s">
        <v>10253</v>
      </c>
      <c r="J430" t="s">
        <v>10268</v>
      </c>
      <c r="K430" s="790" t="str">
        <f t="shared" si="49"/>
        <v>01</v>
      </c>
      <c r="L430" s="789" t="str">
        <f t="shared" si="50"/>
        <v>00</v>
      </c>
      <c r="M430" s="790" t="str">
        <f t="shared" si="51"/>
        <v>426</v>
      </c>
      <c r="N430" s="790" t="str">
        <f t="shared" si="52"/>
        <v>015</v>
      </c>
      <c r="O430" s="790" t="str">
        <f t="shared" si="53"/>
        <v>UNIT</v>
      </c>
      <c r="P430" s="790" t="str">
        <f t="shared" si="54"/>
        <v>CURR</v>
      </c>
      <c r="R430" s="30"/>
    </row>
    <row r="431" spans="2:18">
      <c r="B431" s="5" t="str">
        <f>Page5i_SANS_OBJECT!C32</f>
        <v>NE PAS UTILISER</v>
      </c>
      <c r="C431" s="1045" t="str">
        <f>OR_VEH!D431</f>
        <v>427-015</v>
      </c>
      <c r="D431" s="7">
        <f>Page5i_SANS_OBJECT!F32</f>
        <v>0</v>
      </c>
      <c r="E431" s="7">
        <f>Page5i_SANS_OBJECT!K32</f>
        <v>0</v>
      </c>
      <c r="F431" t="str">
        <f t="shared" si="48"/>
        <v>01-00-427-015-UNIT-CURR</v>
      </c>
      <c r="G431" t="s">
        <v>127</v>
      </c>
      <c r="H431" t="s">
        <v>10287</v>
      </c>
      <c r="I431" t="s">
        <v>10253</v>
      </c>
      <c r="J431" t="s">
        <v>10268</v>
      </c>
      <c r="K431" s="790" t="str">
        <f t="shared" si="49"/>
        <v>01</v>
      </c>
      <c r="L431" s="789" t="str">
        <f t="shared" si="50"/>
        <v>00</v>
      </c>
      <c r="M431" s="790" t="str">
        <f t="shared" si="51"/>
        <v>427</v>
      </c>
      <c r="N431" s="790" t="str">
        <f t="shared" si="52"/>
        <v>015</v>
      </c>
      <c r="O431" s="790" t="str">
        <f t="shared" si="53"/>
        <v>UNIT</v>
      </c>
      <c r="P431" s="790" t="str">
        <f t="shared" si="54"/>
        <v>CURR</v>
      </c>
      <c r="R431" s="30"/>
    </row>
    <row r="432" spans="2:18">
      <c r="B432" s="5" t="str">
        <f>Page5i_SANS_OBJECT!C33</f>
        <v>NE PAS UTILISER</v>
      </c>
      <c r="C432" s="1045" t="str">
        <f>OR_VEH!D432</f>
        <v>428-015</v>
      </c>
      <c r="D432" s="7">
        <f>Page5i_SANS_OBJECT!F33</f>
        <v>0</v>
      </c>
      <c r="E432" s="7">
        <f>Page5i_SANS_OBJECT!K33</f>
        <v>0</v>
      </c>
      <c r="F432" t="str">
        <f t="shared" si="48"/>
        <v>01-00-428-015-UNIT-CURR</v>
      </c>
      <c r="G432" t="s">
        <v>127</v>
      </c>
      <c r="H432" t="s">
        <v>10287</v>
      </c>
      <c r="I432" t="s">
        <v>10253</v>
      </c>
      <c r="J432" t="s">
        <v>10268</v>
      </c>
      <c r="K432" s="790" t="str">
        <f t="shared" si="49"/>
        <v>01</v>
      </c>
      <c r="L432" s="789" t="str">
        <f t="shared" si="50"/>
        <v>00</v>
      </c>
      <c r="M432" s="790" t="str">
        <f t="shared" si="51"/>
        <v>428</v>
      </c>
      <c r="N432" s="790" t="str">
        <f t="shared" si="52"/>
        <v>015</v>
      </c>
      <c r="O432" s="790" t="str">
        <f t="shared" si="53"/>
        <v>UNIT</v>
      </c>
      <c r="P432" s="790" t="str">
        <f t="shared" si="54"/>
        <v>CURR</v>
      </c>
      <c r="R432" s="30"/>
    </row>
    <row r="433" spans="2:18">
      <c r="B433" s="5" t="str">
        <f>Page5i_SANS_OBJECT!C34</f>
        <v>NE PAS UTILISER</v>
      </c>
      <c r="C433" s="1045" t="str">
        <f>OR_VEH!D433</f>
        <v>429-015</v>
      </c>
      <c r="D433" s="7">
        <f>Page5i_SANS_OBJECT!F34</f>
        <v>0</v>
      </c>
      <c r="E433" s="7">
        <f>Page5i_SANS_OBJECT!K34</f>
        <v>0</v>
      </c>
      <c r="F433" t="str">
        <f t="shared" si="48"/>
        <v>01-00-429-015-UNIT-CURR</v>
      </c>
      <c r="G433" t="s">
        <v>127</v>
      </c>
      <c r="H433" t="s">
        <v>10287</v>
      </c>
      <c r="I433" t="s">
        <v>10253</v>
      </c>
      <c r="J433" t="s">
        <v>10268</v>
      </c>
      <c r="K433" s="790" t="str">
        <f t="shared" si="49"/>
        <v>01</v>
      </c>
      <c r="L433" s="789" t="str">
        <f t="shared" si="50"/>
        <v>00</v>
      </c>
      <c r="M433" s="790" t="str">
        <f t="shared" si="51"/>
        <v>429</v>
      </c>
      <c r="N433" s="790" t="str">
        <f t="shared" si="52"/>
        <v>015</v>
      </c>
      <c r="O433" s="790" t="str">
        <f t="shared" si="53"/>
        <v>UNIT</v>
      </c>
      <c r="P433" s="790" t="str">
        <f t="shared" si="54"/>
        <v>CURR</v>
      </c>
      <c r="R433" s="30"/>
    </row>
    <row r="434" spans="2:18">
      <c r="B434" s="5" t="str">
        <f>Page5i_SANS_OBJECT!C35</f>
        <v>NE PAS UTILISER</v>
      </c>
      <c r="C434" s="1045" t="str">
        <f>OR_VEH!D434</f>
        <v>430-015</v>
      </c>
      <c r="D434" s="7">
        <f>Page5i_SANS_OBJECT!F35</f>
        <v>0</v>
      </c>
      <c r="E434" s="7">
        <f>Page5i_SANS_OBJECT!K35</f>
        <v>0</v>
      </c>
      <c r="F434" t="str">
        <f t="shared" si="48"/>
        <v>01-00-430-015-UNIT-CURR</v>
      </c>
      <c r="G434" t="s">
        <v>127</v>
      </c>
      <c r="H434" t="s">
        <v>10287</v>
      </c>
      <c r="I434" t="s">
        <v>10253</v>
      </c>
      <c r="J434" t="s">
        <v>10268</v>
      </c>
      <c r="K434" s="790" t="str">
        <f t="shared" si="49"/>
        <v>01</v>
      </c>
      <c r="L434" s="789" t="str">
        <f t="shared" si="50"/>
        <v>00</v>
      </c>
      <c r="M434" s="790" t="str">
        <f t="shared" si="51"/>
        <v>430</v>
      </c>
      <c r="N434" s="790" t="str">
        <f t="shared" si="52"/>
        <v>015</v>
      </c>
      <c r="O434" s="790" t="str">
        <f t="shared" si="53"/>
        <v>UNIT</v>
      </c>
      <c r="P434" s="790" t="str">
        <f t="shared" si="54"/>
        <v>CURR</v>
      </c>
      <c r="R434" s="30"/>
    </row>
    <row r="435" spans="2:18">
      <c r="B435" s="5" t="str">
        <f>Page5i_SANS_OBJECT!C36</f>
        <v>NE PAS UTILISER</v>
      </c>
      <c r="C435" s="1045" t="str">
        <f>OR_VEH!D435</f>
        <v>431-015</v>
      </c>
      <c r="D435" s="7">
        <f>Page5i_SANS_OBJECT!F36</f>
        <v>0</v>
      </c>
      <c r="E435" s="7">
        <f>Page5i_SANS_OBJECT!K36</f>
        <v>0</v>
      </c>
      <c r="F435" t="str">
        <f t="shared" si="48"/>
        <v>01-00-431-015-UNIT-CURR</v>
      </c>
      <c r="G435" t="s">
        <v>127</v>
      </c>
      <c r="H435" t="s">
        <v>10287</v>
      </c>
      <c r="I435" t="s">
        <v>10253</v>
      </c>
      <c r="J435" t="s">
        <v>10268</v>
      </c>
      <c r="K435" s="790" t="str">
        <f t="shared" si="49"/>
        <v>01</v>
      </c>
      <c r="L435" s="789" t="str">
        <f t="shared" si="50"/>
        <v>00</v>
      </c>
      <c r="M435" s="790" t="str">
        <f t="shared" si="51"/>
        <v>431</v>
      </c>
      <c r="N435" s="790" t="str">
        <f t="shared" si="52"/>
        <v>015</v>
      </c>
      <c r="O435" s="790" t="str">
        <f t="shared" si="53"/>
        <v>UNIT</v>
      </c>
      <c r="P435" s="790" t="str">
        <f t="shared" si="54"/>
        <v>CURR</v>
      </c>
      <c r="R435" s="30"/>
    </row>
    <row r="436" spans="2:18">
      <c r="B436" s="5" t="str">
        <f>Page5i_SANS_OBJECT!C37</f>
        <v>NE PAS UTILISER</v>
      </c>
      <c r="C436" s="1045" t="str">
        <f>OR_VEH!D436</f>
        <v>432-015</v>
      </c>
      <c r="D436" s="7">
        <f>Page5i_SANS_OBJECT!F37</f>
        <v>0</v>
      </c>
      <c r="E436" s="7">
        <f>Page5i_SANS_OBJECT!K37</f>
        <v>0</v>
      </c>
      <c r="F436" t="str">
        <f t="shared" si="48"/>
        <v>01-00-432-015-UNIT-CURR</v>
      </c>
      <c r="G436" t="s">
        <v>127</v>
      </c>
      <c r="H436" t="s">
        <v>10287</v>
      </c>
      <c r="I436" t="s">
        <v>10253</v>
      </c>
      <c r="J436" t="s">
        <v>10268</v>
      </c>
      <c r="K436" s="790" t="str">
        <f t="shared" si="49"/>
        <v>01</v>
      </c>
      <c r="L436" s="789" t="str">
        <f t="shared" si="50"/>
        <v>00</v>
      </c>
      <c r="M436" s="790" t="str">
        <f t="shared" si="51"/>
        <v>432</v>
      </c>
      <c r="N436" s="790" t="str">
        <f t="shared" si="52"/>
        <v>015</v>
      </c>
      <c r="O436" s="790" t="str">
        <f t="shared" si="53"/>
        <v>UNIT</v>
      </c>
      <c r="P436" s="790" t="str">
        <f t="shared" si="54"/>
        <v>CURR</v>
      </c>
      <c r="R436" s="30"/>
    </row>
    <row r="437" spans="2:18">
      <c r="B437" s="5" t="str">
        <f>Page5i_SANS_OBJECT!C38</f>
        <v>NE PAS UTILISER</v>
      </c>
      <c r="C437" s="1045" t="str">
        <f>OR_VEH!D437</f>
        <v>433-015</v>
      </c>
      <c r="D437" s="7">
        <f>Page5i_SANS_OBJECT!F38</f>
        <v>0</v>
      </c>
      <c r="E437" s="7">
        <f>Page5i_SANS_OBJECT!K38</f>
        <v>0</v>
      </c>
      <c r="F437" t="str">
        <f t="shared" si="48"/>
        <v>01-00-433-015-UNIT-CURR</v>
      </c>
      <c r="G437" t="s">
        <v>127</v>
      </c>
      <c r="H437" t="s">
        <v>10287</v>
      </c>
      <c r="I437" t="s">
        <v>10253</v>
      </c>
      <c r="J437" t="s">
        <v>10268</v>
      </c>
      <c r="K437" s="790" t="str">
        <f t="shared" si="49"/>
        <v>01</v>
      </c>
      <c r="L437" s="789" t="str">
        <f t="shared" si="50"/>
        <v>00</v>
      </c>
      <c r="M437" s="790" t="str">
        <f t="shared" si="51"/>
        <v>433</v>
      </c>
      <c r="N437" s="790" t="str">
        <f t="shared" si="52"/>
        <v>015</v>
      </c>
      <c r="O437" s="790" t="str">
        <f t="shared" si="53"/>
        <v>UNIT</v>
      </c>
      <c r="P437" s="790" t="str">
        <f t="shared" si="54"/>
        <v>CURR</v>
      </c>
      <c r="R437" s="30"/>
    </row>
    <row r="438" spans="2:18">
      <c r="B438" s="5" t="str">
        <f>Page5i_SANS_OBJECT!C39</f>
        <v>NE PAS UTILISER</v>
      </c>
      <c r="C438" s="1045" t="str">
        <f>OR_VEH!D438</f>
        <v>434-015</v>
      </c>
      <c r="D438" s="7">
        <f>Page5i_SANS_OBJECT!F39</f>
        <v>0</v>
      </c>
      <c r="E438" s="7">
        <f>Page5i_SANS_OBJECT!K39</f>
        <v>0</v>
      </c>
      <c r="F438" t="str">
        <f t="shared" si="48"/>
        <v>01-00-434-015-UNIT-CURR</v>
      </c>
      <c r="G438" t="s">
        <v>127</v>
      </c>
      <c r="H438" t="s">
        <v>10287</v>
      </c>
      <c r="I438" t="s">
        <v>10253</v>
      </c>
      <c r="J438" t="s">
        <v>10268</v>
      </c>
      <c r="K438" s="790" t="str">
        <f t="shared" si="49"/>
        <v>01</v>
      </c>
      <c r="L438" s="789" t="str">
        <f t="shared" si="50"/>
        <v>00</v>
      </c>
      <c r="M438" s="790" t="str">
        <f t="shared" si="51"/>
        <v>434</v>
      </c>
      <c r="N438" s="790" t="str">
        <f t="shared" si="52"/>
        <v>015</v>
      </c>
      <c r="O438" s="790" t="str">
        <f t="shared" si="53"/>
        <v>UNIT</v>
      </c>
      <c r="P438" s="790" t="str">
        <f t="shared" si="54"/>
        <v>CURR</v>
      </c>
      <c r="R438" s="30"/>
    </row>
    <row r="439" spans="2:18">
      <c r="B439" s="5" t="str">
        <f>Page5i_SANS_OBJECT!C40</f>
        <v>NE PAS UTILISER</v>
      </c>
      <c r="C439" s="1045" t="str">
        <f>OR_VEH!D439</f>
        <v>435-015</v>
      </c>
      <c r="D439" s="7">
        <f>Page5i_SANS_OBJECT!F40</f>
        <v>0</v>
      </c>
      <c r="E439" s="7">
        <f>Page5i_SANS_OBJECT!K40</f>
        <v>0</v>
      </c>
      <c r="F439" t="str">
        <f t="shared" si="48"/>
        <v>01-00-435-015-UNIT-CURR</v>
      </c>
      <c r="G439" t="s">
        <v>127</v>
      </c>
      <c r="H439" t="s">
        <v>10287</v>
      </c>
      <c r="I439" t="s">
        <v>10253</v>
      </c>
      <c r="J439" t="s">
        <v>10268</v>
      </c>
      <c r="K439" s="790" t="str">
        <f t="shared" si="49"/>
        <v>01</v>
      </c>
      <c r="L439" s="789" t="str">
        <f t="shared" si="50"/>
        <v>00</v>
      </c>
      <c r="M439" s="790" t="str">
        <f t="shared" si="51"/>
        <v>435</v>
      </c>
      <c r="N439" s="790" t="str">
        <f t="shared" si="52"/>
        <v>015</v>
      </c>
      <c r="O439" s="790" t="str">
        <f t="shared" si="53"/>
        <v>UNIT</v>
      </c>
      <c r="P439" s="790" t="str">
        <f t="shared" si="54"/>
        <v>CURR</v>
      </c>
      <c r="R439" s="30"/>
    </row>
    <row r="440" spans="2:18">
      <c r="B440" s="5" t="str">
        <f>Page5i_SANS_OBJECT!C41</f>
        <v>NE PAS UTILISER</v>
      </c>
      <c r="C440" s="1045" t="str">
        <f>OR_VEH!D440</f>
        <v>436-015</v>
      </c>
      <c r="D440" s="7">
        <f>Page5i_SANS_OBJECT!F41</f>
        <v>0</v>
      </c>
      <c r="E440" s="7">
        <f>Page5i_SANS_OBJECT!K41</f>
        <v>0</v>
      </c>
      <c r="F440" t="str">
        <f t="shared" si="48"/>
        <v>01-00-436-015-UNIT-CURR</v>
      </c>
      <c r="G440" t="s">
        <v>127</v>
      </c>
      <c r="H440" t="s">
        <v>10287</v>
      </c>
      <c r="I440" t="s">
        <v>10253</v>
      </c>
      <c r="J440" t="s">
        <v>10268</v>
      </c>
      <c r="K440" s="790" t="str">
        <f t="shared" si="49"/>
        <v>01</v>
      </c>
      <c r="L440" s="789" t="str">
        <f t="shared" si="50"/>
        <v>00</v>
      </c>
      <c r="M440" s="790" t="str">
        <f t="shared" si="51"/>
        <v>436</v>
      </c>
      <c r="N440" s="790" t="str">
        <f t="shared" si="52"/>
        <v>015</v>
      </c>
      <c r="O440" s="790" t="str">
        <f t="shared" si="53"/>
        <v>UNIT</v>
      </c>
      <c r="P440" s="790" t="str">
        <f t="shared" si="54"/>
        <v>CURR</v>
      </c>
      <c r="R440" s="30"/>
    </row>
    <row r="441" spans="2:18">
      <c r="B441" s="5" t="str">
        <f>Page5i_SANS_OBJECT!C42</f>
        <v>POUR USAGE FUTUR</v>
      </c>
      <c r="C441" s="1045" t="str">
        <f>OR_VEH!D441</f>
        <v>437-015</v>
      </c>
      <c r="D441" s="7">
        <f>Page5i_SANS_OBJECT!F42</f>
        <v>0</v>
      </c>
      <c r="E441" s="7">
        <f>Page5i_SANS_OBJECT!K42</f>
        <v>0</v>
      </c>
      <c r="F441" t="str">
        <f t="shared" si="48"/>
        <v>01-00-437-015-UNIT-CURR</v>
      </c>
      <c r="G441" t="s">
        <v>127</v>
      </c>
      <c r="H441" t="s">
        <v>10287</v>
      </c>
      <c r="I441" t="s">
        <v>10253</v>
      </c>
      <c r="J441" t="s">
        <v>10268</v>
      </c>
      <c r="K441" s="790" t="str">
        <f t="shared" si="49"/>
        <v>01</v>
      </c>
      <c r="L441" s="789" t="str">
        <f t="shared" si="50"/>
        <v>00</v>
      </c>
      <c r="M441" s="790" t="str">
        <f t="shared" si="51"/>
        <v>437</v>
      </c>
      <c r="N441" s="790" t="str">
        <f t="shared" si="52"/>
        <v>015</v>
      </c>
      <c r="O441" s="790" t="str">
        <f t="shared" si="53"/>
        <v>UNIT</v>
      </c>
      <c r="P441" s="790" t="str">
        <f t="shared" si="54"/>
        <v>CURR</v>
      </c>
      <c r="R441" s="30"/>
    </row>
    <row r="442" spans="2:18">
      <c r="B442" s="5" t="str">
        <f>Page5i_SANS_OBJECT!C43</f>
        <v>AUTRES POIDS MOYEN</v>
      </c>
      <c r="C442" s="1045" t="str">
        <f>OR_VEH!D442</f>
        <v>438-015</v>
      </c>
      <c r="D442" s="7">
        <f>Page5i_SANS_OBJECT!F43</f>
        <v>0</v>
      </c>
      <c r="E442" s="7">
        <f>Page5i_SANS_OBJECT!K43</f>
        <v>0</v>
      </c>
      <c r="F442" t="str">
        <f t="shared" si="48"/>
        <v>01-00-438-015-UNIT-CURR</v>
      </c>
      <c r="G442" t="s">
        <v>127</v>
      </c>
      <c r="H442" t="s">
        <v>10287</v>
      </c>
      <c r="I442" t="s">
        <v>10253</v>
      </c>
      <c r="J442" t="s">
        <v>10268</v>
      </c>
      <c r="K442" s="790" t="str">
        <f t="shared" si="49"/>
        <v>01</v>
      </c>
      <c r="L442" s="789" t="str">
        <f t="shared" si="50"/>
        <v>00</v>
      </c>
      <c r="M442" s="790" t="str">
        <f t="shared" si="51"/>
        <v>438</v>
      </c>
      <c r="N442" s="790" t="str">
        <f t="shared" si="52"/>
        <v>015</v>
      </c>
      <c r="O442" s="790" t="str">
        <f t="shared" si="53"/>
        <v>UNIT</v>
      </c>
      <c r="P442" s="790" t="str">
        <f t="shared" si="54"/>
        <v>CURR</v>
      </c>
      <c r="R442" s="30"/>
    </row>
    <row r="443" spans="2:18">
      <c r="B443" s="51" t="s">
        <v>10381</v>
      </c>
      <c r="C443" s="1042"/>
      <c r="D443" s="7">
        <f>Page5i_SANS_OBJECT!F44</f>
        <v>0</v>
      </c>
      <c r="E443" s="7">
        <f>Page5i_SANS_OBJECT!K44</f>
        <v>0</v>
      </c>
      <c r="F443" t="str">
        <f t="shared" si="47"/>
        <v>01-00-RTLTRK5I-UNIT-CURR</v>
      </c>
      <c r="G443" t="s">
        <v>127</v>
      </c>
      <c r="H443" t="s">
        <v>10287</v>
      </c>
      <c r="I443" t="s">
        <v>10253</v>
      </c>
      <c r="J443" t="s">
        <v>10268</v>
      </c>
      <c r="K443" s="1073" t="s">
        <v>10288</v>
      </c>
      <c r="L443" s="789" t="s">
        <v>10241</v>
      </c>
      <c r="M443" s="790" t="s">
        <v>10382</v>
      </c>
      <c r="O443" s="790" t="s">
        <v>10255</v>
      </c>
      <c r="P443" s="790" t="s">
        <v>10244</v>
      </c>
      <c r="Q443" s="791" t="s">
        <v>773</v>
      </c>
    </row>
    <row r="444" spans="2:18">
      <c r="B444" s="5" t="str">
        <f>Page5i_SANS_OBJECT!C45</f>
        <v>MÉMO* VENTES INTERNET CAMIONS</v>
      </c>
      <c r="C444" s="1045" t="str">
        <f>OR_VEH!D444</f>
        <v>439P5I</v>
      </c>
      <c r="D444" s="7">
        <f>Page5i_SANS_OBJECT!F45</f>
        <v>0</v>
      </c>
      <c r="E444" s="7">
        <f>Page5i_SANS_OBJECT!K45</f>
        <v>0</v>
      </c>
      <c r="F444" t="str">
        <f t="shared" si="47"/>
        <v>01-00-439P5I-UNIT-CURR</v>
      </c>
      <c r="G444" t="s">
        <v>127</v>
      </c>
      <c r="H444" t="s">
        <v>10287</v>
      </c>
      <c r="I444" t="s">
        <v>10253</v>
      </c>
      <c r="K444" s="1073" t="s">
        <v>10288</v>
      </c>
      <c r="L444" s="789" t="s">
        <v>10241</v>
      </c>
      <c r="M444" s="855" t="str">
        <f>C444</f>
        <v>439P5I</v>
      </c>
      <c r="N444" s="855"/>
      <c r="O444" s="790" t="s">
        <v>10255</v>
      </c>
      <c r="P444" s="790" t="s">
        <v>10244</v>
      </c>
      <c r="R444" s="30"/>
    </row>
    <row r="445" spans="2:18">
      <c r="B445" s="5" t="str">
        <f>Page5i_SANS_OBJECT!C46</f>
        <v>TOTAL PARCS - CAMIONS</v>
      </c>
      <c r="C445" s="1045" t="str">
        <f>OR_VEH!D445</f>
        <v>440P5I</v>
      </c>
      <c r="D445" s="7">
        <f>Page5i_SANS_OBJECT!F46</f>
        <v>0</v>
      </c>
      <c r="E445" s="7">
        <f>Page5i_SANS_OBJECT!K46</f>
        <v>0</v>
      </c>
      <c r="F445" t="str">
        <f t="shared" si="47"/>
        <v>01-00-440P5I-UNIT-CURR</v>
      </c>
      <c r="G445" t="s">
        <v>127</v>
      </c>
      <c r="H445" t="s">
        <v>10287</v>
      </c>
      <c r="I445" t="s">
        <v>10253</v>
      </c>
      <c r="K445" s="1073" t="s">
        <v>10288</v>
      </c>
      <c r="L445" s="789" t="s">
        <v>10241</v>
      </c>
      <c r="M445" s="855" t="str">
        <f>C445</f>
        <v>440P5I</v>
      </c>
      <c r="N445" s="855"/>
      <c r="O445" s="790" t="s">
        <v>10255</v>
      </c>
      <c r="P445" s="790" t="s">
        <v>10244</v>
      </c>
      <c r="R445" s="30"/>
    </row>
    <row r="446" spans="2:18">
      <c r="B446" s="5" t="str">
        <f>Page5i_SANS_OBJECT!C47</f>
        <v xml:space="preserve">TOTAL IINTERNE - CAMIONS </v>
      </c>
      <c r="C446" s="1045" t="str">
        <f>OR_VEH!D446</f>
        <v>441P5I</v>
      </c>
      <c r="D446" s="7">
        <f>Page5i_SANS_OBJECT!F47</f>
        <v>0</v>
      </c>
      <c r="E446" s="7">
        <f>Page5i_SANS_OBJECT!K47</f>
        <v>0</v>
      </c>
      <c r="F446" t="str">
        <f t="shared" si="47"/>
        <v>01-00-441P5I-UNIT-CURR</v>
      </c>
      <c r="G446" t="s">
        <v>127</v>
      </c>
      <c r="H446" t="s">
        <v>10287</v>
      </c>
      <c r="I446" t="s">
        <v>10253</v>
      </c>
      <c r="K446" s="1073" t="s">
        <v>10288</v>
      </c>
      <c r="L446" s="789" t="s">
        <v>10241</v>
      </c>
      <c r="M446" s="855" t="str">
        <f>C446</f>
        <v>441P5I</v>
      </c>
      <c r="N446" s="855"/>
      <c r="O446" s="790" t="s">
        <v>10255</v>
      </c>
      <c r="P446" s="790" t="s">
        <v>10244</v>
      </c>
      <c r="R446" s="30"/>
    </row>
    <row r="447" spans="2:18">
      <c r="B447" s="27" t="s">
        <v>10383</v>
      </c>
      <c r="C447" s="1042"/>
      <c r="D447" s="7">
        <f>Page5i_SANS_OBJECT!F48</f>
        <v>0</v>
      </c>
      <c r="E447" s="7">
        <f>Page5i_SANS_OBJECT!K48</f>
        <v>0</v>
      </c>
      <c r="F447" t="str">
        <f t="shared" si="47"/>
        <v>01-00-TOTTRK5I-UNIT-CURR</v>
      </c>
      <c r="G447" t="s">
        <v>127</v>
      </c>
      <c r="H447" t="s">
        <v>10287</v>
      </c>
      <c r="I447" t="s">
        <v>10253</v>
      </c>
      <c r="J447" t="s">
        <v>10268</v>
      </c>
      <c r="K447" s="1073" t="s">
        <v>10288</v>
      </c>
      <c r="L447" s="789" t="s">
        <v>10241</v>
      </c>
      <c r="M447" s="790" t="s">
        <v>10384</v>
      </c>
      <c r="O447" s="790" t="s">
        <v>10255</v>
      </c>
      <c r="P447" s="790" t="s">
        <v>10244</v>
      </c>
      <c r="Q447" s="791" t="s">
        <v>773</v>
      </c>
    </row>
    <row r="448" spans="2:18">
      <c r="B448" s="5" t="str">
        <f>Page5i_SANS_OBJECT!C50</f>
        <v>ACCESSOIRES</v>
      </c>
      <c r="C448" s="1045" t="str">
        <f>OR_VEH!D449</f>
        <v>457P5I</v>
      </c>
      <c r="D448" s="7">
        <f>Page5i_SANS_OBJECT!F50</f>
        <v>0</v>
      </c>
      <c r="E448" s="7">
        <f>Page5i_SANS_OBJECT!K50</f>
        <v>0</v>
      </c>
      <c r="F448" t="str">
        <f t="shared" si="47"/>
        <v>01-00-457P5I-UNIT-CURR</v>
      </c>
      <c r="G448" t="s">
        <v>127</v>
      </c>
      <c r="H448" t="s">
        <v>10287</v>
      </c>
      <c r="I448" t="s">
        <v>10253</v>
      </c>
      <c r="K448" s="1073" t="s">
        <v>10288</v>
      </c>
      <c r="L448" s="789" t="s">
        <v>10241</v>
      </c>
      <c r="M448" s="855" t="str">
        <f>C448</f>
        <v>457P5I</v>
      </c>
      <c r="N448" s="855"/>
      <c r="O448" s="790" t="s">
        <v>10255</v>
      </c>
      <c r="P448" s="790" t="s">
        <v>10244</v>
      </c>
      <c r="R448" s="30"/>
    </row>
    <row r="449" spans="1:18">
      <c r="B449" s="27" t="s">
        <v>10385</v>
      </c>
      <c r="C449" s="1046"/>
      <c r="D449" s="7">
        <f>Page5i_SANS_OBJECT!F51</f>
        <v>0</v>
      </c>
      <c r="E449" s="7">
        <f>Page5i_SANS_OBJECT!K51</f>
        <v>0</v>
      </c>
      <c r="F449" t="str">
        <f t="shared" si="47"/>
        <v>01-00-TOTVEH5I-UNIT-CURR</v>
      </c>
      <c r="G449" t="s">
        <v>127</v>
      </c>
      <c r="H449" t="s">
        <v>10287</v>
      </c>
      <c r="I449" t="s">
        <v>10253</v>
      </c>
      <c r="J449" t="s">
        <v>10268</v>
      </c>
      <c r="K449" s="1073" t="s">
        <v>10288</v>
      </c>
      <c r="L449" s="789" t="s">
        <v>10241</v>
      </c>
      <c r="M449" s="790" t="s">
        <v>10386</v>
      </c>
      <c r="O449" s="790" t="s">
        <v>10255</v>
      </c>
      <c r="P449" s="790" t="s">
        <v>10244</v>
      </c>
      <c r="Q449" s="791" t="s">
        <v>773</v>
      </c>
    </row>
    <row r="450" spans="1:18">
      <c r="A450" s="805" t="s">
        <v>10387</v>
      </c>
      <c r="B450" s="5" t="str">
        <f>Page5j_SANS_OBJECT!C4</f>
        <v>NE PAS UTILISER</v>
      </c>
      <c r="C450" s="1045" t="str">
        <f>OR_VEH!D453</f>
        <v>400-099</v>
      </c>
      <c r="D450" s="7">
        <f>Page5j_SANS_OBJECT!F4</f>
        <v>0</v>
      </c>
      <c r="E450" s="7">
        <f>Page5j_SANS_OBJECT!K4</f>
        <v>0</v>
      </c>
      <c r="F450" t="str">
        <f t="shared" si="47"/>
        <v>01-00-400-099-UNIT-CURR</v>
      </c>
      <c r="G450" t="s">
        <v>127</v>
      </c>
      <c r="H450" t="s">
        <v>10287</v>
      </c>
      <c r="I450" t="s">
        <v>10253</v>
      </c>
      <c r="J450" t="s">
        <v>10268</v>
      </c>
      <c r="K450" s="1073" t="s">
        <v>10288</v>
      </c>
      <c r="L450" s="789" t="s">
        <v>10241</v>
      </c>
      <c r="M450" s="790" t="str">
        <f t="shared" ref="M450:M468" si="55">LEFT(C450,3)</f>
        <v>400</v>
      </c>
      <c r="N450" s="790" t="str">
        <f t="shared" ref="N450:N468" si="56">RIGHT(C450,3)</f>
        <v>099</v>
      </c>
      <c r="O450" s="790" t="s">
        <v>10255</v>
      </c>
      <c r="P450" s="790" t="s">
        <v>10244</v>
      </c>
      <c r="R450" s="30"/>
    </row>
    <row r="451" spans="1:18">
      <c r="B451" s="5" t="str">
        <f>Page5j_SANS_OBJECT!C5</f>
        <v>NE PAS UTILISER</v>
      </c>
      <c r="C451" s="1045" t="str">
        <f>OR_VEH!D454</f>
        <v>401-099</v>
      </c>
      <c r="D451" s="7">
        <f>Page5j_SANS_OBJECT!F5</f>
        <v>0</v>
      </c>
      <c r="E451" s="7">
        <f>Page5j_SANS_OBJECT!K5</f>
        <v>0</v>
      </c>
      <c r="F451" t="str">
        <f t="shared" si="47"/>
        <v>01-00-401-099-UNIT-CURR</v>
      </c>
      <c r="G451" t="s">
        <v>127</v>
      </c>
      <c r="H451" t="s">
        <v>10287</v>
      </c>
      <c r="I451" t="s">
        <v>10253</v>
      </c>
      <c r="J451" t="s">
        <v>10268</v>
      </c>
      <c r="K451" s="1073" t="s">
        <v>10288</v>
      </c>
      <c r="L451" s="789" t="s">
        <v>10241</v>
      </c>
      <c r="M451" s="790" t="str">
        <f t="shared" si="55"/>
        <v>401</v>
      </c>
      <c r="N451" s="790" t="str">
        <f t="shared" si="56"/>
        <v>099</v>
      </c>
      <c r="O451" s="790" t="s">
        <v>10255</v>
      </c>
      <c r="P451" s="790" t="s">
        <v>10244</v>
      </c>
      <c r="R451" s="30"/>
    </row>
    <row r="452" spans="1:18">
      <c r="B452" s="5" t="str">
        <f>Page5j_SANS_OBJECT!C6</f>
        <v>NE PAS UTILISER</v>
      </c>
      <c r="C452" s="1045" t="str">
        <f>OR_VEH!D455</f>
        <v>402-099</v>
      </c>
      <c r="D452" s="7">
        <f>Page5j_SANS_OBJECT!F6</f>
        <v>0</v>
      </c>
      <c r="E452" s="7">
        <f>Page5j_SANS_OBJECT!K6</f>
        <v>0</v>
      </c>
      <c r="F452" t="str">
        <f t="shared" si="47"/>
        <v>01-00-402-099-UNIT-CURR</v>
      </c>
      <c r="G452" t="s">
        <v>127</v>
      </c>
      <c r="H452" t="s">
        <v>10287</v>
      </c>
      <c r="I452" t="s">
        <v>10253</v>
      </c>
      <c r="J452" t="s">
        <v>10268</v>
      </c>
      <c r="K452" s="1073" t="s">
        <v>10288</v>
      </c>
      <c r="L452" s="789" t="s">
        <v>10241</v>
      </c>
      <c r="M452" s="790" t="str">
        <f t="shared" si="55"/>
        <v>402</v>
      </c>
      <c r="N452" s="790" t="str">
        <f t="shared" si="56"/>
        <v>099</v>
      </c>
      <c r="O452" s="790" t="s">
        <v>10255</v>
      </c>
      <c r="P452" s="790" t="s">
        <v>10244</v>
      </c>
      <c r="R452" s="30"/>
    </row>
    <row r="453" spans="1:18">
      <c r="B453" s="5" t="str">
        <f>Page5j_SANS_OBJECT!C7</f>
        <v>NE PAS UTILISER</v>
      </c>
      <c r="C453" s="1045" t="str">
        <f>OR_VEH!D456</f>
        <v>403-099</v>
      </c>
      <c r="D453" s="7">
        <f>Page5j_SANS_OBJECT!F7</f>
        <v>0</v>
      </c>
      <c r="E453" s="7">
        <f>Page5j_SANS_OBJECT!K7</f>
        <v>0</v>
      </c>
      <c r="F453" t="str">
        <f t="shared" si="47"/>
        <v>01-00-403-099-UNIT-CURR</v>
      </c>
      <c r="G453" t="s">
        <v>127</v>
      </c>
      <c r="H453" t="s">
        <v>10287</v>
      </c>
      <c r="I453" t="s">
        <v>10253</v>
      </c>
      <c r="J453" t="s">
        <v>10268</v>
      </c>
      <c r="K453" s="1073" t="s">
        <v>10288</v>
      </c>
      <c r="L453" s="789" t="s">
        <v>10241</v>
      </c>
      <c r="M453" s="790" t="str">
        <f t="shared" si="55"/>
        <v>403</v>
      </c>
      <c r="N453" s="790" t="str">
        <f t="shared" si="56"/>
        <v>099</v>
      </c>
      <c r="O453" s="790" t="s">
        <v>10255</v>
      </c>
      <c r="P453" s="790" t="s">
        <v>10244</v>
      </c>
      <c r="R453" s="30"/>
    </row>
    <row r="454" spans="1:18">
      <c r="B454" s="5" t="str">
        <f>Page5j_SANS_OBJECT!C8</f>
        <v>NE PAS UTILISER</v>
      </c>
      <c r="C454" s="1045" t="str">
        <f>OR_VEH!D457</f>
        <v>404-099</v>
      </c>
      <c r="D454" s="7">
        <f>Page5j_SANS_OBJECT!F8</f>
        <v>0</v>
      </c>
      <c r="E454" s="7">
        <f>Page5j_SANS_OBJECT!K8</f>
        <v>0</v>
      </c>
      <c r="F454" t="str">
        <f t="shared" si="47"/>
        <v>01-00-404-099-UNIT-CURR</v>
      </c>
      <c r="G454" t="s">
        <v>127</v>
      </c>
      <c r="H454" t="s">
        <v>10287</v>
      </c>
      <c r="I454" t="s">
        <v>10253</v>
      </c>
      <c r="J454" t="s">
        <v>10268</v>
      </c>
      <c r="K454" s="1073" t="s">
        <v>10288</v>
      </c>
      <c r="L454" s="789" t="s">
        <v>10241</v>
      </c>
      <c r="M454" s="790" t="str">
        <f t="shared" si="55"/>
        <v>404</v>
      </c>
      <c r="N454" s="790" t="str">
        <f t="shared" si="56"/>
        <v>099</v>
      </c>
      <c r="O454" s="790" t="s">
        <v>10255</v>
      </c>
      <c r="P454" s="790" t="s">
        <v>10244</v>
      </c>
      <c r="R454" s="30"/>
    </row>
    <row r="455" spans="1:18">
      <c r="B455" s="5" t="str">
        <f>Page5j_SANS_OBJECT!C9</f>
        <v>NE PAS UTILISER</v>
      </c>
      <c r="C455" s="1045" t="str">
        <f>OR_VEH!D458</f>
        <v>405-099</v>
      </c>
      <c r="D455" s="7">
        <f>Page5j_SANS_OBJECT!F9</f>
        <v>0</v>
      </c>
      <c r="E455" s="7">
        <f>Page5j_SANS_OBJECT!K9</f>
        <v>0</v>
      </c>
      <c r="F455" t="str">
        <f t="shared" si="47"/>
        <v>01-00-405-099-UNIT-CURR</v>
      </c>
      <c r="G455" t="s">
        <v>127</v>
      </c>
      <c r="H455" t="s">
        <v>10287</v>
      </c>
      <c r="I455" t="s">
        <v>10253</v>
      </c>
      <c r="J455" t="s">
        <v>10268</v>
      </c>
      <c r="K455" s="1073" t="s">
        <v>10288</v>
      </c>
      <c r="L455" s="789" t="s">
        <v>10241</v>
      </c>
      <c r="M455" s="790" t="str">
        <f t="shared" si="55"/>
        <v>405</v>
      </c>
      <c r="N455" s="790" t="str">
        <f t="shared" si="56"/>
        <v>099</v>
      </c>
      <c r="O455" s="790" t="s">
        <v>10255</v>
      </c>
      <c r="P455" s="790" t="s">
        <v>10244</v>
      </c>
      <c r="R455" s="30"/>
    </row>
    <row r="456" spans="1:18">
      <c r="B456" s="5" t="str">
        <f>Page5j_SANS_OBJECT!C10</f>
        <v>NE PAS UTILISER</v>
      </c>
      <c r="C456" s="1045" t="str">
        <f>OR_VEH!D459</f>
        <v>406-099</v>
      </c>
      <c r="D456" s="7">
        <f>Page5j_SANS_OBJECT!F10</f>
        <v>0</v>
      </c>
      <c r="E456" s="7">
        <f>Page5j_SANS_OBJECT!K10</f>
        <v>0</v>
      </c>
      <c r="F456" t="str">
        <f t="shared" si="47"/>
        <v>01-00-406-099-UNIT-CURR</v>
      </c>
      <c r="G456" t="s">
        <v>127</v>
      </c>
      <c r="H456" t="s">
        <v>10287</v>
      </c>
      <c r="I456" t="s">
        <v>10253</v>
      </c>
      <c r="J456" t="s">
        <v>10268</v>
      </c>
      <c r="K456" s="1073" t="s">
        <v>10288</v>
      </c>
      <c r="L456" s="789" t="s">
        <v>10241</v>
      </c>
      <c r="M456" s="790" t="str">
        <f t="shared" si="55"/>
        <v>406</v>
      </c>
      <c r="N456" s="790" t="str">
        <f t="shared" si="56"/>
        <v>099</v>
      </c>
      <c r="O456" s="790" t="s">
        <v>10255</v>
      </c>
      <c r="P456" s="790" t="s">
        <v>10244</v>
      </c>
      <c r="R456" s="30"/>
    </row>
    <row r="457" spans="1:18">
      <c r="B457" s="5" t="str">
        <f>Page5j_SANS_OBJECT!C11</f>
        <v>NE PAS UTILISER</v>
      </c>
      <c r="C457" s="1045" t="str">
        <f>OR_VEH!D460</f>
        <v>407-099</v>
      </c>
      <c r="D457" s="7">
        <f>Page5j_SANS_OBJECT!F11</f>
        <v>0</v>
      </c>
      <c r="E457" s="7">
        <f>Page5j_SANS_OBJECT!K11</f>
        <v>0</v>
      </c>
      <c r="F457" t="str">
        <f t="shared" si="47"/>
        <v>01-00-407-099-UNIT-CURR</v>
      </c>
      <c r="G457" t="s">
        <v>127</v>
      </c>
      <c r="H457" t="s">
        <v>10287</v>
      </c>
      <c r="I457" t="s">
        <v>10253</v>
      </c>
      <c r="J457" t="s">
        <v>10268</v>
      </c>
      <c r="K457" s="1073" t="s">
        <v>10288</v>
      </c>
      <c r="L457" s="789" t="s">
        <v>10241</v>
      </c>
      <c r="M457" s="790" t="str">
        <f t="shared" si="55"/>
        <v>407</v>
      </c>
      <c r="N457" s="790" t="str">
        <f t="shared" si="56"/>
        <v>099</v>
      </c>
      <c r="O457" s="790" t="s">
        <v>10255</v>
      </c>
      <c r="P457" s="790" t="s">
        <v>10244</v>
      </c>
      <c r="R457" s="30"/>
    </row>
    <row r="458" spans="1:18">
      <c r="B458" s="5" t="str">
        <f>Page5j_SANS_OBJECT!C12</f>
        <v>NE PAS UTILISER</v>
      </c>
      <c r="C458" s="1045" t="str">
        <f>OR_VEH!D461</f>
        <v>408-099</v>
      </c>
      <c r="D458" s="7">
        <f>Page5j_SANS_OBJECT!F12</f>
        <v>0</v>
      </c>
      <c r="E458" s="7">
        <f>Page5j_SANS_OBJECT!K12</f>
        <v>0</v>
      </c>
      <c r="F458" t="str">
        <f t="shared" si="47"/>
        <v>01-00-408-099-UNIT-CURR</v>
      </c>
      <c r="G458" t="s">
        <v>127</v>
      </c>
      <c r="H458" t="s">
        <v>10287</v>
      </c>
      <c r="I458" t="s">
        <v>10253</v>
      </c>
      <c r="J458" t="s">
        <v>10268</v>
      </c>
      <c r="K458" s="1073" t="s">
        <v>10288</v>
      </c>
      <c r="L458" s="789" t="s">
        <v>10241</v>
      </c>
      <c r="M458" s="790" t="str">
        <f t="shared" si="55"/>
        <v>408</v>
      </c>
      <c r="N458" s="790" t="str">
        <f t="shared" si="56"/>
        <v>099</v>
      </c>
      <c r="O458" s="790" t="s">
        <v>10255</v>
      </c>
      <c r="P458" s="790" t="s">
        <v>10244</v>
      </c>
      <c r="R458" s="30"/>
    </row>
    <row r="459" spans="1:18">
      <c r="B459" s="5" t="str">
        <f>Page5j_SANS_OBJECT!C13</f>
        <v>NE PAS UTILISER</v>
      </c>
      <c r="C459" s="1045" t="str">
        <f>OR_VEH!D462</f>
        <v>409-099</v>
      </c>
      <c r="D459" s="7">
        <f>Page5j_SANS_OBJECT!F13</f>
        <v>0</v>
      </c>
      <c r="E459" s="7">
        <f>Page5j_SANS_OBJECT!K13</f>
        <v>0</v>
      </c>
      <c r="F459" t="str">
        <f t="shared" si="47"/>
        <v>01-00-409-099-UNIT-CURR</v>
      </c>
      <c r="G459" t="s">
        <v>127</v>
      </c>
      <c r="H459" t="s">
        <v>10287</v>
      </c>
      <c r="I459" t="s">
        <v>10253</v>
      </c>
      <c r="J459" t="s">
        <v>10268</v>
      </c>
      <c r="K459" s="1073" t="s">
        <v>10288</v>
      </c>
      <c r="L459" s="789" t="s">
        <v>10241</v>
      </c>
      <c r="M459" s="790" t="str">
        <f t="shared" si="55"/>
        <v>409</v>
      </c>
      <c r="N459" s="790" t="str">
        <f t="shared" si="56"/>
        <v>099</v>
      </c>
      <c r="O459" s="790" t="s">
        <v>10255</v>
      </c>
      <c r="P459" s="790" t="s">
        <v>10244</v>
      </c>
      <c r="R459" s="30"/>
    </row>
    <row r="460" spans="1:18">
      <c r="B460" s="5" t="str">
        <f>Page5j_SANS_OBJECT!C14</f>
        <v>NE PAS UTILISER</v>
      </c>
      <c r="C460" s="1045" t="str">
        <f>OR_VEH!D463</f>
        <v>410-099</v>
      </c>
      <c r="D460" s="7">
        <f>Page5j_SANS_OBJECT!F14</f>
        <v>0</v>
      </c>
      <c r="E460" s="7">
        <f>Page5j_SANS_OBJECT!K14</f>
        <v>0</v>
      </c>
      <c r="F460" t="str">
        <f t="shared" si="47"/>
        <v>01-00-410-099-UNIT-CURR</v>
      </c>
      <c r="G460" t="s">
        <v>127</v>
      </c>
      <c r="H460" t="s">
        <v>10287</v>
      </c>
      <c r="I460" t="s">
        <v>10253</v>
      </c>
      <c r="J460" t="s">
        <v>10268</v>
      </c>
      <c r="K460" s="1073" t="s">
        <v>10288</v>
      </c>
      <c r="L460" s="789" t="s">
        <v>10241</v>
      </c>
      <c r="M460" s="790" t="str">
        <f t="shared" si="55"/>
        <v>410</v>
      </c>
      <c r="N460" s="790" t="str">
        <f t="shared" si="56"/>
        <v>099</v>
      </c>
      <c r="O460" s="790" t="s">
        <v>10255</v>
      </c>
      <c r="P460" s="790" t="s">
        <v>10244</v>
      </c>
      <c r="R460" s="30"/>
    </row>
    <row r="461" spans="1:18">
      <c r="B461" s="5" t="str">
        <f>Page5j_SANS_OBJECT!C15</f>
        <v>NE PAS UTILISER</v>
      </c>
      <c r="C461" s="1045" t="str">
        <f>OR_VEH!D464</f>
        <v>411-099</v>
      </c>
      <c r="D461" s="7">
        <f>Page5j_SANS_OBJECT!F15</f>
        <v>0</v>
      </c>
      <c r="E461" s="7">
        <f>Page5j_SANS_OBJECT!K15</f>
        <v>0</v>
      </c>
      <c r="F461" t="str">
        <f t="shared" si="47"/>
        <v>01-00-411-099-UNIT-CURR</v>
      </c>
      <c r="G461" t="s">
        <v>127</v>
      </c>
      <c r="H461" t="s">
        <v>10287</v>
      </c>
      <c r="I461" t="s">
        <v>10253</v>
      </c>
      <c r="K461" s="1073" t="s">
        <v>10288</v>
      </c>
      <c r="L461" s="789" t="s">
        <v>10241</v>
      </c>
      <c r="M461" s="790" t="str">
        <f t="shared" si="55"/>
        <v>411</v>
      </c>
      <c r="N461" s="790" t="str">
        <f t="shared" si="56"/>
        <v>099</v>
      </c>
      <c r="O461" s="790" t="s">
        <v>10255</v>
      </c>
      <c r="P461" s="790" t="s">
        <v>10244</v>
      </c>
      <c r="R461" s="30"/>
    </row>
    <row r="462" spans="1:18">
      <c r="B462" s="5" t="str">
        <f>Page5j_SANS_OBJECT!C16</f>
        <v>NE PAS UTILISER</v>
      </c>
      <c r="C462" s="1045" t="str">
        <f>OR_VEH!D465</f>
        <v>412-099</v>
      </c>
      <c r="D462" s="7">
        <f>Page5j_SANS_OBJECT!F16</f>
        <v>0</v>
      </c>
      <c r="E462" s="7">
        <f>Page5j_SANS_OBJECT!K16</f>
        <v>0</v>
      </c>
      <c r="F462" t="str">
        <f t="shared" si="47"/>
        <v>01-00-412-099-UNIT-CURR</v>
      </c>
      <c r="G462" t="s">
        <v>127</v>
      </c>
      <c r="H462" t="s">
        <v>10287</v>
      </c>
      <c r="I462" t="s">
        <v>10253</v>
      </c>
      <c r="K462" s="1073" t="s">
        <v>10288</v>
      </c>
      <c r="L462" s="789" t="s">
        <v>10241</v>
      </c>
      <c r="M462" s="790" t="str">
        <f t="shared" si="55"/>
        <v>412</v>
      </c>
      <c r="N462" s="790" t="str">
        <f t="shared" si="56"/>
        <v>099</v>
      </c>
      <c r="O462" s="790" t="s">
        <v>10255</v>
      </c>
      <c r="P462" s="790" t="s">
        <v>10244</v>
      </c>
      <c r="R462" s="30"/>
    </row>
    <row r="463" spans="1:18">
      <c r="B463" s="5" t="str">
        <f>Page5j_SANS_OBJECT!C17</f>
        <v>NE PAS UTILISER</v>
      </c>
      <c r="C463" s="1045" t="str">
        <f>OR_VEH!D466</f>
        <v>413-099</v>
      </c>
      <c r="D463" s="7">
        <f>Page5j_SANS_OBJECT!F17</f>
        <v>0</v>
      </c>
      <c r="E463" s="7">
        <f>Page5j_SANS_OBJECT!K17</f>
        <v>0</v>
      </c>
      <c r="F463" t="str">
        <f t="shared" si="47"/>
        <v>01-00-413-099-UNIT-CURR</v>
      </c>
      <c r="G463" t="s">
        <v>127</v>
      </c>
      <c r="H463" t="s">
        <v>10287</v>
      </c>
      <c r="I463" t="s">
        <v>10253</v>
      </c>
      <c r="K463" s="1073" t="s">
        <v>10288</v>
      </c>
      <c r="L463" s="789" t="s">
        <v>10241</v>
      </c>
      <c r="M463" s="790" t="str">
        <f t="shared" si="55"/>
        <v>413</v>
      </c>
      <c r="N463" s="790" t="str">
        <f t="shared" si="56"/>
        <v>099</v>
      </c>
      <c r="O463" s="790" t="s">
        <v>10255</v>
      </c>
      <c r="P463" s="790" t="s">
        <v>10244</v>
      </c>
      <c r="R463" s="30"/>
    </row>
    <row r="464" spans="1:18">
      <c r="B464" s="5" t="str">
        <f>Page5j_SANS_OBJECT!C18</f>
        <v>NE PAS UTILISER</v>
      </c>
      <c r="C464" s="1045" t="str">
        <f>OR_VEH!D467</f>
        <v>414-099</v>
      </c>
      <c r="D464" s="7">
        <f>Page5j_SANS_OBJECT!F18</f>
        <v>0</v>
      </c>
      <c r="E464" s="7">
        <f>Page5j_SANS_OBJECT!K18</f>
        <v>0</v>
      </c>
      <c r="F464" t="str">
        <f t="shared" si="47"/>
        <v>01-00-414-099-UNIT-CURR</v>
      </c>
      <c r="G464" t="s">
        <v>127</v>
      </c>
      <c r="H464" t="s">
        <v>10287</v>
      </c>
      <c r="I464" t="s">
        <v>10253</v>
      </c>
      <c r="K464" s="1073" t="s">
        <v>10288</v>
      </c>
      <c r="L464" s="789" t="s">
        <v>10241</v>
      </c>
      <c r="M464" s="790" t="str">
        <f t="shared" si="55"/>
        <v>414</v>
      </c>
      <c r="N464" s="790" t="str">
        <f t="shared" si="56"/>
        <v>099</v>
      </c>
      <c r="O464" s="790" t="s">
        <v>10255</v>
      </c>
      <c r="P464" s="790" t="s">
        <v>10244</v>
      </c>
      <c r="R464" s="30"/>
    </row>
    <row r="465" spans="2:18">
      <c r="B465" s="5" t="str">
        <f>Page5j_SANS_OBJECT!C19</f>
        <v>NE PAS UTILISER</v>
      </c>
      <c r="C465" s="1045" t="str">
        <f>OR_VEH!D468</f>
        <v>415-099</v>
      </c>
      <c r="D465" s="7">
        <f>Page5j_SANS_OBJECT!F19</f>
        <v>0</v>
      </c>
      <c r="E465" s="7">
        <f>Page5j_SANS_OBJECT!K19</f>
        <v>0</v>
      </c>
      <c r="F465" t="str">
        <f t="shared" si="47"/>
        <v>01-00-415-099-UNIT-CURR</v>
      </c>
      <c r="G465" t="s">
        <v>127</v>
      </c>
      <c r="H465" t="s">
        <v>10287</v>
      </c>
      <c r="I465" t="s">
        <v>10253</v>
      </c>
      <c r="K465" s="1073" t="s">
        <v>10288</v>
      </c>
      <c r="L465" s="789" t="s">
        <v>10241</v>
      </c>
      <c r="M465" s="790" t="str">
        <f t="shared" si="55"/>
        <v>415</v>
      </c>
      <c r="N465" s="790" t="str">
        <f t="shared" si="56"/>
        <v>099</v>
      </c>
      <c r="O465" s="790" t="s">
        <v>10255</v>
      </c>
      <c r="P465" s="790" t="s">
        <v>10244</v>
      </c>
      <c r="R465" s="30"/>
    </row>
    <row r="466" spans="2:18">
      <c r="B466" s="5" t="str">
        <f>Page5j_SANS_OBJECT!C20</f>
        <v>NE PAS UTILISER</v>
      </c>
      <c r="C466" s="1045" t="str">
        <f>OR_VEH!D469</f>
        <v>416-099</v>
      </c>
      <c r="D466" s="7">
        <f>Page5j_SANS_OBJECT!F20</f>
        <v>0</v>
      </c>
      <c r="E466" s="7">
        <f>Page5j_SANS_OBJECT!K20</f>
        <v>0</v>
      </c>
      <c r="F466" t="str">
        <f t="shared" si="47"/>
        <v>01-00-416-099-UNIT-CURR</v>
      </c>
      <c r="G466" t="s">
        <v>127</v>
      </c>
      <c r="H466" t="s">
        <v>10287</v>
      </c>
      <c r="I466" t="s">
        <v>10253</v>
      </c>
      <c r="K466" s="1073" t="s">
        <v>10288</v>
      </c>
      <c r="L466" s="789" t="s">
        <v>10241</v>
      </c>
      <c r="M466" s="790" t="str">
        <f t="shared" si="55"/>
        <v>416</v>
      </c>
      <c r="N466" s="790" t="str">
        <f t="shared" si="56"/>
        <v>099</v>
      </c>
      <c r="O466" s="790" t="s">
        <v>10255</v>
      </c>
      <c r="P466" s="790" t="s">
        <v>10244</v>
      </c>
      <c r="R466" s="30"/>
    </row>
    <row r="467" spans="2:18">
      <c r="B467" s="5" t="str">
        <f>Page5j_SANS_OBJECT!C21</f>
        <v>NE PAS UTILISER</v>
      </c>
      <c r="C467" s="1045" t="str">
        <f>OR_VEH!D470</f>
        <v>417-099</v>
      </c>
      <c r="D467" s="7">
        <f>Page5j_SANS_OBJECT!F21</f>
        <v>0</v>
      </c>
      <c r="E467" s="7">
        <f>Page5j_SANS_OBJECT!K21</f>
        <v>0</v>
      </c>
      <c r="F467" t="str">
        <f t="shared" si="47"/>
        <v>01-00-417-099-UNIT-CURR</v>
      </c>
      <c r="G467" t="s">
        <v>127</v>
      </c>
      <c r="H467" t="s">
        <v>10287</v>
      </c>
      <c r="I467" t="s">
        <v>10253</v>
      </c>
      <c r="K467" s="1073" t="s">
        <v>10288</v>
      </c>
      <c r="L467" s="789" t="s">
        <v>10241</v>
      </c>
      <c r="M467" s="790" t="str">
        <f t="shared" si="55"/>
        <v>417</v>
      </c>
      <c r="N467" s="790" t="str">
        <f t="shared" si="56"/>
        <v>099</v>
      </c>
      <c r="O467" s="790" t="s">
        <v>10255</v>
      </c>
      <c r="P467" s="790" t="s">
        <v>10244</v>
      </c>
      <c r="R467" s="30"/>
    </row>
    <row r="468" spans="2:18">
      <c r="B468" s="5" t="str">
        <f>Page5j_SANS_OBJECT!C22</f>
        <v>NE PAS UTILISER</v>
      </c>
      <c r="C468" s="1045" t="str">
        <f>OR_VEH!D471</f>
        <v>418-099</v>
      </c>
      <c r="D468" s="7">
        <f>Page5j_SANS_OBJECT!F22</f>
        <v>0</v>
      </c>
      <c r="E468" s="7">
        <f>Page5j_SANS_OBJECT!K22</f>
        <v>0</v>
      </c>
      <c r="F468" t="str">
        <f t="shared" si="47"/>
        <v>01-00-418-099-UNIT-CURR</v>
      </c>
      <c r="G468" t="s">
        <v>127</v>
      </c>
      <c r="H468" t="s">
        <v>10287</v>
      </c>
      <c r="I468" t="s">
        <v>10253</v>
      </c>
      <c r="K468" s="1073" t="s">
        <v>10288</v>
      </c>
      <c r="L468" s="789" t="s">
        <v>10241</v>
      </c>
      <c r="M468" s="790" t="str">
        <f t="shared" si="55"/>
        <v>418</v>
      </c>
      <c r="N468" s="790" t="str">
        <f t="shared" si="56"/>
        <v>099</v>
      </c>
      <c r="O468" s="790" t="s">
        <v>10255</v>
      </c>
      <c r="P468" s="790" t="s">
        <v>10244</v>
      </c>
      <c r="R468" s="30"/>
    </row>
    <row r="469" spans="2:18">
      <c r="B469" s="27" t="s">
        <v>10388</v>
      </c>
      <c r="C469" s="1042"/>
      <c r="D469" s="7">
        <f>Page5j_SANS_OBJECT!F23</f>
        <v>0</v>
      </c>
      <c r="E469" s="7">
        <f>Page5j_SANS_OBJECT!K23</f>
        <v>0</v>
      </c>
      <c r="F469" t="str">
        <f t="shared" si="47"/>
        <v>01-00-RTLCAR5J-UNIT-CURR</v>
      </c>
      <c r="G469" t="s">
        <v>127</v>
      </c>
      <c r="H469" t="s">
        <v>10287</v>
      </c>
      <c r="I469" t="s">
        <v>10253</v>
      </c>
      <c r="J469" t="s">
        <v>10268</v>
      </c>
      <c r="K469" s="1073" t="s">
        <v>10288</v>
      </c>
      <c r="L469" s="789" t="s">
        <v>10241</v>
      </c>
      <c r="M469" s="790" t="s">
        <v>10389</v>
      </c>
      <c r="O469" s="790" t="s">
        <v>10255</v>
      </c>
      <c r="P469" s="790" t="s">
        <v>10244</v>
      </c>
      <c r="Q469" s="791" t="s">
        <v>773</v>
      </c>
    </row>
    <row r="470" spans="2:18">
      <c r="B470" s="5" t="str">
        <f>Page5j_SANS_OBJECT!C24</f>
        <v>MÉMO* VENTES INTERNET VOITURES</v>
      </c>
      <c r="C470" s="1045" t="str">
        <f>OR_VEH!D473</f>
        <v>419P5J</v>
      </c>
      <c r="D470" s="7">
        <f>Page5j_SANS_OBJECT!F24</f>
        <v>0</v>
      </c>
      <c r="E470" s="7">
        <f>Page5j_SANS_OBJECT!K24</f>
        <v>0</v>
      </c>
      <c r="F470" t="str">
        <f t="shared" si="47"/>
        <v>01-00-419P5J-UNIT-CURR</v>
      </c>
      <c r="G470" t="s">
        <v>127</v>
      </c>
      <c r="H470" t="s">
        <v>10287</v>
      </c>
      <c r="I470" t="s">
        <v>10253</v>
      </c>
      <c r="K470" s="1073" t="s">
        <v>10288</v>
      </c>
      <c r="L470" s="789" t="s">
        <v>10241</v>
      </c>
      <c r="M470" s="855" t="str">
        <f>C470</f>
        <v>419P5J</v>
      </c>
      <c r="N470" s="855"/>
      <c r="O470" s="790" t="s">
        <v>10255</v>
      </c>
      <c r="P470" s="790" t="s">
        <v>10244</v>
      </c>
      <c r="R470" s="30"/>
    </row>
    <row r="471" spans="2:18">
      <c r="B471" s="5" t="str">
        <f>Page5j_SANS_OBJECT!C25</f>
        <v>TOTAL PARCS - VOITURES</v>
      </c>
      <c r="C471" s="1045" t="str">
        <f>OR_VEH!D474</f>
        <v>420P5J</v>
      </c>
      <c r="D471" s="7">
        <f>Page5j_SANS_OBJECT!F25</f>
        <v>0</v>
      </c>
      <c r="E471" s="7">
        <f>Page5j_SANS_OBJECT!K25</f>
        <v>0</v>
      </c>
      <c r="F471" t="str">
        <f t="shared" si="47"/>
        <v>01-00-420P5J-UNIT-CURR</v>
      </c>
      <c r="G471" t="s">
        <v>127</v>
      </c>
      <c r="H471" t="s">
        <v>10287</v>
      </c>
      <c r="I471" t="s">
        <v>10253</v>
      </c>
      <c r="K471" s="1073" t="s">
        <v>10288</v>
      </c>
      <c r="L471" s="789" t="s">
        <v>10241</v>
      </c>
      <c r="M471" s="855" t="str">
        <f>C471</f>
        <v>420P5J</v>
      </c>
      <c r="N471" s="855"/>
      <c r="O471" s="790" t="s">
        <v>10255</v>
      </c>
      <c r="P471" s="790" t="s">
        <v>10244</v>
      </c>
      <c r="R471" s="30"/>
    </row>
    <row r="472" spans="2:18">
      <c r="B472" s="5" t="str">
        <f>Page5j_SANS_OBJECT!C26</f>
        <v>TOTAL INTERNE - VOITURES</v>
      </c>
      <c r="C472" s="1045" t="str">
        <f>OR_VEH!D475</f>
        <v>421P5J</v>
      </c>
      <c r="D472" s="7">
        <f>Page5j_SANS_OBJECT!F26</f>
        <v>0</v>
      </c>
      <c r="E472" s="7">
        <f>Page5j_SANS_OBJECT!K26</f>
        <v>0</v>
      </c>
      <c r="F472" t="str">
        <f t="shared" si="47"/>
        <v>01-00-421P5J-UNIT-CURR</v>
      </c>
      <c r="G472" t="s">
        <v>127</v>
      </c>
      <c r="H472" t="s">
        <v>10287</v>
      </c>
      <c r="I472" t="s">
        <v>10253</v>
      </c>
      <c r="K472" s="1073" t="s">
        <v>10288</v>
      </c>
      <c r="L472" s="789" t="s">
        <v>10241</v>
      </c>
      <c r="M472" s="855" t="str">
        <f>C472</f>
        <v>421P5J</v>
      </c>
      <c r="N472" s="855"/>
      <c r="O472" s="790" t="s">
        <v>10255</v>
      </c>
      <c r="P472" s="790" t="s">
        <v>10244</v>
      </c>
      <c r="R472" s="30"/>
    </row>
    <row r="473" spans="2:18">
      <c r="B473" s="27" t="s">
        <v>10390</v>
      </c>
      <c r="C473" s="1042"/>
      <c r="D473" s="7">
        <f>Page5j_SANS_OBJECT!F27</f>
        <v>0</v>
      </c>
      <c r="E473" s="7">
        <f>Page5j_SANS_OBJECT!K27</f>
        <v>0</v>
      </c>
      <c r="F473" t="str">
        <f t="shared" si="47"/>
        <v>01-00-TOTCAR5J-UNIT-CURR</v>
      </c>
      <c r="G473" t="s">
        <v>127</v>
      </c>
      <c r="H473" t="s">
        <v>10287</v>
      </c>
      <c r="I473" t="s">
        <v>10253</v>
      </c>
      <c r="J473" t="s">
        <v>10268</v>
      </c>
      <c r="K473" s="1073" t="s">
        <v>10288</v>
      </c>
      <c r="L473" s="789" t="s">
        <v>10241</v>
      </c>
      <c r="M473" s="790" t="s">
        <v>10391</v>
      </c>
      <c r="O473" s="790" t="s">
        <v>10255</v>
      </c>
      <c r="P473" s="790" t="s">
        <v>10244</v>
      </c>
      <c r="Q473" s="791" t="s">
        <v>773</v>
      </c>
    </row>
    <row r="474" spans="2:18">
      <c r="B474" s="5" t="str">
        <f>Page5j_SANS_OBJECT!C28</f>
        <v>POIDS LOURD</v>
      </c>
      <c r="C474" s="1045" t="str">
        <f>OR_VEH!D477</f>
        <v>423-099</v>
      </c>
      <c r="D474" s="7">
        <f>Page5j_SANS_OBJECT!F28</f>
        <v>0</v>
      </c>
      <c r="E474" s="7">
        <f>Page5j_SANS_OBJECT!K28</f>
        <v>0</v>
      </c>
      <c r="F474" t="str">
        <f t="shared" si="47"/>
        <v>01-00-423-099-UNIT-CURR</v>
      </c>
      <c r="G474" t="s">
        <v>127</v>
      </c>
      <c r="H474" t="s">
        <v>10287</v>
      </c>
      <c r="I474" t="s">
        <v>10253</v>
      </c>
      <c r="K474" s="1073" t="s">
        <v>10288</v>
      </c>
      <c r="L474" s="789" t="s">
        <v>10241</v>
      </c>
      <c r="M474" s="790" t="str">
        <f t="shared" ref="M474:M489" si="57">LEFT(C474,3)</f>
        <v>423</v>
      </c>
      <c r="N474" s="790" t="str">
        <f t="shared" ref="N474:N489" si="58">RIGHT(C474,3)</f>
        <v>099</v>
      </c>
      <c r="O474" s="799" t="s">
        <v>10255</v>
      </c>
      <c r="P474" s="799" t="s">
        <v>10244</v>
      </c>
      <c r="R474" s="30"/>
    </row>
    <row r="475" spans="2:18">
      <c r="B475" s="5" t="str">
        <f>Page5j_SANS_OBJECT!C29</f>
        <v>NE PAS UTILISER</v>
      </c>
      <c r="C475" s="1045" t="str">
        <f>OR_VEH!D478</f>
        <v>424-099</v>
      </c>
      <c r="D475" s="7">
        <f>Page5j_SANS_OBJECT!F29</f>
        <v>0</v>
      </c>
      <c r="E475" s="7">
        <f>Page5j_SANS_OBJECT!K29</f>
        <v>0</v>
      </c>
      <c r="F475" t="str">
        <f t="shared" si="47"/>
        <v>01-00-424-099-UNIT-CURR</v>
      </c>
      <c r="G475" t="s">
        <v>127</v>
      </c>
      <c r="H475" t="s">
        <v>10287</v>
      </c>
      <c r="I475" t="s">
        <v>10253</v>
      </c>
      <c r="K475" s="1073" t="s">
        <v>10288</v>
      </c>
      <c r="L475" s="789" t="s">
        <v>10241</v>
      </c>
      <c r="M475" s="790" t="str">
        <f t="shared" si="57"/>
        <v>424</v>
      </c>
      <c r="N475" s="790" t="str">
        <f t="shared" si="58"/>
        <v>099</v>
      </c>
      <c r="O475" s="799" t="s">
        <v>10255</v>
      </c>
      <c r="P475" s="799" t="s">
        <v>10244</v>
      </c>
      <c r="R475" s="30"/>
    </row>
    <row r="476" spans="2:18">
      <c r="B476" s="5" t="str">
        <f>Page5j_SANS_OBJECT!C30</f>
        <v>NE PAS UTILISER</v>
      </c>
      <c r="C476" s="1045" t="str">
        <f>OR_VEH!D479</f>
        <v>425-099</v>
      </c>
      <c r="D476" s="7">
        <f>Page5j_SANS_OBJECT!F30</f>
        <v>0</v>
      </c>
      <c r="E476" s="7">
        <f>Page5j_SANS_OBJECT!K30</f>
        <v>0</v>
      </c>
      <c r="F476" t="str">
        <f t="shared" ref="F476:F496" si="59">TEXT(K476,"00")&amp;"-"&amp;L476&amp;IF(M476="","","-"&amp;M476)&amp;IF(N476="","","-"&amp;N476)&amp;IF(OR(O476="",O476=0),"","-"&amp;O476)&amp;IF(P476="","","-"&amp;P476)</f>
        <v>01-00-425-099-UNIT-CURR</v>
      </c>
      <c r="G476" t="s">
        <v>127</v>
      </c>
      <c r="H476" t="s">
        <v>10287</v>
      </c>
      <c r="I476" t="s">
        <v>10253</v>
      </c>
      <c r="K476" s="1073" t="s">
        <v>10288</v>
      </c>
      <c r="L476" s="789" t="s">
        <v>10241</v>
      </c>
      <c r="M476" s="790" t="str">
        <f t="shared" si="57"/>
        <v>425</v>
      </c>
      <c r="N476" s="790" t="str">
        <f t="shared" si="58"/>
        <v>099</v>
      </c>
      <c r="O476" s="799" t="s">
        <v>10255</v>
      </c>
      <c r="P476" s="799" t="s">
        <v>10244</v>
      </c>
      <c r="R476" s="30"/>
    </row>
    <row r="477" spans="2:18">
      <c r="B477" s="5" t="str">
        <f>Page5j_SANS_OBJECT!C31</f>
        <v>NE PAS UTILISER</v>
      </c>
      <c r="C477" s="1045" t="str">
        <f>OR_VEH!D480</f>
        <v>426-099</v>
      </c>
      <c r="D477" s="7">
        <f>Page5j_SANS_OBJECT!F31</f>
        <v>0</v>
      </c>
      <c r="E477" s="7">
        <f>Page5j_SANS_OBJECT!K31</f>
        <v>0</v>
      </c>
      <c r="F477" t="str">
        <f t="shared" si="59"/>
        <v>01-00-426-099-UNIT-CURR</v>
      </c>
      <c r="G477" t="s">
        <v>127</v>
      </c>
      <c r="H477" t="s">
        <v>10287</v>
      </c>
      <c r="I477" t="s">
        <v>10253</v>
      </c>
      <c r="K477" s="1073" t="s">
        <v>10288</v>
      </c>
      <c r="L477" s="789" t="s">
        <v>10241</v>
      </c>
      <c r="M477" s="790" t="str">
        <f t="shared" si="57"/>
        <v>426</v>
      </c>
      <c r="N477" s="790" t="str">
        <f t="shared" si="58"/>
        <v>099</v>
      </c>
      <c r="O477" s="790" t="s">
        <v>10255</v>
      </c>
      <c r="P477" s="790" t="s">
        <v>10244</v>
      </c>
      <c r="R477" s="30"/>
    </row>
    <row r="478" spans="2:18">
      <c r="B478" s="5" t="str">
        <f>Page5j_SANS_OBJECT!C32</f>
        <v>NE PAS UTILISER</v>
      </c>
      <c r="C478" s="1045" t="str">
        <f>OR_VEH!D481</f>
        <v>427-099</v>
      </c>
      <c r="D478" s="7">
        <f>Page5j_SANS_OBJECT!F32</f>
        <v>0</v>
      </c>
      <c r="E478" s="7">
        <f>Page5j_SANS_OBJECT!K32</f>
        <v>0</v>
      </c>
      <c r="F478" t="str">
        <f t="shared" si="59"/>
        <v>01-00-427-099-UNIT-CURR</v>
      </c>
      <c r="G478" t="s">
        <v>127</v>
      </c>
      <c r="H478" t="s">
        <v>10287</v>
      </c>
      <c r="I478" t="s">
        <v>10253</v>
      </c>
      <c r="K478" s="1073" t="s">
        <v>10288</v>
      </c>
      <c r="L478" s="789" t="s">
        <v>10241</v>
      </c>
      <c r="M478" s="790" t="str">
        <f t="shared" si="57"/>
        <v>427</v>
      </c>
      <c r="N478" s="790" t="str">
        <f t="shared" si="58"/>
        <v>099</v>
      </c>
      <c r="O478" s="790" t="s">
        <v>10255</v>
      </c>
      <c r="P478" s="790" t="s">
        <v>10244</v>
      </c>
      <c r="R478" s="30"/>
    </row>
    <row r="479" spans="2:18">
      <c r="B479" s="5" t="str">
        <f>Page5j_SANS_OBJECT!C33</f>
        <v>NE PAS UTILISER</v>
      </c>
      <c r="C479" s="1045" t="str">
        <f>OR_VEH!D482</f>
        <v>428-099</v>
      </c>
      <c r="D479" s="7">
        <f>Page5j_SANS_OBJECT!F33</f>
        <v>0</v>
      </c>
      <c r="E479" s="7">
        <f>Page5j_SANS_OBJECT!K33</f>
        <v>0</v>
      </c>
      <c r="F479" t="str">
        <f t="shared" si="59"/>
        <v>01-00-428-099-UNIT-CURR</v>
      </c>
      <c r="G479" t="s">
        <v>127</v>
      </c>
      <c r="H479" t="s">
        <v>10287</v>
      </c>
      <c r="I479" t="s">
        <v>10253</v>
      </c>
      <c r="K479" s="1073" t="s">
        <v>10288</v>
      </c>
      <c r="L479" s="789" t="s">
        <v>10241</v>
      </c>
      <c r="M479" s="790" t="str">
        <f t="shared" si="57"/>
        <v>428</v>
      </c>
      <c r="N479" s="790" t="str">
        <f t="shared" si="58"/>
        <v>099</v>
      </c>
      <c r="O479" s="790" t="s">
        <v>10255</v>
      </c>
      <c r="P479" s="790" t="s">
        <v>10244</v>
      </c>
      <c r="R479" s="30"/>
    </row>
    <row r="480" spans="2:18">
      <c r="B480" s="5" t="str">
        <f>Page5j_SANS_OBJECT!C34</f>
        <v>NE PAS UTILISER</v>
      </c>
      <c r="C480" s="1045" t="str">
        <f>OR_VEH!D483</f>
        <v>429-099</v>
      </c>
      <c r="D480" s="7">
        <f>Page5j_SANS_OBJECT!F34</f>
        <v>0</v>
      </c>
      <c r="E480" s="7">
        <f>Page5j_SANS_OBJECT!K34</f>
        <v>0</v>
      </c>
      <c r="F480" t="str">
        <f t="shared" si="59"/>
        <v>01-00-429-099-UNIT-CURR</v>
      </c>
      <c r="G480" t="s">
        <v>127</v>
      </c>
      <c r="H480" t="s">
        <v>10287</v>
      </c>
      <c r="I480" t="s">
        <v>10253</v>
      </c>
      <c r="K480" s="1073" t="s">
        <v>10288</v>
      </c>
      <c r="L480" s="789" t="s">
        <v>10241</v>
      </c>
      <c r="M480" s="790" t="str">
        <f t="shared" si="57"/>
        <v>429</v>
      </c>
      <c r="N480" s="790" t="str">
        <f t="shared" si="58"/>
        <v>099</v>
      </c>
      <c r="O480" s="790" t="s">
        <v>10255</v>
      </c>
      <c r="P480" s="790" t="s">
        <v>10244</v>
      </c>
      <c r="R480" s="30"/>
    </row>
    <row r="481" spans="2:18">
      <c r="B481" s="5" t="str">
        <f>Page5j_SANS_OBJECT!C35</f>
        <v>NE PAS UTILISER</v>
      </c>
      <c r="C481" s="1045" t="str">
        <f>OR_VEH!D484</f>
        <v>430-099</v>
      </c>
      <c r="D481" s="7">
        <f>Page5j_SANS_OBJECT!F35</f>
        <v>0</v>
      </c>
      <c r="E481" s="7">
        <f>Page5j_SANS_OBJECT!K35</f>
        <v>0</v>
      </c>
      <c r="F481" t="str">
        <f t="shared" si="59"/>
        <v>01-00-430-099-UNIT-CURR</v>
      </c>
      <c r="G481" t="s">
        <v>127</v>
      </c>
      <c r="H481" t="s">
        <v>10287</v>
      </c>
      <c r="I481" t="s">
        <v>10253</v>
      </c>
      <c r="K481" s="1073" t="s">
        <v>10288</v>
      </c>
      <c r="L481" s="789" t="s">
        <v>10241</v>
      </c>
      <c r="M481" s="790" t="str">
        <f t="shared" si="57"/>
        <v>430</v>
      </c>
      <c r="N481" s="790" t="str">
        <f t="shared" si="58"/>
        <v>099</v>
      </c>
      <c r="O481" s="790" t="s">
        <v>10255</v>
      </c>
      <c r="P481" s="790" t="s">
        <v>10244</v>
      </c>
      <c r="R481" s="30"/>
    </row>
    <row r="482" spans="2:18">
      <c r="B482" s="5" t="str">
        <f>Page5j_SANS_OBJECT!C36</f>
        <v>NE PAS UTILISER</v>
      </c>
      <c r="C482" s="1045" t="str">
        <f>OR_VEH!D485</f>
        <v>431-099</v>
      </c>
      <c r="D482" s="7">
        <f>Page5j_SANS_OBJECT!F36</f>
        <v>0</v>
      </c>
      <c r="E482" s="7">
        <f>Page5j_SANS_OBJECT!K36</f>
        <v>0</v>
      </c>
      <c r="F482" t="str">
        <f t="shared" si="59"/>
        <v>01-00-431-099-UNIT-CURR</v>
      </c>
      <c r="G482" t="s">
        <v>127</v>
      </c>
      <c r="H482" t="s">
        <v>10287</v>
      </c>
      <c r="I482" t="s">
        <v>10253</v>
      </c>
      <c r="K482" s="1073" t="s">
        <v>10288</v>
      </c>
      <c r="L482" s="789" t="s">
        <v>10241</v>
      </c>
      <c r="M482" s="790" t="str">
        <f t="shared" si="57"/>
        <v>431</v>
      </c>
      <c r="N482" s="790" t="str">
        <f t="shared" si="58"/>
        <v>099</v>
      </c>
      <c r="O482" s="790" t="s">
        <v>10255</v>
      </c>
      <c r="P482" s="790" t="s">
        <v>10244</v>
      </c>
      <c r="R482" s="30"/>
    </row>
    <row r="483" spans="2:18">
      <c r="B483" s="5" t="str">
        <f>Page5j_SANS_OBJECT!C37</f>
        <v>NE PAS UTILISER</v>
      </c>
      <c r="C483" s="1045" t="str">
        <f>OR_VEH!D486</f>
        <v>432-099</v>
      </c>
      <c r="D483" s="7">
        <f>Page5j_SANS_OBJECT!F37</f>
        <v>0</v>
      </c>
      <c r="E483" s="7">
        <f>Page5j_SANS_OBJECT!K37</f>
        <v>0</v>
      </c>
      <c r="F483" t="str">
        <f t="shared" si="59"/>
        <v>01-00-432-099-UNIT-CURR</v>
      </c>
      <c r="G483" t="s">
        <v>127</v>
      </c>
      <c r="H483" t="s">
        <v>10287</v>
      </c>
      <c r="I483" t="s">
        <v>10253</v>
      </c>
      <c r="K483" s="1073" t="s">
        <v>10288</v>
      </c>
      <c r="L483" s="789" t="s">
        <v>10241</v>
      </c>
      <c r="M483" s="790" t="str">
        <f t="shared" si="57"/>
        <v>432</v>
      </c>
      <c r="N483" s="790" t="str">
        <f t="shared" si="58"/>
        <v>099</v>
      </c>
      <c r="O483" s="790" t="s">
        <v>10255</v>
      </c>
      <c r="P483" s="790" t="s">
        <v>10244</v>
      </c>
      <c r="R483" s="30"/>
    </row>
    <row r="484" spans="2:18">
      <c r="B484" s="5" t="str">
        <f>Page5j_SANS_OBJECT!C38</f>
        <v>NE PAS UTILISER</v>
      </c>
      <c r="C484" s="1045" t="str">
        <f>OR_VEH!D487</f>
        <v>433-099</v>
      </c>
      <c r="D484" s="7">
        <f>Page5j_SANS_OBJECT!F38</f>
        <v>0</v>
      </c>
      <c r="E484" s="7">
        <f>Page5j_SANS_OBJECT!K38</f>
        <v>0</v>
      </c>
      <c r="F484" t="str">
        <f t="shared" si="59"/>
        <v>01-00-433-099-UNIT-CURR</v>
      </c>
      <c r="G484" t="s">
        <v>127</v>
      </c>
      <c r="H484" t="s">
        <v>10287</v>
      </c>
      <c r="I484" t="s">
        <v>10253</v>
      </c>
      <c r="K484" s="1073" t="s">
        <v>10288</v>
      </c>
      <c r="L484" s="789" t="s">
        <v>10241</v>
      </c>
      <c r="M484" s="790" t="str">
        <f t="shared" si="57"/>
        <v>433</v>
      </c>
      <c r="N484" s="790" t="str">
        <f t="shared" si="58"/>
        <v>099</v>
      </c>
      <c r="O484" s="790" t="s">
        <v>10255</v>
      </c>
      <c r="P484" s="790" t="s">
        <v>10244</v>
      </c>
      <c r="R484" s="30"/>
    </row>
    <row r="485" spans="2:18">
      <c r="B485" s="5" t="str">
        <f>Page5j_SANS_OBJECT!C39</f>
        <v>NE PAS UTILISER</v>
      </c>
      <c r="C485" s="1045" t="str">
        <f>OR_VEH!D488</f>
        <v>434-099</v>
      </c>
      <c r="D485" s="7">
        <f>Page5j_SANS_OBJECT!F39</f>
        <v>0</v>
      </c>
      <c r="E485" s="7">
        <f>Page5j_SANS_OBJECT!K39</f>
        <v>0</v>
      </c>
      <c r="F485" t="str">
        <f t="shared" si="59"/>
        <v>01-00-434-099-UNIT-CURR</v>
      </c>
      <c r="G485" t="s">
        <v>127</v>
      </c>
      <c r="H485" t="s">
        <v>10287</v>
      </c>
      <c r="I485" t="s">
        <v>10253</v>
      </c>
      <c r="K485" s="1073" t="s">
        <v>10288</v>
      </c>
      <c r="L485" s="789" t="s">
        <v>10241</v>
      </c>
      <c r="M485" s="790" t="str">
        <f t="shared" si="57"/>
        <v>434</v>
      </c>
      <c r="N485" s="790" t="str">
        <f t="shared" si="58"/>
        <v>099</v>
      </c>
      <c r="O485" s="790" t="s">
        <v>10255</v>
      </c>
      <c r="P485" s="790" t="s">
        <v>10244</v>
      </c>
      <c r="R485" s="30"/>
    </row>
    <row r="486" spans="2:18">
      <c r="B486" s="5" t="str">
        <f>Page5j_SANS_OBJECT!C40</f>
        <v>NE PAS UTILISER</v>
      </c>
      <c r="C486" s="1045" t="str">
        <f>OR_VEH!D489</f>
        <v>435-099</v>
      </c>
      <c r="D486" s="7">
        <f>Page5j_SANS_OBJECT!F40</f>
        <v>0</v>
      </c>
      <c r="E486" s="7">
        <f>Page5j_SANS_OBJECT!K40</f>
        <v>0</v>
      </c>
      <c r="F486" t="str">
        <f t="shared" si="59"/>
        <v>01-00-435-099-UNIT-CURR</v>
      </c>
      <c r="G486" t="s">
        <v>127</v>
      </c>
      <c r="H486" t="s">
        <v>10287</v>
      </c>
      <c r="I486" t="s">
        <v>10253</v>
      </c>
      <c r="K486" s="1073" t="s">
        <v>10288</v>
      </c>
      <c r="L486" s="789" t="s">
        <v>10241</v>
      </c>
      <c r="M486" s="790" t="str">
        <f t="shared" si="57"/>
        <v>435</v>
      </c>
      <c r="N486" s="790" t="str">
        <f t="shared" si="58"/>
        <v>099</v>
      </c>
      <c r="O486" s="790" t="s">
        <v>10255</v>
      </c>
      <c r="P486" s="790" t="s">
        <v>10244</v>
      </c>
      <c r="R486" s="30"/>
    </row>
    <row r="487" spans="2:18">
      <c r="B487" s="5" t="str">
        <f>Page5j_SANS_OBJECT!C41</f>
        <v>NE PAS UTILISER</v>
      </c>
      <c r="C487" s="1045" t="str">
        <f>OR_VEH!D490</f>
        <v>436-099</v>
      </c>
      <c r="D487" s="7">
        <f>Page5j_SANS_OBJECT!F41</f>
        <v>0</v>
      </c>
      <c r="E487" s="7">
        <f>Page5j_SANS_OBJECT!K41</f>
        <v>0</v>
      </c>
      <c r="F487" t="str">
        <f t="shared" si="59"/>
        <v>01-00-436-099-UNIT-CURR</v>
      </c>
      <c r="G487" t="s">
        <v>127</v>
      </c>
      <c r="H487" t="s">
        <v>10287</v>
      </c>
      <c r="I487" t="s">
        <v>10253</v>
      </c>
      <c r="K487" s="1073" t="s">
        <v>10288</v>
      </c>
      <c r="L487" s="789" t="s">
        <v>10241</v>
      </c>
      <c r="M487" s="790" t="str">
        <f t="shared" si="57"/>
        <v>436</v>
      </c>
      <c r="N487" s="790" t="str">
        <f t="shared" si="58"/>
        <v>099</v>
      </c>
      <c r="O487" s="790" t="s">
        <v>10255</v>
      </c>
      <c r="P487" s="790" t="s">
        <v>10244</v>
      </c>
      <c r="R487" s="30"/>
    </row>
    <row r="488" spans="2:18">
      <c r="B488" s="5" t="str">
        <f>Page5j_SANS_OBJECT!C42</f>
        <v>NE PAS UTILISER</v>
      </c>
      <c r="C488" s="1045" t="str">
        <f>OR_VEH!D491</f>
        <v>437-099</v>
      </c>
      <c r="D488" s="7">
        <f>Page5j_SANS_OBJECT!F42</f>
        <v>0</v>
      </c>
      <c r="E488" s="7">
        <f>Page5j_SANS_OBJECT!K42</f>
        <v>0</v>
      </c>
      <c r="F488" t="str">
        <f t="shared" si="59"/>
        <v>01-00-437-099-UNIT-CURR</v>
      </c>
      <c r="G488" t="s">
        <v>127</v>
      </c>
      <c r="H488" t="s">
        <v>10287</v>
      </c>
      <c r="I488" t="s">
        <v>10253</v>
      </c>
      <c r="K488" s="1073" t="s">
        <v>10288</v>
      </c>
      <c r="L488" s="789" t="s">
        <v>10241</v>
      </c>
      <c r="M488" s="790" t="str">
        <f t="shared" si="57"/>
        <v>437</v>
      </c>
      <c r="N488" s="790" t="str">
        <f t="shared" si="58"/>
        <v>099</v>
      </c>
      <c r="O488" s="790" t="s">
        <v>10255</v>
      </c>
      <c r="P488" s="790" t="s">
        <v>10244</v>
      </c>
      <c r="R488" s="30"/>
    </row>
    <row r="489" spans="2:18">
      <c r="B489" s="5" t="str">
        <f>Page5j_SANS_OBJECT!C43</f>
        <v>NE PAS UTILISER</v>
      </c>
      <c r="C489" s="1045" t="str">
        <f>OR_VEH!D492</f>
        <v>438-099</v>
      </c>
      <c r="D489" s="7">
        <f>Page5j_SANS_OBJECT!F43</f>
        <v>0</v>
      </c>
      <c r="E489" s="7">
        <f>Page5j_SANS_OBJECT!K43</f>
        <v>0</v>
      </c>
      <c r="F489" t="str">
        <f t="shared" si="59"/>
        <v>01-00-438-099-UNIT-CURR</v>
      </c>
      <c r="G489" t="s">
        <v>127</v>
      </c>
      <c r="H489" t="s">
        <v>10287</v>
      </c>
      <c r="I489" t="s">
        <v>10253</v>
      </c>
      <c r="K489" s="1073" t="s">
        <v>10288</v>
      </c>
      <c r="L489" s="789" t="s">
        <v>10241</v>
      </c>
      <c r="M489" s="790" t="str">
        <f t="shared" si="57"/>
        <v>438</v>
      </c>
      <c r="N489" s="790" t="str">
        <f t="shared" si="58"/>
        <v>099</v>
      </c>
      <c r="O489" s="790" t="s">
        <v>10255</v>
      </c>
      <c r="P489" s="790" t="s">
        <v>10244</v>
      </c>
      <c r="R489" s="30"/>
    </row>
    <row r="490" spans="2:18">
      <c r="B490" s="51" t="s">
        <v>10392</v>
      </c>
      <c r="C490" s="1042"/>
      <c r="D490" s="7">
        <f>Page5j_SANS_OBJECT!F44</f>
        <v>0</v>
      </c>
      <c r="E490" s="7">
        <f>Page5j_SANS_OBJECT!K44</f>
        <v>0</v>
      </c>
      <c r="F490" t="str">
        <f t="shared" si="59"/>
        <v>01-00-RTLTRK5J-UNIT-CURR</v>
      </c>
      <c r="G490" t="s">
        <v>127</v>
      </c>
      <c r="H490" t="s">
        <v>10287</v>
      </c>
      <c r="I490" t="s">
        <v>10253</v>
      </c>
      <c r="J490" t="s">
        <v>10268</v>
      </c>
      <c r="K490" s="1073" t="s">
        <v>10288</v>
      </c>
      <c r="L490" s="789" t="s">
        <v>10241</v>
      </c>
      <c r="M490" s="790" t="s">
        <v>10393</v>
      </c>
      <c r="O490" s="790" t="s">
        <v>10255</v>
      </c>
      <c r="P490" s="790" t="s">
        <v>10244</v>
      </c>
      <c r="Q490" s="791" t="s">
        <v>773</v>
      </c>
    </row>
    <row r="491" spans="2:18">
      <c r="B491" s="5" t="str">
        <f>Page5j_SANS_OBJECT!C45</f>
        <v>MÉMO* VENTES INTERNET CAMIONS</v>
      </c>
      <c r="C491" s="1045" t="str">
        <f>OR_VEH!D494</f>
        <v>439P5J</v>
      </c>
      <c r="D491" s="7">
        <f>Page5j_SANS_OBJECT!F45</f>
        <v>0</v>
      </c>
      <c r="E491" s="7">
        <f>Page5j_SANS_OBJECT!K45</f>
        <v>0</v>
      </c>
      <c r="F491" t="str">
        <f t="shared" si="59"/>
        <v>01-00-439P5J-UNIT-CURR</v>
      </c>
      <c r="G491" t="s">
        <v>127</v>
      </c>
      <c r="H491" t="s">
        <v>10287</v>
      </c>
      <c r="I491" t="s">
        <v>10253</v>
      </c>
      <c r="K491" s="1073" t="s">
        <v>10288</v>
      </c>
      <c r="L491" s="789" t="s">
        <v>10241</v>
      </c>
      <c r="M491" s="855" t="str">
        <f>C491</f>
        <v>439P5J</v>
      </c>
      <c r="N491" s="855"/>
      <c r="O491" s="790" t="s">
        <v>10255</v>
      </c>
      <c r="P491" s="790" t="s">
        <v>10244</v>
      </c>
      <c r="R491" s="30"/>
    </row>
    <row r="492" spans="2:18">
      <c r="B492" s="5" t="str">
        <f>Page5j_SANS_OBJECT!C46</f>
        <v>TOTAL PARCS - CAMIONS</v>
      </c>
      <c r="C492" s="1045" t="str">
        <f>OR_VEH!D495</f>
        <v>440P5J</v>
      </c>
      <c r="D492" s="7">
        <f>Page5j_SANS_OBJECT!F46</f>
        <v>0</v>
      </c>
      <c r="E492" s="7">
        <f>Page5j_SANS_OBJECT!K46</f>
        <v>0</v>
      </c>
      <c r="F492" t="str">
        <f t="shared" si="59"/>
        <v>01-00-440P5J-UNIT-CURR</v>
      </c>
      <c r="G492" t="s">
        <v>127</v>
      </c>
      <c r="H492" t="s">
        <v>10287</v>
      </c>
      <c r="I492" t="s">
        <v>10253</v>
      </c>
      <c r="K492" s="1073" t="s">
        <v>10288</v>
      </c>
      <c r="L492" s="789" t="s">
        <v>10241</v>
      </c>
      <c r="M492" s="855" t="str">
        <f>C492</f>
        <v>440P5J</v>
      </c>
      <c r="N492" s="855"/>
      <c r="O492" s="799" t="s">
        <v>10255</v>
      </c>
      <c r="P492" s="799" t="s">
        <v>10244</v>
      </c>
      <c r="R492" s="30"/>
    </row>
    <row r="493" spans="2:18">
      <c r="B493" s="5" t="str">
        <f>Page5j_SANS_OBJECT!C47</f>
        <v xml:space="preserve">TOTAL IINTERNE - CAMIONS </v>
      </c>
      <c r="C493" s="1045" t="str">
        <f>OR_VEH!D496</f>
        <v>441P5J</v>
      </c>
      <c r="D493" s="7">
        <f>Page5j_SANS_OBJECT!F47</f>
        <v>0</v>
      </c>
      <c r="E493" s="7">
        <f>Page5j_SANS_OBJECT!K47</f>
        <v>0</v>
      </c>
      <c r="F493" t="str">
        <f t="shared" si="59"/>
        <v>01-00-441P5J-UNIT-CURR</v>
      </c>
      <c r="G493" t="s">
        <v>127</v>
      </c>
      <c r="H493" t="s">
        <v>10287</v>
      </c>
      <c r="I493" t="s">
        <v>10253</v>
      </c>
      <c r="K493" s="1073" t="s">
        <v>10288</v>
      </c>
      <c r="L493" s="789" t="s">
        <v>10241</v>
      </c>
      <c r="M493" s="855" t="str">
        <f>C493</f>
        <v>441P5J</v>
      </c>
      <c r="N493" s="855"/>
      <c r="O493" s="799" t="s">
        <v>10255</v>
      </c>
      <c r="P493" s="799" t="s">
        <v>10244</v>
      </c>
      <c r="R493" s="30"/>
    </row>
    <row r="494" spans="2:18">
      <c r="B494" s="27" t="s">
        <v>10394</v>
      </c>
      <c r="C494" s="1042"/>
      <c r="D494" s="7">
        <f>Page5j_SANS_OBJECT!F48</f>
        <v>0</v>
      </c>
      <c r="E494" s="7">
        <f>Page5j_SANS_OBJECT!K48</f>
        <v>0</v>
      </c>
      <c r="F494" t="str">
        <f t="shared" si="59"/>
        <v>01-00-TOTTRK5J-UNIT-CURR</v>
      </c>
      <c r="G494" t="s">
        <v>127</v>
      </c>
      <c r="H494" t="s">
        <v>10287</v>
      </c>
      <c r="I494" t="s">
        <v>10253</v>
      </c>
      <c r="J494" t="s">
        <v>10268</v>
      </c>
      <c r="K494" s="1073" t="s">
        <v>10288</v>
      </c>
      <c r="L494" s="789" t="s">
        <v>10241</v>
      </c>
      <c r="M494" s="790" t="s">
        <v>10395</v>
      </c>
      <c r="O494" s="790" t="s">
        <v>10255</v>
      </c>
      <c r="P494" s="790" t="s">
        <v>10244</v>
      </c>
      <c r="Q494" s="791" t="s">
        <v>773</v>
      </c>
    </row>
    <row r="495" spans="2:18">
      <c r="B495" s="5" t="str">
        <f>Page5j_SANS_OBJECT!C50</f>
        <v>ACCESSOIRES</v>
      </c>
      <c r="C495" s="1045" t="str">
        <f>OR_VEH!D499</f>
        <v>457P5J</v>
      </c>
      <c r="D495" s="7">
        <f>Page5j_SANS_OBJECT!F50</f>
        <v>0</v>
      </c>
      <c r="E495" s="7">
        <f>Page5j_SANS_OBJECT!K50</f>
        <v>0</v>
      </c>
      <c r="F495" t="str">
        <f t="shared" si="59"/>
        <v>01-00-457P5J-UNIT-CURR</v>
      </c>
      <c r="G495" t="s">
        <v>127</v>
      </c>
      <c r="H495" t="s">
        <v>10287</v>
      </c>
      <c r="I495" t="s">
        <v>10253</v>
      </c>
      <c r="K495" s="1073" t="s">
        <v>10288</v>
      </c>
      <c r="L495" s="789" t="s">
        <v>10241</v>
      </c>
      <c r="M495" s="855" t="str">
        <f>C495</f>
        <v>457P5J</v>
      </c>
      <c r="N495" s="855"/>
      <c r="O495" s="790" t="s">
        <v>10255</v>
      </c>
      <c r="P495" s="790" t="s">
        <v>10244</v>
      </c>
      <c r="Q495" s="791" t="s">
        <v>166</v>
      </c>
    </row>
    <row r="496" spans="2:18">
      <c r="B496" s="27" t="s">
        <v>10396</v>
      </c>
      <c r="C496" s="1046"/>
      <c r="D496" s="7">
        <f>Page5j_SANS_OBJECT!F51</f>
        <v>0</v>
      </c>
      <c r="E496" s="7">
        <f>Page5j_SANS_OBJECT!K51</f>
        <v>0</v>
      </c>
      <c r="F496" t="str">
        <f t="shared" si="59"/>
        <v>01-00-TOTVEH5J-UNIT-CURR</v>
      </c>
      <c r="G496" t="s">
        <v>127</v>
      </c>
      <c r="H496" t="s">
        <v>10287</v>
      </c>
      <c r="I496" t="s">
        <v>10253</v>
      </c>
      <c r="J496" t="s">
        <v>10268</v>
      </c>
      <c r="K496" s="1073" t="s">
        <v>10288</v>
      </c>
      <c r="L496" s="789" t="s">
        <v>10241</v>
      </c>
      <c r="M496" s="790" t="s">
        <v>10397</v>
      </c>
      <c r="O496" s="790" t="s">
        <v>10255</v>
      </c>
      <c r="P496" s="790" t="s">
        <v>10244</v>
      </c>
      <c r="Q496" s="791" t="s">
        <v>773</v>
      </c>
    </row>
    <row r="497" spans="2:18">
      <c r="B497" s="5" t="s">
        <v>10398</v>
      </c>
      <c r="C497" s="1045" t="s">
        <v>10399</v>
      </c>
      <c r="D497" s="529">
        <f>Page5_PARCS!G4</f>
        <v>0</v>
      </c>
      <c r="E497" s="529">
        <f>Page5_PARCS!L4</f>
        <v>0</v>
      </c>
      <c r="F497" t="str">
        <f t="shared" ref="F497:F534" si="60">TEXT(K497,"00")&amp;"-"&amp;L497&amp;IF(M497="","","-"&amp;M497)&amp;IF(N497="","","-"&amp;N497)&amp;IF(OR(O497="",O497=0),"","-"&amp;O497)&amp;IF(P497="","","-"&amp;P497)</f>
        <v>01-00-400F&amp;C-SALES-CURR</v>
      </c>
      <c r="G497" t="s">
        <v>127</v>
      </c>
      <c r="H497" t="s">
        <v>10287</v>
      </c>
      <c r="I497" t="s">
        <v>10253</v>
      </c>
      <c r="K497" s="1073" t="s">
        <v>10288</v>
      </c>
      <c r="L497" s="789" t="s">
        <v>10241</v>
      </c>
      <c r="M497" s="790" t="s">
        <v>10399</v>
      </c>
      <c r="O497" s="790" t="s">
        <v>9883</v>
      </c>
      <c r="P497" s="790" t="s">
        <v>10244</v>
      </c>
      <c r="R497" s="30"/>
    </row>
    <row r="498" spans="2:18">
      <c r="B498" s="5" t="s">
        <v>10400</v>
      </c>
      <c r="C498" s="1038" t="s">
        <v>10401</v>
      </c>
      <c r="D498" s="529">
        <f>Page5_PARCS!G5</f>
        <v>0</v>
      </c>
      <c r="E498" s="529">
        <f>Page5_PARCS!L5</f>
        <v>0</v>
      </c>
      <c r="F498" t="str">
        <f t="shared" si="60"/>
        <v>01-00-401F&amp;C-SALES-CURR</v>
      </c>
      <c r="G498" t="s">
        <v>127</v>
      </c>
      <c r="H498" t="s">
        <v>10287</v>
      </c>
      <c r="I498" t="s">
        <v>10253</v>
      </c>
      <c r="K498" s="1073" t="s">
        <v>10288</v>
      </c>
      <c r="L498" s="789" t="s">
        <v>10241</v>
      </c>
      <c r="M498" s="790" t="s">
        <v>10401</v>
      </c>
      <c r="O498" s="790" t="s">
        <v>9883</v>
      </c>
      <c r="P498" s="790" t="s">
        <v>10244</v>
      </c>
      <c r="R498" s="30"/>
    </row>
    <row r="499" spans="2:18">
      <c r="B499" s="5" t="s">
        <v>10402</v>
      </c>
      <c r="C499" s="1038" t="s">
        <v>10403</v>
      </c>
      <c r="D499" s="529">
        <f>Page5_PARCS!G6</f>
        <v>0</v>
      </c>
      <c r="E499" s="529">
        <f>Page5_PARCS!L6</f>
        <v>0</v>
      </c>
      <c r="F499" t="str">
        <f t="shared" si="60"/>
        <v>01-00-402F&amp;C-SALES-CURR</v>
      </c>
      <c r="G499" t="s">
        <v>127</v>
      </c>
      <c r="H499" t="s">
        <v>10287</v>
      </c>
      <c r="I499" t="s">
        <v>10253</v>
      </c>
      <c r="K499" s="1073" t="s">
        <v>10288</v>
      </c>
      <c r="L499" s="789" t="s">
        <v>10241</v>
      </c>
      <c r="M499" s="790" t="s">
        <v>10403</v>
      </c>
      <c r="O499" s="790" t="s">
        <v>9883</v>
      </c>
      <c r="P499" s="790" t="s">
        <v>10244</v>
      </c>
      <c r="R499" s="30"/>
    </row>
    <row r="500" spans="2:18">
      <c r="B500" s="5" t="s">
        <v>10404</v>
      </c>
      <c r="C500" s="1038" t="s">
        <v>10405</v>
      </c>
      <c r="D500" s="529">
        <f>Page5_PARCS!G7</f>
        <v>0</v>
      </c>
      <c r="E500" s="529">
        <f>Page5_PARCS!L7</f>
        <v>0</v>
      </c>
      <c r="F500" t="str">
        <f t="shared" si="60"/>
        <v>01-00-403F&amp;C-SALES-CURR</v>
      </c>
      <c r="G500" t="s">
        <v>127</v>
      </c>
      <c r="H500" t="s">
        <v>10287</v>
      </c>
      <c r="I500" t="s">
        <v>10253</v>
      </c>
      <c r="K500" s="1073" t="s">
        <v>10288</v>
      </c>
      <c r="L500" s="789" t="s">
        <v>10241</v>
      </c>
      <c r="M500" s="790" t="s">
        <v>10405</v>
      </c>
      <c r="O500" s="790" t="s">
        <v>9883</v>
      </c>
      <c r="P500" s="790" t="s">
        <v>10244</v>
      </c>
      <c r="R500" s="30"/>
    </row>
    <row r="501" spans="2:18">
      <c r="B501" s="5" t="s">
        <v>10406</v>
      </c>
      <c r="C501" s="1038" t="s">
        <v>10407</v>
      </c>
      <c r="D501" s="529">
        <f>Page5_PARCS!G8</f>
        <v>0</v>
      </c>
      <c r="E501" s="529">
        <f>Page5_PARCS!L8</f>
        <v>0</v>
      </c>
      <c r="F501" t="str">
        <f t="shared" si="60"/>
        <v>01-00-404F&amp;C-SALES-CURR</v>
      </c>
      <c r="G501" t="s">
        <v>127</v>
      </c>
      <c r="H501" t="s">
        <v>10287</v>
      </c>
      <c r="I501" t="s">
        <v>10253</v>
      </c>
      <c r="K501" s="1073" t="s">
        <v>10288</v>
      </c>
      <c r="L501" s="789" t="s">
        <v>10241</v>
      </c>
      <c r="M501" s="790" t="s">
        <v>10407</v>
      </c>
      <c r="O501" s="790" t="s">
        <v>9883</v>
      </c>
      <c r="P501" s="790" t="s">
        <v>10244</v>
      </c>
      <c r="R501" s="30"/>
    </row>
    <row r="502" spans="2:18">
      <c r="B502" s="5" t="s">
        <v>10408</v>
      </c>
      <c r="C502" s="1038" t="s">
        <v>10409</v>
      </c>
      <c r="D502" s="529">
        <f>Page5_PARCS!G9</f>
        <v>0</v>
      </c>
      <c r="E502" s="529">
        <f>Page5_PARCS!L9</f>
        <v>0</v>
      </c>
      <c r="F502" t="str">
        <f t="shared" si="60"/>
        <v>01-00-405F&amp;C-SALES-CURR</v>
      </c>
      <c r="G502" t="s">
        <v>127</v>
      </c>
      <c r="H502" t="s">
        <v>10287</v>
      </c>
      <c r="I502" t="s">
        <v>10253</v>
      </c>
      <c r="K502" s="1073" t="s">
        <v>10288</v>
      </c>
      <c r="L502" s="789" t="s">
        <v>10241</v>
      </c>
      <c r="M502" s="790" t="s">
        <v>10409</v>
      </c>
      <c r="O502" s="790" t="s">
        <v>9883</v>
      </c>
      <c r="P502" s="790" t="s">
        <v>10244</v>
      </c>
      <c r="R502" s="30"/>
    </row>
    <row r="503" spans="2:18">
      <c r="B503" s="5" t="s">
        <v>10410</v>
      </c>
      <c r="C503" s="1038" t="s">
        <v>10411</v>
      </c>
      <c r="D503" s="529">
        <f>Page5_PARCS!G10</f>
        <v>0</v>
      </c>
      <c r="E503" s="529">
        <f>Page5_PARCS!L10</f>
        <v>0</v>
      </c>
      <c r="F503" t="str">
        <f t="shared" si="60"/>
        <v>01-00-406F&amp;C-SALES-CURR</v>
      </c>
      <c r="G503" t="s">
        <v>127</v>
      </c>
      <c r="H503" t="s">
        <v>10287</v>
      </c>
      <c r="I503" t="s">
        <v>10253</v>
      </c>
      <c r="K503" s="1073" t="s">
        <v>10288</v>
      </c>
      <c r="L503" s="789" t="s">
        <v>10241</v>
      </c>
      <c r="M503" s="790" t="s">
        <v>10411</v>
      </c>
      <c r="O503" s="790" t="s">
        <v>9883</v>
      </c>
      <c r="P503" s="790" t="s">
        <v>10244</v>
      </c>
      <c r="R503" s="30"/>
    </row>
    <row r="504" spans="2:18">
      <c r="B504" s="5" t="s">
        <v>10412</v>
      </c>
      <c r="C504" s="1038" t="s">
        <v>10413</v>
      </c>
      <c r="D504" s="529">
        <f>Page5_PARCS!G11</f>
        <v>0</v>
      </c>
      <c r="E504" s="529">
        <f>Page5_PARCS!L11</f>
        <v>0</v>
      </c>
      <c r="F504" t="str">
        <f t="shared" si="60"/>
        <v>01-00-407F&amp;C-SALES-CURR</v>
      </c>
      <c r="G504" t="s">
        <v>127</v>
      </c>
      <c r="H504" t="s">
        <v>10287</v>
      </c>
      <c r="I504" t="s">
        <v>10253</v>
      </c>
      <c r="K504" s="1073" t="s">
        <v>10288</v>
      </c>
      <c r="L504" s="789" t="s">
        <v>10241</v>
      </c>
      <c r="M504" s="790" t="s">
        <v>10413</v>
      </c>
      <c r="O504" s="790" t="s">
        <v>9883</v>
      </c>
      <c r="P504" s="790" t="s">
        <v>10244</v>
      </c>
      <c r="R504" s="30"/>
    </row>
    <row r="505" spans="2:18">
      <c r="B505" s="27" t="s">
        <v>10414</v>
      </c>
      <c r="C505" s="2419"/>
      <c r="D505" s="529">
        <f>Page5_PARCS!G12</f>
        <v>0</v>
      </c>
      <c r="E505" s="529">
        <f>Page5_PARCS!L12</f>
        <v>0</v>
      </c>
      <c r="F505" t="str">
        <f t="shared" si="60"/>
        <v>01-00-CCAR F&amp;C-SALES-CURR</v>
      </c>
      <c r="G505" t="s">
        <v>127</v>
      </c>
      <c r="H505" t="s">
        <v>10287</v>
      </c>
      <c r="I505" t="s">
        <v>10253</v>
      </c>
      <c r="K505" s="1073" t="s">
        <v>10288</v>
      </c>
      <c r="L505" s="789" t="s">
        <v>10241</v>
      </c>
      <c r="M505" s="2175" t="s">
        <v>10415</v>
      </c>
      <c r="O505" s="790" t="s">
        <v>9883</v>
      </c>
      <c r="P505" s="790" t="s">
        <v>10244</v>
      </c>
      <c r="R505" s="30"/>
    </row>
    <row r="506" spans="2:18">
      <c r="B506" s="5" t="s">
        <v>10416</v>
      </c>
      <c r="C506" s="1038" t="s">
        <v>10417</v>
      </c>
      <c r="D506" s="529">
        <f>Page5_PARCS!G13</f>
        <v>0</v>
      </c>
      <c r="E506" s="529">
        <f>Page5_PARCS!L13</f>
        <v>0</v>
      </c>
      <c r="F506" t="str">
        <f t="shared" si="60"/>
        <v>01-00-412F&amp;C-SALES-CURR</v>
      </c>
      <c r="G506" t="s">
        <v>127</v>
      </c>
      <c r="H506" t="s">
        <v>10287</v>
      </c>
      <c r="I506" t="s">
        <v>10253</v>
      </c>
      <c r="K506" s="1073" t="s">
        <v>10288</v>
      </c>
      <c r="L506" s="789" t="s">
        <v>10241</v>
      </c>
      <c r="M506" s="790" t="s">
        <v>10417</v>
      </c>
      <c r="O506" s="790" t="s">
        <v>9883</v>
      </c>
      <c r="P506" s="790" t="s">
        <v>10244</v>
      </c>
      <c r="R506" s="30"/>
    </row>
    <row r="507" spans="2:18">
      <c r="B507" s="5" t="s">
        <v>10418</v>
      </c>
      <c r="C507" s="1038" t="s">
        <v>10419</v>
      </c>
      <c r="D507" s="529">
        <f>Page5_PARCS!G14</f>
        <v>91712</v>
      </c>
      <c r="E507" s="529">
        <f>Page5_PARCS!L14</f>
        <v>137560</v>
      </c>
      <c r="F507" t="str">
        <f t="shared" si="60"/>
        <v>01-00-413F&amp;C-SALES-CURR</v>
      </c>
      <c r="G507" t="s">
        <v>127</v>
      </c>
      <c r="H507" t="s">
        <v>10287</v>
      </c>
      <c r="I507" t="s">
        <v>10253</v>
      </c>
      <c r="K507" s="1073" t="s">
        <v>10288</v>
      </c>
      <c r="L507" s="789" t="s">
        <v>10241</v>
      </c>
      <c r="M507" s="790" t="s">
        <v>10419</v>
      </c>
      <c r="O507" s="790" t="s">
        <v>9883</v>
      </c>
      <c r="P507" s="790" t="s">
        <v>10244</v>
      </c>
      <c r="R507" s="30"/>
    </row>
    <row r="508" spans="2:18">
      <c r="B508" s="5" t="s">
        <v>10420</v>
      </c>
      <c r="C508" s="1038" t="s">
        <v>10421</v>
      </c>
      <c r="D508" s="529">
        <f>Page5_PARCS!G15</f>
        <v>0</v>
      </c>
      <c r="E508" s="529">
        <f>Page5_PARCS!L15</f>
        <v>0</v>
      </c>
      <c r="F508" t="str">
        <f t="shared" si="60"/>
        <v>01-00-414F&amp;C-SALES-CURR</v>
      </c>
      <c r="G508" t="s">
        <v>127</v>
      </c>
      <c r="H508" t="s">
        <v>10287</v>
      </c>
      <c r="I508" t="s">
        <v>10253</v>
      </c>
      <c r="K508" s="1073" t="s">
        <v>10288</v>
      </c>
      <c r="L508" s="789" t="s">
        <v>10241</v>
      </c>
      <c r="M508" s="790" t="s">
        <v>10421</v>
      </c>
      <c r="O508" s="790" t="s">
        <v>9883</v>
      </c>
      <c r="P508" s="790" t="s">
        <v>10244</v>
      </c>
      <c r="R508" s="30"/>
    </row>
    <row r="509" spans="2:18">
      <c r="B509" s="5" t="s">
        <v>10422</v>
      </c>
      <c r="C509" s="1038" t="s">
        <v>10423</v>
      </c>
      <c r="D509" s="529">
        <f>Page5_PARCS!G16</f>
        <v>0</v>
      </c>
      <c r="E509" s="529">
        <f>Page5_PARCS!L16</f>
        <v>0</v>
      </c>
      <c r="F509" t="str">
        <f t="shared" si="60"/>
        <v>01-00-415F&amp;C-SALES-CURR</v>
      </c>
      <c r="G509" t="s">
        <v>127</v>
      </c>
      <c r="H509" t="s">
        <v>10287</v>
      </c>
      <c r="I509" t="s">
        <v>10253</v>
      </c>
      <c r="K509" s="1073" t="s">
        <v>10288</v>
      </c>
      <c r="L509" s="789" t="s">
        <v>10241</v>
      </c>
      <c r="M509" s="790" t="s">
        <v>10423</v>
      </c>
      <c r="O509" s="790" t="s">
        <v>9883</v>
      </c>
      <c r="P509" s="790" t="s">
        <v>10244</v>
      </c>
      <c r="R509" s="30"/>
    </row>
    <row r="510" spans="2:18">
      <c r="B510" s="5" t="s">
        <v>10424</v>
      </c>
      <c r="C510" s="1038" t="s">
        <v>10425</v>
      </c>
      <c r="D510" s="529">
        <f>Page5_PARCS!G17</f>
        <v>0</v>
      </c>
      <c r="E510" s="529">
        <f>Page5_PARCS!L17</f>
        <v>0</v>
      </c>
      <c r="F510" t="str">
        <f t="shared" si="60"/>
        <v>01-00-416F&amp;C-SALES-CURR</v>
      </c>
      <c r="G510" t="s">
        <v>127</v>
      </c>
      <c r="H510" t="s">
        <v>10287</v>
      </c>
      <c r="I510" t="s">
        <v>10253</v>
      </c>
      <c r="K510" s="1073" t="s">
        <v>10288</v>
      </c>
      <c r="L510" s="789" t="s">
        <v>10241</v>
      </c>
      <c r="M510" s="790" t="s">
        <v>10425</v>
      </c>
      <c r="O510" s="790" t="s">
        <v>9883</v>
      </c>
      <c r="P510" s="790" t="s">
        <v>10244</v>
      </c>
      <c r="R510" s="30"/>
    </row>
    <row r="511" spans="2:18">
      <c r="B511" s="5" t="s">
        <v>10426</v>
      </c>
      <c r="C511" s="1038" t="s">
        <v>10427</v>
      </c>
      <c r="D511" s="529">
        <f>Page5_PARCS!G18</f>
        <v>0</v>
      </c>
      <c r="E511" s="529">
        <f>Page5_PARCS!L18</f>
        <v>0</v>
      </c>
      <c r="F511" t="str">
        <f t="shared" si="60"/>
        <v>01-00-417F&amp;C-SALES-CURR</v>
      </c>
      <c r="G511" t="s">
        <v>127</v>
      </c>
      <c r="H511" t="s">
        <v>10287</v>
      </c>
      <c r="I511" t="s">
        <v>10253</v>
      </c>
      <c r="K511" s="1073" t="s">
        <v>10288</v>
      </c>
      <c r="L511" s="789" t="s">
        <v>10241</v>
      </c>
      <c r="M511" s="790" t="s">
        <v>10427</v>
      </c>
      <c r="O511" s="790" t="s">
        <v>9883</v>
      </c>
      <c r="P511" s="790" t="s">
        <v>10244</v>
      </c>
      <c r="R511" s="30"/>
    </row>
    <row r="512" spans="2:18">
      <c r="B512" s="5" t="s">
        <v>10428</v>
      </c>
      <c r="C512" s="1038" t="s">
        <v>10429</v>
      </c>
      <c r="D512" s="529">
        <f>Page5_PARCS!G19</f>
        <v>0</v>
      </c>
      <c r="E512" s="529">
        <f>Page5_PARCS!L19</f>
        <v>0</v>
      </c>
      <c r="F512" t="str">
        <f t="shared" si="60"/>
        <v>01-00-418F&amp;C-SALES-CURR</v>
      </c>
      <c r="G512" t="s">
        <v>127</v>
      </c>
      <c r="H512" t="s">
        <v>10287</v>
      </c>
      <c r="I512" t="s">
        <v>10253</v>
      </c>
      <c r="K512" s="1073" t="s">
        <v>10288</v>
      </c>
      <c r="L512" s="789" t="s">
        <v>10241</v>
      </c>
      <c r="M512" s="790" t="s">
        <v>10429</v>
      </c>
      <c r="O512" s="790" t="s">
        <v>9883</v>
      </c>
      <c r="P512" s="790" t="s">
        <v>10244</v>
      </c>
      <c r="R512" s="30"/>
    </row>
    <row r="513" spans="2:18">
      <c r="B513" s="5" t="s">
        <v>10430</v>
      </c>
      <c r="C513" s="1038" t="s">
        <v>10431</v>
      </c>
      <c r="D513" s="529">
        <f>Page5_PARCS!G20</f>
        <v>0</v>
      </c>
      <c r="E513" s="529">
        <f>Page5_PARCS!L20</f>
        <v>0</v>
      </c>
      <c r="F513" t="str">
        <f t="shared" si="60"/>
        <v>01-00-419F&amp;C-SALES-CURR</v>
      </c>
      <c r="G513" t="s">
        <v>127</v>
      </c>
      <c r="H513" t="s">
        <v>10287</v>
      </c>
      <c r="I513" t="s">
        <v>10253</v>
      </c>
      <c r="K513" s="1073" t="s">
        <v>10288</v>
      </c>
      <c r="L513" s="789" t="s">
        <v>10241</v>
      </c>
      <c r="M513" s="790" t="s">
        <v>10431</v>
      </c>
      <c r="O513" s="790" t="s">
        <v>9883</v>
      </c>
      <c r="P513" s="790" t="s">
        <v>10244</v>
      </c>
      <c r="R513" s="30"/>
    </row>
    <row r="514" spans="2:18">
      <c r="B514" s="5" t="s">
        <v>10432</v>
      </c>
      <c r="C514" s="1038" t="s">
        <v>10433</v>
      </c>
      <c r="D514" s="529">
        <f>Page5_PARCS!G21</f>
        <v>0</v>
      </c>
      <c r="E514" s="529">
        <f>Page5_PARCS!L21</f>
        <v>0</v>
      </c>
      <c r="F514" t="str">
        <f t="shared" si="60"/>
        <v>01-00-420F&amp;C-SALES-CURR</v>
      </c>
      <c r="G514" t="s">
        <v>127</v>
      </c>
      <c r="H514" t="s">
        <v>10287</v>
      </c>
      <c r="I514" t="s">
        <v>10253</v>
      </c>
      <c r="K514" s="1073" t="s">
        <v>10288</v>
      </c>
      <c r="L514" s="789" t="s">
        <v>10241</v>
      </c>
      <c r="M514" s="790" t="s">
        <v>10433</v>
      </c>
      <c r="O514" s="790" t="s">
        <v>9883</v>
      </c>
      <c r="P514" s="790" t="s">
        <v>10244</v>
      </c>
      <c r="R514" s="30"/>
    </row>
    <row r="515" spans="2:18">
      <c r="B515" s="5" t="s">
        <v>10434</v>
      </c>
      <c r="C515" s="1038" t="s">
        <v>10435</v>
      </c>
      <c r="D515" s="529">
        <f>Page5_PARCS!G22</f>
        <v>0</v>
      </c>
      <c r="E515" s="529">
        <f>Page5_PARCS!L22</f>
        <v>0</v>
      </c>
      <c r="F515" t="str">
        <f t="shared" si="60"/>
        <v>01-00-421F&amp;C-SALES-CURR</v>
      </c>
      <c r="G515" t="s">
        <v>127</v>
      </c>
      <c r="H515" t="s">
        <v>10287</v>
      </c>
      <c r="I515" t="s">
        <v>10253</v>
      </c>
      <c r="K515" s="1073" t="s">
        <v>10288</v>
      </c>
      <c r="L515" s="789" t="s">
        <v>10241</v>
      </c>
      <c r="M515" s="790" t="s">
        <v>10435</v>
      </c>
      <c r="O515" s="790" t="s">
        <v>9883</v>
      </c>
      <c r="P515" s="790" t="s">
        <v>10244</v>
      </c>
      <c r="R515" s="30"/>
    </row>
    <row r="516" spans="2:18">
      <c r="B516" s="5" t="s">
        <v>10436</v>
      </c>
      <c r="C516" s="1038" t="s">
        <v>10437</v>
      </c>
      <c r="D516" s="529">
        <f>Page5_PARCS!G23</f>
        <v>0</v>
      </c>
      <c r="E516" s="529">
        <f>Page5_PARCS!L23</f>
        <v>0</v>
      </c>
      <c r="F516" t="str">
        <f t="shared" si="60"/>
        <v>01-00-422F&amp;C-SALES-CURR</v>
      </c>
      <c r="G516" t="s">
        <v>127</v>
      </c>
      <c r="H516" t="s">
        <v>10287</v>
      </c>
      <c r="I516" t="s">
        <v>10253</v>
      </c>
      <c r="K516" s="1073" t="s">
        <v>10288</v>
      </c>
      <c r="L516" s="789" t="s">
        <v>10241</v>
      </c>
      <c r="M516" s="790" t="s">
        <v>10437</v>
      </c>
      <c r="O516" s="790" t="s">
        <v>9883</v>
      </c>
      <c r="P516" s="790" t="s">
        <v>10244</v>
      </c>
      <c r="R516" s="30"/>
    </row>
    <row r="517" spans="2:18">
      <c r="B517" s="5" t="s">
        <v>10438</v>
      </c>
      <c r="C517" s="1038" t="s">
        <v>10439</v>
      </c>
      <c r="D517" s="529">
        <f>Page5_PARCS!G24</f>
        <v>0</v>
      </c>
      <c r="E517" s="529">
        <f>Page5_PARCS!L24</f>
        <v>0</v>
      </c>
      <c r="F517" t="str">
        <f t="shared" si="60"/>
        <v>01-00-423F&amp;C-SALES-CURR</v>
      </c>
      <c r="G517" t="s">
        <v>127</v>
      </c>
      <c r="H517" t="s">
        <v>10287</v>
      </c>
      <c r="I517" t="s">
        <v>10253</v>
      </c>
      <c r="K517" s="1073" t="s">
        <v>10288</v>
      </c>
      <c r="L517" s="789" t="s">
        <v>10241</v>
      </c>
      <c r="M517" s="790" t="s">
        <v>10439</v>
      </c>
      <c r="O517" s="790" t="s">
        <v>9883</v>
      </c>
      <c r="P517" s="790" t="s">
        <v>10244</v>
      </c>
      <c r="R517" s="30"/>
    </row>
    <row r="518" spans="2:18">
      <c r="B518" s="5" t="s">
        <v>10440</v>
      </c>
      <c r="C518" s="1038" t="s">
        <v>10441</v>
      </c>
      <c r="D518" s="529">
        <f>Page5_PARCS!G25</f>
        <v>0</v>
      </c>
      <c r="E518" s="529">
        <f>Page5_PARCS!L25</f>
        <v>0</v>
      </c>
      <c r="F518" t="str">
        <f t="shared" si="60"/>
        <v>01-00-424F&amp;C-SALES-CURR</v>
      </c>
      <c r="G518" t="s">
        <v>127</v>
      </c>
      <c r="H518" t="s">
        <v>10287</v>
      </c>
      <c r="I518" t="s">
        <v>10253</v>
      </c>
      <c r="K518" s="1073" t="s">
        <v>10288</v>
      </c>
      <c r="L518" s="789" t="s">
        <v>10241</v>
      </c>
      <c r="M518" s="790" t="s">
        <v>10441</v>
      </c>
      <c r="O518" s="790" t="s">
        <v>9883</v>
      </c>
      <c r="P518" s="790" t="s">
        <v>10244</v>
      </c>
      <c r="R518" s="30"/>
    </row>
    <row r="519" spans="2:18">
      <c r="B519" s="5" t="s">
        <v>10442</v>
      </c>
      <c r="C519" s="1038" t="s">
        <v>10443</v>
      </c>
      <c r="D519" s="529">
        <f>Page5_PARCS!G26</f>
        <v>0</v>
      </c>
      <c r="E519" s="529">
        <f>Page5_PARCS!L26</f>
        <v>0</v>
      </c>
      <c r="F519" t="str">
        <f t="shared" si="60"/>
        <v>01-00-425F&amp;C-SALES-CURR</v>
      </c>
      <c r="G519" t="s">
        <v>127</v>
      </c>
      <c r="H519" t="s">
        <v>10287</v>
      </c>
      <c r="I519" t="s">
        <v>10253</v>
      </c>
      <c r="K519" s="1073" t="s">
        <v>10288</v>
      </c>
      <c r="L519" s="789" t="s">
        <v>10241</v>
      </c>
      <c r="M519" s="790" t="s">
        <v>10443</v>
      </c>
      <c r="O519" s="790" t="s">
        <v>9883</v>
      </c>
      <c r="P519" s="790" t="s">
        <v>10244</v>
      </c>
      <c r="R519" s="30"/>
    </row>
    <row r="520" spans="2:18">
      <c r="B520" s="5" t="s">
        <v>10444</v>
      </c>
      <c r="C520" s="1038" t="s">
        <v>10445</v>
      </c>
      <c r="D520" s="529">
        <f>Page5_PARCS!G27</f>
        <v>0</v>
      </c>
      <c r="E520" s="529">
        <f>Page5_PARCS!L27</f>
        <v>0</v>
      </c>
      <c r="F520" t="str">
        <f t="shared" si="60"/>
        <v>01-00-426F&amp;C-SALES-CURR</v>
      </c>
      <c r="G520" t="s">
        <v>127</v>
      </c>
      <c r="H520" t="s">
        <v>10287</v>
      </c>
      <c r="I520" t="s">
        <v>10253</v>
      </c>
      <c r="K520" s="1073" t="s">
        <v>10288</v>
      </c>
      <c r="L520" s="789" t="s">
        <v>10241</v>
      </c>
      <c r="M520" s="790" t="s">
        <v>10445</v>
      </c>
      <c r="O520" s="790" t="s">
        <v>9883</v>
      </c>
      <c r="P520" s="790" t="s">
        <v>10244</v>
      </c>
      <c r="R520" s="30"/>
    </row>
    <row r="521" spans="2:18">
      <c r="B521" s="5" t="s">
        <v>10446</v>
      </c>
      <c r="C521" s="1038" t="s">
        <v>10447</v>
      </c>
      <c r="D521" s="529">
        <f>Page5_PARCS!G28</f>
        <v>0</v>
      </c>
      <c r="E521" s="529">
        <f>Page5_PARCS!L28</f>
        <v>0</v>
      </c>
      <c r="F521" t="str">
        <f t="shared" si="60"/>
        <v>01-00-427F&amp;C-SALES-CURR</v>
      </c>
      <c r="G521" t="s">
        <v>127</v>
      </c>
      <c r="H521" t="s">
        <v>10287</v>
      </c>
      <c r="I521" t="s">
        <v>10253</v>
      </c>
      <c r="K521" s="1073" t="s">
        <v>10288</v>
      </c>
      <c r="L521" s="789" t="s">
        <v>10241</v>
      </c>
      <c r="M521" s="790" t="s">
        <v>10447</v>
      </c>
      <c r="O521" s="790" t="s">
        <v>9883</v>
      </c>
      <c r="P521" s="790" t="s">
        <v>10244</v>
      </c>
      <c r="R521" s="30"/>
    </row>
    <row r="522" spans="2:18">
      <c r="B522" s="5" t="s">
        <v>10448</v>
      </c>
      <c r="C522" s="1038" t="s">
        <v>10449</v>
      </c>
      <c r="D522" s="529">
        <f>Page5_PARCS!G29</f>
        <v>0</v>
      </c>
      <c r="E522" s="529">
        <f>Page5_PARCS!L29</f>
        <v>0</v>
      </c>
      <c r="F522" t="str">
        <f t="shared" si="60"/>
        <v>01-00-428F&amp;C-SALES-CURR</v>
      </c>
      <c r="G522" t="s">
        <v>127</v>
      </c>
      <c r="H522" t="s">
        <v>10287</v>
      </c>
      <c r="I522" t="s">
        <v>10253</v>
      </c>
      <c r="K522" s="1073" t="s">
        <v>10288</v>
      </c>
      <c r="L522" s="789" t="s">
        <v>10241</v>
      </c>
      <c r="M522" s="790" t="s">
        <v>10449</v>
      </c>
      <c r="O522" s="790" t="s">
        <v>9883</v>
      </c>
      <c r="P522" s="790" t="s">
        <v>10244</v>
      </c>
      <c r="R522" s="30"/>
    </row>
    <row r="523" spans="2:18">
      <c r="B523" s="5" t="s">
        <v>10450</v>
      </c>
      <c r="C523" s="1038" t="s">
        <v>10451</v>
      </c>
      <c r="D523" s="529">
        <f>Page5_PARCS!G30</f>
        <v>0</v>
      </c>
      <c r="E523" s="529">
        <f>Page5_PARCS!L30</f>
        <v>0</v>
      </c>
      <c r="F523" t="str">
        <f t="shared" si="60"/>
        <v>01-00-429F&amp;C-SALES-CURR</v>
      </c>
      <c r="G523" t="s">
        <v>127</v>
      </c>
      <c r="H523" t="s">
        <v>10287</v>
      </c>
      <c r="I523" t="s">
        <v>10253</v>
      </c>
      <c r="K523" s="1073" t="s">
        <v>10288</v>
      </c>
      <c r="L523" s="789" t="s">
        <v>10241</v>
      </c>
      <c r="M523" s="790" t="s">
        <v>10451</v>
      </c>
      <c r="O523" s="790" t="s">
        <v>9883</v>
      </c>
      <c r="P523" s="790" t="s">
        <v>10244</v>
      </c>
      <c r="R523" s="30"/>
    </row>
    <row r="524" spans="2:18">
      <c r="B524" s="5" t="s">
        <v>10452</v>
      </c>
      <c r="C524" s="1038" t="s">
        <v>10453</v>
      </c>
      <c r="D524" s="529">
        <f>Page5_PARCS!G31</f>
        <v>0</v>
      </c>
      <c r="E524" s="529">
        <f>Page5_PARCS!L31</f>
        <v>0</v>
      </c>
      <c r="F524" t="str">
        <f t="shared" si="60"/>
        <v>01-00-430F&amp;C-SALES-CURR</v>
      </c>
      <c r="G524" t="s">
        <v>127</v>
      </c>
      <c r="H524" t="s">
        <v>10287</v>
      </c>
      <c r="I524" t="s">
        <v>10253</v>
      </c>
      <c r="K524" s="1073" t="s">
        <v>10288</v>
      </c>
      <c r="L524" s="789" t="s">
        <v>10241</v>
      </c>
      <c r="M524" s="790" t="s">
        <v>10453</v>
      </c>
      <c r="O524" s="790" t="s">
        <v>9883</v>
      </c>
      <c r="P524" s="790" t="s">
        <v>10244</v>
      </c>
      <c r="R524" s="30"/>
    </row>
    <row r="525" spans="2:18">
      <c r="B525" s="5" t="s">
        <v>10454</v>
      </c>
      <c r="C525" s="1038" t="s">
        <v>10455</v>
      </c>
      <c r="D525" s="529">
        <f>Page5_PARCS!G32</f>
        <v>0</v>
      </c>
      <c r="E525" s="529">
        <f>Page5_PARCS!L32</f>
        <v>0</v>
      </c>
      <c r="F525" t="str">
        <f t="shared" si="60"/>
        <v>01-00-431F&amp;C-SALES-CURR</v>
      </c>
      <c r="G525" t="s">
        <v>127</v>
      </c>
      <c r="H525" t="s">
        <v>10287</v>
      </c>
      <c r="I525" t="s">
        <v>10253</v>
      </c>
      <c r="K525" s="1073" t="s">
        <v>10288</v>
      </c>
      <c r="L525" s="789" t="s">
        <v>10241</v>
      </c>
      <c r="M525" s="790" t="s">
        <v>10455</v>
      </c>
      <c r="O525" s="790" t="s">
        <v>9883</v>
      </c>
      <c r="P525" s="790" t="s">
        <v>10244</v>
      </c>
      <c r="R525" s="30"/>
    </row>
    <row r="526" spans="2:18">
      <c r="B526" s="5" t="s">
        <v>10456</v>
      </c>
      <c r="C526" s="1038" t="s">
        <v>10457</v>
      </c>
      <c r="D526" s="529">
        <f>Page5_PARCS!G33</f>
        <v>0</v>
      </c>
      <c r="E526" s="529">
        <f>Page5_PARCS!L33</f>
        <v>0</v>
      </c>
      <c r="F526" t="str">
        <f t="shared" si="60"/>
        <v>01-00-432F&amp;C-SALES-CURR</v>
      </c>
      <c r="G526" t="s">
        <v>127</v>
      </c>
      <c r="H526" t="s">
        <v>10287</v>
      </c>
      <c r="I526" t="s">
        <v>10253</v>
      </c>
      <c r="K526" s="1073" t="s">
        <v>10288</v>
      </c>
      <c r="L526" s="789" t="s">
        <v>10241</v>
      </c>
      <c r="M526" s="790" t="s">
        <v>10457</v>
      </c>
      <c r="O526" s="790" t="s">
        <v>9883</v>
      </c>
      <c r="P526" s="790" t="s">
        <v>10244</v>
      </c>
      <c r="R526" s="30"/>
    </row>
    <row r="527" spans="2:18">
      <c r="B527" s="5" t="s">
        <v>10458</v>
      </c>
      <c r="C527" s="1038" t="s">
        <v>10459</v>
      </c>
      <c r="D527" s="529">
        <f>Page5_PARCS!G34</f>
        <v>0</v>
      </c>
      <c r="E527" s="529">
        <f>Page5_PARCS!L34</f>
        <v>0</v>
      </c>
      <c r="F527" t="str">
        <f t="shared" si="60"/>
        <v>01-00-433F&amp;C-SALES-CURR</v>
      </c>
      <c r="G527" t="s">
        <v>127</v>
      </c>
      <c r="H527" t="s">
        <v>10287</v>
      </c>
      <c r="I527" t="s">
        <v>10253</v>
      </c>
      <c r="K527" s="1073" t="s">
        <v>10288</v>
      </c>
      <c r="L527" s="789" t="s">
        <v>10241</v>
      </c>
      <c r="M527" s="790" t="s">
        <v>10459</v>
      </c>
      <c r="O527" s="790" t="s">
        <v>9883</v>
      </c>
      <c r="P527" s="790" t="s">
        <v>10244</v>
      </c>
      <c r="R527" s="30"/>
    </row>
    <row r="528" spans="2:18">
      <c r="B528" s="5" t="s">
        <v>10460</v>
      </c>
      <c r="C528" s="1038" t="s">
        <v>10461</v>
      </c>
      <c r="D528" s="529">
        <f>Page5_PARCS!G35</f>
        <v>0</v>
      </c>
      <c r="E528" s="529">
        <f>Page5_PARCS!L35</f>
        <v>0</v>
      </c>
      <c r="F528" t="str">
        <f t="shared" si="60"/>
        <v>01-00-434F&amp;C-SALES-CURR</v>
      </c>
      <c r="G528" t="s">
        <v>127</v>
      </c>
      <c r="H528" t="s">
        <v>10287</v>
      </c>
      <c r="I528" t="s">
        <v>10253</v>
      </c>
      <c r="K528" s="1073" t="s">
        <v>10288</v>
      </c>
      <c r="L528" s="789" t="s">
        <v>10241</v>
      </c>
      <c r="M528" s="790" t="s">
        <v>10461</v>
      </c>
      <c r="O528" s="790" t="s">
        <v>9883</v>
      </c>
      <c r="P528" s="790" t="s">
        <v>10244</v>
      </c>
      <c r="R528" s="30"/>
    </row>
    <row r="529" spans="2:18">
      <c r="B529" s="51" t="s">
        <v>10462</v>
      </c>
      <c r="C529" s="1042"/>
      <c r="D529" s="529">
        <f>Page5_PARCS!G36</f>
        <v>91712</v>
      </c>
      <c r="E529" s="529">
        <f>Page5_PARCS!L36</f>
        <v>137560</v>
      </c>
      <c r="F529" t="str">
        <f t="shared" si="60"/>
        <v>01-00-CTRK F&amp;C-SALES-CURR</v>
      </c>
      <c r="G529" t="s">
        <v>127</v>
      </c>
      <c r="H529" t="s">
        <v>10287</v>
      </c>
      <c r="I529" t="s">
        <v>10253</v>
      </c>
      <c r="K529" s="1073" t="s">
        <v>10288</v>
      </c>
      <c r="L529" s="789" t="s">
        <v>10241</v>
      </c>
      <c r="M529" s="790" t="s">
        <v>10463</v>
      </c>
      <c r="O529" s="790" t="s">
        <v>9883</v>
      </c>
      <c r="P529" s="790" t="s">
        <v>10244</v>
      </c>
      <c r="Q529" s="791" t="s">
        <v>773</v>
      </c>
    </row>
    <row r="530" spans="2:18">
      <c r="B530" s="27" t="s">
        <v>10464</v>
      </c>
      <c r="C530" s="1042"/>
      <c r="D530" s="529">
        <f>Page5_PARCS!G37</f>
        <v>91712</v>
      </c>
      <c r="E530" s="529">
        <f>Page5_PARCS!L37</f>
        <v>137560</v>
      </c>
      <c r="F530" t="str">
        <f t="shared" si="60"/>
        <v>01-00-TOTVEH5K-SALES-CURR</v>
      </c>
      <c r="G530" t="s">
        <v>127</v>
      </c>
      <c r="H530" t="s">
        <v>10287</v>
      </c>
      <c r="I530" t="s">
        <v>10253</v>
      </c>
      <c r="K530" s="1073" t="s">
        <v>10288</v>
      </c>
      <c r="L530" s="789" t="s">
        <v>10241</v>
      </c>
      <c r="M530" s="2175" t="s">
        <v>10465</v>
      </c>
      <c r="O530" s="790" t="s">
        <v>9883</v>
      </c>
      <c r="P530" s="790" t="s">
        <v>10244</v>
      </c>
      <c r="Q530" s="791" t="s">
        <v>773</v>
      </c>
    </row>
    <row r="531" spans="2:18">
      <c r="B531" s="5" t="s">
        <v>10466</v>
      </c>
      <c r="C531" s="1038" t="s">
        <v>10399</v>
      </c>
      <c r="D531" s="529">
        <f>Page5_PARCS!I4</f>
        <v>0</v>
      </c>
      <c r="E531" s="529">
        <f>Page5_PARCS!N4</f>
        <v>0</v>
      </c>
      <c r="F531" t="str">
        <f t="shared" si="60"/>
        <v>01-00-400F&amp;C-GRSPFT-CURR</v>
      </c>
      <c r="G531" t="s">
        <v>127</v>
      </c>
      <c r="H531" t="s">
        <v>10287</v>
      </c>
      <c r="I531" t="s">
        <v>10253</v>
      </c>
      <c r="K531" s="1073" t="s">
        <v>10288</v>
      </c>
      <c r="L531" s="789" t="s">
        <v>10241</v>
      </c>
      <c r="M531" s="790" t="s">
        <v>10399</v>
      </c>
      <c r="O531" s="790" t="s">
        <v>10467</v>
      </c>
      <c r="P531" s="790" t="s">
        <v>10244</v>
      </c>
      <c r="R531" s="30"/>
    </row>
    <row r="532" spans="2:18">
      <c r="B532" s="5" t="s">
        <v>10468</v>
      </c>
      <c r="C532" s="1038" t="s">
        <v>10401</v>
      </c>
      <c r="D532" s="529">
        <f>Page5_PARCS!I5</f>
        <v>0</v>
      </c>
      <c r="E532" s="529">
        <f>Page5_PARCS!N5</f>
        <v>0</v>
      </c>
      <c r="F532" t="str">
        <f t="shared" si="60"/>
        <v>01-00-401F&amp;C-GRSPFT-CURR</v>
      </c>
      <c r="G532" t="s">
        <v>127</v>
      </c>
      <c r="H532" t="s">
        <v>10287</v>
      </c>
      <c r="I532" t="s">
        <v>10253</v>
      </c>
      <c r="K532" s="1073" t="s">
        <v>10288</v>
      </c>
      <c r="L532" s="789" t="s">
        <v>10241</v>
      </c>
      <c r="M532" s="790" t="s">
        <v>10401</v>
      </c>
      <c r="O532" s="790" t="s">
        <v>10467</v>
      </c>
      <c r="P532" s="790" t="s">
        <v>10244</v>
      </c>
      <c r="R532" s="30"/>
    </row>
    <row r="533" spans="2:18">
      <c r="B533" s="5" t="s">
        <v>10469</v>
      </c>
      <c r="C533" s="1038" t="s">
        <v>10403</v>
      </c>
      <c r="D533" s="529">
        <f>Page5_PARCS!I6</f>
        <v>0</v>
      </c>
      <c r="E533" s="529">
        <f>Page5_PARCS!N6</f>
        <v>0</v>
      </c>
      <c r="F533" t="str">
        <f t="shared" si="60"/>
        <v>01-00-402F&amp;C-GRSPFT-CURR</v>
      </c>
      <c r="G533" t="s">
        <v>127</v>
      </c>
      <c r="H533" t="s">
        <v>10287</v>
      </c>
      <c r="I533" t="s">
        <v>10253</v>
      </c>
      <c r="K533" s="1073" t="s">
        <v>10288</v>
      </c>
      <c r="L533" s="789" t="s">
        <v>10241</v>
      </c>
      <c r="M533" s="790" t="s">
        <v>10403</v>
      </c>
      <c r="O533" s="790" t="s">
        <v>10467</v>
      </c>
      <c r="P533" s="790" t="s">
        <v>10244</v>
      </c>
      <c r="R533" s="30"/>
    </row>
    <row r="534" spans="2:18">
      <c r="B534" s="5" t="s">
        <v>10470</v>
      </c>
      <c r="C534" s="1038" t="s">
        <v>10405</v>
      </c>
      <c r="D534" s="529">
        <f>Page5_PARCS!I7</f>
        <v>0</v>
      </c>
      <c r="E534" s="529">
        <f>Page5_PARCS!N7</f>
        <v>0</v>
      </c>
      <c r="F534" t="str">
        <f t="shared" si="60"/>
        <v>01-00-403F&amp;C-GRSPFT-CURR</v>
      </c>
      <c r="G534" t="s">
        <v>127</v>
      </c>
      <c r="H534" t="s">
        <v>10287</v>
      </c>
      <c r="I534" t="s">
        <v>10253</v>
      </c>
      <c r="K534" s="1073" t="s">
        <v>10288</v>
      </c>
      <c r="L534" s="789" t="s">
        <v>10241</v>
      </c>
      <c r="M534" s="790" t="s">
        <v>10405</v>
      </c>
      <c r="O534" s="790" t="s">
        <v>10467</v>
      </c>
      <c r="P534" s="790" t="s">
        <v>10244</v>
      </c>
      <c r="R534" s="30"/>
    </row>
    <row r="535" spans="2:18">
      <c r="B535" s="5" t="s">
        <v>10471</v>
      </c>
      <c r="C535" s="1038" t="s">
        <v>10407</v>
      </c>
      <c r="D535" s="529">
        <f>Page5_PARCS!I8</f>
        <v>0</v>
      </c>
      <c r="E535" s="529">
        <f>Page5_PARCS!N8</f>
        <v>0</v>
      </c>
      <c r="F535" t="str">
        <f t="shared" ref="F535:F586" si="61">TEXT(K535,"00")&amp;"-"&amp;L535&amp;IF(M535="","","-"&amp;M535)&amp;IF(N535="","","-"&amp;N535)&amp;IF(OR(O535="",O535=0),"","-"&amp;O535)&amp;IF(P535="","","-"&amp;P535)</f>
        <v>01-00-404F&amp;C-GRSPFT-CURR</v>
      </c>
      <c r="G535" t="s">
        <v>127</v>
      </c>
      <c r="H535" t="s">
        <v>10287</v>
      </c>
      <c r="I535" t="s">
        <v>10253</v>
      </c>
      <c r="K535" s="1073" t="s">
        <v>10288</v>
      </c>
      <c r="L535" s="789" t="s">
        <v>10241</v>
      </c>
      <c r="M535" s="790" t="s">
        <v>10407</v>
      </c>
      <c r="O535" s="790" t="s">
        <v>10467</v>
      </c>
      <c r="P535" s="790" t="s">
        <v>10244</v>
      </c>
      <c r="R535" s="30"/>
    </row>
    <row r="536" spans="2:18">
      <c r="B536" s="5" t="s">
        <v>10472</v>
      </c>
      <c r="C536" s="1038" t="s">
        <v>10409</v>
      </c>
      <c r="D536" s="529">
        <f>Page5_PARCS!I9</f>
        <v>0</v>
      </c>
      <c r="E536" s="529">
        <f>Page5_PARCS!N9</f>
        <v>0</v>
      </c>
      <c r="F536" t="str">
        <f t="shared" si="61"/>
        <v>01-00-405F&amp;C-GRSPFT-CURR</v>
      </c>
      <c r="G536" t="s">
        <v>127</v>
      </c>
      <c r="H536" t="s">
        <v>10287</v>
      </c>
      <c r="I536" t="s">
        <v>10253</v>
      </c>
      <c r="K536" s="1073" t="s">
        <v>10288</v>
      </c>
      <c r="L536" s="789" t="s">
        <v>10241</v>
      </c>
      <c r="M536" s="790" t="s">
        <v>10409</v>
      </c>
      <c r="O536" s="790" t="s">
        <v>10467</v>
      </c>
      <c r="P536" s="790" t="s">
        <v>10244</v>
      </c>
      <c r="R536" s="30"/>
    </row>
    <row r="537" spans="2:18">
      <c r="B537" s="5" t="s">
        <v>10473</v>
      </c>
      <c r="C537" s="1038" t="s">
        <v>10411</v>
      </c>
      <c r="D537" s="529">
        <f>Page5_PARCS!I10</f>
        <v>0</v>
      </c>
      <c r="E537" s="529">
        <f>Page5_PARCS!N10</f>
        <v>0</v>
      </c>
      <c r="F537" t="str">
        <f t="shared" si="61"/>
        <v>01-00-406F&amp;C-GRSPFT-CURR</v>
      </c>
      <c r="G537" t="s">
        <v>127</v>
      </c>
      <c r="H537" t="s">
        <v>10287</v>
      </c>
      <c r="I537" t="s">
        <v>10253</v>
      </c>
      <c r="K537" s="1073" t="s">
        <v>10288</v>
      </c>
      <c r="L537" s="789" t="s">
        <v>10241</v>
      </c>
      <c r="M537" s="790" t="s">
        <v>10411</v>
      </c>
      <c r="O537" s="790" t="s">
        <v>10467</v>
      </c>
      <c r="P537" s="790" t="s">
        <v>10244</v>
      </c>
      <c r="R537" s="30"/>
    </row>
    <row r="538" spans="2:18">
      <c r="B538" s="5" t="s">
        <v>10474</v>
      </c>
      <c r="C538" s="1038" t="s">
        <v>10413</v>
      </c>
      <c r="D538" s="529">
        <f>Page5_PARCS!I11</f>
        <v>0</v>
      </c>
      <c r="E538" s="529">
        <f>Page5_PARCS!N11</f>
        <v>0</v>
      </c>
      <c r="F538" t="str">
        <f t="shared" si="61"/>
        <v>01-00-407F&amp;C-GRSPFT-CURR</v>
      </c>
      <c r="G538" t="s">
        <v>127</v>
      </c>
      <c r="H538" t="s">
        <v>10287</v>
      </c>
      <c r="I538" t="s">
        <v>10253</v>
      </c>
      <c r="K538" s="1073" t="s">
        <v>10288</v>
      </c>
      <c r="L538" s="789" t="s">
        <v>10241</v>
      </c>
      <c r="M538" s="790" t="s">
        <v>10413</v>
      </c>
      <c r="O538" s="790" t="s">
        <v>10467</v>
      </c>
      <c r="P538" s="790" t="s">
        <v>10244</v>
      </c>
      <c r="R538" s="30"/>
    </row>
    <row r="539" spans="2:18">
      <c r="B539" s="27" t="s">
        <v>10475</v>
      </c>
      <c r="C539" s="2419"/>
      <c r="D539" s="529">
        <f>Page5_PARCS!I12</f>
        <v>0</v>
      </c>
      <c r="E539" s="529">
        <f>Page5_PARCS!N12</f>
        <v>0</v>
      </c>
      <c r="F539" t="str">
        <f t="shared" si="61"/>
        <v>01-00-CCAR F&amp;C-GRSPFT-CURR</v>
      </c>
      <c r="G539" t="s">
        <v>127</v>
      </c>
      <c r="H539" t="s">
        <v>10287</v>
      </c>
      <c r="I539" t="s">
        <v>10253</v>
      </c>
      <c r="K539" s="1073" t="s">
        <v>10288</v>
      </c>
      <c r="L539" s="789" t="s">
        <v>10241</v>
      </c>
      <c r="M539" s="2175" t="s">
        <v>10415</v>
      </c>
      <c r="O539" s="790" t="s">
        <v>10467</v>
      </c>
      <c r="P539" s="790" t="s">
        <v>10244</v>
      </c>
      <c r="R539" s="30"/>
    </row>
    <row r="540" spans="2:18">
      <c r="B540" s="5" t="s">
        <v>10476</v>
      </c>
      <c r="C540" s="1038" t="s">
        <v>10417</v>
      </c>
      <c r="D540" s="529">
        <f>Page5_PARCS!I13</f>
        <v>0</v>
      </c>
      <c r="E540" s="529">
        <f>Page5_PARCS!N13</f>
        <v>0</v>
      </c>
      <c r="F540" t="str">
        <f t="shared" si="61"/>
        <v>01-00-412F&amp;C-GRSPFT-CURR</v>
      </c>
      <c r="G540" t="s">
        <v>127</v>
      </c>
      <c r="H540" t="s">
        <v>10287</v>
      </c>
      <c r="I540" t="s">
        <v>10253</v>
      </c>
      <c r="K540" s="1073" t="s">
        <v>10288</v>
      </c>
      <c r="L540" s="789" t="s">
        <v>10241</v>
      </c>
      <c r="M540" s="790" t="s">
        <v>10417</v>
      </c>
      <c r="O540" s="790" t="s">
        <v>10467</v>
      </c>
      <c r="P540" s="790" t="s">
        <v>10244</v>
      </c>
      <c r="R540" s="30"/>
    </row>
    <row r="541" spans="2:18">
      <c r="B541" s="5" t="s">
        <v>10477</v>
      </c>
      <c r="C541" s="1038" t="s">
        <v>10419</v>
      </c>
      <c r="D541" s="529">
        <f>Page5_PARCS!I14</f>
        <v>2897</v>
      </c>
      <c r="E541" s="529">
        <f>Page5_PARCS!N14</f>
        <v>2184</v>
      </c>
      <c r="F541" t="str">
        <f t="shared" si="61"/>
        <v>01-00-413F&amp;C-GRSPFT-CURR</v>
      </c>
      <c r="G541" t="s">
        <v>127</v>
      </c>
      <c r="H541" t="s">
        <v>10287</v>
      </c>
      <c r="I541" t="s">
        <v>10253</v>
      </c>
      <c r="K541" s="1073" t="s">
        <v>10288</v>
      </c>
      <c r="L541" s="789" t="s">
        <v>10241</v>
      </c>
      <c r="M541" s="790" t="s">
        <v>10419</v>
      </c>
      <c r="O541" s="790" t="s">
        <v>10467</v>
      </c>
      <c r="P541" s="790" t="s">
        <v>10244</v>
      </c>
      <c r="R541" s="30"/>
    </row>
    <row r="542" spans="2:18">
      <c r="B542" s="5" t="s">
        <v>10478</v>
      </c>
      <c r="C542" s="1038" t="s">
        <v>10421</v>
      </c>
      <c r="D542" s="529">
        <f>Page5_PARCS!I15</f>
        <v>0</v>
      </c>
      <c r="E542" s="529">
        <f>Page5_PARCS!N15</f>
        <v>0</v>
      </c>
      <c r="F542" t="str">
        <f t="shared" si="61"/>
        <v>01-00-414F&amp;C-GRSPFT-CURR</v>
      </c>
      <c r="G542" t="s">
        <v>127</v>
      </c>
      <c r="H542" t="s">
        <v>10287</v>
      </c>
      <c r="I542" t="s">
        <v>10253</v>
      </c>
      <c r="K542" s="1073" t="s">
        <v>10288</v>
      </c>
      <c r="L542" s="789" t="s">
        <v>10241</v>
      </c>
      <c r="M542" s="790" t="s">
        <v>10421</v>
      </c>
      <c r="O542" s="790" t="s">
        <v>10467</v>
      </c>
      <c r="P542" s="790" t="s">
        <v>10244</v>
      </c>
      <c r="R542" s="30"/>
    </row>
    <row r="543" spans="2:18">
      <c r="B543" s="5" t="s">
        <v>10479</v>
      </c>
      <c r="C543" s="1038" t="s">
        <v>10423</v>
      </c>
      <c r="D543" s="529">
        <f>Page5_PARCS!I16</f>
        <v>0</v>
      </c>
      <c r="E543" s="529">
        <f>Page5_PARCS!N16</f>
        <v>0</v>
      </c>
      <c r="F543" t="str">
        <f t="shared" si="61"/>
        <v>01-00-415F&amp;C-GRSPFT-CURR</v>
      </c>
      <c r="G543" t="s">
        <v>127</v>
      </c>
      <c r="H543" t="s">
        <v>10287</v>
      </c>
      <c r="I543" t="s">
        <v>10253</v>
      </c>
      <c r="K543" s="1073" t="s">
        <v>10288</v>
      </c>
      <c r="L543" s="789" t="s">
        <v>10241</v>
      </c>
      <c r="M543" s="790" t="s">
        <v>10423</v>
      </c>
      <c r="O543" s="790" t="s">
        <v>10467</v>
      </c>
      <c r="P543" s="790" t="s">
        <v>10244</v>
      </c>
      <c r="R543" s="30"/>
    </row>
    <row r="544" spans="2:18">
      <c r="B544" s="5" t="s">
        <v>10480</v>
      </c>
      <c r="C544" s="1038" t="s">
        <v>10425</v>
      </c>
      <c r="D544" s="529">
        <f>Page5_PARCS!I17</f>
        <v>0</v>
      </c>
      <c r="E544" s="529">
        <f>Page5_PARCS!N17</f>
        <v>0</v>
      </c>
      <c r="F544" t="str">
        <f t="shared" si="61"/>
        <v>01-00-416F&amp;C-GRSPFT-CURR</v>
      </c>
      <c r="G544" t="s">
        <v>127</v>
      </c>
      <c r="H544" t="s">
        <v>10287</v>
      </c>
      <c r="I544" t="s">
        <v>10253</v>
      </c>
      <c r="K544" s="1073" t="s">
        <v>10288</v>
      </c>
      <c r="L544" s="789" t="s">
        <v>10241</v>
      </c>
      <c r="M544" s="790" t="s">
        <v>10425</v>
      </c>
      <c r="O544" s="790" t="s">
        <v>10467</v>
      </c>
      <c r="P544" s="790" t="s">
        <v>10244</v>
      </c>
      <c r="R544" s="30"/>
    </row>
    <row r="545" spans="2:18">
      <c r="B545" s="5" t="s">
        <v>10481</v>
      </c>
      <c r="C545" s="1038" t="s">
        <v>10427</v>
      </c>
      <c r="D545" s="529">
        <f>Page5_PARCS!I18</f>
        <v>0</v>
      </c>
      <c r="E545" s="529">
        <f>Page5_PARCS!N18</f>
        <v>0</v>
      </c>
      <c r="F545" t="str">
        <f t="shared" si="61"/>
        <v>01-00-417F&amp;C-GRSPFT-CURR</v>
      </c>
      <c r="G545" t="s">
        <v>127</v>
      </c>
      <c r="H545" t="s">
        <v>10287</v>
      </c>
      <c r="I545" t="s">
        <v>10253</v>
      </c>
      <c r="K545" s="1073" t="s">
        <v>10288</v>
      </c>
      <c r="L545" s="789" t="s">
        <v>10241</v>
      </c>
      <c r="M545" s="790" t="s">
        <v>10427</v>
      </c>
      <c r="O545" s="790" t="s">
        <v>10467</v>
      </c>
      <c r="P545" s="790" t="s">
        <v>10244</v>
      </c>
      <c r="R545" s="30"/>
    </row>
    <row r="546" spans="2:18">
      <c r="B546" s="5" t="s">
        <v>10482</v>
      </c>
      <c r="C546" s="1038" t="s">
        <v>10429</v>
      </c>
      <c r="D546" s="529">
        <f>Page5_PARCS!I19</f>
        <v>0</v>
      </c>
      <c r="E546" s="529">
        <f>Page5_PARCS!N19</f>
        <v>0</v>
      </c>
      <c r="F546" t="str">
        <f t="shared" si="61"/>
        <v>01-00-418F&amp;C-GRSPFT-CURR</v>
      </c>
      <c r="G546" t="s">
        <v>127</v>
      </c>
      <c r="H546" t="s">
        <v>10287</v>
      </c>
      <c r="I546" t="s">
        <v>10253</v>
      </c>
      <c r="K546" s="1073" t="s">
        <v>10288</v>
      </c>
      <c r="L546" s="789" t="s">
        <v>10241</v>
      </c>
      <c r="M546" s="790" t="s">
        <v>10429</v>
      </c>
      <c r="O546" s="790" t="s">
        <v>10467</v>
      </c>
      <c r="P546" s="790" t="s">
        <v>10244</v>
      </c>
      <c r="R546" s="30"/>
    </row>
    <row r="547" spans="2:18">
      <c r="B547" s="5" t="s">
        <v>10483</v>
      </c>
      <c r="C547" s="1038" t="s">
        <v>10431</v>
      </c>
      <c r="D547" s="529">
        <f>Page5_PARCS!I20</f>
        <v>0</v>
      </c>
      <c r="E547" s="529">
        <f>Page5_PARCS!N20</f>
        <v>0</v>
      </c>
      <c r="F547" t="str">
        <f t="shared" si="61"/>
        <v>01-00-419F&amp;C-GRSPFT-CURR</v>
      </c>
      <c r="G547" t="s">
        <v>127</v>
      </c>
      <c r="H547" t="s">
        <v>10287</v>
      </c>
      <c r="I547" t="s">
        <v>10253</v>
      </c>
      <c r="K547" s="1073" t="s">
        <v>10288</v>
      </c>
      <c r="L547" s="789" t="s">
        <v>10241</v>
      </c>
      <c r="M547" s="790" t="s">
        <v>10431</v>
      </c>
      <c r="O547" s="790" t="s">
        <v>10467</v>
      </c>
      <c r="P547" s="790" t="s">
        <v>10244</v>
      </c>
      <c r="R547" s="30"/>
    </row>
    <row r="548" spans="2:18">
      <c r="B548" s="5" t="s">
        <v>10484</v>
      </c>
      <c r="C548" s="1038" t="s">
        <v>10433</v>
      </c>
      <c r="D548" s="529">
        <f>Page5_PARCS!I21</f>
        <v>0</v>
      </c>
      <c r="E548" s="529">
        <f>Page5_PARCS!N21</f>
        <v>0</v>
      </c>
      <c r="F548" t="str">
        <f t="shared" si="61"/>
        <v>01-00-420F&amp;C-GRSPFT-CURR</v>
      </c>
      <c r="G548" t="s">
        <v>127</v>
      </c>
      <c r="H548" t="s">
        <v>10287</v>
      </c>
      <c r="I548" t="s">
        <v>10253</v>
      </c>
      <c r="K548" s="1073" t="s">
        <v>10288</v>
      </c>
      <c r="L548" s="789" t="s">
        <v>10241</v>
      </c>
      <c r="M548" s="790" t="s">
        <v>10433</v>
      </c>
      <c r="O548" s="790" t="s">
        <v>10467</v>
      </c>
      <c r="P548" s="790" t="s">
        <v>10244</v>
      </c>
      <c r="R548" s="30"/>
    </row>
    <row r="549" spans="2:18">
      <c r="B549" s="5" t="s">
        <v>10485</v>
      </c>
      <c r="C549" s="1038" t="s">
        <v>10435</v>
      </c>
      <c r="D549" s="529">
        <f>Page5_PARCS!I22</f>
        <v>0</v>
      </c>
      <c r="E549" s="529">
        <f>Page5_PARCS!N22</f>
        <v>0</v>
      </c>
      <c r="F549" t="str">
        <f t="shared" si="61"/>
        <v>01-00-421F&amp;C-GRSPFT-CURR</v>
      </c>
      <c r="G549" t="s">
        <v>127</v>
      </c>
      <c r="H549" t="s">
        <v>10287</v>
      </c>
      <c r="I549" t="s">
        <v>10253</v>
      </c>
      <c r="K549" s="1073" t="s">
        <v>10288</v>
      </c>
      <c r="L549" s="789" t="s">
        <v>10241</v>
      </c>
      <c r="M549" s="790" t="s">
        <v>10435</v>
      </c>
      <c r="O549" s="790" t="s">
        <v>10467</v>
      </c>
      <c r="P549" s="790" t="s">
        <v>10244</v>
      </c>
      <c r="R549" s="30"/>
    </row>
    <row r="550" spans="2:18">
      <c r="B550" s="5" t="s">
        <v>10486</v>
      </c>
      <c r="C550" s="1038" t="s">
        <v>10437</v>
      </c>
      <c r="D550" s="529">
        <f>Page5_PARCS!I23</f>
        <v>0</v>
      </c>
      <c r="E550" s="529">
        <f>Page5_PARCS!N23</f>
        <v>0</v>
      </c>
      <c r="F550" t="str">
        <f t="shared" si="61"/>
        <v>01-00-422F&amp;C-GRSPFT-CURR</v>
      </c>
      <c r="G550" t="s">
        <v>127</v>
      </c>
      <c r="H550" t="s">
        <v>10287</v>
      </c>
      <c r="I550" t="s">
        <v>10253</v>
      </c>
      <c r="K550" s="1073" t="s">
        <v>10288</v>
      </c>
      <c r="L550" s="789" t="s">
        <v>10241</v>
      </c>
      <c r="M550" s="790" t="s">
        <v>10437</v>
      </c>
      <c r="O550" s="790" t="s">
        <v>10467</v>
      </c>
      <c r="P550" s="790" t="s">
        <v>10244</v>
      </c>
      <c r="R550" s="30"/>
    </row>
    <row r="551" spans="2:18">
      <c r="B551" s="5" t="s">
        <v>10487</v>
      </c>
      <c r="C551" s="1038" t="s">
        <v>10439</v>
      </c>
      <c r="D551" s="529">
        <f>Page5_PARCS!I24</f>
        <v>0</v>
      </c>
      <c r="E551" s="529">
        <f>Page5_PARCS!N24</f>
        <v>0</v>
      </c>
      <c r="F551" t="str">
        <f t="shared" si="61"/>
        <v>01-00-423F&amp;C-GRSPFT-CURR</v>
      </c>
      <c r="G551" t="s">
        <v>127</v>
      </c>
      <c r="H551" t="s">
        <v>10287</v>
      </c>
      <c r="I551" t="s">
        <v>10253</v>
      </c>
      <c r="K551" s="1073" t="s">
        <v>10288</v>
      </c>
      <c r="L551" s="789" t="s">
        <v>10241</v>
      </c>
      <c r="M551" s="790" t="s">
        <v>10439</v>
      </c>
      <c r="O551" s="790" t="s">
        <v>10467</v>
      </c>
      <c r="P551" s="790" t="s">
        <v>10244</v>
      </c>
      <c r="R551" s="30"/>
    </row>
    <row r="552" spans="2:18">
      <c r="B552" s="5" t="s">
        <v>10488</v>
      </c>
      <c r="C552" s="1038" t="s">
        <v>10441</v>
      </c>
      <c r="D552" s="529">
        <f>Page5_PARCS!I25</f>
        <v>0</v>
      </c>
      <c r="E552" s="529">
        <f>Page5_PARCS!N25</f>
        <v>0</v>
      </c>
      <c r="F552" t="str">
        <f t="shared" si="61"/>
        <v>01-00-424F&amp;C-GRSPFT-CURR</v>
      </c>
      <c r="G552" t="s">
        <v>127</v>
      </c>
      <c r="H552" t="s">
        <v>10287</v>
      </c>
      <c r="I552" t="s">
        <v>10253</v>
      </c>
      <c r="K552" s="1073" t="s">
        <v>10288</v>
      </c>
      <c r="L552" s="789" t="s">
        <v>10241</v>
      </c>
      <c r="M552" s="790" t="s">
        <v>10441</v>
      </c>
      <c r="O552" s="790" t="s">
        <v>10467</v>
      </c>
      <c r="P552" s="790" t="s">
        <v>10244</v>
      </c>
      <c r="R552" s="30"/>
    </row>
    <row r="553" spans="2:18">
      <c r="B553" s="5" t="s">
        <v>10489</v>
      </c>
      <c r="C553" s="1038" t="s">
        <v>10443</v>
      </c>
      <c r="D553" s="529">
        <f>Page5_PARCS!I26</f>
        <v>0</v>
      </c>
      <c r="E553" s="529">
        <f>Page5_PARCS!N26</f>
        <v>0</v>
      </c>
      <c r="F553" t="str">
        <f t="shared" si="61"/>
        <v>01-00-425F&amp;C-GRSPFT-CURR</v>
      </c>
      <c r="G553" t="s">
        <v>127</v>
      </c>
      <c r="H553" t="s">
        <v>10287</v>
      </c>
      <c r="I553" t="s">
        <v>10253</v>
      </c>
      <c r="K553" s="1073" t="s">
        <v>10288</v>
      </c>
      <c r="L553" s="789" t="s">
        <v>10241</v>
      </c>
      <c r="M553" s="790" t="s">
        <v>10443</v>
      </c>
      <c r="O553" s="790" t="s">
        <v>10467</v>
      </c>
      <c r="P553" s="790" t="s">
        <v>10244</v>
      </c>
      <c r="R553" s="30"/>
    </row>
    <row r="554" spans="2:18">
      <c r="B554" s="5" t="s">
        <v>10490</v>
      </c>
      <c r="C554" s="1038" t="s">
        <v>10445</v>
      </c>
      <c r="D554" s="529">
        <f>Page5_PARCS!I27</f>
        <v>0</v>
      </c>
      <c r="E554" s="529">
        <f>Page5_PARCS!N27</f>
        <v>0</v>
      </c>
      <c r="F554" t="str">
        <f t="shared" si="61"/>
        <v>01-00-426F&amp;C-GRSPFT-CURR</v>
      </c>
      <c r="G554" t="s">
        <v>127</v>
      </c>
      <c r="H554" t="s">
        <v>10287</v>
      </c>
      <c r="I554" t="s">
        <v>10253</v>
      </c>
      <c r="K554" s="1073" t="s">
        <v>10288</v>
      </c>
      <c r="L554" s="789" t="s">
        <v>10241</v>
      </c>
      <c r="M554" s="790" t="s">
        <v>10445</v>
      </c>
      <c r="O554" s="790" t="s">
        <v>10467</v>
      </c>
      <c r="P554" s="790" t="s">
        <v>10244</v>
      </c>
      <c r="R554" s="30"/>
    </row>
    <row r="555" spans="2:18">
      <c r="B555" s="5" t="s">
        <v>10491</v>
      </c>
      <c r="C555" s="1038" t="s">
        <v>10447</v>
      </c>
      <c r="D555" s="529">
        <f>Page5_PARCS!I28</f>
        <v>0</v>
      </c>
      <c r="E555" s="529">
        <f>Page5_PARCS!N28</f>
        <v>0</v>
      </c>
      <c r="F555" t="str">
        <f t="shared" si="61"/>
        <v>01-00-427F&amp;C-GRSPFT-CURR</v>
      </c>
      <c r="G555" t="s">
        <v>127</v>
      </c>
      <c r="H555" t="s">
        <v>10287</v>
      </c>
      <c r="I555" t="s">
        <v>10253</v>
      </c>
      <c r="K555" s="1073" t="s">
        <v>10288</v>
      </c>
      <c r="L555" s="789" t="s">
        <v>10241</v>
      </c>
      <c r="M555" s="790" t="s">
        <v>10447</v>
      </c>
      <c r="O555" s="790" t="s">
        <v>10467</v>
      </c>
      <c r="P555" s="790" t="s">
        <v>10244</v>
      </c>
      <c r="R555" s="30"/>
    </row>
    <row r="556" spans="2:18">
      <c r="B556" s="5" t="s">
        <v>10492</v>
      </c>
      <c r="C556" s="1038" t="s">
        <v>10449</v>
      </c>
      <c r="D556" s="529">
        <f>Page5_PARCS!I29</f>
        <v>0</v>
      </c>
      <c r="E556" s="529">
        <f>Page5_PARCS!N29</f>
        <v>0</v>
      </c>
      <c r="F556" t="str">
        <f t="shared" si="61"/>
        <v>01-00-428F&amp;C-GRSPFT-CURR</v>
      </c>
      <c r="G556" t="s">
        <v>127</v>
      </c>
      <c r="H556" t="s">
        <v>10287</v>
      </c>
      <c r="I556" t="s">
        <v>10253</v>
      </c>
      <c r="K556" s="1073" t="s">
        <v>10288</v>
      </c>
      <c r="L556" s="789" t="s">
        <v>10241</v>
      </c>
      <c r="M556" s="790" t="s">
        <v>10449</v>
      </c>
      <c r="O556" s="790" t="s">
        <v>10467</v>
      </c>
      <c r="P556" s="790" t="s">
        <v>10244</v>
      </c>
      <c r="R556" s="30"/>
    </row>
    <row r="557" spans="2:18">
      <c r="B557" s="5" t="s">
        <v>10493</v>
      </c>
      <c r="C557" s="1038" t="s">
        <v>10451</v>
      </c>
      <c r="D557" s="529">
        <f>Page5_PARCS!I30</f>
        <v>0</v>
      </c>
      <c r="E557" s="529">
        <f>Page5_PARCS!N30</f>
        <v>0</v>
      </c>
      <c r="F557" t="str">
        <f t="shared" si="61"/>
        <v>01-00-429F&amp;C-GRSPFT-CURR</v>
      </c>
      <c r="G557" t="s">
        <v>127</v>
      </c>
      <c r="H557" t="s">
        <v>10287</v>
      </c>
      <c r="I557" t="s">
        <v>10253</v>
      </c>
      <c r="K557" s="1073" t="s">
        <v>10288</v>
      </c>
      <c r="L557" s="789" t="s">
        <v>10241</v>
      </c>
      <c r="M557" s="790" t="s">
        <v>10451</v>
      </c>
      <c r="O557" s="790" t="s">
        <v>10467</v>
      </c>
      <c r="P557" s="790" t="s">
        <v>10244</v>
      </c>
      <c r="R557" s="30"/>
    </row>
    <row r="558" spans="2:18">
      <c r="B558" s="5" t="s">
        <v>10494</v>
      </c>
      <c r="C558" s="1038" t="s">
        <v>10453</v>
      </c>
      <c r="D558" s="529">
        <f>Page5_PARCS!I31</f>
        <v>0</v>
      </c>
      <c r="E558" s="529">
        <f>Page5_PARCS!N31</f>
        <v>0</v>
      </c>
      <c r="F558" t="str">
        <f t="shared" si="61"/>
        <v>01-00-430F&amp;C-GRSPFT-CURR</v>
      </c>
      <c r="G558" t="s">
        <v>127</v>
      </c>
      <c r="H558" t="s">
        <v>10287</v>
      </c>
      <c r="I558" t="s">
        <v>10253</v>
      </c>
      <c r="K558" s="1073" t="s">
        <v>10288</v>
      </c>
      <c r="L558" s="789" t="s">
        <v>10241</v>
      </c>
      <c r="M558" s="790" t="s">
        <v>10453</v>
      </c>
      <c r="O558" s="790" t="s">
        <v>10467</v>
      </c>
      <c r="P558" s="790" t="s">
        <v>10244</v>
      </c>
      <c r="R558" s="30"/>
    </row>
    <row r="559" spans="2:18">
      <c r="B559" s="5" t="s">
        <v>10495</v>
      </c>
      <c r="C559" s="1038" t="s">
        <v>10455</v>
      </c>
      <c r="D559" s="529">
        <f>Page5_PARCS!I32</f>
        <v>0</v>
      </c>
      <c r="E559" s="529">
        <f>Page5_PARCS!N32</f>
        <v>0</v>
      </c>
      <c r="F559" t="str">
        <f t="shared" si="61"/>
        <v>01-00-431F&amp;C-GRSPFT-CURR</v>
      </c>
      <c r="G559" t="s">
        <v>127</v>
      </c>
      <c r="H559" t="s">
        <v>10287</v>
      </c>
      <c r="I559" t="s">
        <v>10253</v>
      </c>
      <c r="K559" s="1073" t="s">
        <v>10288</v>
      </c>
      <c r="L559" s="789" t="s">
        <v>10241</v>
      </c>
      <c r="M559" s="790" t="s">
        <v>10455</v>
      </c>
      <c r="O559" s="790" t="s">
        <v>10467</v>
      </c>
      <c r="P559" s="790" t="s">
        <v>10244</v>
      </c>
      <c r="R559" s="30"/>
    </row>
    <row r="560" spans="2:18">
      <c r="B560" s="5" t="s">
        <v>10496</v>
      </c>
      <c r="C560" s="1038" t="s">
        <v>10457</v>
      </c>
      <c r="D560" s="529">
        <f>Page5_PARCS!I33</f>
        <v>0</v>
      </c>
      <c r="E560" s="529">
        <f>Page5_PARCS!N33</f>
        <v>0</v>
      </c>
      <c r="F560" t="str">
        <f t="shared" si="61"/>
        <v>01-00-432F&amp;C-GRSPFT-CURR</v>
      </c>
      <c r="G560" t="s">
        <v>127</v>
      </c>
      <c r="H560" t="s">
        <v>10287</v>
      </c>
      <c r="I560" t="s">
        <v>10253</v>
      </c>
      <c r="K560" s="1073" t="s">
        <v>10288</v>
      </c>
      <c r="L560" s="789" t="s">
        <v>10241</v>
      </c>
      <c r="M560" s="790" t="s">
        <v>10457</v>
      </c>
      <c r="O560" s="790" t="s">
        <v>10467</v>
      </c>
      <c r="P560" s="790" t="s">
        <v>10244</v>
      </c>
      <c r="R560" s="30"/>
    </row>
    <row r="561" spans="2:18">
      <c r="B561" s="5" t="s">
        <v>10497</v>
      </c>
      <c r="C561" s="1038" t="s">
        <v>10459</v>
      </c>
      <c r="D561" s="529">
        <f>Page5_PARCS!I34</f>
        <v>0</v>
      </c>
      <c r="E561" s="529">
        <f>Page5_PARCS!N34</f>
        <v>0</v>
      </c>
      <c r="F561" t="str">
        <f t="shared" si="61"/>
        <v>01-00-433F&amp;C-GRSPFT-CURR</v>
      </c>
      <c r="G561" t="s">
        <v>127</v>
      </c>
      <c r="H561" t="s">
        <v>10287</v>
      </c>
      <c r="I561" t="s">
        <v>10253</v>
      </c>
      <c r="K561" s="1073" t="s">
        <v>10288</v>
      </c>
      <c r="L561" s="789" t="s">
        <v>10241</v>
      </c>
      <c r="M561" s="790" t="s">
        <v>10459</v>
      </c>
      <c r="O561" s="790" t="s">
        <v>10467</v>
      </c>
      <c r="P561" s="790" t="s">
        <v>10244</v>
      </c>
      <c r="R561" s="30"/>
    </row>
    <row r="562" spans="2:18">
      <c r="B562" s="5" t="s">
        <v>10498</v>
      </c>
      <c r="C562" s="1038" t="s">
        <v>10461</v>
      </c>
      <c r="D562" s="529">
        <f>Page5_PARCS!I35</f>
        <v>0</v>
      </c>
      <c r="E562" s="529">
        <f>Page5_PARCS!N35</f>
        <v>0</v>
      </c>
      <c r="F562" t="str">
        <f t="shared" si="61"/>
        <v>01-00-434F&amp;C-GRSPFT-CURR</v>
      </c>
      <c r="G562" t="s">
        <v>127</v>
      </c>
      <c r="H562" t="s">
        <v>10287</v>
      </c>
      <c r="I562" t="s">
        <v>10253</v>
      </c>
      <c r="K562" s="1073" t="s">
        <v>10288</v>
      </c>
      <c r="L562" s="789" t="s">
        <v>10241</v>
      </c>
      <c r="M562" s="790" t="s">
        <v>10461</v>
      </c>
      <c r="O562" s="790" t="s">
        <v>10467</v>
      </c>
      <c r="P562" s="790" t="s">
        <v>10244</v>
      </c>
      <c r="R562" s="30"/>
    </row>
    <row r="563" spans="2:18">
      <c r="B563" s="51" t="s">
        <v>10499</v>
      </c>
      <c r="C563" s="1042"/>
      <c r="D563" s="529">
        <f>Page5_PARCS!I36</f>
        <v>2897</v>
      </c>
      <c r="E563" s="529">
        <f>Page5_PARCS!N36</f>
        <v>2184</v>
      </c>
      <c r="F563" t="str">
        <f t="shared" si="61"/>
        <v>01-00-CTRK F&amp;C-GRSPFT-CURR</v>
      </c>
      <c r="G563" t="s">
        <v>127</v>
      </c>
      <c r="H563" t="s">
        <v>10287</v>
      </c>
      <c r="I563" t="s">
        <v>10253</v>
      </c>
      <c r="K563" s="1073" t="s">
        <v>10288</v>
      </c>
      <c r="L563" s="789" t="s">
        <v>10241</v>
      </c>
      <c r="M563" s="790" t="s">
        <v>10463</v>
      </c>
      <c r="O563" s="790" t="s">
        <v>10467</v>
      </c>
      <c r="P563" s="790" t="s">
        <v>10244</v>
      </c>
      <c r="Q563" s="791" t="s">
        <v>773</v>
      </c>
    </row>
    <row r="564" spans="2:18">
      <c r="B564" s="27" t="s">
        <v>10500</v>
      </c>
      <c r="C564" s="1042"/>
      <c r="D564" s="529">
        <f>Page5_PARCS!I37</f>
        <v>2897</v>
      </c>
      <c r="E564" s="529">
        <f>Page5_PARCS!N37</f>
        <v>2184</v>
      </c>
      <c r="F564" t="str">
        <f t="shared" si="61"/>
        <v>01-00-TOTVEH5K-GRSPFT-CURR</v>
      </c>
      <c r="G564" t="s">
        <v>127</v>
      </c>
      <c r="H564" t="s">
        <v>10287</v>
      </c>
      <c r="I564" t="s">
        <v>10253</v>
      </c>
      <c r="K564" s="1073" t="s">
        <v>10288</v>
      </c>
      <c r="L564" s="789" t="s">
        <v>10241</v>
      </c>
      <c r="M564" s="2175" t="s">
        <v>10465</v>
      </c>
      <c r="O564" s="790" t="s">
        <v>10467</v>
      </c>
      <c r="P564" s="790" t="s">
        <v>10244</v>
      </c>
      <c r="Q564" s="791" t="s">
        <v>773</v>
      </c>
    </row>
    <row r="565" spans="2:18">
      <c r="B565" s="5" t="s">
        <v>10501</v>
      </c>
      <c r="C565" s="1038" t="s">
        <v>10502</v>
      </c>
      <c r="D565" s="529">
        <f>Page5_PARCS!I60</f>
        <v>0</v>
      </c>
      <c r="E565" s="529">
        <f>Page5_PARCS!N60</f>
        <v>0</v>
      </c>
      <c r="F565" t="str">
        <f t="shared" si="61"/>
        <v>01-00-637F&amp;C-DIR COST-CURR</v>
      </c>
      <c r="G565" t="s">
        <v>127</v>
      </c>
      <c r="H565" t="s">
        <v>10287</v>
      </c>
      <c r="I565" t="s">
        <v>10253</v>
      </c>
      <c r="K565" s="1073" t="s">
        <v>10288</v>
      </c>
      <c r="L565" s="789" t="s">
        <v>10241</v>
      </c>
      <c r="M565" s="790" t="s">
        <v>10502</v>
      </c>
      <c r="O565" s="790" t="s">
        <v>10503</v>
      </c>
      <c r="P565" s="790" t="s">
        <v>10244</v>
      </c>
      <c r="R565" s="30"/>
    </row>
    <row r="566" spans="2:18">
      <c r="B566" s="5" t="s">
        <v>10504</v>
      </c>
      <c r="C566" s="1038" t="s">
        <v>10505</v>
      </c>
      <c r="D566" s="529">
        <f>Page5_PARCS!I61</f>
        <v>0</v>
      </c>
      <c r="E566" s="529">
        <f>Page5_PARCS!N61</f>
        <v>0</v>
      </c>
      <c r="F566" t="str">
        <f t="shared" si="61"/>
        <v>01-00-638F&amp;C-DIR COST-CURR</v>
      </c>
      <c r="G566" t="s">
        <v>127</v>
      </c>
      <c r="H566" t="s">
        <v>10287</v>
      </c>
      <c r="I566" t="s">
        <v>10253</v>
      </c>
      <c r="K566" s="1073" t="s">
        <v>10288</v>
      </c>
      <c r="L566" s="789" t="s">
        <v>10241</v>
      </c>
      <c r="M566" s="790" t="s">
        <v>10505</v>
      </c>
      <c r="O566" s="790" t="s">
        <v>10503</v>
      </c>
      <c r="P566" s="790" t="s">
        <v>10244</v>
      </c>
      <c r="R566" s="30"/>
    </row>
    <row r="567" spans="2:18">
      <c r="B567" s="5" t="s">
        <v>10506</v>
      </c>
      <c r="C567" s="1038" t="s">
        <v>10507</v>
      </c>
      <c r="D567" s="529">
        <f>Page5_PARCS!I62</f>
        <v>0</v>
      </c>
      <c r="E567" s="529">
        <f>Page5_PARCS!N62</f>
        <v>0</v>
      </c>
      <c r="F567" t="str">
        <f t="shared" si="61"/>
        <v>01-00-639F&amp;C-DIR COST-CURR</v>
      </c>
      <c r="G567" t="s">
        <v>127</v>
      </c>
      <c r="H567" t="s">
        <v>10287</v>
      </c>
      <c r="I567" t="s">
        <v>10253</v>
      </c>
      <c r="K567" s="1073" t="s">
        <v>10288</v>
      </c>
      <c r="L567" s="789" t="s">
        <v>10241</v>
      </c>
      <c r="M567" s="790" t="s">
        <v>10507</v>
      </c>
      <c r="O567" s="790" t="s">
        <v>10503</v>
      </c>
      <c r="P567" s="790" t="s">
        <v>10244</v>
      </c>
      <c r="R567" s="30"/>
    </row>
    <row r="568" spans="2:18">
      <c r="B568" s="5" t="s">
        <v>10508</v>
      </c>
      <c r="C568" s="1038" t="s">
        <v>10509</v>
      </c>
      <c r="D568" s="529">
        <f>Page5_PARCS!I63</f>
        <v>0</v>
      </c>
      <c r="E568" s="529">
        <f>Page5_PARCS!N63</f>
        <v>0</v>
      </c>
      <c r="F568" t="str">
        <f t="shared" si="61"/>
        <v>01-00-640F&amp;C-DIR COST-CURR</v>
      </c>
      <c r="G568" t="s">
        <v>127</v>
      </c>
      <c r="H568" t="s">
        <v>10287</v>
      </c>
      <c r="I568" t="s">
        <v>10253</v>
      </c>
      <c r="K568" s="1073" t="s">
        <v>10288</v>
      </c>
      <c r="L568" s="789" t="s">
        <v>10241</v>
      </c>
      <c r="M568" s="790" t="s">
        <v>10509</v>
      </c>
      <c r="O568" s="790" t="s">
        <v>10503</v>
      </c>
      <c r="P568" s="790" t="s">
        <v>10244</v>
      </c>
      <c r="R568" s="30"/>
    </row>
    <row r="569" spans="2:18">
      <c r="B569" s="5" t="s">
        <v>10510</v>
      </c>
      <c r="C569" s="1038" t="s">
        <v>10511</v>
      </c>
      <c r="D569" s="529">
        <f>Page5_PARCS!I64</f>
        <v>0</v>
      </c>
      <c r="E569" s="529">
        <f>Page5_PARCS!N64</f>
        <v>0</v>
      </c>
      <c r="F569" t="str">
        <f t="shared" si="61"/>
        <v>01-00-641F&amp;C-DIR COST-CURR</v>
      </c>
      <c r="G569" t="s">
        <v>127</v>
      </c>
      <c r="H569" t="s">
        <v>10287</v>
      </c>
      <c r="I569" t="s">
        <v>10253</v>
      </c>
      <c r="K569" s="1073" t="s">
        <v>10288</v>
      </c>
      <c r="L569" s="789" t="s">
        <v>10241</v>
      </c>
      <c r="M569" s="790" t="s">
        <v>10511</v>
      </c>
      <c r="O569" s="790" t="s">
        <v>10503</v>
      </c>
      <c r="P569" s="790" t="s">
        <v>10244</v>
      </c>
      <c r="R569" s="30"/>
    </row>
    <row r="570" spans="2:18">
      <c r="B570" s="5" t="s">
        <v>10512</v>
      </c>
      <c r="C570" s="1038" t="s">
        <v>10513</v>
      </c>
      <c r="D570" s="529">
        <f>Page5_PARCS!I65</f>
        <v>0</v>
      </c>
      <c r="E570" s="529">
        <f>Page5_PARCS!N65</f>
        <v>0</v>
      </c>
      <c r="F570" t="str">
        <f t="shared" si="61"/>
        <v>01-00-642F&amp;C-DIR COST-CURR</v>
      </c>
      <c r="G570" t="s">
        <v>127</v>
      </c>
      <c r="H570" t="s">
        <v>10287</v>
      </c>
      <c r="I570" t="s">
        <v>10253</v>
      </c>
      <c r="K570" s="1073" t="s">
        <v>10288</v>
      </c>
      <c r="L570" s="789" t="s">
        <v>10241</v>
      </c>
      <c r="M570" s="790" t="s">
        <v>10513</v>
      </c>
      <c r="O570" s="790" t="s">
        <v>10503</v>
      </c>
      <c r="P570" s="790" t="s">
        <v>10244</v>
      </c>
      <c r="R570" s="30"/>
    </row>
    <row r="571" spans="2:18">
      <c r="B571" s="5" t="s">
        <v>10514</v>
      </c>
      <c r="C571" s="1038" t="s">
        <v>10515</v>
      </c>
      <c r="D571" s="529">
        <f>Page5_PARCS!I66</f>
        <v>0</v>
      </c>
      <c r="E571" s="529">
        <f>Page5_PARCS!N66</f>
        <v>0</v>
      </c>
      <c r="F571" t="str">
        <f t="shared" si="61"/>
        <v>01-00-643F&amp;C-DIR COST-CURR</v>
      </c>
      <c r="G571" t="s">
        <v>127</v>
      </c>
      <c r="H571" t="s">
        <v>10287</v>
      </c>
      <c r="I571" t="s">
        <v>10253</v>
      </c>
      <c r="K571" s="1073" t="s">
        <v>10288</v>
      </c>
      <c r="L571" s="789" t="s">
        <v>10241</v>
      </c>
      <c r="M571" s="790" t="s">
        <v>10515</v>
      </c>
      <c r="O571" s="790" t="s">
        <v>10503</v>
      </c>
      <c r="P571" s="790" t="s">
        <v>10244</v>
      </c>
      <c r="R571" s="30"/>
    </row>
    <row r="572" spans="2:18">
      <c r="B572" s="27" t="s">
        <v>10516</v>
      </c>
      <c r="C572" s="1042"/>
      <c r="D572" s="529">
        <f>Page5_PARCS!I67</f>
        <v>0</v>
      </c>
      <c r="E572" s="529">
        <f>Page5_PARCS!N67</f>
        <v>0</v>
      </c>
      <c r="F572" t="str">
        <f t="shared" si="61"/>
        <v>01-00-EXPN F&amp;C-DIR COST-CURR</v>
      </c>
      <c r="G572" t="s">
        <v>127</v>
      </c>
      <c r="H572" t="s">
        <v>10287</v>
      </c>
      <c r="I572" t="s">
        <v>10253</v>
      </c>
      <c r="K572" s="1073" t="s">
        <v>10288</v>
      </c>
      <c r="L572" s="789" t="s">
        <v>10241</v>
      </c>
      <c r="M572" s="790" t="s">
        <v>10517</v>
      </c>
      <c r="O572" s="790" t="s">
        <v>10503</v>
      </c>
      <c r="P572" s="790" t="s">
        <v>10244</v>
      </c>
      <c r="Q572" s="791" t="s">
        <v>773</v>
      </c>
    </row>
    <row r="573" spans="2:18">
      <c r="B573" s="27" t="s">
        <v>10518</v>
      </c>
      <c r="C573" s="1042"/>
      <c r="D573" s="529">
        <f>Page5_PARCS!I68</f>
        <v>11046</v>
      </c>
      <c r="E573" s="529">
        <f>Page5_PARCS!N68</f>
        <v>18337</v>
      </c>
      <c r="F573" t="str">
        <f t="shared" si="61"/>
        <v>01-00-NET F&amp;C-GRSPFT-CURR</v>
      </c>
      <c r="G573" t="s">
        <v>127</v>
      </c>
      <c r="H573" t="s">
        <v>10287</v>
      </c>
      <c r="I573" t="s">
        <v>10253</v>
      </c>
      <c r="K573" s="1073" t="s">
        <v>10288</v>
      </c>
      <c r="L573" s="789" t="s">
        <v>10241</v>
      </c>
      <c r="M573" s="790" t="s">
        <v>10519</v>
      </c>
      <c r="O573" s="790" t="s">
        <v>10467</v>
      </c>
      <c r="P573" s="790" t="s">
        <v>10244</v>
      </c>
      <c r="Q573" s="791" t="s">
        <v>773</v>
      </c>
    </row>
    <row r="574" spans="2:18">
      <c r="B574" s="27" t="s">
        <v>10520</v>
      </c>
      <c r="C574" s="1042"/>
      <c r="D574" s="529">
        <f>Page5_PARCS!F68</f>
        <v>12</v>
      </c>
      <c r="E574" s="529">
        <f>Page5_PARCS!K68</f>
        <v>37</v>
      </c>
      <c r="F574" t="str">
        <f t="shared" si="61"/>
        <v>01-00-VEH F&amp;C-UNIT-CURR</v>
      </c>
      <c r="G574" t="s">
        <v>127</v>
      </c>
      <c r="H574" t="s">
        <v>10287</v>
      </c>
      <c r="I574" t="s">
        <v>10253</v>
      </c>
      <c r="K574" s="1073" t="s">
        <v>10288</v>
      </c>
      <c r="L574" s="789" t="s">
        <v>10241</v>
      </c>
      <c r="M574" s="2175" t="s">
        <v>10521</v>
      </c>
      <c r="O574" s="2175" t="s">
        <v>10255</v>
      </c>
      <c r="P574" s="790" t="s">
        <v>10244</v>
      </c>
      <c r="Q574" s="791" t="s">
        <v>773</v>
      </c>
    </row>
    <row r="575" spans="2:18">
      <c r="B575" s="5" t="s">
        <v>10522</v>
      </c>
      <c r="C575" s="1038" t="s">
        <v>10399</v>
      </c>
      <c r="D575" s="529">
        <f>Page5_PARCS!F4</f>
        <v>0</v>
      </c>
      <c r="E575" s="529">
        <f>Page5_PARCS!K4</f>
        <v>0</v>
      </c>
      <c r="F575" t="str">
        <f t="shared" si="61"/>
        <v>01-00-400F&amp;C-UNIT-CURR</v>
      </c>
      <c r="G575" t="s">
        <v>127</v>
      </c>
      <c r="H575" t="s">
        <v>10287</v>
      </c>
      <c r="I575" t="s">
        <v>10253</v>
      </c>
      <c r="K575" s="1073" t="s">
        <v>10288</v>
      </c>
      <c r="L575" s="789" t="s">
        <v>10241</v>
      </c>
      <c r="M575" s="790" t="s">
        <v>10399</v>
      </c>
      <c r="O575" s="790" t="s">
        <v>10255</v>
      </c>
      <c r="P575" s="790" t="s">
        <v>10244</v>
      </c>
      <c r="R575" s="30"/>
    </row>
    <row r="576" spans="2:18">
      <c r="B576" s="5" t="s">
        <v>10523</v>
      </c>
      <c r="C576" s="1038" t="s">
        <v>10401</v>
      </c>
      <c r="D576" s="529">
        <f>Page5_PARCS!F5</f>
        <v>0</v>
      </c>
      <c r="E576" s="529">
        <f>Page5_PARCS!K5</f>
        <v>0</v>
      </c>
      <c r="F576" t="str">
        <f t="shared" si="61"/>
        <v>01-00-401F&amp;C-UNIT-CURR</v>
      </c>
      <c r="G576" t="s">
        <v>127</v>
      </c>
      <c r="H576" t="s">
        <v>10287</v>
      </c>
      <c r="I576" t="s">
        <v>10253</v>
      </c>
      <c r="K576" s="1073" t="s">
        <v>10288</v>
      </c>
      <c r="L576" s="789" t="s">
        <v>10241</v>
      </c>
      <c r="M576" s="790" t="s">
        <v>10401</v>
      </c>
      <c r="O576" s="790" t="s">
        <v>10255</v>
      </c>
      <c r="P576" s="790" t="s">
        <v>10244</v>
      </c>
      <c r="R576" s="30"/>
    </row>
    <row r="577" spans="2:18">
      <c r="B577" s="5" t="s">
        <v>10524</v>
      </c>
      <c r="C577" s="1038" t="s">
        <v>10403</v>
      </c>
      <c r="D577" s="529">
        <f>Page5_PARCS!F6</f>
        <v>0</v>
      </c>
      <c r="E577" s="529">
        <f>Page5_PARCS!K6</f>
        <v>0</v>
      </c>
      <c r="F577" t="str">
        <f t="shared" si="61"/>
        <v>01-00-402F&amp;C-UNIT-CURR</v>
      </c>
      <c r="G577" t="s">
        <v>127</v>
      </c>
      <c r="H577" t="s">
        <v>10287</v>
      </c>
      <c r="I577" t="s">
        <v>10253</v>
      </c>
      <c r="K577" s="1073" t="s">
        <v>10288</v>
      </c>
      <c r="L577" s="789" t="s">
        <v>10241</v>
      </c>
      <c r="M577" s="790" t="s">
        <v>10403</v>
      </c>
      <c r="O577" s="790" t="s">
        <v>10255</v>
      </c>
      <c r="P577" s="790" t="s">
        <v>10244</v>
      </c>
      <c r="R577" s="30"/>
    </row>
    <row r="578" spans="2:18">
      <c r="B578" s="5" t="s">
        <v>10525</v>
      </c>
      <c r="C578" s="1038" t="s">
        <v>10405</v>
      </c>
      <c r="D578" s="529">
        <f>Page5_PARCS!F7</f>
        <v>0</v>
      </c>
      <c r="E578" s="529">
        <f>Page5_PARCS!K7</f>
        <v>0</v>
      </c>
      <c r="F578" t="str">
        <f t="shared" si="61"/>
        <v>01-00-403F&amp;C-UNIT-CURR</v>
      </c>
      <c r="G578" t="s">
        <v>127</v>
      </c>
      <c r="H578" t="s">
        <v>10287</v>
      </c>
      <c r="I578" t="s">
        <v>10253</v>
      </c>
      <c r="K578" s="1073" t="s">
        <v>10288</v>
      </c>
      <c r="L578" s="789" t="s">
        <v>10241</v>
      </c>
      <c r="M578" s="790" t="s">
        <v>10405</v>
      </c>
      <c r="O578" s="790" t="s">
        <v>10255</v>
      </c>
      <c r="P578" s="790" t="s">
        <v>10244</v>
      </c>
      <c r="R578" s="30"/>
    </row>
    <row r="579" spans="2:18">
      <c r="B579" s="5" t="s">
        <v>10526</v>
      </c>
      <c r="C579" s="1038" t="s">
        <v>10407</v>
      </c>
      <c r="D579" s="529">
        <f>Page5_PARCS!F8</f>
        <v>0</v>
      </c>
      <c r="E579" s="529">
        <f>Page5_PARCS!K8</f>
        <v>0</v>
      </c>
      <c r="F579" t="str">
        <f t="shared" si="61"/>
        <v>01-00-404F&amp;C-UNIT-CURR</v>
      </c>
      <c r="G579" t="s">
        <v>127</v>
      </c>
      <c r="H579" t="s">
        <v>10287</v>
      </c>
      <c r="I579" t="s">
        <v>10253</v>
      </c>
      <c r="K579" s="1073" t="s">
        <v>10288</v>
      </c>
      <c r="L579" s="789" t="s">
        <v>10241</v>
      </c>
      <c r="M579" s="790" t="s">
        <v>10407</v>
      </c>
      <c r="O579" s="790" t="s">
        <v>10255</v>
      </c>
      <c r="P579" s="790" t="s">
        <v>10244</v>
      </c>
      <c r="R579" s="30"/>
    </row>
    <row r="580" spans="2:18">
      <c r="B580" s="5" t="s">
        <v>10527</v>
      </c>
      <c r="C580" s="1038" t="s">
        <v>10409</v>
      </c>
      <c r="D580" s="529">
        <f>Page5_PARCS!F9</f>
        <v>0</v>
      </c>
      <c r="E580" s="529">
        <f>Page5_PARCS!K9</f>
        <v>0</v>
      </c>
      <c r="F580" t="str">
        <f t="shared" si="61"/>
        <v>01-00-405F&amp;C-UNIT-CURR</v>
      </c>
      <c r="G580" t="s">
        <v>127</v>
      </c>
      <c r="H580" t="s">
        <v>10287</v>
      </c>
      <c r="I580" t="s">
        <v>10253</v>
      </c>
      <c r="K580" s="1073" t="s">
        <v>10288</v>
      </c>
      <c r="L580" s="789" t="s">
        <v>10241</v>
      </c>
      <c r="M580" s="790" t="s">
        <v>10409</v>
      </c>
      <c r="O580" s="790" t="s">
        <v>10255</v>
      </c>
      <c r="P580" s="790" t="s">
        <v>10244</v>
      </c>
      <c r="R580" s="30"/>
    </row>
    <row r="581" spans="2:18">
      <c r="B581" s="5" t="s">
        <v>10528</v>
      </c>
      <c r="C581" s="1038" t="s">
        <v>10411</v>
      </c>
      <c r="D581" s="529">
        <f>Page5_PARCS!F10</f>
        <v>0</v>
      </c>
      <c r="E581" s="529">
        <f>Page5_PARCS!K10</f>
        <v>0</v>
      </c>
      <c r="F581" t="str">
        <f t="shared" si="61"/>
        <v>01-00-406F&amp;C-UNIT-CURR</v>
      </c>
      <c r="G581" t="s">
        <v>127</v>
      </c>
      <c r="H581" t="s">
        <v>10287</v>
      </c>
      <c r="I581" t="s">
        <v>10253</v>
      </c>
      <c r="K581" s="1073" t="s">
        <v>10288</v>
      </c>
      <c r="L581" s="789" t="s">
        <v>10241</v>
      </c>
      <c r="M581" s="790" t="s">
        <v>10411</v>
      </c>
      <c r="O581" s="790" t="s">
        <v>10255</v>
      </c>
      <c r="P581" s="790" t="s">
        <v>10244</v>
      </c>
      <c r="R581" s="30"/>
    </row>
    <row r="582" spans="2:18">
      <c r="B582" s="5" t="s">
        <v>10529</v>
      </c>
      <c r="C582" s="1038" t="s">
        <v>10413</v>
      </c>
      <c r="D582" s="529">
        <f>Page5_PARCS!F11</f>
        <v>0</v>
      </c>
      <c r="E582" s="529">
        <f>Page5_PARCS!K11</f>
        <v>0</v>
      </c>
      <c r="F582" t="str">
        <f t="shared" si="61"/>
        <v>01-00-407F&amp;C-UNIT-CURR</v>
      </c>
      <c r="G582" t="s">
        <v>127</v>
      </c>
      <c r="H582" t="s">
        <v>10287</v>
      </c>
      <c r="I582" t="s">
        <v>10253</v>
      </c>
      <c r="K582" s="1073" t="s">
        <v>10288</v>
      </c>
      <c r="L582" s="789" t="s">
        <v>10241</v>
      </c>
      <c r="M582" s="790" t="s">
        <v>10413</v>
      </c>
      <c r="O582" s="790" t="s">
        <v>10255</v>
      </c>
      <c r="P582" s="790" t="s">
        <v>10244</v>
      </c>
      <c r="R582" s="30"/>
    </row>
    <row r="583" spans="2:18">
      <c r="B583" s="27" t="s">
        <v>10530</v>
      </c>
      <c r="C583" s="2419"/>
      <c r="D583" s="529">
        <f>Page5_PARCS!F12</f>
        <v>0</v>
      </c>
      <c r="E583" s="529">
        <f>Page5_PARCS!K12</f>
        <v>0</v>
      </c>
      <c r="F583" t="str">
        <f t="shared" si="61"/>
        <v>01-00-CCAR F&amp;C-UNIT-CURR</v>
      </c>
      <c r="G583" t="s">
        <v>127</v>
      </c>
      <c r="H583" t="s">
        <v>10287</v>
      </c>
      <c r="I583" t="s">
        <v>10253</v>
      </c>
      <c r="K583" s="1073" t="s">
        <v>10288</v>
      </c>
      <c r="L583" s="789" t="s">
        <v>10241</v>
      </c>
      <c r="M583" s="2175" t="s">
        <v>10415</v>
      </c>
      <c r="O583" s="790" t="s">
        <v>10255</v>
      </c>
      <c r="P583" s="790" t="s">
        <v>10244</v>
      </c>
      <c r="R583" s="30"/>
    </row>
    <row r="584" spans="2:18">
      <c r="B584" s="5" t="s">
        <v>10531</v>
      </c>
      <c r="C584" s="1038" t="s">
        <v>10417</v>
      </c>
      <c r="D584" s="529">
        <f>Page5_PARCS!F13</f>
        <v>0</v>
      </c>
      <c r="E584" s="529">
        <f>Page5_PARCS!K13</f>
        <v>0</v>
      </c>
      <c r="F584" t="str">
        <f t="shared" si="61"/>
        <v>01-00-412F&amp;C-UNIT-CURR</v>
      </c>
      <c r="G584" t="s">
        <v>127</v>
      </c>
      <c r="H584" t="s">
        <v>10287</v>
      </c>
      <c r="I584" t="s">
        <v>10253</v>
      </c>
      <c r="K584" s="1073" t="s">
        <v>10288</v>
      </c>
      <c r="L584" s="789" t="s">
        <v>10241</v>
      </c>
      <c r="M584" s="790" t="s">
        <v>10417</v>
      </c>
      <c r="O584" s="790" t="s">
        <v>10255</v>
      </c>
      <c r="P584" s="790" t="s">
        <v>10244</v>
      </c>
      <c r="R584" s="30"/>
    </row>
    <row r="585" spans="2:18">
      <c r="B585" s="5" t="s">
        <v>10532</v>
      </c>
      <c r="C585" s="1038" t="s">
        <v>10419</v>
      </c>
      <c r="D585" s="529">
        <f>Page5_PARCS!F14</f>
        <v>2</v>
      </c>
      <c r="E585" s="529">
        <f>Page5_PARCS!K14</f>
        <v>3</v>
      </c>
      <c r="F585" t="str">
        <f t="shared" si="61"/>
        <v>01-00-413F&amp;C-UNIT-CURR</v>
      </c>
      <c r="G585" t="s">
        <v>127</v>
      </c>
      <c r="H585" t="s">
        <v>10287</v>
      </c>
      <c r="I585" t="s">
        <v>10253</v>
      </c>
      <c r="K585" s="1073" t="s">
        <v>10288</v>
      </c>
      <c r="L585" s="789" t="s">
        <v>10241</v>
      </c>
      <c r="M585" s="790" t="s">
        <v>10419</v>
      </c>
      <c r="O585" s="790" t="s">
        <v>10255</v>
      </c>
      <c r="P585" s="790" t="s">
        <v>10244</v>
      </c>
      <c r="R585" s="30"/>
    </row>
    <row r="586" spans="2:18">
      <c r="B586" s="5" t="s">
        <v>10533</v>
      </c>
      <c r="C586" s="1038" t="s">
        <v>10421</v>
      </c>
      <c r="D586" s="529">
        <f>Page5_PARCS!F15</f>
        <v>0</v>
      </c>
      <c r="E586" s="529">
        <f>Page5_PARCS!K15</f>
        <v>0</v>
      </c>
      <c r="F586" t="str">
        <f t="shared" si="61"/>
        <v>01-00-414F&amp;C-UNIT-CURR</v>
      </c>
      <c r="G586" t="s">
        <v>127</v>
      </c>
      <c r="H586" t="s">
        <v>10287</v>
      </c>
      <c r="I586" t="s">
        <v>10253</v>
      </c>
      <c r="K586" s="1073" t="s">
        <v>10288</v>
      </c>
      <c r="L586" s="789" t="s">
        <v>10241</v>
      </c>
      <c r="M586" s="790" t="s">
        <v>10421</v>
      </c>
      <c r="O586" s="790" t="s">
        <v>10255</v>
      </c>
      <c r="P586" s="790" t="s">
        <v>10244</v>
      </c>
      <c r="R586" s="30"/>
    </row>
    <row r="587" spans="2:18">
      <c r="B587" s="5" t="s">
        <v>10534</v>
      </c>
      <c r="C587" s="1038" t="s">
        <v>10423</v>
      </c>
      <c r="D587" s="529">
        <f>Page5_PARCS!F16</f>
        <v>0</v>
      </c>
      <c r="E587" s="529">
        <f>Page5_PARCS!K16</f>
        <v>0</v>
      </c>
      <c r="F587" t="str">
        <f t="shared" ref="F587:F908" si="62">TEXT(K587,"00")&amp;"-"&amp;L587&amp;IF(M587="","","-"&amp;M587)&amp;IF(N587="","","-"&amp;N587)&amp;IF(OR(O587="",O587=0),"","-"&amp;O587)&amp;IF(P587="","","-"&amp;P587)</f>
        <v>01-00-415F&amp;C-UNIT-CURR</v>
      </c>
      <c r="G587" t="s">
        <v>127</v>
      </c>
      <c r="H587" t="s">
        <v>10287</v>
      </c>
      <c r="I587" t="s">
        <v>10253</v>
      </c>
      <c r="K587" s="1073" t="s">
        <v>10288</v>
      </c>
      <c r="L587" s="789" t="s">
        <v>10241</v>
      </c>
      <c r="M587" s="790" t="s">
        <v>10423</v>
      </c>
      <c r="O587" s="790" t="s">
        <v>10255</v>
      </c>
      <c r="P587" s="790" t="s">
        <v>10244</v>
      </c>
      <c r="R587" s="30"/>
    </row>
    <row r="588" spans="2:18">
      <c r="B588" s="5" t="s">
        <v>10535</v>
      </c>
      <c r="C588" s="1038" t="s">
        <v>10425</v>
      </c>
      <c r="D588" s="529">
        <f>Page5_PARCS!F17</f>
        <v>0</v>
      </c>
      <c r="E588" s="529">
        <f>Page5_PARCS!K17</f>
        <v>0</v>
      </c>
      <c r="F588" t="str">
        <f t="shared" si="62"/>
        <v>01-00-416F&amp;C-UNIT-CURR</v>
      </c>
      <c r="G588" t="s">
        <v>127</v>
      </c>
      <c r="H588" t="s">
        <v>10287</v>
      </c>
      <c r="I588" t="s">
        <v>10253</v>
      </c>
      <c r="K588" s="1073" t="s">
        <v>10288</v>
      </c>
      <c r="L588" s="789" t="s">
        <v>10241</v>
      </c>
      <c r="M588" s="790" t="s">
        <v>10425</v>
      </c>
      <c r="O588" s="790" t="s">
        <v>10255</v>
      </c>
      <c r="P588" s="790" t="s">
        <v>10244</v>
      </c>
      <c r="R588" s="30"/>
    </row>
    <row r="589" spans="2:18">
      <c r="B589" s="5" t="s">
        <v>10536</v>
      </c>
      <c r="C589" s="1038" t="s">
        <v>10427</v>
      </c>
      <c r="D589" s="529">
        <f>Page5_PARCS!F18</f>
        <v>0</v>
      </c>
      <c r="E589" s="529">
        <f>Page5_PARCS!K18</f>
        <v>0</v>
      </c>
      <c r="F589" t="str">
        <f t="shared" si="62"/>
        <v>01-00-417F&amp;C-UNIT-CURR</v>
      </c>
      <c r="G589" t="s">
        <v>127</v>
      </c>
      <c r="H589" t="s">
        <v>10287</v>
      </c>
      <c r="I589" t="s">
        <v>10253</v>
      </c>
      <c r="K589" s="1073" t="s">
        <v>10288</v>
      </c>
      <c r="L589" s="789" t="s">
        <v>10241</v>
      </c>
      <c r="M589" s="790" t="s">
        <v>10427</v>
      </c>
      <c r="O589" s="790" t="s">
        <v>10255</v>
      </c>
      <c r="P589" s="790" t="s">
        <v>10244</v>
      </c>
      <c r="R589" s="30"/>
    </row>
    <row r="590" spans="2:18">
      <c r="B590" s="5" t="s">
        <v>10537</v>
      </c>
      <c r="C590" s="1038" t="s">
        <v>10429</v>
      </c>
      <c r="D590" s="529">
        <f>Page5_PARCS!F19</f>
        <v>0</v>
      </c>
      <c r="E590" s="529">
        <f>Page5_PARCS!K19</f>
        <v>0</v>
      </c>
      <c r="F590" t="str">
        <f t="shared" si="62"/>
        <v>01-00-418F&amp;C-UNIT-CURR</v>
      </c>
      <c r="G590" t="s">
        <v>127</v>
      </c>
      <c r="H590" t="s">
        <v>10287</v>
      </c>
      <c r="I590" t="s">
        <v>10253</v>
      </c>
      <c r="K590" s="1073" t="s">
        <v>10288</v>
      </c>
      <c r="L590" s="789" t="s">
        <v>10241</v>
      </c>
      <c r="M590" s="790" t="s">
        <v>10429</v>
      </c>
      <c r="O590" s="790" t="s">
        <v>10255</v>
      </c>
      <c r="P590" s="790" t="s">
        <v>10244</v>
      </c>
      <c r="R590" s="30"/>
    </row>
    <row r="591" spans="2:18">
      <c r="B591" s="5" t="s">
        <v>10538</v>
      </c>
      <c r="C591" s="1038" t="s">
        <v>10431</v>
      </c>
      <c r="D591" s="529">
        <f>Page5_PARCS!F20</f>
        <v>0</v>
      </c>
      <c r="E591" s="529">
        <f>Page5_PARCS!K20</f>
        <v>0</v>
      </c>
      <c r="F591" t="str">
        <f t="shared" si="62"/>
        <v>01-00-419F&amp;C-UNIT-CURR</v>
      </c>
      <c r="G591" t="s">
        <v>127</v>
      </c>
      <c r="H591" t="s">
        <v>10287</v>
      </c>
      <c r="I591" t="s">
        <v>10253</v>
      </c>
      <c r="K591" s="1073" t="s">
        <v>10288</v>
      </c>
      <c r="L591" s="789" t="s">
        <v>10241</v>
      </c>
      <c r="M591" s="790" t="s">
        <v>10431</v>
      </c>
      <c r="O591" s="790" t="s">
        <v>10255</v>
      </c>
      <c r="P591" s="790" t="s">
        <v>10244</v>
      </c>
      <c r="R591" s="30"/>
    </row>
    <row r="592" spans="2:18">
      <c r="B592" s="5" t="s">
        <v>10539</v>
      </c>
      <c r="C592" s="1038" t="s">
        <v>10433</v>
      </c>
      <c r="D592" s="529">
        <f>Page5_PARCS!F21</f>
        <v>0</v>
      </c>
      <c r="E592" s="529">
        <f>Page5_PARCS!K21</f>
        <v>0</v>
      </c>
      <c r="F592" t="str">
        <f t="shared" si="62"/>
        <v>01-00-420F&amp;C-UNIT-CURR</v>
      </c>
      <c r="G592" t="s">
        <v>127</v>
      </c>
      <c r="H592" t="s">
        <v>10287</v>
      </c>
      <c r="I592" t="s">
        <v>10253</v>
      </c>
      <c r="K592" s="1073" t="s">
        <v>10288</v>
      </c>
      <c r="L592" s="789" t="s">
        <v>10241</v>
      </c>
      <c r="M592" s="790" t="s">
        <v>10433</v>
      </c>
      <c r="O592" s="790" t="s">
        <v>10255</v>
      </c>
      <c r="P592" s="790" t="s">
        <v>10244</v>
      </c>
      <c r="R592" s="30"/>
    </row>
    <row r="593" spans="2:18">
      <c r="B593" s="5" t="s">
        <v>10540</v>
      </c>
      <c r="C593" s="1038" t="s">
        <v>10435</v>
      </c>
      <c r="D593" s="529">
        <f>Page5_PARCS!F22</f>
        <v>0</v>
      </c>
      <c r="E593" s="529">
        <f>Page5_PARCS!K22</f>
        <v>0</v>
      </c>
      <c r="F593" t="str">
        <f t="shared" si="62"/>
        <v>01-00-421F&amp;C-UNIT-CURR</v>
      </c>
      <c r="G593" t="s">
        <v>127</v>
      </c>
      <c r="H593" t="s">
        <v>10287</v>
      </c>
      <c r="I593" t="s">
        <v>10253</v>
      </c>
      <c r="K593" s="1073" t="s">
        <v>10288</v>
      </c>
      <c r="L593" s="789" t="s">
        <v>10241</v>
      </c>
      <c r="M593" s="790" t="s">
        <v>10435</v>
      </c>
      <c r="O593" s="790" t="s">
        <v>10255</v>
      </c>
      <c r="P593" s="790" t="s">
        <v>10244</v>
      </c>
      <c r="R593" s="30"/>
    </row>
    <row r="594" spans="2:18">
      <c r="B594" s="5" t="s">
        <v>10541</v>
      </c>
      <c r="C594" s="1038" t="s">
        <v>10437</v>
      </c>
      <c r="D594" s="529">
        <f>Page5_PARCS!F23</f>
        <v>0</v>
      </c>
      <c r="E594" s="529">
        <f>Page5_PARCS!K23</f>
        <v>0</v>
      </c>
      <c r="F594" t="str">
        <f t="shared" si="62"/>
        <v>01-00-422F&amp;C-UNIT-CURR</v>
      </c>
      <c r="G594" t="s">
        <v>127</v>
      </c>
      <c r="H594" t="s">
        <v>10287</v>
      </c>
      <c r="I594" t="s">
        <v>10253</v>
      </c>
      <c r="K594" s="1073" t="s">
        <v>10288</v>
      </c>
      <c r="L594" s="789" t="s">
        <v>10241</v>
      </c>
      <c r="M594" s="790" t="s">
        <v>10437</v>
      </c>
      <c r="O594" s="790" t="s">
        <v>10255</v>
      </c>
      <c r="P594" s="790" t="s">
        <v>10244</v>
      </c>
      <c r="R594" s="30"/>
    </row>
    <row r="595" spans="2:18">
      <c r="B595" s="5" t="s">
        <v>10542</v>
      </c>
      <c r="C595" s="1038" t="s">
        <v>10439</v>
      </c>
      <c r="D595" s="529">
        <f>Page5_PARCS!F24</f>
        <v>0</v>
      </c>
      <c r="E595" s="529">
        <f>Page5_PARCS!K24</f>
        <v>0</v>
      </c>
      <c r="F595" t="str">
        <f t="shared" si="62"/>
        <v>01-00-423F&amp;C-UNIT-CURR</v>
      </c>
      <c r="G595" t="s">
        <v>127</v>
      </c>
      <c r="H595" t="s">
        <v>10287</v>
      </c>
      <c r="I595" t="s">
        <v>10253</v>
      </c>
      <c r="K595" s="1073" t="s">
        <v>10288</v>
      </c>
      <c r="L595" s="789" t="s">
        <v>10241</v>
      </c>
      <c r="M595" s="790" t="s">
        <v>10439</v>
      </c>
      <c r="O595" s="790" t="s">
        <v>10255</v>
      </c>
      <c r="P595" s="790" t="s">
        <v>10244</v>
      </c>
      <c r="R595" s="30"/>
    </row>
    <row r="596" spans="2:18">
      <c r="B596" s="5" t="s">
        <v>10543</v>
      </c>
      <c r="C596" s="1038" t="s">
        <v>10441</v>
      </c>
      <c r="D596" s="529">
        <f>Page5_PARCS!F25</f>
        <v>0</v>
      </c>
      <c r="E596" s="529">
        <f>Page5_PARCS!K25</f>
        <v>0</v>
      </c>
      <c r="F596" t="str">
        <f t="shared" si="62"/>
        <v>01-00-424F&amp;C-UNIT-CURR</v>
      </c>
      <c r="G596" t="s">
        <v>127</v>
      </c>
      <c r="H596" t="s">
        <v>10287</v>
      </c>
      <c r="I596" t="s">
        <v>10253</v>
      </c>
      <c r="K596" s="1073" t="s">
        <v>10288</v>
      </c>
      <c r="L596" s="789" t="s">
        <v>10241</v>
      </c>
      <c r="M596" s="790" t="s">
        <v>10441</v>
      </c>
      <c r="O596" s="790" t="s">
        <v>10255</v>
      </c>
      <c r="P596" s="790" t="s">
        <v>10244</v>
      </c>
      <c r="R596" s="30"/>
    </row>
    <row r="597" spans="2:18">
      <c r="B597" s="5" t="s">
        <v>10544</v>
      </c>
      <c r="C597" s="1038" t="s">
        <v>10443</v>
      </c>
      <c r="D597" s="529">
        <f>Page5_PARCS!F26</f>
        <v>0</v>
      </c>
      <c r="E597" s="529">
        <f>Page5_PARCS!K26</f>
        <v>0</v>
      </c>
      <c r="F597" t="str">
        <f t="shared" si="62"/>
        <v>01-00-425F&amp;C-UNIT-CURR</v>
      </c>
      <c r="G597" t="s">
        <v>127</v>
      </c>
      <c r="H597" t="s">
        <v>10287</v>
      </c>
      <c r="I597" t="s">
        <v>10253</v>
      </c>
      <c r="K597" s="1073" t="s">
        <v>10288</v>
      </c>
      <c r="L597" s="789" t="s">
        <v>10241</v>
      </c>
      <c r="M597" s="790" t="s">
        <v>10443</v>
      </c>
      <c r="O597" s="790" t="s">
        <v>10255</v>
      </c>
      <c r="P597" s="790" t="s">
        <v>10244</v>
      </c>
      <c r="R597" s="30"/>
    </row>
    <row r="598" spans="2:18">
      <c r="B598" s="5" t="s">
        <v>10545</v>
      </c>
      <c r="C598" s="1038" t="s">
        <v>10445</v>
      </c>
      <c r="D598" s="529">
        <f>Page5_PARCS!F27</f>
        <v>0</v>
      </c>
      <c r="E598" s="529">
        <f>Page5_PARCS!K27</f>
        <v>0</v>
      </c>
      <c r="F598" t="str">
        <f t="shared" si="62"/>
        <v>01-00-426F&amp;C-UNIT-CURR</v>
      </c>
      <c r="G598" t="s">
        <v>127</v>
      </c>
      <c r="H598" t="s">
        <v>10287</v>
      </c>
      <c r="I598" t="s">
        <v>10253</v>
      </c>
      <c r="K598" s="1073" t="s">
        <v>10288</v>
      </c>
      <c r="L598" s="789" t="s">
        <v>10241</v>
      </c>
      <c r="M598" s="790" t="s">
        <v>10445</v>
      </c>
      <c r="O598" s="790" t="s">
        <v>10255</v>
      </c>
      <c r="P598" s="790" t="s">
        <v>10244</v>
      </c>
      <c r="R598" s="30"/>
    </row>
    <row r="599" spans="2:18">
      <c r="B599" s="5" t="s">
        <v>10546</v>
      </c>
      <c r="C599" s="1038" t="s">
        <v>10447</v>
      </c>
      <c r="D599" s="529">
        <f>Page5_PARCS!F28</f>
        <v>0</v>
      </c>
      <c r="E599" s="529">
        <f>Page5_PARCS!K28</f>
        <v>0</v>
      </c>
      <c r="F599" t="str">
        <f t="shared" si="62"/>
        <v>01-00-427F&amp;C-UNIT-CURR</v>
      </c>
      <c r="G599" t="s">
        <v>127</v>
      </c>
      <c r="H599" t="s">
        <v>10287</v>
      </c>
      <c r="I599" t="s">
        <v>10253</v>
      </c>
      <c r="K599" s="1073" t="s">
        <v>10288</v>
      </c>
      <c r="L599" s="789" t="s">
        <v>10241</v>
      </c>
      <c r="M599" s="790" t="s">
        <v>10447</v>
      </c>
      <c r="O599" s="790" t="s">
        <v>10255</v>
      </c>
      <c r="P599" s="790" t="s">
        <v>10244</v>
      </c>
      <c r="R599" s="30"/>
    </row>
    <row r="600" spans="2:18">
      <c r="B600" s="5" t="s">
        <v>10547</v>
      </c>
      <c r="C600" s="1038" t="s">
        <v>10449</v>
      </c>
      <c r="D600" s="529">
        <f>Page5_PARCS!F29</f>
        <v>0</v>
      </c>
      <c r="E600" s="529">
        <f>Page5_PARCS!K29</f>
        <v>0</v>
      </c>
      <c r="F600" t="str">
        <f t="shared" si="62"/>
        <v>01-00-428F&amp;C-UNIT-CURR</v>
      </c>
      <c r="G600" t="s">
        <v>127</v>
      </c>
      <c r="H600" t="s">
        <v>10287</v>
      </c>
      <c r="I600" t="s">
        <v>10253</v>
      </c>
      <c r="K600" s="1073" t="s">
        <v>10288</v>
      </c>
      <c r="L600" s="789" t="s">
        <v>10241</v>
      </c>
      <c r="M600" s="790" t="s">
        <v>10449</v>
      </c>
      <c r="O600" s="790" t="s">
        <v>10255</v>
      </c>
      <c r="P600" s="790" t="s">
        <v>10244</v>
      </c>
      <c r="R600" s="30"/>
    </row>
    <row r="601" spans="2:18">
      <c r="B601" s="5" t="s">
        <v>10548</v>
      </c>
      <c r="C601" s="1038" t="s">
        <v>10451</v>
      </c>
      <c r="D601" s="529">
        <f>Page5_PARCS!F30</f>
        <v>0</v>
      </c>
      <c r="E601" s="529">
        <f>Page5_PARCS!K30</f>
        <v>0</v>
      </c>
      <c r="F601" t="str">
        <f t="shared" si="62"/>
        <v>01-00-429F&amp;C-UNIT-CURR</v>
      </c>
      <c r="G601" t="s">
        <v>127</v>
      </c>
      <c r="H601" t="s">
        <v>10287</v>
      </c>
      <c r="I601" t="s">
        <v>10253</v>
      </c>
      <c r="K601" s="1073" t="s">
        <v>10288</v>
      </c>
      <c r="L601" s="789" t="s">
        <v>10241</v>
      </c>
      <c r="M601" s="790" t="s">
        <v>10451</v>
      </c>
      <c r="O601" s="790" t="s">
        <v>10255</v>
      </c>
      <c r="P601" s="790" t="s">
        <v>10244</v>
      </c>
      <c r="R601" s="30"/>
    </row>
    <row r="602" spans="2:18">
      <c r="B602" s="5" t="s">
        <v>10549</v>
      </c>
      <c r="C602" s="1038" t="s">
        <v>10453</v>
      </c>
      <c r="D602" s="529">
        <f>Page5_PARCS!F31</f>
        <v>0</v>
      </c>
      <c r="E602" s="529">
        <f>Page5_PARCS!K31</f>
        <v>0</v>
      </c>
      <c r="F602" t="str">
        <f t="shared" si="62"/>
        <v>01-00-430F&amp;C-UNIT-CURR</v>
      </c>
      <c r="G602" t="s">
        <v>127</v>
      </c>
      <c r="H602" t="s">
        <v>10287</v>
      </c>
      <c r="I602" t="s">
        <v>10253</v>
      </c>
      <c r="K602" s="1073" t="s">
        <v>10288</v>
      </c>
      <c r="L602" s="789" t="s">
        <v>10241</v>
      </c>
      <c r="M602" s="790" t="s">
        <v>10453</v>
      </c>
      <c r="O602" s="790" t="s">
        <v>10255</v>
      </c>
      <c r="P602" s="790" t="s">
        <v>10244</v>
      </c>
      <c r="R602" s="30"/>
    </row>
    <row r="603" spans="2:18">
      <c r="B603" s="5" t="s">
        <v>10550</v>
      </c>
      <c r="C603" s="1038" t="s">
        <v>10455</v>
      </c>
      <c r="D603" s="529">
        <f>Page5_PARCS!F32</f>
        <v>0</v>
      </c>
      <c r="E603" s="529">
        <f>Page5_PARCS!K32</f>
        <v>0</v>
      </c>
      <c r="F603" t="str">
        <f t="shared" si="62"/>
        <v>01-00-431F&amp;C-UNIT-CURR</v>
      </c>
      <c r="G603" t="s">
        <v>127</v>
      </c>
      <c r="H603" t="s">
        <v>10287</v>
      </c>
      <c r="I603" t="s">
        <v>10253</v>
      </c>
      <c r="K603" s="1073" t="s">
        <v>10288</v>
      </c>
      <c r="L603" s="789" t="s">
        <v>10241</v>
      </c>
      <c r="M603" s="790" t="s">
        <v>10455</v>
      </c>
      <c r="O603" s="790" t="s">
        <v>10255</v>
      </c>
      <c r="P603" s="790" t="s">
        <v>10244</v>
      </c>
      <c r="R603" s="30"/>
    </row>
    <row r="604" spans="2:18">
      <c r="B604" s="5" t="s">
        <v>10551</v>
      </c>
      <c r="C604" s="1038" t="s">
        <v>10457</v>
      </c>
      <c r="D604" s="529">
        <f>Page5_PARCS!F33</f>
        <v>0</v>
      </c>
      <c r="E604" s="529">
        <f>Page5_PARCS!K33</f>
        <v>0</v>
      </c>
      <c r="F604" t="str">
        <f t="shared" si="62"/>
        <v>01-00-432F&amp;C-UNIT-CURR</v>
      </c>
      <c r="G604" t="s">
        <v>127</v>
      </c>
      <c r="H604" t="s">
        <v>10287</v>
      </c>
      <c r="I604" t="s">
        <v>10253</v>
      </c>
      <c r="K604" s="1073" t="s">
        <v>10288</v>
      </c>
      <c r="L604" s="789" t="s">
        <v>10241</v>
      </c>
      <c r="M604" s="790" t="s">
        <v>10457</v>
      </c>
      <c r="O604" s="790" t="s">
        <v>10255</v>
      </c>
      <c r="P604" s="790" t="s">
        <v>10244</v>
      </c>
      <c r="R604" s="30"/>
    </row>
    <row r="605" spans="2:18">
      <c r="B605" s="5" t="s">
        <v>10552</v>
      </c>
      <c r="C605" s="1038" t="s">
        <v>10459</v>
      </c>
      <c r="D605" s="529">
        <f>Page5_PARCS!F34</f>
        <v>0</v>
      </c>
      <c r="E605" s="529">
        <f>Page5_PARCS!K34</f>
        <v>0</v>
      </c>
      <c r="F605" t="str">
        <f t="shared" si="62"/>
        <v>01-00-433F&amp;C-UNIT-CURR</v>
      </c>
      <c r="G605" t="s">
        <v>127</v>
      </c>
      <c r="H605" t="s">
        <v>10287</v>
      </c>
      <c r="I605" t="s">
        <v>10253</v>
      </c>
      <c r="K605" s="1073" t="s">
        <v>10288</v>
      </c>
      <c r="L605" s="789" t="s">
        <v>10241</v>
      </c>
      <c r="M605" s="790" t="s">
        <v>10459</v>
      </c>
      <c r="O605" s="790" t="s">
        <v>10255</v>
      </c>
      <c r="P605" s="790" t="s">
        <v>10244</v>
      </c>
      <c r="R605" s="30"/>
    </row>
    <row r="606" spans="2:18">
      <c r="B606" s="5" t="s">
        <v>10553</v>
      </c>
      <c r="C606" s="1038" t="s">
        <v>10461</v>
      </c>
      <c r="D606" s="529">
        <f>Page5_PARCS!F35</f>
        <v>0</v>
      </c>
      <c r="E606" s="529">
        <f>Page5_PARCS!K35</f>
        <v>0</v>
      </c>
      <c r="F606" t="str">
        <f t="shared" si="62"/>
        <v>01-00-434F&amp;C-UNIT-CURR</v>
      </c>
      <c r="G606" t="s">
        <v>127</v>
      </c>
      <c r="H606" t="s">
        <v>10287</v>
      </c>
      <c r="I606" t="s">
        <v>10253</v>
      </c>
      <c r="K606" s="1073" t="s">
        <v>10288</v>
      </c>
      <c r="L606" s="789" t="s">
        <v>10241</v>
      </c>
      <c r="M606" s="790" t="s">
        <v>10461</v>
      </c>
      <c r="O606" s="790" t="s">
        <v>10255</v>
      </c>
      <c r="P606" s="790" t="s">
        <v>10244</v>
      </c>
      <c r="R606" s="30"/>
    </row>
    <row r="607" spans="2:18">
      <c r="B607" s="51" t="s">
        <v>10554</v>
      </c>
      <c r="C607" s="1042"/>
      <c r="D607" s="529">
        <f>Page5_PARCS!F36</f>
        <v>2</v>
      </c>
      <c r="E607" s="529">
        <f>Page5_PARCS!K36</f>
        <v>3</v>
      </c>
      <c r="F607" t="str">
        <f t="shared" si="62"/>
        <v>01-00-CTRK F&amp;C-UNIT-CURR</v>
      </c>
      <c r="G607" t="s">
        <v>127</v>
      </c>
      <c r="H607" t="s">
        <v>10287</v>
      </c>
      <c r="I607" t="s">
        <v>10253</v>
      </c>
      <c r="K607" s="1073" t="s">
        <v>10288</v>
      </c>
      <c r="L607" s="789" t="s">
        <v>10241</v>
      </c>
      <c r="M607" s="790" t="s">
        <v>10463</v>
      </c>
      <c r="O607" s="790" t="s">
        <v>10255</v>
      </c>
      <c r="P607" s="790" t="s">
        <v>10244</v>
      </c>
      <c r="Q607" s="791" t="s">
        <v>773</v>
      </c>
    </row>
    <row r="608" spans="2:18">
      <c r="B608" s="27" t="s">
        <v>10520</v>
      </c>
      <c r="C608" s="1046"/>
      <c r="D608" s="529">
        <f>Page5_PARCS!F37</f>
        <v>2</v>
      </c>
      <c r="E608" s="529">
        <f>Page5_PARCS!K37</f>
        <v>3</v>
      </c>
      <c r="F608" t="str">
        <f t="shared" si="62"/>
        <v>01-00-TOTVEH5K-UNIT-CURR</v>
      </c>
      <c r="G608" t="s">
        <v>127</v>
      </c>
      <c r="H608" t="s">
        <v>10287</v>
      </c>
      <c r="I608" t="s">
        <v>10253</v>
      </c>
      <c r="K608" s="1073" t="s">
        <v>10288</v>
      </c>
      <c r="L608" s="789" t="s">
        <v>10241</v>
      </c>
      <c r="M608" s="2175" t="s">
        <v>10465</v>
      </c>
      <c r="O608" s="790" t="s">
        <v>10255</v>
      </c>
      <c r="P608" s="790" t="s">
        <v>10244</v>
      </c>
      <c r="Q608" s="791" t="s">
        <v>773</v>
      </c>
    </row>
    <row r="609" spans="2:17">
      <c r="B609" s="2421" t="s">
        <v>10555</v>
      </c>
      <c r="C609" s="1038" t="s">
        <v>457</v>
      </c>
      <c r="D609" s="529">
        <f>Page5_PARCS_GOUV!G4</f>
        <v>0</v>
      </c>
      <c r="E609" s="529">
        <f>Page5_PARCS_GOUV!L4</f>
        <v>0</v>
      </c>
      <c r="F609" t="str">
        <f t="shared" si="62"/>
        <v>01-00-400L-SALES-CURR</v>
      </c>
      <c r="G609" t="s">
        <v>127</v>
      </c>
      <c r="H609" t="s">
        <v>10287</v>
      </c>
      <c r="I609" t="s">
        <v>10253</v>
      </c>
      <c r="K609" s="2424" t="s">
        <v>10288</v>
      </c>
      <c r="L609" s="2425" t="s">
        <v>10241</v>
      </c>
      <c r="M609" s="2175" t="s">
        <v>457</v>
      </c>
      <c r="N609" s="2175"/>
      <c r="O609" s="2175" t="s">
        <v>9883</v>
      </c>
      <c r="P609" s="2175" t="s">
        <v>10244</v>
      </c>
      <c r="Q609" s="2232"/>
    </row>
    <row r="610" spans="2:17">
      <c r="B610" s="2421" t="s">
        <v>10556</v>
      </c>
      <c r="C610" s="1038" t="s">
        <v>458</v>
      </c>
      <c r="D610" s="529">
        <f>Page5_PARCS_GOUV!G5</f>
        <v>0</v>
      </c>
      <c r="E610" s="529">
        <f>Page5_PARCS_GOUV!L5</f>
        <v>0</v>
      </c>
      <c r="F610" t="str">
        <f t="shared" si="62"/>
        <v>01-00-401L-SALES-CURR</v>
      </c>
      <c r="G610" t="s">
        <v>127</v>
      </c>
      <c r="H610" t="s">
        <v>10287</v>
      </c>
      <c r="I610" t="s">
        <v>10253</v>
      </c>
      <c r="K610" s="2424" t="s">
        <v>10288</v>
      </c>
      <c r="L610" s="2425" t="s">
        <v>10241</v>
      </c>
      <c r="M610" s="2175" t="s">
        <v>458</v>
      </c>
      <c r="N610" s="2175"/>
      <c r="O610" s="2175" t="s">
        <v>9883</v>
      </c>
      <c r="P610" s="2175" t="s">
        <v>10244</v>
      </c>
      <c r="Q610" s="2232"/>
    </row>
    <row r="611" spans="2:17">
      <c r="B611" s="2421" t="s">
        <v>10557</v>
      </c>
      <c r="C611" s="1038" t="s">
        <v>459</v>
      </c>
      <c r="D611" s="529">
        <f>Page5_PARCS_GOUV!G6</f>
        <v>0</v>
      </c>
      <c r="E611" s="529">
        <f>Page5_PARCS_GOUV!L6</f>
        <v>0</v>
      </c>
      <c r="F611" t="str">
        <f t="shared" si="62"/>
        <v>01-00-402L-SALES-CURR</v>
      </c>
      <c r="G611" t="s">
        <v>127</v>
      </c>
      <c r="H611" t="s">
        <v>10287</v>
      </c>
      <c r="I611" t="s">
        <v>10253</v>
      </c>
      <c r="K611" s="2424" t="s">
        <v>10288</v>
      </c>
      <c r="L611" s="2425" t="s">
        <v>10241</v>
      </c>
      <c r="M611" s="2175" t="s">
        <v>459</v>
      </c>
      <c r="N611" s="2175"/>
      <c r="O611" s="2175" t="s">
        <v>9883</v>
      </c>
      <c r="P611" s="2175" t="s">
        <v>10244</v>
      </c>
      <c r="Q611" s="2232"/>
    </row>
    <row r="612" spans="2:17">
      <c r="B612" s="2421" t="s">
        <v>10558</v>
      </c>
      <c r="C612" s="1038" t="s">
        <v>460</v>
      </c>
      <c r="D612" s="529">
        <f>Page5_PARCS_GOUV!G7</f>
        <v>0</v>
      </c>
      <c r="E612" s="529">
        <f>Page5_PARCS_GOUV!L7</f>
        <v>0</v>
      </c>
      <c r="F612" t="str">
        <f t="shared" si="62"/>
        <v>01-00-403L-SALES-CURR</v>
      </c>
      <c r="G612" t="s">
        <v>127</v>
      </c>
      <c r="H612" t="s">
        <v>10287</v>
      </c>
      <c r="I612" t="s">
        <v>10253</v>
      </c>
      <c r="K612" s="2424" t="s">
        <v>10288</v>
      </c>
      <c r="L612" s="2425" t="s">
        <v>10241</v>
      </c>
      <c r="M612" s="2175" t="s">
        <v>460</v>
      </c>
      <c r="N612" s="2175"/>
      <c r="O612" s="2175" t="s">
        <v>9883</v>
      </c>
      <c r="P612" s="2175" t="s">
        <v>10244</v>
      </c>
      <c r="Q612" s="2232"/>
    </row>
    <row r="613" spans="2:17">
      <c r="B613" s="2421" t="s">
        <v>10559</v>
      </c>
      <c r="C613" s="1038" t="s">
        <v>461</v>
      </c>
      <c r="D613" s="529">
        <f>Page5_PARCS_GOUV!G8</f>
        <v>0</v>
      </c>
      <c r="E613" s="529">
        <f>Page5_PARCS_GOUV!L8</f>
        <v>0</v>
      </c>
      <c r="F613" t="str">
        <f t="shared" si="62"/>
        <v>01-00-404L-SALES-CURR</v>
      </c>
      <c r="G613" t="s">
        <v>127</v>
      </c>
      <c r="H613" t="s">
        <v>10287</v>
      </c>
      <c r="I613" t="s">
        <v>10253</v>
      </c>
      <c r="K613" s="2424" t="s">
        <v>10288</v>
      </c>
      <c r="L613" s="2425" t="s">
        <v>10241</v>
      </c>
      <c r="M613" s="2175" t="s">
        <v>461</v>
      </c>
      <c r="N613" s="2175"/>
      <c r="O613" s="2175" t="s">
        <v>9883</v>
      </c>
      <c r="P613" s="2175" t="s">
        <v>10244</v>
      </c>
      <c r="Q613" s="2232"/>
    </row>
    <row r="614" spans="2:17">
      <c r="B614" s="2421" t="s">
        <v>10560</v>
      </c>
      <c r="C614" s="1038" t="s">
        <v>462</v>
      </c>
      <c r="D614" s="529">
        <f>Page5_PARCS_GOUV!G9</f>
        <v>0</v>
      </c>
      <c r="E614" s="529">
        <f>Page5_PARCS_GOUV!L9</f>
        <v>0</v>
      </c>
      <c r="F614" t="str">
        <f t="shared" si="62"/>
        <v>01-00-405L-SALES-CURR</v>
      </c>
      <c r="G614" t="s">
        <v>127</v>
      </c>
      <c r="H614" t="s">
        <v>10287</v>
      </c>
      <c r="I614" t="s">
        <v>10253</v>
      </c>
      <c r="K614" s="2424" t="s">
        <v>10288</v>
      </c>
      <c r="L614" s="2425" t="s">
        <v>10241</v>
      </c>
      <c r="M614" s="2175" t="s">
        <v>462</v>
      </c>
      <c r="N614" s="2175"/>
      <c r="O614" s="2175" t="s">
        <v>9883</v>
      </c>
      <c r="P614" s="2175" t="s">
        <v>10244</v>
      </c>
      <c r="Q614" s="2232"/>
    </row>
    <row r="615" spans="2:17">
      <c r="B615" s="2421" t="s">
        <v>10561</v>
      </c>
      <c r="C615" s="1038" t="s">
        <v>463</v>
      </c>
      <c r="D615" s="529">
        <f>Page5_PARCS_GOUV!G10</f>
        <v>0</v>
      </c>
      <c r="E615" s="529">
        <f>Page5_PARCS_GOUV!L10</f>
        <v>0</v>
      </c>
      <c r="F615" t="str">
        <f t="shared" si="62"/>
        <v>01-00-406L-SALES-CURR</v>
      </c>
      <c r="G615" t="s">
        <v>127</v>
      </c>
      <c r="H615" t="s">
        <v>10287</v>
      </c>
      <c r="I615" t="s">
        <v>10253</v>
      </c>
      <c r="K615" s="2424" t="s">
        <v>10288</v>
      </c>
      <c r="L615" s="2425" t="s">
        <v>10241</v>
      </c>
      <c r="M615" s="2175" t="s">
        <v>463</v>
      </c>
      <c r="N615" s="2175"/>
      <c r="O615" s="2175" t="s">
        <v>9883</v>
      </c>
      <c r="P615" s="2175" t="s">
        <v>10244</v>
      </c>
      <c r="Q615" s="2232"/>
    </row>
    <row r="616" spans="2:17">
      <c r="B616" s="2421" t="s">
        <v>10562</v>
      </c>
      <c r="C616" s="1038" t="s">
        <v>464</v>
      </c>
      <c r="D616" s="529">
        <f>Page5_PARCS_GOUV!G11</f>
        <v>0</v>
      </c>
      <c r="E616" s="529">
        <f>Page5_PARCS_GOUV!L11</f>
        <v>0</v>
      </c>
      <c r="F616" t="str">
        <f t="shared" si="62"/>
        <v>01-00-407L-SALES-CURR</v>
      </c>
      <c r="G616" t="s">
        <v>127</v>
      </c>
      <c r="H616" t="s">
        <v>10287</v>
      </c>
      <c r="I616" t="s">
        <v>10253</v>
      </c>
      <c r="K616" s="2424" t="s">
        <v>10288</v>
      </c>
      <c r="L616" s="2425" t="s">
        <v>10241</v>
      </c>
      <c r="M616" s="2175" t="s">
        <v>464</v>
      </c>
      <c r="N616" s="2175"/>
      <c r="O616" s="2175" t="s">
        <v>9883</v>
      </c>
      <c r="P616" s="2175" t="s">
        <v>10244</v>
      </c>
      <c r="Q616" s="2232"/>
    </row>
    <row r="617" spans="2:17">
      <c r="B617" s="2422" t="s">
        <v>10563</v>
      </c>
      <c r="C617" s="2419"/>
      <c r="D617" s="529">
        <f>Page5_PARCS_GOUV!G12</f>
        <v>0</v>
      </c>
      <c r="E617" s="529">
        <f>Page5_PARCS_GOUV!L12</f>
        <v>0</v>
      </c>
      <c r="F617" t="str">
        <f t="shared" si="62"/>
        <v>01-00-TOTCAR5L-SALES-CURR</v>
      </c>
      <c r="G617" s="654" t="s">
        <v>127</v>
      </c>
      <c r="H617" t="s">
        <v>10287</v>
      </c>
      <c r="I617" t="s">
        <v>10253</v>
      </c>
      <c r="J617" t="s">
        <v>10268</v>
      </c>
      <c r="K617" s="2424" t="s">
        <v>10288</v>
      </c>
      <c r="L617" s="2425" t="s">
        <v>10241</v>
      </c>
      <c r="M617" s="2175" t="s">
        <v>10564</v>
      </c>
      <c r="N617" s="2175"/>
      <c r="O617" s="2175" t="s">
        <v>9883</v>
      </c>
      <c r="P617" s="2175" t="s">
        <v>10244</v>
      </c>
      <c r="Q617" s="2232" t="s">
        <v>773</v>
      </c>
    </row>
    <row r="618" spans="2:17">
      <c r="B618" s="2421" t="s">
        <v>10565</v>
      </c>
      <c r="C618" s="1038" t="s">
        <v>466</v>
      </c>
      <c r="D618" s="529">
        <f>Page5_PARCS_GOUV!G13</f>
        <v>0</v>
      </c>
      <c r="E618" s="529">
        <f>Page5_PARCS_GOUV!L13</f>
        <v>0</v>
      </c>
      <c r="F618" t="str">
        <f t="shared" si="62"/>
        <v>01-00-412L-SALES-CURR</v>
      </c>
      <c r="G618" t="s">
        <v>127</v>
      </c>
      <c r="H618" t="s">
        <v>10287</v>
      </c>
      <c r="I618" t="s">
        <v>10253</v>
      </c>
      <c r="K618" s="2424" t="s">
        <v>10288</v>
      </c>
      <c r="L618" s="2425" t="s">
        <v>10241</v>
      </c>
      <c r="M618" s="2175" t="s">
        <v>466</v>
      </c>
      <c r="N618" s="2175"/>
      <c r="O618" s="2175" t="s">
        <v>9883</v>
      </c>
      <c r="P618" s="2175" t="s">
        <v>10244</v>
      </c>
      <c r="Q618" s="2232"/>
    </row>
    <row r="619" spans="2:17">
      <c r="B619" s="2421" t="s">
        <v>10566</v>
      </c>
      <c r="C619" s="1038" t="s">
        <v>467</v>
      </c>
      <c r="D619" s="529">
        <f>Page5_PARCS_GOUV!G14</f>
        <v>0</v>
      </c>
      <c r="E619" s="529">
        <f>Page5_PARCS_GOUV!L14</f>
        <v>0</v>
      </c>
      <c r="F619" t="str">
        <f t="shared" si="62"/>
        <v>01-00-413L-SALES-CURR</v>
      </c>
      <c r="G619" t="s">
        <v>127</v>
      </c>
      <c r="H619" t="s">
        <v>10287</v>
      </c>
      <c r="I619" t="s">
        <v>10253</v>
      </c>
      <c r="K619" s="2424" t="s">
        <v>10288</v>
      </c>
      <c r="L619" s="2425" t="s">
        <v>10241</v>
      </c>
      <c r="M619" s="2175" t="s">
        <v>467</v>
      </c>
      <c r="N619" s="2175"/>
      <c r="O619" s="2175" t="s">
        <v>9883</v>
      </c>
      <c r="P619" s="2175" t="s">
        <v>10244</v>
      </c>
      <c r="Q619" s="2232"/>
    </row>
    <row r="620" spans="2:17">
      <c r="B620" s="2421" t="s">
        <v>10567</v>
      </c>
      <c r="C620" s="1038" t="s">
        <v>468</v>
      </c>
      <c r="D620" s="529">
        <f>Page5_PARCS_GOUV!G15</f>
        <v>0</v>
      </c>
      <c r="E620" s="529">
        <f>Page5_PARCS_GOUV!L15</f>
        <v>0</v>
      </c>
      <c r="F620" t="str">
        <f t="shared" si="62"/>
        <v>01-00-414L-SALES-CURR</v>
      </c>
      <c r="G620" t="s">
        <v>127</v>
      </c>
      <c r="H620" t="s">
        <v>10287</v>
      </c>
      <c r="I620" t="s">
        <v>10253</v>
      </c>
      <c r="K620" s="2424" t="s">
        <v>10288</v>
      </c>
      <c r="L620" s="2425" t="s">
        <v>10241</v>
      </c>
      <c r="M620" s="2175" t="s">
        <v>468</v>
      </c>
      <c r="N620" s="2175"/>
      <c r="O620" s="2175" t="s">
        <v>9883</v>
      </c>
      <c r="P620" s="2175" t="s">
        <v>10244</v>
      </c>
      <c r="Q620" s="2232"/>
    </row>
    <row r="621" spans="2:17">
      <c r="B621" s="2421" t="s">
        <v>10568</v>
      </c>
      <c r="C621" s="1038" t="s">
        <v>469</v>
      </c>
      <c r="D621" s="529">
        <f>Page5_PARCS_GOUV!G16</f>
        <v>0</v>
      </c>
      <c r="E621" s="529">
        <f>Page5_PARCS_GOUV!L16</f>
        <v>0</v>
      </c>
      <c r="F621" t="str">
        <f t="shared" si="62"/>
        <v>01-00-415L-SALES-CURR</v>
      </c>
      <c r="G621" t="s">
        <v>127</v>
      </c>
      <c r="H621" t="s">
        <v>10287</v>
      </c>
      <c r="I621" t="s">
        <v>10253</v>
      </c>
      <c r="K621" s="2424" t="s">
        <v>10288</v>
      </c>
      <c r="L621" s="2425" t="s">
        <v>10241</v>
      </c>
      <c r="M621" s="2175" t="s">
        <v>469</v>
      </c>
      <c r="N621" s="2175"/>
      <c r="O621" s="2175" t="s">
        <v>9883</v>
      </c>
      <c r="P621" s="2175" t="s">
        <v>10244</v>
      </c>
      <c r="Q621" s="2232"/>
    </row>
    <row r="622" spans="2:17">
      <c r="B622" s="2421" t="s">
        <v>10569</v>
      </c>
      <c r="C622" s="1038" t="s">
        <v>470</v>
      </c>
      <c r="D622" s="529">
        <f>Page5_PARCS_GOUV!G17</f>
        <v>0</v>
      </c>
      <c r="E622" s="529">
        <f>Page5_PARCS_GOUV!L17</f>
        <v>0</v>
      </c>
      <c r="F622" t="str">
        <f t="shared" si="62"/>
        <v>01-00-416L-SALES-CURR</v>
      </c>
      <c r="G622" t="s">
        <v>127</v>
      </c>
      <c r="H622" t="s">
        <v>10287</v>
      </c>
      <c r="I622" t="s">
        <v>10253</v>
      </c>
      <c r="K622" s="2424" t="s">
        <v>10288</v>
      </c>
      <c r="L622" s="2425" t="s">
        <v>10241</v>
      </c>
      <c r="M622" s="2175" t="s">
        <v>470</v>
      </c>
      <c r="N622" s="2175"/>
      <c r="O622" s="2175" t="s">
        <v>9883</v>
      </c>
      <c r="P622" s="2175" t="s">
        <v>10244</v>
      </c>
      <c r="Q622" s="2232"/>
    </row>
    <row r="623" spans="2:17">
      <c r="B623" s="2421" t="s">
        <v>10570</v>
      </c>
      <c r="C623" s="1038" t="s">
        <v>471</v>
      </c>
      <c r="D623" s="529">
        <f>Page5_PARCS_GOUV!G18</f>
        <v>0</v>
      </c>
      <c r="E623" s="529">
        <f>Page5_PARCS_GOUV!L18</f>
        <v>0</v>
      </c>
      <c r="F623" t="str">
        <f t="shared" si="62"/>
        <v>01-00-417L-SALES-CURR</v>
      </c>
      <c r="G623" t="s">
        <v>127</v>
      </c>
      <c r="H623" t="s">
        <v>10287</v>
      </c>
      <c r="I623" t="s">
        <v>10253</v>
      </c>
      <c r="K623" s="2424" t="s">
        <v>10288</v>
      </c>
      <c r="L623" s="2425" t="s">
        <v>10241</v>
      </c>
      <c r="M623" s="2175" t="s">
        <v>471</v>
      </c>
      <c r="N623" s="2175"/>
      <c r="O623" s="2175" t="s">
        <v>9883</v>
      </c>
      <c r="P623" s="2175" t="s">
        <v>10244</v>
      </c>
      <c r="Q623" s="2232"/>
    </row>
    <row r="624" spans="2:17">
      <c r="B624" s="2421" t="s">
        <v>10571</v>
      </c>
      <c r="C624" s="1038" t="s">
        <v>472</v>
      </c>
      <c r="D624" s="529">
        <f>Page5_PARCS_GOUV!G19</f>
        <v>0</v>
      </c>
      <c r="E624" s="529">
        <f>Page5_PARCS_GOUV!L19</f>
        <v>0</v>
      </c>
      <c r="F624" t="str">
        <f t="shared" si="62"/>
        <v>01-00-418L-SALES-CURR</v>
      </c>
      <c r="G624" t="s">
        <v>127</v>
      </c>
      <c r="H624" t="s">
        <v>10287</v>
      </c>
      <c r="I624" t="s">
        <v>10253</v>
      </c>
      <c r="K624" s="2424" t="s">
        <v>10288</v>
      </c>
      <c r="L624" s="2425" t="s">
        <v>10241</v>
      </c>
      <c r="M624" s="2175" t="s">
        <v>472</v>
      </c>
      <c r="N624" s="2175"/>
      <c r="O624" s="2175" t="s">
        <v>9883</v>
      </c>
      <c r="P624" s="2175" t="s">
        <v>10244</v>
      </c>
      <c r="Q624" s="2232"/>
    </row>
    <row r="625" spans="2:17">
      <c r="B625" s="2421" t="s">
        <v>10572</v>
      </c>
      <c r="C625" s="1038" t="s">
        <v>473</v>
      </c>
      <c r="D625" s="529">
        <f>Page5_PARCS_GOUV!G20</f>
        <v>0</v>
      </c>
      <c r="E625" s="529">
        <f>Page5_PARCS_GOUV!L20</f>
        <v>0</v>
      </c>
      <c r="F625" t="str">
        <f t="shared" si="62"/>
        <v>01-00-419L-SALES-CURR</v>
      </c>
      <c r="G625" t="s">
        <v>127</v>
      </c>
      <c r="H625" t="s">
        <v>10287</v>
      </c>
      <c r="I625" t="s">
        <v>10253</v>
      </c>
      <c r="K625" s="2424" t="s">
        <v>10288</v>
      </c>
      <c r="L625" s="2425" t="s">
        <v>10241</v>
      </c>
      <c r="M625" s="2175" t="s">
        <v>473</v>
      </c>
      <c r="N625" s="2175"/>
      <c r="O625" s="2175" t="s">
        <v>9883</v>
      </c>
      <c r="P625" s="2175" t="s">
        <v>10244</v>
      </c>
      <c r="Q625" s="2232"/>
    </row>
    <row r="626" spans="2:17">
      <c r="B626" s="2421" t="s">
        <v>10573</v>
      </c>
      <c r="C626" s="1038" t="s">
        <v>474</v>
      </c>
      <c r="D626" s="529">
        <f>Page5_PARCS_GOUV!G21</f>
        <v>0</v>
      </c>
      <c r="E626" s="529">
        <f>Page5_PARCS_GOUV!L21</f>
        <v>0</v>
      </c>
      <c r="F626" t="str">
        <f t="shared" si="62"/>
        <v>01-00-420L-SALES-CURR</v>
      </c>
      <c r="G626" t="s">
        <v>127</v>
      </c>
      <c r="H626" t="s">
        <v>10287</v>
      </c>
      <c r="I626" t="s">
        <v>10253</v>
      </c>
      <c r="K626" s="2424" t="s">
        <v>10288</v>
      </c>
      <c r="L626" s="2425" t="s">
        <v>10241</v>
      </c>
      <c r="M626" s="2175" t="s">
        <v>474</v>
      </c>
      <c r="N626" s="2175"/>
      <c r="O626" s="2175" t="s">
        <v>9883</v>
      </c>
      <c r="P626" s="2175" t="s">
        <v>10244</v>
      </c>
      <c r="Q626" s="2232"/>
    </row>
    <row r="627" spans="2:17">
      <c r="B627" s="2421" t="s">
        <v>10574</v>
      </c>
      <c r="C627" s="1038" t="s">
        <v>475</v>
      </c>
      <c r="D627" s="529">
        <f>Page5_PARCS_GOUV!G22</f>
        <v>619285</v>
      </c>
      <c r="E627" s="529">
        <f>Page5_PARCS_GOUV!L22</f>
        <v>2326463</v>
      </c>
      <c r="F627" t="str">
        <f t="shared" si="62"/>
        <v>01-00-421L-SALES-CURR</v>
      </c>
      <c r="G627" t="s">
        <v>127</v>
      </c>
      <c r="H627" t="s">
        <v>10287</v>
      </c>
      <c r="I627" t="s">
        <v>10253</v>
      </c>
      <c r="K627" s="2424" t="s">
        <v>10288</v>
      </c>
      <c r="L627" s="2425" t="s">
        <v>10241</v>
      </c>
      <c r="M627" s="2175" t="s">
        <v>475</v>
      </c>
      <c r="N627" s="2175"/>
      <c r="O627" s="2175" t="s">
        <v>9883</v>
      </c>
      <c r="P627" s="2175" t="s">
        <v>10244</v>
      </c>
      <c r="Q627" s="2232"/>
    </row>
    <row r="628" spans="2:17">
      <c r="B628" s="2421" t="s">
        <v>10575</v>
      </c>
      <c r="C628" s="1038" t="s">
        <v>476</v>
      </c>
      <c r="D628" s="529">
        <f>Page5_PARCS_GOUV!G23</f>
        <v>0</v>
      </c>
      <c r="E628" s="529">
        <f>Page5_PARCS_GOUV!L23</f>
        <v>0</v>
      </c>
      <c r="F628" t="str">
        <f t="shared" si="62"/>
        <v>01-00-422L-SALES-CURR</v>
      </c>
      <c r="G628" t="s">
        <v>127</v>
      </c>
      <c r="H628" t="s">
        <v>10287</v>
      </c>
      <c r="I628" t="s">
        <v>10253</v>
      </c>
      <c r="K628" s="2424" t="s">
        <v>10288</v>
      </c>
      <c r="L628" s="2425" t="s">
        <v>10241</v>
      </c>
      <c r="M628" s="2175" t="s">
        <v>476</v>
      </c>
      <c r="N628" s="2175"/>
      <c r="O628" s="2175" t="s">
        <v>9883</v>
      </c>
      <c r="P628" s="2175" t="s">
        <v>10244</v>
      </c>
      <c r="Q628" s="2232"/>
    </row>
    <row r="629" spans="2:17">
      <c r="B629" s="2421" t="s">
        <v>10576</v>
      </c>
      <c r="C629" s="1038" t="s">
        <v>477</v>
      </c>
      <c r="D629" s="529">
        <f>Page5_PARCS_GOUV!G24</f>
        <v>0</v>
      </c>
      <c r="E629" s="529">
        <f>Page5_PARCS_GOUV!L24</f>
        <v>0</v>
      </c>
      <c r="F629" t="str">
        <f t="shared" si="62"/>
        <v>01-00-423L-SALES-CURR</v>
      </c>
      <c r="G629" t="s">
        <v>127</v>
      </c>
      <c r="H629" t="s">
        <v>10287</v>
      </c>
      <c r="I629" t="s">
        <v>10253</v>
      </c>
      <c r="K629" s="2424" t="s">
        <v>10288</v>
      </c>
      <c r="L629" s="2425" t="s">
        <v>10241</v>
      </c>
      <c r="M629" s="2175" t="s">
        <v>477</v>
      </c>
      <c r="N629" s="2175"/>
      <c r="O629" s="2175" t="s">
        <v>9883</v>
      </c>
      <c r="P629" s="2175" t="s">
        <v>10244</v>
      </c>
      <c r="Q629" s="2232"/>
    </row>
    <row r="630" spans="2:17">
      <c r="B630" s="2421" t="s">
        <v>10577</v>
      </c>
      <c r="C630" s="1038" t="s">
        <v>478</v>
      </c>
      <c r="D630" s="529">
        <f>Page5_PARCS_GOUV!G25</f>
        <v>0</v>
      </c>
      <c r="E630" s="529">
        <f>Page5_PARCS_GOUV!L25</f>
        <v>0</v>
      </c>
      <c r="F630" t="str">
        <f t="shared" si="62"/>
        <v>01-00-424L-SALES-CURR</v>
      </c>
      <c r="G630" t="s">
        <v>127</v>
      </c>
      <c r="H630" t="s">
        <v>10287</v>
      </c>
      <c r="I630" t="s">
        <v>10253</v>
      </c>
      <c r="K630" s="2424" t="s">
        <v>10288</v>
      </c>
      <c r="L630" s="2425" t="s">
        <v>10241</v>
      </c>
      <c r="M630" s="2175" t="s">
        <v>478</v>
      </c>
      <c r="N630" s="2175"/>
      <c r="O630" s="2175" t="s">
        <v>9883</v>
      </c>
      <c r="P630" s="2175" t="s">
        <v>10244</v>
      </c>
      <c r="Q630" s="2232"/>
    </row>
    <row r="631" spans="2:17">
      <c r="B631" s="2421" t="s">
        <v>10578</v>
      </c>
      <c r="C631" s="1038" t="s">
        <v>479</v>
      </c>
      <c r="D631" s="529">
        <f>Page5_PARCS_GOUV!G26</f>
        <v>0</v>
      </c>
      <c r="E631" s="529">
        <f>Page5_PARCS_GOUV!L26</f>
        <v>0</v>
      </c>
      <c r="F631" t="str">
        <f t="shared" si="62"/>
        <v>01-00-425L-SALES-CURR</v>
      </c>
      <c r="G631" t="s">
        <v>127</v>
      </c>
      <c r="H631" t="s">
        <v>10287</v>
      </c>
      <c r="I631" t="s">
        <v>10253</v>
      </c>
      <c r="K631" s="2424" t="s">
        <v>10288</v>
      </c>
      <c r="L631" s="2425" t="s">
        <v>10241</v>
      </c>
      <c r="M631" s="2175" t="s">
        <v>479</v>
      </c>
      <c r="N631" s="2175"/>
      <c r="O631" s="2175" t="s">
        <v>9883</v>
      </c>
      <c r="P631" s="2175" t="s">
        <v>10244</v>
      </c>
      <c r="Q631" s="2232"/>
    </row>
    <row r="632" spans="2:17">
      <c r="B632" s="2421" t="s">
        <v>10579</v>
      </c>
      <c r="C632" s="1038" t="s">
        <v>480</v>
      </c>
      <c r="D632" s="529">
        <f>Page5_PARCS_GOUV!G27</f>
        <v>0</v>
      </c>
      <c r="E632" s="529">
        <f>Page5_PARCS_GOUV!L27</f>
        <v>0</v>
      </c>
      <c r="F632" t="str">
        <f t="shared" si="62"/>
        <v>01-00-426L-SALES-CURR</v>
      </c>
      <c r="G632" t="s">
        <v>127</v>
      </c>
      <c r="H632" t="s">
        <v>10287</v>
      </c>
      <c r="I632" t="s">
        <v>10253</v>
      </c>
      <c r="K632" s="2424" t="s">
        <v>10288</v>
      </c>
      <c r="L632" s="2425" t="s">
        <v>10241</v>
      </c>
      <c r="M632" s="2175" t="s">
        <v>480</v>
      </c>
      <c r="N632" s="2175"/>
      <c r="O632" s="2175" t="s">
        <v>9883</v>
      </c>
      <c r="P632" s="2175" t="s">
        <v>10244</v>
      </c>
      <c r="Q632" s="2232"/>
    </row>
    <row r="633" spans="2:17">
      <c r="B633" s="2421" t="s">
        <v>10580</v>
      </c>
      <c r="C633" s="1038" t="s">
        <v>481</v>
      </c>
      <c r="D633" s="529">
        <f>Page5_PARCS_GOUV!G28</f>
        <v>0</v>
      </c>
      <c r="E633" s="529">
        <f>Page5_PARCS_GOUV!L28</f>
        <v>0</v>
      </c>
      <c r="F633" t="str">
        <f t="shared" si="62"/>
        <v>01-00-427L-SALES-CURR</v>
      </c>
      <c r="G633" t="s">
        <v>127</v>
      </c>
      <c r="H633" t="s">
        <v>10287</v>
      </c>
      <c r="I633" t="s">
        <v>10253</v>
      </c>
      <c r="K633" s="2424" t="s">
        <v>10288</v>
      </c>
      <c r="L633" s="2425" t="s">
        <v>10241</v>
      </c>
      <c r="M633" s="2175" t="s">
        <v>481</v>
      </c>
      <c r="N633" s="2175"/>
      <c r="O633" s="2175" t="s">
        <v>9883</v>
      </c>
      <c r="P633" s="2175" t="s">
        <v>10244</v>
      </c>
      <c r="Q633" s="2232"/>
    </row>
    <row r="634" spans="2:17">
      <c r="B634" s="2421" t="s">
        <v>10581</v>
      </c>
      <c r="C634" s="1038" t="s">
        <v>482</v>
      </c>
      <c r="D634" s="529">
        <f>Page5_PARCS_GOUV!G29</f>
        <v>0</v>
      </c>
      <c r="E634" s="529">
        <f>Page5_PARCS_GOUV!L29</f>
        <v>0</v>
      </c>
      <c r="F634" t="str">
        <f t="shared" si="62"/>
        <v>01-00-428L-SALES-CURR</v>
      </c>
      <c r="G634" t="s">
        <v>127</v>
      </c>
      <c r="H634" t="s">
        <v>10287</v>
      </c>
      <c r="I634" t="s">
        <v>10253</v>
      </c>
      <c r="K634" s="2424" t="s">
        <v>10288</v>
      </c>
      <c r="L634" s="2425" t="s">
        <v>10241</v>
      </c>
      <c r="M634" s="2175" t="s">
        <v>482</v>
      </c>
      <c r="N634" s="2175"/>
      <c r="O634" s="2175" t="s">
        <v>9883</v>
      </c>
      <c r="P634" s="2175" t="s">
        <v>10244</v>
      </c>
      <c r="Q634" s="2232"/>
    </row>
    <row r="635" spans="2:17">
      <c r="B635" s="2421" t="s">
        <v>10582</v>
      </c>
      <c r="C635" s="1038" t="s">
        <v>483</v>
      </c>
      <c r="D635" s="529">
        <f>Page5_PARCS_GOUV!G30</f>
        <v>0</v>
      </c>
      <c r="E635" s="529">
        <f>Page5_PARCS_GOUV!L30</f>
        <v>0</v>
      </c>
      <c r="F635" t="str">
        <f t="shared" si="62"/>
        <v>01-00-429L-SALES-CURR</v>
      </c>
      <c r="G635" t="s">
        <v>127</v>
      </c>
      <c r="H635" t="s">
        <v>10287</v>
      </c>
      <c r="I635" t="s">
        <v>10253</v>
      </c>
      <c r="K635" s="2424" t="s">
        <v>10288</v>
      </c>
      <c r="L635" s="2425" t="s">
        <v>10241</v>
      </c>
      <c r="M635" s="2175" t="s">
        <v>483</v>
      </c>
      <c r="N635" s="2175"/>
      <c r="O635" s="2175" t="s">
        <v>9883</v>
      </c>
      <c r="P635" s="2175" t="s">
        <v>10244</v>
      </c>
      <c r="Q635" s="2232"/>
    </row>
    <row r="636" spans="2:17">
      <c r="B636" s="2421" t="s">
        <v>10583</v>
      </c>
      <c r="C636" s="1038" t="s">
        <v>484</v>
      </c>
      <c r="D636" s="529">
        <f>Page5_PARCS_GOUV!G31</f>
        <v>0</v>
      </c>
      <c r="E636" s="529">
        <f>Page5_PARCS_GOUV!L31</f>
        <v>0</v>
      </c>
      <c r="F636" t="str">
        <f t="shared" si="62"/>
        <v>01-00-430L-SALES-CURR</v>
      </c>
      <c r="G636" t="s">
        <v>127</v>
      </c>
      <c r="H636" t="s">
        <v>10287</v>
      </c>
      <c r="I636" t="s">
        <v>10253</v>
      </c>
      <c r="K636" s="2424" t="s">
        <v>10288</v>
      </c>
      <c r="L636" s="2425" t="s">
        <v>10241</v>
      </c>
      <c r="M636" s="2175" t="s">
        <v>484</v>
      </c>
      <c r="N636" s="2175"/>
      <c r="O636" s="2175" t="s">
        <v>9883</v>
      </c>
      <c r="P636" s="2175" t="s">
        <v>10244</v>
      </c>
      <c r="Q636" s="2232"/>
    </row>
    <row r="637" spans="2:17">
      <c r="B637" s="2421" t="s">
        <v>10584</v>
      </c>
      <c r="C637" s="1038" t="s">
        <v>485</v>
      </c>
      <c r="D637" s="529">
        <f>Page5_PARCS_GOUV!G32</f>
        <v>0</v>
      </c>
      <c r="E637" s="529">
        <f>Page5_PARCS_GOUV!L32</f>
        <v>0</v>
      </c>
      <c r="F637" t="str">
        <f t="shared" si="62"/>
        <v>01-00-431L-SALES-CURR</v>
      </c>
      <c r="G637" t="s">
        <v>127</v>
      </c>
      <c r="H637" t="s">
        <v>10287</v>
      </c>
      <c r="I637" t="s">
        <v>10253</v>
      </c>
      <c r="K637" s="2424" t="s">
        <v>10288</v>
      </c>
      <c r="L637" s="2425" t="s">
        <v>10241</v>
      </c>
      <c r="M637" s="2175" t="s">
        <v>485</v>
      </c>
      <c r="N637" s="2175"/>
      <c r="O637" s="2175" t="s">
        <v>9883</v>
      </c>
      <c r="P637" s="2175" t="s">
        <v>10244</v>
      </c>
      <c r="Q637" s="2232"/>
    </row>
    <row r="638" spans="2:17">
      <c r="B638" s="2421" t="s">
        <v>10585</v>
      </c>
      <c r="C638" s="1038" t="s">
        <v>486</v>
      </c>
      <c r="D638" s="529">
        <f>Page5_PARCS_GOUV!G33</f>
        <v>0</v>
      </c>
      <c r="E638" s="529">
        <f>Page5_PARCS_GOUV!L33</f>
        <v>0</v>
      </c>
      <c r="F638" t="str">
        <f t="shared" si="62"/>
        <v>01-00-432L-SALES-CURR</v>
      </c>
      <c r="G638" t="s">
        <v>127</v>
      </c>
      <c r="H638" t="s">
        <v>10287</v>
      </c>
      <c r="I638" t="s">
        <v>10253</v>
      </c>
      <c r="K638" s="2424" t="s">
        <v>10288</v>
      </c>
      <c r="L638" s="2425" t="s">
        <v>10241</v>
      </c>
      <c r="M638" s="2175" t="s">
        <v>486</v>
      </c>
      <c r="N638" s="2175"/>
      <c r="O638" s="2175" t="s">
        <v>9883</v>
      </c>
      <c r="P638" s="2175" t="s">
        <v>10244</v>
      </c>
      <c r="Q638" s="2232"/>
    </row>
    <row r="639" spans="2:17">
      <c r="B639" s="2421" t="s">
        <v>10586</v>
      </c>
      <c r="C639" s="1038" t="s">
        <v>487</v>
      </c>
      <c r="D639" s="529">
        <f>Page5_PARCS_GOUV!G34</f>
        <v>0</v>
      </c>
      <c r="E639" s="529">
        <f>Page5_PARCS_GOUV!L34</f>
        <v>0</v>
      </c>
      <c r="F639" t="str">
        <f t="shared" si="62"/>
        <v>01-00-433L-SALES-CURR</v>
      </c>
      <c r="G639" t="s">
        <v>127</v>
      </c>
      <c r="H639" t="s">
        <v>10287</v>
      </c>
      <c r="I639" t="s">
        <v>10253</v>
      </c>
      <c r="K639" s="2424" t="s">
        <v>10288</v>
      </c>
      <c r="L639" s="2425" t="s">
        <v>10241</v>
      </c>
      <c r="M639" s="2175" t="s">
        <v>487</v>
      </c>
      <c r="N639" s="2175"/>
      <c r="O639" s="2175" t="s">
        <v>9883</v>
      </c>
      <c r="P639" s="2175" t="s">
        <v>10244</v>
      </c>
      <c r="Q639" s="2232"/>
    </row>
    <row r="640" spans="2:17">
      <c r="B640" s="2421" t="s">
        <v>10587</v>
      </c>
      <c r="C640" s="1038" t="s">
        <v>488</v>
      </c>
      <c r="D640" s="529">
        <f>Page5_PARCS_GOUV!G35</f>
        <v>0</v>
      </c>
      <c r="E640" s="529">
        <f>Page5_PARCS_GOUV!L35</f>
        <v>0</v>
      </c>
      <c r="F640" t="str">
        <f t="shared" si="62"/>
        <v>01-00-434L-SALES-CURR</v>
      </c>
      <c r="G640" t="s">
        <v>127</v>
      </c>
      <c r="H640" t="s">
        <v>10287</v>
      </c>
      <c r="I640" t="s">
        <v>10253</v>
      </c>
      <c r="K640" s="2424" t="s">
        <v>10288</v>
      </c>
      <c r="L640" s="2425" t="s">
        <v>10241</v>
      </c>
      <c r="M640" s="2175" t="s">
        <v>488</v>
      </c>
      <c r="N640" s="2175"/>
      <c r="O640" s="2175" t="s">
        <v>9883</v>
      </c>
      <c r="P640" s="2175" t="s">
        <v>10244</v>
      </c>
      <c r="Q640" s="2232"/>
    </row>
    <row r="641" spans="2:17">
      <c r="B641" s="27" t="s">
        <v>10588</v>
      </c>
      <c r="C641" s="2419"/>
      <c r="D641" s="529">
        <f>Page5_PARCS_GOUV!G36</f>
        <v>619285</v>
      </c>
      <c r="E641" s="529">
        <f>Page5_PARCS_GOUV!L36</f>
        <v>2326463</v>
      </c>
      <c r="F641" t="str">
        <f t="shared" si="62"/>
        <v>01-00-TOTTRK5L-SALES-CURR</v>
      </c>
      <c r="G641" t="s">
        <v>127</v>
      </c>
      <c r="H641" t="s">
        <v>10287</v>
      </c>
      <c r="I641" t="s">
        <v>10253</v>
      </c>
      <c r="J641" t="s">
        <v>10268</v>
      </c>
      <c r="K641" s="2424" t="s">
        <v>10288</v>
      </c>
      <c r="L641" s="2425" t="s">
        <v>10241</v>
      </c>
      <c r="M641" s="2175" t="s">
        <v>10589</v>
      </c>
      <c r="N641" s="2175"/>
      <c r="O641" s="2175" t="s">
        <v>9883</v>
      </c>
      <c r="P641" s="2175" t="s">
        <v>10244</v>
      </c>
      <c r="Q641" s="2232" t="s">
        <v>773</v>
      </c>
    </row>
    <row r="642" spans="2:17">
      <c r="B642" s="27" t="s">
        <v>10590</v>
      </c>
      <c r="C642" s="2419"/>
      <c r="D642" s="529">
        <f>Page5_PARCS_GOUV!G37</f>
        <v>619285</v>
      </c>
      <c r="E642" s="529">
        <f>Page5_PARCS_GOUV!L37</f>
        <v>2326463</v>
      </c>
      <c r="F642" t="str">
        <f t="shared" si="62"/>
        <v>01-00-TOTVEH5L-SALES-CURR</v>
      </c>
      <c r="G642" t="s">
        <v>127</v>
      </c>
      <c r="H642" t="s">
        <v>10287</v>
      </c>
      <c r="I642" t="s">
        <v>10253</v>
      </c>
      <c r="J642" t="s">
        <v>10268</v>
      </c>
      <c r="K642" s="2424" t="s">
        <v>10288</v>
      </c>
      <c r="L642" s="2425" t="s">
        <v>10241</v>
      </c>
      <c r="M642" s="2175" t="s">
        <v>10591</v>
      </c>
      <c r="N642" s="2175"/>
      <c r="O642" s="2175" t="s">
        <v>9883</v>
      </c>
      <c r="P642" s="2175" t="s">
        <v>10244</v>
      </c>
      <c r="Q642" s="2232" t="s">
        <v>773</v>
      </c>
    </row>
    <row r="643" spans="2:17">
      <c r="B643" s="2421" t="s">
        <v>10592</v>
      </c>
      <c r="C643" s="1038" t="s">
        <v>457</v>
      </c>
      <c r="D643" s="529">
        <f>Page5_PARCS_GOUV!I4</f>
        <v>0</v>
      </c>
      <c r="E643" s="529">
        <f>Page5_PARCS_GOUV!N4</f>
        <v>0</v>
      </c>
      <c r="F643" t="str">
        <f t="shared" si="62"/>
        <v>01-00-400L-GRSPFT-CURR</v>
      </c>
      <c r="G643" t="s">
        <v>127</v>
      </c>
      <c r="H643" t="s">
        <v>10287</v>
      </c>
      <c r="I643" t="s">
        <v>10253</v>
      </c>
      <c r="K643" s="2424" t="s">
        <v>10288</v>
      </c>
      <c r="L643" s="2425" t="s">
        <v>10241</v>
      </c>
      <c r="M643" s="2175" t="s">
        <v>457</v>
      </c>
      <c r="N643" s="2175"/>
      <c r="O643" s="2175" t="s">
        <v>10467</v>
      </c>
      <c r="P643" s="2175" t="s">
        <v>10244</v>
      </c>
      <c r="Q643" s="2232"/>
    </row>
    <row r="644" spans="2:17">
      <c r="B644" s="2421" t="s">
        <v>10593</v>
      </c>
      <c r="C644" s="1038" t="s">
        <v>458</v>
      </c>
      <c r="D644" s="529">
        <f>Page5_PARCS_GOUV!I5</f>
        <v>0</v>
      </c>
      <c r="E644" s="529">
        <f>Page5_PARCS_GOUV!N5</f>
        <v>0</v>
      </c>
      <c r="F644" t="str">
        <f t="shared" si="62"/>
        <v>01-00-401L-GRSPFT-CURR</v>
      </c>
      <c r="G644" t="s">
        <v>127</v>
      </c>
      <c r="H644" t="s">
        <v>10287</v>
      </c>
      <c r="I644" t="s">
        <v>10253</v>
      </c>
      <c r="K644" s="2424" t="s">
        <v>10288</v>
      </c>
      <c r="L644" s="2425" t="s">
        <v>10241</v>
      </c>
      <c r="M644" s="2175" t="s">
        <v>458</v>
      </c>
      <c r="N644" s="2175"/>
      <c r="O644" s="2175" t="s">
        <v>10467</v>
      </c>
      <c r="P644" s="2175" t="s">
        <v>10244</v>
      </c>
      <c r="Q644" s="2232"/>
    </row>
    <row r="645" spans="2:17">
      <c r="B645" s="2421" t="s">
        <v>10594</v>
      </c>
      <c r="C645" s="1038" t="s">
        <v>459</v>
      </c>
      <c r="D645" s="529">
        <f>Page5_PARCS_GOUV!I6</f>
        <v>0</v>
      </c>
      <c r="E645" s="529">
        <f>Page5_PARCS_GOUV!N6</f>
        <v>0</v>
      </c>
      <c r="F645" t="str">
        <f t="shared" si="62"/>
        <v>01-00-402L-GRSPFT-CURR</v>
      </c>
      <c r="G645" t="s">
        <v>127</v>
      </c>
      <c r="H645" t="s">
        <v>10287</v>
      </c>
      <c r="I645" t="s">
        <v>10253</v>
      </c>
      <c r="K645" s="2424" t="s">
        <v>10288</v>
      </c>
      <c r="L645" s="2425" t="s">
        <v>10241</v>
      </c>
      <c r="M645" s="2175" t="s">
        <v>459</v>
      </c>
      <c r="N645" s="2175"/>
      <c r="O645" s="2175" t="s">
        <v>10467</v>
      </c>
      <c r="P645" s="2175" t="s">
        <v>10244</v>
      </c>
      <c r="Q645" s="2232"/>
    </row>
    <row r="646" spans="2:17">
      <c r="B646" s="2421" t="s">
        <v>10595</v>
      </c>
      <c r="C646" s="1038" t="s">
        <v>460</v>
      </c>
      <c r="D646" s="529">
        <f>Page5_PARCS_GOUV!I7</f>
        <v>0</v>
      </c>
      <c r="E646" s="529">
        <f>Page5_PARCS_GOUV!N7</f>
        <v>0</v>
      </c>
      <c r="F646" t="str">
        <f t="shared" si="62"/>
        <v>01-00-403L-GRSPFT-CURR</v>
      </c>
      <c r="G646" t="s">
        <v>127</v>
      </c>
      <c r="H646" t="s">
        <v>10287</v>
      </c>
      <c r="I646" t="s">
        <v>10253</v>
      </c>
      <c r="K646" s="2424" t="s">
        <v>10288</v>
      </c>
      <c r="L646" s="2425" t="s">
        <v>10241</v>
      </c>
      <c r="M646" s="2175" t="s">
        <v>460</v>
      </c>
      <c r="N646" s="2175"/>
      <c r="O646" s="2175" t="s">
        <v>10467</v>
      </c>
      <c r="P646" s="2175" t="s">
        <v>10244</v>
      </c>
      <c r="Q646" s="2232"/>
    </row>
    <row r="647" spans="2:17">
      <c r="B647" s="2421" t="s">
        <v>10596</v>
      </c>
      <c r="C647" s="1038" t="s">
        <v>461</v>
      </c>
      <c r="D647" s="529">
        <f>Page5_PARCS_GOUV!I8</f>
        <v>0</v>
      </c>
      <c r="E647" s="529">
        <f>Page5_PARCS_GOUV!N8</f>
        <v>0</v>
      </c>
      <c r="F647" t="str">
        <f t="shared" si="62"/>
        <v>01-00-404L-GRSPFT-CURR</v>
      </c>
      <c r="G647" t="s">
        <v>127</v>
      </c>
      <c r="H647" t="s">
        <v>10287</v>
      </c>
      <c r="I647" t="s">
        <v>10253</v>
      </c>
      <c r="K647" s="2424" t="s">
        <v>10288</v>
      </c>
      <c r="L647" s="2425" t="s">
        <v>10241</v>
      </c>
      <c r="M647" s="2175" t="s">
        <v>461</v>
      </c>
      <c r="N647" s="2175"/>
      <c r="O647" s="2175" t="s">
        <v>10467</v>
      </c>
      <c r="P647" s="2175" t="s">
        <v>10244</v>
      </c>
      <c r="Q647" s="2232"/>
    </row>
    <row r="648" spans="2:17">
      <c r="B648" s="2421" t="s">
        <v>10597</v>
      </c>
      <c r="C648" s="1038" t="s">
        <v>462</v>
      </c>
      <c r="D648" s="529">
        <f>Page5_PARCS_GOUV!I9</f>
        <v>0</v>
      </c>
      <c r="E648" s="529">
        <f>Page5_PARCS_GOUV!N9</f>
        <v>0</v>
      </c>
      <c r="F648" t="str">
        <f t="shared" si="62"/>
        <v>01-00-405L-GRSPFT-CURR</v>
      </c>
      <c r="G648" t="s">
        <v>127</v>
      </c>
      <c r="H648" t="s">
        <v>10287</v>
      </c>
      <c r="I648" t="s">
        <v>10253</v>
      </c>
      <c r="K648" s="2424" t="s">
        <v>10288</v>
      </c>
      <c r="L648" s="2425" t="s">
        <v>10241</v>
      </c>
      <c r="M648" s="2175" t="s">
        <v>462</v>
      </c>
      <c r="N648" s="2175"/>
      <c r="O648" s="2175" t="s">
        <v>10467</v>
      </c>
      <c r="P648" s="2175" t="s">
        <v>10244</v>
      </c>
      <c r="Q648" s="2232"/>
    </row>
    <row r="649" spans="2:17">
      <c r="B649" s="2421" t="s">
        <v>10598</v>
      </c>
      <c r="C649" s="1038" t="s">
        <v>463</v>
      </c>
      <c r="D649" s="529">
        <f>Page5_PARCS_GOUV!I10</f>
        <v>0</v>
      </c>
      <c r="E649" s="529">
        <f>Page5_PARCS_GOUV!N10</f>
        <v>0</v>
      </c>
      <c r="F649" t="str">
        <f t="shared" si="62"/>
        <v>01-00-406L-GRSPFT-CURR</v>
      </c>
      <c r="G649" t="s">
        <v>127</v>
      </c>
      <c r="H649" t="s">
        <v>10287</v>
      </c>
      <c r="I649" t="s">
        <v>10253</v>
      </c>
      <c r="K649" s="2424" t="s">
        <v>10288</v>
      </c>
      <c r="L649" s="2425" t="s">
        <v>10241</v>
      </c>
      <c r="M649" s="2175" t="s">
        <v>463</v>
      </c>
      <c r="N649" s="2175"/>
      <c r="O649" s="2175" t="s">
        <v>10467</v>
      </c>
      <c r="P649" s="2175" t="s">
        <v>10244</v>
      </c>
      <c r="Q649" s="2232"/>
    </row>
    <row r="650" spans="2:17">
      <c r="B650" s="2421" t="s">
        <v>10599</v>
      </c>
      <c r="C650" s="1038" t="s">
        <v>464</v>
      </c>
      <c r="D650" s="529">
        <f>Page5_PARCS_GOUV!I11</f>
        <v>0</v>
      </c>
      <c r="E650" s="529">
        <f>Page5_PARCS_GOUV!N11</f>
        <v>0</v>
      </c>
      <c r="F650" t="str">
        <f t="shared" si="62"/>
        <v>01-00-407L-GRSPFT-CURR</v>
      </c>
      <c r="G650" t="s">
        <v>127</v>
      </c>
      <c r="H650" t="s">
        <v>10287</v>
      </c>
      <c r="I650" t="s">
        <v>10253</v>
      </c>
      <c r="K650" s="2424" t="s">
        <v>10288</v>
      </c>
      <c r="L650" s="2425" t="s">
        <v>10241</v>
      </c>
      <c r="M650" s="2175" t="s">
        <v>464</v>
      </c>
      <c r="N650" s="2175"/>
      <c r="O650" s="2175" t="s">
        <v>10467</v>
      </c>
      <c r="P650" s="2175" t="s">
        <v>10244</v>
      </c>
      <c r="Q650" s="2232"/>
    </row>
    <row r="651" spans="2:17">
      <c r="B651" s="2422" t="s">
        <v>10600</v>
      </c>
      <c r="C651" s="2419"/>
      <c r="D651" s="529">
        <f>Page5_PARCS_GOUV!I12</f>
        <v>0</v>
      </c>
      <c r="E651" s="529">
        <f>Page5_PARCS_GOUV!N12</f>
        <v>0</v>
      </c>
      <c r="F651" t="str">
        <f t="shared" si="62"/>
        <v>01-00-TOTCAR5L-GRSPFT-CURR</v>
      </c>
      <c r="G651" t="s">
        <v>127</v>
      </c>
      <c r="H651" t="s">
        <v>10287</v>
      </c>
      <c r="I651" t="s">
        <v>10253</v>
      </c>
      <c r="J651" t="s">
        <v>10268</v>
      </c>
      <c r="K651" s="2424" t="s">
        <v>10288</v>
      </c>
      <c r="L651" s="2425" t="s">
        <v>10241</v>
      </c>
      <c r="M651" s="2175" t="s">
        <v>10564</v>
      </c>
      <c r="N651" s="2175"/>
      <c r="O651" s="2175" t="s">
        <v>10467</v>
      </c>
      <c r="P651" s="2175" t="s">
        <v>10244</v>
      </c>
      <c r="Q651" s="2232" t="s">
        <v>773</v>
      </c>
    </row>
    <row r="652" spans="2:17">
      <c r="B652" s="2421" t="s">
        <v>10601</v>
      </c>
      <c r="C652" s="1038" t="s">
        <v>466</v>
      </c>
      <c r="D652" s="529">
        <f>Page5_PARCS_GOUV!I13</f>
        <v>0</v>
      </c>
      <c r="E652" s="529">
        <f>Page5_PARCS_GOUV!N13</f>
        <v>0</v>
      </c>
      <c r="F652" t="str">
        <f t="shared" si="62"/>
        <v>01-00-412L-GRSPFT-CURR</v>
      </c>
      <c r="G652" t="s">
        <v>127</v>
      </c>
      <c r="H652" t="s">
        <v>10287</v>
      </c>
      <c r="I652" t="s">
        <v>10253</v>
      </c>
      <c r="K652" s="2424" t="s">
        <v>10288</v>
      </c>
      <c r="L652" s="2425" t="s">
        <v>10241</v>
      </c>
      <c r="M652" s="2175" t="s">
        <v>466</v>
      </c>
      <c r="N652" s="2175"/>
      <c r="O652" s="2175" t="s">
        <v>10467</v>
      </c>
      <c r="P652" s="2175" t="s">
        <v>10244</v>
      </c>
      <c r="Q652" s="2232"/>
    </row>
    <row r="653" spans="2:17">
      <c r="B653" s="2421" t="s">
        <v>10602</v>
      </c>
      <c r="C653" s="1038" t="s">
        <v>467</v>
      </c>
      <c r="D653" s="529">
        <f>Page5_PARCS_GOUV!I14</f>
        <v>0</v>
      </c>
      <c r="E653" s="529">
        <f>Page5_PARCS_GOUV!N14</f>
        <v>0</v>
      </c>
      <c r="F653" t="str">
        <f t="shared" si="62"/>
        <v>01-00-413L-GRSPFT-CURR</v>
      </c>
      <c r="G653" t="s">
        <v>127</v>
      </c>
      <c r="H653" t="s">
        <v>10287</v>
      </c>
      <c r="I653" t="s">
        <v>10253</v>
      </c>
      <c r="K653" s="2424" t="s">
        <v>10288</v>
      </c>
      <c r="L653" s="2425" t="s">
        <v>10241</v>
      </c>
      <c r="M653" s="2175" t="s">
        <v>467</v>
      </c>
      <c r="N653" s="2175"/>
      <c r="O653" s="2175" t="s">
        <v>10467</v>
      </c>
      <c r="P653" s="2175" t="s">
        <v>10244</v>
      </c>
      <c r="Q653" s="2232"/>
    </row>
    <row r="654" spans="2:17">
      <c r="B654" s="2421" t="s">
        <v>10603</v>
      </c>
      <c r="C654" s="1038" t="s">
        <v>468</v>
      </c>
      <c r="D654" s="529">
        <f>Page5_PARCS_GOUV!I15</f>
        <v>0</v>
      </c>
      <c r="E654" s="529">
        <f>Page5_PARCS_GOUV!N15</f>
        <v>0</v>
      </c>
      <c r="F654" t="str">
        <f t="shared" si="62"/>
        <v>01-00-414L-GRSPFT-CURR</v>
      </c>
      <c r="G654" t="s">
        <v>127</v>
      </c>
      <c r="H654" t="s">
        <v>10287</v>
      </c>
      <c r="I654" t="s">
        <v>10253</v>
      </c>
      <c r="K654" s="2424" t="s">
        <v>10288</v>
      </c>
      <c r="L654" s="2425" t="s">
        <v>10241</v>
      </c>
      <c r="M654" s="2175" t="s">
        <v>468</v>
      </c>
      <c r="N654" s="2175"/>
      <c r="O654" s="2175" t="s">
        <v>10467</v>
      </c>
      <c r="P654" s="2175" t="s">
        <v>10244</v>
      </c>
      <c r="Q654" s="2232"/>
    </row>
    <row r="655" spans="2:17">
      <c r="B655" s="2421" t="s">
        <v>10604</v>
      </c>
      <c r="C655" s="1038" t="s">
        <v>469</v>
      </c>
      <c r="D655" s="529">
        <f>Page5_PARCS_GOUV!I16</f>
        <v>0</v>
      </c>
      <c r="E655" s="529">
        <f>Page5_PARCS_GOUV!N16</f>
        <v>0</v>
      </c>
      <c r="F655" t="str">
        <f t="shared" si="62"/>
        <v>01-00-415L-GRSPFT-CURR</v>
      </c>
      <c r="G655" t="s">
        <v>127</v>
      </c>
      <c r="H655" t="s">
        <v>10287</v>
      </c>
      <c r="I655" t="s">
        <v>10253</v>
      </c>
      <c r="K655" s="2424" t="s">
        <v>10288</v>
      </c>
      <c r="L655" s="2425" t="s">
        <v>10241</v>
      </c>
      <c r="M655" s="2175" t="s">
        <v>469</v>
      </c>
      <c r="N655" s="2175"/>
      <c r="O655" s="2175" t="s">
        <v>10467</v>
      </c>
      <c r="P655" s="2175" t="s">
        <v>10244</v>
      </c>
      <c r="Q655" s="2232"/>
    </row>
    <row r="656" spans="2:17">
      <c r="B656" s="2421" t="s">
        <v>10605</v>
      </c>
      <c r="C656" s="1038" t="s">
        <v>470</v>
      </c>
      <c r="D656" s="529">
        <f>Page5_PARCS_GOUV!I17</f>
        <v>0</v>
      </c>
      <c r="E656" s="529">
        <f>Page5_PARCS_GOUV!N17</f>
        <v>0</v>
      </c>
      <c r="F656" t="str">
        <f t="shared" si="62"/>
        <v>01-00-416L-GRSPFT-CURR</v>
      </c>
      <c r="G656" t="s">
        <v>127</v>
      </c>
      <c r="H656" t="s">
        <v>10287</v>
      </c>
      <c r="I656" t="s">
        <v>10253</v>
      </c>
      <c r="K656" s="2424" t="s">
        <v>10288</v>
      </c>
      <c r="L656" s="2425" t="s">
        <v>10241</v>
      </c>
      <c r="M656" s="2175" t="s">
        <v>470</v>
      </c>
      <c r="N656" s="2175"/>
      <c r="O656" s="2175" t="s">
        <v>10467</v>
      </c>
      <c r="P656" s="2175" t="s">
        <v>10244</v>
      </c>
      <c r="Q656" s="2232"/>
    </row>
    <row r="657" spans="2:17">
      <c r="B657" s="2421" t="s">
        <v>10606</v>
      </c>
      <c r="C657" s="1038" t="s">
        <v>471</v>
      </c>
      <c r="D657" s="529">
        <f>Page5_PARCS_GOUV!I18</f>
        <v>0</v>
      </c>
      <c r="E657" s="529">
        <f>Page5_PARCS_GOUV!N18</f>
        <v>0</v>
      </c>
      <c r="F657" t="str">
        <f t="shared" si="62"/>
        <v>01-00-417L-GRSPFT-CURR</v>
      </c>
      <c r="G657" t="s">
        <v>127</v>
      </c>
      <c r="H657" t="s">
        <v>10287</v>
      </c>
      <c r="I657" t="s">
        <v>10253</v>
      </c>
      <c r="K657" s="2424" t="s">
        <v>10288</v>
      </c>
      <c r="L657" s="2425" t="s">
        <v>10241</v>
      </c>
      <c r="M657" s="2175" t="s">
        <v>471</v>
      </c>
      <c r="N657" s="2175"/>
      <c r="O657" s="2175" t="s">
        <v>10467</v>
      </c>
      <c r="P657" s="2175" t="s">
        <v>10244</v>
      </c>
      <c r="Q657" s="2232"/>
    </row>
    <row r="658" spans="2:17">
      <c r="B658" s="2421" t="s">
        <v>10607</v>
      </c>
      <c r="C658" s="1038" t="s">
        <v>472</v>
      </c>
      <c r="D658" s="529">
        <f>Page5_PARCS_GOUV!I19</f>
        <v>0</v>
      </c>
      <c r="E658" s="529">
        <f>Page5_PARCS_GOUV!N19</f>
        <v>0</v>
      </c>
      <c r="F658" t="str">
        <f t="shared" si="62"/>
        <v>01-00-418L-GRSPFT-CURR</v>
      </c>
      <c r="G658" t="s">
        <v>127</v>
      </c>
      <c r="H658" t="s">
        <v>10287</v>
      </c>
      <c r="I658" t="s">
        <v>10253</v>
      </c>
      <c r="K658" s="2424" t="s">
        <v>10288</v>
      </c>
      <c r="L658" s="2425" t="s">
        <v>10241</v>
      </c>
      <c r="M658" s="2175" t="s">
        <v>472</v>
      </c>
      <c r="N658" s="2175"/>
      <c r="O658" s="2175" t="s">
        <v>10467</v>
      </c>
      <c r="P658" s="2175" t="s">
        <v>10244</v>
      </c>
      <c r="Q658" s="2232"/>
    </row>
    <row r="659" spans="2:17">
      <c r="B659" s="2421" t="s">
        <v>10608</v>
      </c>
      <c r="C659" s="1038" t="s">
        <v>473</v>
      </c>
      <c r="D659" s="529">
        <f>Page5_PARCS_GOUV!I20</f>
        <v>0</v>
      </c>
      <c r="E659" s="529">
        <f>Page5_PARCS_GOUV!N20</f>
        <v>0</v>
      </c>
      <c r="F659" t="str">
        <f t="shared" si="62"/>
        <v>01-00-419L-GRSPFT-CURR</v>
      </c>
      <c r="G659" t="s">
        <v>127</v>
      </c>
      <c r="H659" t="s">
        <v>10287</v>
      </c>
      <c r="I659" t="s">
        <v>10253</v>
      </c>
      <c r="K659" s="2424" t="s">
        <v>10288</v>
      </c>
      <c r="L659" s="2425" t="s">
        <v>10241</v>
      </c>
      <c r="M659" s="2175" t="s">
        <v>473</v>
      </c>
      <c r="N659" s="2175"/>
      <c r="O659" s="2175" t="s">
        <v>10467</v>
      </c>
      <c r="P659" s="2175" t="s">
        <v>10244</v>
      </c>
      <c r="Q659" s="2232"/>
    </row>
    <row r="660" spans="2:17">
      <c r="B660" s="2421" t="s">
        <v>10609</v>
      </c>
      <c r="C660" s="1038" t="s">
        <v>474</v>
      </c>
      <c r="D660" s="529">
        <f>Page5_PARCS_GOUV!I21</f>
        <v>0</v>
      </c>
      <c r="E660" s="529">
        <f>Page5_PARCS_GOUV!N21</f>
        <v>0</v>
      </c>
      <c r="F660" t="str">
        <f t="shared" si="62"/>
        <v>01-00-420L-GRSPFT-CURR</v>
      </c>
      <c r="G660" t="s">
        <v>127</v>
      </c>
      <c r="H660" t="s">
        <v>10287</v>
      </c>
      <c r="I660" t="s">
        <v>10253</v>
      </c>
      <c r="K660" s="2424" t="s">
        <v>10288</v>
      </c>
      <c r="L660" s="2425" t="s">
        <v>10241</v>
      </c>
      <c r="M660" s="2175" t="s">
        <v>474</v>
      </c>
      <c r="N660" s="2175"/>
      <c r="O660" s="2175" t="s">
        <v>10467</v>
      </c>
      <c r="P660" s="2175" t="s">
        <v>10244</v>
      </c>
      <c r="Q660" s="2232"/>
    </row>
    <row r="661" spans="2:17">
      <c r="B661" s="2421" t="s">
        <v>10610</v>
      </c>
      <c r="C661" s="1038" t="s">
        <v>475</v>
      </c>
      <c r="D661" s="529">
        <f>Page5_PARCS_GOUV!I22</f>
        <v>8149</v>
      </c>
      <c r="E661" s="529">
        <f>Page5_PARCS_GOUV!N22</f>
        <v>16153</v>
      </c>
      <c r="F661" t="str">
        <f t="shared" si="62"/>
        <v>01-00-421L-GRSPFT-CURR</v>
      </c>
      <c r="G661" t="s">
        <v>127</v>
      </c>
      <c r="H661" t="s">
        <v>10287</v>
      </c>
      <c r="I661" t="s">
        <v>10253</v>
      </c>
      <c r="K661" s="2424" t="s">
        <v>10288</v>
      </c>
      <c r="L661" s="2425" t="s">
        <v>10241</v>
      </c>
      <c r="M661" s="2175" t="s">
        <v>475</v>
      </c>
      <c r="N661" s="2175"/>
      <c r="O661" s="2175" t="s">
        <v>10467</v>
      </c>
      <c r="P661" s="2175" t="s">
        <v>10244</v>
      </c>
      <c r="Q661" s="2232"/>
    </row>
    <row r="662" spans="2:17">
      <c r="B662" s="2421" t="s">
        <v>10611</v>
      </c>
      <c r="C662" s="1038" t="s">
        <v>476</v>
      </c>
      <c r="D662" s="529">
        <f>Page5_PARCS_GOUV!I23</f>
        <v>0</v>
      </c>
      <c r="E662" s="529">
        <f>Page5_PARCS_GOUV!N23</f>
        <v>0</v>
      </c>
      <c r="F662" t="str">
        <f t="shared" si="62"/>
        <v>01-00-422L-GRSPFT-CURR</v>
      </c>
      <c r="G662" t="s">
        <v>127</v>
      </c>
      <c r="H662" t="s">
        <v>10287</v>
      </c>
      <c r="I662" t="s">
        <v>10253</v>
      </c>
      <c r="K662" s="2424" t="s">
        <v>10288</v>
      </c>
      <c r="L662" s="2425" t="s">
        <v>10241</v>
      </c>
      <c r="M662" s="2175" t="s">
        <v>476</v>
      </c>
      <c r="N662" s="2175"/>
      <c r="O662" s="2175" t="s">
        <v>10467</v>
      </c>
      <c r="P662" s="2175" t="s">
        <v>10244</v>
      </c>
      <c r="Q662" s="2232"/>
    </row>
    <row r="663" spans="2:17">
      <c r="B663" s="2421" t="s">
        <v>10612</v>
      </c>
      <c r="C663" s="1038" t="s">
        <v>477</v>
      </c>
      <c r="D663" s="529">
        <f>Page5_PARCS_GOUV!I24</f>
        <v>0</v>
      </c>
      <c r="E663" s="529">
        <f>Page5_PARCS_GOUV!N24</f>
        <v>0</v>
      </c>
      <c r="F663" t="str">
        <f t="shared" si="62"/>
        <v>01-00-423L-GRSPFT-CURR</v>
      </c>
      <c r="G663" t="s">
        <v>127</v>
      </c>
      <c r="H663" t="s">
        <v>10287</v>
      </c>
      <c r="I663" t="s">
        <v>10253</v>
      </c>
      <c r="K663" s="2424" t="s">
        <v>10288</v>
      </c>
      <c r="L663" s="2425" t="s">
        <v>10241</v>
      </c>
      <c r="M663" s="2175" t="s">
        <v>477</v>
      </c>
      <c r="N663" s="2175"/>
      <c r="O663" s="2175" t="s">
        <v>10467</v>
      </c>
      <c r="P663" s="2175" t="s">
        <v>10244</v>
      </c>
      <c r="Q663" s="2232"/>
    </row>
    <row r="664" spans="2:17">
      <c r="B664" s="2421" t="s">
        <v>10613</v>
      </c>
      <c r="C664" s="1038" t="s">
        <v>478</v>
      </c>
      <c r="D664" s="529">
        <f>Page5_PARCS_GOUV!I25</f>
        <v>0</v>
      </c>
      <c r="E664" s="529">
        <f>Page5_PARCS_GOUV!N25</f>
        <v>0</v>
      </c>
      <c r="F664" t="str">
        <f t="shared" si="62"/>
        <v>01-00-424L-GRSPFT-CURR</v>
      </c>
      <c r="G664" t="s">
        <v>127</v>
      </c>
      <c r="H664" t="s">
        <v>10287</v>
      </c>
      <c r="I664" t="s">
        <v>10253</v>
      </c>
      <c r="K664" s="2424" t="s">
        <v>10288</v>
      </c>
      <c r="L664" s="2425" t="s">
        <v>10241</v>
      </c>
      <c r="M664" s="2175" t="s">
        <v>478</v>
      </c>
      <c r="N664" s="2175"/>
      <c r="O664" s="2175" t="s">
        <v>10467</v>
      </c>
      <c r="P664" s="2175" t="s">
        <v>10244</v>
      </c>
      <c r="Q664" s="2232"/>
    </row>
    <row r="665" spans="2:17">
      <c r="B665" s="2421" t="s">
        <v>10614</v>
      </c>
      <c r="C665" s="1038" t="s">
        <v>479</v>
      </c>
      <c r="D665" s="529">
        <f>Page5_PARCS_GOUV!I26</f>
        <v>0</v>
      </c>
      <c r="E665" s="529">
        <f>Page5_PARCS_GOUV!N26</f>
        <v>0</v>
      </c>
      <c r="F665" t="str">
        <f t="shared" si="62"/>
        <v>01-00-425L-GRSPFT-CURR</v>
      </c>
      <c r="G665" t="s">
        <v>127</v>
      </c>
      <c r="H665" t="s">
        <v>10287</v>
      </c>
      <c r="I665" t="s">
        <v>10253</v>
      </c>
      <c r="K665" s="2424" t="s">
        <v>10288</v>
      </c>
      <c r="L665" s="2425" t="s">
        <v>10241</v>
      </c>
      <c r="M665" s="2175" t="s">
        <v>479</v>
      </c>
      <c r="N665" s="2175"/>
      <c r="O665" s="2175" t="s">
        <v>10467</v>
      </c>
      <c r="P665" s="2175" t="s">
        <v>10244</v>
      </c>
      <c r="Q665" s="2232"/>
    </row>
    <row r="666" spans="2:17">
      <c r="B666" s="2421" t="s">
        <v>10615</v>
      </c>
      <c r="C666" s="1038" t="s">
        <v>480</v>
      </c>
      <c r="D666" s="529">
        <f>Page5_PARCS_GOUV!I27</f>
        <v>0</v>
      </c>
      <c r="E666" s="529">
        <f>Page5_PARCS_GOUV!N27</f>
        <v>0</v>
      </c>
      <c r="F666" t="str">
        <f t="shared" si="62"/>
        <v>01-00-426L-GRSPFT-CURR</v>
      </c>
      <c r="G666" t="s">
        <v>127</v>
      </c>
      <c r="H666" t="s">
        <v>10287</v>
      </c>
      <c r="I666" t="s">
        <v>10253</v>
      </c>
      <c r="K666" s="2424" t="s">
        <v>10288</v>
      </c>
      <c r="L666" s="2425" t="s">
        <v>10241</v>
      </c>
      <c r="M666" s="2175" t="s">
        <v>480</v>
      </c>
      <c r="N666" s="2175"/>
      <c r="O666" s="2175" t="s">
        <v>10467</v>
      </c>
      <c r="P666" s="2175" t="s">
        <v>10244</v>
      </c>
      <c r="Q666" s="2232"/>
    </row>
    <row r="667" spans="2:17">
      <c r="B667" s="2421" t="s">
        <v>10616</v>
      </c>
      <c r="C667" s="1038" t="s">
        <v>481</v>
      </c>
      <c r="D667" s="529">
        <f>Page5_PARCS_GOUV!I28</f>
        <v>0</v>
      </c>
      <c r="E667" s="529">
        <f>Page5_PARCS_GOUV!N28</f>
        <v>0</v>
      </c>
      <c r="F667" t="str">
        <f t="shared" si="62"/>
        <v>01-00-427L-GRSPFT-CURR</v>
      </c>
      <c r="G667" t="s">
        <v>127</v>
      </c>
      <c r="H667" t="s">
        <v>10287</v>
      </c>
      <c r="I667" t="s">
        <v>10253</v>
      </c>
      <c r="K667" s="2424" t="s">
        <v>10288</v>
      </c>
      <c r="L667" s="2425" t="s">
        <v>10241</v>
      </c>
      <c r="M667" s="2175" t="s">
        <v>481</v>
      </c>
      <c r="N667" s="2175"/>
      <c r="O667" s="2175" t="s">
        <v>10467</v>
      </c>
      <c r="P667" s="2175" t="s">
        <v>10244</v>
      </c>
      <c r="Q667" s="2232"/>
    </row>
    <row r="668" spans="2:17">
      <c r="B668" s="2421" t="s">
        <v>10617</v>
      </c>
      <c r="C668" s="1038" t="s">
        <v>482</v>
      </c>
      <c r="D668" s="529">
        <f>Page5_PARCS_GOUV!I29</f>
        <v>0</v>
      </c>
      <c r="E668" s="529">
        <f>Page5_PARCS_GOUV!N29</f>
        <v>0</v>
      </c>
      <c r="F668" t="str">
        <f t="shared" si="62"/>
        <v>01-00-428L-GRSPFT-CURR</v>
      </c>
      <c r="G668" t="s">
        <v>127</v>
      </c>
      <c r="H668" t="s">
        <v>10287</v>
      </c>
      <c r="I668" t="s">
        <v>10253</v>
      </c>
      <c r="K668" s="2424" t="s">
        <v>10288</v>
      </c>
      <c r="L668" s="2425" t="s">
        <v>10241</v>
      </c>
      <c r="M668" s="2175" t="s">
        <v>482</v>
      </c>
      <c r="N668" s="2175"/>
      <c r="O668" s="2175" t="s">
        <v>10467</v>
      </c>
      <c r="P668" s="2175" t="s">
        <v>10244</v>
      </c>
      <c r="Q668" s="2232"/>
    </row>
    <row r="669" spans="2:17">
      <c r="B669" s="2421" t="s">
        <v>10618</v>
      </c>
      <c r="C669" s="1038" t="s">
        <v>483</v>
      </c>
      <c r="D669" s="529">
        <f>Page5_PARCS_GOUV!I30</f>
        <v>0</v>
      </c>
      <c r="E669" s="529">
        <f>Page5_PARCS_GOUV!N30</f>
        <v>0</v>
      </c>
      <c r="F669" t="str">
        <f t="shared" si="62"/>
        <v>01-00-429L-GRSPFT-CURR</v>
      </c>
      <c r="G669" t="s">
        <v>127</v>
      </c>
      <c r="H669" t="s">
        <v>10287</v>
      </c>
      <c r="I669" t="s">
        <v>10253</v>
      </c>
      <c r="K669" s="2424" t="s">
        <v>10288</v>
      </c>
      <c r="L669" s="2425" t="s">
        <v>10241</v>
      </c>
      <c r="M669" s="2175" t="s">
        <v>483</v>
      </c>
      <c r="N669" s="2175"/>
      <c r="O669" s="2175" t="s">
        <v>10467</v>
      </c>
      <c r="P669" s="2175" t="s">
        <v>10244</v>
      </c>
      <c r="Q669" s="2232"/>
    </row>
    <row r="670" spans="2:17">
      <c r="B670" s="2421" t="s">
        <v>10619</v>
      </c>
      <c r="C670" s="1038" t="s">
        <v>484</v>
      </c>
      <c r="D670" s="529">
        <f>Page5_PARCS_GOUV!I31</f>
        <v>0</v>
      </c>
      <c r="E670" s="529">
        <f>Page5_PARCS_GOUV!N31</f>
        <v>0</v>
      </c>
      <c r="F670" t="str">
        <f t="shared" si="62"/>
        <v>01-00-430L-GRSPFT-CURR</v>
      </c>
      <c r="G670" t="s">
        <v>127</v>
      </c>
      <c r="H670" t="s">
        <v>10287</v>
      </c>
      <c r="I670" t="s">
        <v>10253</v>
      </c>
      <c r="K670" s="2424" t="s">
        <v>10288</v>
      </c>
      <c r="L670" s="2425" t="s">
        <v>10241</v>
      </c>
      <c r="M670" s="2175" t="s">
        <v>484</v>
      </c>
      <c r="N670" s="2175"/>
      <c r="O670" s="2175" t="s">
        <v>10467</v>
      </c>
      <c r="P670" s="2175" t="s">
        <v>10244</v>
      </c>
      <c r="Q670" s="2232"/>
    </row>
    <row r="671" spans="2:17">
      <c r="B671" s="2421" t="s">
        <v>10620</v>
      </c>
      <c r="C671" s="1038" t="s">
        <v>485</v>
      </c>
      <c r="D671" s="529">
        <f>Page5_PARCS_GOUV!I32</f>
        <v>0</v>
      </c>
      <c r="E671" s="529">
        <f>Page5_PARCS_GOUV!N32</f>
        <v>0</v>
      </c>
      <c r="F671" t="str">
        <f t="shared" si="62"/>
        <v>01-00-431L-GRSPFT-CURR</v>
      </c>
      <c r="G671" t="s">
        <v>127</v>
      </c>
      <c r="H671" t="s">
        <v>10287</v>
      </c>
      <c r="I671" t="s">
        <v>10253</v>
      </c>
      <c r="K671" s="2424" t="s">
        <v>10288</v>
      </c>
      <c r="L671" s="2425" t="s">
        <v>10241</v>
      </c>
      <c r="M671" s="2175" t="s">
        <v>485</v>
      </c>
      <c r="N671" s="2175"/>
      <c r="O671" s="2175" t="s">
        <v>10467</v>
      </c>
      <c r="P671" s="2175" t="s">
        <v>10244</v>
      </c>
      <c r="Q671" s="2232"/>
    </row>
    <row r="672" spans="2:17">
      <c r="B672" s="2421" t="s">
        <v>10621</v>
      </c>
      <c r="C672" s="1038" t="s">
        <v>486</v>
      </c>
      <c r="D672" s="529">
        <f>Page5_PARCS_GOUV!I33</f>
        <v>0</v>
      </c>
      <c r="E672" s="529">
        <f>Page5_PARCS_GOUV!N33</f>
        <v>0</v>
      </c>
      <c r="F672" t="str">
        <f t="shared" si="62"/>
        <v>01-00-432L-GRSPFT-CURR</v>
      </c>
      <c r="G672" t="s">
        <v>127</v>
      </c>
      <c r="H672" t="s">
        <v>10287</v>
      </c>
      <c r="I672" t="s">
        <v>10253</v>
      </c>
      <c r="K672" s="2424" t="s">
        <v>10288</v>
      </c>
      <c r="L672" s="2425" t="s">
        <v>10241</v>
      </c>
      <c r="M672" s="2175" t="s">
        <v>486</v>
      </c>
      <c r="N672" s="2175"/>
      <c r="O672" s="2175" t="s">
        <v>10467</v>
      </c>
      <c r="P672" s="2175" t="s">
        <v>10244</v>
      </c>
      <c r="Q672" s="2232"/>
    </row>
    <row r="673" spans="2:17">
      <c r="B673" s="2421" t="s">
        <v>10622</v>
      </c>
      <c r="C673" s="1038" t="s">
        <v>487</v>
      </c>
      <c r="D673" s="529">
        <f>Page5_PARCS_GOUV!I34</f>
        <v>0</v>
      </c>
      <c r="E673" s="529">
        <f>Page5_PARCS_GOUV!N34</f>
        <v>0</v>
      </c>
      <c r="F673" t="str">
        <f t="shared" si="62"/>
        <v>01-00-433L-GRSPFT-CURR</v>
      </c>
      <c r="G673" t="s">
        <v>127</v>
      </c>
      <c r="H673" t="s">
        <v>10287</v>
      </c>
      <c r="I673" t="s">
        <v>10253</v>
      </c>
      <c r="K673" s="2424" t="s">
        <v>10288</v>
      </c>
      <c r="L673" s="2425" t="s">
        <v>10241</v>
      </c>
      <c r="M673" s="2175" t="s">
        <v>487</v>
      </c>
      <c r="N673" s="2175"/>
      <c r="O673" s="2175" t="s">
        <v>10467</v>
      </c>
      <c r="P673" s="2175" t="s">
        <v>10244</v>
      </c>
      <c r="Q673" s="2232"/>
    </row>
    <row r="674" spans="2:17">
      <c r="B674" s="2421" t="s">
        <v>10623</v>
      </c>
      <c r="C674" s="1038" t="s">
        <v>488</v>
      </c>
      <c r="D674" s="529">
        <f>Page5_PARCS_GOUV!I35</f>
        <v>0</v>
      </c>
      <c r="E674" s="529">
        <f>Page5_PARCS_GOUV!N35</f>
        <v>0</v>
      </c>
      <c r="F674" t="str">
        <f t="shared" si="62"/>
        <v>01-00-434L-GRSPFT-CURR</v>
      </c>
      <c r="G674" t="s">
        <v>127</v>
      </c>
      <c r="H674" t="s">
        <v>10287</v>
      </c>
      <c r="I674" t="s">
        <v>10253</v>
      </c>
      <c r="K674" s="2424" t="s">
        <v>10288</v>
      </c>
      <c r="L674" s="2425" t="s">
        <v>10241</v>
      </c>
      <c r="M674" s="2175" t="s">
        <v>488</v>
      </c>
      <c r="N674" s="2175"/>
      <c r="O674" s="2175" t="s">
        <v>10467</v>
      </c>
      <c r="P674" s="2175" t="s">
        <v>10244</v>
      </c>
      <c r="Q674" s="2232"/>
    </row>
    <row r="675" spans="2:17">
      <c r="B675" s="27" t="s">
        <v>10624</v>
      </c>
      <c r="C675" s="2419"/>
      <c r="D675" s="529">
        <f>Page5_PARCS_GOUV!I36</f>
        <v>8149</v>
      </c>
      <c r="E675" s="529">
        <f>Page5_PARCS_GOUV!N36</f>
        <v>16153</v>
      </c>
      <c r="F675" t="str">
        <f t="shared" si="62"/>
        <v>01-00-TOTTRK5L-GRSPFT-CURR</v>
      </c>
      <c r="G675" t="s">
        <v>127</v>
      </c>
      <c r="H675" t="s">
        <v>10287</v>
      </c>
      <c r="I675" t="s">
        <v>10253</v>
      </c>
      <c r="J675" t="s">
        <v>10268</v>
      </c>
      <c r="K675" s="2424" t="s">
        <v>10288</v>
      </c>
      <c r="L675" s="2425" t="s">
        <v>10241</v>
      </c>
      <c r="M675" s="2175" t="s">
        <v>10589</v>
      </c>
      <c r="N675" s="2175"/>
      <c r="O675" s="2175" t="s">
        <v>10467</v>
      </c>
      <c r="P675" s="2175" t="s">
        <v>10244</v>
      </c>
      <c r="Q675" s="2232" t="s">
        <v>773</v>
      </c>
    </row>
    <row r="676" spans="2:17">
      <c r="B676" s="27" t="s">
        <v>10625</v>
      </c>
      <c r="C676" s="2419"/>
      <c r="D676" s="529">
        <f>Page5_PARCS_GOUV!I37</f>
        <v>8149</v>
      </c>
      <c r="E676" s="529">
        <f>Page5_PARCS_GOUV!N37</f>
        <v>16153</v>
      </c>
      <c r="F676" t="str">
        <f t="shared" si="62"/>
        <v>01-00-TOTVEH5L-GRSPFT-CURR</v>
      </c>
      <c r="G676" t="s">
        <v>127</v>
      </c>
      <c r="H676" t="s">
        <v>10287</v>
      </c>
      <c r="I676" t="s">
        <v>10253</v>
      </c>
      <c r="J676" t="s">
        <v>10268</v>
      </c>
      <c r="K676" s="2424" t="s">
        <v>10288</v>
      </c>
      <c r="L676" s="2425" t="s">
        <v>10241</v>
      </c>
      <c r="M676" s="2175" t="s">
        <v>10591</v>
      </c>
      <c r="N676" s="2175"/>
      <c r="O676" s="2175" t="s">
        <v>10467</v>
      </c>
      <c r="P676" s="2175" t="s">
        <v>10244</v>
      </c>
      <c r="Q676" s="2232" t="s">
        <v>773</v>
      </c>
    </row>
    <row r="677" spans="2:17">
      <c r="B677" s="5" t="s">
        <v>10626</v>
      </c>
      <c r="C677" s="1038" t="s">
        <v>457</v>
      </c>
      <c r="D677" s="529">
        <f>Page5_PARCS_GOUV!F4</f>
        <v>0</v>
      </c>
      <c r="E677" s="529">
        <f>Page5_PARCS_GOUV!K4</f>
        <v>0</v>
      </c>
      <c r="F677" t="str">
        <f t="shared" si="62"/>
        <v>01-00-400L-UNIT-CURR</v>
      </c>
      <c r="G677" t="s">
        <v>127</v>
      </c>
      <c r="H677" t="s">
        <v>10287</v>
      </c>
      <c r="I677" t="s">
        <v>10253</v>
      </c>
      <c r="K677" s="2424" t="s">
        <v>10288</v>
      </c>
      <c r="L677" s="2425" t="s">
        <v>10241</v>
      </c>
      <c r="M677" s="2175" t="s">
        <v>457</v>
      </c>
      <c r="N677" s="2175"/>
      <c r="O677" s="2175" t="s">
        <v>10255</v>
      </c>
      <c r="P677" s="2175" t="s">
        <v>10244</v>
      </c>
      <c r="Q677" s="2232"/>
    </row>
    <row r="678" spans="2:17">
      <c r="B678" s="5" t="s">
        <v>10627</v>
      </c>
      <c r="C678" s="1038" t="s">
        <v>458</v>
      </c>
      <c r="D678" s="529">
        <f>Page5_PARCS_GOUV!F5</f>
        <v>0</v>
      </c>
      <c r="E678" s="529">
        <f>Page5_PARCS_GOUV!K5</f>
        <v>0</v>
      </c>
      <c r="F678" t="str">
        <f t="shared" si="62"/>
        <v>01-00-401L-UNIT-CURR</v>
      </c>
      <c r="G678" t="s">
        <v>127</v>
      </c>
      <c r="H678" t="s">
        <v>10287</v>
      </c>
      <c r="I678" t="s">
        <v>10253</v>
      </c>
      <c r="K678" s="2424" t="s">
        <v>10288</v>
      </c>
      <c r="L678" s="2425" t="s">
        <v>10241</v>
      </c>
      <c r="M678" s="2175" t="s">
        <v>458</v>
      </c>
      <c r="N678" s="2175"/>
      <c r="O678" s="2175" t="s">
        <v>10255</v>
      </c>
      <c r="P678" s="2175" t="s">
        <v>10244</v>
      </c>
      <c r="Q678" s="2232"/>
    </row>
    <row r="679" spans="2:17">
      <c r="B679" s="5" t="s">
        <v>10628</v>
      </c>
      <c r="C679" s="1038" t="s">
        <v>459</v>
      </c>
      <c r="D679" s="529">
        <f>Page5_PARCS_GOUV!F6</f>
        <v>0</v>
      </c>
      <c r="E679" s="529">
        <f>Page5_PARCS_GOUV!K6</f>
        <v>0</v>
      </c>
      <c r="F679" t="str">
        <f t="shared" si="62"/>
        <v>01-00-402L-UNIT-CURR</v>
      </c>
      <c r="G679" t="s">
        <v>127</v>
      </c>
      <c r="H679" t="s">
        <v>10287</v>
      </c>
      <c r="I679" t="s">
        <v>10253</v>
      </c>
      <c r="K679" s="2424" t="s">
        <v>10288</v>
      </c>
      <c r="L679" s="2425" t="s">
        <v>10241</v>
      </c>
      <c r="M679" s="2175" t="s">
        <v>459</v>
      </c>
      <c r="N679" s="2175"/>
      <c r="O679" s="2175" t="s">
        <v>10255</v>
      </c>
      <c r="P679" s="2175" t="s">
        <v>10244</v>
      </c>
      <c r="Q679" s="2232"/>
    </row>
    <row r="680" spans="2:17">
      <c r="B680" s="5" t="s">
        <v>10629</v>
      </c>
      <c r="C680" s="1038" t="s">
        <v>460</v>
      </c>
      <c r="D680" s="529">
        <f>Page5_PARCS_GOUV!F7</f>
        <v>0</v>
      </c>
      <c r="E680" s="529">
        <f>Page5_PARCS_GOUV!K7</f>
        <v>0</v>
      </c>
      <c r="F680" t="str">
        <f t="shared" si="62"/>
        <v>01-00-403L-UNIT-CURR</v>
      </c>
      <c r="G680" t="s">
        <v>127</v>
      </c>
      <c r="H680" t="s">
        <v>10287</v>
      </c>
      <c r="I680" t="s">
        <v>10253</v>
      </c>
      <c r="K680" s="2424" t="s">
        <v>10288</v>
      </c>
      <c r="L680" s="2425" t="s">
        <v>10241</v>
      </c>
      <c r="M680" s="2175" t="s">
        <v>460</v>
      </c>
      <c r="N680" s="2175"/>
      <c r="O680" s="2175" t="s">
        <v>10255</v>
      </c>
      <c r="P680" s="2175" t="s">
        <v>10244</v>
      </c>
      <c r="Q680" s="2232"/>
    </row>
    <row r="681" spans="2:17">
      <c r="B681" s="5" t="s">
        <v>10630</v>
      </c>
      <c r="C681" s="1038" t="s">
        <v>461</v>
      </c>
      <c r="D681" s="529">
        <f>Page5_PARCS_GOUV!F8</f>
        <v>0</v>
      </c>
      <c r="E681" s="529">
        <f>Page5_PARCS_GOUV!K8</f>
        <v>0</v>
      </c>
      <c r="F681" t="str">
        <f t="shared" si="62"/>
        <v>01-00-404L-UNIT-CURR</v>
      </c>
      <c r="G681" t="s">
        <v>127</v>
      </c>
      <c r="H681" t="s">
        <v>10287</v>
      </c>
      <c r="I681" t="s">
        <v>10253</v>
      </c>
      <c r="K681" s="2424" t="s">
        <v>10288</v>
      </c>
      <c r="L681" s="2425" t="s">
        <v>10241</v>
      </c>
      <c r="M681" s="2175" t="s">
        <v>461</v>
      </c>
      <c r="N681" s="2175"/>
      <c r="O681" s="2175" t="s">
        <v>10255</v>
      </c>
      <c r="P681" s="2175" t="s">
        <v>10244</v>
      </c>
      <c r="Q681" s="2232"/>
    </row>
    <row r="682" spans="2:17">
      <c r="B682" s="5" t="s">
        <v>10631</v>
      </c>
      <c r="C682" s="1038" t="s">
        <v>462</v>
      </c>
      <c r="D682" s="529">
        <f>Page5_PARCS_GOUV!F9</f>
        <v>0</v>
      </c>
      <c r="E682" s="529">
        <f>Page5_PARCS_GOUV!K9</f>
        <v>0</v>
      </c>
      <c r="F682" t="str">
        <f t="shared" si="62"/>
        <v>01-00-405L-UNIT-CURR</v>
      </c>
      <c r="G682" t="s">
        <v>127</v>
      </c>
      <c r="H682" t="s">
        <v>10287</v>
      </c>
      <c r="I682" t="s">
        <v>10253</v>
      </c>
      <c r="K682" s="2424" t="s">
        <v>10288</v>
      </c>
      <c r="L682" s="2425" t="s">
        <v>10241</v>
      </c>
      <c r="M682" s="2175" t="s">
        <v>462</v>
      </c>
      <c r="N682" s="2175"/>
      <c r="O682" s="2175" t="s">
        <v>10255</v>
      </c>
      <c r="P682" s="2175" t="s">
        <v>10244</v>
      </c>
      <c r="Q682" s="2232"/>
    </row>
    <row r="683" spans="2:17">
      <c r="B683" s="5" t="s">
        <v>10632</v>
      </c>
      <c r="C683" s="1038" t="s">
        <v>463</v>
      </c>
      <c r="D683" s="529">
        <f>Page5_PARCS_GOUV!F10</f>
        <v>0</v>
      </c>
      <c r="E683" s="529">
        <f>Page5_PARCS_GOUV!K10</f>
        <v>0</v>
      </c>
      <c r="F683" t="str">
        <f t="shared" si="62"/>
        <v>01-00-406L-UNIT-CURR</v>
      </c>
      <c r="G683" t="s">
        <v>127</v>
      </c>
      <c r="H683" t="s">
        <v>10287</v>
      </c>
      <c r="I683" t="s">
        <v>10253</v>
      </c>
      <c r="K683" s="2424" t="s">
        <v>10288</v>
      </c>
      <c r="L683" s="2425" t="s">
        <v>10241</v>
      </c>
      <c r="M683" s="2175" t="s">
        <v>463</v>
      </c>
      <c r="N683" s="2175"/>
      <c r="O683" s="2175" t="s">
        <v>10255</v>
      </c>
      <c r="P683" s="2175" t="s">
        <v>10244</v>
      </c>
      <c r="Q683" s="2232"/>
    </row>
    <row r="684" spans="2:17">
      <c r="B684" s="5" t="s">
        <v>10633</v>
      </c>
      <c r="C684" s="1038" t="s">
        <v>464</v>
      </c>
      <c r="D684" s="529">
        <f>Page5_PARCS_GOUV!F11</f>
        <v>0</v>
      </c>
      <c r="E684" s="529">
        <f>Page5_PARCS_GOUV!K11</f>
        <v>0</v>
      </c>
      <c r="F684" t="str">
        <f t="shared" si="62"/>
        <v>01-00-407L-UNIT-CURR</v>
      </c>
      <c r="G684" t="s">
        <v>127</v>
      </c>
      <c r="H684" t="s">
        <v>10287</v>
      </c>
      <c r="I684" t="s">
        <v>10253</v>
      </c>
      <c r="K684" s="2424" t="s">
        <v>10288</v>
      </c>
      <c r="L684" s="2425" t="s">
        <v>10241</v>
      </c>
      <c r="M684" s="2175" t="s">
        <v>464</v>
      </c>
      <c r="N684" s="2175"/>
      <c r="O684" s="2175" t="s">
        <v>10255</v>
      </c>
      <c r="P684" s="2175" t="s">
        <v>10244</v>
      </c>
      <c r="Q684" s="2232"/>
    </row>
    <row r="685" spans="2:17">
      <c r="B685" s="2422" t="s">
        <v>10634</v>
      </c>
      <c r="C685" s="2419"/>
      <c r="D685" s="529">
        <f>Page5_PARCS_GOUV!F12</f>
        <v>0</v>
      </c>
      <c r="E685" s="529">
        <f>Page5_PARCS_GOUV!K12</f>
        <v>0</v>
      </c>
      <c r="F685" t="str">
        <f t="shared" si="62"/>
        <v>01-00-TOTCAR5L-UNIT-CURR</v>
      </c>
      <c r="G685" t="s">
        <v>127</v>
      </c>
      <c r="H685" t="s">
        <v>10287</v>
      </c>
      <c r="I685" t="s">
        <v>10253</v>
      </c>
      <c r="J685" t="s">
        <v>10268</v>
      </c>
      <c r="K685" s="2424" t="s">
        <v>10288</v>
      </c>
      <c r="L685" s="2425" t="s">
        <v>10241</v>
      </c>
      <c r="M685" s="2175" t="s">
        <v>10564</v>
      </c>
      <c r="N685" s="2175"/>
      <c r="O685" s="2175" t="s">
        <v>10255</v>
      </c>
      <c r="P685" s="2175" t="s">
        <v>10244</v>
      </c>
      <c r="Q685" s="2232" t="s">
        <v>773</v>
      </c>
    </row>
    <row r="686" spans="2:17">
      <c r="B686" s="5" t="s">
        <v>10635</v>
      </c>
      <c r="C686" s="1038" t="s">
        <v>466</v>
      </c>
      <c r="D686" s="529">
        <f>Page5_PARCS_GOUV!F13</f>
        <v>0</v>
      </c>
      <c r="E686" s="529">
        <f>Page5_PARCS_GOUV!K13</f>
        <v>0</v>
      </c>
      <c r="F686" t="str">
        <f t="shared" si="62"/>
        <v>01-00-412L-UNIT-CURR</v>
      </c>
      <c r="G686" t="s">
        <v>127</v>
      </c>
      <c r="H686" t="s">
        <v>10287</v>
      </c>
      <c r="I686" t="s">
        <v>10253</v>
      </c>
      <c r="K686" s="2424" t="s">
        <v>10288</v>
      </c>
      <c r="L686" s="2425" t="s">
        <v>10241</v>
      </c>
      <c r="M686" s="2175" t="s">
        <v>466</v>
      </c>
      <c r="N686" s="2175"/>
      <c r="O686" s="2175" t="s">
        <v>10255</v>
      </c>
      <c r="P686" s="2175" t="s">
        <v>10244</v>
      </c>
      <c r="Q686" s="2232"/>
    </row>
    <row r="687" spans="2:17">
      <c r="B687" s="5" t="s">
        <v>10636</v>
      </c>
      <c r="C687" s="1038" t="s">
        <v>467</v>
      </c>
      <c r="D687" s="529">
        <f>Page5_PARCS_GOUV!F14</f>
        <v>0</v>
      </c>
      <c r="E687" s="529">
        <f>Page5_PARCS_GOUV!K14</f>
        <v>0</v>
      </c>
      <c r="F687" t="str">
        <f t="shared" si="62"/>
        <v>01-00-413L-UNIT-CURR</v>
      </c>
      <c r="G687" t="s">
        <v>127</v>
      </c>
      <c r="H687" t="s">
        <v>10287</v>
      </c>
      <c r="I687" t="s">
        <v>10253</v>
      </c>
      <c r="K687" s="2424" t="s">
        <v>10288</v>
      </c>
      <c r="L687" s="2425" t="s">
        <v>10241</v>
      </c>
      <c r="M687" s="2175" t="s">
        <v>467</v>
      </c>
      <c r="N687" s="2175"/>
      <c r="O687" s="2175" t="s">
        <v>10255</v>
      </c>
      <c r="P687" s="2175" t="s">
        <v>10244</v>
      </c>
      <c r="Q687" s="2232"/>
    </row>
    <row r="688" spans="2:17">
      <c r="B688" s="5" t="s">
        <v>10637</v>
      </c>
      <c r="C688" s="1038" t="s">
        <v>468</v>
      </c>
      <c r="D688" s="529">
        <f>Page5_PARCS_GOUV!F15</f>
        <v>0</v>
      </c>
      <c r="E688" s="529">
        <f>Page5_PARCS_GOUV!K15</f>
        <v>0</v>
      </c>
      <c r="F688" t="str">
        <f t="shared" si="62"/>
        <v>01-00-414L-UNIT-CURR</v>
      </c>
      <c r="G688" t="s">
        <v>127</v>
      </c>
      <c r="H688" t="s">
        <v>10287</v>
      </c>
      <c r="I688" t="s">
        <v>10253</v>
      </c>
      <c r="K688" s="2424" t="s">
        <v>10288</v>
      </c>
      <c r="L688" s="2425" t="s">
        <v>10241</v>
      </c>
      <c r="M688" s="2175" t="s">
        <v>468</v>
      </c>
      <c r="N688" s="2175"/>
      <c r="O688" s="2175" t="s">
        <v>10255</v>
      </c>
      <c r="P688" s="2175" t="s">
        <v>10244</v>
      </c>
      <c r="Q688" s="2232"/>
    </row>
    <row r="689" spans="2:17">
      <c r="B689" s="5" t="s">
        <v>10638</v>
      </c>
      <c r="C689" s="1038" t="s">
        <v>469</v>
      </c>
      <c r="D689" s="529">
        <f>Page5_PARCS_GOUV!F16</f>
        <v>0</v>
      </c>
      <c r="E689" s="529">
        <f>Page5_PARCS_GOUV!K16</f>
        <v>0</v>
      </c>
      <c r="F689" t="str">
        <f t="shared" si="62"/>
        <v>01-00-415L-UNIT-CURR</v>
      </c>
      <c r="G689" t="s">
        <v>127</v>
      </c>
      <c r="H689" t="s">
        <v>10287</v>
      </c>
      <c r="I689" t="s">
        <v>10253</v>
      </c>
      <c r="K689" s="2424" t="s">
        <v>10288</v>
      </c>
      <c r="L689" s="2425" t="s">
        <v>10241</v>
      </c>
      <c r="M689" s="2175" t="s">
        <v>469</v>
      </c>
      <c r="N689" s="2175"/>
      <c r="O689" s="2175" t="s">
        <v>10255</v>
      </c>
      <c r="P689" s="2175" t="s">
        <v>10244</v>
      </c>
      <c r="Q689" s="2232"/>
    </row>
    <row r="690" spans="2:17">
      <c r="B690" s="5" t="s">
        <v>10639</v>
      </c>
      <c r="C690" s="1038" t="s">
        <v>470</v>
      </c>
      <c r="D690" s="529">
        <f>Page5_PARCS_GOUV!F17</f>
        <v>0</v>
      </c>
      <c r="E690" s="529">
        <f>Page5_PARCS_GOUV!K17</f>
        <v>0</v>
      </c>
      <c r="F690" t="str">
        <f t="shared" si="62"/>
        <v>01-00-416L-UNIT-CURR</v>
      </c>
      <c r="G690" t="s">
        <v>127</v>
      </c>
      <c r="H690" t="s">
        <v>10287</v>
      </c>
      <c r="I690" t="s">
        <v>10253</v>
      </c>
      <c r="K690" s="2424" t="s">
        <v>10288</v>
      </c>
      <c r="L690" s="2425" t="s">
        <v>10241</v>
      </c>
      <c r="M690" s="2175" t="s">
        <v>470</v>
      </c>
      <c r="N690" s="2175"/>
      <c r="O690" s="2175" t="s">
        <v>10255</v>
      </c>
      <c r="P690" s="2175" t="s">
        <v>10244</v>
      </c>
      <c r="Q690" s="2232"/>
    </row>
    <row r="691" spans="2:17">
      <c r="B691" s="5" t="s">
        <v>10640</v>
      </c>
      <c r="C691" s="1038" t="s">
        <v>471</v>
      </c>
      <c r="D691" s="529">
        <f>Page5_PARCS_GOUV!F18</f>
        <v>0</v>
      </c>
      <c r="E691" s="529">
        <f>Page5_PARCS_GOUV!K18</f>
        <v>0</v>
      </c>
      <c r="F691" t="str">
        <f t="shared" si="62"/>
        <v>01-00-417L-UNIT-CURR</v>
      </c>
      <c r="G691" t="s">
        <v>127</v>
      </c>
      <c r="H691" t="s">
        <v>10287</v>
      </c>
      <c r="I691" t="s">
        <v>10253</v>
      </c>
      <c r="K691" s="2424" t="s">
        <v>10288</v>
      </c>
      <c r="L691" s="2425" t="s">
        <v>10241</v>
      </c>
      <c r="M691" s="2175" t="s">
        <v>471</v>
      </c>
      <c r="N691" s="2175"/>
      <c r="O691" s="2175" t="s">
        <v>10255</v>
      </c>
      <c r="P691" s="2175" t="s">
        <v>10244</v>
      </c>
      <c r="Q691" s="2232"/>
    </row>
    <row r="692" spans="2:17">
      <c r="B692" s="5" t="s">
        <v>10641</v>
      </c>
      <c r="C692" s="1038" t="s">
        <v>472</v>
      </c>
      <c r="D692" s="529">
        <f>Page5_PARCS_GOUV!F19</f>
        <v>0</v>
      </c>
      <c r="E692" s="529">
        <f>Page5_PARCS_GOUV!K19</f>
        <v>0</v>
      </c>
      <c r="F692" t="str">
        <f t="shared" si="62"/>
        <v>01-00-418L-UNIT-CURR</v>
      </c>
      <c r="G692" t="s">
        <v>127</v>
      </c>
      <c r="H692" t="s">
        <v>10287</v>
      </c>
      <c r="I692" t="s">
        <v>10253</v>
      </c>
      <c r="K692" s="2424" t="s">
        <v>10288</v>
      </c>
      <c r="L692" s="2425" t="s">
        <v>10241</v>
      </c>
      <c r="M692" s="2175" t="s">
        <v>472</v>
      </c>
      <c r="N692" s="2175"/>
      <c r="O692" s="2175" t="s">
        <v>10255</v>
      </c>
      <c r="P692" s="2175" t="s">
        <v>10244</v>
      </c>
      <c r="Q692" s="2232"/>
    </row>
    <row r="693" spans="2:17">
      <c r="B693" s="5" t="s">
        <v>10642</v>
      </c>
      <c r="C693" s="1038" t="s">
        <v>473</v>
      </c>
      <c r="D693" s="529">
        <f>Page5_PARCS_GOUV!F20</f>
        <v>0</v>
      </c>
      <c r="E693" s="529">
        <f>Page5_PARCS_GOUV!K20</f>
        <v>0</v>
      </c>
      <c r="F693" t="str">
        <f t="shared" si="62"/>
        <v>01-00-419L-UNIT-CURR</v>
      </c>
      <c r="G693" t="s">
        <v>127</v>
      </c>
      <c r="H693" t="s">
        <v>10287</v>
      </c>
      <c r="I693" t="s">
        <v>10253</v>
      </c>
      <c r="K693" s="2424" t="s">
        <v>10288</v>
      </c>
      <c r="L693" s="2425" t="s">
        <v>10241</v>
      </c>
      <c r="M693" s="2175" t="s">
        <v>473</v>
      </c>
      <c r="N693" s="2175"/>
      <c r="O693" s="2175" t="s">
        <v>10255</v>
      </c>
      <c r="P693" s="2175" t="s">
        <v>10244</v>
      </c>
      <c r="Q693" s="2232"/>
    </row>
    <row r="694" spans="2:17">
      <c r="B694" s="5" t="s">
        <v>10643</v>
      </c>
      <c r="C694" s="1038" t="s">
        <v>474</v>
      </c>
      <c r="D694" s="529">
        <f>Page5_PARCS_GOUV!F21</f>
        <v>0</v>
      </c>
      <c r="E694" s="529">
        <f>Page5_PARCS_GOUV!K21</f>
        <v>0</v>
      </c>
      <c r="F694" t="str">
        <f t="shared" si="62"/>
        <v>01-00-420L-UNIT-CURR</v>
      </c>
      <c r="G694" t="s">
        <v>127</v>
      </c>
      <c r="H694" t="s">
        <v>10287</v>
      </c>
      <c r="I694" t="s">
        <v>10253</v>
      </c>
      <c r="K694" s="2424" t="s">
        <v>10288</v>
      </c>
      <c r="L694" s="2425" t="s">
        <v>10241</v>
      </c>
      <c r="M694" s="2175" t="s">
        <v>474</v>
      </c>
      <c r="N694" s="2175"/>
      <c r="O694" s="2175" t="s">
        <v>10255</v>
      </c>
      <c r="P694" s="2175" t="s">
        <v>10244</v>
      </c>
      <c r="Q694" s="2232"/>
    </row>
    <row r="695" spans="2:17">
      <c r="B695" s="5" t="s">
        <v>10644</v>
      </c>
      <c r="C695" s="1038" t="s">
        <v>475</v>
      </c>
      <c r="D695" s="529">
        <f>Page5_PARCS_GOUV!F22</f>
        <v>10</v>
      </c>
      <c r="E695" s="529">
        <f>Page5_PARCS_GOUV!K22</f>
        <v>34</v>
      </c>
      <c r="F695" t="str">
        <f t="shared" si="62"/>
        <v>01-00-421L-UNIT-CURR</v>
      </c>
      <c r="G695" t="s">
        <v>127</v>
      </c>
      <c r="H695" t="s">
        <v>10287</v>
      </c>
      <c r="I695" t="s">
        <v>10253</v>
      </c>
      <c r="K695" s="2424" t="s">
        <v>10288</v>
      </c>
      <c r="L695" s="2425" t="s">
        <v>10241</v>
      </c>
      <c r="M695" s="2175" t="s">
        <v>475</v>
      </c>
      <c r="N695" s="2175"/>
      <c r="O695" s="2175" t="s">
        <v>10255</v>
      </c>
      <c r="P695" s="2175" t="s">
        <v>10244</v>
      </c>
      <c r="Q695" s="2232"/>
    </row>
    <row r="696" spans="2:17">
      <c r="B696" s="5" t="s">
        <v>10645</v>
      </c>
      <c r="C696" s="1038" t="s">
        <v>476</v>
      </c>
      <c r="D696" s="529">
        <f>Page5_PARCS_GOUV!F23</f>
        <v>0</v>
      </c>
      <c r="E696" s="529">
        <f>Page5_PARCS_GOUV!K23</f>
        <v>0</v>
      </c>
      <c r="F696" t="str">
        <f t="shared" si="62"/>
        <v>01-00-422L-UNIT-CURR</v>
      </c>
      <c r="G696" t="s">
        <v>127</v>
      </c>
      <c r="H696" t="s">
        <v>10287</v>
      </c>
      <c r="I696" t="s">
        <v>10253</v>
      </c>
      <c r="K696" s="2424" t="s">
        <v>10288</v>
      </c>
      <c r="L696" s="2425" t="s">
        <v>10241</v>
      </c>
      <c r="M696" s="2175" t="s">
        <v>476</v>
      </c>
      <c r="N696" s="2175"/>
      <c r="O696" s="2175" t="s">
        <v>10255</v>
      </c>
      <c r="P696" s="2175" t="s">
        <v>10244</v>
      </c>
      <c r="Q696" s="2232"/>
    </row>
    <row r="697" spans="2:17">
      <c r="B697" s="5" t="s">
        <v>10646</v>
      </c>
      <c r="C697" s="1038" t="s">
        <v>477</v>
      </c>
      <c r="D697" s="529">
        <f>Page5_PARCS_GOUV!F24</f>
        <v>0</v>
      </c>
      <c r="E697" s="529">
        <f>Page5_PARCS_GOUV!K24</f>
        <v>0</v>
      </c>
      <c r="F697" t="str">
        <f t="shared" si="62"/>
        <v>01-00-423L-UNIT-CURR</v>
      </c>
      <c r="G697" t="s">
        <v>127</v>
      </c>
      <c r="H697" t="s">
        <v>10287</v>
      </c>
      <c r="I697" t="s">
        <v>10253</v>
      </c>
      <c r="K697" s="2424" t="s">
        <v>10288</v>
      </c>
      <c r="L697" s="2425" t="s">
        <v>10241</v>
      </c>
      <c r="M697" s="2175" t="s">
        <v>477</v>
      </c>
      <c r="N697" s="2175"/>
      <c r="O697" s="2175" t="s">
        <v>10255</v>
      </c>
      <c r="P697" s="2175" t="s">
        <v>10244</v>
      </c>
      <c r="Q697" s="2232"/>
    </row>
    <row r="698" spans="2:17">
      <c r="B698" s="5" t="s">
        <v>10647</v>
      </c>
      <c r="C698" s="1038" t="s">
        <v>478</v>
      </c>
      <c r="D698" s="529">
        <f>Page5_PARCS_GOUV!F25</f>
        <v>0</v>
      </c>
      <c r="E698" s="529">
        <f>Page5_PARCS_GOUV!K25</f>
        <v>0</v>
      </c>
      <c r="F698" t="str">
        <f t="shared" si="62"/>
        <v>01-00-424L-UNIT-CURR</v>
      </c>
      <c r="G698" t="s">
        <v>127</v>
      </c>
      <c r="H698" t="s">
        <v>10287</v>
      </c>
      <c r="I698" t="s">
        <v>10253</v>
      </c>
      <c r="K698" s="2424" t="s">
        <v>10288</v>
      </c>
      <c r="L698" s="2425" t="s">
        <v>10241</v>
      </c>
      <c r="M698" s="2175" t="s">
        <v>478</v>
      </c>
      <c r="N698" s="2175"/>
      <c r="O698" s="2175" t="s">
        <v>10255</v>
      </c>
      <c r="P698" s="2175" t="s">
        <v>10244</v>
      </c>
      <c r="Q698" s="2232"/>
    </row>
    <row r="699" spans="2:17">
      <c r="B699" s="5" t="s">
        <v>10648</v>
      </c>
      <c r="C699" s="1038" t="s">
        <v>479</v>
      </c>
      <c r="D699" s="529">
        <f>Page5_PARCS_GOUV!F26</f>
        <v>0</v>
      </c>
      <c r="E699" s="529">
        <f>Page5_PARCS_GOUV!K26</f>
        <v>0</v>
      </c>
      <c r="F699" t="str">
        <f t="shared" si="62"/>
        <v>01-00-425L-UNIT-CURR</v>
      </c>
      <c r="G699" t="s">
        <v>127</v>
      </c>
      <c r="H699" t="s">
        <v>10287</v>
      </c>
      <c r="I699" t="s">
        <v>10253</v>
      </c>
      <c r="K699" s="2424" t="s">
        <v>10288</v>
      </c>
      <c r="L699" s="2425" t="s">
        <v>10241</v>
      </c>
      <c r="M699" s="2175" t="s">
        <v>479</v>
      </c>
      <c r="N699" s="2175"/>
      <c r="O699" s="2175" t="s">
        <v>10255</v>
      </c>
      <c r="P699" s="2175" t="s">
        <v>10244</v>
      </c>
      <c r="Q699" s="2232"/>
    </row>
    <row r="700" spans="2:17">
      <c r="B700" s="5" t="s">
        <v>10649</v>
      </c>
      <c r="C700" s="1038" t="s">
        <v>480</v>
      </c>
      <c r="D700" s="529">
        <f>Page5_PARCS_GOUV!F27</f>
        <v>0</v>
      </c>
      <c r="E700" s="529">
        <f>Page5_PARCS_GOUV!K27</f>
        <v>0</v>
      </c>
      <c r="F700" t="str">
        <f t="shared" si="62"/>
        <v>01-00-426L-UNIT-CURR</v>
      </c>
      <c r="G700" t="s">
        <v>127</v>
      </c>
      <c r="H700" t="s">
        <v>10287</v>
      </c>
      <c r="I700" t="s">
        <v>10253</v>
      </c>
      <c r="K700" s="2424" t="s">
        <v>10288</v>
      </c>
      <c r="L700" s="2425" t="s">
        <v>10241</v>
      </c>
      <c r="M700" s="2175" t="s">
        <v>480</v>
      </c>
      <c r="N700" s="2175"/>
      <c r="O700" s="2175" t="s">
        <v>10255</v>
      </c>
      <c r="P700" s="2175" t="s">
        <v>10244</v>
      </c>
      <c r="Q700" s="2232"/>
    </row>
    <row r="701" spans="2:17">
      <c r="B701" s="5" t="s">
        <v>10650</v>
      </c>
      <c r="C701" s="1038" t="s">
        <v>481</v>
      </c>
      <c r="D701" s="529">
        <f>Page5_PARCS_GOUV!F28</f>
        <v>0</v>
      </c>
      <c r="E701" s="529">
        <f>Page5_PARCS_GOUV!K28</f>
        <v>0</v>
      </c>
      <c r="F701" t="str">
        <f t="shared" si="62"/>
        <v>01-00-427L-UNIT-CURR</v>
      </c>
      <c r="G701" t="s">
        <v>127</v>
      </c>
      <c r="H701" t="s">
        <v>10287</v>
      </c>
      <c r="I701" t="s">
        <v>10253</v>
      </c>
      <c r="K701" s="2424" t="s">
        <v>10288</v>
      </c>
      <c r="L701" s="2425" t="s">
        <v>10241</v>
      </c>
      <c r="M701" s="2175" t="s">
        <v>481</v>
      </c>
      <c r="N701" s="2175"/>
      <c r="O701" s="2175" t="s">
        <v>10255</v>
      </c>
      <c r="P701" s="2175" t="s">
        <v>10244</v>
      </c>
      <c r="Q701" s="2232"/>
    </row>
    <row r="702" spans="2:17">
      <c r="B702" s="5" t="s">
        <v>10651</v>
      </c>
      <c r="C702" s="1038" t="s">
        <v>482</v>
      </c>
      <c r="D702" s="529">
        <f>Page5_PARCS_GOUV!F29</f>
        <v>0</v>
      </c>
      <c r="E702" s="529">
        <f>Page5_PARCS_GOUV!K29</f>
        <v>0</v>
      </c>
      <c r="F702" t="str">
        <f t="shared" si="62"/>
        <v>01-00-428L-UNIT-CURR</v>
      </c>
      <c r="G702" t="s">
        <v>127</v>
      </c>
      <c r="H702" t="s">
        <v>10287</v>
      </c>
      <c r="I702" t="s">
        <v>10253</v>
      </c>
      <c r="K702" s="2424" t="s">
        <v>10288</v>
      </c>
      <c r="L702" s="2425" t="s">
        <v>10241</v>
      </c>
      <c r="M702" s="2175" t="s">
        <v>482</v>
      </c>
      <c r="N702" s="2175"/>
      <c r="O702" s="2175" t="s">
        <v>10255</v>
      </c>
      <c r="P702" s="2175" t="s">
        <v>10244</v>
      </c>
      <c r="Q702" s="2232"/>
    </row>
    <row r="703" spans="2:17">
      <c r="B703" s="5" t="s">
        <v>10652</v>
      </c>
      <c r="C703" s="1038" t="s">
        <v>483</v>
      </c>
      <c r="D703" s="529">
        <f>Page5_PARCS_GOUV!F30</f>
        <v>0</v>
      </c>
      <c r="E703" s="529">
        <f>Page5_PARCS_GOUV!K30</f>
        <v>0</v>
      </c>
      <c r="F703" t="str">
        <f t="shared" si="62"/>
        <v>01-00-429L-UNIT-CURR</v>
      </c>
      <c r="G703" t="s">
        <v>127</v>
      </c>
      <c r="H703" t="s">
        <v>10287</v>
      </c>
      <c r="I703" t="s">
        <v>10253</v>
      </c>
      <c r="K703" s="2424" t="s">
        <v>10288</v>
      </c>
      <c r="L703" s="2425" t="s">
        <v>10241</v>
      </c>
      <c r="M703" s="2175" t="s">
        <v>483</v>
      </c>
      <c r="N703" s="2175"/>
      <c r="O703" s="2175" t="s">
        <v>10255</v>
      </c>
      <c r="P703" s="2175" t="s">
        <v>10244</v>
      </c>
      <c r="Q703" s="2232"/>
    </row>
    <row r="704" spans="2:17">
      <c r="B704" s="5" t="s">
        <v>10653</v>
      </c>
      <c r="C704" s="1038" t="s">
        <v>484</v>
      </c>
      <c r="D704" s="529">
        <f>Page5_PARCS_GOUV!F31</f>
        <v>0</v>
      </c>
      <c r="E704" s="529">
        <f>Page5_PARCS_GOUV!K31</f>
        <v>0</v>
      </c>
      <c r="F704" t="str">
        <f t="shared" si="62"/>
        <v>01-00-430L-UNIT-CURR</v>
      </c>
      <c r="G704" t="s">
        <v>127</v>
      </c>
      <c r="H704" t="s">
        <v>10287</v>
      </c>
      <c r="I704" t="s">
        <v>10253</v>
      </c>
      <c r="K704" s="2424" t="s">
        <v>10288</v>
      </c>
      <c r="L704" s="2425" t="s">
        <v>10241</v>
      </c>
      <c r="M704" s="2175" t="s">
        <v>484</v>
      </c>
      <c r="N704" s="2175"/>
      <c r="O704" s="2175" t="s">
        <v>10255</v>
      </c>
      <c r="P704" s="2175" t="s">
        <v>10244</v>
      </c>
      <c r="Q704" s="2232"/>
    </row>
    <row r="705" spans="2:17">
      <c r="B705" s="5" t="s">
        <v>10654</v>
      </c>
      <c r="C705" s="1038" t="s">
        <v>485</v>
      </c>
      <c r="D705" s="529">
        <f>Page5_PARCS_GOUV!F32</f>
        <v>0</v>
      </c>
      <c r="E705" s="529">
        <f>Page5_PARCS_GOUV!K32</f>
        <v>0</v>
      </c>
      <c r="F705" t="str">
        <f t="shared" si="62"/>
        <v>01-00-431L-UNIT-CURR</v>
      </c>
      <c r="G705" t="s">
        <v>127</v>
      </c>
      <c r="H705" t="s">
        <v>10287</v>
      </c>
      <c r="I705" t="s">
        <v>10253</v>
      </c>
      <c r="K705" s="2424" t="s">
        <v>10288</v>
      </c>
      <c r="L705" s="2425" t="s">
        <v>10241</v>
      </c>
      <c r="M705" s="2175" t="s">
        <v>485</v>
      </c>
      <c r="N705" s="2175"/>
      <c r="O705" s="2175" t="s">
        <v>10255</v>
      </c>
      <c r="P705" s="2175" t="s">
        <v>10244</v>
      </c>
      <c r="Q705" s="2232"/>
    </row>
    <row r="706" spans="2:17">
      <c r="B706" s="5" t="s">
        <v>10655</v>
      </c>
      <c r="C706" s="1038" t="s">
        <v>486</v>
      </c>
      <c r="D706" s="529">
        <f>Page5_PARCS_GOUV!F33</f>
        <v>0</v>
      </c>
      <c r="E706" s="529">
        <f>Page5_PARCS_GOUV!K33</f>
        <v>0</v>
      </c>
      <c r="F706" t="str">
        <f t="shared" si="62"/>
        <v>01-00-432L-UNIT-CURR</v>
      </c>
      <c r="G706" t="s">
        <v>127</v>
      </c>
      <c r="H706" t="s">
        <v>10287</v>
      </c>
      <c r="I706" t="s">
        <v>10253</v>
      </c>
      <c r="K706" s="2424" t="s">
        <v>10288</v>
      </c>
      <c r="L706" s="2425" t="s">
        <v>10241</v>
      </c>
      <c r="M706" s="2175" t="s">
        <v>486</v>
      </c>
      <c r="N706" s="2175"/>
      <c r="O706" s="2175" t="s">
        <v>10255</v>
      </c>
      <c r="P706" s="2175" t="s">
        <v>10244</v>
      </c>
      <c r="Q706" s="2232"/>
    </row>
    <row r="707" spans="2:17">
      <c r="B707" s="5" t="s">
        <v>10656</v>
      </c>
      <c r="C707" s="1038" t="s">
        <v>487</v>
      </c>
      <c r="D707" s="529">
        <f>Page5_PARCS_GOUV!F34</f>
        <v>0</v>
      </c>
      <c r="E707" s="529">
        <f>Page5_PARCS_GOUV!K34</f>
        <v>0</v>
      </c>
      <c r="F707" t="str">
        <f t="shared" si="62"/>
        <v>01-00-433L-UNIT-CURR</v>
      </c>
      <c r="G707" t="s">
        <v>127</v>
      </c>
      <c r="H707" t="s">
        <v>10287</v>
      </c>
      <c r="I707" t="s">
        <v>10253</v>
      </c>
      <c r="K707" s="2424" t="s">
        <v>10288</v>
      </c>
      <c r="L707" s="2425" t="s">
        <v>10241</v>
      </c>
      <c r="M707" s="2175" t="s">
        <v>487</v>
      </c>
      <c r="N707" s="2175"/>
      <c r="O707" s="2175" t="s">
        <v>10255</v>
      </c>
      <c r="P707" s="2175" t="s">
        <v>10244</v>
      </c>
      <c r="Q707" s="2232"/>
    </row>
    <row r="708" spans="2:17">
      <c r="B708" s="5" t="s">
        <v>10657</v>
      </c>
      <c r="C708" s="1038" t="s">
        <v>488</v>
      </c>
      <c r="D708" s="529">
        <f>Page5_PARCS_GOUV!F35</f>
        <v>0</v>
      </c>
      <c r="E708" s="529">
        <f>Page5_PARCS_GOUV!K35</f>
        <v>0</v>
      </c>
      <c r="F708" t="str">
        <f t="shared" si="62"/>
        <v>01-00-434L-UNIT-CURR</v>
      </c>
      <c r="G708" t="s">
        <v>127</v>
      </c>
      <c r="H708" t="s">
        <v>10287</v>
      </c>
      <c r="I708" t="s">
        <v>10253</v>
      </c>
      <c r="K708" s="2424" t="s">
        <v>10288</v>
      </c>
      <c r="L708" s="2425" t="s">
        <v>10241</v>
      </c>
      <c r="M708" s="2175" t="s">
        <v>488</v>
      </c>
      <c r="N708" s="2175"/>
      <c r="O708" s="2175" t="s">
        <v>10255</v>
      </c>
      <c r="P708" s="2175" t="s">
        <v>10244</v>
      </c>
      <c r="Q708" s="2232"/>
    </row>
    <row r="709" spans="2:17">
      <c r="B709" s="27" t="s">
        <v>10658</v>
      </c>
      <c r="C709" s="2419"/>
      <c r="D709" s="529">
        <f>Page5_PARCS_GOUV!F36</f>
        <v>10</v>
      </c>
      <c r="E709" s="529">
        <f>Page5_PARCS_GOUV!K36</f>
        <v>34</v>
      </c>
      <c r="F709" t="str">
        <f t="shared" si="62"/>
        <v>01-00-TOTTRK5L-UNIT-CURR</v>
      </c>
      <c r="G709" t="s">
        <v>127</v>
      </c>
      <c r="H709" t="s">
        <v>10287</v>
      </c>
      <c r="I709" t="s">
        <v>10253</v>
      </c>
      <c r="J709" t="s">
        <v>10268</v>
      </c>
      <c r="K709" s="2424" t="s">
        <v>10288</v>
      </c>
      <c r="L709" s="2425" t="s">
        <v>10241</v>
      </c>
      <c r="M709" s="2175" t="s">
        <v>10589</v>
      </c>
      <c r="N709" s="2175"/>
      <c r="O709" s="2175" t="s">
        <v>10255</v>
      </c>
      <c r="P709" s="2175" t="s">
        <v>10244</v>
      </c>
      <c r="Q709" s="2232" t="s">
        <v>773</v>
      </c>
    </row>
    <row r="710" spans="2:17">
      <c r="B710" s="27" t="s">
        <v>10659</v>
      </c>
      <c r="C710" s="2419"/>
      <c r="D710" s="529">
        <f>Page5_PARCS_GOUV!F37</f>
        <v>10</v>
      </c>
      <c r="E710" s="529">
        <f>Page5_PARCS_GOUV!K37</f>
        <v>34</v>
      </c>
      <c r="F710" t="str">
        <f t="shared" si="62"/>
        <v>01-00-TOTVEH5L-UNIT-CURR</v>
      </c>
      <c r="G710" t="s">
        <v>127</v>
      </c>
      <c r="H710" t="s">
        <v>10287</v>
      </c>
      <c r="I710" t="s">
        <v>10253</v>
      </c>
      <c r="J710" t="s">
        <v>10268</v>
      </c>
      <c r="K710" s="2424" t="s">
        <v>10288</v>
      </c>
      <c r="L710" s="2425" t="s">
        <v>10241</v>
      </c>
      <c r="M710" s="2175" t="s">
        <v>10591</v>
      </c>
      <c r="N710" s="2175"/>
      <c r="O710" s="2175" t="s">
        <v>10255</v>
      </c>
      <c r="P710" s="2175" t="s">
        <v>10244</v>
      </c>
      <c r="Q710" s="2232" t="s">
        <v>773</v>
      </c>
    </row>
    <row r="711" spans="2:17">
      <c r="B711" s="2421" t="s">
        <v>10660</v>
      </c>
      <c r="C711" s="1038" t="s">
        <v>492</v>
      </c>
      <c r="D711" s="529">
        <f>Page5_PARCS_GOUV!G40</f>
        <v>0</v>
      </c>
      <c r="E711" s="529">
        <f>Page5_PARCS_GOUV!L40</f>
        <v>0</v>
      </c>
      <c r="F711" t="str">
        <f t="shared" si="62"/>
        <v>01-00-400M-SALES-CURR</v>
      </c>
      <c r="G711" t="s">
        <v>127</v>
      </c>
      <c r="H711" t="s">
        <v>10287</v>
      </c>
      <c r="I711" t="s">
        <v>10253</v>
      </c>
      <c r="K711" s="2424" t="s">
        <v>10288</v>
      </c>
      <c r="L711" s="2425" t="s">
        <v>10241</v>
      </c>
      <c r="M711" s="2175" t="s">
        <v>492</v>
      </c>
      <c r="N711" s="2175"/>
      <c r="O711" s="2175" t="s">
        <v>9883</v>
      </c>
      <c r="P711" s="2175" t="s">
        <v>10244</v>
      </c>
      <c r="Q711" s="2232"/>
    </row>
    <row r="712" spans="2:17">
      <c r="B712" s="2421" t="s">
        <v>10661</v>
      </c>
      <c r="C712" s="1038" t="s">
        <v>493</v>
      </c>
      <c r="D712" s="529">
        <f>Page5_PARCS_GOUV!G41</f>
        <v>0</v>
      </c>
      <c r="E712" s="529">
        <f>Page5_PARCS_GOUV!L41</f>
        <v>0</v>
      </c>
      <c r="F712" t="str">
        <f t="shared" si="62"/>
        <v>01-00-401M-SALES-CURR</v>
      </c>
      <c r="G712" t="s">
        <v>127</v>
      </c>
      <c r="H712" t="s">
        <v>10287</v>
      </c>
      <c r="I712" t="s">
        <v>10253</v>
      </c>
      <c r="K712" s="2424" t="s">
        <v>10288</v>
      </c>
      <c r="L712" s="2425" t="s">
        <v>10241</v>
      </c>
      <c r="M712" s="2175" t="s">
        <v>493</v>
      </c>
      <c r="N712" s="2175"/>
      <c r="O712" s="2175" t="s">
        <v>9883</v>
      </c>
      <c r="P712" s="2175" t="s">
        <v>10244</v>
      </c>
      <c r="Q712" s="2232"/>
    </row>
    <row r="713" spans="2:17">
      <c r="B713" s="2421" t="s">
        <v>10662</v>
      </c>
      <c r="C713" s="1038" t="s">
        <v>494</v>
      </c>
      <c r="D713" s="529">
        <f>Page5_PARCS_GOUV!G42</f>
        <v>0</v>
      </c>
      <c r="E713" s="529">
        <f>Page5_PARCS_GOUV!L42</f>
        <v>0</v>
      </c>
      <c r="F713" t="str">
        <f t="shared" si="62"/>
        <v>01-00-402M-SALES-CURR</v>
      </c>
      <c r="G713" t="s">
        <v>127</v>
      </c>
      <c r="H713" t="s">
        <v>10287</v>
      </c>
      <c r="I713" t="s">
        <v>10253</v>
      </c>
      <c r="K713" s="2424" t="s">
        <v>10288</v>
      </c>
      <c r="L713" s="2425" t="s">
        <v>10241</v>
      </c>
      <c r="M713" s="2175" t="s">
        <v>494</v>
      </c>
      <c r="N713" s="2175"/>
      <c r="O713" s="2175" t="s">
        <v>9883</v>
      </c>
      <c r="P713" s="2175" t="s">
        <v>10244</v>
      </c>
      <c r="Q713" s="2232"/>
    </row>
    <row r="714" spans="2:17">
      <c r="B714" s="2421" t="s">
        <v>10663</v>
      </c>
      <c r="C714" s="1038" t="s">
        <v>495</v>
      </c>
      <c r="D714" s="529">
        <f>Page5_PARCS_GOUV!G43</f>
        <v>0</v>
      </c>
      <c r="E714" s="529">
        <f>Page5_PARCS_GOUV!L43</f>
        <v>0</v>
      </c>
      <c r="F714" t="str">
        <f t="shared" si="62"/>
        <v>01-00-403M-SALES-CURR</v>
      </c>
      <c r="G714" t="s">
        <v>127</v>
      </c>
      <c r="H714" t="s">
        <v>10287</v>
      </c>
      <c r="I714" t="s">
        <v>10253</v>
      </c>
      <c r="K714" s="2424" t="s">
        <v>10288</v>
      </c>
      <c r="L714" s="2425" t="s">
        <v>10241</v>
      </c>
      <c r="M714" s="2175" t="s">
        <v>495</v>
      </c>
      <c r="N714" s="2175"/>
      <c r="O714" s="2175" t="s">
        <v>9883</v>
      </c>
      <c r="P714" s="2175" t="s">
        <v>10244</v>
      </c>
      <c r="Q714" s="2232"/>
    </row>
    <row r="715" spans="2:17">
      <c r="B715" s="2421" t="s">
        <v>10664</v>
      </c>
      <c r="C715" s="1038" t="s">
        <v>496</v>
      </c>
      <c r="D715" s="529">
        <f>Page5_PARCS_GOUV!G44</f>
        <v>0</v>
      </c>
      <c r="E715" s="529">
        <f>Page5_PARCS_GOUV!L44</f>
        <v>0</v>
      </c>
      <c r="F715" t="str">
        <f t="shared" si="62"/>
        <v>01-00-404M-SALES-CURR</v>
      </c>
      <c r="G715" t="s">
        <v>127</v>
      </c>
      <c r="H715" t="s">
        <v>10287</v>
      </c>
      <c r="I715" t="s">
        <v>10253</v>
      </c>
      <c r="K715" s="2424" t="s">
        <v>10288</v>
      </c>
      <c r="L715" s="2425" t="s">
        <v>10241</v>
      </c>
      <c r="M715" s="2175" t="s">
        <v>496</v>
      </c>
      <c r="N715" s="2175"/>
      <c r="O715" s="2175" t="s">
        <v>9883</v>
      </c>
      <c r="P715" s="2175" t="s">
        <v>10244</v>
      </c>
      <c r="Q715" s="2232"/>
    </row>
    <row r="716" spans="2:17">
      <c r="B716" s="2421" t="s">
        <v>10665</v>
      </c>
      <c r="C716" s="1038" t="s">
        <v>497</v>
      </c>
      <c r="D716" s="529">
        <f>Page5_PARCS_GOUV!G45</f>
        <v>0</v>
      </c>
      <c r="E716" s="529">
        <f>Page5_PARCS_GOUV!L45</f>
        <v>0</v>
      </c>
      <c r="F716" t="str">
        <f t="shared" si="62"/>
        <v>01-00-405M-SALES-CURR</v>
      </c>
      <c r="G716" t="s">
        <v>127</v>
      </c>
      <c r="H716" t="s">
        <v>10287</v>
      </c>
      <c r="I716" t="s">
        <v>10253</v>
      </c>
      <c r="K716" s="2424" t="s">
        <v>10288</v>
      </c>
      <c r="L716" s="2425" t="s">
        <v>10241</v>
      </c>
      <c r="M716" s="2175" t="s">
        <v>497</v>
      </c>
      <c r="N716" s="2175"/>
      <c r="O716" s="2175" t="s">
        <v>9883</v>
      </c>
      <c r="P716" s="2175" t="s">
        <v>10244</v>
      </c>
      <c r="Q716" s="2232"/>
    </row>
    <row r="717" spans="2:17">
      <c r="B717" s="2421" t="s">
        <v>10666</v>
      </c>
      <c r="C717" s="1038" t="s">
        <v>498</v>
      </c>
      <c r="D717" s="529">
        <f>Page5_PARCS_GOUV!G46</f>
        <v>0</v>
      </c>
      <c r="E717" s="529">
        <f>Page5_PARCS_GOUV!L46</f>
        <v>0</v>
      </c>
      <c r="F717" t="str">
        <f t="shared" si="62"/>
        <v>01-00-406M-SALES-CURR</v>
      </c>
      <c r="G717" t="s">
        <v>127</v>
      </c>
      <c r="H717" t="s">
        <v>10287</v>
      </c>
      <c r="I717" t="s">
        <v>10253</v>
      </c>
      <c r="K717" s="2424" t="s">
        <v>10288</v>
      </c>
      <c r="L717" s="2425" t="s">
        <v>10241</v>
      </c>
      <c r="M717" s="2175" t="s">
        <v>498</v>
      </c>
      <c r="N717" s="2175"/>
      <c r="O717" s="2175" t="s">
        <v>9883</v>
      </c>
      <c r="P717" s="2175" t="s">
        <v>10244</v>
      </c>
      <c r="Q717" s="2232"/>
    </row>
    <row r="718" spans="2:17">
      <c r="B718" s="2421" t="s">
        <v>10667</v>
      </c>
      <c r="C718" s="1038" t="s">
        <v>499</v>
      </c>
      <c r="D718" s="529">
        <f>Page5_PARCS_GOUV!G47</f>
        <v>0</v>
      </c>
      <c r="E718" s="529">
        <f>Page5_PARCS_GOUV!L47</f>
        <v>0</v>
      </c>
      <c r="F718" t="str">
        <f t="shared" si="62"/>
        <v>01-00-407M-SALES-CURR</v>
      </c>
      <c r="G718" t="s">
        <v>127</v>
      </c>
      <c r="H718" t="s">
        <v>10287</v>
      </c>
      <c r="I718" t="s">
        <v>10253</v>
      </c>
      <c r="K718" s="2424" t="s">
        <v>10288</v>
      </c>
      <c r="L718" s="2425" t="s">
        <v>10241</v>
      </c>
      <c r="M718" s="2175" t="s">
        <v>499</v>
      </c>
      <c r="N718" s="2175"/>
      <c r="O718" s="2175" t="s">
        <v>9883</v>
      </c>
      <c r="P718" s="2175" t="s">
        <v>10244</v>
      </c>
      <c r="Q718" s="2232"/>
    </row>
    <row r="719" spans="2:17">
      <c r="B719" s="2422" t="s">
        <v>10668</v>
      </c>
      <c r="C719" s="2419"/>
      <c r="D719" s="529">
        <f>Page5_PARCS_GOUV!G48</f>
        <v>0</v>
      </c>
      <c r="E719" s="529">
        <f>Page5_PARCS_GOUV!L48</f>
        <v>0</v>
      </c>
      <c r="F719" t="str">
        <f t="shared" si="62"/>
        <v>01-00-TOTCAR5M-SALES-CURR</v>
      </c>
      <c r="G719" t="s">
        <v>127</v>
      </c>
      <c r="H719" t="s">
        <v>10287</v>
      </c>
      <c r="I719" t="s">
        <v>10253</v>
      </c>
      <c r="J719" t="s">
        <v>10268</v>
      </c>
      <c r="K719" s="2424" t="s">
        <v>10288</v>
      </c>
      <c r="L719" s="2425" t="s">
        <v>10241</v>
      </c>
      <c r="M719" s="2175" t="s">
        <v>10669</v>
      </c>
      <c r="N719" s="2175"/>
      <c r="O719" s="2175" t="s">
        <v>9883</v>
      </c>
      <c r="P719" s="2175" t="s">
        <v>10244</v>
      </c>
      <c r="Q719" s="2232" t="s">
        <v>773</v>
      </c>
    </row>
    <row r="720" spans="2:17">
      <c r="B720" s="2421" t="s">
        <v>10670</v>
      </c>
      <c r="C720" s="1038" t="s">
        <v>501</v>
      </c>
      <c r="D720" s="529">
        <f>Page5_PARCS_GOUV!G49</f>
        <v>0</v>
      </c>
      <c r="E720" s="529">
        <f>Page5_PARCS_GOUV!L49</f>
        <v>0</v>
      </c>
      <c r="F720" t="str">
        <f t="shared" si="62"/>
        <v>01-00-412M-SALES-CURR</v>
      </c>
      <c r="G720" t="s">
        <v>127</v>
      </c>
      <c r="H720" t="s">
        <v>10287</v>
      </c>
      <c r="I720" t="s">
        <v>10253</v>
      </c>
      <c r="K720" s="2424" t="s">
        <v>10288</v>
      </c>
      <c r="L720" s="2425" t="s">
        <v>10241</v>
      </c>
      <c r="M720" s="2175" t="s">
        <v>501</v>
      </c>
      <c r="N720" s="2175"/>
      <c r="O720" s="2175" t="s">
        <v>9883</v>
      </c>
      <c r="P720" s="2175" t="s">
        <v>10244</v>
      </c>
      <c r="Q720" s="2232"/>
    </row>
    <row r="721" spans="2:17">
      <c r="B721" s="2421" t="s">
        <v>10671</v>
      </c>
      <c r="C721" s="1038" t="s">
        <v>502</v>
      </c>
      <c r="D721" s="529">
        <f>Page5_PARCS_GOUV!G50</f>
        <v>0</v>
      </c>
      <c r="E721" s="529">
        <f>Page5_PARCS_GOUV!L50</f>
        <v>0</v>
      </c>
      <c r="F721" t="str">
        <f t="shared" si="62"/>
        <v>01-00-413M-SALES-CURR</v>
      </c>
      <c r="G721" t="s">
        <v>127</v>
      </c>
      <c r="H721" t="s">
        <v>10287</v>
      </c>
      <c r="I721" t="s">
        <v>10253</v>
      </c>
      <c r="K721" s="2424" t="s">
        <v>10288</v>
      </c>
      <c r="L721" s="2425" t="s">
        <v>10241</v>
      </c>
      <c r="M721" s="2175" t="s">
        <v>502</v>
      </c>
      <c r="N721" s="2175"/>
      <c r="O721" s="2175" t="s">
        <v>9883</v>
      </c>
      <c r="P721" s="2175" t="s">
        <v>10244</v>
      </c>
      <c r="Q721" s="2232"/>
    </row>
    <row r="722" spans="2:17">
      <c r="B722" s="2421" t="s">
        <v>10672</v>
      </c>
      <c r="C722" s="1038" t="s">
        <v>503</v>
      </c>
      <c r="D722" s="529">
        <f>Page5_PARCS_GOUV!G51</f>
        <v>0</v>
      </c>
      <c r="E722" s="529">
        <f>Page5_PARCS_GOUV!L51</f>
        <v>0</v>
      </c>
      <c r="F722" t="str">
        <f t="shared" si="62"/>
        <v>01-00-414M-SALES-CURR</v>
      </c>
      <c r="G722" t="s">
        <v>127</v>
      </c>
      <c r="H722" t="s">
        <v>10287</v>
      </c>
      <c r="I722" t="s">
        <v>10253</v>
      </c>
      <c r="K722" s="2424" t="s">
        <v>10288</v>
      </c>
      <c r="L722" s="2425" t="s">
        <v>10241</v>
      </c>
      <c r="M722" s="2175" t="s">
        <v>503</v>
      </c>
      <c r="N722" s="2175"/>
      <c r="O722" s="2175" t="s">
        <v>9883</v>
      </c>
      <c r="P722" s="2175" t="s">
        <v>10244</v>
      </c>
      <c r="Q722" s="2232"/>
    </row>
    <row r="723" spans="2:17">
      <c r="B723" s="2421" t="s">
        <v>10673</v>
      </c>
      <c r="C723" s="1038" t="s">
        <v>504</v>
      </c>
      <c r="D723" s="529">
        <f>Page5_PARCS_GOUV!G52</f>
        <v>0</v>
      </c>
      <c r="E723" s="529">
        <f>Page5_PARCS_GOUV!L52</f>
        <v>0</v>
      </c>
      <c r="F723" t="str">
        <f t="shared" si="62"/>
        <v>01-00-415M-SALES-CURR</v>
      </c>
      <c r="G723" t="s">
        <v>127</v>
      </c>
      <c r="H723" t="s">
        <v>10287</v>
      </c>
      <c r="I723" t="s">
        <v>10253</v>
      </c>
      <c r="K723" s="2424" t="s">
        <v>10288</v>
      </c>
      <c r="L723" s="2425" t="s">
        <v>10241</v>
      </c>
      <c r="M723" s="2175" t="s">
        <v>504</v>
      </c>
      <c r="N723" s="2175"/>
      <c r="O723" s="2175" t="s">
        <v>9883</v>
      </c>
      <c r="P723" s="2175" t="s">
        <v>10244</v>
      </c>
      <c r="Q723" s="2232"/>
    </row>
    <row r="724" spans="2:17">
      <c r="B724" s="2421" t="s">
        <v>10674</v>
      </c>
      <c r="C724" s="1038" t="s">
        <v>505</v>
      </c>
      <c r="D724" s="529">
        <f>Page5_PARCS_GOUV!G53</f>
        <v>0</v>
      </c>
      <c r="E724" s="529">
        <f>Page5_PARCS_GOUV!L53</f>
        <v>0</v>
      </c>
      <c r="F724" t="str">
        <f t="shared" si="62"/>
        <v>01-00-416M-SALES-CURR</v>
      </c>
      <c r="G724" t="s">
        <v>127</v>
      </c>
      <c r="H724" t="s">
        <v>10287</v>
      </c>
      <c r="I724" t="s">
        <v>10253</v>
      </c>
      <c r="K724" s="2424" t="s">
        <v>10288</v>
      </c>
      <c r="L724" s="2425" t="s">
        <v>10241</v>
      </c>
      <c r="M724" s="2175" t="s">
        <v>505</v>
      </c>
      <c r="N724" s="2175"/>
      <c r="O724" s="2175" t="s">
        <v>9883</v>
      </c>
      <c r="P724" s="2175" t="s">
        <v>10244</v>
      </c>
      <c r="Q724" s="2232"/>
    </row>
    <row r="725" spans="2:17">
      <c r="B725" s="2421" t="s">
        <v>10675</v>
      </c>
      <c r="C725" s="1038" t="s">
        <v>506</v>
      </c>
      <c r="D725" s="529">
        <f>Page5_PARCS_GOUV!G54</f>
        <v>0</v>
      </c>
      <c r="E725" s="529">
        <f>Page5_PARCS_GOUV!L54</f>
        <v>0</v>
      </c>
      <c r="F725" t="str">
        <f t="shared" si="62"/>
        <v>01-00-417M-SALES-CURR</v>
      </c>
      <c r="G725" t="s">
        <v>127</v>
      </c>
      <c r="H725" t="s">
        <v>10287</v>
      </c>
      <c r="I725" t="s">
        <v>10253</v>
      </c>
      <c r="K725" s="2424" t="s">
        <v>10288</v>
      </c>
      <c r="L725" s="2425" t="s">
        <v>10241</v>
      </c>
      <c r="M725" s="2175" t="s">
        <v>506</v>
      </c>
      <c r="N725" s="2175"/>
      <c r="O725" s="2175" t="s">
        <v>9883</v>
      </c>
      <c r="P725" s="2175" t="s">
        <v>10244</v>
      </c>
      <c r="Q725" s="2232"/>
    </row>
    <row r="726" spans="2:17">
      <c r="B726" s="2421" t="s">
        <v>10676</v>
      </c>
      <c r="C726" s="1038" t="s">
        <v>507</v>
      </c>
      <c r="D726" s="529">
        <f>Page5_PARCS_GOUV!G55</f>
        <v>0</v>
      </c>
      <c r="E726" s="529">
        <f>Page5_PARCS_GOUV!L55</f>
        <v>0</v>
      </c>
      <c r="F726" t="str">
        <f t="shared" si="62"/>
        <v>01-00-418M-SALES-CURR</v>
      </c>
      <c r="G726" t="s">
        <v>127</v>
      </c>
      <c r="H726" t="s">
        <v>10287</v>
      </c>
      <c r="I726" t="s">
        <v>10253</v>
      </c>
      <c r="K726" s="2424" t="s">
        <v>10288</v>
      </c>
      <c r="L726" s="2425" t="s">
        <v>10241</v>
      </c>
      <c r="M726" s="2175" t="s">
        <v>507</v>
      </c>
      <c r="N726" s="2175"/>
      <c r="O726" s="2175" t="s">
        <v>9883</v>
      </c>
      <c r="P726" s="2175" t="s">
        <v>10244</v>
      </c>
      <c r="Q726" s="2232"/>
    </row>
    <row r="727" spans="2:17">
      <c r="B727" s="2421" t="s">
        <v>10677</v>
      </c>
      <c r="C727" s="1038" t="s">
        <v>508</v>
      </c>
      <c r="D727" s="529">
        <f>Page5_PARCS_GOUV!G56</f>
        <v>0</v>
      </c>
      <c r="E727" s="529">
        <f>Page5_PARCS_GOUV!L56</f>
        <v>0</v>
      </c>
      <c r="F727" t="str">
        <f t="shared" si="62"/>
        <v>01-00-419M-SALES-CURR</v>
      </c>
      <c r="G727" t="s">
        <v>127</v>
      </c>
      <c r="H727" t="s">
        <v>10287</v>
      </c>
      <c r="I727" t="s">
        <v>10253</v>
      </c>
      <c r="K727" s="2424" t="s">
        <v>10288</v>
      </c>
      <c r="L727" s="2425" t="s">
        <v>10241</v>
      </c>
      <c r="M727" s="2175" t="s">
        <v>508</v>
      </c>
      <c r="N727" s="2175"/>
      <c r="O727" s="2175" t="s">
        <v>9883</v>
      </c>
      <c r="P727" s="2175" t="s">
        <v>10244</v>
      </c>
      <c r="Q727" s="2232"/>
    </row>
    <row r="728" spans="2:17">
      <c r="B728" s="2421" t="s">
        <v>10678</v>
      </c>
      <c r="C728" s="1038" t="s">
        <v>509</v>
      </c>
      <c r="D728" s="529">
        <f>Page5_PARCS_GOUV!G57</f>
        <v>0</v>
      </c>
      <c r="E728" s="529">
        <f>Page5_PARCS_GOUV!L57</f>
        <v>0</v>
      </c>
      <c r="F728" t="str">
        <f t="shared" si="62"/>
        <v>01-00-420M-SALES-CURR</v>
      </c>
      <c r="G728" t="s">
        <v>127</v>
      </c>
      <c r="H728" t="s">
        <v>10287</v>
      </c>
      <c r="I728" t="s">
        <v>10253</v>
      </c>
      <c r="K728" s="2424" t="s">
        <v>10288</v>
      </c>
      <c r="L728" s="2425" t="s">
        <v>10241</v>
      </c>
      <c r="M728" s="2175" t="s">
        <v>509</v>
      </c>
      <c r="N728" s="2175"/>
      <c r="O728" s="2175" t="s">
        <v>9883</v>
      </c>
      <c r="P728" s="2175" t="s">
        <v>10244</v>
      </c>
      <c r="Q728" s="2232"/>
    </row>
    <row r="729" spans="2:17">
      <c r="B729" s="2421" t="s">
        <v>10679</v>
      </c>
      <c r="C729" s="1038" t="s">
        <v>510</v>
      </c>
      <c r="D729" s="529">
        <f>Page5_PARCS_GOUV!G58</f>
        <v>0</v>
      </c>
      <c r="E729" s="529">
        <f>Page5_PARCS_GOUV!L58</f>
        <v>0</v>
      </c>
      <c r="F729" t="str">
        <f t="shared" si="62"/>
        <v>01-00-421M-SALES-CURR</v>
      </c>
      <c r="G729" t="s">
        <v>127</v>
      </c>
      <c r="H729" t="s">
        <v>10287</v>
      </c>
      <c r="I729" t="s">
        <v>10253</v>
      </c>
      <c r="K729" s="2424" t="s">
        <v>10288</v>
      </c>
      <c r="L729" s="2425" t="s">
        <v>10241</v>
      </c>
      <c r="M729" s="2175" t="s">
        <v>510</v>
      </c>
      <c r="N729" s="2175"/>
      <c r="O729" s="2175" t="s">
        <v>9883</v>
      </c>
      <c r="P729" s="2175" t="s">
        <v>10244</v>
      </c>
      <c r="Q729" s="2232"/>
    </row>
    <row r="730" spans="2:17">
      <c r="B730" s="2421" t="s">
        <v>10680</v>
      </c>
      <c r="C730" s="1038" t="s">
        <v>511</v>
      </c>
      <c r="D730" s="529">
        <f>Page5_PARCS_GOUV!G59</f>
        <v>0</v>
      </c>
      <c r="E730" s="529">
        <f>Page5_PARCS_GOUV!L59</f>
        <v>0</v>
      </c>
      <c r="F730" t="str">
        <f t="shared" si="62"/>
        <v>01-00-422M-SALES-CURR</v>
      </c>
      <c r="G730" t="s">
        <v>127</v>
      </c>
      <c r="H730" t="s">
        <v>10287</v>
      </c>
      <c r="I730" t="s">
        <v>10253</v>
      </c>
      <c r="K730" s="2424" t="s">
        <v>10288</v>
      </c>
      <c r="L730" s="2425" t="s">
        <v>10241</v>
      </c>
      <c r="M730" s="2175" t="s">
        <v>511</v>
      </c>
      <c r="N730" s="2175"/>
      <c r="O730" s="2175" t="s">
        <v>9883</v>
      </c>
      <c r="P730" s="2175" t="s">
        <v>10244</v>
      </c>
      <c r="Q730" s="2232"/>
    </row>
    <row r="731" spans="2:17">
      <c r="B731" s="2421" t="s">
        <v>10681</v>
      </c>
      <c r="C731" s="1038" t="s">
        <v>512</v>
      </c>
      <c r="D731" s="529">
        <f>Page5_PARCS_GOUV!G60</f>
        <v>0</v>
      </c>
      <c r="E731" s="529">
        <f>Page5_PARCS_GOUV!L60</f>
        <v>0</v>
      </c>
      <c r="F731" t="str">
        <f t="shared" si="62"/>
        <v>01-00-423M-SALES-CURR</v>
      </c>
      <c r="G731" t="s">
        <v>127</v>
      </c>
      <c r="H731" t="s">
        <v>10287</v>
      </c>
      <c r="I731" t="s">
        <v>10253</v>
      </c>
      <c r="K731" s="2424" t="s">
        <v>10288</v>
      </c>
      <c r="L731" s="2425" t="s">
        <v>10241</v>
      </c>
      <c r="M731" s="2175" t="s">
        <v>512</v>
      </c>
      <c r="N731" s="2175"/>
      <c r="O731" s="2175" t="s">
        <v>9883</v>
      </c>
      <c r="P731" s="2175" t="s">
        <v>10244</v>
      </c>
      <c r="Q731" s="2232"/>
    </row>
    <row r="732" spans="2:17">
      <c r="B732" s="2421" t="s">
        <v>10682</v>
      </c>
      <c r="C732" s="1038" t="s">
        <v>513</v>
      </c>
      <c r="D732" s="529">
        <f>Page5_PARCS_GOUV!G61</f>
        <v>0</v>
      </c>
      <c r="E732" s="529">
        <f>Page5_PARCS_GOUV!L61</f>
        <v>0</v>
      </c>
      <c r="F732" t="str">
        <f t="shared" si="62"/>
        <v>01-00-424M-SALES-CURR</v>
      </c>
      <c r="G732" t="s">
        <v>127</v>
      </c>
      <c r="H732" t="s">
        <v>10287</v>
      </c>
      <c r="I732" t="s">
        <v>10253</v>
      </c>
      <c r="K732" s="2424" t="s">
        <v>10288</v>
      </c>
      <c r="L732" s="2425" t="s">
        <v>10241</v>
      </c>
      <c r="M732" s="2175" t="s">
        <v>513</v>
      </c>
      <c r="N732" s="2175"/>
      <c r="O732" s="2175" t="s">
        <v>9883</v>
      </c>
      <c r="P732" s="2175" t="s">
        <v>10244</v>
      </c>
      <c r="Q732" s="2232"/>
    </row>
    <row r="733" spans="2:17">
      <c r="B733" s="2421" t="s">
        <v>10683</v>
      </c>
      <c r="C733" s="1038" t="s">
        <v>514</v>
      </c>
      <c r="D733" s="529">
        <f>Page5_PARCS_GOUV!G62</f>
        <v>0</v>
      </c>
      <c r="E733" s="529">
        <f>Page5_PARCS_GOUV!L62</f>
        <v>0</v>
      </c>
      <c r="F733" t="str">
        <f t="shared" si="62"/>
        <v>01-00-425M-SALES-CURR</v>
      </c>
      <c r="G733" t="s">
        <v>127</v>
      </c>
      <c r="H733" t="s">
        <v>10287</v>
      </c>
      <c r="I733" t="s">
        <v>10253</v>
      </c>
      <c r="K733" s="2424" t="s">
        <v>10288</v>
      </c>
      <c r="L733" s="2425" t="s">
        <v>10241</v>
      </c>
      <c r="M733" s="2175" t="s">
        <v>514</v>
      </c>
      <c r="N733" s="2175"/>
      <c r="O733" s="2175" t="s">
        <v>9883</v>
      </c>
      <c r="P733" s="2175" t="s">
        <v>10244</v>
      </c>
      <c r="Q733" s="2232"/>
    </row>
    <row r="734" spans="2:17">
      <c r="B734" s="2421" t="s">
        <v>10684</v>
      </c>
      <c r="C734" s="1038" t="s">
        <v>515</v>
      </c>
      <c r="D734" s="529">
        <f>Page5_PARCS_GOUV!G63</f>
        <v>0</v>
      </c>
      <c r="E734" s="529">
        <f>Page5_PARCS_GOUV!L63</f>
        <v>0</v>
      </c>
      <c r="F734" t="str">
        <f t="shared" si="62"/>
        <v>01-00-426M-SALES-CURR</v>
      </c>
      <c r="G734" t="s">
        <v>127</v>
      </c>
      <c r="H734" t="s">
        <v>10287</v>
      </c>
      <c r="I734" t="s">
        <v>10253</v>
      </c>
      <c r="K734" s="2424" t="s">
        <v>10288</v>
      </c>
      <c r="L734" s="2425" t="s">
        <v>10241</v>
      </c>
      <c r="M734" s="2175" t="s">
        <v>515</v>
      </c>
      <c r="N734" s="2175"/>
      <c r="O734" s="2175" t="s">
        <v>9883</v>
      </c>
      <c r="P734" s="2175" t="s">
        <v>10244</v>
      </c>
      <c r="Q734" s="2232"/>
    </row>
    <row r="735" spans="2:17">
      <c r="B735" s="2421" t="s">
        <v>10685</v>
      </c>
      <c r="C735" s="1038" t="s">
        <v>516</v>
      </c>
      <c r="D735" s="529">
        <f>Page5_PARCS_GOUV!G64</f>
        <v>0</v>
      </c>
      <c r="E735" s="529">
        <f>Page5_PARCS_GOUV!L64</f>
        <v>0</v>
      </c>
      <c r="F735" t="str">
        <f t="shared" si="62"/>
        <v>01-00-427M-SALES-CURR</v>
      </c>
      <c r="G735" t="s">
        <v>127</v>
      </c>
      <c r="H735" t="s">
        <v>10287</v>
      </c>
      <c r="I735" t="s">
        <v>10253</v>
      </c>
      <c r="K735" s="2424" t="s">
        <v>10288</v>
      </c>
      <c r="L735" s="2425" t="s">
        <v>10241</v>
      </c>
      <c r="M735" s="2175" t="s">
        <v>516</v>
      </c>
      <c r="N735" s="2175"/>
      <c r="O735" s="2175" t="s">
        <v>9883</v>
      </c>
      <c r="P735" s="2175" t="s">
        <v>10244</v>
      </c>
      <c r="Q735" s="2232"/>
    </row>
    <row r="736" spans="2:17">
      <c r="B736" s="2421" t="s">
        <v>10686</v>
      </c>
      <c r="C736" s="1038" t="s">
        <v>517</v>
      </c>
      <c r="D736" s="529">
        <f>Page5_PARCS_GOUV!G65</f>
        <v>0</v>
      </c>
      <c r="E736" s="529">
        <f>Page5_PARCS_GOUV!L65</f>
        <v>0</v>
      </c>
      <c r="F736" t="str">
        <f t="shared" si="62"/>
        <v>01-00-428M-SALES-CURR</v>
      </c>
      <c r="G736" t="s">
        <v>127</v>
      </c>
      <c r="H736" t="s">
        <v>10287</v>
      </c>
      <c r="I736" t="s">
        <v>10253</v>
      </c>
      <c r="K736" s="2424" t="s">
        <v>10288</v>
      </c>
      <c r="L736" s="2425" t="s">
        <v>10241</v>
      </c>
      <c r="M736" s="2175" t="s">
        <v>517</v>
      </c>
      <c r="N736" s="2175"/>
      <c r="O736" s="2175" t="s">
        <v>9883</v>
      </c>
      <c r="P736" s="2175" t="s">
        <v>10244</v>
      </c>
      <c r="Q736" s="2232"/>
    </row>
    <row r="737" spans="2:17">
      <c r="B737" s="2421" t="s">
        <v>10687</v>
      </c>
      <c r="C737" s="1038" t="s">
        <v>518</v>
      </c>
      <c r="D737" s="529">
        <f>Page5_PARCS_GOUV!G66</f>
        <v>0</v>
      </c>
      <c r="E737" s="529">
        <f>Page5_PARCS_GOUV!L66</f>
        <v>0</v>
      </c>
      <c r="F737" t="str">
        <f t="shared" si="62"/>
        <v>01-00-429M-SALES-CURR</v>
      </c>
      <c r="G737" t="s">
        <v>127</v>
      </c>
      <c r="H737" t="s">
        <v>10287</v>
      </c>
      <c r="I737" t="s">
        <v>10253</v>
      </c>
      <c r="K737" s="2424" t="s">
        <v>10288</v>
      </c>
      <c r="L737" s="2425" t="s">
        <v>10241</v>
      </c>
      <c r="M737" s="2175" t="s">
        <v>518</v>
      </c>
      <c r="N737" s="2175"/>
      <c r="O737" s="2175" t="s">
        <v>9883</v>
      </c>
      <c r="P737" s="2175" t="s">
        <v>10244</v>
      </c>
      <c r="Q737" s="2232"/>
    </row>
    <row r="738" spans="2:17">
      <c r="B738" s="2421" t="s">
        <v>10688</v>
      </c>
      <c r="C738" s="1038" t="s">
        <v>519</v>
      </c>
      <c r="D738" s="529">
        <f>Page5_PARCS_GOUV!G67</f>
        <v>0</v>
      </c>
      <c r="E738" s="529">
        <f>Page5_PARCS_GOUV!L67</f>
        <v>0</v>
      </c>
      <c r="F738" t="str">
        <f t="shared" si="62"/>
        <v>01-00-430M-SALES-CURR</v>
      </c>
      <c r="G738" t="s">
        <v>127</v>
      </c>
      <c r="H738" t="s">
        <v>10287</v>
      </c>
      <c r="I738" t="s">
        <v>10253</v>
      </c>
      <c r="K738" s="2424" t="s">
        <v>10288</v>
      </c>
      <c r="L738" s="2425" t="s">
        <v>10241</v>
      </c>
      <c r="M738" s="2175" t="s">
        <v>519</v>
      </c>
      <c r="N738" s="2175"/>
      <c r="O738" s="2175" t="s">
        <v>9883</v>
      </c>
      <c r="P738" s="2175" t="s">
        <v>10244</v>
      </c>
      <c r="Q738" s="2232"/>
    </row>
    <row r="739" spans="2:17">
      <c r="B739" s="2421" t="s">
        <v>10689</v>
      </c>
      <c r="C739" s="1038" t="s">
        <v>520</v>
      </c>
      <c r="D739" s="529">
        <f>Page5_PARCS_GOUV!G68</f>
        <v>0</v>
      </c>
      <c r="E739" s="529">
        <f>Page5_PARCS_GOUV!L68</f>
        <v>0</v>
      </c>
      <c r="F739" t="str">
        <f t="shared" si="62"/>
        <v>01-00-431M-SALES-CURR</v>
      </c>
      <c r="G739" t="s">
        <v>127</v>
      </c>
      <c r="H739" t="s">
        <v>10287</v>
      </c>
      <c r="I739" t="s">
        <v>10253</v>
      </c>
      <c r="K739" s="2424" t="s">
        <v>10288</v>
      </c>
      <c r="L739" s="2425" t="s">
        <v>10241</v>
      </c>
      <c r="M739" s="2175" t="s">
        <v>520</v>
      </c>
      <c r="N739" s="2175"/>
      <c r="O739" s="2175" t="s">
        <v>9883</v>
      </c>
      <c r="P739" s="2175" t="s">
        <v>10244</v>
      </c>
      <c r="Q739" s="2232"/>
    </row>
    <row r="740" spans="2:17">
      <c r="B740" s="2421" t="s">
        <v>10690</v>
      </c>
      <c r="C740" s="1038" t="s">
        <v>521</v>
      </c>
      <c r="D740" s="529">
        <f>Page5_PARCS_GOUV!G69</f>
        <v>0</v>
      </c>
      <c r="E740" s="529">
        <f>Page5_PARCS_GOUV!L69</f>
        <v>0</v>
      </c>
      <c r="F740" t="str">
        <f t="shared" si="62"/>
        <v>01-00-432M-SALES-CURR</v>
      </c>
      <c r="G740" t="s">
        <v>127</v>
      </c>
      <c r="H740" t="s">
        <v>10287</v>
      </c>
      <c r="I740" t="s">
        <v>10253</v>
      </c>
      <c r="K740" s="2424" t="s">
        <v>10288</v>
      </c>
      <c r="L740" s="2425" t="s">
        <v>10241</v>
      </c>
      <c r="M740" s="2175" t="s">
        <v>521</v>
      </c>
      <c r="N740" s="2175"/>
      <c r="O740" s="2175" t="s">
        <v>9883</v>
      </c>
      <c r="P740" s="2175" t="s">
        <v>10244</v>
      </c>
      <c r="Q740" s="2232"/>
    </row>
    <row r="741" spans="2:17">
      <c r="B741" s="2421" t="s">
        <v>10691</v>
      </c>
      <c r="C741" s="1038" t="s">
        <v>522</v>
      </c>
      <c r="D741" s="529">
        <f>Page5_PARCS_GOUV!G70</f>
        <v>0</v>
      </c>
      <c r="E741" s="529">
        <f>Page5_PARCS_GOUV!L70</f>
        <v>0</v>
      </c>
      <c r="F741" t="str">
        <f t="shared" si="62"/>
        <v>01-00-433M-SALES-CURR</v>
      </c>
      <c r="G741" t="s">
        <v>127</v>
      </c>
      <c r="H741" t="s">
        <v>10287</v>
      </c>
      <c r="I741" t="s">
        <v>10253</v>
      </c>
      <c r="K741" s="2424" t="s">
        <v>10288</v>
      </c>
      <c r="L741" s="2425" t="s">
        <v>10241</v>
      </c>
      <c r="M741" s="2175" t="s">
        <v>522</v>
      </c>
      <c r="N741" s="2175"/>
      <c r="O741" s="2175" t="s">
        <v>9883</v>
      </c>
      <c r="P741" s="2175" t="s">
        <v>10244</v>
      </c>
      <c r="Q741" s="2232"/>
    </row>
    <row r="742" spans="2:17">
      <c r="B742" s="2421" t="s">
        <v>10692</v>
      </c>
      <c r="C742" s="1038" t="s">
        <v>523</v>
      </c>
      <c r="D742" s="529">
        <f>Page5_PARCS_GOUV!G71</f>
        <v>0</v>
      </c>
      <c r="E742" s="529">
        <f>Page5_PARCS_GOUV!L71</f>
        <v>0</v>
      </c>
      <c r="F742" t="str">
        <f t="shared" si="62"/>
        <v>01-00-434M-SALES-CURR</v>
      </c>
      <c r="G742" t="s">
        <v>127</v>
      </c>
      <c r="H742" t="s">
        <v>10287</v>
      </c>
      <c r="I742" t="s">
        <v>10253</v>
      </c>
      <c r="K742" s="2424" t="s">
        <v>10288</v>
      </c>
      <c r="L742" s="2425" t="s">
        <v>10241</v>
      </c>
      <c r="M742" s="2175" t="s">
        <v>523</v>
      </c>
      <c r="N742" s="2175"/>
      <c r="O742" s="2175" t="s">
        <v>9883</v>
      </c>
      <c r="P742" s="2175" t="s">
        <v>10244</v>
      </c>
      <c r="Q742" s="2232"/>
    </row>
    <row r="743" spans="2:17">
      <c r="B743" s="27" t="s">
        <v>10693</v>
      </c>
      <c r="C743" s="2419"/>
      <c r="D743" s="529">
        <f>Page5_PARCS_GOUV!G72</f>
        <v>0</v>
      </c>
      <c r="E743" s="529">
        <f>Page5_PARCS_GOUV!L72</f>
        <v>0</v>
      </c>
      <c r="F743" t="str">
        <f t="shared" si="62"/>
        <v>01-00-TOTTRK5M-SALES-CURR</v>
      </c>
      <c r="G743" t="s">
        <v>127</v>
      </c>
      <c r="H743" t="s">
        <v>10287</v>
      </c>
      <c r="I743" t="s">
        <v>10253</v>
      </c>
      <c r="J743" t="s">
        <v>10268</v>
      </c>
      <c r="K743" s="2424" t="s">
        <v>10288</v>
      </c>
      <c r="L743" s="2425" t="s">
        <v>10241</v>
      </c>
      <c r="M743" s="2175" t="s">
        <v>10694</v>
      </c>
      <c r="N743" s="2175"/>
      <c r="O743" s="2175" t="s">
        <v>9883</v>
      </c>
      <c r="P743" s="2175" t="s">
        <v>10244</v>
      </c>
      <c r="Q743" s="2232" t="s">
        <v>773</v>
      </c>
    </row>
    <row r="744" spans="2:17">
      <c r="B744" s="27" t="s">
        <v>10695</v>
      </c>
      <c r="C744" s="2419"/>
      <c r="D744" s="529">
        <f>Page5_PARCS_GOUV!G73</f>
        <v>0</v>
      </c>
      <c r="E744" s="529">
        <f>Page5_PARCS_GOUV!L73</f>
        <v>0</v>
      </c>
      <c r="F744" t="str">
        <f t="shared" si="62"/>
        <v>01-00-TOTVEH5M-SALES-CURR</v>
      </c>
      <c r="G744" t="s">
        <v>127</v>
      </c>
      <c r="H744" t="s">
        <v>10287</v>
      </c>
      <c r="I744" t="s">
        <v>10253</v>
      </c>
      <c r="J744" t="s">
        <v>10268</v>
      </c>
      <c r="K744" s="2424" t="s">
        <v>10288</v>
      </c>
      <c r="L744" s="2425" t="s">
        <v>10241</v>
      </c>
      <c r="M744" s="2175" t="s">
        <v>10696</v>
      </c>
      <c r="N744" s="2175"/>
      <c r="O744" s="2175" t="s">
        <v>9883</v>
      </c>
      <c r="P744" s="2175" t="s">
        <v>10244</v>
      </c>
      <c r="Q744" s="2232" t="s">
        <v>773</v>
      </c>
    </row>
    <row r="745" spans="2:17">
      <c r="B745" s="2421" t="s">
        <v>10697</v>
      </c>
      <c r="C745" s="1038" t="s">
        <v>492</v>
      </c>
      <c r="D745" s="529">
        <f>Page5_PARCS_GOUV!I40</f>
        <v>0</v>
      </c>
      <c r="E745" s="529">
        <f>Page5_PARCS_GOUV!N40</f>
        <v>0</v>
      </c>
      <c r="F745" t="str">
        <f t="shared" si="62"/>
        <v>01-00-400M-GRSPFT-CURR</v>
      </c>
      <c r="G745" t="s">
        <v>127</v>
      </c>
      <c r="H745" t="s">
        <v>10287</v>
      </c>
      <c r="I745" t="s">
        <v>10253</v>
      </c>
      <c r="K745" s="2424" t="s">
        <v>10288</v>
      </c>
      <c r="L745" s="2425" t="s">
        <v>10241</v>
      </c>
      <c r="M745" s="2175" t="s">
        <v>492</v>
      </c>
      <c r="N745" s="2175"/>
      <c r="O745" s="2175" t="s">
        <v>10467</v>
      </c>
      <c r="P745" s="2175" t="s">
        <v>10244</v>
      </c>
      <c r="Q745" s="2232"/>
    </row>
    <row r="746" spans="2:17">
      <c r="B746" s="2421" t="s">
        <v>10698</v>
      </c>
      <c r="C746" s="1038" t="s">
        <v>493</v>
      </c>
      <c r="D746" s="529">
        <f>Page5_PARCS_GOUV!I41</f>
        <v>0</v>
      </c>
      <c r="E746" s="529">
        <f>Page5_PARCS_GOUV!N41</f>
        <v>0</v>
      </c>
      <c r="F746" t="str">
        <f t="shared" si="62"/>
        <v>01-00-401M-GRSPFT-CURR</v>
      </c>
      <c r="G746" t="s">
        <v>127</v>
      </c>
      <c r="H746" t="s">
        <v>10287</v>
      </c>
      <c r="I746" t="s">
        <v>10253</v>
      </c>
      <c r="K746" s="2424" t="s">
        <v>10288</v>
      </c>
      <c r="L746" s="2425" t="s">
        <v>10241</v>
      </c>
      <c r="M746" s="2175" t="s">
        <v>493</v>
      </c>
      <c r="N746" s="2175"/>
      <c r="O746" s="2175" t="s">
        <v>10467</v>
      </c>
      <c r="P746" s="2175" t="s">
        <v>10244</v>
      </c>
      <c r="Q746" s="2232"/>
    </row>
    <row r="747" spans="2:17">
      <c r="B747" s="2421" t="s">
        <v>10699</v>
      </c>
      <c r="C747" s="1038" t="s">
        <v>494</v>
      </c>
      <c r="D747" s="529">
        <f>Page5_PARCS_GOUV!I42</f>
        <v>0</v>
      </c>
      <c r="E747" s="529">
        <f>Page5_PARCS_GOUV!N42</f>
        <v>0</v>
      </c>
      <c r="F747" t="str">
        <f t="shared" si="62"/>
        <v>01-00-402M-GRSPFT-CURR</v>
      </c>
      <c r="G747" t="s">
        <v>127</v>
      </c>
      <c r="H747" t="s">
        <v>10287</v>
      </c>
      <c r="I747" t="s">
        <v>10253</v>
      </c>
      <c r="K747" s="2424" t="s">
        <v>10288</v>
      </c>
      <c r="L747" s="2425" t="s">
        <v>10241</v>
      </c>
      <c r="M747" s="2175" t="s">
        <v>494</v>
      </c>
      <c r="N747" s="2175"/>
      <c r="O747" s="2175" t="s">
        <v>10467</v>
      </c>
      <c r="P747" s="2175" t="s">
        <v>10244</v>
      </c>
      <c r="Q747" s="2232"/>
    </row>
    <row r="748" spans="2:17">
      <c r="B748" s="2421" t="s">
        <v>10700</v>
      </c>
      <c r="C748" s="1038" t="s">
        <v>495</v>
      </c>
      <c r="D748" s="529">
        <f>Page5_PARCS_GOUV!I43</f>
        <v>0</v>
      </c>
      <c r="E748" s="529">
        <f>Page5_PARCS_GOUV!N43</f>
        <v>0</v>
      </c>
      <c r="F748" t="str">
        <f t="shared" si="62"/>
        <v>01-00-403M-GRSPFT-CURR</v>
      </c>
      <c r="G748" t="s">
        <v>127</v>
      </c>
      <c r="H748" t="s">
        <v>10287</v>
      </c>
      <c r="I748" t="s">
        <v>10253</v>
      </c>
      <c r="K748" s="2424" t="s">
        <v>10288</v>
      </c>
      <c r="L748" s="2425" t="s">
        <v>10241</v>
      </c>
      <c r="M748" s="2175" t="s">
        <v>495</v>
      </c>
      <c r="N748" s="2175"/>
      <c r="O748" s="2175" t="s">
        <v>10467</v>
      </c>
      <c r="P748" s="2175" t="s">
        <v>10244</v>
      </c>
      <c r="Q748" s="2232"/>
    </row>
    <row r="749" spans="2:17">
      <c r="B749" s="2421" t="s">
        <v>10701</v>
      </c>
      <c r="C749" s="1038" t="s">
        <v>496</v>
      </c>
      <c r="D749" s="529">
        <f>Page5_PARCS_GOUV!I44</f>
        <v>0</v>
      </c>
      <c r="E749" s="529">
        <f>Page5_PARCS_GOUV!N44</f>
        <v>0</v>
      </c>
      <c r="F749" t="str">
        <f t="shared" si="62"/>
        <v>01-00-404M-GRSPFT-CURR</v>
      </c>
      <c r="G749" t="s">
        <v>127</v>
      </c>
      <c r="H749" t="s">
        <v>10287</v>
      </c>
      <c r="I749" t="s">
        <v>10253</v>
      </c>
      <c r="K749" s="2424" t="s">
        <v>10288</v>
      </c>
      <c r="L749" s="2425" t="s">
        <v>10241</v>
      </c>
      <c r="M749" s="2175" t="s">
        <v>496</v>
      </c>
      <c r="N749" s="2175"/>
      <c r="O749" s="2175" t="s">
        <v>10467</v>
      </c>
      <c r="P749" s="2175" t="s">
        <v>10244</v>
      </c>
      <c r="Q749" s="2232"/>
    </row>
    <row r="750" spans="2:17">
      <c r="B750" s="2421" t="s">
        <v>10702</v>
      </c>
      <c r="C750" s="1038" t="s">
        <v>497</v>
      </c>
      <c r="D750" s="529">
        <f>Page5_PARCS_GOUV!I45</f>
        <v>0</v>
      </c>
      <c r="E750" s="529">
        <f>Page5_PARCS_GOUV!N45</f>
        <v>0</v>
      </c>
      <c r="F750" t="str">
        <f t="shared" si="62"/>
        <v>01-00-405M-GRSPFT-CURR</v>
      </c>
      <c r="G750" t="s">
        <v>127</v>
      </c>
      <c r="H750" t="s">
        <v>10287</v>
      </c>
      <c r="I750" t="s">
        <v>10253</v>
      </c>
      <c r="K750" s="2424" t="s">
        <v>10288</v>
      </c>
      <c r="L750" s="2425" t="s">
        <v>10241</v>
      </c>
      <c r="M750" s="2175" t="s">
        <v>497</v>
      </c>
      <c r="N750" s="2175"/>
      <c r="O750" s="2175" t="s">
        <v>10467</v>
      </c>
      <c r="P750" s="2175" t="s">
        <v>10244</v>
      </c>
      <c r="Q750" s="2232"/>
    </row>
    <row r="751" spans="2:17">
      <c r="B751" s="2421" t="s">
        <v>10703</v>
      </c>
      <c r="C751" s="1038" t="s">
        <v>498</v>
      </c>
      <c r="D751" s="529">
        <f>Page5_PARCS_GOUV!I46</f>
        <v>0</v>
      </c>
      <c r="E751" s="529">
        <f>Page5_PARCS_GOUV!N46</f>
        <v>0</v>
      </c>
      <c r="F751" t="str">
        <f t="shared" si="62"/>
        <v>01-00-406M-GRSPFT-CURR</v>
      </c>
      <c r="G751" t="s">
        <v>127</v>
      </c>
      <c r="H751" t="s">
        <v>10287</v>
      </c>
      <c r="I751" t="s">
        <v>10253</v>
      </c>
      <c r="K751" s="2424" t="s">
        <v>10288</v>
      </c>
      <c r="L751" s="2425" t="s">
        <v>10241</v>
      </c>
      <c r="M751" s="2175" t="s">
        <v>498</v>
      </c>
      <c r="N751" s="2175"/>
      <c r="O751" s="2175" t="s">
        <v>10467</v>
      </c>
      <c r="P751" s="2175" t="s">
        <v>10244</v>
      </c>
      <c r="Q751" s="2232"/>
    </row>
    <row r="752" spans="2:17">
      <c r="B752" s="2421" t="s">
        <v>10704</v>
      </c>
      <c r="C752" s="1038" t="s">
        <v>499</v>
      </c>
      <c r="D752" s="529">
        <f>Page5_PARCS_GOUV!I47</f>
        <v>0</v>
      </c>
      <c r="E752" s="529">
        <f>Page5_PARCS_GOUV!N47</f>
        <v>0</v>
      </c>
      <c r="F752" t="str">
        <f t="shared" si="62"/>
        <v>01-00-407M-GRSPFT-CURR</v>
      </c>
      <c r="G752" t="s">
        <v>127</v>
      </c>
      <c r="H752" t="s">
        <v>10287</v>
      </c>
      <c r="I752" t="s">
        <v>10253</v>
      </c>
      <c r="K752" s="2424" t="s">
        <v>10288</v>
      </c>
      <c r="L752" s="2425" t="s">
        <v>10241</v>
      </c>
      <c r="M752" s="2175" t="s">
        <v>499</v>
      </c>
      <c r="N752" s="2175"/>
      <c r="O752" s="2175" t="s">
        <v>10467</v>
      </c>
      <c r="P752" s="2175" t="s">
        <v>10244</v>
      </c>
      <c r="Q752" s="2232"/>
    </row>
    <row r="753" spans="2:17">
      <c r="B753" s="2422" t="s">
        <v>10705</v>
      </c>
      <c r="C753" s="2419"/>
      <c r="D753" s="529">
        <f>Page5_PARCS_GOUV!I48</f>
        <v>0</v>
      </c>
      <c r="E753" s="529">
        <f>Page5_PARCS_GOUV!N48</f>
        <v>0</v>
      </c>
      <c r="F753" t="str">
        <f t="shared" si="62"/>
        <v>01-00-TOTCAR5M-GRSPFT-CURR</v>
      </c>
      <c r="G753" t="s">
        <v>127</v>
      </c>
      <c r="H753" t="s">
        <v>10287</v>
      </c>
      <c r="I753" t="s">
        <v>10253</v>
      </c>
      <c r="J753" t="s">
        <v>10268</v>
      </c>
      <c r="K753" s="2424" t="s">
        <v>10288</v>
      </c>
      <c r="L753" s="2425" t="s">
        <v>10241</v>
      </c>
      <c r="M753" s="2175" t="s">
        <v>10669</v>
      </c>
      <c r="N753" s="2175"/>
      <c r="O753" s="2175" t="s">
        <v>10467</v>
      </c>
      <c r="P753" s="2175" t="s">
        <v>10244</v>
      </c>
      <c r="Q753" s="2232" t="s">
        <v>773</v>
      </c>
    </row>
    <row r="754" spans="2:17">
      <c r="B754" s="2421" t="s">
        <v>10706</v>
      </c>
      <c r="C754" s="1038" t="s">
        <v>501</v>
      </c>
      <c r="D754" s="529">
        <f>Page5_PARCS_GOUV!I49</f>
        <v>0</v>
      </c>
      <c r="E754" s="529">
        <f>Page5_PARCS_GOUV!N49</f>
        <v>0</v>
      </c>
      <c r="F754" t="str">
        <f t="shared" si="62"/>
        <v>01-00-412M-GRSPFT-CURR</v>
      </c>
      <c r="G754" t="s">
        <v>127</v>
      </c>
      <c r="H754" t="s">
        <v>10287</v>
      </c>
      <c r="I754" t="s">
        <v>10253</v>
      </c>
      <c r="K754" s="2424" t="s">
        <v>10288</v>
      </c>
      <c r="L754" s="2425" t="s">
        <v>10241</v>
      </c>
      <c r="M754" s="2175" t="s">
        <v>501</v>
      </c>
      <c r="N754" s="2175"/>
      <c r="O754" s="2175" t="s">
        <v>10467</v>
      </c>
      <c r="P754" s="2175" t="s">
        <v>10244</v>
      </c>
      <c r="Q754" s="2232"/>
    </row>
    <row r="755" spans="2:17">
      <c r="B755" s="2421" t="s">
        <v>10707</v>
      </c>
      <c r="C755" s="1038" t="s">
        <v>502</v>
      </c>
      <c r="D755" s="529">
        <f>Page5_PARCS_GOUV!I50</f>
        <v>0</v>
      </c>
      <c r="E755" s="529">
        <f>Page5_PARCS_GOUV!N50</f>
        <v>0</v>
      </c>
      <c r="F755" t="str">
        <f t="shared" si="62"/>
        <v>01-00-413M-GRSPFT-CURR</v>
      </c>
      <c r="G755" t="s">
        <v>127</v>
      </c>
      <c r="H755" t="s">
        <v>10287</v>
      </c>
      <c r="I755" t="s">
        <v>10253</v>
      </c>
      <c r="K755" s="2424" t="s">
        <v>10288</v>
      </c>
      <c r="L755" s="2425" t="s">
        <v>10241</v>
      </c>
      <c r="M755" s="2175" t="s">
        <v>502</v>
      </c>
      <c r="N755" s="2175"/>
      <c r="O755" s="2175" t="s">
        <v>10467</v>
      </c>
      <c r="P755" s="2175" t="s">
        <v>10244</v>
      </c>
      <c r="Q755" s="2232"/>
    </row>
    <row r="756" spans="2:17">
      <c r="B756" s="2421" t="s">
        <v>10708</v>
      </c>
      <c r="C756" s="1038" t="s">
        <v>503</v>
      </c>
      <c r="D756" s="529">
        <f>Page5_PARCS_GOUV!I51</f>
        <v>0</v>
      </c>
      <c r="E756" s="529">
        <f>Page5_PARCS_GOUV!N51</f>
        <v>0</v>
      </c>
      <c r="F756" t="str">
        <f t="shared" si="62"/>
        <v>01-00-414M-GRSPFT-CURR</v>
      </c>
      <c r="G756" t="s">
        <v>127</v>
      </c>
      <c r="H756" t="s">
        <v>10287</v>
      </c>
      <c r="I756" t="s">
        <v>10253</v>
      </c>
      <c r="K756" s="2424" t="s">
        <v>10288</v>
      </c>
      <c r="L756" s="2425" t="s">
        <v>10241</v>
      </c>
      <c r="M756" s="2175" t="s">
        <v>503</v>
      </c>
      <c r="N756" s="2175"/>
      <c r="O756" s="2175" t="s">
        <v>10467</v>
      </c>
      <c r="P756" s="2175" t="s">
        <v>10244</v>
      </c>
      <c r="Q756" s="2232"/>
    </row>
    <row r="757" spans="2:17">
      <c r="B757" s="2421" t="s">
        <v>10709</v>
      </c>
      <c r="C757" s="1038" t="s">
        <v>504</v>
      </c>
      <c r="D757" s="529">
        <f>Page5_PARCS_GOUV!I52</f>
        <v>0</v>
      </c>
      <c r="E757" s="529">
        <f>Page5_PARCS_GOUV!N52</f>
        <v>0</v>
      </c>
      <c r="F757" t="str">
        <f t="shared" si="62"/>
        <v>01-00-415M-GRSPFT-CURR</v>
      </c>
      <c r="G757" t="s">
        <v>127</v>
      </c>
      <c r="H757" t="s">
        <v>10287</v>
      </c>
      <c r="I757" t="s">
        <v>10253</v>
      </c>
      <c r="K757" s="2424" t="s">
        <v>10288</v>
      </c>
      <c r="L757" s="2425" t="s">
        <v>10241</v>
      </c>
      <c r="M757" s="2175" t="s">
        <v>504</v>
      </c>
      <c r="N757" s="2175"/>
      <c r="O757" s="2175" t="s">
        <v>10467</v>
      </c>
      <c r="P757" s="2175" t="s">
        <v>10244</v>
      </c>
      <c r="Q757" s="2232"/>
    </row>
    <row r="758" spans="2:17">
      <c r="B758" s="2421" t="s">
        <v>10710</v>
      </c>
      <c r="C758" s="1038" t="s">
        <v>505</v>
      </c>
      <c r="D758" s="529">
        <f>Page5_PARCS_GOUV!I53</f>
        <v>0</v>
      </c>
      <c r="E758" s="529">
        <f>Page5_PARCS_GOUV!N53</f>
        <v>0</v>
      </c>
      <c r="F758" t="str">
        <f t="shared" si="62"/>
        <v>01-00-416M-GRSPFT-CURR</v>
      </c>
      <c r="G758" t="s">
        <v>127</v>
      </c>
      <c r="H758" t="s">
        <v>10287</v>
      </c>
      <c r="I758" t="s">
        <v>10253</v>
      </c>
      <c r="K758" s="2424" t="s">
        <v>10288</v>
      </c>
      <c r="L758" s="2425" t="s">
        <v>10241</v>
      </c>
      <c r="M758" s="2175" t="s">
        <v>505</v>
      </c>
      <c r="N758" s="2175"/>
      <c r="O758" s="2175" t="s">
        <v>10467</v>
      </c>
      <c r="P758" s="2175" t="s">
        <v>10244</v>
      </c>
      <c r="Q758" s="2232"/>
    </row>
    <row r="759" spans="2:17">
      <c r="B759" s="2421" t="s">
        <v>10711</v>
      </c>
      <c r="C759" s="1038" t="s">
        <v>506</v>
      </c>
      <c r="D759" s="529">
        <f>Page5_PARCS_GOUV!I54</f>
        <v>0</v>
      </c>
      <c r="E759" s="529">
        <f>Page5_PARCS_GOUV!N54</f>
        <v>0</v>
      </c>
      <c r="F759" t="str">
        <f t="shared" si="62"/>
        <v>01-00-417M-GRSPFT-CURR</v>
      </c>
      <c r="G759" t="s">
        <v>127</v>
      </c>
      <c r="H759" t="s">
        <v>10287</v>
      </c>
      <c r="I759" t="s">
        <v>10253</v>
      </c>
      <c r="K759" s="2424" t="s">
        <v>10288</v>
      </c>
      <c r="L759" s="2425" t="s">
        <v>10241</v>
      </c>
      <c r="M759" s="2175" t="s">
        <v>506</v>
      </c>
      <c r="N759" s="2175"/>
      <c r="O759" s="2175" t="s">
        <v>10467</v>
      </c>
      <c r="P759" s="2175" t="s">
        <v>10244</v>
      </c>
      <c r="Q759" s="2232"/>
    </row>
    <row r="760" spans="2:17">
      <c r="B760" s="2421" t="s">
        <v>10712</v>
      </c>
      <c r="C760" s="1038" t="s">
        <v>507</v>
      </c>
      <c r="D760" s="529">
        <f>Page5_PARCS_GOUV!I55</f>
        <v>0</v>
      </c>
      <c r="E760" s="529">
        <f>Page5_PARCS_GOUV!N55</f>
        <v>0</v>
      </c>
      <c r="F760" t="str">
        <f t="shared" si="62"/>
        <v>01-00-418M-GRSPFT-CURR</v>
      </c>
      <c r="G760" t="s">
        <v>127</v>
      </c>
      <c r="H760" t="s">
        <v>10287</v>
      </c>
      <c r="I760" t="s">
        <v>10253</v>
      </c>
      <c r="K760" s="2424" t="s">
        <v>10288</v>
      </c>
      <c r="L760" s="2425" t="s">
        <v>10241</v>
      </c>
      <c r="M760" s="2175" t="s">
        <v>507</v>
      </c>
      <c r="N760" s="2175"/>
      <c r="O760" s="2175" t="s">
        <v>10467</v>
      </c>
      <c r="P760" s="2175" t="s">
        <v>10244</v>
      </c>
      <c r="Q760" s="2232"/>
    </row>
    <row r="761" spans="2:17">
      <c r="B761" s="2421" t="s">
        <v>10713</v>
      </c>
      <c r="C761" s="1038" t="s">
        <v>508</v>
      </c>
      <c r="D761" s="529">
        <f>Page5_PARCS_GOUV!I56</f>
        <v>0</v>
      </c>
      <c r="E761" s="529">
        <f>Page5_PARCS_GOUV!N56</f>
        <v>0</v>
      </c>
      <c r="F761" t="str">
        <f t="shared" si="62"/>
        <v>01-00-419M-GRSPFT-CURR</v>
      </c>
      <c r="G761" t="s">
        <v>127</v>
      </c>
      <c r="H761" t="s">
        <v>10287</v>
      </c>
      <c r="I761" t="s">
        <v>10253</v>
      </c>
      <c r="K761" s="2424" t="s">
        <v>10288</v>
      </c>
      <c r="L761" s="2425" t="s">
        <v>10241</v>
      </c>
      <c r="M761" s="2175" t="s">
        <v>508</v>
      </c>
      <c r="N761" s="2175"/>
      <c r="O761" s="2175" t="s">
        <v>10467</v>
      </c>
      <c r="P761" s="2175" t="s">
        <v>10244</v>
      </c>
      <c r="Q761" s="2232"/>
    </row>
    <row r="762" spans="2:17">
      <c r="B762" s="2421" t="s">
        <v>10714</v>
      </c>
      <c r="C762" s="1038" t="s">
        <v>509</v>
      </c>
      <c r="D762" s="529">
        <f>Page5_PARCS_GOUV!I57</f>
        <v>0</v>
      </c>
      <c r="E762" s="529">
        <f>Page5_PARCS_GOUV!N57</f>
        <v>0</v>
      </c>
      <c r="F762" t="str">
        <f t="shared" si="62"/>
        <v>01-00-420M-GRSPFT-CURR</v>
      </c>
      <c r="G762" t="s">
        <v>127</v>
      </c>
      <c r="H762" t="s">
        <v>10287</v>
      </c>
      <c r="I762" t="s">
        <v>10253</v>
      </c>
      <c r="K762" s="2424" t="s">
        <v>10288</v>
      </c>
      <c r="L762" s="2425" t="s">
        <v>10241</v>
      </c>
      <c r="M762" s="2175" t="s">
        <v>509</v>
      </c>
      <c r="N762" s="2175"/>
      <c r="O762" s="2175" t="s">
        <v>10467</v>
      </c>
      <c r="P762" s="2175" t="s">
        <v>10244</v>
      </c>
      <c r="Q762" s="2232"/>
    </row>
    <row r="763" spans="2:17">
      <c r="B763" s="2421" t="s">
        <v>10715</v>
      </c>
      <c r="C763" s="1038" t="s">
        <v>510</v>
      </c>
      <c r="D763" s="529">
        <f>Page5_PARCS_GOUV!I58</f>
        <v>0</v>
      </c>
      <c r="E763" s="529">
        <f>Page5_PARCS_GOUV!N58</f>
        <v>0</v>
      </c>
      <c r="F763" t="str">
        <f t="shared" si="62"/>
        <v>01-00-421M-GRSPFT-CURR</v>
      </c>
      <c r="G763" t="s">
        <v>127</v>
      </c>
      <c r="H763" t="s">
        <v>10287</v>
      </c>
      <c r="I763" t="s">
        <v>10253</v>
      </c>
      <c r="K763" s="2424" t="s">
        <v>10288</v>
      </c>
      <c r="L763" s="2425" t="s">
        <v>10241</v>
      </c>
      <c r="M763" s="2175" t="s">
        <v>510</v>
      </c>
      <c r="N763" s="2175"/>
      <c r="O763" s="2175" t="s">
        <v>10467</v>
      </c>
      <c r="P763" s="2175" t="s">
        <v>10244</v>
      </c>
      <c r="Q763" s="2232"/>
    </row>
    <row r="764" spans="2:17">
      <c r="B764" s="2421" t="s">
        <v>10716</v>
      </c>
      <c r="C764" s="1038" t="s">
        <v>511</v>
      </c>
      <c r="D764" s="529">
        <f>Page5_PARCS_GOUV!I59</f>
        <v>0</v>
      </c>
      <c r="E764" s="529">
        <f>Page5_PARCS_GOUV!N59</f>
        <v>0</v>
      </c>
      <c r="F764" t="str">
        <f t="shared" si="62"/>
        <v>01-00-422M-GRSPFT-CURR</v>
      </c>
      <c r="G764" t="s">
        <v>127</v>
      </c>
      <c r="H764" t="s">
        <v>10287</v>
      </c>
      <c r="I764" t="s">
        <v>10253</v>
      </c>
      <c r="K764" s="2424" t="s">
        <v>10288</v>
      </c>
      <c r="L764" s="2425" t="s">
        <v>10241</v>
      </c>
      <c r="M764" s="2175" t="s">
        <v>511</v>
      </c>
      <c r="N764" s="2175"/>
      <c r="O764" s="2175" t="s">
        <v>10467</v>
      </c>
      <c r="P764" s="2175" t="s">
        <v>10244</v>
      </c>
      <c r="Q764" s="2232"/>
    </row>
    <row r="765" spans="2:17">
      <c r="B765" s="2421" t="s">
        <v>10717</v>
      </c>
      <c r="C765" s="1038" t="s">
        <v>512</v>
      </c>
      <c r="D765" s="529">
        <f>Page5_PARCS_GOUV!I60</f>
        <v>0</v>
      </c>
      <c r="E765" s="529">
        <f>Page5_PARCS_GOUV!N60</f>
        <v>0</v>
      </c>
      <c r="F765" t="str">
        <f t="shared" si="62"/>
        <v>01-00-423M-GRSPFT-CURR</v>
      </c>
      <c r="G765" t="s">
        <v>127</v>
      </c>
      <c r="H765" t="s">
        <v>10287</v>
      </c>
      <c r="I765" t="s">
        <v>10253</v>
      </c>
      <c r="K765" s="2424" t="s">
        <v>10288</v>
      </c>
      <c r="L765" s="2425" t="s">
        <v>10241</v>
      </c>
      <c r="M765" s="2175" t="s">
        <v>512</v>
      </c>
      <c r="N765" s="2175"/>
      <c r="O765" s="2175" t="s">
        <v>10467</v>
      </c>
      <c r="P765" s="2175" t="s">
        <v>10244</v>
      </c>
      <c r="Q765" s="2232"/>
    </row>
    <row r="766" spans="2:17">
      <c r="B766" s="2421" t="s">
        <v>10718</v>
      </c>
      <c r="C766" s="1038" t="s">
        <v>513</v>
      </c>
      <c r="D766" s="529">
        <f>Page5_PARCS_GOUV!I61</f>
        <v>0</v>
      </c>
      <c r="E766" s="529">
        <f>Page5_PARCS_GOUV!N61</f>
        <v>0</v>
      </c>
      <c r="F766" t="str">
        <f t="shared" si="62"/>
        <v>01-00-424M-GRSPFT-CURR</v>
      </c>
      <c r="G766" t="s">
        <v>127</v>
      </c>
      <c r="H766" t="s">
        <v>10287</v>
      </c>
      <c r="I766" t="s">
        <v>10253</v>
      </c>
      <c r="K766" s="2424" t="s">
        <v>10288</v>
      </c>
      <c r="L766" s="2425" t="s">
        <v>10241</v>
      </c>
      <c r="M766" s="2175" t="s">
        <v>513</v>
      </c>
      <c r="N766" s="2175"/>
      <c r="O766" s="2175" t="s">
        <v>10467</v>
      </c>
      <c r="P766" s="2175" t="s">
        <v>10244</v>
      </c>
      <c r="Q766" s="2232"/>
    </row>
    <row r="767" spans="2:17">
      <c r="B767" s="2421" t="s">
        <v>10719</v>
      </c>
      <c r="C767" s="1038" t="s">
        <v>514</v>
      </c>
      <c r="D767" s="529">
        <f>Page5_PARCS_GOUV!I62</f>
        <v>0</v>
      </c>
      <c r="E767" s="529">
        <f>Page5_PARCS_GOUV!N62</f>
        <v>0</v>
      </c>
      <c r="F767" t="str">
        <f t="shared" si="62"/>
        <v>01-00-425M-GRSPFT-CURR</v>
      </c>
      <c r="G767" t="s">
        <v>127</v>
      </c>
      <c r="H767" t="s">
        <v>10287</v>
      </c>
      <c r="I767" t="s">
        <v>10253</v>
      </c>
      <c r="K767" s="2424" t="s">
        <v>10288</v>
      </c>
      <c r="L767" s="2425" t="s">
        <v>10241</v>
      </c>
      <c r="M767" s="2175" t="s">
        <v>514</v>
      </c>
      <c r="N767" s="2175"/>
      <c r="O767" s="2175" t="s">
        <v>10467</v>
      </c>
      <c r="P767" s="2175" t="s">
        <v>10244</v>
      </c>
      <c r="Q767" s="2232"/>
    </row>
    <row r="768" spans="2:17">
      <c r="B768" s="2421" t="s">
        <v>10720</v>
      </c>
      <c r="C768" s="1038" t="s">
        <v>515</v>
      </c>
      <c r="D768" s="529">
        <f>Page5_PARCS_GOUV!I63</f>
        <v>0</v>
      </c>
      <c r="E768" s="529">
        <f>Page5_PARCS_GOUV!N63</f>
        <v>0</v>
      </c>
      <c r="F768" t="str">
        <f t="shared" si="62"/>
        <v>01-00-426M-GRSPFT-CURR</v>
      </c>
      <c r="G768" t="s">
        <v>127</v>
      </c>
      <c r="H768" t="s">
        <v>10287</v>
      </c>
      <c r="I768" t="s">
        <v>10253</v>
      </c>
      <c r="K768" s="2424" t="s">
        <v>10288</v>
      </c>
      <c r="L768" s="2425" t="s">
        <v>10241</v>
      </c>
      <c r="M768" s="2175" t="s">
        <v>515</v>
      </c>
      <c r="N768" s="2175"/>
      <c r="O768" s="2175" t="s">
        <v>10467</v>
      </c>
      <c r="P768" s="2175" t="s">
        <v>10244</v>
      </c>
      <c r="Q768" s="2232"/>
    </row>
    <row r="769" spans="2:17">
      <c r="B769" s="2421" t="s">
        <v>10721</v>
      </c>
      <c r="C769" s="1038" t="s">
        <v>516</v>
      </c>
      <c r="D769" s="529">
        <f>Page5_PARCS_GOUV!I64</f>
        <v>0</v>
      </c>
      <c r="E769" s="529">
        <f>Page5_PARCS_GOUV!N64</f>
        <v>0</v>
      </c>
      <c r="F769" t="str">
        <f t="shared" si="62"/>
        <v>01-00-427M-GRSPFT-CURR</v>
      </c>
      <c r="G769" t="s">
        <v>127</v>
      </c>
      <c r="H769" t="s">
        <v>10287</v>
      </c>
      <c r="I769" t="s">
        <v>10253</v>
      </c>
      <c r="K769" s="2424" t="s">
        <v>10288</v>
      </c>
      <c r="L769" s="2425" t="s">
        <v>10241</v>
      </c>
      <c r="M769" s="2175" t="s">
        <v>516</v>
      </c>
      <c r="N769" s="2175"/>
      <c r="O769" s="2175" t="s">
        <v>10467</v>
      </c>
      <c r="P769" s="2175" t="s">
        <v>10244</v>
      </c>
      <c r="Q769" s="2232"/>
    </row>
    <row r="770" spans="2:17">
      <c r="B770" s="2421" t="s">
        <v>10722</v>
      </c>
      <c r="C770" s="1038" t="s">
        <v>517</v>
      </c>
      <c r="D770" s="529">
        <f>Page5_PARCS_GOUV!I65</f>
        <v>0</v>
      </c>
      <c r="E770" s="529">
        <f>Page5_PARCS_GOUV!N65</f>
        <v>0</v>
      </c>
      <c r="F770" t="str">
        <f t="shared" si="62"/>
        <v>01-00-428M-GRSPFT-CURR</v>
      </c>
      <c r="G770" t="s">
        <v>127</v>
      </c>
      <c r="H770" t="s">
        <v>10287</v>
      </c>
      <c r="I770" t="s">
        <v>10253</v>
      </c>
      <c r="K770" s="2424" t="s">
        <v>10288</v>
      </c>
      <c r="L770" s="2425" t="s">
        <v>10241</v>
      </c>
      <c r="M770" s="2175" t="s">
        <v>517</v>
      </c>
      <c r="N770" s="2175"/>
      <c r="O770" s="2175" t="s">
        <v>10467</v>
      </c>
      <c r="P770" s="2175" t="s">
        <v>10244</v>
      </c>
      <c r="Q770" s="2232"/>
    </row>
    <row r="771" spans="2:17">
      <c r="B771" s="2421" t="s">
        <v>10723</v>
      </c>
      <c r="C771" s="1038" t="s">
        <v>518</v>
      </c>
      <c r="D771" s="529">
        <f>Page5_PARCS_GOUV!I66</f>
        <v>0</v>
      </c>
      <c r="E771" s="529">
        <f>Page5_PARCS_GOUV!N66</f>
        <v>0</v>
      </c>
      <c r="F771" t="str">
        <f t="shared" si="62"/>
        <v>01-00-429M-GRSPFT-CURR</v>
      </c>
      <c r="G771" t="s">
        <v>127</v>
      </c>
      <c r="H771" t="s">
        <v>10287</v>
      </c>
      <c r="I771" t="s">
        <v>10253</v>
      </c>
      <c r="K771" s="2424" t="s">
        <v>10288</v>
      </c>
      <c r="L771" s="2425" t="s">
        <v>10241</v>
      </c>
      <c r="M771" s="2175" t="s">
        <v>518</v>
      </c>
      <c r="N771" s="2175"/>
      <c r="O771" s="2175" t="s">
        <v>10467</v>
      </c>
      <c r="P771" s="2175" t="s">
        <v>10244</v>
      </c>
      <c r="Q771" s="2232"/>
    </row>
    <row r="772" spans="2:17">
      <c r="B772" s="2421" t="s">
        <v>10724</v>
      </c>
      <c r="C772" s="1038" t="s">
        <v>519</v>
      </c>
      <c r="D772" s="529">
        <f>Page5_PARCS_GOUV!I67</f>
        <v>0</v>
      </c>
      <c r="E772" s="529">
        <f>Page5_PARCS_GOUV!N67</f>
        <v>0</v>
      </c>
      <c r="F772" t="str">
        <f t="shared" si="62"/>
        <v>01-00-430M-GRSPFT-CURR</v>
      </c>
      <c r="G772" t="s">
        <v>127</v>
      </c>
      <c r="H772" t="s">
        <v>10287</v>
      </c>
      <c r="I772" t="s">
        <v>10253</v>
      </c>
      <c r="K772" s="2424" t="s">
        <v>10288</v>
      </c>
      <c r="L772" s="2425" t="s">
        <v>10241</v>
      </c>
      <c r="M772" s="2175" t="s">
        <v>519</v>
      </c>
      <c r="N772" s="2175"/>
      <c r="O772" s="2175" t="s">
        <v>10467</v>
      </c>
      <c r="P772" s="2175" t="s">
        <v>10244</v>
      </c>
      <c r="Q772" s="2232"/>
    </row>
    <row r="773" spans="2:17">
      <c r="B773" s="2421" t="s">
        <v>10725</v>
      </c>
      <c r="C773" s="1038" t="s">
        <v>520</v>
      </c>
      <c r="D773" s="529">
        <f>Page5_PARCS_GOUV!I68</f>
        <v>0</v>
      </c>
      <c r="E773" s="529">
        <f>Page5_PARCS_GOUV!N68</f>
        <v>0</v>
      </c>
      <c r="F773" t="str">
        <f t="shared" si="62"/>
        <v>01-00-431M-GRSPFT-CURR</v>
      </c>
      <c r="G773" t="s">
        <v>127</v>
      </c>
      <c r="H773" t="s">
        <v>10287</v>
      </c>
      <c r="I773" t="s">
        <v>10253</v>
      </c>
      <c r="K773" s="2424" t="s">
        <v>10288</v>
      </c>
      <c r="L773" s="2425" t="s">
        <v>10241</v>
      </c>
      <c r="M773" s="2175" t="s">
        <v>520</v>
      </c>
      <c r="N773" s="2175"/>
      <c r="O773" s="2175" t="s">
        <v>10467</v>
      </c>
      <c r="P773" s="2175" t="s">
        <v>10244</v>
      </c>
      <c r="Q773" s="2232"/>
    </row>
    <row r="774" spans="2:17">
      <c r="B774" s="2421" t="s">
        <v>10726</v>
      </c>
      <c r="C774" s="1038" t="s">
        <v>521</v>
      </c>
      <c r="D774" s="529">
        <f>Page5_PARCS_GOUV!I69</f>
        <v>0</v>
      </c>
      <c r="E774" s="529">
        <f>Page5_PARCS_GOUV!N69</f>
        <v>0</v>
      </c>
      <c r="F774" t="str">
        <f t="shared" si="62"/>
        <v>01-00-432M-GRSPFT-CURR</v>
      </c>
      <c r="G774" t="s">
        <v>127</v>
      </c>
      <c r="H774" t="s">
        <v>10287</v>
      </c>
      <c r="I774" t="s">
        <v>10253</v>
      </c>
      <c r="K774" s="2424" t="s">
        <v>10288</v>
      </c>
      <c r="L774" s="2425" t="s">
        <v>10241</v>
      </c>
      <c r="M774" s="2175" t="s">
        <v>521</v>
      </c>
      <c r="N774" s="2175"/>
      <c r="O774" s="2175" t="s">
        <v>10467</v>
      </c>
      <c r="P774" s="2175" t="s">
        <v>10244</v>
      </c>
      <c r="Q774" s="2232"/>
    </row>
    <row r="775" spans="2:17">
      <c r="B775" s="2421" t="s">
        <v>10727</v>
      </c>
      <c r="C775" s="1038" t="s">
        <v>522</v>
      </c>
      <c r="D775" s="529">
        <f>Page5_PARCS_GOUV!I70</f>
        <v>0</v>
      </c>
      <c r="E775" s="529">
        <f>Page5_PARCS_GOUV!N70</f>
        <v>0</v>
      </c>
      <c r="F775" t="str">
        <f t="shared" si="62"/>
        <v>01-00-433M-GRSPFT-CURR</v>
      </c>
      <c r="G775" t="s">
        <v>127</v>
      </c>
      <c r="H775" t="s">
        <v>10287</v>
      </c>
      <c r="I775" t="s">
        <v>10253</v>
      </c>
      <c r="K775" s="2424" t="s">
        <v>10288</v>
      </c>
      <c r="L775" s="2425" t="s">
        <v>10241</v>
      </c>
      <c r="M775" s="2175" t="s">
        <v>522</v>
      </c>
      <c r="N775" s="2175"/>
      <c r="O775" s="2175" t="s">
        <v>10467</v>
      </c>
      <c r="P775" s="2175" t="s">
        <v>10244</v>
      </c>
      <c r="Q775" s="2232"/>
    </row>
    <row r="776" spans="2:17">
      <c r="B776" s="2421" t="s">
        <v>10728</v>
      </c>
      <c r="C776" s="1038" t="s">
        <v>523</v>
      </c>
      <c r="D776" s="529">
        <f>Page5_PARCS_GOUV!I71</f>
        <v>0</v>
      </c>
      <c r="E776" s="529">
        <f>Page5_PARCS_GOUV!N71</f>
        <v>0</v>
      </c>
      <c r="F776" t="str">
        <f t="shared" si="62"/>
        <v>01-00-434M-GRSPFT-CURR</v>
      </c>
      <c r="G776" t="s">
        <v>127</v>
      </c>
      <c r="H776" t="s">
        <v>10287</v>
      </c>
      <c r="I776" t="s">
        <v>10253</v>
      </c>
      <c r="K776" s="2424" t="s">
        <v>10288</v>
      </c>
      <c r="L776" s="2425" t="s">
        <v>10241</v>
      </c>
      <c r="M776" s="2175" t="s">
        <v>523</v>
      </c>
      <c r="N776" s="2175"/>
      <c r="O776" s="2175" t="s">
        <v>10467</v>
      </c>
      <c r="P776" s="2175" t="s">
        <v>10244</v>
      </c>
      <c r="Q776" s="2232"/>
    </row>
    <row r="777" spans="2:17">
      <c r="B777" s="27" t="s">
        <v>10729</v>
      </c>
      <c r="C777" s="2419"/>
      <c r="D777" s="529">
        <f>Page5_PARCS_GOUV!I72</f>
        <v>0</v>
      </c>
      <c r="E777" s="529">
        <f>Page5_PARCS_GOUV!N72</f>
        <v>0</v>
      </c>
      <c r="F777" t="str">
        <f t="shared" si="62"/>
        <v>01-00-TOTTRK5M-GRSPFT-CURR</v>
      </c>
      <c r="G777" t="s">
        <v>127</v>
      </c>
      <c r="H777" t="s">
        <v>10287</v>
      </c>
      <c r="I777" t="s">
        <v>10253</v>
      </c>
      <c r="J777" t="s">
        <v>10268</v>
      </c>
      <c r="K777" s="2424" t="s">
        <v>10288</v>
      </c>
      <c r="L777" s="2425" t="s">
        <v>10241</v>
      </c>
      <c r="M777" s="2175" t="s">
        <v>10694</v>
      </c>
      <c r="N777" s="2175"/>
      <c r="O777" s="2175" t="s">
        <v>10467</v>
      </c>
      <c r="P777" s="2175" t="s">
        <v>10244</v>
      </c>
      <c r="Q777" s="2232" t="s">
        <v>773</v>
      </c>
    </row>
    <row r="778" spans="2:17">
      <c r="B778" s="27" t="s">
        <v>10730</v>
      </c>
      <c r="C778" s="2419"/>
      <c r="D778" s="529">
        <f>Page5_PARCS_GOUV!I73</f>
        <v>0</v>
      </c>
      <c r="E778" s="529">
        <f>Page5_PARCS_GOUV!N73</f>
        <v>0</v>
      </c>
      <c r="F778" t="str">
        <f t="shared" si="62"/>
        <v>01-00-TOTVEH5M-GRSPFT-CURR</v>
      </c>
      <c r="G778" t="s">
        <v>127</v>
      </c>
      <c r="H778" t="s">
        <v>10287</v>
      </c>
      <c r="I778" t="s">
        <v>10253</v>
      </c>
      <c r="J778" t="s">
        <v>10268</v>
      </c>
      <c r="K778" s="2424" t="s">
        <v>10288</v>
      </c>
      <c r="L778" s="2425" t="s">
        <v>10241</v>
      </c>
      <c r="M778" s="2175" t="s">
        <v>10696</v>
      </c>
      <c r="N778" s="2175"/>
      <c r="O778" s="2175" t="s">
        <v>10467</v>
      </c>
      <c r="P778" s="2175" t="s">
        <v>10244</v>
      </c>
      <c r="Q778" s="2232" t="s">
        <v>773</v>
      </c>
    </row>
    <row r="779" spans="2:17">
      <c r="B779" s="5" t="s">
        <v>10731</v>
      </c>
      <c r="C779" s="1038" t="s">
        <v>492</v>
      </c>
      <c r="D779" s="529">
        <f>Page5_PARCS_GOUV!F40</f>
        <v>0</v>
      </c>
      <c r="E779" s="529">
        <f>Page5_PARCS_GOUV!K40</f>
        <v>0</v>
      </c>
      <c r="F779" t="str">
        <f t="shared" si="62"/>
        <v>01-00-400M-UNIT-CURR</v>
      </c>
      <c r="G779" t="s">
        <v>127</v>
      </c>
      <c r="H779" t="s">
        <v>10287</v>
      </c>
      <c r="I779" t="s">
        <v>10253</v>
      </c>
      <c r="K779" s="2424" t="s">
        <v>10288</v>
      </c>
      <c r="L779" s="2425" t="s">
        <v>10241</v>
      </c>
      <c r="M779" s="2175" t="s">
        <v>492</v>
      </c>
      <c r="N779" s="2175"/>
      <c r="O779" s="2175" t="s">
        <v>10255</v>
      </c>
      <c r="P779" s="2175" t="s">
        <v>10244</v>
      </c>
      <c r="Q779" s="2232"/>
    </row>
    <row r="780" spans="2:17">
      <c r="B780" s="5" t="s">
        <v>10732</v>
      </c>
      <c r="C780" s="1038" t="s">
        <v>493</v>
      </c>
      <c r="D780" s="529">
        <f>Page5_PARCS_GOUV!F41</f>
        <v>0</v>
      </c>
      <c r="E780" s="529">
        <f>Page5_PARCS_GOUV!K41</f>
        <v>0</v>
      </c>
      <c r="F780" t="str">
        <f t="shared" si="62"/>
        <v>01-00-401M-UNIT-CURR</v>
      </c>
      <c r="G780" t="s">
        <v>127</v>
      </c>
      <c r="H780" t="s">
        <v>10287</v>
      </c>
      <c r="I780" t="s">
        <v>10253</v>
      </c>
      <c r="K780" s="2424" t="s">
        <v>10288</v>
      </c>
      <c r="L780" s="2425" t="s">
        <v>10241</v>
      </c>
      <c r="M780" s="2175" t="s">
        <v>493</v>
      </c>
      <c r="N780" s="2175"/>
      <c r="O780" s="2175" t="s">
        <v>10255</v>
      </c>
      <c r="P780" s="2175" t="s">
        <v>10244</v>
      </c>
      <c r="Q780" s="2232"/>
    </row>
    <row r="781" spans="2:17">
      <c r="B781" s="5" t="s">
        <v>10733</v>
      </c>
      <c r="C781" s="1038" t="s">
        <v>494</v>
      </c>
      <c r="D781" s="529">
        <f>Page5_PARCS_GOUV!F42</f>
        <v>0</v>
      </c>
      <c r="E781" s="529">
        <f>Page5_PARCS_GOUV!K42</f>
        <v>0</v>
      </c>
      <c r="F781" t="str">
        <f t="shared" si="62"/>
        <v>01-00-402M-UNIT-CURR</v>
      </c>
      <c r="G781" t="s">
        <v>127</v>
      </c>
      <c r="H781" t="s">
        <v>10287</v>
      </c>
      <c r="I781" t="s">
        <v>10253</v>
      </c>
      <c r="K781" s="2424" t="s">
        <v>10288</v>
      </c>
      <c r="L781" s="2425" t="s">
        <v>10241</v>
      </c>
      <c r="M781" s="2175" t="s">
        <v>494</v>
      </c>
      <c r="N781" s="2175"/>
      <c r="O781" s="2175" t="s">
        <v>10255</v>
      </c>
      <c r="P781" s="2175" t="s">
        <v>10244</v>
      </c>
      <c r="Q781" s="2232"/>
    </row>
    <row r="782" spans="2:17">
      <c r="B782" s="5" t="s">
        <v>10734</v>
      </c>
      <c r="C782" s="1038" t="s">
        <v>495</v>
      </c>
      <c r="D782" s="529">
        <f>Page5_PARCS_GOUV!F43</f>
        <v>0</v>
      </c>
      <c r="E782" s="529">
        <f>Page5_PARCS_GOUV!K43</f>
        <v>0</v>
      </c>
      <c r="F782" t="str">
        <f t="shared" si="62"/>
        <v>01-00-403M-UNIT-CURR</v>
      </c>
      <c r="G782" t="s">
        <v>127</v>
      </c>
      <c r="H782" t="s">
        <v>10287</v>
      </c>
      <c r="I782" t="s">
        <v>10253</v>
      </c>
      <c r="K782" s="2424" t="s">
        <v>10288</v>
      </c>
      <c r="L782" s="2425" t="s">
        <v>10241</v>
      </c>
      <c r="M782" s="2175" t="s">
        <v>495</v>
      </c>
      <c r="N782" s="2175"/>
      <c r="O782" s="2175" t="s">
        <v>10255</v>
      </c>
      <c r="P782" s="2175" t="s">
        <v>10244</v>
      </c>
      <c r="Q782" s="2232"/>
    </row>
    <row r="783" spans="2:17">
      <c r="B783" s="5" t="s">
        <v>10735</v>
      </c>
      <c r="C783" s="1038" t="s">
        <v>496</v>
      </c>
      <c r="D783" s="529">
        <f>Page5_PARCS_GOUV!F44</f>
        <v>0</v>
      </c>
      <c r="E783" s="529">
        <f>Page5_PARCS_GOUV!K44</f>
        <v>0</v>
      </c>
      <c r="F783" t="str">
        <f t="shared" si="62"/>
        <v>01-00-404M-UNIT-CURR</v>
      </c>
      <c r="G783" t="s">
        <v>127</v>
      </c>
      <c r="H783" t="s">
        <v>10287</v>
      </c>
      <c r="I783" t="s">
        <v>10253</v>
      </c>
      <c r="K783" s="2424" t="s">
        <v>10288</v>
      </c>
      <c r="L783" s="2425" t="s">
        <v>10241</v>
      </c>
      <c r="M783" s="2175" t="s">
        <v>496</v>
      </c>
      <c r="N783" s="2175"/>
      <c r="O783" s="2175" t="s">
        <v>10255</v>
      </c>
      <c r="P783" s="2175" t="s">
        <v>10244</v>
      </c>
      <c r="Q783" s="2232"/>
    </row>
    <row r="784" spans="2:17">
      <c r="B784" s="5" t="s">
        <v>10736</v>
      </c>
      <c r="C784" s="1038" t="s">
        <v>497</v>
      </c>
      <c r="D784" s="529">
        <f>Page5_PARCS_GOUV!F45</f>
        <v>0</v>
      </c>
      <c r="E784" s="529">
        <f>Page5_PARCS_GOUV!K45</f>
        <v>0</v>
      </c>
      <c r="F784" t="str">
        <f t="shared" si="62"/>
        <v>01-00-405M-UNIT-CURR</v>
      </c>
      <c r="G784" t="s">
        <v>127</v>
      </c>
      <c r="H784" t="s">
        <v>10287</v>
      </c>
      <c r="I784" t="s">
        <v>10253</v>
      </c>
      <c r="K784" s="2424" t="s">
        <v>10288</v>
      </c>
      <c r="L784" s="2425" t="s">
        <v>10241</v>
      </c>
      <c r="M784" s="2175" t="s">
        <v>497</v>
      </c>
      <c r="N784" s="2175"/>
      <c r="O784" s="2175" t="s">
        <v>10255</v>
      </c>
      <c r="P784" s="2175" t="s">
        <v>10244</v>
      </c>
      <c r="Q784" s="2232"/>
    </row>
    <row r="785" spans="2:17">
      <c r="B785" s="5" t="s">
        <v>10737</v>
      </c>
      <c r="C785" s="1038" t="s">
        <v>498</v>
      </c>
      <c r="D785" s="529">
        <f>Page5_PARCS_GOUV!F46</f>
        <v>0</v>
      </c>
      <c r="E785" s="529">
        <f>Page5_PARCS_GOUV!K46</f>
        <v>0</v>
      </c>
      <c r="F785" t="str">
        <f t="shared" si="62"/>
        <v>01-00-406M-UNIT-CURR</v>
      </c>
      <c r="G785" t="s">
        <v>127</v>
      </c>
      <c r="H785" t="s">
        <v>10287</v>
      </c>
      <c r="I785" t="s">
        <v>10253</v>
      </c>
      <c r="K785" s="2424" t="s">
        <v>10288</v>
      </c>
      <c r="L785" s="2425" t="s">
        <v>10241</v>
      </c>
      <c r="M785" s="2175" t="s">
        <v>498</v>
      </c>
      <c r="N785" s="2175"/>
      <c r="O785" s="2175" t="s">
        <v>10255</v>
      </c>
      <c r="P785" s="2175" t="s">
        <v>10244</v>
      </c>
      <c r="Q785" s="2232"/>
    </row>
    <row r="786" spans="2:17">
      <c r="B786" s="5" t="s">
        <v>10738</v>
      </c>
      <c r="C786" s="1038" t="s">
        <v>499</v>
      </c>
      <c r="D786" s="529">
        <f>Page5_PARCS_GOUV!F47</f>
        <v>0</v>
      </c>
      <c r="E786" s="529">
        <f>Page5_PARCS_GOUV!K47</f>
        <v>0</v>
      </c>
      <c r="F786" t="str">
        <f t="shared" si="62"/>
        <v>01-00-407M-UNIT-CURR</v>
      </c>
      <c r="G786" t="s">
        <v>127</v>
      </c>
      <c r="H786" t="s">
        <v>10287</v>
      </c>
      <c r="I786" t="s">
        <v>10253</v>
      </c>
      <c r="K786" s="2424" t="s">
        <v>10288</v>
      </c>
      <c r="L786" s="2425" t="s">
        <v>10241</v>
      </c>
      <c r="M786" s="2175" t="s">
        <v>499</v>
      </c>
      <c r="N786" s="2175"/>
      <c r="O786" s="2175" t="s">
        <v>10255</v>
      </c>
      <c r="P786" s="2175" t="s">
        <v>10244</v>
      </c>
      <c r="Q786" s="2232"/>
    </row>
    <row r="787" spans="2:17">
      <c r="B787" s="27" t="s">
        <v>10739</v>
      </c>
      <c r="C787" s="2419"/>
      <c r="D787" s="529">
        <f>Page5_PARCS_GOUV!F48</f>
        <v>0</v>
      </c>
      <c r="E787" s="529">
        <f>Page5_PARCS_GOUV!K48</f>
        <v>0</v>
      </c>
      <c r="F787" t="str">
        <f t="shared" si="62"/>
        <v>01-00-TOTCAR5M-UNIT-CURR</v>
      </c>
      <c r="G787" t="s">
        <v>127</v>
      </c>
      <c r="H787" t="s">
        <v>10287</v>
      </c>
      <c r="I787" t="s">
        <v>10253</v>
      </c>
      <c r="J787" t="s">
        <v>10268</v>
      </c>
      <c r="K787" s="2424" t="s">
        <v>10288</v>
      </c>
      <c r="L787" s="2425" t="s">
        <v>10241</v>
      </c>
      <c r="M787" s="2175" t="s">
        <v>10669</v>
      </c>
      <c r="N787" s="2175"/>
      <c r="O787" s="2175" t="s">
        <v>10255</v>
      </c>
      <c r="P787" s="2175" t="s">
        <v>10244</v>
      </c>
      <c r="Q787" s="2232" t="s">
        <v>773</v>
      </c>
    </row>
    <row r="788" spans="2:17">
      <c r="B788" s="5" t="s">
        <v>10740</v>
      </c>
      <c r="C788" s="1038" t="s">
        <v>501</v>
      </c>
      <c r="D788" s="529">
        <f>Page5_PARCS_GOUV!F49</f>
        <v>0</v>
      </c>
      <c r="E788" s="529">
        <f>Page5_PARCS_GOUV!K49</f>
        <v>0</v>
      </c>
      <c r="F788" t="str">
        <f t="shared" si="62"/>
        <v>01-00-412M-UNIT-CURR</v>
      </c>
      <c r="G788" t="s">
        <v>127</v>
      </c>
      <c r="H788" t="s">
        <v>10287</v>
      </c>
      <c r="I788" t="s">
        <v>10253</v>
      </c>
      <c r="K788" s="2424" t="s">
        <v>10288</v>
      </c>
      <c r="L788" s="2425" t="s">
        <v>10241</v>
      </c>
      <c r="M788" s="2175" t="s">
        <v>501</v>
      </c>
      <c r="N788" s="2175"/>
      <c r="O788" s="2175" t="s">
        <v>10255</v>
      </c>
      <c r="P788" s="2175" t="s">
        <v>10244</v>
      </c>
      <c r="Q788" s="2232"/>
    </row>
    <row r="789" spans="2:17">
      <c r="B789" s="5" t="s">
        <v>10741</v>
      </c>
      <c r="C789" s="1038" t="s">
        <v>502</v>
      </c>
      <c r="D789" s="529">
        <f>Page5_PARCS_GOUV!F50</f>
        <v>0</v>
      </c>
      <c r="E789" s="529">
        <f>Page5_PARCS_GOUV!K50</f>
        <v>0</v>
      </c>
      <c r="F789" t="str">
        <f t="shared" si="62"/>
        <v>01-00-413M-UNIT-CURR</v>
      </c>
      <c r="G789" t="s">
        <v>127</v>
      </c>
      <c r="H789" t="s">
        <v>10287</v>
      </c>
      <c r="I789" t="s">
        <v>10253</v>
      </c>
      <c r="K789" s="2424" t="s">
        <v>10288</v>
      </c>
      <c r="L789" s="2425" t="s">
        <v>10241</v>
      </c>
      <c r="M789" s="2175" t="s">
        <v>502</v>
      </c>
      <c r="N789" s="2175"/>
      <c r="O789" s="2175" t="s">
        <v>10255</v>
      </c>
      <c r="P789" s="2175" t="s">
        <v>10244</v>
      </c>
      <c r="Q789" s="2232"/>
    </row>
    <row r="790" spans="2:17">
      <c r="B790" s="5" t="s">
        <v>10742</v>
      </c>
      <c r="C790" s="1038" t="s">
        <v>503</v>
      </c>
      <c r="D790" s="529">
        <f>Page5_PARCS_GOUV!F51</f>
        <v>0</v>
      </c>
      <c r="E790" s="529">
        <f>Page5_PARCS_GOUV!K51</f>
        <v>0</v>
      </c>
      <c r="F790" t="str">
        <f t="shared" si="62"/>
        <v>01-00-414M-UNIT-CURR</v>
      </c>
      <c r="G790" t="s">
        <v>127</v>
      </c>
      <c r="H790" t="s">
        <v>10287</v>
      </c>
      <c r="I790" t="s">
        <v>10253</v>
      </c>
      <c r="K790" s="2424" t="s">
        <v>10288</v>
      </c>
      <c r="L790" s="2425" t="s">
        <v>10241</v>
      </c>
      <c r="M790" s="2175" t="s">
        <v>503</v>
      </c>
      <c r="N790" s="2175"/>
      <c r="O790" s="2175" t="s">
        <v>10255</v>
      </c>
      <c r="P790" s="2175" t="s">
        <v>10244</v>
      </c>
      <c r="Q790" s="2232"/>
    </row>
    <row r="791" spans="2:17">
      <c r="B791" s="5" t="s">
        <v>10743</v>
      </c>
      <c r="C791" s="1038" t="s">
        <v>504</v>
      </c>
      <c r="D791" s="529">
        <f>Page5_PARCS_GOUV!F52</f>
        <v>0</v>
      </c>
      <c r="E791" s="529">
        <f>Page5_PARCS_GOUV!K52</f>
        <v>0</v>
      </c>
      <c r="F791" t="str">
        <f t="shared" si="62"/>
        <v>01-00-415M-UNIT-CURR</v>
      </c>
      <c r="G791" t="s">
        <v>127</v>
      </c>
      <c r="H791" t="s">
        <v>10287</v>
      </c>
      <c r="I791" t="s">
        <v>10253</v>
      </c>
      <c r="K791" s="2424" t="s">
        <v>10288</v>
      </c>
      <c r="L791" s="2425" t="s">
        <v>10241</v>
      </c>
      <c r="M791" s="2175" t="s">
        <v>504</v>
      </c>
      <c r="N791" s="2175"/>
      <c r="O791" s="2175" t="s">
        <v>10255</v>
      </c>
      <c r="P791" s="2175" t="s">
        <v>10244</v>
      </c>
      <c r="Q791" s="2232"/>
    </row>
    <row r="792" spans="2:17">
      <c r="B792" s="5" t="s">
        <v>10744</v>
      </c>
      <c r="C792" s="1038" t="s">
        <v>505</v>
      </c>
      <c r="D792" s="529">
        <f>Page5_PARCS_GOUV!F53</f>
        <v>0</v>
      </c>
      <c r="E792" s="529">
        <f>Page5_PARCS_GOUV!K53</f>
        <v>0</v>
      </c>
      <c r="F792" t="str">
        <f t="shared" si="62"/>
        <v>01-00-416M-UNIT-CURR</v>
      </c>
      <c r="G792" t="s">
        <v>127</v>
      </c>
      <c r="H792" t="s">
        <v>10287</v>
      </c>
      <c r="I792" t="s">
        <v>10253</v>
      </c>
      <c r="K792" s="2424" t="s">
        <v>10288</v>
      </c>
      <c r="L792" s="2425" t="s">
        <v>10241</v>
      </c>
      <c r="M792" s="2175" t="s">
        <v>505</v>
      </c>
      <c r="N792" s="2175"/>
      <c r="O792" s="2175" t="s">
        <v>10255</v>
      </c>
      <c r="P792" s="2175" t="s">
        <v>10244</v>
      </c>
      <c r="Q792" s="2232"/>
    </row>
    <row r="793" spans="2:17">
      <c r="B793" s="5" t="s">
        <v>10745</v>
      </c>
      <c r="C793" s="1038" t="s">
        <v>506</v>
      </c>
      <c r="D793" s="529">
        <f>Page5_PARCS_GOUV!F54</f>
        <v>0</v>
      </c>
      <c r="E793" s="529">
        <f>Page5_PARCS_GOUV!K54</f>
        <v>0</v>
      </c>
      <c r="F793" t="str">
        <f t="shared" si="62"/>
        <v>01-00-417M-UNIT-CURR</v>
      </c>
      <c r="G793" t="s">
        <v>127</v>
      </c>
      <c r="H793" t="s">
        <v>10287</v>
      </c>
      <c r="I793" t="s">
        <v>10253</v>
      </c>
      <c r="K793" s="2424" t="s">
        <v>10288</v>
      </c>
      <c r="L793" s="2425" t="s">
        <v>10241</v>
      </c>
      <c r="M793" s="2175" t="s">
        <v>506</v>
      </c>
      <c r="N793" s="2175"/>
      <c r="O793" s="2175" t="s">
        <v>10255</v>
      </c>
      <c r="P793" s="2175" t="s">
        <v>10244</v>
      </c>
      <c r="Q793" s="2232"/>
    </row>
    <row r="794" spans="2:17">
      <c r="B794" s="5" t="s">
        <v>10746</v>
      </c>
      <c r="C794" s="1038" t="s">
        <v>507</v>
      </c>
      <c r="D794" s="529">
        <f>Page5_PARCS_GOUV!F55</f>
        <v>0</v>
      </c>
      <c r="E794" s="529">
        <f>Page5_PARCS_GOUV!K55</f>
        <v>0</v>
      </c>
      <c r="F794" t="str">
        <f t="shared" si="62"/>
        <v>01-00-418M-UNIT-CURR</v>
      </c>
      <c r="G794" t="s">
        <v>127</v>
      </c>
      <c r="H794" t="s">
        <v>10287</v>
      </c>
      <c r="I794" t="s">
        <v>10253</v>
      </c>
      <c r="K794" s="2424" t="s">
        <v>10288</v>
      </c>
      <c r="L794" s="2425" t="s">
        <v>10241</v>
      </c>
      <c r="M794" s="2175" t="s">
        <v>507</v>
      </c>
      <c r="N794" s="2175"/>
      <c r="O794" s="2175" t="s">
        <v>10255</v>
      </c>
      <c r="P794" s="2175" t="s">
        <v>10244</v>
      </c>
      <c r="Q794" s="2232"/>
    </row>
    <row r="795" spans="2:17">
      <c r="B795" s="5" t="s">
        <v>10747</v>
      </c>
      <c r="C795" s="1038" t="s">
        <v>508</v>
      </c>
      <c r="D795" s="529">
        <f>Page5_PARCS_GOUV!F56</f>
        <v>0</v>
      </c>
      <c r="E795" s="529">
        <f>Page5_PARCS_GOUV!K56</f>
        <v>0</v>
      </c>
      <c r="F795" t="str">
        <f t="shared" si="62"/>
        <v>01-00-419M-UNIT-CURR</v>
      </c>
      <c r="G795" t="s">
        <v>127</v>
      </c>
      <c r="H795" t="s">
        <v>10287</v>
      </c>
      <c r="I795" t="s">
        <v>10253</v>
      </c>
      <c r="K795" s="2424" t="s">
        <v>10288</v>
      </c>
      <c r="L795" s="2425" t="s">
        <v>10241</v>
      </c>
      <c r="M795" s="2175" t="s">
        <v>508</v>
      </c>
      <c r="N795" s="2175"/>
      <c r="O795" s="2175" t="s">
        <v>10255</v>
      </c>
      <c r="P795" s="2175" t="s">
        <v>10244</v>
      </c>
      <c r="Q795" s="2232"/>
    </row>
    <row r="796" spans="2:17">
      <c r="B796" s="5" t="s">
        <v>10748</v>
      </c>
      <c r="C796" s="1038" t="s">
        <v>509</v>
      </c>
      <c r="D796" s="529">
        <f>Page5_PARCS_GOUV!F57</f>
        <v>0</v>
      </c>
      <c r="E796" s="529">
        <f>Page5_PARCS_GOUV!K57</f>
        <v>0</v>
      </c>
      <c r="F796" t="str">
        <f t="shared" si="62"/>
        <v>01-00-420M-UNIT-CURR</v>
      </c>
      <c r="G796" t="s">
        <v>127</v>
      </c>
      <c r="H796" t="s">
        <v>10287</v>
      </c>
      <c r="I796" t="s">
        <v>10253</v>
      </c>
      <c r="K796" s="2424" t="s">
        <v>10288</v>
      </c>
      <c r="L796" s="2425" t="s">
        <v>10241</v>
      </c>
      <c r="M796" s="2175" t="s">
        <v>509</v>
      </c>
      <c r="N796" s="2175"/>
      <c r="O796" s="2175" t="s">
        <v>10255</v>
      </c>
      <c r="P796" s="2175" t="s">
        <v>10244</v>
      </c>
      <c r="Q796" s="2232"/>
    </row>
    <row r="797" spans="2:17">
      <c r="B797" s="5" t="s">
        <v>10749</v>
      </c>
      <c r="C797" s="1038" t="s">
        <v>510</v>
      </c>
      <c r="D797" s="529">
        <f>Page5_PARCS_GOUV!F58</f>
        <v>0</v>
      </c>
      <c r="E797" s="529">
        <f>Page5_PARCS_GOUV!K58</f>
        <v>0</v>
      </c>
      <c r="F797" t="str">
        <f t="shared" si="62"/>
        <v>01-00-421M-UNIT-CURR</v>
      </c>
      <c r="G797" t="s">
        <v>127</v>
      </c>
      <c r="H797" t="s">
        <v>10287</v>
      </c>
      <c r="I797" t="s">
        <v>10253</v>
      </c>
      <c r="K797" s="2424" t="s">
        <v>10288</v>
      </c>
      <c r="L797" s="2425" t="s">
        <v>10241</v>
      </c>
      <c r="M797" s="2175" t="s">
        <v>510</v>
      </c>
      <c r="N797" s="2175"/>
      <c r="O797" s="2175" t="s">
        <v>10255</v>
      </c>
      <c r="P797" s="2175" t="s">
        <v>10244</v>
      </c>
      <c r="Q797" s="2232"/>
    </row>
    <row r="798" spans="2:17">
      <c r="B798" s="5" t="s">
        <v>10750</v>
      </c>
      <c r="C798" s="1038" t="s">
        <v>511</v>
      </c>
      <c r="D798" s="529">
        <f>Page5_PARCS_GOUV!F59</f>
        <v>0</v>
      </c>
      <c r="E798" s="529">
        <f>Page5_PARCS_GOUV!K59</f>
        <v>0</v>
      </c>
      <c r="F798" t="str">
        <f t="shared" si="62"/>
        <v>01-00-422M-UNIT-CURR</v>
      </c>
      <c r="G798" t="s">
        <v>127</v>
      </c>
      <c r="H798" t="s">
        <v>10287</v>
      </c>
      <c r="I798" t="s">
        <v>10253</v>
      </c>
      <c r="K798" s="2424" t="s">
        <v>10288</v>
      </c>
      <c r="L798" s="2425" t="s">
        <v>10241</v>
      </c>
      <c r="M798" s="2175" t="s">
        <v>511</v>
      </c>
      <c r="N798" s="2175"/>
      <c r="O798" s="2175" t="s">
        <v>10255</v>
      </c>
      <c r="P798" s="2175" t="s">
        <v>10244</v>
      </c>
      <c r="Q798" s="2232"/>
    </row>
    <row r="799" spans="2:17">
      <c r="B799" s="5" t="s">
        <v>10751</v>
      </c>
      <c r="C799" s="1038" t="s">
        <v>512</v>
      </c>
      <c r="D799" s="529">
        <f>Page5_PARCS_GOUV!F60</f>
        <v>0</v>
      </c>
      <c r="E799" s="529">
        <f>Page5_PARCS_GOUV!K60</f>
        <v>0</v>
      </c>
      <c r="F799" t="str">
        <f t="shared" si="62"/>
        <v>01-00-423M-UNIT-CURR</v>
      </c>
      <c r="G799" t="s">
        <v>127</v>
      </c>
      <c r="H799" t="s">
        <v>10287</v>
      </c>
      <c r="I799" t="s">
        <v>10253</v>
      </c>
      <c r="K799" s="2424" t="s">
        <v>10288</v>
      </c>
      <c r="L799" s="2425" t="s">
        <v>10241</v>
      </c>
      <c r="M799" s="2175" t="s">
        <v>512</v>
      </c>
      <c r="N799" s="2175"/>
      <c r="O799" s="2175" t="s">
        <v>10255</v>
      </c>
      <c r="P799" s="2175" t="s">
        <v>10244</v>
      </c>
      <c r="Q799" s="2232"/>
    </row>
    <row r="800" spans="2:17">
      <c r="B800" s="5" t="s">
        <v>10752</v>
      </c>
      <c r="C800" s="1038" t="s">
        <v>513</v>
      </c>
      <c r="D800" s="529">
        <f>Page5_PARCS_GOUV!F61</f>
        <v>0</v>
      </c>
      <c r="E800" s="529">
        <f>Page5_PARCS_GOUV!K61</f>
        <v>0</v>
      </c>
      <c r="F800" t="str">
        <f t="shared" ref="F800:F863" si="63">TEXT(K800,"00")&amp;"-"&amp;L800&amp;IF(M800="","","-"&amp;M800)&amp;IF(N800="","","-"&amp;N800)&amp;IF(OR(O800="",O800=0),"","-"&amp;O800)&amp;IF(P800="","","-"&amp;P800)</f>
        <v>01-00-424M-UNIT-CURR</v>
      </c>
      <c r="G800" t="s">
        <v>127</v>
      </c>
      <c r="H800" t="s">
        <v>10287</v>
      </c>
      <c r="I800" t="s">
        <v>10253</v>
      </c>
      <c r="K800" s="2424" t="s">
        <v>10288</v>
      </c>
      <c r="L800" s="2425" t="s">
        <v>10241</v>
      </c>
      <c r="M800" s="2175" t="s">
        <v>513</v>
      </c>
      <c r="N800" s="2175"/>
      <c r="O800" s="2175" t="s">
        <v>10255</v>
      </c>
      <c r="P800" s="2175" t="s">
        <v>10244</v>
      </c>
      <c r="Q800" s="2232"/>
    </row>
    <row r="801" spans="2:17">
      <c r="B801" s="5" t="s">
        <v>10753</v>
      </c>
      <c r="C801" s="1038" t="s">
        <v>514</v>
      </c>
      <c r="D801" s="529">
        <f>Page5_PARCS_GOUV!F62</f>
        <v>0</v>
      </c>
      <c r="E801" s="529">
        <f>Page5_PARCS_GOUV!K62</f>
        <v>0</v>
      </c>
      <c r="F801" t="str">
        <f t="shared" si="63"/>
        <v>01-00-425M-UNIT-CURR</v>
      </c>
      <c r="G801" t="s">
        <v>127</v>
      </c>
      <c r="H801" t="s">
        <v>10287</v>
      </c>
      <c r="I801" t="s">
        <v>10253</v>
      </c>
      <c r="K801" s="2424" t="s">
        <v>10288</v>
      </c>
      <c r="L801" s="2425" t="s">
        <v>10241</v>
      </c>
      <c r="M801" s="2175" t="s">
        <v>514</v>
      </c>
      <c r="N801" s="2175"/>
      <c r="O801" s="2175" t="s">
        <v>10255</v>
      </c>
      <c r="P801" s="2175" t="s">
        <v>10244</v>
      </c>
      <c r="Q801" s="2232"/>
    </row>
    <row r="802" spans="2:17">
      <c r="B802" s="5" t="s">
        <v>10754</v>
      </c>
      <c r="C802" s="1038" t="s">
        <v>515</v>
      </c>
      <c r="D802" s="529">
        <f>Page5_PARCS_GOUV!F63</f>
        <v>0</v>
      </c>
      <c r="E802" s="529">
        <f>Page5_PARCS_GOUV!K63</f>
        <v>0</v>
      </c>
      <c r="F802" t="str">
        <f t="shared" si="63"/>
        <v>01-00-426M-UNIT-CURR</v>
      </c>
      <c r="G802" t="s">
        <v>127</v>
      </c>
      <c r="H802" t="s">
        <v>10287</v>
      </c>
      <c r="I802" t="s">
        <v>10253</v>
      </c>
      <c r="K802" s="2424" t="s">
        <v>10288</v>
      </c>
      <c r="L802" s="2425" t="s">
        <v>10241</v>
      </c>
      <c r="M802" s="2175" t="s">
        <v>515</v>
      </c>
      <c r="N802" s="2175"/>
      <c r="O802" s="2175" t="s">
        <v>10255</v>
      </c>
      <c r="P802" s="2175" t="s">
        <v>10244</v>
      </c>
      <c r="Q802" s="2232"/>
    </row>
    <row r="803" spans="2:17">
      <c r="B803" s="5" t="s">
        <v>10755</v>
      </c>
      <c r="C803" s="1038" t="s">
        <v>516</v>
      </c>
      <c r="D803" s="529">
        <f>Page5_PARCS_GOUV!F64</f>
        <v>0</v>
      </c>
      <c r="E803" s="529">
        <f>Page5_PARCS_GOUV!K64</f>
        <v>0</v>
      </c>
      <c r="F803" t="str">
        <f t="shared" si="63"/>
        <v>01-00-427M-UNIT-CURR</v>
      </c>
      <c r="G803" t="s">
        <v>127</v>
      </c>
      <c r="H803" t="s">
        <v>10287</v>
      </c>
      <c r="I803" t="s">
        <v>10253</v>
      </c>
      <c r="K803" s="2424" t="s">
        <v>10288</v>
      </c>
      <c r="L803" s="2425" t="s">
        <v>10241</v>
      </c>
      <c r="M803" s="2175" t="s">
        <v>516</v>
      </c>
      <c r="N803" s="2175"/>
      <c r="O803" s="2175" t="s">
        <v>10255</v>
      </c>
      <c r="P803" s="2175" t="s">
        <v>10244</v>
      </c>
      <c r="Q803" s="2232"/>
    </row>
    <row r="804" spans="2:17">
      <c r="B804" s="5" t="s">
        <v>10756</v>
      </c>
      <c r="C804" s="1038" t="s">
        <v>517</v>
      </c>
      <c r="D804" s="529">
        <f>Page5_PARCS_GOUV!F65</f>
        <v>0</v>
      </c>
      <c r="E804" s="529">
        <f>Page5_PARCS_GOUV!K65</f>
        <v>0</v>
      </c>
      <c r="F804" t="str">
        <f t="shared" si="63"/>
        <v>01-00-428M-UNIT-CURR</v>
      </c>
      <c r="G804" t="s">
        <v>127</v>
      </c>
      <c r="H804" t="s">
        <v>10287</v>
      </c>
      <c r="I804" t="s">
        <v>10253</v>
      </c>
      <c r="K804" s="2424" t="s">
        <v>10288</v>
      </c>
      <c r="L804" s="2425" t="s">
        <v>10241</v>
      </c>
      <c r="M804" s="2175" t="s">
        <v>517</v>
      </c>
      <c r="N804" s="2175"/>
      <c r="O804" s="2175" t="s">
        <v>10255</v>
      </c>
      <c r="P804" s="2175" t="s">
        <v>10244</v>
      </c>
      <c r="Q804" s="2232"/>
    </row>
    <row r="805" spans="2:17">
      <c r="B805" s="5" t="s">
        <v>10757</v>
      </c>
      <c r="C805" s="1038" t="s">
        <v>518</v>
      </c>
      <c r="D805" s="529">
        <f>Page5_PARCS_GOUV!F66</f>
        <v>0</v>
      </c>
      <c r="E805" s="529">
        <f>Page5_PARCS_GOUV!K66</f>
        <v>0</v>
      </c>
      <c r="F805" t="str">
        <f t="shared" si="63"/>
        <v>01-00-429M-UNIT-CURR</v>
      </c>
      <c r="G805" t="s">
        <v>127</v>
      </c>
      <c r="H805" t="s">
        <v>10287</v>
      </c>
      <c r="I805" t="s">
        <v>10253</v>
      </c>
      <c r="K805" s="2424" t="s">
        <v>10288</v>
      </c>
      <c r="L805" s="2425" t="s">
        <v>10241</v>
      </c>
      <c r="M805" s="2175" t="s">
        <v>518</v>
      </c>
      <c r="N805" s="2175"/>
      <c r="O805" s="2175" t="s">
        <v>10255</v>
      </c>
      <c r="P805" s="2175" t="s">
        <v>10244</v>
      </c>
      <c r="Q805" s="2232"/>
    </row>
    <row r="806" spans="2:17">
      <c r="B806" s="5" t="s">
        <v>10758</v>
      </c>
      <c r="C806" s="1038" t="s">
        <v>519</v>
      </c>
      <c r="D806" s="529">
        <f>Page5_PARCS_GOUV!F67</f>
        <v>0</v>
      </c>
      <c r="E806" s="529">
        <f>Page5_PARCS_GOUV!K67</f>
        <v>0</v>
      </c>
      <c r="F806" t="str">
        <f t="shared" si="63"/>
        <v>01-00-430M-UNIT-CURR</v>
      </c>
      <c r="G806" t="s">
        <v>127</v>
      </c>
      <c r="H806" t="s">
        <v>10287</v>
      </c>
      <c r="I806" t="s">
        <v>10253</v>
      </c>
      <c r="K806" s="2424" t="s">
        <v>10288</v>
      </c>
      <c r="L806" s="2425" t="s">
        <v>10241</v>
      </c>
      <c r="M806" s="2175" t="s">
        <v>519</v>
      </c>
      <c r="N806" s="2175"/>
      <c r="O806" s="2175" t="s">
        <v>10255</v>
      </c>
      <c r="P806" s="2175" t="s">
        <v>10244</v>
      </c>
      <c r="Q806" s="2232"/>
    </row>
    <row r="807" spans="2:17">
      <c r="B807" s="5" t="s">
        <v>10759</v>
      </c>
      <c r="C807" s="1038" t="s">
        <v>520</v>
      </c>
      <c r="D807" s="529">
        <f>Page5_PARCS_GOUV!F68</f>
        <v>0</v>
      </c>
      <c r="E807" s="529">
        <f>Page5_PARCS_GOUV!K68</f>
        <v>0</v>
      </c>
      <c r="F807" t="str">
        <f t="shared" si="63"/>
        <v>01-00-431M-UNIT-CURR</v>
      </c>
      <c r="G807" t="s">
        <v>127</v>
      </c>
      <c r="H807" t="s">
        <v>10287</v>
      </c>
      <c r="I807" t="s">
        <v>10253</v>
      </c>
      <c r="K807" s="2424" t="s">
        <v>10288</v>
      </c>
      <c r="L807" s="2425" t="s">
        <v>10241</v>
      </c>
      <c r="M807" s="2175" t="s">
        <v>520</v>
      </c>
      <c r="N807" s="2175"/>
      <c r="O807" s="2175" t="s">
        <v>10255</v>
      </c>
      <c r="P807" s="2175" t="s">
        <v>10244</v>
      </c>
      <c r="Q807" s="2232"/>
    </row>
    <row r="808" spans="2:17">
      <c r="B808" s="5" t="s">
        <v>10760</v>
      </c>
      <c r="C808" s="1038" t="s">
        <v>521</v>
      </c>
      <c r="D808" s="529">
        <f>Page5_PARCS_GOUV!F69</f>
        <v>0</v>
      </c>
      <c r="E808" s="529">
        <f>Page5_PARCS_GOUV!K69</f>
        <v>0</v>
      </c>
      <c r="F808" t="str">
        <f t="shared" si="63"/>
        <v>01-00-432M-UNIT-CURR</v>
      </c>
      <c r="G808" t="s">
        <v>127</v>
      </c>
      <c r="H808" t="s">
        <v>10287</v>
      </c>
      <c r="I808" t="s">
        <v>10253</v>
      </c>
      <c r="K808" s="2424" t="s">
        <v>10288</v>
      </c>
      <c r="L808" s="2425" t="s">
        <v>10241</v>
      </c>
      <c r="M808" s="2175" t="s">
        <v>521</v>
      </c>
      <c r="N808" s="2175"/>
      <c r="O808" s="2175" t="s">
        <v>10255</v>
      </c>
      <c r="P808" s="2175" t="s">
        <v>10244</v>
      </c>
      <c r="Q808" s="2232"/>
    </row>
    <row r="809" spans="2:17">
      <c r="B809" s="5" t="s">
        <v>10761</v>
      </c>
      <c r="C809" s="1038" t="s">
        <v>522</v>
      </c>
      <c r="D809" s="529">
        <f>Page5_PARCS_GOUV!F70</f>
        <v>0</v>
      </c>
      <c r="E809" s="529">
        <f>Page5_PARCS_GOUV!K70</f>
        <v>0</v>
      </c>
      <c r="F809" t="str">
        <f t="shared" si="63"/>
        <v>01-00-433M-UNIT-CURR</v>
      </c>
      <c r="G809" t="s">
        <v>127</v>
      </c>
      <c r="H809" t="s">
        <v>10287</v>
      </c>
      <c r="I809" t="s">
        <v>10253</v>
      </c>
      <c r="K809" s="2424" t="s">
        <v>10288</v>
      </c>
      <c r="L809" s="2425" t="s">
        <v>10241</v>
      </c>
      <c r="M809" s="2175" t="s">
        <v>522</v>
      </c>
      <c r="N809" s="2175"/>
      <c r="O809" s="2175" t="s">
        <v>10255</v>
      </c>
      <c r="P809" s="2175" t="s">
        <v>10244</v>
      </c>
      <c r="Q809" s="2232"/>
    </row>
    <row r="810" spans="2:17">
      <c r="B810" s="5" t="s">
        <v>10762</v>
      </c>
      <c r="C810" s="1038" t="s">
        <v>523</v>
      </c>
      <c r="D810" s="529">
        <f>Page5_PARCS_GOUV!F71</f>
        <v>0</v>
      </c>
      <c r="E810" s="529">
        <f>Page5_PARCS_GOUV!K71</f>
        <v>0</v>
      </c>
      <c r="F810" t="str">
        <f t="shared" si="63"/>
        <v>01-00-434M-UNIT-CURR</v>
      </c>
      <c r="G810" t="s">
        <v>127</v>
      </c>
      <c r="H810" t="s">
        <v>10287</v>
      </c>
      <c r="I810" t="s">
        <v>10253</v>
      </c>
      <c r="K810" s="2424" t="s">
        <v>10288</v>
      </c>
      <c r="L810" s="2425" t="s">
        <v>10241</v>
      </c>
      <c r="M810" s="2175" t="s">
        <v>523</v>
      </c>
      <c r="N810" s="2175"/>
      <c r="O810" s="2175" t="s">
        <v>10255</v>
      </c>
      <c r="P810" s="2175" t="s">
        <v>10244</v>
      </c>
      <c r="Q810" s="2232"/>
    </row>
    <row r="811" spans="2:17">
      <c r="B811" s="27" t="s">
        <v>10763</v>
      </c>
      <c r="C811" s="2419"/>
      <c r="D811" s="529">
        <f>Page5_PARCS_GOUV!F72</f>
        <v>0</v>
      </c>
      <c r="E811" s="529">
        <f>Page5_PARCS_GOUV!K72</f>
        <v>0</v>
      </c>
      <c r="F811" t="str">
        <f t="shared" si="63"/>
        <v>01-00-TOTTRK5M-UNIT-CURR</v>
      </c>
      <c r="G811" t="s">
        <v>127</v>
      </c>
      <c r="H811" t="s">
        <v>10287</v>
      </c>
      <c r="I811" t="s">
        <v>10253</v>
      </c>
      <c r="J811" t="s">
        <v>10268</v>
      </c>
      <c r="K811" s="2424" t="s">
        <v>10288</v>
      </c>
      <c r="L811" s="2425" t="s">
        <v>10241</v>
      </c>
      <c r="M811" s="2175" t="s">
        <v>10694</v>
      </c>
      <c r="N811" s="2175"/>
      <c r="O811" s="2175" t="s">
        <v>10255</v>
      </c>
      <c r="P811" s="2175" t="s">
        <v>10244</v>
      </c>
      <c r="Q811" s="2232" t="s">
        <v>773</v>
      </c>
    </row>
    <row r="812" spans="2:17">
      <c r="B812" s="27" t="s">
        <v>10764</v>
      </c>
      <c r="C812" s="2419"/>
      <c r="D812" s="529">
        <f>Page5_PARCS_GOUV!F73</f>
        <v>0</v>
      </c>
      <c r="E812" s="529">
        <f>Page5_PARCS_GOUV!K73</f>
        <v>0</v>
      </c>
      <c r="F812" t="str">
        <f t="shared" si="63"/>
        <v>01-00-TOTVEH5M-UNIT-CURR</v>
      </c>
      <c r="G812" t="s">
        <v>127</v>
      </c>
      <c r="H812" t="s">
        <v>10287</v>
      </c>
      <c r="I812" t="s">
        <v>10253</v>
      </c>
      <c r="J812" t="s">
        <v>10268</v>
      </c>
      <c r="K812" s="2424" t="s">
        <v>10288</v>
      </c>
      <c r="L812" s="2425" t="s">
        <v>10241</v>
      </c>
      <c r="M812" s="2175" t="s">
        <v>10696</v>
      </c>
      <c r="N812" s="2175"/>
      <c r="O812" s="2175" t="s">
        <v>10255</v>
      </c>
      <c r="P812" s="2175" t="s">
        <v>10244</v>
      </c>
      <c r="Q812" s="2232" t="s">
        <v>773</v>
      </c>
    </row>
    <row r="813" spans="2:17">
      <c r="B813" s="27" t="s">
        <v>10765</v>
      </c>
      <c r="C813" s="2423"/>
      <c r="D813" s="529">
        <f>Page5_PARCS!G41</f>
        <v>0</v>
      </c>
      <c r="E813" s="529">
        <f>Page5_PARCS!L41</f>
        <v>0</v>
      </c>
      <c r="F813" t="str">
        <f t="shared" si="63"/>
        <v>01-00-COMCARI-SALES-CURR</v>
      </c>
      <c r="G813" t="s">
        <v>127</v>
      </c>
      <c r="H813" t="s">
        <v>10287</v>
      </c>
      <c r="I813" t="s">
        <v>10253</v>
      </c>
      <c r="J813" t="s">
        <v>10268</v>
      </c>
      <c r="K813" s="2424" t="s">
        <v>10288</v>
      </c>
      <c r="L813" s="2425" t="s">
        <v>10241</v>
      </c>
      <c r="M813" s="2175" t="s">
        <v>10766</v>
      </c>
      <c r="N813" s="2175"/>
      <c r="O813" s="2175" t="s">
        <v>9883</v>
      </c>
      <c r="P813" s="2175" t="s">
        <v>10244</v>
      </c>
      <c r="Q813" s="2232" t="s">
        <v>773</v>
      </c>
    </row>
    <row r="814" spans="2:17">
      <c r="B814" s="27" t="s">
        <v>10767</v>
      </c>
      <c r="C814" s="2423"/>
      <c r="D814" s="529">
        <f>Page5_PARCS!G42</f>
        <v>0</v>
      </c>
      <c r="E814" s="529">
        <f>Page5_PARCS!L42</f>
        <v>0</v>
      </c>
      <c r="F814" t="str">
        <f t="shared" si="63"/>
        <v>01-00-FLTCARI-SALES-CURR</v>
      </c>
      <c r="G814" t="s">
        <v>127</v>
      </c>
      <c r="H814" t="s">
        <v>10287</v>
      </c>
      <c r="I814" t="s">
        <v>10253</v>
      </c>
      <c r="J814" t="s">
        <v>10268</v>
      </c>
      <c r="K814" s="2424" t="s">
        <v>10288</v>
      </c>
      <c r="L814" s="2425" t="s">
        <v>10241</v>
      </c>
      <c r="M814" s="2175" t="s">
        <v>10768</v>
      </c>
      <c r="N814" s="2175"/>
      <c r="O814" s="2175" t="s">
        <v>9883</v>
      </c>
      <c r="P814" s="2175" t="s">
        <v>10244</v>
      </c>
      <c r="Q814" s="2232" t="s">
        <v>773</v>
      </c>
    </row>
    <row r="815" spans="2:17">
      <c r="B815" s="27" t="s">
        <v>10769</v>
      </c>
      <c r="C815" s="2423"/>
      <c r="D815" s="529">
        <f>Page5_PARCS!G43</f>
        <v>0</v>
      </c>
      <c r="E815" s="529">
        <f>Page5_PARCS!L43</f>
        <v>0</v>
      </c>
      <c r="F815" t="str">
        <f t="shared" si="63"/>
        <v>01-00-GOVCARI-SALES-CURR</v>
      </c>
      <c r="G815" t="s">
        <v>127</v>
      </c>
      <c r="H815" t="s">
        <v>10287</v>
      </c>
      <c r="I815" t="s">
        <v>10253</v>
      </c>
      <c r="J815" t="s">
        <v>10268</v>
      </c>
      <c r="K815" s="2424" t="s">
        <v>10288</v>
      </c>
      <c r="L815" s="2425" t="s">
        <v>10241</v>
      </c>
      <c r="M815" s="2175" t="s">
        <v>10770</v>
      </c>
      <c r="N815" s="2175"/>
      <c r="O815" s="2175" t="s">
        <v>9883</v>
      </c>
      <c r="P815" s="2175" t="s">
        <v>10244</v>
      </c>
      <c r="Q815" s="2232" t="s">
        <v>773</v>
      </c>
    </row>
    <row r="816" spans="2:17">
      <c r="B816" s="27" t="s">
        <v>10771</v>
      </c>
      <c r="C816" s="2423"/>
      <c r="D816" s="529">
        <f>Page5_PARCS!I41</f>
        <v>0</v>
      </c>
      <c r="E816" s="529">
        <f>Page5_PARCS!N41</f>
        <v>0</v>
      </c>
      <c r="F816" t="str">
        <f t="shared" si="63"/>
        <v>01-00-COMCARI-GRSPFT-CURR</v>
      </c>
      <c r="G816" t="s">
        <v>127</v>
      </c>
      <c r="H816" t="s">
        <v>10287</v>
      </c>
      <c r="I816" t="s">
        <v>10253</v>
      </c>
      <c r="J816" t="s">
        <v>10268</v>
      </c>
      <c r="K816" s="2424" t="s">
        <v>10288</v>
      </c>
      <c r="L816" s="2425" t="s">
        <v>10241</v>
      </c>
      <c r="M816" s="2175" t="s">
        <v>10766</v>
      </c>
      <c r="N816" s="2175"/>
      <c r="O816" s="2175" t="s">
        <v>10467</v>
      </c>
      <c r="P816" s="2175" t="s">
        <v>10244</v>
      </c>
      <c r="Q816" s="2232" t="s">
        <v>773</v>
      </c>
    </row>
    <row r="817" spans="2:17">
      <c r="B817" s="27" t="s">
        <v>10772</v>
      </c>
      <c r="C817" s="2423"/>
      <c r="D817" s="529">
        <f>Page5_PARCS!I42</f>
        <v>0</v>
      </c>
      <c r="E817" s="529">
        <f>Page5_PARCS!N42</f>
        <v>0</v>
      </c>
      <c r="F817" t="str">
        <f t="shared" si="63"/>
        <v>01-00-FLTCARI-GRSPFT-CURR</v>
      </c>
      <c r="G817" t="s">
        <v>127</v>
      </c>
      <c r="H817" t="s">
        <v>10287</v>
      </c>
      <c r="I817" t="s">
        <v>10253</v>
      </c>
      <c r="J817" t="s">
        <v>10268</v>
      </c>
      <c r="K817" s="2424" t="s">
        <v>10288</v>
      </c>
      <c r="L817" s="2425" t="s">
        <v>10241</v>
      </c>
      <c r="M817" s="2175" t="s">
        <v>10768</v>
      </c>
      <c r="N817" s="2175"/>
      <c r="O817" s="2175" t="s">
        <v>10467</v>
      </c>
      <c r="P817" s="2175" t="s">
        <v>10244</v>
      </c>
      <c r="Q817" s="2232" t="s">
        <v>773</v>
      </c>
    </row>
    <row r="818" spans="2:17">
      <c r="B818" s="27" t="s">
        <v>10773</v>
      </c>
      <c r="C818" s="2423"/>
      <c r="D818" s="529">
        <f>Page5_PARCS!I43</f>
        <v>0</v>
      </c>
      <c r="E818" s="529">
        <f>Page5_PARCS!N43</f>
        <v>0</v>
      </c>
      <c r="F818" t="str">
        <f t="shared" si="63"/>
        <v>01-00-GOVCARI-GRSPFT-CURR</v>
      </c>
      <c r="G818" t="s">
        <v>127</v>
      </c>
      <c r="H818" t="s">
        <v>10287</v>
      </c>
      <c r="I818" t="s">
        <v>10253</v>
      </c>
      <c r="J818" t="s">
        <v>10268</v>
      </c>
      <c r="K818" s="2424" t="s">
        <v>10288</v>
      </c>
      <c r="L818" s="2425" t="s">
        <v>10241</v>
      </c>
      <c r="M818" s="2175" t="s">
        <v>10770</v>
      </c>
      <c r="N818" s="2175"/>
      <c r="O818" s="2175" t="s">
        <v>10467</v>
      </c>
      <c r="P818" s="2175" t="s">
        <v>10244</v>
      </c>
      <c r="Q818" s="2232" t="s">
        <v>773</v>
      </c>
    </row>
    <row r="819" spans="2:17">
      <c r="B819" s="27" t="s">
        <v>10774</v>
      </c>
      <c r="C819" s="2423"/>
      <c r="D819" s="529">
        <f>Page5_PARCS!F41</f>
        <v>0</v>
      </c>
      <c r="E819" s="529">
        <f>Page5_PARCS!K41</f>
        <v>0</v>
      </c>
      <c r="F819" t="str">
        <f t="shared" si="63"/>
        <v>01-00-COMCARI-UNIT-CURR</v>
      </c>
      <c r="G819" t="s">
        <v>127</v>
      </c>
      <c r="H819" t="s">
        <v>10287</v>
      </c>
      <c r="I819" t="s">
        <v>10253</v>
      </c>
      <c r="J819" t="s">
        <v>10268</v>
      </c>
      <c r="K819" s="2424" t="s">
        <v>10288</v>
      </c>
      <c r="L819" s="2425" t="s">
        <v>10241</v>
      </c>
      <c r="M819" s="2175" t="s">
        <v>10766</v>
      </c>
      <c r="N819" s="2175"/>
      <c r="O819" s="2175" t="s">
        <v>10255</v>
      </c>
      <c r="P819" s="2175" t="s">
        <v>10244</v>
      </c>
      <c r="Q819" s="2232" t="s">
        <v>773</v>
      </c>
    </row>
    <row r="820" spans="2:17">
      <c r="B820" s="27" t="s">
        <v>10775</v>
      </c>
      <c r="C820" s="2423"/>
      <c r="D820" s="529">
        <f>Page5_PARCS!F42</f>
        <v>0</v>
      </c>
      <c r="E820" s="529">
        <f>Page5_PARCS!K42</f>
        <v>0</v>
      </c>
      <c r="F820" t="str">
        <f t="shared" si="63"/>
        <v>01-00-FLTCARI-UNIT-CURR</v>
      </c>
      <c r="G820" t="s">
        <v>127</v>
      </c>
      <c r="H820" t="s">
        <v>10287</v>
      </c>
      <c r="I820" t="s">
        <v>10253</v>
      </c>
      <c r="J820" t="s">
        <v>10268</v>
      </c>
      <c r="K820" s="2424" t="s">
        <v>10288</v>
      </c>
      <c r="L820" s="2425" t="s">
        <v>10241</v>
      </c>
      <c r="M820" s="2175" t="s">
        <v>10768</v>
      </c>
      <c r="N820" s="2175"/>
      <c r="O820" s="2175" t="s">
        <v>10255</v>
      </c>
      <c r="P820" s="2175" t="s">
        <v>10244</v>
      </c>
      <c r="Q820" s="2232" t="s">
        <v>773</v>
      </c>
    </row>
    <row r="821" spans="2:17">
      <c r="B821" s="27" t="s">
        <v>10776</v>
      </c>
      <c r="C821" s="2423"/>
      <c r="D821" s="529">
        <f>Page5_PARCS!F43</f>
        <v>0</v>
      </c>
      <c r="E821" s="529">
        <f>Page5_PARCS!K43</f>
        <v>0</v>
      </c>
      <c r="F821" t="str">
        <f t="shared" si="63"/>
        <v>01-00-GOVCARI-UNIT-CURR</v>
      </c>
      <c r="G821" t="s">
        <v>127</v>
      </c>
      <c r="H821" t="s">
        <v>10287</v>
      </c>
      <c r="I821" t="s">
        <v>10253</v>
      </c>
      <c r="J821" t="s">
        <v>10268</v>
      </c>
      <c r="K821" s="2424" t="s">
        <v>10288</v>
      </c>
      <c r="L821" s="2425" t="s">
        <v>10241</v>
      </c>
      <c r="M821" s="2175" t="s">
        <v>10770</v>
      </c>
      <c r="N821" s="2175"/>
      <c r="O821" s="2175" t="s">
        <v>10255</v>
      </c>
      <c r="P821" s="2175" t="s">
        <v>10244</v>
      </c>
      <c r="Q821" s="2232" t="s">
        <v>773</v>
      </c>
    </row>
    <row r="822" spans="2:17">
      <c r="B822" s="27" t="s">
        <v>10777</v>
      </c>
      <c r="C822" s="2423"/>
      <c r="D822" s="529">
        <f>Page5_PARCS!G44</f>
        <v>0</v>
      </c>
      <c r="E822" s="529">
        <f>Page5_PARCS!L44</f>
        <v>0</v>
      </c>
      <c r="F822" t="str">
        <f t="shared" si="63"/>
        <v>01-00-TOTFCGCARI-SALES-CURR</v>
      </c>
      <c r="G822" t="s">
        <v>127</v>
      </c>
      <c r="H822" t="s">
        <v>10287</v>
      </c>
      <c r="I822" t="s">
        <v>10253</v>
      </c>
      <c r="J822" t="s">
        <v>10268</v>
      </c>
      <c r="K822" s="2424" t="s">
        <v>10288</v>
      </c>
      <c r="L822" s="2425" t="s">
        <v>10241</v>
      </c>
      <c r="M822" s="2175" t="s">
        <v>10778</v>
      </c>
      <c r="N822" s="2175"/>
      <c r="O822" s="2175" t="s">
        <v>9883</v>
      </c>
      <c r="P822" s="2175" t="s">
        <v>10244</v>
      </c>
      <c r="Q822" s="2232" t="s">
        <v>773</v>
      </c>
    </row>
    <row r="823" spans="2:17">
      <c r="B823" s="27" t="s">
        <v>10779</v>
      </c>
      <c r="C823" s="2423"/>
      <c r="D823" s="529">
        <f>Page5_PARCS!I44</f>
        <v>0</v>
      </c>
      <c r="E823" s="529">
        <f>Page5_PARCS!N44</f>
        <v>0</v>
      </c>
      <c r="F823" t="str">
        <f t="shared" si="63"/>
        <v>01-00-TOTFCGCARI-GRSPFT-CURR</v>
      </c>
      <c r="G823" t="s">
        <v>127</v>
      </c>
      <c r="H823" t="s">
        <v>10287</v>
      </c>
      <c r="I823" t="s">
        <v>10253</v>
      </c>
      <c r="J823" t="s">
        <v>10268</v>
      </c>
      <c r="K823" s="2424" t="s">
        <v>10288</v>
      </c>
      <c r="L823" s="2425" t="s">
        <v>10241</v>
      </c>
      <c r="M823" s="2175" t="s">
        <v>10778</v>
      </c>
      <c r="N823" s="2175"/>
      <c r="O823" s="2175" t="s">
        <v>10467</v>
      </c>
      <c r="P823" s="2175" t="s">
        <v>10244</v>
      </c>
      <c r="Q823" s="2232" t="s">
        <v>773</v>
      </c>
    </row>
    <row r="824" spans="2:17">
      <c r="B824" s="27" t="s">
        <v>10780</v>
      </c>
      <c r="C824" s="2423"/>
      <c r="D824" s="529">
        <f>Page5_PARCS!K44</f>
        <v>0</v>
      </c>
      <c r="E824" s="529">
        <f>Page5_PARCS!K44</f>
        <v>0</v>
      </c>
      <c r="F824" t="str">
        <f t="shared" si="63"/>
        <v>01-00-TOTFCGCARI-UNIT-CURR</v>
      </c>
      <c r="G824" t="s">
        <v>127</v>
      </c>
      <c r="H824" t="s">
        <v>10287</v>
      </c>
      <c r="I824" t="s">
        <v>10253</v>
      </c>
      <c r="J824" t="s">
        <v>10268</v>
      </c>
      <c r="K824" s="2424" t="s">
        <v>10288</v>
      </c>
      <c r="L824" s="2425" t="s">
        <v>10241</v>
      </c>
      <c r="M824" s="2175" t="s">
        <v>10778</v>
      </c>
      <c r="N824" s="2175"/>
      <c r="O824" s="2175" t="s">
        <v>10255</v>
      </c>
      <c r="P824" s="2175" t="s">
        <v>10244</v>
      </c>
      <c r="Q824" s="2232" t="s">
        <v>773</v>
      </c>
    </row>
    <row r="825" spans="2:17">
      <c r="B825" s="27" t="s">
        <v>10781</v>
      </c>
      <c r="C825" s="2423"/>
      <c r="D825" s="529">
        <f>Page5_PARCS!G45</f>
        <v>0</v>
      </c>
      <c r="E825" s="529">
        <f>Page5_PARCS!L45</f>
        <v>0</v>
      </c>
      <c r="F825" t="str">
        <f t="shared" si="63"/>
        <v>01-00-COMCARE-SALES-CURR</v>
      </c>
      <c r="G825" t="s">
        <v>127</v>
      </c>
      <c r="H825" t="s">
        <v>10287</v>
      </c>
      <c r="I825" t="s">
        <v>10253</v>
      </c>
      <c r="J825" t="s">
        <v>10268</v>
      </c>
      <c r="K825" s="2424" t="s">
        <v>10288</v>
      </c>
      <c r="L825" s="2425" t="s">
        <v>10241</v>
      </c>
      <c r="M825" s="2175" t="s">
        <v>10782</v>
      </c>
      <c r="N825" s="2175"/>
      <c r="O825" s="2175" t="s">
        <v>9883</v>
      </c>
      <c r="P825" s="2175" t="s">
        <v>10244</v>
      </c>
      <c r="Q825" s="2232" t="s">
        <v>773</v>
      </c>
    </row>
    <row r="826" spans="2:17">
      <c r="B826" s="27" t="s">
        <v>10783</v>
      </c>
      <c r="C826" s="2423"/>
      <c r="D826" s="529">
        <f>Page5_PARCS!G46</f>
        <v>0</v>
      </c>
      <c r="E826" s="529">
        <f>Page5_PARCS!L46</f>
        <v>0</v>
      </c>
      <c r="F826" t="str">
        <f t="shared" si="63"/>
        <v>01-00-FLTCARE-SALES-CURR</v>
      </c>
      <c r="G826" t="s">
        <v>127</v>
      </c>
      <c r="H826" t="s">
        <v>10287</v>
      </c>
      <c r="I826" t="s">
        <v>10253</v>
      </c>
      <c r="J826" t="s">
        <v>10268</v>
      </c>
      <c r="K826" s="2424" t="s">
        <v>10288</v>
      </c>
      <c r="L826" s="2425" t="s">
        <v>10241</v>
      </c>
      <c r="M826" s="2175" t="s">
        <v>10784</v>
      </c>
      <c r="N826" s="2175"/>
      <c r="O826" s="2175" t="s">
        <v>9883</v>
      </c>
      <c r="P826" s="2175" t="s">
        <v>10244</v>
      </c>
      <c r="Q826" s="2232" t="s">
        <v>773</v>
      </c>
    </row>
    <row r="827" spans="2:17">
      <c r="B827" s="27" t="s">
        <v>10785</v>
      </c>
      <c r="C827" s="2423"/>
      <c r="D827" s="529">
        <f>Page5_PARCS!G47</f>
        <v>0</v>
      </c>
      <c r="E827" s="529">
        <f>Page5_PARCS!L47</f>
        <v>0</v>
      </c>
      <c r="F827" t="str">
        <f t="shared" si="63"/>
        <v>01-00-GOVCARE-SALES-CURR</v>
      </c>
      <c r="G827" t="s">
        <v>127</v>
      </c>
      <c r="H827" t="s">
        <v>10287</v>
      </c>
      <c r="I827" t="s">
        <v>10253</v>
      </c>
      <c r="J827" t="s">
        <v>10268</v>
      </c>
      <c r="K827" s="2424" t="s">
        <v>10288</v>
      </c>
      <c r="L827" s="2425" t="s">
        <v>10241</v>
      </c>
      <c r="M827" s="2175" t="s">
        <v>10786</v>
      </c>
      <c r="N827" s="2175"/>
      <c r="O827" s="2175" t="s">
        <v>9883</v>
      </c>
      <c r="P827" s="2175" t="s">
        <v>10244</v>
      </c>
      <c r="Q827" s="2232" t="s">
        <v>773</v>
      </c>
    </row>
    <row r="828" spans="2:17">
      <c r="B828" s="27" t="s">
        <v>10787</v>
      </c>
      <c r="C828" s="2423"/>
      <c r="D828" s="529">
        <f>Page5_PARCS!I45</f>
        <v>0</v>
      </c>
      <c r="E828" s="529">
        <f>Page5_PARCS!N45</f>
        <v>0</v>
      </c>
      <c r="F828" t="str">
        <f t="shared" si="63"/>
        <v>01-00-COMCARE-GRSPFT-CURR</v>
      </c>
      <c r="G828" t="s">
        <v>127</v>
      </c>
      <c r="H828" t="s">
        <v>10287</v>
      </c>
      <c r="I828" t="s">
        <v>10253</v>
      </c>
      <c r="J828" t="s">
        <v>10268</v>
      </c>
      <c r="K828" s="2424" t="s">
        <v>10288</v>
      </c>
      <c r="L828" s="2425" t="s">
        <v>10241</v>
      </c>
      <c r="M828" s="2175" t="s">
        <v>10782</v>
      </c>
      <c r="N828" s="2175"/>
      <c r="O828" s="2175" t="s">
        <v>10467</v>
      </c>
      <c r="P828" s="2175" t="s">
        <v>10244</v>
      </c>
      <c r="Q828" s="2232" t="s">
        <v>773</v>
      </c>
    </row>
    <row r="829" spans="2:17">
      <c r="B829" s="27" t="s">
        <v>10788</v>
      </c>
      <c r="C829" s="2423"/>
      <c r="D829" s="529">
        <f>Page5_PARCS!I46</f>
        <v>0</v>
      </c>
      <c r="E829" s="529">
        <f>Page5_PARCS!N46</f>
        <v>0</v>
      </c>
      <c r="F829" t="str">
        <f t="shared" si="63"/>
        <v>01-00-FLTCARE-GRSPFT-CURR</v>
      </c>
      <c r="G829" t="s">
        <v>127</v>
      </c>
      <c r="H829" t="s">
        <v>10287</v>
      </c>
      <c r="I829" t="s">
        <v>10253</v>
      </c>
      <c r="J829" t="s">
        <v>10268</v>
      </c>
      <c r="K829" s="2424" t="s">
        <v>10288</v>
      </c>
      <c r="L829" s="2425" t="s">
        <v>10241</v>
      </c>
      <c r="M829" s="2175" t="s">
        <v>10784</v>
      </c>
      <c r="N829" s="2175"/>
      <c r="O829" s="2175" t="s">
        <v>10467</v>
      </c>
      <c r="P829" s="2175" t="s">
        <v>10244</v>
      </c>
      <c r="Q829" s="2232" t="s">
        <v>773</v>
      </c>
    </row>
    <row r="830" spans="2:17">
      <c r="B830" s="27" t="s">
        <v>10789</v>
      </c>
      <c r="C830" s="2423"/>
      <c r="D830" s="529">
        <f>Page5_PARCS!I47</f>
        <v>0</v>
      </c>
      <c r="E830" s="529">
        <f>Page5_PARCS!N47</f>
        <v>0</v>
      </c>
      <c r="F830" t="str">
        <f t="shared" si="63"/>
        <v>01-00-GOVCARE-GRSPFT-CURR</v>
      </c>
      <c r="G830" t="s">
        <v>127</v>
      </c>
      <c r="H830" t="s">
        <v>10287</v>
      </c>
      <c r="I830" t="s">
        <v>10253</v>
      </c>
      <c r="J830" t="s">
        <v>10268</v>
      </c>
      <c r="K830" s="2424" t="s">
        <v>10288</v>
      </c>
      <c r="L830" s="2425" t="s">
        <v>10241</v>
      </c>
      <c r="M830" s="2175" t="s">
        <v>10786</v>
      </c>
      <c r="N830" s="2175"/>
      <c r="O830" s="2175" t="s">
        <v>10467</v>
      </c>
      <c r="P830" s="2175" t="s">
        <v>10244</v>
      </c>
      <c r="Q830" s="2232" t="s">
        <v>773</v>
      </c>
    </row>
    <row r="831" spans="2:17">
      <c r="B831" s="27" t="s">
        <v>10790</v>
      </c>
      <c r="C831" s="2423"/>
      <c r="D831" s="529">
        <f>Page5_PARCS!F45</f>
        <v>0</v>
      </c>
      <c r="E831" s="529">
        <f>Page5_PARCS!K45</f>
        <v>0</v>
      </c>
      <c r="F831" t="str">
        <f t="shared" si="63"/>
        <v>01-00-COMCARE-UNIT-CURR</v>
      </c>
      <c r="G831" t="s">
        <v>127</v>
      </c>
      <c r="H831" t="s">
        <v>10287</v>
      </c>
      <c r="I831" t="s">
        <v>10253</v>
      </c>
      <c r="J831" t="s">
        <v>10268</v>
      </c>
      <c r="K831" s="2424" t="s">
        <v>10288</v>
      </c>
      <c r="L831" s="2425" t="s">
        <v>10241</v>
      </c>
      <c r="M831" s="2175" t="s">
        <v>10782</v>
      </c>
      <c r="N831" s="2175"/>
      <c r="O831" s="2175" t="s">
        <v>10255</v>
      </c>
      <c r="P831" s="2175" t="s">
        <v>10244</v>
      </c>
      <c r="Q831" s="2232" t="s">
        <v>773</v>
      </c>
    </row>
    <row r="832" spans="2:17">
      <c r="B832" s="27" t="s">
        <v>10791</v>
      </c>
      <c r="C832" s="2423"/>
      <c r="D832" s="529">
        <f>Page5_PARCS!F46</f>
        <v>0</v>
      </c>
      <c r="E832" s="529">
        <f>Page5_PARCS!K46</f>
        <v>0</v>
      </c>
      <c r="F832" t="str">
        <f t="shared" si="63"/>
        <v>01-00-FLTCARE-UNIT-CURR</v>
      </c>
      <c r="G832" t="s">
        <v>127</v>
      </c>
      <c r="H832" t="s">
        <v>10287</v>
      </c>
      <c r="I832" t="s">
        <v>10253</v>
      </c>
      <c r="J832" t="s">
        <v>10268</v>
      </c>
      <c r="K832" s="2424" t="s">
        <v>10288</v>
      </c>
      <c r="L832" s="2425" t="s">
        <v>10241</v>
      </c>
      <c r="M832" s="2175" t="s">
        <v>10784</v>
      </c>
      <c r="N832" s="2175"/>
      <c r="O832" s="2175" t="s">
        <v>10255</v>
      </c>
      <c r="P832" s="2175" t="s">
        <v>10244</v>
      </c>
      <c r="Q832" s="2232" t="s">
        <v>773</v>
      </c>
    </row>
    <row r="833" spans="2:17">
      <c r="B833" s="27" t="s">
        <v>10792</v>
      </c>
      <c r="C833" s="2423"/>
      <c r="D833" s="529">
        <f>Page5_PARCS!F47</f>
        <v>0</v>
      </c>
      <c r="E833" s="529">
        <f>Page5_PARCS!K47</f>
        <v>0</v>
      </c>
      <c r="F833" t="str">
        <f t="shared" si="63"/>
        <v>01-00-GOVCARE-UNIT-CURR</v>
      </c>
      <c r="G833" t="s">
        <v>127</v>
      </c>
      <c r="H833" t="s">
        <v>10287</v>
      </c>
      <c r="I833" t="s">
        <v>10253</v>
      </c>
      <c r="J833" t="s">
        <v>10268</v>
      </c>
      <c r="K833" s="2424" t="s">
        <v>10288</v>
      </c>
      <c r="L833" s="2425" t="s">
        <v>10241</v>
      </c>
      <c r="M833" s="2175" t="s">
        <v>10786</v>
      </c>
      <c r="N833" s="2175"/>
      <c r="O833" s="2175" t="s">
        <v>10255</v>
      </c>
      <c r="P833" s="2175" t="s">
        <v>10244</v>
      </c>
      <c r="Q833" s="2232" t="s">
        <v>773</v>
      </c>
    </row>
    <row r="834" spans="2:17">
      <c r="B834" s="27" t="s">
        <v>10793</v>
      </c>
      <c r="C834" s="2423"/>
      <c r="D834" s="529">
        <f>Page5_PARCS!G48</f>
        <v>0</v>
      </c>
      <c r="E834" s="529">
        <f>Page5_PARCS!L48</f>
        <v>0</v>
      </c>
      <c r="F834" t="str">
        <f t="shared" si="63"/>
        <v>01-00-TOTFCGCARE-SALES-CURR</v>
      </c>
      <c r="G834" t="s">
        <v>127</v>
      </c>
      <c r="H834" t="s">
        <v>10287</v>
      </c>
      <c r="I834" t="s">
        <v>10253</v>
      </c>
      <c r="J834" t="s">
        <v>10268</v>
      </c>
      <c r="K834" s="2424" t="s">
        <v>10288</v>
      </c>
      <c r="L834" s="2425" t="s">
        <v>10241</v>
      </c>
      <c r="M834" s="2175" t="s">
        <v>10794</v>
      </c>
      <c r="N834" s="2175"/>
      <c r="O834" s="2175" t="s">
        <v>9883</v>
      </c>
      <c r="P834" s="2175" t="s">
        <v>10244</v>
      </c>
      <c r="Q834" s="2232" t="s">
        <v>773</v>
      </c>
    </row>
    <row r="835" spans="2:17">
      <c r="B835" s="27" t="s">
        <v>10795</v>
      </c>
      <c r="C835" s="2423"/>
      <c r="D835" s="529">
        <f>Page5_PARCS!I48</f>
        <v>0</v>
      </c>
      <c r="E835" s="529">
        <f>Page5_PARCS!N48</f>
        <v>0</v>
      </c>
      <c r="F835" t="str">
        <f t="shared" si="63"/>
        <v>01-00-TOTFCGCARE-GRSPFT-CURR</v>
      </c>
      <c r="G835" t="s">
        <v>127</v>
      </c>
      <c r="H835" t="s">
        <v>10287</v>
      </c>
      <c r="I835" t="s">
        <v>10253</v>
      </c>
      <c r="J835" t="s">
        <v>10268</v>
      </c>
      <c r="K835" s="2424" t="s">
        <v>10288</v>
      </c>
      <c r="L835" s="2425" t="s">
        <v>10241</v>
      </c>
      <c r="M835" s="2175" t="s">
        <v>10794</v>
      </c>
      <c r="N835" s="2175"/>
      <c r="O835" s="2175" t="s">
        <v>10467</v>
      </c>
      <c r="P835" s="2175" t="s">
        <v>10244</v>
      </c>
      <c r="Q835" s="2232" t="s">
        <v>773</v>
      </c>
    </row>
    <row r="836" spans="2:17">
      <c r="B836" s="27" t="s">
        <v>10796</v>
      </c>
      <c r="C836" s="2423"/>
      <c r="D836" s="529">
        <f>Page5_PARCS!F48</f>
        <v>0</v>
      </c>
      <c r="E836" s="529">
        <f>Page5_PARCS!K48</f>
        <v>0</v>
      </c>
      <c r="F836" t="str">
        <f t="shared" si="63"/>
        <v>01-00-TOTFCGCARE-UNIT-CURR</v>
      </c>
      <c r="G836" t="s">
        <v>127</v>
      </c>
      <c r="H836" t="s">
        <v>10287</v>
      </c>
      <c r="I836" t="s">
        <v>10253</v>
      </c>
      <c r="J836" t="s">
        <v>10268</v>
      </c>
      <c r="K836" s="2424" t="s">
        <v>10288</v>
      </c>
      <c r="L836" s="2425" t="s">
        <v>10241</v>
      </c>
      <c r="M836" s="2175" t="s">
        <v>10794</v>
      </c>
      <c r="N836" s="2175"/>
      <c r="O836" s="2175" t="s">
        <v>10255</v>
      </c>
      <c r="P836" s="2175" t="s">
        <v>10244</v>
      </c>
      <c r="Q836" s="2232" t="s">
        <v>773</v>
      </c>
    </row>
    <row r="837" spans="2:17">
      <c r="B837" s="27" t="s">
        <v>10797</v>
      </c>
      <c r="C837" s="2423"/>
      <c r="D837" s="529">
        <f>Page5_PARCS!G49</f>
        <v>91712</v>
      </c>
      <c r="E837" s="529">
        <f>Page5_PARCS!L49</f>
        <v>137560</v>
      </c>
      <c r="F837" t="str">
        <f t="shared" si="63"/>
        <v>01-00-COMTRKI-SALES-CURR</v>
      </c>
      <c r="G837" t="s">
        <v>127</v>
      </c>
      <c r="H837" t="s">
        <v>10287</v>
      </c>
      <c r="I837" t="s">
        <v>10253</v>
      </c>
      <c r="J837" t="s">
        <v>10268</v>
      </c>
      <c r="K837" s="2424" t="s">
        <v>10288</v>
      </c>
      <c r="L837" s="2425" t="s">
        <v>10241</v>
      </c>
      <c r="M837" s="2175" t="s">
        <v>10798</v>
      </c>
      <c r="N837" s="2175"/>
      <c r="O837" s="2175" t="s">
        <v>9883</v>
      </c>
      <c r="P837" s="2175" t="s">
        <v>10244</v>
      </c>
      <c r="Q837" s="2232" t="s">
        <v>773</v>
      </c>
    </row>
    <row r="838" spans="2:17">
      <c r="B838" s="27" t="s">
        <v>10799</v>
      </c>
      <c r="C838" s="2423"/>
      <c r="D838" s="529">
        <f>Page5_PARCS!G50</f>
        <v>619285</v>
      </c>
      <c r="E838" s="529">
        <f>Page5_PARCS!L50</f>
        <v>2326463</v>
      </c>
      <c r="F838" t="str">
        <f t="shared" si="63"/>
        <v>01-00-FLTTRKI-SALES-CURR</v>
      </c>
      <c r="G838" t="s">
        <v>127</v>
      </c>
      <c r="H838" t="s">
        <v>10287</v>
      </c>
      <c r="I838" t="s">
        <v>10253</v>
      </c>
      <c r="J838" t="s">
        <v>10268</v>
      </c>
      <c r="K838" s="2424" t="s">
        <v>10288</v>
      </c>
      <c r="L838" s="2425" t="s">
        <v>10241</v>
      </c>
      <c r="M838" s="2175" t="s">
        <v>10800</v>
      </c>
      <c r="N838" s="2175"/>
      <c r="O838" s="2175" t="s">
        <v>9883</v>
      </c>
      <c r="P838" s="2175" t="s">
        <v>10244</v>
      </c>
      <c r="Q838" s="2232" t="s">
        <v>773</v>
      </c>
    </row>
    <row r="839" spans="2:17">
      <c r="B839" s="27" t="s">
        <v>10801</v>
      </c>
      <c r="C839" s="2423"/>
      <c r="D839" s="529">
        <f>Page5_PARCS!G51</f>
        <v>0</v>
      </c>
      <c r="E839" s="529">
        <f>Page5_PARCS!L51</f>
        <v>0</v>
      </c>
      <c r="F839" t="str">
        <f t="shared" si="63"/>
        <v>01-00-GOVTRKI-SALES-CURR</v>
      </c>
      <c r="G839" t="s">
        <v>127</v>
      </c>
      <c r="H839" t="s">
        <v>10287</v>
      </c>
      <c r="I839" t="s">
        <v>10253</v>
      </c>
      <c r="J839" t="s">
        <v>10268</v>
      </c>
      <c r="K839" s="2424" t="s">
        <v>10288</v>
      </c>
      <c r="L839" s="2425" t="s">
        <v>10241</v>
      </c>
      <c r="M839" s="2175" t="s">
        <v>10802</v>
      </c>
      <c r="N839" s="2175"/>
      <c r="O839" s="2175" t="s">
        <v>9883</v>
      </c>
      <c r="P839" s="2175" t="s">
        <v>10244</v>
      </c>
      <c r="Q839" s="2232" t="s">
        <v>773</v>
      </c>
    </row>
    <row r="840" spans="2:17">
      <c r="B840" s="27" t="s">
        <v>10803</v>
      </c>
      <c r="C840" s="2423"/>
      <c r="D840" s="529">
        <f>Page5_PARCS!I49</f>
        <v>2897</v>
      </c>
      <c r="E840" s="529">
        <f>Page5_PARCS!N49</f>
        <v>2184</v>
      </c>
      <c r="F840" t="str">
        <f t="shared" si="63"/>
        <v>01-00-COMTRKI-GRSPFT-CURR</v>
      </c>
      <c r="G840" t="s">
        <v>127</v>
      </c>
      <c r="H840" t="s">
        <v>10287</v>
      </c>
      <c r="I840" t="s">
        <v>10253</v>
      </c>
      <c r="J840" t="s">
        <v>10268</v>
      </c>
      <c r="K840" s="2424" t="s">
        <v>10288</v>
      </c>
      <c r="L840" s="2425" t="s">
        <v>10241</v>
      </c>
      <c r="M840" s="2175" t="s">
        <v>10798</v>
      </c>
      <c r="N840" s="2175"/>
      <c r="O840" s="2175" t="s">
        <v>10467</v>
      </c>
      <c r="P840" s="2175" t="s">
        <v>10244</v>
      </c>
      <c r="Q840" s="2232" t="s">
        <v>773</v>
      </c>
    </row>
    <row r="841" spans="2:17">
      <c r="B841" s="27" t="s">
        <v>10804</v>
      </c>
      <c r="C841" s="2423"/>
      <c r="D841" s="529">
        <f>Page5_PARCS!I50</f>
        <v>8149</v>
      </c>
      <c r="E841" s="529">
        <f>Page5_PARCS!N50</f>
        <v>16153</v>
      </c>
      <c r="F841" t="str">
        <f t="shared" si="63"/>
        <v>01-00-FLTTRKI-GRSPFT-CURR</v>
      </c>
      <c r="G841" t="s">
        <v>127</v>
      </c>
      <c r="H841" t="s">
        <v>10287</v>
      </c>
      <c r="I841" t="s">
        <v>10253</v>
      </c>
      <c r="J841" t="s">
        <v>10268</v>
      </c>
      <c r="K841" s="2424" t="s">
        <v>10288</v>
      </c>
      <c r="L841" s="2425" t="s">
        <v>10241</v>
      </c>
      <c r="M841" s="2175" t="s">
        <v>10800</v>
      </c>
      <c r="N841" s="2175"/>
      <c r="O841" s="2175" t="s">
        <v>10467</v>
      </c>
      <c r="P841" s="2175" t="s">
        <v>10244</v>
      </c>
      <c r="Q841" s="2232" t="s">
        <v>773</v>
      </c>
    </row>
    <row r="842" spans="2:17">
      <c r="B842" s="27" t="s">
        <v>10805</v>
      </c>
      <c r="C842" s="2423"/>
      <c r="D842" s="529">
        <f>Page5_PARCS!I51</f>
        <v>0</v>
      </c>
      <c r="E842" s="529">
        <f>Page5_PARCS!N51</f>
        <v>0</v>
      </c>
      <c r="F842" t="str">
        <f t="shared" si="63"/>
        <v>01-00-GOVTRKI-GRSPFT-CURR</v>
      </c>
      <c r="G842" t="s">
        <v>127</v>
      </c>
      <c r="H842" t="s">
        <v>10287</v>
      </c>
      <c r="I842" t="s">
        <v>10253</v>
      </c>
      <c r="J842" t="s">
        <v>10268</v>
      </c>
      <c r="K842" s="2424" t="s">
        <v>10288</v>
      </c>
      <c r="L842" s="2425" t="s">
        <v>10241</v>
      </c>
      <c r="M842" s="2175" t="s">
        <v>10802</v>
      </c>
      <c r="N842" s="2175"/>
      <c r="O842" s="2175" t="s">
        <v>10467</v>
      </c>
      <c r="P842" s="2175" t="s">
        <v>10244</v>
      </c>
      <c r="Q842" s="2232" t="s">
        <v>773</v>
      </c>
    </row>
    <row r="843" spans="2:17">
      <c r="B843" s="27" t="s">
        <v>10806</v>
      </c>
      <c r="C843" s="2423"/>
      <c r="D843" s="529">
        <f>Page5_PARCS!F49</f>
        <v>2</v>
      </c>
      <c r="E843" s="529">
        <f>Page5_PARCS!N49</f>
        <v>2184</v>
      </c>
      <c r="F843" t="str">
        <f t="shared" si="63"/>
        <v>01-00-COMTRKI-UNIT-CURR</v>
      </c>
      <c r="G843" t="s">
        <v>127</v>
      </c>
      <c r="H843" t="s">
        <v>10287</v>
      </c>
      <c r="I843" t="s">
        <v>10253</v>
      </c>
      <c r="J843" t="s">
        <v>10268</v>
      </c>
      <c r="K843" s="2424" t="s">
        <v>10288</v>
      </c>
      <c r="L843" s="2425" t="s">
        <v>10241</v>
      </c>
      <c r="M843" s="2175" t="s">
        <v>10798</v>
      </c>
      <c r="N843" s="2175"/>
      <c r="O843" s="2175" t="s">
        <v>10255</v>
      </c>
      <c r="P843" s="2175" t="s">
        <v>10244</v>
      </c>
      <c r="Q843" s="2232" t="s">
        <v>773</v>
      </c>
    </row>
    <row r="844" spans="2:17">
      <c r="B844" s="27" t="s">
        <v>10807</v>
      </c>
      <c r="C844" s="2423"/>
      <c r="D844" s="529">
        <f>Page5_PARCS!F50</f>
        <v>10</v>
      </c>
      <c r="E844" s="529">
        <f>Page5_PARCS!N50</f>
        <v>16153</v>
      </c>
      <c r="F844" t="str">
        <f t="shared" si="63"/>
        <v>01-00-FLTTRKI-UNIT-CURR</v>
      </c>
      <c r="G844" t="s">
        <v>127</v>
      </c>
      <c r="H844" t="s">
        <v>10287</v>
      </c>
      <c r="I844" t="s">
        <v>10253</v>
      </c>
      <c r="J844" t="s">
        <v>10268</v>
      </c>
      <c r="K844" s="2424" t="s">
        <v>10288</v>
      </c>
      <c r="L844" s="2425" t="s">
        <v>10241</v>
      </c>
      <c r="M844" s="2175" t="s">
        <v>10800</v>
      </c>
      <c r="N844" s="2175"/>
      <c r="O844" s="2175" t="s">
        <v>10255</v>
      </c>
      <c r="P844" s="2175" t="s">
        <v>10244</v>
      </c>
      <c r="Q844" s="2232" t="s">
        <v>773</v>
      </c>
    </row>
    <row r="845" spans="2:17">
      <c r="B845" s="27" t="s">
        <v>10808</v>
      </c>
      <c r="C845" s="2423"/>
      <c r="D845" s="529">
        <f>Page5_PARCS!F51</f>
        <v>0</v>
      </c>
      <c r="E845" s="529">
        <f>Page5_PARCS!N51</f>
        <v>0</v>
      </c>
      <c r="F845" t="str">
        <f t="shared" si="63"/>
        <v>01-00-GOVTRKI-UNIT-CURR</v>
      </c>
      <c r="G845" t="s">
        <v>127</v>
      </c>
      <c r="H845" t="s">
        <v>10287</v>
      </c>
      <c r="I845" t="s">
        <v>10253</v>
      </c>
      <c r="J845" t="s">
        <v>10268</v>
      </c>
      <c r="K845" s="2424" t="s">
        <v>10288</v>
      </c>
      <c r="L845" s="2425" t="s">
        <v>10241</v>
      </c>
      <c r="M845" s="2175" t="s">
        <v>10802</v>
      </c>
      <c r="N845" s="2175"/>
      <c r="O845" s="2175" t="s">
        <v>10255</v>
      </c>
      <c r="P845" s="2175" t="s">
        <v>10244</v>
      </c>
      <c r="Q845" s="2232" t="s">
        <v>773</v>
      </c>
    </row>
    <row r="846" spans="2:17">
      <c r="B846" s="27" t="s">
        <v>10809</v>
      </c>
      <c r="C846" s="2423"/>
      <c r="D846" s="529">
        <f>Page5_PARCS!G52</f>
        <v>710997</v>
      </c>
      <c r="E846" s="529">
        <f>Page5_PARCS!L52</f>
        <v>2464023</v>
      </c>
      <c r="F846" t="str">
        <f t="shared" si="63"/>
        <v>01-00-TOTFCGTRKI-SALES-CURR</v>
      </c>
      <c r="G846" t="s">
        <v>127</v>
      </c>
      <c r="H846" t="s">
        <v>10287</v>
      </c>
      <c r="I846" t="s">
        <v>10253</v>
      </c>
      <c r="J846" t="s">
        <v>10268</v>
      </c>
      <c r="K846" s="2424" t="s">
        <v>10288</v>
      </c>
      <c r="L846" s="2425" t="s">
        <v>10241</v>
      </c>
      <c r="M846" s="2175" t="s">
        <v>10810</v>
      </c>
      <c r="N846" s="2175"/>
      <c r="O846" s="2175" t="s">
        <v>9883</v>
      </c>
      <c r="P846" s="2175" t="s">
        <v>10244</v>
      </c>
      <c r="Q846" s="2232" t="s">
        <v>773</v>
      </c>
    </row>
    <row r="847" spans="2:17">
      <c r="B847" s="27" t="s">
        <v>10811</v>
      </c>
      <c r="C847" s="2423"/>
      <c r="D847" s="529">
        <f>Page5_PARCS!I52</f>
        <v>11046</v>
      </c>
      <c r="E847" s="529">
        <f>Page5_PARCS!N52</f>
        <v>18337</v>
      </c>
      <c r="F847" t="str">
        <f t="shared" si="63"/>
        <v>01-00-TOTFCGTRKI-GRSPFT-CURR</v>
      </c>
      <c r="G847" t="s">
        <v>127</v>
      </c>
      <c r="H847" t="s">
        <v>10287</v>
      </c>
      <c r="I847" t="s">
        <v>10253</v>
      </c>
      <c r="J847" t="s">
        <v>10268</v>
      </c>
      <c r="K847" s="2424" t="s">
        <v>10288</v>
      </c>
      <c r="L847" s="2425" t="s">
        <v>10241</v>
      </c>
      <c r="M847" s="2175" t="s">
        <v>10810</v>
      </c>
      <c r="N847" s="2175"/>
      <c r="O847" s="2175" t="s">
        <v>10467</v>
      </c>
      <c r="P847" s="2175" t="s">
        <v>10244</v>
      </c>
      <c r="Q847" s="2232" t="s">
        <v>773</v>
      </c>
    </row>
    <row r="848" spans="2:17">
      <c r="B848" s="27" t="s">
        <v>10812</v>
      </c>
      <c r="C848" s="2423"/>
      <c r="D848" s="529">
        <f>Page5_PARCS!F52</f>
        <v>12</v>
      </c>
      <c r="E848" s="529">
        <f>Page5_PARCS!K52</f>
        <v>37</v>
      </c>
      <c r="F848" t="str">
        <f t="shared" si="63"/>
        <v>01-00-TOTFCGTRKI-UNIT-CURR</v>
      </c>
      <c r="G848" t="s">
        <v>127</v>
      </c>
      <c r="H848" t="s">
        <v>10287</v>
      </c>
      <c r="I848" t="s">
        <v>10253</v>
      </c>
      <c r="J848" t="s">
        <v>10268</v>
      </c>
      <c r="K848" s="2424" t="s">
        <v>10288</v>
      </c>
      <c r="L848" s="2425" t="s">
        <v>10241</v>
      </c>
      <c r="M848" s="2175" t="s">
        <v>10810</v>
      </c>
      <c r="N848" s="2175"/>
      <c r="O848" s="2175" t="s">
        <v>10255</v>
      </c>
      <c r="P848" s="2175" t="s">
        <v>10244</v>
      </c>
      <c r="Q848" s="2232" t="s">
        <v>773</v>
      </c>
    </row>
    <row r="849" spans="2:17">
      <c r="B849" s="27" t="s">
        <v>10813</v>
      </c>
      <c r="C849" s="2423"/>
      <c r="D849" s="529">
        <f>Page5_PARCS!G53</f>
        <v>0</v>
      </c>
      <c r="E849" s="529">
        <f>Page5_PARCS!L53</f>
        <v>0</v>
      </c>
      <c r="F849" t="str">
        <f t="shared" si="63"/>
        <v>01-00-COMTRKE-SALES-CURR</v>
      </c>
      <c r="G849" t="s">
        <v>127</v>
      </c>
      <c r="H849" t="s">
        <v>10287</v>
      </c>
      <c r="I849" t="s">
        <v>10253</v>
      </c>
      <c r="J849" t="s">
        <v>10268</v>
      </c>
      <c r="K849" s="2424" t="s">
        <v>10288</v>
      </c>
      <c r="L849" s="2425" t="s">
        <v>10241</v>
      </c>
      <c r="M849" s="2175" t="s">
        <v>10814</v>
      </c>
      <c r="N849" s="2175"/>
      <c r="O849" s="2175" t="s">
        <v>9883</v>
      </c>
      <c r="P849" s="2175" t="s">
        <v>10244</v>
      </c>
      <c r="Q849" s="2232" t="s">
        <v>773</v>
      </c>
    </row>
    <row r="850" spans="2:17">
      <c r="B850" s="27" t="s">
        <v>10815</v>
      </c>
      <c r="C850" s="2423"/>
      <c r="D850" s="529">
        <f>Page5_PARCS!G54</f>
        <v>0</v>
      </c>
      <c r="E850" s="529">
        <f>Page5_PARCS!L54</f>
        <v>0</v>
      </c>
      <c r="F850" t="str">
        <f t="shared" si="63"/>
        <v>01-00-FLTTRKE-SALES-CURR</v>
      </c>
      <c r="G850" t="s">
        <v>127</v>
      </c>
      <c r="H850" t="s">
        <v>10287</v>
      </c>
      <c r="I850" t="s">
        <v>10253</v>
      </c>
      <c r="J850" t="s">
        <v>10268</v>
      </c>
      <c r="K850" s="2424" t="s">
        <v>10288</v>
      </c>
      <c r="L850" s="2425" t="s">
        <v>10241</v>
      </c>
      <c r="M850" s="2175" t="s">
        <v>10816</v>
      </c>
      <c r="N850" s="2175"/>
      <c r="O850" s="2175" t="s">
        <v>9883</v>
      </c>
      <c r="P850" s="2175" t="s">
        <v>10244</v>
      </c>
      <c r="Q850" s="2232" t="s">
        <v>773</v>
      </c>
    </row>
    <row r="851" spans="2:17">
      <c r="B851" s="27" t="s">
        <v>10817</v>
      </c>
      <c r="C851" s="2423"/>
      <c r="D851" s="529">
        <f>Page5_PARCS!G55</f>
        <v>0</v>
      </c>
      <c r="E851" s="529">
        <f>Page5_PARCS!L55</f>
        <v>0</v>
      </c>
      <c r="F851" t="str">
        <f t="shared" si="63"/>
        <v>01-00-GOVTRKE-SALES-CURR</v>
      </c>
      <c r="G851" t="s">
        <v>127</v>
      </c>
      <c r="H851" t="s">
        <v>10287</v>
      </c>
      <c r="I851" t="s">
        <v>10253</v>
      </c>
      <c r="J851" t="s">
        <v>10268</v>
      </c>
      <c r="K851" s="2424" t="s">
        <v>10288</v>
      </c>
      <c r="L851" s="2425" t="s">
        <v>10241</v>
      </c>
      <c r="M851" s="2175" t="s">
        <v>10818</v>
      </c>
      <c r="N851" s="2175"/>
      <c r="O851" s="2175" t="s">
        <v>9883</v>
      </c>
      <c r="P851" s="2175" t="s">
        <v>10244</v>
      </c>
      <c r="Q851" s="2232" t="s">
        <v>773</v>
      </c>
    </row>
    <row r="852" spans="2:17">
      <c r="B852" s="27" t="s">
        <v>10819</v>
      </c>
      <c r="C852" s="2423"/>
      <c r="D852" s="529">
        <f>Page5_PARCS!I53</f>
        <v>0</v>
      </c>
      <c r="E852" s="529">
        <f>Page5_PARCS!N53</f>
        <v>0</v>
      </c>
      <c r="F852" t="str">
        <f t="shared" si="63"/>
        <v>01-00-COMTRKE-GRSPFT-CURR</v>
      </c>
      <c r="G852" t="s">
        <v>127</v>
      </c>
      <c r="H852" t="s">
        <v>10287</v>
      </c>
      <c r="I852" t="s">
        <v>10253</v>
      </c>
      <c r="J852" t="s">
        <v>10268</v>
      </c>
      <c r="K852" s="2424" t="s">
        <v>10288</v>
      </c>
      <c r="L852" s="2425" t="s">
        <v>10241</v>
      </c>
      <c r="M852" s="2175" t="s">
        <v>10814</v>
      </c>
      <c r="N852" s="2175"/>
      <c r="O852" s="2175" t="s">
        <v>10467</v>
      </c>
      <c r="P852" s="2175" t="s">
        <v>10244</v>
      </c>
      <c r="Q852" s="2232" t="s">
        <v>773</v>
      </c>
    </row>
    <row r="853" spans="2:17">
      <c r="B853" s="27" t="s">
        <v>10820</v>
      </c>
      <c r="C853" s="2423"/>
      <c r="D853" s="529">
        <f>Page5_PARCS!I54</f>
        <v>0</v>
      </c>
      <c r="E853" s="529">
        <f>Page5_PARCS!N54</f>
        <v>0</v>
      </c>
      <c r="F853" t="str">
        <f t="shared" si="63"/>
        <v>01-00-FLTTRKE-GRSPFT-CURR</v>
      </c>
      <c r="G853" t="s">
        <v>127</v>
      </c>
      <c r="H853" t="s">
        <v>10287</v>
      </c>
      <c r="I853" t="s">
        <v>10253</v>
      </c>
      <c r="J853" t="s">
        <v>10268</v>
      </c>
      <c r="K853" s="2424" t="s">
        <v>10288</v>
      </c>
      <c r="L853" s="2425" t="s">
        <v>10241</v>
      </c>
      <c r="M853" s="2175" t="s">
        <v>10816</v>
      </c>
      <c r="N853" s="2175"/>
      <c r="O853" s="2175" t="s">
        <v>10467</v>
      </c>
      <c r="P853" s="2175" t="s">
        <v>10244</v>
      </c>
      <c r="Q853" s="2232" t="s">
        <v>773</v>
      </c>
    </row>
    <row r="854" spans="2:17">
      <c r="B854" s="27" t="s">
        <v>10821</v>
      </c>
      <c r="C854" s="2423"/>
      <c r="D854" s="529">
        <f>Page5_PARCS!I55</f>
        <v>0</v>
      </c>
      <c r="E854" s="529">
        <f>Page5_PARCS!N55</f>
        <v>0</v>
      </c>
      <c r="F854" t="str">
        <f t="shared" si="63"/>
        <v>01-00-GOVTRKE-GRSPFT-CURR</v>
      </c>
      <c r="G854" t="s">
        <v>127</v>
      </c>
      <c r="H854" t="s">
        <v>10287</v>
      </c>
      <c r="I854" t="s">
        <v>10253</v>
      </c>
      <c r="J854" t="s">
        <v>10268</v>
      </c>
      <c r="K854" s="2424" t="s">
        <v>10288</v>
      </c>
      <c r="L854" s="2425" t="s">
        <v>10241</v>
      </c>
      <c r="M854" s="2175" t="s">
        <v>10818</v>
      </c>
      <c r="N854" s="2175"/>
      <c r="O854" s="2175" t="s">
        <v>10467</v>
      </c>
      <c r="P854" s="2175" t="s">
        <v>10244</v>
      </c>
      <c r="Q854" s="2232" t="s">
        <v>773</v>
      </c>
    </row>
    <row r="855" spans="2:17">
      <c r="B855" s="27" t="s">
        <v>10822</v>
      </c>
      <c r="C855" s="2423"/>
      <c r="D855" s="529">
        <f>Page5_PARCS!F53</f>
        <v>0</v>
      </c>
      <c r="E855" s="529">
        <f>Page5_PARCS!K53</f>
        <v>0</v>
      </c>
      <c r="F855" t="str">
        <f t="shared" si="63"/>
        <v>01-00-COMTRKE-UNIT-CURR</v>
      </c>
      <c r="G855" t="s">
        <v>127</v>
      </c>
      <c r="H855" t="s">
        <v>10287</v>
      </c>
      <c r="I855" t="s">
        <v>10253</v>
      </c>
      <c r="J855" t="s">
        <v>10268</v>
      </c>
      <c r="K855" s="2424" t="s">
        <v>10288</v>
      </c>
      <c r="L855" s="2425" t="s">
        <v>10241</v>
      </c>
      <c r="M855" s="2175" t="s">
        <v>10814</v>
      </c>
      <c r="N855" s="2175"/>
      <c r="O855" s="2175" t="s">
        <v>10255</v>
      </c>
      <c r="P855" s="2175" t="s">
        <v>10244</v>
      </c>
      <c r="Q855" s="2232" t="s">
        <v>773</v>
      </c>
    </row>
    <row r="856" spans="2:17">
      <c r="B856" s="27" t="s">
        <v>10823</v>
      </c>
      <c r="C856" s="2423"/>
      <c r="D856" s="529">
        <f>Page5_PARCS!F54</f>
        <v>0</v>
      </c>
      <c r="E856" s="529">
        <f>Page5_PARCS!K54</f>
        <v>0</v>
      </c>
      <c r="F856" t="str">
        <f t="shared" si="63"/>
        <v>01-00-FLTTRKE-UNIT-CURR</v>
      </c>
      <c r="G856" t="s">
        <v>127</v>
      </c>
      <c r="H856" t="s">
        <v>10287</v>
      </c>
      <c r="I856" t="s">
        <v>10253</v>
      </c>
      <c r="J856" t="s">
        <v>10268</v>
      </c>
      <c r="K856" s="2424" t="s">
        <v>10288</v>
      </c>
      <c r="L856" s="2425" t="s">
        <v>10241</v>
      </c>
      <c r="M856" s="2175" t="s">
        <v>10816</v>
      </c>
      <c r="N856" s="2175"/>
      <c r="O856" s="2175" t="s">
        <v>10255</v>
      </c>
      <c r="P856" s="2175" t="s">
        <v>10244</v>
      </c>
      <c r="Q856" s="2232" t="s">
        <v>773</v>
      </c>
    </row>
    <row r="857" spans="2:17">
      <c r="B857" s="27" t="s">
        <v>10824</v>
      </c>
      <c r="C857" s="2423"/>
      <c r="D857" s="529">
        <f>Page5_PARCS!F55</f>
        <v>0</v>
      </c>
      <c r="E857" s="529">
        <f>Page5_PARCS!K55</f>
        <v>0</v>
      </c>
      <c r="F857" t="str">
        <f t="shared" si="63"/>
        <v>01-00-GOVTRKE-UNIT-CURR</v>
      </c>
      <c r="G857" t="s">
        <v>127</v>
      </c>
      <c r="H857" t="s">
        <v>10287</v>
      </c>
      <c r="I857" t="s">
        <v>10253</v>
      </c>
      <c r="J857" t="s">
        <v>10268</v>
      </c>
      <c r="K857" s="2424" t="s">
        <v>10288</v>
      </c>
      <c r="L857" s="2425" t="s">
        <v>10241</v>
      </c>
      <c r="M857" s="2175" t="s">
        <v>10818</v>
      </c>
      <c r="N857" s="2175"/>
      <c r="O857" s="2175" t="s">
        <v>10255</v>
      </c>
      <c r="P857" s="2175" t="s">
        <v>10244</v>
      </c>
      <c r="Q857" s="2232" t="s">
        <v>773</v>
      </c>
    </row>
    <row r="858" spans="2:17">
      <c r="B858" s="27" t="s">
        <v>10825</v>
      </c>
      <c r="C858" s="2423"/>
      <c r="D858" s="529">
        <f>Page5_PARCS!G56</f>
        <v>0</v>
      </c>
      <c r="E858" s="529">
        <f>Page5_PARCS!L56</f>
        <v>0</v>
      </c>
      <c r="F858" t="str">
        <f t="shared" si="63"/>
        <v>01-00-TOTFCGTRKE-SALES-CURR</v>
      </c>
      <c r="G858" t="s">
        <v>127</v>
      </c>
      <c r="H858" t="s">
        <v>10287</v>
      </c>
      <c r="I858" t="s">
        <v>10253</v>
      </c>
      <c r="J858" t="s">
        <v>10268</v>
      </c>
      <c r="K858" s="2424" t="s">
        <v>10288</v>
      </c>
      <c r="L858" s="2425" t="s">
        <v>10241</v>
      </c>
      <c r="M858" s="2175" t="s">
        <v>10826</v>
      </c>
      <c r="N858" s="2175"/>
      <c r="O858" s="2175" t="s">
        <v>9883</v>
      </c>
      <c r="P858" s="2175" t="s">
        <v>10244</v>
      </c>
      <c r="Q858" s="2232" t="s">
        <v>773</v>
      </c>
    </row>
    <row r="859" spans="2:17">
      <c r="B859" s="27" t="s">
        <v>10827</v>
      </c>
      <c r="C859" s="2423"/>
      <c r="D859" s="529">
        <f>Page5_PARCS!I56</f>
        <v>0</v>
      </c>
      <c r="E859" s="529">
        <f>Page5_PARCS!N56</f>
        <v>0</v>
      </c>
      <c r="F859" t="str">
        <f t="shared" si="63"/>
        <v>01-00-TOTFCGTRKE-GRSPFT-CURR</v>
      </c>
      <c r="G859" t="s">
        <v>127</v>
      </c>
      <c r="H859" t="s">
        <v>10287</v>
      </c>
      <c r="I859" t="s">
        <v>10253</v>
      </c>
      <c r="J859" t="s">
        <v>10268</v>
      </c>
      <c r="K859" s="2424" t="s">
        <v>10288</v>
      </c>
      <c r="L859" s="2425" t="s">
        <v>10241</v>
      </c>
      <c r="M859" s="2175" t="s">
        <v>10826</v>
      </c>
      <c r="N859" s="2175"/>
      <c r="O859" s="2175" t="s">
        <v>10467</v>
      </c>
      <c r="P859" s="2175" t="s">
        <v>10244</v>
      </c>
      <c r="Q859" s="2232" t="s">
        <v>773</v>
      </c>
    </row>
    <row r="860" spans="2:17">
      <c r="B860" s="27" t="s">
        <v>10828</v>
      </c>
      <c r="C860" s="2423"/>
      <c r="D860" s="529">
        <f>Page5_PARCS!F56</f>
        <v>0</v>
      </c>
      <c r="E860" s="529">
        <f>Page5_PARCS!K56</f>
        <v>0</v>
      </c>
      <c r="F860" t="str">
        <f t="shared" si="63"/>
        <v>01-00-TOTFCGTRKE-UNIT-CURR</v>
      </c>
      <c r="G860" t="s">
        <v>127</v>
      </c>
      <c r="H860" t="s">
        <v>10287</v>
      </c>
      <c r="I860" t="s">
        <v>10253</v>
      </c>
      <c r="J860" t="s">
        <v>10268</v>
      </c>
      <c r="K860" s="2424" t="s">
        <v>10288</v>
      </c>
      <c r="L860" s="2425" t="s">
        <v>10241</v>
      </c>
      <c r="M860" s="2175" t="s">
        <v>10826</v>
      </c>
      <c r="N860" s="2175"/>
      <c r="O860" s="2175" t="s">
        <v>10255</v>
      </c>
      <c r="P860" s="2175" t="s">
        <v>10244</v>
      </c>
      <c r="Q860" s="2232" t="s">
        <v>773</v>
      </c>
    </row>
    <row r="861" spans="2:17">
      <c r="B861" s="27" t="s">
        <v>10829</v>
      </c>
      <c r="C861" s="2423"/>
      <c r="D861" s="529">
        <f>Page5_PARCS!G57</f>
        <v>0</v>
      </c>
      <c r="E861" s="529">
        <f>Page5_PARCS!L57</f>
        <v>0</v>
      </c>
      <c r="F861" t="str">
        <f t="shared" si="63"/>
        <v>01-00-TOTFCGCAR-SALES-CURR</v>
      </c>
      <c r="G861" t="s">
        <v>127</v>
      </c>
      <c r="H861" t="s">
        <v>10287</v>
      </c>
      <c r="I861" t="s">
        <v>10253</v>
      </c>
      <c r="J861" t="s">
        <v>10268</v>
      </c>
      <c r="K861" s="2424" t="s">
        <v>10288</v>
      </c>
      <c r="L861" s="2425" t="s">
        <v>10241</v>
      </c>
      <c r="M861" s="2175" t="s">
        <v>10830</v>
      </c>
      <c r="N861" s="2175"/>
      <c r="O861" s="2175" t="s">
        <v>9883</v>
      </c>
      <c r="P861" s="2175" t="s">
        <v>10244</v>
      </c>
      <c r="Q861" s="2232" t="s">
        <v>773</v>
      </c>
    </row>
    <row r="862" spans="2:17">
      <c r="B862" s="27" t="s">
        <v>10831</v>
      </c>
      <c r="C862" s="2423"/>
      <c r="D862" s="529">
        <f>Page5_PARCS!I57</f>
        <v>0</v>
      </c>
      <c r="E862" s="529">
        <f>Page5_PARCS!N57</f>
        <v>0</v>
      </c>
      <c r="F862" t="str">
        <f t="shared" si="63"/>
        <v>01-00-TOTFCGCAR-GRSPFT-CURR</v>
      </c>
      <c r="G862" t="s">
        <v>127</v>
      </c>
      <c r="H862" t="s">
        <v>10287</v>
      </c>
      <c r="I862" t="s">
        <v>10253</v>
      </c>
      <c r="J862" t="s">
        <v>10268</v>
      </c>
      <c r="K862" s="2424" t="s">
        <v>10288</v>
      </c>
      <c r="L862" s="2425" t="s">
        <v>10241</v>
      </c>
      <c r="M862" s="2175" t="s">
        <v>10830</v>
      </c>
      <c r="N862" s="2175"/>
      <c r="O862" s="2175" t="s">
        <v>10467</v>
      </c>
      <c r="P862" s="2175" t="s">
        <v>10244</v>
      </c>
      <c r="Q862" s="2232" t="s">
        <v>773</v>
      </c>
    </row>
    <row r="863" spans="2:17">
      <c r="B863" s="27" t="s">
        <v>10832</v>
      </c>
      <c r="C863" s="2423"/>
      <c r="D863" s="529">
        <f>Page5_PARCS!F57</f>
        <v>0</v>
      </c>
      <c r="E863" s="529">
        <f>Page5_PARCS!K57</f>
        <v>0</v>
      </c>
      <c r="F863" t="str">
        <f t="shared" si="63"/>
        <v>01-00-TOTFCGCAR-UNIT-CURR</v>
      </c>
      <c r="G863" t="s">
        <v>127</v>
      </c>
      <c r="H863" t="s">
        <v>10287</v>
      </c>
      <c r="I863" t="s">
        <v>10253</v>
      </c>
      <c r="J863" t="s">
        <v>10268</v>
      </c>
      <c r="K863" s="2424" t="s">
        <v>10288</v>
      </c>
      <c r="L863" s="2425" t="s">
        <v>10241</v>
      </c>
      <c r="M863" s="2175" t="s">
        <v>10830</v>
      </c>
      <c r="N863" s="2175"/>
      <c r="O863" s="2175" t="s">
        <v>10255</v>
      </c>
      <c r="P863" s="2175" t="s">
        <v>10244</v>
      </c>
      <c r="Q863" s="2232" t="s">
        <v>773</v>
      </c>
    </row>
    <row r="864" spans="2:17">
      <c r="B864" s="27" t="s">
        <v>10833</v>
      </c>
      <c r="C864" s="2423"/>
      <c r="D864" s="529">
        <f>Page5_PARCS!G58</f>
        <v>710997</v>
      </c>
      <c r="E864" s="529">
        <f>Page5_PARCS!L58</f>
        <v>2464023</v>
      </c>
      <c r="F864" t="str">
        <f t="shared" ref="F864:F866" si="64">TEXT(K864,"00")&amp;"-"&amp;L864&amp;IF(M864="","","-"&amp;M864)&amp;IF(N864="","","-"&amp;N864)&amp;IF(OR(O864="",O864=0),"","-"&amp;O864)&amp;IF(P864="","","-"&amp;P864)</f>
        <v>01-00-TOTFCGTRK-SALES-CURR</v>
      </c>
      <c r="G864" t="s">
        <v>127</v>
      </c>
      <c r="H864" t="s">
        <v>10287</v>
      </c>
      <c r="I864" t="s">
        <v>10253</v>
      </c>
      <c r="J864" t="s">
        <v>10268</v>
      </c>
      <c r="K864" s="2424" t="s">
        <v>10288</v>
      </c>
      <c r="L864" s="2425" t="s">
        <v>10241</v>
      </c>
      <c r="M864" s="2175" t="s">
        <v>10834</v>
      </c>
      <c r="N864" s="2175"/>
      <c r="O864" s="2175" t="s">
        <v>9883</v>
      </c>
      <c r="P864" s="2175" t="s">
        <v>10244</v>
      </c>
      <c r="Q864" s="2232" t="s">
        <v>773</v>
      </c>
    </row>
    <row r="865" spans="2:18">
      <c r="B865" s="27" t="s">
        <v>10835</v>
      </c>
      <c r="C865" s="2423"/>
      <c r="D865" s="529">
        <f>Page5_PARCS!I58</f>
        <v>11046</v>
      </c>
      <c r="E865" s="529">
        <f>Page5_PARCS!N58</f>
        <v>18337</v>
      </c>
      <c r="F865" t="str">
        <f t="shared" si="64"/>
        <v>01-00-TOTFCGTRK-GRSPFT-CURR</v>
      </c>
      <c r="G865" t="s">
        <v>127</v>
      </c>
      <c r="H865" t="s">
        <v>10287</v>
      </c>
      <c r="I865" t="s">
        <v>10253</v>
      </c>
      <c r="J865" t="s">
        <v>10268</v>
      </c>
      <c r="K865" s="2424" t="s">
        <v>10288</v>
      </c>
      <c r="L865" s="2425" t="s">
        <v>10241</v>
      </c>
      <c r="M865" s="2175" t="s">
        <v>10834</v>
      </c>
      <c r="N865" s="2175"/>
      <c r="O865" s="2175" t="s">
        <v>10467</v>
      </c>
      <c r="P865" s="2175" t="s">
        <v>10244</v>
      </c>
      <c r="Q865" s="2232" t="s">
        <v>773</v>
      </c>
    </row>
    <row r="866" spans="2:18">
      <c r="B866" s="27" t="s">
        <v>10836</v>
      </c>
      <c r="C866" s="2423"/>
      <c r="D866" s="529">
        <f>Page5_PARCS!F58</f>
        <v>12</v>
      </c>
      <c r="E866" s="529">
        <f>Page5_PARCS!K58</f>
        <v>37</v>
      </c>
      <c r="F866" t="str">
        <f t="shared" si="64"/>
        <v>01-00-TOTFCGTRK-UNIT-CURR</v>
      </c>
      <c r="G866" t="s">
        <v>127</v>
      </c>
      <c r="H866" t="s">
        <v>10287</v>
      </c>
      <c r="I866" t="s">
        <v>10253</v>
      </c>
      <c r="J866" t="s">
        <v>10268</v>
      </c>
      <c r="K866" s="2424" t="s">
        <v>10288</v>
      </c>
      <c r="L866" s="2425" t="s">
        <v>10241</v>
      </c>
      <c r="M866" s="2175" t="s">
        <v>10834</v>
      </c>
      <c r="N866" s="2175"/>
      <c r="O866" s="2175" t="s">
        <v>10255</v>
      </c>
      <c r="P866" s="2175" t="s">
        <v>10244</v>
      </c>
      <c r="Q866" s="2232" t="s">
        <v>773</v>
      </c>
    </row>
    <row r="867" spans="2:18">
      <c r="B867" s="1077" t="s">
        <v>5293</v>
      </c>
      <c r="C867" s="1045" t="s">
        <v>691</v>
      </c>
      <c r="D867" s="7">
        <f>Page6!F4</f>
        <v>0</v>
      </c>
      <c r="E867" s="7">
        <f>Page6!K4</f>
        <v>0</v>
      </c>
      <c r="F867" t="str">
        <f t="shared" si="62"/>
        <v>02-00-446A-UNIT-CURR</v>
      </c>
      <c r="G867" t="s">
        <v>127</v>
      </c>
      <c r="H867" t="s">
        <v>10287</v>
      </c>
      <c r="I867" t="s">
        <v>10253</v>
      </c>
      <c r="K867" s="1073" t="s">
        <v>10837</v>
      </c>
      <c r="L867" s="789" t="s">
        <v>10241</v>
      </c>
      <c r="M867" s="790" t="s">
        <v>691</v>
      </c>
      <c r="O867" s="790" t="s">
        <v>10255</v>
      </c>
      <c r="P867" s="790" t="s">
        <v>10244</v>
      </c>
      <c r="R867" s="30"/>
    </row>
    <row r="868" spans="2:18">
      <c r="B868" s="40" t="s">
        <v>10838</v>
      </c>
      <c r="C868" s="1038" t="s">
        <v>694</v>
      </c>
      <c r="D868" s="7">
        <f>Page6!F5</f>
        <v>3</v>
      </c>
      <c r="E868" s="7">
        <f>Page6!K5</f>
        <v>18</v>
      </c>
      <c r="F868" t="str">
        <f t="shared" si="62"/>
        <v>02-00-446B-UNIT-CURR</v>
      </c>
      <c r="G868" t="s">
        <v>127</v>
      </c>
      <c r="H868" t="s">
        <v>10287</v>
      </c>
      <c r="I868" t="s">
        <v>10253</v>
      </c>
      <c r="K868" s="1073" t="s">
        <v>10837</v>
      </c>
      <c r="L868" s="789" t="s">
        <v>10241</v>
      </c>
      <c r="M868" s="790" t="s">
        <v>694</v>
      </c>
      <c r="O868" s="790" t="s">
        <v>10255</v>
      </c>
      <c r="P868" s="790" t="s">
        <v>10244</v>
      </c>
      <c r="R868" s="30"/>
    </row>
    <row r="869" spans="2:18">
      <c r="B869" s="1074" t="s">
        <v>10839</v>
      </c>
      <c r="C869" s="1038" t="s">
        <v>10840</v>
      </c>
      <c r="D869" s="7">
        <f>IF(Page6!Q6="TOTAL",Page6!G6,(Page6!G6*Page6!F4))</f>
        <v>0</v>
      </c>
      <c r="E869" s="7">
        <f>IF(Page6!Q6="TOTAL",Page6!L6,(Page6!L6*Page6!K4))</f>
        <v>0</v>
      </c>
      <c r="F869" t="str">
        <f t="shared" si="62"/>
        <v>02-00-447A-RECON-CURR</v>
      </c>
      <c r="G869" t="s">
        <v>127</v>
      </c>
      <c r="H869" t="s">
        <v>10287</v>
      </c>
      <c r="I869" t="s">
        <v>10253</v>
      </c>
      <c r="K869" s="1073" t="s">
        <v>10837</v>
      </c>
      <c r="L869" s="789" t="s">
        <v>10241</v>
      </c>
      <c r="M869" s="790" t="s">
        <v>10840</v>
      </c>
      <c r="O869" s="790" t="s">
        <v>10841</v>
      </c>
      <c r="P869" s="790" t="s">
        <v>10244</v>
      </c>
      <c r="R869" s="30"/>
    </row>
    <row r="870" spans="2:18" ht="13">
      <c r="B870" s="5" t="s">
        <v>10842</v>
      </c>
      <c r="C870" s="1038" t="s">
        <v>10843</v>
      </c>
      <c r="D870" s="7">
        <f>IF(Page6!Q6="TOTAL",Page6!J6,(Page6!J6*Page6!F5))</f>
        <v>3294</v>
      </c>
      <c r="E870" s="7">
        <f>IF(Page6!Q6="TOTAL",Page6!O6,(Page6!O6*Page6!K5))</f>
        <v>22320</v>
      </c>
      <c r="F870" t="str">
        <f t="shared" si="62"/>
        <v>02-00-447B-RECON-CURR</v>
      </c>
      <c r="G870" t="s">
        <v>127</v>
      </c>
      <c r="H870" t="s">
        <v>10287</v>
      </c>
      <c r="I870" t="s">
        <v>10253</v>
      </c>
      <c r="K870" s="1073" t="s">
        <v>10837</v>
      </c>
      <c r="L870" s="789" t="s">
        <v>10241</v>
      </c>
      <c r="M870" s="790" t="s">
        <v>10843</v>
      </c>
      <c r="O870" s="790" t="s">
        <v>10841</v>
      </c>
      <c r="P870" s="807" t="s">
        <v>10244</v>
      </c>
      <c r="R870" s="30"/>
    </row>
    <row r="871" spans="2:18">
      <c r="B871" s="1077" t="s">
        <v>10844</v>
      </c>
      <c r="C871" s="1038" t="s">
        <v>700</v>
      </c>
      <c r="D871" s="7">
        <f>Page6!F7</f>
        <v>0</v>
      </c>
      <c r="E871" s="7">
        <f>Page6!K7</f>
        <v>0</v>
      </c>
      <c r="F871" t="str">
        <f t="shared" si="62"/>
        <v>02-00-450A-UNIT-CURR</v>
      </c>
      <c r="G871" t="s">
        <v>127</v>
      </c>
      <c r="H871" t="s">
        <v>10287</v>
      </c>
      <c r="I871" t="s">
        <v>10253</v>
      </c>
      <c r="K871" s="1073" t="s">
        <v>10837</v>
      </c>
      <c r="L871" s="789" t="s">
        <v>10241</v>
      </c>
      <c r="M871" s="790" t="s">
        <v>700</v>
      </c>
      <c r="O871" s="790" t="s">
        <v>10255</v>
      </c>
      <c r="P871" s="790" t="s">
        <v>10244</v>
      </c>
      <c r="R871" s="30"/>
    </row>
    <row r="872" spans="2:18">
      <c r="B872" s="40" t="s">
        <v>10845</v>
      </c>
      <c r="C872" s="1038" t="s">
        <v>703</v>
      </c>
      <c r="D872" s="7">
        <f>Page6!F8</f>
        <v>7</v>
      </c>
      <c r="E872" s="7">
        <f>Page6!K8</f>
        <v>28</v>
      </c>
      <c r="F872" t="str">
        <f t="shared" si="62"/>
        <v>02-00-450B-UNIT-CURR</v>
      </c>
      <c r="G872" t="s">
        <v>127</v>
      </c>
      <c r="H872" t="s">
        <v>10287</v>
      </c>
      <c r="I872" t="s">
        <v>10253</v>
      </c>
      <c r="K872" s="1073" t="s">
        <v>10837</v>
      </c>
      <c r="L872" s="789" t="s">
        <v>10241</v>
      </c>
      <c r="M872" s="790" t="s">
        <v>703</v>
      </c>
      <c r="O872" s="790" t="s">
        <v>10255</v>
      </c>
      <c r="P872" s="790" t="s">
        <v>10244</v>
      </c>
      <c r="R872" s="30"/>
    </row>
    <row r="873" spans="2:18">
      <c r="B873" s="1074" t="s">
        <v>10846</v>
      </c>
      <c r="C873" s="1038" t="s">
        <v>10847</v>
      </c>
      <c r="D873" s="7">
        <f>IF(Page6!Q9="TOTAL",Page6!G9,(Page6!G9*Page6!F7))</f>
        <v>0</v>
      </c>
      <c r="E873" s="7">
        <f>IF(Page6!Q9="TOTAL",Page6!L9,(Page6!L9*Page6!K7))</f>
        <v>0</v>
      </c>
      <c r="F873" t="str">
        <f t="shared" si="62"/>
        <v>02-00-451A-RECON-CURR</v>
      </c>
      <c r="G873" t="s">
        <v>127</v>
      </c>
      <c r="H873" t="s">
        <v>10287</v>
      </c>
      <c r="I873" t="s">
        <v>10253</v>
      </c>
      <c r="K873" s="1073" t="s">
        <v>10837</v>
      </c>
      <c r="L873" s="789" t="s">
        <v>10241</v>
      </c>
      <c r="M873" s="790" t="s">
        <v>10847</v>
      </c>
      <c r="O873" s="790" t="s">
        <v>10841</v>
      </c>
      <c r="P873" s="790" t="s">
        <v>10244</v>
      </c>
      <c r="R873" s="30"/>
    </row>
    <row r="874" spans="2:18" ht="13">
      <c r="B874" s="5" t="s">
        <v>10848</v>
      </c>
      <c r="C874" s="1038" t="s">
        <v>10849</v>
      </c>
      <c r="D874" s="7">
        <f>IF(Page6!Q9="TOTAL",Page6!J9,(Page6!J9*Page6!F8))</f>
        <v>9016</v>
      </c>
      <c r="E874" s="7">
        <f>IF(Page6!Q9="TOTAL",Page6!O9,(Page6!O9*Page6!K8))</f>
        <v>35112</v>
      </c>
      <c r="F874" t="str">
        <f t="shared" si="62"/>
        <v>02-00-451B-RECON-CURR</v>
      </c>
      <c r="G874" t="s">
        <v>127</v>
      </c>
      <c r="H874" t="s">
        <v>10287</v>
      </c>
      <c r="I874" t="s">
        <v>10253</v>
      </c>
      <c r="K874" s="1073" t="s">
        <v>10837</v>
      </c>
      <c r="L874" s="789" t="s">
        <v>10241</v>
      </c>
      <c r="M874" s="790" t="s">
        <v>10849</v>
      </c>
      <c r="O874" s="790" t="s">
        <v>10841</v>
      </c>
      <c r="P874" s="807" t="s">
        <v>10244</v>
      </c>
      <c r="R874" s="30"/>
    </row>
    <row r="875" spans="2:18">
      <c r="B875" s="27" t="s">
        <v>10850</v>
      </c>
      <c r="C875" s="1042"/>
      <c r="D875" s="7">
        <f>Page6!F10</f>
        <v>10</v>
      </c>
      <c r="E875" s="7">
        <f>Page6!K10</f>
        <v>46</v>
      </c>
      <c r="F875" t="str">
        <f t="shared" si="62"/>
        <v>02-00-RTLVEH-UNIT-CURR</v>
      </c>
      <c r="G875" t="s">
        <v>127</v>
      </c>
      <c r="H875" t="s">
        <v>10287</v>
      </c>
      <c r="I875" t="s">
        <v>10253</v>
      </c>
      <c r="J875" t="s">
        <v>10268</v>
      </c>
      <c r="K875" s="1073" t="s">
        <v>10837</v>
      </c>
      <c r="L875" s="789" t="s">
        <v>10241</v>
      </c>
      <c r="M875" s="790" t="s">
        <v>10851</v>
      </c>
      <c r="O875" s="790" t="s">
        <v>10255</v>
      </c>
      <c r="P875" s="790" t="s">
        <v>10244</v>
      </c>
      <c r="Q875" s="791" t="s">
        <v>773</v>
      </c>
    </row>
    <row r="876" spans="2:18">
      <c r="B876" s="40" t="s">
        <v>10852</v>
      </c>
      <c r="C876" s="1038">
        <v>448</v>
      </c>
      <c r="D876" s="7">
        <f>Page6!F11</f>
        <v>62</v>
      </c>
      <c r="E876" s="7">
        <f>Page6!K11</f>
        <v>263</v>
      </c>
      <c r="F876" t="str">
        <f t="shared" si="62"/>
        <v>02-00-448-UNIT-CURR</v>
      </c>
      <c r="G876" t="s">
        <v>127</v>
      </c>
      <c r="H876" t="s">
        <v>10287</v>
      </c>
      <c r="I876" t="s">
        <v>10253</v>
      </c>
      <c r="K876" s="1073" t="s">
        <v>10837</v>
      </c>
      <c r="L876" s="789" t="s">
        <v>10241</v>
      </c>
      <c r="M876" s="790" t="s">
        <v>10853</v>
      </c>
      <c r="O876" s="790" t="s">
        <v>10255</v>
      </c>
      <c r="P876" s="790" t="s">
        <v>10244</v>
      </c>
      <c r="R876" s="30"/>
    </row>
    <row r="877" spans="2:18" ht="13">
      <c r="B877" s="5" t="s">
        <v>10854</v>
      </c>
      <c r="C877" s="1038">
        <v>649</v>
      </c>
      <c r="D877" s="806">
        <f>IFERROR(VALUE(LEFT(Page6!F12,3)),0)</f>
        <v>0</v>
      </c>
      <c r="E877" s="806">
        <f>IFERROR(VALUE(LEFT(Page6!K12,3)),0)</f>
        <v>18</v>
      </c>
      <c r="F877" t="str">
        <f t="shared" si="62"/>
        <v>02-00-RTLCAR-RATIO-CURR</v>
      </c>
      <c r="G877" t="s">
        <v>127</v>
      </c>
      <c r="H877" t="s">
        <v>10287</v>
      </c>
      <c r="I877" t="s">
        <v>10253</v>
      </c>
      <c r="K877" s="1073" t="s">
        <v>10837</v>
      </c>
      <c r="L877" s="789" t="s">
        <v>10241</v>
      </c>
      <c r="M877" s="807" t="s">
        <v>10855</v>
      </c>
      <c r="O877" s="790" t="s">
        <v>10856</v>
      </c>
      <c r="P877" s="790" t="s">
        <v>10244</v>
      </c>
      <c r="R877" s="30"/>
    </row>
    <row r="878" spans="2:18">
      <c r="B878" s="5" t="s">
        <v>10857</v>
      </c>
      <c r="C878" s="1038">
        <v>452</v>
      </c>
      <c r="D878" s="7">
        <f>Page6!F13</f>
        <v>47</v>
      </c>
      <c r="E878" s="7">
        <f>Page6!K13</f>
        <v>54</v>
      </c>
      <c r="F878" t="str">
        <f t="shared" si="62"/>
        <v>02-00-452-UNIT-CURR</v>
      </c>
      <c r="G878" t="s">
        <v>127</v>
      </c>
      <c r="H878" t="s">
        <v>10287</v>
      </c>
      <c r="I878" t="s">
        <v>10253</v>
      </c>
      <c r="K878" s="1073" t="s">
        <v>10837</v>
      </c>
      <c r="L878" s="789" t="s">
        <v>10241</v>
      </c>
      <c r="M878" s="790" t="s">
        <v>10858</v>
      </c>
      <c r="O878" s="790" t="s">
        <v>10255</v>
      </c>
      <c r="P878" s="790" t="s">
        <v>10244</v>
      </c>
      <c r="R878" s="30"/>
    </row>
    <row r="879" spans="2:18" ht="13">
      <c r="B879" s="5" t="s">
        <v>10854</v>
      </c>
      <c r="C879" s="1038">
        <v>653</v>
      </c>
      <c r="D879" s="806">
        <f>IFERROR(VALUE(LEFT(Page6!F14,3)),0)</f>
        <v>0.1</v>
      </c>
      <c r="E879" s="806">
        <f>IFERROR(VALUE(LEFT(Page6!K14,3)),0)</f>
        <v>0.2</v>
      </c>
      <c r="F879" t="str">
        <f t="shared" si="62"/>
        <v>02-00-RTLTRK-RATIO-CURR</v>
      </c>
      <c r="G879" t="s">
        <v>127</v>
      </c>
      <c r="H879" t="s">
        <v>10287</v>
      </c>
      <c r="I879" t="s">
        <v>10253</v>
      </c>
      <c r="K879" s="1073" t="s">
        <v>10837</v>
      </c>
      <c r="L879" s="789" t="s">
        <v>10241</v>
      </c>
      <c r="M879" s="807" t="s">
        <v>10859</v>
      </c>
      <c r="O879" s="790" t="s">
        <v>10856</v>
      </c>
      <c r="P879" s="790" t="s">
        <v>10244</v>
      </c>
      <c r="R879" s="30"/>
    </row>
    <row r="880" spans="2:18">
      <c r="B880" s="27" t="s">
        <v>10860</v>
      </c>
      <c r="C880" s="1042"/>
      <c r="D880" s="7">
        <f>Page6!F15</f>
        <v>109</v>
      </c>
      <c r="E880" s="7">
        <f>Page6!K15</f>
        <v>317</v>
      </c>
      <c r="F880" t="str">
        <f t="shared" si="62"/>
        <v>02-00-WHLSVEH-UNIT-CURR</v>
      </c>
      <c r="G880" t="s">
        <v>127</v>
      </c>
      <c r="H880" t="s">
        <v>10287</v>
      </c>
      <c r="I880" t="s">
        <v>10253</v>
      </c>
      <c r="J880" t="s">
        <v>10268</v>
      </c>
      <c r="K880" s="1073" t="s">
        <v>10837</v>
      </c>
      <c r="L880" s="789" t="s">
        <v>10241</v>
      </c>
      <c r="M880" s="790" t="s">
        <v>10861</v>
      </c>
      <c r="O880" s="790" t="s">
        <v>10255</v>
      </c>
      <c r="P880" s="790" t="s">
        <v>10244</v>
      </c>
      <c r="Q880" s="791" t="s">
        <v>773</v>
      </c>
    </row>
    <row r="881" spans="2:18">
      <c r="B881" s="51" t="s">
        <v>10862</v>
      </c>
      <c r="C881" s="1042"/>
      <c r="D881" s="7">
        <f>Page6!F17</f>
        <v>119</v>
      </c>
      <c r="E881" s="7">
        <f>Page6!K17</f>
        <v>363</v>
      </c>
      <c r="F881" t="str">
        <f t="shared" si="62"/>
        <v>02-00-USEDVEH-UNIT-CURR</v>
      </c>
      <c r="G881" t="s">
        <v>127</v>
      </c>
      <c r="H881" t="s">
        <v>10287</v>
      </c>
      <c r="I881" t="s">
        <v>10253</v>
      </c>
      <c r="J881" t="s">
        <v>10268</v>
      </c>
      <c r="K881" s="1073" t="s">
        <v>10837</v>
      </c>
      <c r="L881" s="789" t="s">
        <v>10241</v>
      </c>
      <c r="M881" s="790" t="s">
        <v>10863</v>
      </c>
      <c r="O881" s="790" t="s">
        <v>10255</v>
      </c>
      <c r="P881" s="790" t="s">
        <v>10244</v>
      </c>
      <c r="Q881" s="791" t="s">
        <v>773</v>
      </c>
    </row>
    <row r="882" spans="2:18">
      <c r="B882" s="27" t="s">
        <v>10864</v>
      </c>
      <c r="C882" s="1046"/>
      <c r="D882" s="7">
        <f>Page6!F18</f>
        <v>183</v>
      </c>
      <c r="E882" s="7">
        <f>Page6!K18</f>
        <v>583</v>
      </c>
      <c r="F882" t="str">
        <f t="shared" si="62"/>
        <v>00-00-NEWUSED-UNIT-CURR</v>
      </c>
      <c r="G882" t="s">
        <v>127</v>
      </c>
      <c r="H882" t="s">
        <v>10287</v>
      </c>
      <c r="I882" t="s">
        <v>10253</v>
      </c>
      <c r="J882" t="s">
        <v>10268</v>
      </c>
      <c r="K882" s="1073" t="s">
        <v>10241</v>
      </c>
      <c r="L882" s="789" t="s">
        <v>10241</v>
      </c>
      <c r="M882" s="790" t="s">
        <v>10865</v>
      </c>
      <c r="O882" s="790" t="s">
        <v>10255</v>
      </c>
      <c r="P882" s="790" t="s">
        <v>10244</v>
      </c>
      <c r="Q882" s="791" t="s">
        <v>773</v>
      </c>
    </row>
    <row r="883" spans="2:18">
      <c r="B883" s="5" t="s">
        <v>10866</v>
      </c>
      <c r="C883" s="1045" t="s">
        <v>725</v>
      </c>
      <c r="D883" s="13">
        <f>Page6!F24</f>
        <v>275</v>
      </c>
      <c r="E883" s="13">
        <f>Page6!K24</f>
        <v>802</v>
      </c>
      <c r="F883" t="str">
        <f t="shared" si="62"/>
        <v>05-00-460A-RO-CURR</v>
      </c>
      <c r="G883" t="s">
        <v>127</v>
      </c>
      <c r="H883" t="s">
        <v>10287</v>
      </c>
      <c r="I883" t="s">
        <v>10253</v>
      </c>
      <c r="K883" s="1073" t="s">
        <v>10274</v>
      </c>
      <c r="L883" s="789" t="s">
        <v>10241</v>
      </c>
      <c r="M883" s="790" t="s">
        <v>725</v>
      </c>
      <c r="O883" s="790" t="s">
        <v>10867</v>
      </c>
      <c r="P883" s="790" t="s">
        <v>10244</v>
      </c>
      <c r="R883" s="30"/>
    </row>
    <row r="884" spans="2:18">
      <c r="B884" s="5" t="s">
        <v>10868</v>
      </c>
      <c r="C884" s="1045" t="s">
        <v>727</v>
      </c>
      <c r="D884" s="13">
        <f>Page6!F25</f>
        <v>0</v>
      </c>
      <c r="E884" s="13">
        <f>Page6!K25</f>
        <v>0</v>
      </c>
      <c r="F884" t="str">
        <f t="shared" si="62"/>
        <v>05-00-460E-RO-CURR</v>
      </c>
      <c r="G884" t="s">
        <v>127</v>
      </c>
      <c r="H884" t="s">
        <v>10287</v>
      </c>
      <c r="I884" t="s">
        <v>10253</v>
      </c>
      <c r="K884" s="2231" t="s">
        <v>10274</v>
      </c>
      <c r="L884" s="2425" t="s">
        <v>10241</v>
      </c>
      <c r="M884" s="2175" t="s">
        <v>727</v>
      </c>
      <c r="N884" s="2175"/>
      <c r="O884" s="2175" t="s">
        <v>10867</v>
      </c>
      <c r="P884" s="2175" t="s">
        <v>10244</v>
      </c>
      <c r="R884" s="30"/>
    </row>
    <row r="885" spans="2:18">
      <c r="B885" s="5" t="s">
        <v>10869</v>
      </c>
      <c r="C885" s="1038" t="s">
        <v>729</v>
      </c>
      <c r="D885" s="13">
        <f>Page6!F26</f>
        <v>0</v>
      </c>
      <c r="E885" s="13">
        <f>Page6!K26</f>
        <v>0</v>
      </c>
      <c r="F885" t="str">
        <f t="shared" si="62"/>
        <v>05-00-460B-RO-CURR</v>
      </c>
      <c r="G885" t="s">
        <v>127</v>
      </c>
      <c r="H885" t="s">
        <v>10287</v>
      </c>
      <c r="I885" t="s">
        <v>10253</v>
      </c>
      <c r="K885" s="2231" t="s">
        <v>10274</v>
      </c>
      <c r="L885" s="2425" t="s">
        <v>10241</v>
      </c>
      <c r="M885" s="2175" t="s">
        <v>729</v>
      </c>
      <c r="N885" s="2175"/>
      <c r="O885" s="2175" t="s">
        <v>10867</v>
      </c>
      <c r="P885" s="2175" t="s">
        <v>10244</v>
      </c>
      <c r="R885" s="30"/>
    </row>
    <row r="886" spans="2:18">
      <c r="B886" s="5" t="s">
        <v>10870</v>
      </c>
      <c r="C886" s="1038" t="s">
        <v>731</v>
      </c>
      <c r="D886" s="13">
        <f>Page6!F27</f>
        <v>0</v>
      </c>
      <c r="E886" s="13">
        <f>Page6!K27</f>
        <v>0</v>
      </c>
      <c r="F886" t="str">
        <f t="shared" si="62"/>
        <v>05-00-460F-RO-CURR</v>
      </c>
      <c r="G886" t="s">
        <v>127</v>
      </c>
      <c r="H886" t="s">
        <v>10287</v>
      </c>
      <c r="I886" t="s">
        <v>10253</v>
      </c>
      <c r="K886" s="2231" t="s">
        <v>10274</v>
      </c>
      <c r="L886" s="2425" t="s">
        <v>10241</v>
      </c>
      <c r="M886" s="2175" t="s">
        <v>731</v>
      </c>
      <c r="N886" s="2175"/>
      <c r="O886" s="2175" t="s">
        <v>10867</v>
      </c>
      <c r="P886" s="2175" t="s">
        <v>10244</v>
      </c>
      <c r="R886" s="30"/>
    </row>
    <row r="887" spans="2:18">
      <c r="B887" s="5" t="s">
        <v>10871</v>
      </c>
      <c r="C887" s="1038" t="s">
        <v>733</v>
      </c>
      <c r="D887" s="13">
        <f>Page6!F28</f>
        <v>0</v>
      </c>
      <c r="E887" s="13">
        <f>Page6!K28</f>
        <v>0</v>
      </c>
      <c r="F887" t="str">
        <f t="shared" si="62"/>
        <v>05-00-460C-RO-CURR</v>
      </c>
      <c r="G887" t="s">
        <v>127</v>
      </c>
      <c r="H887" t="s">
        <v>10287</v>
      </c>
      <c r="I887" t="s">
        <v>10253</v>
      </c>
      <c r="K887" s="2231" t="s">
        <v>10274</v>
      </c>
      <c r="L887" s="2425" t="s">
        <v>10241</v>
      </c>
      <c r="M887" s="2175" t="s">
        <v>733</v>
      </c>
      <c r="N887" s="2175"/>
      <c r="O887" s="2175" t="s">
        <v>10867</v>
      </c>
      <c r="P887" s="2175" t="s">
        <v>10244</v>
      </c>
      <c r="R887" s="30"/>
    </row>
    <row r="888" spans="2:18">
      <c r="B888" s="5" t="s">
        <v>10872</v>
      </c>
      <c r="C888" s="1038" t="s">
        <v>735</v>
      </c>
      <c r="D888" s="13">
        <f>Page6!F29</f>
        <v>0</v>
      </c>
      <c r="E888" s="13">
        <f>Page6!K29</f>
        <v>0</v>
      </c>
      <c r="F888" t="str">
        <f t="shared" si="62"/>
        <v>05-00-460D-RO-CURR</v>
      </c>
      <c r="G888" t="s">
        <v>127</v>
      </c>
      <c r="H888" t="s">
        <v>10287</v>
      </c>
      <c r="I888" t="s">
        <v>10253</v>
      </c>
      <c r="K888" s="2231" t="s">
        <v>10274</v>
      </c>
      <c r="L888" s="2425" t="s">
        <v>10241</v>
      </c>
      <c r="M888" s="2175" t="s">
        <v>735</v>
      </c>
      <c r="N888" s="2175"/>
      <c r="O888" s="2175" t="s">
        <v>10867</v>
      </c>
      <c r="P888" s="2175" t="s">
        <v>10244</v>
      </c>
      <c r="R888" s="30"/>
    </row>
    <row r="889" spans="2:18">
      <c r="B889" s="5" t="s">
        <v>10873</v>
      </c>
      <c r="C889" s="1038" t="s">
        <v>737</v>
      </c>
      <c r="D889" s="13">
        <f>Page6!F30</f>
        <v>0</v>
      </c>
      <c r="E889" s="13">
        <f>Page6!K30</f>
        <v>0</v>
      </c>
      <c r="F889" t="str">
        <f t="shared" si="62"/>
        <v>05-00-460N-RO-CURR</v>
      </c>
      <c r="G889" t="s">
        <v>127</v>
      </c>
      <c r="H889" t="s">
        <v>10287</v>
      </c>
      <c r="I889" t="s">
        <v>10253</v>
      </c>
      <c r="K889" s="2231" t="s">
        <v>10274</v>
      </c>
      <c r="L889" s="2425" t="s">
        <v>10241</v>
      </c>
      <c r="M889" s="2175" t="s">
        <v>737</v>
      </c>
      <c r="N889" s="2175"/>
      <c r="O889" s="2175" t="s">
        <v>10867</v>
      </c>
      <c r="P889" s="2175" t="s">
        <v>10244</v>
      </c>
      <c r="R889" s="30"/>
    </row>
    <row r="890" spans="2:18">
      <c r="B890" s="1074" t="s">
        <v>10874</v>
      </c>
      <c r="C890" s="1038" t="s">
        <v>740</v>
      </c>
      <c r="D890" s="13">
        <f>Page6!F31</f>
        <v>0</v>
      </c>
      <c r="E890" s="13">
        <f>Page6!K31</f>
        <v>0</v>
      </c>
      <c r="F890" t="str">
        <f t="shared" ref="F890:F893" si="65">TEXT(K890,"00")&amp;"-"&amp;L890&amp;IF(M890="","","-"&amp;M890)&amp;IF(N890="","","-"&amp;N890)&amp;IF(OR(O890="",O890=0),"","-"&amp;O890)&amp;IF(P890="","","-"&amp;P890)</f>
        <v>05-00-461A-RO-CURR</v>
      </c>
      <c r="G890" t="s">
        <v>127</v>
      </c>
      <c r="H890" t="s">
        <v>10287</v>
      </c>
      <c r="I890" t="s">
        <v>10253</v>
      </c>
      <c r="K890" s="2231" t="s">
        <v>10274</v>
      </c>
      <c r="L890" s="2425" t="s">
        <v>10241</v>
      </c>
      <c r="M890" s="2175" t="s">
        <v>740</v>
      </c>
      <c r="N890" s="2175"/>
      <c r="O890" s="2175" t="s">
        <v>10867</v>
      </c>
      <c r="P890" s="2175" t="s">
        <v>10244</v>
      </c>
      <c r="R890" s="30"/>
    </row>
    <row r="891" spans="2:18">
      <c r="B891" s="1074" t="s">
        <v>10875</v>
      </c>
      <c r="C891" s="1038" t="s">
        <v>742</v>
      </c>
      <c r="D891" s="13">
        <f>Page6!F32</f>
        <v>0</v>
      </c>
      <c r="E891" s="13">
        <f>Page6!K32</f>
        <v>0</v>
      </c>
      <c r="F891" t="str">
        <f t="shared" si="65"/>
        <v>05-00-461E-RO-CURR</v>
      </c>
      <c r="G891" t="s">
        <v>127</v>
      </c>
      <c r="H891" t="s">
        <v>10287</v>
      </c>
      <c r="I891" t="s">
        <v>10253</v>
      </c>
      <c r="K891" s="2231" t="s">
        <v>10274</v>
      </c>
      <c r="L891" s="2425" t="s">
        <v>10241</v>
      </c>
      <c r="M891" s="2175" t="s">
        <v>742</v>
      </c>
      <c r="N891" s="2175"/>
      <c r="O891" s="2175" t="s">
        <v>10867</v>
      </c>
      <c r="P891" s="2175" t="s">
        <v>10244</v>
      </c>
      <c r="R891" s="30"/>
    </row>
    <row r="892" spans="2:18">
      <c r="B892" s="1074" t="s">
        <v>10876</v>
      </c>
      <c r="C892" s="1038" t="s">
        <v>744</v>
      </c>
      <c r="D892" s="13">
        <f>Page6!F33</f>
        <v>0</v>
      </c>
      <c r="E892" s="13">
        <f>Page6!K33</f>
        <v>0</v>
      </c>
      <c r="F892" t="str">
        <f t="shared" si="65"/>
        <v>05-00-461B-RO-CURR</v>
      </c>
      <c r="G892" t="s">
        <v>127</v>
      </c>
      <c r="H892" t="s">
        <v>10287</v>
      </c>
      <c r="I892" t="s">
        <v>10253</v>
      </c>
      <c r="K892" s="2231" t="s">
        <v>10274</v>
      </c>
      <c r="L892" s="2425" t="s">
        <v>10241</v>
      </c>
      <c r="M892" s="2175" t="s">
        <v>744</v>
      </c>
      <c r="N892" s="2175"/>
      <c r="O892" s="2175" t="s">
        <v>10867</v>
      </c>
      <c r="P892" s="2175" t="s">
        <v>10244</v>
      </c>
      <c r="R892" s="30"/>
    </row>
    <row r="893" spans="2:18">
      <c r="B893" s="1074" t="s">
        <v>10877</v>
      </c>
      <c r="C893" s="1038" t="s">
        <v>747</v>
      </c>
      <c r="D893" s="13">
        <f>Page6!F34</f>
        <v>0</v>
      </c>
      <c r="E893" s="13">
        <f>Page6!K34</f>
        <v>0</v>
      </c>
      <c r="F893" t="str">
        <f t="shared" si="65"/>
        <v>05-00-461F-RO-CURR</v>
      </c>
      <c r="G893" t="s">
        <v>127</v>
      </c>
      <c r="H893" t="s">
        <v>10287</v>
      </c>
      <c r="I893" t="s">
        <v>10253</v>
      </c>
      <c r="K893" s="2231" t="s">
        <v>10274</v>
      </c>
      <c r="L893" s="2425" t="s">
        <v>10241</v>
      </c>
      <c r="M893" s="2175" t="s">
        <v>747</v>
      </c>
      <c r="N893" s="2175"/>
      <c r="O893" s="2175" t="s">
        <v>10867</v>
      </c>
      <c r="P893" s="2175" t="s">
        <v>10244</v>
      </c>
      <c r="R893" s="30"/>
    </row>
    <row r="894" spans="2:18">
      <c r="B894" s="1074" t="s">
        <v>10878</v>
      </c>
      <c r="C894" s="1038" t="s">
        <v>749</v>
      </c>
      <c r="D894" s="13">
        <f>Page6!F35</f>
        <v>0</v>
      </c>
      <c r="E894" s="13">
        <f>Page6!K35</f>
        <v>0</v>
      </c>
      <c r="F894" t="str">
        <f t="shared" si="62"/>
        <v>05-00-461C-RO-CURR</v>
      </c>
      <c r="G894" t="s">
        <v>127</v>
      </c>
      <c r="H894" t="s">
        <v>10287</v>
      </c>
      <c r="I894" t="s">
        <v>10253</v>
      </c>
      <c r="K894" s="2231" t="s">
        <v>10274</v>
      </c>
      <c r="L894" s="2425" t="s">
        <v>10241</v>
      </c>
      <c r="M894" s="2175" t="s">
        <v>749</v>
      </c>
      <c r="N894" s="2175"/>
      <c r="O894" s="2175" t="s">
        <v>10867</v>
      </c>
      <c r="P894" s="2175" t="s">
        <v>10244</v>
      </c>
      <c r="R894" s="30"/>
    </row>
    <row r="895" spans="2:18">
      <c r="B895" s="5" t="s">
        <v>10879</v>
      </c>
      <c r="C895" s="1038">
        <v>462</v>
      </c>
      <c r="D895" s="13">
        <f>Page6!F36</f>
        <v>190</v>
      </c>
      <c r="E895" s="13">
        <f>Page6!K36</f>
        <v>686</v>
      </c>
      <c r="F895" t="str">
        <f t="shared" si="62"/>
        <v>05-00-462-RO-CURR</v>
      </c>
      <c r="G895" t="s">
        <v>127</v>
      </c>
      <c r="H895" t="s">
        <v>10287</v>
      </c>
      <c r="I895" t="s">
        <v>10253</v>
      </c>
      <c r="K895" s="1073" t="s">
        <v>10274</v>
      </c>
      <c r="L895" s="789" t="s">
        <v>10241</v>
      </c>
      <c r="M895" s="790">
        <v>462</v>
      </c>
      <c r="O895" s="790" t="s">
        <v>10867</v>
      </c>
      <c r="P895" s="790" t="s">
        <v>10244</v>
      </c>
      <c r="R895" s="30"/>
    </row>
    <row r="896" spans="2:18">
      <c r="B896" s="5" t="s">
        <v>10880</v>
      </c>
      <c r="C896" s="1038">
        <v>463</v>
      </c>
      <c r="D896" s="13">
        <f>Page6!F37</f>
        <v>284</v>
      </c>
      <c r="E896" s="13">
        <f>Page6!K37</f>
        <v>1069</v>
      </c>
      <c r="F896" t="str">
        <f t="shared" si="62"/>
        <v>05-00-463-RO-CURR</v>
      </c>
      <c r="G896" t="s">
        <v>127</v>
      </c>
      <c r="H896" t="s">
        <v>10287</v>
      </c>
      <c r="I896" t="s">
        <v>10253</v>
      </c>
      <c r="K896" s="1073" t="s">
        <v>10274</v>
      </c>
      <c r="L896" s="789" t="s">
        <v>10241</v>
      </c>
      <c r="M896" s="790">
        <v>463</v>
      </c>
      <c r="O896" s="790" t="s">
        <v>10867</v>
      </c>
      <c r="P896" s="790" t="s">
        <v>10244</v>
      </c>
      <c r="R896" s="30"/>
    </row>
    <row r="897" spans="2:18">
      <c r="B897" s="5" t="s">
        <v>10881</v>
      </c>
      <c r="C897" s="1038">
        <v>464</v>
      </c>
      <c r="D897" s="13">
        <f>Page6!F38</f>
        <v>0</v>
      </c>
      <c r="E897" s="13">
        <f>Page6!K38</f>
        <v>0</v>
      </c>
      <c r="F897" t="str">
        <f t="shared" si="62"/>
        <v>05-00-464-RO-CURR</v>
      </c>
      <c r="G897" t="s">
        <v>127</v>
      </c>
      <c r="H897" t="s">
        <v>10287</v>
      </c>
      <c r="I897" t="s">
        <v>10253</v>
      </c>
      <c r="K897" s="1073" t="s">
        <v>10274</v>
      </c>
      <c r="L897" s="789" t="s">
        <v>10241</v>
      </c>
      <c r="M897" s="790">
        <v>464</v>
      </c>
      <c r="O897" s="790" t="s">
        <v>10867</v>
      </c>
      <c r="P897" s="790" t="s">
        <v>10244</v>
      </c>
      <c r="R897" s="30"/>
    </row>
    <row r="898" spans="2:18">
      <c r="B898" s="5" t="s">
        <v>10882</v>
      </c>
      <c r="C898" s="1038">
        <v>471</v>
      </c>
      <c r="D898" s="13">
        <f>Page6!F44</f>
        <v>37</v>
      </c>
      <c r="E898" s="13">
        <f>Page6!K44</f>
        <v>115</v>
      </c>
      <c r="F898" t="str">
        <f t="shared" si="62"/>
        <v>06-00-471-RO-CURR</v>
      </c>
      <c r="G898" t="s">
        <v>127</v>
      </c>
      <c r="H898" t="s">
        <v>10287</v>
      </c>
      <c r="I898" t="s">
        <v>10253</v>
      </c>
      <c r="K898" s="1073" t="s">
        <v>10284</v>
      </c>
      <c r="L898" s="789" t="s">
        <v>10241</v>
      </c>
      <c r="M898" s="790" t="s">
        <v>10883</v>
      </c>
      <c r="O898" s="790" t="s">
        <v>10867</v>
      </c>
      <c r="P898" s="790" t="s">
        <v>10244</v>
      </c>
      <c r="R898" s="30"/>
    </row>
    <row r="899" spans="2:18">
      <c r="B899" s="5" t="s">
        <v>10879</v>
      </c>
      <c r="C899" s="1038">
        <v>472</v>
      </c>
      <c r="D899" s="13">
        <f>Page6!F46</f>
        <v>0</v>
      </c>
      <c r="E899" s="13">
        <f>Page6!K46</f>
        <v>0</v>
      </c>
      <c r="F899" t="str">
        <f t="shared" si="62"/>
        <v>06-00-472-RO-CURR</v>
      </c>
      <c r="G899" t="s">
        <v>127</v>
      </c>
      <c r="H899" t="s">
        <v>10287</v>
      </c>
      <c r="I899" t="s">
        <v>10253</v>
      </c>
      <c r="K899" s="1073" t="s">
        <v>10284</v>
      </c>
      <c r="L899" s="789" t="s">
        <v>10241</v>
      </c>
      <c r="M899" s="790" t="s">
        <v>10884</v>
      </c>
      <c r="O899" s="790" t="s">
        <v>10867</v>
      </c>
      <c r="P899" s="790" t="s">
        <v>10244</v>
      </c>
      <c r="R899" s="30"/>
    </row>
    <row r="900" spans="2:18">
      <c r="B900" s="5" t="s">
        <v>10880</v>
      </c>
      <c r="C900" s="1038">
        <v>473</v>
      </c>
      <c r="D900" s="13">
        <f>Page6!F47</f>
        <v>13</v>
      </c>
      <c r="E900" s="13">
        <f>Page6!K47</f>
        <v>36</v>
      </c>
      <c r="F900" t="str">
        <f t="shared" si="62"/>
        <v>06-00-473-RO-CURR</v>
      </c>
      <c r="G900" t="s">
        <v>127</v>
      </c>
      <c r="H900" t="s">
        <v>10287</v>
      </c>
      <c r="I900" t="s">
        <v>10253</v>
      </c>
      <c r="K900" s="1073" t="s">
        <v>10284</v>
      </c>
      <c r="L900" s="789" t="s">
        <v>10241</v>
      </c>
      <c r="M900" s="790" t="s">
        <v>10885</v>
      </c>
      <c r="O900" s="790" t="s">
        <v>10867</v>
      </c>
      <c r="P900" s="790" t="s">
        <v>10244</v>
      </c>
      <c r="R900" s="30"/>
    </row>
    <row r="901" spans="2:18">
      <c r="B901" s="27" t="s">
        <v>10886</v>
      </c>
      <c r="C901" s="1042"/>
      <c r="D901" s="822">
        <f>Page6!F78</f>
        <v>0.39802262297880164</v>
      </c>
      <c r="E901" s="822">
        <f>Page6!K78</f>
        <v>0.38148204313721856</v>
      </c>
      <c r="F901" t="str">
        <f t="shared" si="62"/>
        <v>00-00-FIXCOVER-PCT-CURR</v>
      </c>
      <c r="G901" t="s">
        <v>127</v>
      </c>
      <c r="H901" t="s">
        <v>10287</v>
      </c>
      <c r="I901" t="s">
        <v>10240</v>
      </c>
      <c r="J901" t="s">
        <v>10268</v>
      </c>
      <c r="K901" s="1073" t="s">
        <v>10241</v>
      </c>
      <c r="L901" s="789" t="s">
        <v>10241</v>
      </c>
      <c r="M901" s="790" t="s">
        <v>10887</v>
      </c>
      <c r="O901" s="790" t="s">
        <v>10888</v>
      </c>
      <c r="P901" s="790" t="s">
        <v>10244</v>
      </c>
      <c r="Q901" s="791" t="s">
        <v>773</v>
      </c>
      <c r="R901" s="791" t="s">
        <v>773</v>
      </c>
    </row>
    <row r="902" spans="2:18">
      <c r="B902" s="5" t="s">
        <v>10889</v>
      </c>
      <c r="C902" s="1038">
        <v>806</v>
      </c>
      <c r="D902" s="7">
        <f>Page7!E4</f>
        <v>0</v>
      </c>
      <c r="E902" s="7">
        <f>Page7!J4</f>
        <v>0</v>
      </c>
      <c r="F902" t="str">
        <f t="shared" si="62"/>
        <v>04-00-806-CNTRS-CURR</v>
      </c>
      <c r="G902" t="s">
        <v>127</v>
      </c>
      <c r="H902" t="s">
        <v>10287</v>
      </c>
      <c r="I902" t="s">
        <v>10253</v>
      </c>
      <c r="K902" s="1073" t="s">
        <v>10890</v>
      </c>
      <c r="L902" s="789" t="s">
        <v>10241</v>
      </c>
      <c r="M902" s="790">
        <v>806</v>
      </c>
      <c r="O902" s="790" t="s">
        <v>10891</v>
      </c>
      <c r="P902" s="790" t="s">
        <v>10244</v>
      </c>
      <c r="R902" s="30"/>
    </row>
    <row r="903" spans="2:18">
      <c r="B903" s="5" t="s">
        <v>10892</v>
      </c>
      <c r="C903" s="1038">
        <v>807</v>
      </c>
      <c r="D903" s="7">
        <f>Page7!E5</f>
        <v>2</v>
      </c>
      <c r="E903" s="7">
        <f>Page7!J5</f>
        <v>3</v>
      </c>
      <c r="F903" t="str">
        <f t="shared" si="62"/>
        <v>04-00-807-CNTRS-CURR</v>
      </c>
      <c r="G903" t="s">
        <v>127</v>
      </c>
      <c r="H903" t="s">
        <v>10287</v>
      </c>
      <c r="I903" t="s">
        <v>10253</v>
      </c>
      <c r="K903" s="1073" t="s">
        <v>10890</v>
      </c>
      <c r="L903" s="789" t="s">
        <v>10241</v>
      </c>
      <c r="M903" s="790" t="s">
        <v>10893</v>
      </c>
      <c r="O903" s="790" t="s">
        <v>10891</v>
      </c>
      <c r="P903" s="790" t="s">
        <v>10244</v>
      </c>
      <c r="R903" s="30"/>
    </row>
    <row r="904" spans="2:18">
      <c r="B904" s="5" t="s">
        <v>10894</v>
      </c>
      <c r="C904" s="1038">
        <v>810</v>
      </c>
      <c r="D904" s="7">
        <f>Page7!E7</f>
        <v>0</v>
      </c>
      <c r="E904" s="7">
        <f>Page7!J7</f>
        <v>0</v>
      </c>
      <c r="F904" t="str">
        <f t="shared" si="62"/>
        <v>04-00-810-CNTRS-CURR</v>
      </c>
      <c r="G904" t="s">
        <v>127</v>
      </c>
      <c r="H904" t="s">
        <v>10287</v>
      </c>
      <c r="I904" t="s">
        <v>10253</v>
      </c>
      <c r="K904" s="1073" t="s">
        <v>10890</v>
      </c>
      <c r="L904" s="789" t="s">
        <v>10241</v>
      </c>
      <c r="M904" s="790">
        <v>810</v>
      </c>
      <c r="O904" s="790" t="s">
        <v>10891</v>
      </c>
      <c r="P904" s="790" t="s">
        <v>10244</v>
      </c>
      <c r="R904" s="30"/>
    </row>
    <row r="905" spans="2:18">
      <c r="B905" s="5" t="s">
        <v>10895</v>
      </c>
      <c r="C905" s="1038">
        <v>443</v>
      </c>
      <c r="D905" s="7">
        <f>Page7!E9</f>
        <v>7</v>
      </c>
      <c r="E905" s="7">
        <f>Page7!J9</f>
        <v>31</v>
      </c>
      <c r="F905" t="str">
        <f t="shared" si="62"/>
        <v>04-00-443-CNTRS-CURR</v>
      </c>
      <c r="G905" t="s">
        <v>127</v>
      </c>
      <c r="H905" t="s">
        <v>10287</v>
      </c>
      <c r="I905" t="s">
        <v>10253</v>
      </c>
      <c r="K905" s="1073" t="s">
        <v>10890</v>
      </c>
      <c r="L905" s="789" t="s">
        <v>10241</v>
      </c>
      <c r="M905" s="790" t="s">
        <v>10896</v>
      </c>
      <c r="O905" s="790" t="s">
        <v>10891</v>
      </c>
      <c r="P905" s="790" t="s">
        <v>10244</v>
      </c>
      <c r="R905" s="30"/>
    </row>
    <row r="906" spans="2:18">
      <c r="B906" s="5" t="s">
        <v>10897</v>
      </c>
      <c r="C906" s="1038">
        <v>444</v>
      </c>
      <c r="D906" s="7">
        <f>Page7!E10</f>
        <v>13</v>
      </c>
      <c r="E906" s="7">
        <f>Page7!J10</f>
        <v>30</v>
      </c>
      <c r="F906" t="str">
        <f t="shared" si="62"/>
        <v>04-00-444-CNTRS-CURR</v>
      </c>
      <c r="G906" t="s">
        <v>127</v>
      </c>
      <c r="H906" t="s">
        <v>10287</v>
      </c>
      <c r="I906" t="s">
        <v>10253</v>
      </c>
      <c r="K906" s="1073" t="s">
        <v>10890</v>
      </c>
      <c r="L906" s="789" t="s">
        <v>10241</v>
      </c>
      <c r="M906" s="790" t="s">
        <v>10898</v>
      </c>
      <c r="O906" s="790" t="s">
        <v>10891</v>
      </c>
      <c r="P906" s="790" t="s">
        <v>10244</v>
      </c>
      <c r="R906" s="30"/>
    </row>
    <row r="907" spans="2:18">
      <c r="B907" s="5" t="s">
        <v>10899</v>
      </c>
      <c r="C907" s="1038">
        <v>808</v>
      </c>
      <c r="D907" s="7">
        <f>Page7!E14</f>
        <v>3</v>
      </c>
      <c r="E907" s="7">
        <f>Page7!J14</f>
        <v>7</v>
      </c>
      <c r="F907" t="str">
        <f t="shared" si="62"/>
        <v>04-00-808-CNTRS-CURR</v>
      </c>
      <c r="G907" t="s">
        <v>127</v>
      </c>
      <c r="H907" t="s">
        <v>10287</v>
      </c>
      <c r="I907" t="s">
        <v>10253</v>
      </c>
      <c r="K907" s="1073" t="s">
        <v>10890</v>
      </c>
      <c r="L907" s="789" t="s">
        <v>10241</v>
      </c>
      <c r="M907" s="790" t="s">
        <v>10900</v>
      </c>
      <c r="O907" s="790" t="s">
        <v>10891</v>
      </c>
      <c r="P907" s="790" t="s">
        <v>10244</v>
      </c>
      <c r="R907" s="30"/>
    </row>
    <row r="908" spans="2:18">
      <c r="B908" s="5" t="s">
        <v>10901</v>
      </c>
      <c r="C908" s="1038">
        <v>809</v>
      </c>
      <c r="D908" s="7">
        <f>Page7!E15</f>
        <v>0</v>
      </c>
      <c r="E908" s="7">
        <f>Page7!J15</f>
        <v>0</v>
      </c>
      <c r="F908" t="str">
        <f t="shared" si="62"/>
        <v>04-00-809-CNTRS-CURR</v>
      </c>
      <c r="G908" t="s">
        <v>127</v>
      </c>
      <c r="H908" t="s">
        <v>10287</v>
      </c>
      <c r="I908" t="s">
        <v>10253</v>
      </c>
      <c r="K908" s="1073" t="s">
        <v>10890</v>
      </c>
      <c r="L908" s="789" t="s">
        <v>10241</v>
      </c>
      <c r="M908" s="790" t="s">
        <v>10902</v>
      </c>
      <c r="O908" s="790" t="s">
        <v>10891</v>
      </c>
      <c r="P908" s="790" t="s">
        <v>10244</v>
      </c>
      <c r="R908" s="30"/>
    </row>
    <row r="909" spans="2:18">
      <c r="B909" s="5" t="s">
        <v>10894</v>
      </c>
      <c r="C909" s="1038">
        <v>811</v>
      </c>
      <c r="D909" s="7">
        <f>Page7!E17</f>
        <v>0</v>
      </c>
      <c r="E909" s="7">
        <f>Page7!J17</f>
        <v>0</v>
      </c>
      <c r="F909" t="str">
        <f t="shared" ref="F909:F927" si="66">TEXT(K909,"00")&amp;"-"&amp;L909&amp;IF(M909="","","-"&amp;M909)&amp;IF(N909="","","-"&amp;N909)&amp;IF(OR(O909="",O909=0),"","-"&amp;O909)&amp;IF(P909="","","-"&amp;P909)</f>
        <v>04-00-811-CNTRS-CURR</v>
      </c>
      <c r="G909" t="s">
        <v>127</v>
      </c>
      <c r="H909" t="s">
        <v>10287</v>
      </c>
      <c r="I909" t="s">
        <v>10253</v>
      </c>
      <c r="K909" s="1073" t="s">
        <v>10890</v>
      </c>
      <c r="L909" s="789" t="s">
        <v>10241</v>
      </c>
      <c r="M909" s="790">
        <v>811</v>
      </c>
      <c r="O909" s="790" t="s">
        <v>10891</v>
      </c>
      <c r="P909" s="790" t="s">
        <v>10244</v>
      </c>
      <c r="R909" s="30"/>
    </row>
    <row r="910" spans="2:18">
      <c r="B910" s="5" t="s">
        <v>10895</v>
      </c>
      <c r="C910" s="1038">
        <v>454</v>
      </c>
      <c r="D910" s="7">
        <f>Page7!E19</f>
        <v>2</v>
      </c>
      <c r="E910" s="7">
        <f>Page7!J19</f>
        <v>9</v>
      </c>
      <c r="F910" t="str">
        <f t="shared" si="66"/>
        <v>04-00-454-CNTRS-CURR</v>
      </c>
      <c r="G910" t="s">
        <v>127</v>
      </c>
      <c r="H910" t="s">
        <v>10287</v>
      </c>
      <c r="I910" t="s">
        <v>10253</v>
      </c>
      <c r="K910" s="1073" t="s">
        <v>10890</v>
      </c>
      <c r="L910" s="789" t="s">
        <v>10241</v>
      </c>
      <c r="M910" s="790" t="s">
        <v>10903</v>
      </c>
      <c r="O910" s="790" t="s">
        <v>10891</v>
      </c>
      <c r="P910" s="790" t="s">
        <v>10244</v>
      </c>
      <c r="R910" s="30"/>
    </row>
    <row r="911" spans="2:18">
      <c r="B911" s="5" t="s">
        <v>10897</v>
      </c>
      <c r="C911" s="1038">
        <v>455</v>
      </c>
      <c r="D911" s="7">
        <f>Page7!E20</f>
        <v>0</v>
      </c>
      <c r="E911" s="7">
        <f>Page7!J20</f>
        <v>0</v>
      </c>
      <c r="F911" t="str">
        <f t="shared" si="66"/>
        <v>04-00-455-CNTRS-CURR</v>
      </c>
      <c r="G911" t="s">
        <v>127</v>
      </c>
      <c r="H911" t="s">
        <v>10287</v>
      </c>
      <c r="I911" t="s">
        <v>10253</v>
      </c>
      <c r="K911" s="1073" t="s">
        <v>10890</v>
      </c>
      <c r="L911" s="789" t="s">
        <v>10241</v>
      </c>
      <c r="M911" s="790" t="s">
        <v>10904</v>
      </c>
      <c r="O911" s="790" t="s">
        <v>10891</v>
      </c>
      <c r="P911" s="790" t="s">
        <v>10244</v>
      </c>
      <c r="R911" s="30"/>
    </row>
    <row r="912" spans="2:18" s="747" customFormat="1">
      <c r="B912" s="5" t="s">
        <v>10905</v>
      </c>
      <c r="C912" s="1045">
        <v>230</v>
      </c>
      <c r="D912" s="7">
        <f>Page1!G23</f>
        <v>0</v>
      </c>
      <c r="E912" s="7">
        <f>Page1!G23</f>
        <v>0</v>
      </c>
      <c r="F912" s="747" t="str">
        <f t="shared" si="66"/>
        <v>00-00-230-UNIT-CURR</v>
      </c>
      <c r="G912" s="747" t="s">
        <v>127</v>
      </c>
      <c r="H912" s="747" t="s">
        <v>95</v>
      </c>
      <c r="I912" s="747" t="s">
        <v>10253</v>
      </c>
      <c r="K912" s="1073" t="s">
        <v>10241</v>
      </c>
      <c r="L912" s="789" t="s">
        <v>10241</v>
      </c>
      <c r="M912" s="790" t="s">
        <v>10906</v>
      </c>
      <c r="N912" s="30"/>
      <c r="O912" s="790" t="s">
        <v>10255</v>
      </c>
      <c r="P912" s="790" t="s">
        <v>10244</v>
      </c>
      <c r="Q912" s="791" t="s">
        <v>773</v>
      </c>
      <c r="R912" s="791"/>
    </row>
    <row r="913" spans="2:18">
      <c r="B913" s="5" t="s">
        <v>10907</v>
      </c>
      <c r="C913" s="1038">
        <v>230</v>
      </c>
      <c r="D913" s="7">
        <f>Page7!E28</f>
        <v>0</v>
      </c>
      <c r="E913" s="7">
        <f>Page7!E28</f>
        <v>0</v>
      </c>
      <c r="F913" t="str">
        <f t="shared" si="66"/>
        <v>00-00-230GM-UNIT-CURR</v>
      </c>
      <c r="G913" t="s">
        <v>127</v>
      </c>
      <c r="H913" t="s">
        <v>95</v>
      </c>
      <c r="I913" t="s">
        <v>10253</v>
      </c>
      <c r="K913" s="1073" t="s">
        <v>10241</v>
      </c>
      <c r="L913" s="789" t="s">
        <v>10241</v>
      </c>
      <c r="M913" s="790" t="s">
        <v>1942</v>
      </c>
      <c r="O913" s="790" t="s">
        <v>10255</v>
      </c>
      <c r="P913" s="790" t="s">
        <v>10244</v>
      </c>
      <c r="R913" s="30"/>
    </row>
    <row r="914" spans="2:18">
      <c r="B914" s="5" t="s">
        <v>10908</v>
      </c>
      <c r="C914" s="1038">
        <v>231</v>
      </c>
      <c r="D914" s="7">
        <f>Page1!G24</f>
        <v>3</v>
      </c>
      <c r="E914" s="7">
        <f>Page1!G24</f>
        <v>3</v>
      </c>
      <c r="F914" t="str">
        <f t="shared" si="66"/>
        <v>00-00-231-UNIT-CURR</v>
      </c>
      <c r="G914" t="s">
        <v>127</v>
      </c>
      <c r="H914" t="s">
        <v>95</v>
      </c>
      <c r="I914" t="s">
        <v>10253</v>
      </c>
      <c r="K914" s="1073" t="s">
        <v>10241</v>
      </c>
      <c r="L914" s="789" t="s">
        <v>10241</v>
      </c>
      <c r="M914" s="790" t="s">
        <v>10909</v>
      </c>
      <c r="O914" s="790" t="s">
        <v>10255</v>
      </c>
      <c r="P914" s="790" t="s">
        <v>10244</v>
      </c>
      <c r="Q914" s="791" t="s">
        <v>773</v>
      </c>
    </row>
    <row r="915" spans="2:18">
      <c r="B915" s="5" t="s">
        <v>10910</v>
      </c>
      <c r="C915" s="1038">
        <v>231</v>
      </c>
      <c r="D915" s="7">
        <f>Page7!E29</f>
        <v>3</v>
      </c>
      <c r="E915" s="7">
        <f>Page7!E29</f>
        <v>3</v>
      </c>
      <c r="F915" t="str">
        <f t="shared" si="66"/>
        <v>00-00-231GM-UNIT-CURR</v>
      </c>
      <c r="G915" t="s">
        <v>127</v>
      </c>
      <c r="H915" t="s">
        <v>95</v>
      </c>
      <c r="I915" t="s">
        <v>10253</v>
      </c>
      <c r="K915" s="1073" t="s">
        <v>10241</v>
      </c>
      <c r="L915" s="789" t="s">
        <v>10241</v>
      </c>
      <c r="M915" s="790" t="s">
        <v>1945</v>
      </c>
      <c r="O915" s="790" t="s">
        <v>10255</v>
      </c>
      <c r="P915" s="790" t="s">
        <v>10244</v>
      </c>
      <c r="R915" s="30"/>
    </row>
    <row r="916" spans="2:18">
      <c r="B916" s="5" t="s">
        <v>10911</v>
      </c>
      <c r="C916" s="1038" t="s">
        <v>830</v>
      </c>
      <c r="D916" s="7">
        <f>Page7!E30</f>
        <v>0</v>
      </c>
      <c r="E916" s="7">
        <f>Page7!E30</f>
        <v>0</v>
      </c>
      <c r="F916" t="str">
        <f>TEXT(K916,"00")&amp;"-"&amp;L916&amp;IF(M916="","","-"&amp;M916)&amp;IF(N916="","","-"&amp;N916)&amp;IF(OR(O916="",O916=0),"","-"&amp;O916)&amp;IF(P916="","","-"&amp;P916)</f>
        <v>00-00-231EGM-UNIT-CURR</v>
      </c>
      <c r="G916" s="654" t="s">
        <v>127</v>
      </c>
      <c r="H916" t="s">
        <v>95</v>
      </c>
      <c r="I916" t="s">
        <v>10253</v>
      </c>
      <c r="K916" s="2231" t="s">
        <v>10241</v>
      </c>
      <c r="L916" s="789" t="s">
        <v>10241</v>
      </c>
      <c r="M916" s="2175" t="s">
        <v>1948</v>
      </c>
      <c r="O916" s="2175" t="s">
        <v>10255</v>
      </c>
      <c r="P916" s="2175" t="s">
        <v>10244</v>
      </c>
      <c r="R916" s="30"/>
    </row>
    <row r="917" spans="2:18">
      <c r="B917" s="5" t="s">
        <v>10912</v>
      </c>
      <c r="C917" s="1038">
        <v>237</v>
      </c>
      <c r="D917" s="7">
        <f>Page1!G25</f>
        <v>58</v>
      </c>
      <c r="E917" s="7">
        <f>Page1!G25</f>
        <v>58</v>
      </c>
      <c r="F917" t="str">
        <f t="shared" si="66"/>
        <v>00-00-237-UNIT-CURR</v>
      </c>
      <c r="G917" t="s">
        <v>127</v>
      </c>
      <c r="H917" t="s">
        <v>95</v>
      </c>
      <c r="I917" t="s">
        <v>10253</v>
      </c>
      <c r="K917" s="1073" t="s">
        <v>10241</v>
      </c>
      <c r="L917" s="789" t="s">
        <v>10241</v>
      </c>
      <c r="M917" s="790" t="s">
        <v>10913</v>
      </c>
      <c r="O917" s="790" t="s">
        <v>10255</v>
      </c>
      <c r="P917" s="790" t="s">
        <v>10244</v>
      </c>
      <c r="Q917" s="791" t="s">
        <v>773</v>
      </c>
    </row>
    <row r="918" spans="2:18">
      <c r="B918" s="5" t="s">
        <v>10914</v>
      </c>
      <c r="C918" s="1038">
        <v>237</v>
      </c>
      <c r="D918" s="7">
        <f>Page7!E31</f>
        <v>58</v>
      </c>
      <c r="E918" s="7">
        <f>Page7!E31</f>
        <v>58</v>
      </c>
      <c r="F918" t="str">
        <f t="shared" si="66"/>
        <v>00-00-237GM-UNIT-CURR</v>
      </c>
      <c r="G918" t="s">
        <v>127</v>
      </c>
      <c r="H918" t="s">
        <v>95</v>
      </c>
      <c r="I918" t="s">
        <v>10253</v>
      </c>
      <c r="K918" s="1073" t="s">
        <v>10241</v>
      </c>
      <c r="L918" s="789" t="s">
        <v>10241</v>
      </c>
      <c r="M918" s="790" t="s">
        <v>1951</v>
      </c>
      <c r="O918" s="790" t="s">
        <v>10255</v>
      </c>
      <c r="P918" s="790" t="s">
        <v>10244</v>
      </c>
      <c r="R918" s="30"/>
    </row>
    <row r="919" spans="2:18">
      <c r="B919" s="5" t="s">
        <v>10915</v>
      </c>
      <c r="C919" s="1038" t="s">
        <v>833</v>
      </c>
      <c r="D919" s="7">
        <f>Page7!E32</f>
        <v>0</v>
      </c>
      <c r="E919" s="7">
        <f>Page7!E32</f>
        <v>0</v>
      </c>
      <c r="F919" t="str">
        <f>TEXT(K919,"00")&amp;"-"&amp;L919&amp;IF(M919="","","-"&amp;M919)&amp;IF(N919="","","-"&amp;N919)&amp;IF(OR(O919="",O919=0),"","-"&amp;O919)&amp;IF(P919="","","-"&amp;P919)</f>
        <v>00-00-237EGM-UNIT-CURR</v>
      </c>
      <c r="G919" s="654" t="s">
        <v>127</v>
      </c>
      <c r="H919" t="s">
        <v>95</v>
      </c>
      <c r="I919" t="s">
        <v>10253</v>
      </c>
      <c r="K919" s="2231" t="s">
        <v>10241</v>
      </c>
      <c r="L919" s="789" t="s">
        <v>10241</v>
      </c>
      <c r="M919" s="2175" t="s">
        <v>1954</v>
      </c>
      <c r="O919" s="2175" t="s">
        <v>10255</v>
      </c>
      <c r="P919" s="2175" t="s">
        <v>10244</v>
      </c>
      <c r="R919" s="30"/>
    </row>
    <row r="920" spans="2:18">
      <c r="B920" s="5" t="s">
        <v>10916</v>
      </c>
      <c r="C920" s="1038">
        <v>235</v>
      </c>
      <c r="D920" s="7">
        <f>Page1!G26</f>
        <v>0</v>
      </c>
      <c r="E920" s="7">
        <f>Page1!G26</f>
        <v>0</v>
      </c>
      <c r="F920" t="str">
        <f t="shared" si="66"/>
        <v>00-00-235-UNIT-CURR</v>
      </c>
      <c r="G920" t="s">
        <v>127</v>
      </c>
      <c r="H920" t="s">
        <v>95</v>
      </c>
      <c r="I920" t="s">
        <v>10253</v>
      </c>
      <c r="K920" s="1073" t="s">
        <v>10241</v>
      </c>
      <c r="L920" s="789" t="s">
        <v>10241</v>
      </c>
      <c r="M920" s="790">
        <v>235</v>
      </c>
      <c r="O920" s="790" t="s">
        <v>10255</v>
      </c>
      <c r="P920" s="790" t="s">
        <v>10244</v>
      </c>
      <c r="Q920" s="791" t="s">
        <v>773</v>
      </c>
    </row>
    <row r="921" spans="2:18">
      <c r="B921" s="5" t="s">
        <v>10917</v>
      </c>
      <c r="C921" s="1038">
        <v>235</v>
      </c>
      <c r="D921" s="7">
        <f>Page7!E33</f>
        <v>0</v>
      </c>
      <c r="E921" s="7">
        <f>Page7!E33</f>
        <v>0</v>
      </c>
      <c r="F921" t="str">
        <f t="shared" si="66"/>
        <v>00-00-235GM-UNIT-CURR</v>
      </c>
      <c r="G921" t="s">
        <v>127</v>
      </c>
      <c r="H921" t="s">
        <v>95</v>
      </c>
      <c r="I921" t="s">
        <v>10253</v>
      </c>
      <c r="K921" s="1073" t="s">
        <v>10241</v>
      </c>
      <c r="L921" s="789" t="s">
        <v>10241</v>
      </c>
      <c r="M921" s="790" t="s">
        <v>1957</v>
      </c>
      <c r="O921" s="790" t="s">
        <v>10255</v>
      </c>
      <c r="P921" s="790" t="s">
        <v>10244</v>
      </c>
      <c r="R921" s="30"/>
    </row>
    <row r="922" spans="2:18">
      <c r="B922" s="5" t="s">
        <v>10918</v>
      </c>
      <c r="C922" s="1038">
        <v>230</v>
      </c>
      <c r="D922" s="7">
        <f>Page7!F28</f>
        <v>0</v>
      </c>
      <c r="E922" s="7">
        <f>Page7!F28</f>
        <v>0</v>
      </c>
      <c r="F922" t="str">
        <f t="shared" si="66"/>
        <v>00-00-230GM-FIFO-CURR</v>
      </c>
      <c r="G922" t="s">
        <v>127</v>
      </c>
      <c r="H922" t="s">
        <v>95</v>
      </c>
      <c r="I922" t="s">
        <v>10253</v>
      </c>
      <c r="K922" s="1073" t="s">
        <v>10241</v>
      </c>
      <c r="L922" s="789" t="s">
        <v>10241</v>
      </c>
      <c r="M922" s="790" t="s">
        <v>1942</v>
      </c>
      <c r="O922" s="790" t="s">
        <v>10919</v>
      </c>
      <c r="P922" s="790" t="s">
        <v>10244</v>
      </c>
      <c r="R922" s="30"/>
    </row>
    <row r="923" spans="2:18">
      <c r="B923" s="5" t="s">
        <v>10920</v>
      </c>
      <c r="C923" s="1038">
        <v>231</v>
      </c>
      <c r="D923" s="7">
        <f>Page7!F29</f>
        <v>101989</v>
      </c>
      <c r="E923" s="7">
        <f>Page7!F29</f>
        <v>101989</v>
      </c>
      <c r="F923" t="str">
        <f t="shared" si="66"/>
        <v>00-00-231GM-FIFO-CURR</v>
      </c>
      <c r="G923" t="s">
        <v>127</v>
      </c>
      <c r="H923" t="s">
        <v>95</v>
      </c>
      <c r="I923" t="s">
        <v>10253</v>
      </c>
      <c r="K923" s="1073" t="s">
        <v>10241</v>
      </c>
      <c r="L923" s="789" t="s">
        <v>10241</v>
      </c>
      <c r="M923" s="790" t="s">
        <v>1945</v>
      </c>
      <c r="O923" s="790" t="s">
        <v>10919</v>
      </c>
      <c r="P923" s="790" t="s">
        <v>10244</v>
      </c>
      <c r="R923" s="30"/>
    </row>
    <row r="924" spans="2:18">
      <c r="B924" s="5" t="s">
        <v>10921</v>
      </c>
      <c r="C924" s="1038" t="s">
        <v>830</v>
      </c>
      <c r="D924" s="7">
        <f>Page7!F30</f>
        <v>0</v>
      </c>
      <c r="E924" s="7">
        <f>Page7!F30</f>
        <v>0</v>
      </c>
      <c r="F924" t="str">
        <f>TEXT(K924,"00")&amp;"-"&amp;L924&amp;IF(M924="","","-"&amp;M924)&amp;IF(N924="","","-"&amp;N924)&amp;IF(OR(O924="",O924=0),"","-"&amp;O924)&amp;IF(P924="","","-"&amp;P924)</f>
        <v>00-00-231EGM-FIFO-CURR</v>
      </c>
      <c r="G924" s="654" t="s">
        <v>127</v>
      </c>
      <c r="H924" t="s">
        <v>95</v>
      </c>
      <c r="I924" t="s">
        <v>10253</v>
      </c>
      <c r="K924" s="2231" t="s">
        <v>10241</v>
      </c>
      <c r="L924" s="789" t="s">
        <v>10241</v>
      </c>
      <c r="M924" s="2175" t="s">
        <v>1948</v>
      </c>
      <c r="O924" s="2175" t="s">
        <v>10919</v>
      </c>
      <c r="P924" s="2175" t="s">
        <v>10244</v>
      </c>
      <c r="R924" s="30"/>
    </row>
    <row r="925" spans="2:18">
      <c r="B925" s="5" t="s">
        <v>10922</v>
      </c>
      <c r="C925" s="1038">
        <v>237</v>
      </c>
      <c r="D925" s="7">
        <f>Page7!F31</f>
        <v>10026181</v>
      </c>
      <c r="E925" s="7">
        <f>Page7!F31</f>
        <v>10026181</v>
      </c>
      <c r="F925" t="str">
        <f t="shared" si="66"/>
        <v>00-00-237GM-FIFO-CURR</v>
      </c>
      <c r="G925" t="s">
        <v>127</v>
      </c>
      <c r="H925" t="s">
        <v>95</v>
      </c>
      <c r="I925" t="s">
        <v>10253</v>
      </c>
      <c r="K925" s="1073" t="s">
        <v>10241</v>
      </c>
      <c r="L925" s="789" t="s">
        <v>10241</v>
      </c>
      <c r="M925" s="790" t="s">
        <v>1951</v>
      </c>
      <c r="O925" s="790" t="s">
        <v>10919</v>
      </c>
      <c r="P925" s="790" t="s">
        <v>10244</v>
      </c>
      <c r="R925" s="30"/>
    </row>
    <row r="926" spans="2:18">
      <c r="B926" s="5" t="s">
        <v>10923</v>
      </c>
      <c r="C926" s="1038" t="s">
        <v>833</v>
      </c>
      <c r="D926" s="7">
        <f>Page7!F32</f>
        <v>0</v>
      </c>
      <c r="E926" s="7">
        <f>Page7!F32</f>
        <v>0</v>
      </c>
      <c r="F926" t="str">
        <f>TEXT(K926,"00")&amp;"-"&amp;L926&amp;IF(M926="","","-"&amp;M926)&amp;IF(N926="","","-"&amp;N926)&amp;IF(OR(O926="",O926=0),"","-"&amp;O926)&amp;IF(P926="","","-"&amp;P926)</f>
        <v>00-00-237EGM-FIFO-CURR</v>
      </c>
      <c r="G926" s="654" t="s">
        <v>127</v>
      </c>
      <c r="H926" t="s">
        <v>95</v>
      </c>
      <c r="I926" t="s">
        <v>10253</v>
      </c>
      <c r="K926" s="2231" t="s">
        <v>10241</v>
      </c>
      <c r="L926" s="789" t="s">
        <v>10241</v>
      </c>
      <c r="M926" s="2175" t="s">
        <v>1954</v>
      </c>
      <c r="O926" s="2175" t="s">
        <v>10919</v>
      </c>
      <c r="P926" s="2175" t="s">
        <v>10244</v>
      </c>
      <c r="R926" s="30"/>
    </row>
    <row r="927" spans="2:18">
      <c r="B927" s="5" t="s">
        <v>10924</v>
      </c>
      <c r="C927" s="1038">
        <v>235</v>
      </c>
      <c r="D927" s="7">
        <f>Page7!F33</f>
        <v>0</v>
      </c>
      <c r="E927" s="7">
        <f>Page7!F33</f>
        <v>0</v>
      </c>
      <c r="F927" t="str">
        <f t="shared" si="66"/>
        <v>00-00-235GM-FIFO-CURR</v>
      </c>
      <c r="G927" t="s">
        <v>127</v>
      </c>
      <c r="H927" t="s">
        <v>95</v>
      </c>
      <c r="I927" t="s">
        <v>10253</v>
      </c>
      <c r="K927" s="1073" t="s">
        <v>10241</v>
      </c>
      <c r="L927" s="789" t="s">
        <v>10241</v>
      </c>
      <c r="M927" s="790" t="s">
        <v>1957</v>
      </c>
      <c r="O927" s="790" t="s">
        <v>10919</v>
      </c>
      <c r="P927" s="790" t="s">
        <v>10244</v>
      </c>
      <c r="R927" s="30"/>
    </row>
    <row r="928" spans="2:18">
      <c r="B928" s="5" t="s">
        <v>10925</v>
      </c>
      <c r="C928" s="1038">
        <v>240</v>
      </c>
      <c r="D928" s="7">
        <f>Page7!E37</f>
        <v>29</v>
      </c>
      <c r="E928" s="7">
        <f>Page7!E37</f>
        <v>29</v>
      </c>
      <c r="F928" t="str">
        <f t="shared" ref="F928:F939" si="67">TEXT(K928,"00")&amp;"-"&amp;L928&amp;IF(M928="","","-"&amp;M928)&amp;IF(N928="","","-"&amp;N928)&amp;IF(OR(O928="",O928=0),"","-"&amp;O928)&amp;IF(P928="","","-"&amp;P928)</f>
        <v>00-00-240UND45-UNIT-CURR</v>
      </c>
      <c r="G928" t="s">
        <v>127</v>
      </c>
      <c r="H928" t="s">
        <v>95</v>
      </c>
      <c r="I928" t="s">
        <v>10253</v>
      </c>
      <c r="J928" t="s">
        <v>10268</v>
      </c>
      <c r="K928" s="1073" t="s">
        <v>10241</v>
      </c>
      <c r="L928" s="789" t="s">
        <v>10241</v>
      </c>
      <c r="M928" s="790" t="s">
        <v>10926</v>
      </c>
      <c r="O928" s="790" t="s">
        <v>10255</v>
      </c>
      <c r="P928" s="790" t="s">
        <v>10244</v>
      </c>
      <c r="R928" s="30"/>
    </row>
    <row r="929" spans="2:18">
      <c r="B929" s="5" t="s">
        <v>10927</v>
      </c>
      <c r="C929" s="1038">
        <v>241</v>
      </c>
      <c r="D929" s="7">
        <f>Page7!E38</f>
        <v>136</v>
      </c>
      <c r="E929" s="7">
        <f>Page7!E38</f>
        <v>136</v>
      </c>
      <c r="F929" t="str">
        <f t="shared" si="67"/>
        <v>00-00-241UND45-UNIT-CURR</v>
      </c>
      <c r="G929" t="s">
        <v>127</v>
      </c>
      <c r="H929" t="s">
        <v>95</v>
      </c>
      <c r="I929" t="s">
        <v>10253</v>
      </c>
      <c r="J929" t="s">
        <v>10268</v>
      </c>
      <c r="K929" s="1073" t="s">
        <v>10241</v>
      </c>
      <c r="L929" s="789" t="s">
        <v>10241</v>
      </c>
      <c r="M929" s="790" t="s">
        <v>10928</v>
      </c>
      <c r="O929" s="790" t="s">
        <v>10255</v>
      </c>
      <c r="P929" s="790" t="s">
        <v>10244</v>
      </c>
      <c r="R929" s="30"/>
    </row>
    <row r="930" spans="2:18">
      <c r="B930" s="5" t="s">
        <v>10929</v>
      </c>
      <c r="C930" s="1038">
        <v>240</v>
      </c>
      <c r="D930" s="7">
        <f>Page7!F37</f>
        <v>614089</v>
      </c>
      <c r="E930" s="7">
        <f>Page7!F37</f>
        <v>614089</v>
      </c>
      <c r="F930" t="str">
        <f t="shared" si="67"/>
        <v>00-00-240UND45-FIFO-CURR</v>
      </c>
      <c r="G930" t="s">
        <v>127</v>
      </c>
      <c r="H930" t="s">
        <v>95</v>
      </c>
      <c r="I930" t="s">
        <v>10253</v>
      </c>
      <c r="J930" t="s">
        <v>10268</v>
      </c>
      <c r="K930" s="1073" t="s">
        <v>10241</v>
      </c>
      <c r="L930" s="789" t="s">
        <v>10241</v>
      </c>
      <c r="M930" s="790" t="s">
        <v>10926</v>
      </c>
      <c r="O930" s="790" t="s">
        <v>10919</v>
      </c>
      <c r="P930" s="790" t="s">
        <v>10244</v>
      </c>
      <c r="R930" s="30"/>
    </row>
    <row r="931" spans="2:18">
      <c r="B931" s="5" t="s">
        <v>10930</v>
      </c>
      <c r="C931" s="1038">
        <v>241</v>
      </c>
      <c r="D931" s="7">
        <f>Page7!F38</f>
        <v>5063114</v>
      </c>
      <c r="E931" s="7">
        <f>Page7!F38</f>
        <v>5063114</v>
      </c>
      <c r="F931" t="str">
        <f t="shared" si="67"/>
        <v>00-00-241UND45-FIFO-CURR</v>
      </c>
      <c r="G931" t="s">
        <v>127</v>
      </c>
      <c r="H931" t="s">
        <v>95</v>
      </c>
      <c r="I931" t="s">
        <v>10253</v>
      </c>
      <c r="J931" t="s">
        <v>10268</v>
      </c>
      <c r="K931" s="1073" t="s">
        <v>10241</v>
      </c>
      <c r="L931" s="789" t="s">
        <v>10241</v>
      </c>
      <c r="M931" s="790" t="s">
        <v>10928</v>
      </c>
      <c r="O931" s="790" t="s">
        <v>10919</v>
      </c>
      <c r="P931" s="790" t="s">
        <v>10244</v>
      </c>
      <c r="R931" s="30"/>
    </row>
    <row r="932" spans="2:18">
      <c r="B932" s="5" t="s">
        <v>10931</v>
      </c>
      <c r="C932" s="1038">
        <v>240</v>
      </c>
      <c r="D932" s="7">
        <f>Page7!H37</f>
        <v>9</v>
      </c>
      <c r="E932" s="7">
        <f>Page7!H37</f>
        <v>9</v>
      </c>
      <c r="F932" t="str">
        <f t="shared" si="67"/>
        <v>00-00-240OVR45-UNIT-CURR</v>
      </c>
      <c r="G932" t="s">
        <v>127</v>
      </c>
      <c r="H932" t="s">
        <v>95</v>
      </c>
      <c r="I932" t="s">
        <v>10253</v>
      </c>
      <c r="K932" s="1073" t="s">
        <v>10241</v>
      </c>
      <c r="L932" s="789" t="s">
        <v>10241</v>
      </c>
      <c r="M932" s="790" t="s">
        <v>10932</v>
      </c>
      <c r="O932" s="790" t="s">
        <v>10255</v>
      </c>
      <c r="P932" s="790" t="s">
        <v>10244</v>
      </c>
      <c r="R932" s="30"/>
    </row>
    <row r="933" spans="2:18">
      <c r="B933" s="5" t="s">
        <v>10933</v>
      </c>
      <c r="C933" s="1038">
        <v>241</v>
      </c>
      <c r="D933" s="7">
        <f>Page7!H38</f>
        <v>97</v>
      </c>
      <c r="E933" s="7">
        <f>Page7!H38</f>
        <v>97</v>
      </c>
      <c r="F933" t="str">
        <f t="shared" si="67"/>
        <v>00-00-241OVR45-UNIT-CURR</v>
      </c>
      <c r="G933" t="s">
        <v>127</v>
      </c>
      <c r="H933" t="s">
        <v>95</v>
      </c>
      <c r="I933" t="s">
        <v>10253</v>
      </c>
      <c r="K933" s="1073" t="s">
        <v>10241</v>
      </c>
      <c r="L933" s="789" t="s">
        <v>10241</v>
      </c>
      <c r="M933" s="790" t="s">
        <v>10934</v>
      </c>
      <c r="O933" s="790" t="s">
        <v>10255</v>
      </c>
      <c r="P933" s="790" t="s">
        <v>10244</v>
      </c>
      <c r="R933" s="30"/>
    </row>
    <row r="934" spans="2:18">
      <c r="B934" s="5" t="s">
        <v>10935</v>
      </c>
      <c r="C934" s="1038">
        <v>240</v>
      </c>
      <c r="D934" s="7">
        <f>Page7!I37</f>
        <v>129322</v>
      </c>
      <c r="E934" s="7">
        <f>Page7!I37</f>
        <v>129322</v>
      </c>
      <c r="F934" t="str">
        <f t="shared" si="67"/>
        <v>00-00-240OVR45-FIFO-CURR</v>
      </c>
      <c r="G934" t="s">
        <v>127</v>
      </c>
      <c r="H934" t="s">
        <v>95</v>
      </c>
      <c r="I934" t="s">
        <v>10253</v>
      </c>
      <c r="K934" s="1073" t="s">
        <v>10241</v>
      </c>
      <c r="L934" s="789" t="s">
        <v>10241</v>
      </c>
      <c r="M934" s="790" t="s">
        <v>10932</v>
      </c>
      <c r="O934" s="790" t="s">
        <v>10919</v>
      </c>
      <c r="P934" s="790" t="s">
        <v>10244</v>
      </c>
      <c r="R934" s="30"/>
    </row>
    <row r="935" spans="2:18">
      <c r="B935" s="5" t="s">
        <v>10936</v>
      </c>
      <c r="C935" s="1038">
        <v>241</v>
      </c>
      <c r="D935" s="7">
        <f>Page7!I38</f>
        <v>4435245</v>
      </c>
      <c r="E935" s="7">
        <f>Page7!I38</f>
        <v>4435245</v>
      </c>
      <c r="F935" t="str">
        <f t="shared" si="67"/>
        <v>00-00-241OVR45-FIFO-CURR</v>
      </c>
      <c r="G935" t="s">
        <v>127</v>
      </c>
      <c r="H935" t="s">
        <v>95</v>
      </c>
      <c r="I935" t="s">
        <v>10253</v>
      </c>
      <c r="K935" s="1073" t="s">
        <v>10241</v>
      </c>
      <c r="L935" s="789" t="s">
        <v>10241</v>
      </c>
      <c r="M935" s="790" t="s">
        <v>10934</v>
      </c>
      <c r="O935" s="790" t="s">
        <v>10919</v>
      </c>
      <c r="P935" s="790" t="s">
        <v>10244</v>
      </c>
      <c r="R935" s="30"/>
    </row>
    <row r="936" spans="2:18">
      <c r="B936" s="5" t="s">
        <v>10937</v>
      </c>
      <c r="C936" s="1038">
        <v>240</v>
      </c>
      <c r="D936" s="7">
        <f>Page7!J37</f>
        <v>38</v>
      </c>
      <c r="E936" s="7">
        <f>Page7!J37</f>
        <v>38</v>
      </c>
      <c r="F936" t="str">
        <f t="shared" si="67"/>
        <v>00-00-240TOTL-UNIT-CURR</v>
      </c>
      <c r="G936" t="s">
        <v>127</v>
      </c>
      <c r="H936" t="s">
        <v>95</v>
      </c>
      <c r="I936" t="s">
        <v>10253</v>
      </c>
      <c r="K936" s="1073" t="s">
        <v>10241</v>
      </c>
      <c r="L936" s="789" t="s">
        <v>10241</v>
      </c>
      <c r="M936" s="790" t="s">
        <v>10938</v>
      </c>
      <c r="O936" s="790" t="s">
        <v>10255</v>
      </c>
      <c r="P936" s="790" t="s">
        <v>10244</v>
      </c>
      <c r="R936" s="30"/>
    </row>
    <row r="937" spans="2:18">
      <c r="B937" s="5" t="s">
        <v>10939</v>
      </c>
      <c r="C937" s="1038">
        <v>241</v>
      </c>
      <c r="D937" s="7">
        <f>Page7!J38</f>
        <v>233</v>
      </c>
      <c r="E937" s="7">
        <f>Page7!J38</f>
        <v>233</v>
      </c>
      <c r="F937" t="str">
        <f t="shared" si="67"/>
        <v>00-00-241TOTL-UNIT-CURR</v>
      </c>
      <c r="G937" t="s">
        <v>127</v>
      </c>
      <c r="H937" t="s">
        <v>95</v>
      </c>
      <c r="I937" t="s">
        <v>10253</v>
      </c>
      <c r="K937" s="1073" t="s">
        <v>10241</v>
      </c>
      <c r="L937" s="789" t="s">
        <v>10241</v>
      </c>
      <c r="M937" s="790" t="s">
        <v>10940</v>
      </c>
      <c r="O937" s="790" t="s">
        <v>10255</v>
      </c>
      <c r="P937" s="790" t="s">
        <v>10244</v>
      </c>
      <c r="R937" s="30"/>
    </row>
    <row r="938" spans="2:18">
      <c r="B938" s="5" t="s">
        <v>10941</v>
      </c>
      <c r="C938" s="1038">
        <v>240</v>
      </c>
      <c r="D938" s="7">
        <f>Page7!K37</f>
        <v>743411</v>
      </c>
      <c r="E938" s="7">
        <f>Page7!K37</f>
        <v>743411</v>
      </c>
      <c r="F938" t="str">
        <f t="shared" si="67"/>
        <v>00-00-240TOTL-FIFO-CURR</v>
      </c>
      <c r="G938" t="s">
        <v>127</v>
      </c>
      <c r="H938" t="s">
        <v>95</v>
      </c>
      <c r="I938" t="s">
        <v>10253</v>
      </c>
      <c r="K938" s="1073" t="s">
        <v>10241</v>
      </c>
      <c r="L938" s="789" t="s">
        <v>10241</v>
      </c>
      <c r="M938" s="790" t="s">
        <v>10938</v>
      </c>
      <c r="O938" s="790" t="s">
        <v>10919</v>
      </c>
      <c r="P938" s="790" t="s">
        <v>10244</v>
      </c>
      <c r="R938" s="30"/>
    </row>
    <row r="939" spans="2:18">
      <c r="B939" s="5" t="s">
        <v>10942</v>
      </c>
      <c r="C939" s="1038">
        <v>241</v>
      </c>
      <c r="D939" s="7">
        <f>Page7!K38</f>
        <v>9498359</v>
      </c>
      <c r="E939" s="7">
        <f>Page7!K38</f>
        <v>9498359</v>
      </c>
      <c r="F939" t="str">
        <f t="shared" si="67"/>
        <v>00-00-241TOTL-FIFO-CURR</v>
      </c>
      <c r="G939" t="s">
        <v>127</v>
      </c>
      <c r="H939" t="s">
        <v>95</v>
      </c>
      <c r="I939" t="s">
        <v>10253</v>
      </c>
      <c r="K939" s="1073" t="s">
        <v>10241</v>
      </c>
      <c r="L939" s="789" t="s">
        <v>10241</v>
      </c>
      <c r="M939" s="790" t="s">
        <v>10940</v>
      </c>
      <c r="O939" s="790" t="s">
        <v>10919</v>
      </c>
      <c r="P939" s="790" t="s">
        <v>10244</v>
      </c>
      <c r="R939" s="30"/>
    </row>
    <row r="940" spans="2:18">
      <c r="B940" s="5" t="s">
        <v>10943</v>
      </c>
      <c r="C940" s="1038">
        <v>242</v>
      </c>
      <c r="D940" s="7">
        <f>Page7!F40</f>
        <v>396812</v>
      </c>
      <c r="E940" s="7">
        <f>Page7!F40</f>
        <v>396812</v>
      </c>
      <c r="F940" t="str">
        <f>TEXT(K940,"00")&amp;"-"&amp;L940&amp;IF(M940="","","-"&amp;M940)&amp;IF(N940="","","-"&amp;N940)&amp;IF(OR(O940="",O940=0),"","-"&amp;O940)&amp;IF(P940="","","-"&amp;P940)</f>
        <v>00-00-242GM-FIFO-CURR</v>
      </c>
      <c r="G940" t="s">
        <v>127</v>
      </c>
      <c r="H940" t="s">
        <v>95</v>
      </c>
      <c r="I940" t="s">
        <v>10253</v>
      </c>
      <c r="K940" s="1073" t="s">
        <v>10241</v>
      </c>
      <c r="L940" s="789" t="s">
        <v>10241</v>
      </c>
      <c r="M940" s="790" t="s">
        <v>2011</v>
      </c>
      <c r="O940" s="790" t="s">
        <v>10919</v>
      </c>
      <c r="P940" s="790" t="s">
        <v>10244</v>
      </c>
      <c r="R940" s="30"/>
    </row>
    <row r="941" spans="2:18">
      <c r="B941" s="5" t="s">
        <v>10944</v>
      </c>
      <c r="C941" s="1038" t="s">
        <v>851</v>
      </c>
      <c r="D941" s="7">
        <f>Page7!F41</f>
        <v>-13833</v>
      </c>
      <c r="E941" s="7">
        <f>Page7!F41</f>
        <v>-13833</v>
      </c>
      <c r="F941" t="str">
        <f>TEXT(K941,"00")&amp;"-"&amp;L941&amp;IF(M941="","","-"&amp;M941)&amp;IF(N941="","","-"&amp;N941)&amp;IF(OR(O941="",O941=0),"","-"&amp;O941)&amp;IF(P941="","","-"&amp;P941)</f>
        <v>00-00-242AGM-FIFO-CURR</v>
      </c>
      <c r="G941" t="s">
        <v>127</v>
      </c>
      <c r="H941" t="s">
        <v>95</v>
      </c>
      <c r="I941" t="s">
        <v>10253</v>
      </c>
      <c r="K941" s="1073" t="s">
        <v>10241</v>
      </c>
      <c r="L941" s="789" t="s">
        <v>10241</v>
      </c>
      <c r="M941" s="790" t="s">
        <v>2016</v>
      </c>
      <c r="O941" s="790" t="s">
        <v>10919</v>
      </c>
      <c r="P941" s="790" t="s">
        <v>10244</v>
      </c>
      <c r="R941" s="30"/>
    </row>
    <row r="942" spans="2:18">
      <c r="B942" s="5" t="s">
        <v>10945</v>
      </c>
      <c r="C942" s="1047" t="s">
        <v>10946</v>
      </c>
      <c r="D942" s="7">
        <f>Page7!F42</f>
        <v>88385</v>
      </c>
      <c r="E942" s="7">
        <f>Page7!F42</f>
        <v>88385</v>
      </c>
      <c r="F942" t="str">
        <f>TEXT(K942,"00")&amp;"-"&amp;L942&amp;IF(M942="","","-"&amp;M942)&amp;IF(N942="","","-"&amp;N942)&amp;IF(OR(O942="",O942=0),"","-"&amp;O942)&amp;IF(P942="","","-"&amp;P942)</f>
        <v>00-00-243-258G-FIFO-CURR</v>
      </c>
      <c r="G942" t="s">
        <v>127</v>
      </c>
      <c r="H942" t="s">
        <v>95</v>
      </c>
      <c r="I942" t="s">
        <v>10253</v>
      </c>
      <c r="K942" s="1073" t="s">
        <v>10241</v>
      </c>
      <c r="L942" s="789" t="s">
        <v>10241</v>
      </c>
      <c r="M942" s="790" t="s">
        <v>10947</v>
      </c>
      <c r="O942" s="790" t="s">
        <v>10919</v>
      </c>
      <c r="P942" s="790" t="s">
        <v>10244</v>
      </c>
      <c r="R942" s="30"/>
    </row>
    <row r="943" spans="2:18">
      <c r="B943" s="5" t="s">
        <v>10948</v>
      </c>
      <c r="C943" s="1038">
        <v>242</v>
      </c>
      <c r="D943" s="7">
        <f>Page7!K40</f>
        <v>0</v>
      </c>
      <c r="E943" s="7">
        <f>Page7!K40</f>
        <v>0</v>
      </c>
      <c r="F943" t="str">
        <f t="shared" ref="F943:F1007" si="68">TEXT(K943,"00")&amp;"-"&amp;L943&amp;IF(M943="","","-"&amp;M943)&amp;IF(N943="","","-"&amp;N943)&amp;IF(OR(O943="",O943=0),"","-"&amp;O943)&amp;IF(P943="","","-"&amp;P943)</f>
        <v>00-00-242OTH-FIFO-CURR</v>
      </c>
      <c r="G943" t="s">
        <v>127</v>
      </c>
      <c r="H943" t="s">
        <v>95</v>
      </c>
      <c r="I943" t="s">
        <v>10253</v>
      </c>
      <c r="K943" s="1073" t="s">
        <v>10241</v>
      </c>
      <c r="L943" s="789" t="s">
        <v>10241</v>
      </c>
      <c r="M943" s="790" t="s">
        <v>10949</v>
      </c>
      <c r="O943" s="790" t="s">
        <v>10919</v>
      </c>
      <c r="P943" s="790" t="s">
        <v>10244</v>
      </c>
      <c r="R943" s="30"/>
    </row>
    <row r="944" spans="2:18">
      <c r="B944" s="5" t="s">
        <v>10950</v>
      </c>
      <c r="C944" s="1038" t="s">
        <v>851</v>
      </c>
      <c r="D944" s="7">
        <f>Page7!K41</f>
        <v>0</v>
      </c>
      <c r="E944" s="7">
        <f>Page7!K41</f>
        <v>0</v>
      </c>
      <c r="F944" t="str">
        <f t="shared" si="68"/>
        <v>00-00-242AOTH-FIFO-CURR</v>
      </c>
      <c r="G944" t="s">
        <v>127</v>
      </c>
      <c r="H944" t="s">
        <v>95</v>
      </c>
      <c r="I944" t="s">
        <v>10253</v>
      </c>
      <c r="K944" s="1073" t="s">
        <v>10241</v>
      </c>
      <c r="L944" s="789" t="s">
        <v>10241</v>
      </c>
      <c r="M944" s="790" t="s">
        <v>10951</v>
      </c>
      <c r="O944" s="790" t="s">
        <v>10919</v>
      </c>
      <c r="P944" s="790" t="s">
        <v>10244</v>
      </c>
      <c r="R944" s="30"/>
    </row>
    <row r="945" spans="2:18">
      <c r="B945" s="5" t="s">
        <v>10952</v>
      </c>
      <c r="C945" s="1047" t="s">
        <v>10946</v>
      </c>
      <c r="D945" s="7">
        <f>Page7!K42</f>
        <v>0</v>
      </c>
      <c r="E945" s="7">
        <f>Page7!K42</f>
        <v>0</v>
      </c>
      <c r="F945" t="str">
        <f t="shared" si="68"/>
        <v>00-00-243-258O-FIFO-CURR</v>
      </c>
      <c r="G945" t="s">
        <v>127</v>
      </c>
      <c r="H945" t="s">
        <v>95</v>
      </c>
      <c r="I945" t="s">
        <v>10253</v>
      </c>
      <c r="K945" s="1073" t="s">
        <v>10241</v>
      </c>
      <c r="L945" s="789" t="s">
        <v>10241</v>
      </c>
      <c r="M945" s="790" t="s">
        <v>10953</v>
      </c>
      <c r="O945" s="790" t="s">
        <v>10919</v>
      </c>
      <c r="P945" s="790" t="s">
        <v>10244</v>
      </c>
      <c r="R945" s="30"/>
    </row>
    <row r="946" spans="2:18">
      <c r="B946" s="5" t="s">
        <v>2053</v>
      </c>
      <c r="C946" s="1038" t="s">
        <v>855</v>
      </c>
      <c r="D946" s="7">
        <f>Page7!F44</f>
        <v>11187</v>
      </c>
      <c r="E946" s="7">
        <f>Page7!F44</f>
        <v>11187</v>
      </c>
      <c r="F946" t="str">
        <f t="shared" si="68"/>
        <v>00-00-247A-AMT-CURR</v>
      </c>
      <c r="G946" t="s">
        <v>127</v>
      </c>
      <c r="H946" t="s">
        <v>95</v>
      </c>
      <c r="I946" t="s">
        <v>10253</v>
      </c>
      <c r="K946" s="1073" t="s">
        <v>10241</v>
      </c>
      <c r="L946" s="789" t="s">
        <v>10241</v>
      </c>
      <c r="M946" s="790" t="s">
        <v>855</v>
      </c>
      <c r="O946" s="790" t="s">
        <v>10263</v>
      </c>
      <c r="P946" s="790" t="s">
        <v>10244</v>
      </c>
      <c r="R946" s="30"/>
    </row>
    <row r="947" spans="2:18">
      <c r="B947" s="5" t="s">
        <v>2056</v>
      </c>
      <c r="C947" s="1038" t="s">
        <v>857</v>
      </c>
      <c r="D947" s="7">
        <f>Page7!N44</f>
        <v>6794</v>
      </c>
      <c r="E947" s="7">
        <f>Page7!N44</f>
        <v>6794</v>
      </c>
      <c r="F947" t="str">
        <f t="shared" si="68"/>
        <v>00-00-247B-AMT-CURR</v>
      </c>
      <c r="G947" t="s">
        <v>127</v>
      </c>
      <c r="H947" t="s">
        <v>95</v>
      </c>
      <c r="I947" t="s">
        <v>10253</v>
      </c>
      <c r="K947" s="1073" t="s">
        <v>10241</v>
      </c>
      <c r="L947" s="789" t="s">
        <v>10241</v>
      </c>
      <c r="M947" s="790" t="s">
        <v>857</v>
      </c>
      <c r="O947" s="790" t="s">
        <v>10263</v>
      </c>
      <c r="P947" s="790" t="s">
        <v>10244</v>
      </c>
      <c r="R947" s="30"/>
    </row>
    <row r="948" spans="2:18">
      <c r="B948" s="5" t="s">
        <v>10954</v>
      </c>
      <c r="C948" s="1038"/>
      <c r="D948">
        <f>Page7!E47</f>
        <v>0.3</v>
      </c>
      <c r="E948" s="808">
        <f>Page7!E47</f>
        <v>0.3</v>
      </c>
      <c r="F948" t="str">
        <f t="shared" si="68"/>
        <v>01-00-OWNR-PERSONNL-CURR</v>
      </c>
      <c r="G948" t="s">
        <v>127</v>
      </c>
      <c r="H948" t="s">
        <v>95</v>
      </c>
      <c r="I948" t="s">
        <v>10253</v>
      </c>
      <c r="K948" s="1073" t="s">
        <v>10288</v>
      </c>
      <c r="L948" s="789" t="s">
        <v>10241</v>
      </c>
      <c r="M948" s="790" t="s">
        <v>10955</v>
      </c>
      <c r="O948" s="790" t="s">
        <v>10956</v>
      </c>
      <c r="P948" s="790" t="s">
        <v>10244</v>
      </c>
    </row>
    <row r="949" spans="2:18">
      <c r="B949" s="5" t="s">
        <v>10957</v>
      </c>
      <c r="C949" s="1038"/>
      <c r="D949">
        <f>Page7!E48</f>
        <v>1</v>
      </c>
      <c r="E949" s="808">
        <f>Page7!E48</f>
        <v>1</v>
      </c>
      <c r="F949" t="str">
        <f t="shared" si="68"/>
        <v>01-00-SUPV-PERSONNL-CURR</v>
      </c>
      <c r="G949" t="s">
        <v>127</v>
      </c>
      <c r="H949" t="s">
        <v>95</v>
      </c>
      <c r="I949" t="s">
        <v>10253</v>
      </c>
      <c r="K949" s="1073" t="s">
        <v>10288</v>
      </c>
      <c r="L949" s="789" t="s">
        <v>10241</v>
      </c>
      <c r="M949" s="790" t="s">
        <v>10958</v>
      </c>
      <c r="O949" s="790" t="s">
        <v>10956</v>
      </c>
      <c r="P949" s="790" t="s">
        <v>10244</v>
      </c>
    </row>
    <row r="950" spans="2:18">
      <c r="B950" s="5" t="s">
        <v>10959</v>
      </c>
      <c r="C950" s="1038"/>
      <c r="D950">
        <f>Page7!E49</f>
        <v>5</v>
      </c>
      <c r="E950" s="808">
        <f>Page7!E49</f>
        <v>5</v>
      </c>
      <c r="F950" t="str">
        <f t="shared" si="68"/>
        <v>01-00-SALES-PERSONNL-CURR</v>
      </c>
      <c r="G950" t="s">
        <v>127</v>
      </c>
      <c r="H950" t="s">
        <v>95</v>
      </c>
      <c r="I950" t="s">
        <v>10253</v>
      </c>
      <c r="K950" s="1073" t="s">
        <v>10288</v>
      </c>
      <c r="L950" s="789" t="s">
        <v>10241</v>
      </c>
      <c r="M950" s="790" t="s">
        <v>9883</v>
      </c>
      <c r="O950" s="790" t="s">
        <v>10956</v>
      </c>
      <c r="P950" s="790" t="s">
        <v>10244</v>
      </c>
    </row>
    <row r="951" spans="2:18">
      <c r="B951" s="5" t="s">
        <v>10960</v>
      </c>
      <c r="C951" s="1038"/>
      <c r="D951">
        <f>Page7!E50</f>
        <v>0</v>
      </c>
      <c r="E951" s="808">
        <f>Page7!E50</f>
        <v>0</v>
      </c>
      <c r="F951" t="str">
        <f>TEXT(K951,"00")&amp;"-"&amp;L951&amp;IF(M951="","","-"&amp;M951)&amp;IF(N951="","","-"&amp;N951)&amp;IF(OR(O951="",O951=0),"","-"&amp;O951)&amp;IF(P951="","","-"&amp;P951)</f>
        <v>01-00-BDCE-PERSONNL-CURR</v>
      </c>
      <c r="G951" s="654" t="s">
        <v>127</v>
      </c>
      <c r="H951" t="s">
        <v>95</v>
      </c>
      <c r="I951" t="s">
        <v>10253</v>
      </c>
      <c r="K951" s="2231" t="s">
        <v>10288</v>
      </c>
      <c r="L951" s="789" t="s">
        <v>10241</v>
      </c>
      <c r="M951" s="2175" t="s">
        <v>10961</v>
      </c>
      <c r="O951" s="2175" t="s">
        <v>10956</v>
      </c>
      <c r="P951" s="2175" t="s">
        <v>10244</v>
      </c>
    </row>
    <row r="952" spans="2:18">
      <c r="B952" s="5" t="s">
        <v>10962</v>
      </c>
      <c r="C952" s="1038"/>
      <c r="D952">
        <f>Page7!E52</f>
        <v>1</v>
      </c>
      <c r="E952" s="808">
        <f>Page7!E52</f>
        <v>1</v>
      </c>
      <c r="F952" t="str">
        <f t="shared" si="68"/>
        <v>01-00-CLERC-PERSONNL-CURR</v>
      </c>
      <c r="G952" t="s">
        <v>127</v>
      </c>
      <c r="H952" t="s">
        <v>95</v>
      </c>
      <c r="I952" t="s">
        <v>10253</v>
      </c>
      <c r="K952" s="1073" t="s">
        <v>10288</v>
      </c>
      <c r="L952" s="789" t="s">
        <v>10241</v>
      </c>
      <c r="M952" s="790" t="s">
        <v>10963</v>
      </c>
      <c r="O952" s="790" t="s">
        <v>10956</v>
      </c>
      <c r="P952" s="790" t="s">
        <v>10244</v>
      </c>
    </row>
    <row r="953" spans="2:18">
      <c r="B953" s="5" t="s">
        <v>10964</v>
      </c>
      <c r="C953" s="1038"/>
      <c r="D953">
        <f>Page7!E53</f>
        <v>0.5</v>
      </c>
      <c r="E953" s="808">
        <f>Page7!E53</f>
        <v>0.5</v>
      </c>
      <c r="F953" t="str">
        <f t="shared" si="68"/>
        <v>01-00-OTHR-PERSONNL-CURR</v>
      </c>
      <c r="G953" t="s">
        <v>127</v>
      </c>
      <c r="H953" t="s">
        <v>95</v>
      </c>
      <c r="I953" t="s">
        <v>10253</v>
      </c>
      <c r="K953" s="1073" t="s">
        <v>10288</v>
      </c>
      <c r="L953" s="789" t="s">
        <v>10241</v>
      </c>
      <c r="M953" s="790" t="s">
        <v>10965</v>
      </c>
      <c r="O953" s="790" t="s">
        <v>10956</v>
      </c>
      <c r="P953" s="790" t="s">
        <v>10244</v>
      </c>
    </row>
    <row r="954" spans="2:18">
      <c r="B954" s="27" t="s">
        <v>10966</v>
      </c>
      <c r="C954" s="1042"/>
      <c r="D954">
        <f>Page7!E54</f>
        <v>7.8</v>
      </c>
      <c r="E954" s="808">
        <f>Page7!E54</f>
        <v>7.8</v>
      </c>
      <c r="F954" t="str">
        <f t="shared" si="68"/>
        <v>01-00-TOTAL-PERSONNL-CURR</v>
      </c>
      <c r="G954" t="s">
        <v>127</v>
      </c>
      <c r="H954" t="s">
        <v>95</v>
      </c>
      <c r="I954" t="s">
        <v>10253</v>
      </c>
      <c r="J954" t="s">
        <v>10268</v>
      </c>
      <c r="K954" s="1073" t="s">
        <v>10288</v>
      </c>
      <c r="L954" s="789" t="s">
        <v>10241</v>
      </c>
      <c r="M954" s="790" t="s">
        <v>834</v>
      </c>
      <c r="O954" s="790" t="s">
        <v>10956</v>
      </c>
      <c r="P954" s="790" t="s">
        <v>10244</v>
      </c>
      <c r="Q954" s="791" t="s">
        <v>773</v>
      </c>
    </row>
    <row r="955" spans="2:18">
      <c r="B955" s="5" t="s">
        <v>10967</v>
      </c>
      <c r="C955" s="1038"/>
      <c r="D955">
        <f>Page7!E55</f>
        <v>0</v>
      </c>
      <c r="E955" s="808">
        <f>Page7!E55</f>
        <v>0</v>
      </c>
      <c r="F955" t="str">
        <f t="shared" si="68"/>
        <v>01-00-HIRED-PERSONNL-CURR</v>
      </c>
      <c r="G955" t="s">
        <v>127</v>
      </c>
      <c r="H955" t="s">
        <v>95</v>
      </c>
      <c r="I955" t="s">
        <v>10253</v>
      </c>
      <c r="K955" s="1073" t="s">
        <v>10288</v>
      </c>
      <c r="L955" s="789" t="s">
        <v>10241</v>
      </c>
      <c r="M955" s="790" t="s">
        <v>10968</v>
      </c>
      <c r="O955" s="790" t="s">
        <v>10956</v>
      </c>
      <c r="P955" s="790" t="s">
        <v>10244</v>
      </c>
    </row>
    <row r="956" spans="2:18">
      <c r="B956" s="40" t="s">
        <v>10969</v>
      </c>
      <c r="C956" s="1038"/>
      <c r="D956">
        <f>Page7!E56</f>
        <v>0</v>
      </c>
      <c r="E956" s="808">
        <f>Page7!E56</f>
        <v>0</v>
      </c>
      <c r="F956" t="str">
        <f t="shared" si="68"/>
        <v>01-00-TERM-PERSONNL-CURR</v>
      </c>
      <c r="G956" t="s">
        <v>127</v>
      </c>
      <c r="H956" t="s">
        <v>95</v>
      </c>
      <c r="I956" t="s">
        <v>10253</v>
      </c>
      <c r="K956" s="1073" t="s">
        <v>10288</v>
      </c>
      <c r="L956" s="789" t="s">
        <v>10241</v>
      </c>
      <c r="M956" s="790" t="s">
        <v>10970</v>
      </c>
      <c r="O956" s="790" t="s">
        <v>10956</v>
      </c>
      <c r="P956" s="790" t="s">
        <v>10244</v>
      </c>
    </row>
    <row r="957" spans="2:18">
      <c r="B957" s="5" t="s">
        <v>10971</v>
      </c>
      <c r="C957" s="1038"/>
      <c r="D957">
        <f>Page7!F47</f>
        <v>0.2</v>
      </c>
      <c r="E957" s="808">
        <f>Page7!F47</f>
        <v>0.2</v>
      </c>
      <c r="F957" t="str">
        <f t="shared" si="68"/>
        <v>02-00-OWNR-PERSONNL-CURR</v>
      </c>
      <c r="G957" t="s">
        <v>127</v>
      </c>
      <c r="H957" t="s">
        <v>95</v>
      </c>
      <c r="I957" t="s">
        <v>10253</v>
      </c>
      <c r="K957" s="1073" t="s">
        <v>10837</v>
      </c>
      <c r="L957" s="789" t="s">
        <v>10241</v>
      </c>
      <c r="M957" s="790" t="s">
        <v>10955</v>
      </c>
      <c r="O957" s="790" t="s">
        <v>10956</v>
      </c>
      <c r="P957" s="790" t="s">
        <v>10244</v>
      </c>
    </row>
    <row r="958" spans="2:18">
      <c r="B958" s="5" t="s">
        <v>10972</v>
      </c>
      <c r="C958" s="1038"/>
      <c r="D958">
        <f>Page7!F48</f>
        <v>1</v>
      </c>
      <c r="E958" s="808">
        <f>Page7!F48</f>
        <v>1</v>
      </c>
      <c r="F958" t="str">
        <f t="shared" si="68"/>
        <v>02-00-SUPV-PERSONNL-CURR</v>
      </c>
      <c r="G958" t="s">
        <v>127</v>
      </c>
      <c r="H958" t="s">
        <v>95</v>
      </c>
      <c r="I958" t="s">
        <v>10253</v>
      </c>
      <c r="K958" s="1073" t="s">
        <v>10837</v>
      </c>
      <c r="L958" s="789" t="s">
        <v>10241</v>
      </c>
      <c r="M958" s="790" t="s">
        <v>10958</v>
      </c>
      <c r="O958" s="790" t="s">
        <v>10956</v>
      </c>
      <c r="P958" s="790" t="s">
        <v>10244</v>
      </c>
    </row>
    <row r="959" spans="2:18">
      <c r="B959" s="5" t="s">
        <v>10973</v>
      </c>
      <c r="C959" s="1038"/>
      <c r="D959">
        <f>Page7!F49</f>
        <v>1</v>
      </c>
      <c r="E959" s="808">
        <f>Page7!F49</f>
        <v>1</v>
      </c>
      <c r="F959" t="str">
        <f t="shared" si="68"/>
        <v>02-00-SALES-PERSONNL-CURR</v>
      </c>
      <c r="G959" t="s">
        <v>127</v>
      </c>
      <c r="H959" t="s">
        <v>95</v>
      </c>
      <c r="I959" t="s">
        <v>10253</v>
      </c>
      <c r="K959" s="1073" t="s">
        <v>10837</v>
      </c>
      <c r="L959" s="789" t="s">
        <v>10241</v>
      </c>
      <c r="M959" s="790" t="s">
        <v>9883</v>
      </c>
      <c r="O959" s="790" t="s">
        <v>10956</v>
      </c>
      <c r="P959" s="790" t="s">
        <v>10244</v>
      </c>
    </row>
    <row r="960" spans="2:18">
      <c r="B960" s="5" t="s">
        <v>10974</v>
      </c>
      <c r="C960" s="1038"/>
      <c r="D960">
        <f>Page7!F50</f>
        <v>0</v>
      </c>
      <c r="E960" s="808">
        <f>Page7!F50</f>
        <v>0</v>
      </c>
      <c r="F960" t="str">
        <f>TEXT(K960,"00")&amp;"-"&amp;L960&amp;IF(M960="","","-"&amp;M960)&amp;IF(N960="","","-"&amp;N960)&amp;IF(OR(O960="",O960=0),"","-"&amp;O960)&amp;IF(P960="","","-"&amp;P960)</f>
        <v>02-00-BDCE-PERSONNL-CURR</v>
      </c>
      <c r="G960" s="654" t="s">
        <v>127</v>
      </c>
      <c r="H960" t="s">
        <v>95</v>
      </c>
      <c r="I960" t="s">
        <v>10253</v>
      </c>
      <c r="K960" s="2231" t="s">
        <v>10837</v>
      </c>
      <c r="L960" s="789" t="s">
        <v>10241</v>
      </c>
      <c r="M960" s="2175" t="s">
        <v>10961</v>
      </c>
      <c r="O960" s="2175" t="s">
        <v>10956</v>
      </c>
      <c r="P960" s="2175" t="s">
        <v>10244</v>
      </c>
    </row>
    <row r="961" spans="2:17">
      <c r="B961" s="5" t="s">
        <v>10975</v>
      </c>
      <c r="C961" s="1038"/>
      <c r="D961">
        <f>Page7!F52</f>
        <v>3</v>
      </c>
      <c r="E961" s="808">
        <f>Page7!F52</f>
        <v>3</v>
      </c>
      <c r="F961" t="str">
        <f t="shared" si="68"/>
        <v>02-00-CLERC-PERSONNL-CURR</v>
      </c>
      <c r="G961" t="s">
        <v>127</v>
      </c>
      <c r="H961" t="s">
        <v>95</v>
      </c>
      <c r="I961" t="s">
        <v>10253</v>
      </c>
      <c r="K961" s="1073" t="s">
        <v>10837</v>
      </c>
      <c r="L961" s="789" t="s">
        <v>10241</v>
      </c>
      <c r="M961" s="790" t="s">
        <v>10963</v>
      </c>
      <c r="O961" s="790" t="s">
        <v>10956</v>
      </c>
      <c r="P961" s="790" t="s">
        <v>10244</v>
      </c>
    </row>
    <row r="962" spans="2:17">
      <c r="B962" s="5" t="s">
        <v>10976</v>
      </c>
      <c r="C962" s="1038"/>
      <c r="D962">
        <f>Page7!F53</f>
        <v>0</v>
      </c>
      <c r="E962" s="808">
        <f>Page7!F53</f>
        <v>0</v>
      </c>
      <c r="F962" t="str">
        <f t="shared" si="68"/>
        <v>02-00-OTHR-PERSONNL-CURR</v>
      </c>
      <c r="G962" t="s">
        <v>127</v>
      </c>
      <c r="H962" t="s">
        <v>95</v>
      </c>
      <c r="I962" t="s">
        <v>10253</v>
      </c>
      <c r="K962" s="1073" t="s">
        <v>10837</v>
      </c>
      <c r="L962" s="789" t="s">
        <v>10241</v>
      </c>
      <c r="M962" s="790" t="s">
        <v>10965</v>
      </c>
      <c r="O962" s="790" t="s">
        <v>10956</v>
      </c>
      <c r="P962" s="790" t="s">
        <v>10244</v>
      </c>
    </row>
    <row r="963" spans="2:17">
      <c r="B963" s="27" t="s">
        <v>10977</v>
      </c>
      <c r="C963" s="1042"/>
      <c r="D963">
        <f>Page7!F54</f>
        <v>5.2</v>
      </c>
      <c r="E963" s="808">
        <f>Page7!F54</f>
        <v>5.2</v>
      </c>
      <c r="F963" t="str">
        <f t="shared" si="68"/>
        <v>02-00-TOTAL-PERSONNL-CURR</v>
      </c>
      <c r="G963" t="s">
        <v>127</v>
      </c>
      <c r="H963" t="s">
        <v>95</v>
      </c>
      <c r="I963" t="s">
        <v>10253</v>
      </c>
      <c r="J963" t="s">
        <v>10268</v>
      </c>
      <c r="K963" s="1073" t="s">
        <v>10837</v>
      </c>
      <c r="L963" s="789" t="s">
        <v>10241</v>
      </c>
      <c r="M963" s="790" t="s">
        <v>834</v>
      </c>
      <c r="O963" s="790" t="s">
        <v>10956</v>
      </c>
      <c r="P963" s="790" t="s">
        <v>10244</v>
      </c>
      <c r="Q963" s="791" t="s">
        <v>773</v>
      </c>
    </row>
    <row r="964" spans="2:17">
      <c r="B964" s="5" t="s">
        <v>10978</v>
      </c>
      <c r="C964" s="1038"/>
      <c r="D964">
        <f>Page7!F55</f>
        <v>0</v>
      </c>
      <c r="E964" s="808">
        <f>Page7!F55</f>
        <v>0</v>
      </c>
      <c r="F964" t="str">
        <f t="shared" si="68"/>
        <v>02-00-HIRED-PERSONNL-CURR</v>
      </c>
      <c r="G964" t="s">
        <v>127</v>
      </c>
      <c r="H964" t="s">
        <v>95</v>
      </c>
      <c r="I964" t="s">
        <v>10253</v>
      </c>
      <c r="K964" s="1073" t="s">
        <v>10837</v>
      </c>
      <c r="L964" s="789" t="s">
        <v>10241</v>
      </c>
      <c r="M964" s="790" t="s">
        <v>10968</v>
      </c>
      <c r="O964" s="790" t="s">
        <v>10956</v>
      </c>
      <c r="P964" s="790" t="s">
        <v>10244</v>
      </c>
    </row>
    <row r="965" spans="2:17">
      <c r="B965" s="40" t="s">
        <v>10979</v>
      </c>
      <c r="C965" s="1038"/>
      <c r="D965">
        <f>Page7!F56</f>
        <v>0</v>
      </c>
      <c r="E965" s="808">
        <f>Page7!F56</f>
        <v>0</v>
      </c>
      <c r="F965" t="str">
        <f t="shared" si="68"/>
        <v>02-00-TERM-PERSONNL-CURR</v>
      </c>
      <c r="G965" t="s">
        <v>127</v>
      </c>
      <c r="H965" t="s">
        <v>95</v>
      </c>
      <c r="I965" t="s">
        <v>10253</v>
      </c>
      <c r="K965" s="1073" t="s">
        <v>10837</v>
      </c>
      <c r="L965" s="789" t="s">
        <v>10241</v>
      </c>
      <c r="M965" s="790" t="s">
        <v>10970</v>
      </c>
      <c r="O965" s="790" t="s">
        <v>10956</v>
      </c>
      <c r="P965" s="790" t="s">
        <v>10244</v>
      </c>
    </row>
    <row r="966" spans="2:17">
      <c r="B966" s="5" t="s">
        <v>10980</v>
      </c>
      <c r="C966" s="1038"/>
      <c r="D966">
        <f>Page7!H47</f>
        <v>0</v>
      </c>
      <c r="E966" s="808">
        <f>Page7!H47</f>
        <v>0</v>
      </c>
      <c r="F966" t="str">
        <f t="shared" si="68"/>
        <v>03-00-OWNR-PERSONNL-CURR</v>
      </c>
      <c r="G966" t="s">
        <v>127</v>
      </c>
      <c r="H966" t="s">
        <v>95</v>
      </c>
      <c r="I966" t="s">
        <v>10253</v>
      </c>
      <c r="K966" s="1073" t="s">
        <v>10981</v>
      </c>
      <c r="L966" s="789" t="s">
        <v>10241</v>
      </c>
      <c r="M966" s="790" t="s">
        <v>10955</v>
      </c>
      <c r="O966" s="790" t="s">
        <v>10956</v>
      </c>
      <c r="P966" s="790" t="s">
        <v>10244</v>
      </c>
    </row>
    <row r="967" spans="2:17">
      <c r="B967" s="5" t="s">
        <v>10982</v>
      </c>
      <c r="C967" s="1038"/>
      <c r="D967">
        <f>Page7!H48</f>
        <v>0</v>
      </c>
      <c r="E967" s="808">
        <f>Page7!H48</f>
        <v>0</v>
      </c>
      <c r="F967" t="str">
        <f t="shared" si="68"/>
        <v>03-00-SUPV-PERSONNL-CURR</v>
      </c>
      <c r="G967" t="s">
        <v>127</v>
      </c>
      <c r="H967" t="s">
        <v>95</v>
      </c>
      <c r="I967" t="s">
        <v>10253</v>
      </c>
      <c r="K967" s="1073" t="s">
        <v>10981</v>
      </c>
      <c r="L967" s="789" t="s">
        <v>10241</v>
      </c>
      <c r="M967" s="790" t="s">
        <v>10958</v>
      </c>
      <c r="O967" s="790" t="s">
        <v>10956</v>
      </c>
      <c r="P967" s="790" t="s">
        <v>10244</v>
      </c>
    </row>
    <row r="968" spans="2:17">
      <c r="B968" s="5" t="s">
        <v>10983</v>
      </c>
      <c r="C968" s="1038"/>
      <c r="D968">
        <f>Page7!H49</f>
        <v>0</v>
      </c>
      <c r="E968" s="808">
        <f>Page7!H49</f>
        <v>0</v>
      </c>
      <c r="F968" t="str">
        <f t="shared" si="68"/>
        <v>03-00-SALES-PERSONNL-CURR</v>
      </c>
      <c r="G968" t="s">
        <v>127</v>
      </c>
      <c r="H968" t="s">
        <v>95</v>
      </c>
      <c r="I968" t="s">
        <v>10253</v>
      </c>
      <c r="K968" s="1073" t="s">
        <v>10981</v>
      </c>
      <c r="L968" s="789" t="s">
        <v>10241</v>
      </c>
      <c r="M968" s="790" t="s">
        <v>9883</v>
      </c>
      <c r="O968" s="790" t="s">
        <v>10956</v>
      </c>
      <c r="P968" s="790" t="s">
        <v>10244</v>
      </c>
    </row>
    <row r="969" spans="2:17">
      <c r="B969" s="5" t="s">
        <v>10984</v>
      </c>
      <c r="C969" s="1038"/>
      <c r="D969">
        <f>Page7!H50</f>
        <v>0</v>
      </c>
      <c r="E969" s="808">
        <f>Page7!H50</f>
        <v>0</v>
      </c>
      <c r="F969" t="str">
        <f>TEXT(K969,"00")&amp;"-"&amp;L969&amp;IF(M969="","","-"&amp;M969)&amp;IF(N969="","","-"&amp;N969)&amp;IF(OR(O969="",O969=0),"","-"&amp;O969)&amp;IF(P969="","","-"&amp;P969)</f>
        <v>03-00-BDCE-PERSONNL-CURR</v>
      </c>
      <c r="G969" s="654" t="s">
        <v>127</v>
      </c>
      <c r="H969" t="s">
        <v>95</v>
      </c>
      <c r="I969" t="s">
        <v>10253</v>
      </c>
      <c r="K969" s="2231" t="s">
        <v>10981</v>
      </c>
      <c r="L969" s="789" t="s">
        <v>10241</v>
      </c>
      <c r="M969" s="2175" t="s">
        <v>10961</v>
      </c>
      <c r="O969" s="2175" t="s">
        <v>10956</v>
      </c>
      <c r="P969" s="2175" t="s">
        <v>10244</v>
      </c>
    </row>
    <row r="970" spans="2:17">
      <c r="B970" s="5" t="s">
        <v>10985</v>
      </c>
      <c r="C970" s="1038"/>
      <c r="D970">
        <f>Page7!H52</f>
        <v>0</v>
      </c>
      <c r="E970" s="808">
        <f>Page7!H52</f>
        <v>0</v>
      </c>
      <c r="F970" t="str">
        <f t="shared" si="68"/>
        <v>03-00-CLERC-PERSONNL-CURR</v>
      </c>
      <c r="G970" t="s">
        <v>127</v>
      </c>
      <c r="H970" t="s">
        <v>95</v>
      </c>
      <c r="I970" t="s">
        <v>10253</v>
      </c>
      <c r="K970" s="1073" t="s">
        <v>10981</v>
      </c>
      <c r="L970" s="789" t="s">
        <v>10241</v>
      </c>
      <c r="M970" s="790" t="s">
        <v>10963</v>
      </c>
      <c r="O970" s="790" t="s">
        <v>10956</v>
      </c>
      <c r="P970" s="790" t="s">
        <v>10244</v>
      </c>
    </row>
    <row r="971" spans="2:17">
      <c r="B971" s="5" t="s">
        <v>10986</v>
      </c>
      <c r="C971" s="1038"/>
      <c r="D971">
        <f>Page7!H53</f>
        <v>0</v>
      </c>
      <c r="E971" s="808">
        <f>Page7!H53</f>
        <v>0</v>
      </c>
      <c r="F971" t="str">
        <f t="shared" si="68"/>
        <v>03-00-OTHR-PERSONNL-CURR</v>
      </c>
      <c r="G971" t="s">
        <v>127</v>
      </c>
      <c r="H971" t="s">
        <v>95</v>
      </c>
      <c r="I971" t="s">
        <v>10253</v>
      </c>
      <c r="K971" s="1073" t="s">
        <v>10981</v>
      </c>
      <c r="L971" s="789" t="s">
        <v>10241</v>
      </c>
      <c r="M971" s="790" t="s">
        <v>10965</v>
      </c>
      <c r="O971" s="790" t="s">
        <v>10956</v>
      </c>
      <c r="P971" s="790" t="s">
        <v>10244</v>
      </c>
    </row>
    <row r="972" spans="2:17">
      <c r="B972" s="27" t="s">
        <v>10987</v>
      </c>
      <c r="C972" s="1042"/>
      <c r="D972">
        <f>Page7!H54</f>
        <v>0</v>
      </c>
      <c r="E972" s="808">
        <f>Page7!H54</f>
        <v>0</v>
      </c>
      <c r="F972" t="str">
        <f t="shared" si="68"/>
        <v>03-00-TOTAL-PERSONNL-CURR</v>
      </c>
      <c r="G972" t="s">
        <v>127</v>
      </c>
      <c r="H972" t="s">
        <v>95</v>
      </c>
      <c r="I972" t="s">
        <v>10253</v>
      </c>
      <c r="J972" t="s">
        <v>10268</v>
      </c>
      <c r="K972" s="1073" t="s">
        <v>10981</v>
      </c>
      <c r="L972" s="789" t="s">
        <v>10241</v>
      </c>
      <c r="M972" s="790" t="s">
        <v>834</v>
      </c>
      <c r="O972" s="790" t="s">
        <v>10956</v>
      </c>
      <c r="P972" s="790" t="s">
        <v>10244</v>
      </c>
      <c r="Q972" s="791" t="s">
        <v>773</v>
      </c>
    </row>
    <row r="973" spans="2:17">
      <c r="B973" s="5" t="s">
        <v>10988</v>
      </c>
      <c r="C973" s="1038"/>
      <c r="D973">
        <f>Page7!H55</f>
        <v>0</v>
      </c>
      <c r="E973" s="808">
        <f>Page7!H55</f>
        <v>0</v>
      </c>
      <c r="F973" t="str">
        <f t="shared" si="68"/>
        <v>03-00-HIRED-PERSONNL-CURR</v>
      </c>
      <c r="G973" t="s">
        <v>127</v>
      </c>
      <c r="H973" t="s">
        <v>95</v>
      </c>
      <c r="I973" t="s">
        <v>10253</v>
      </c>
      <c r="K973" s="1073" t="s">
        <v>10981</v>
      </c>
      <c r="L973" s="789" t="s">
        <v>10241</v>
      </c>
      <c r="M973" s="790" t="s">
        <v>10968</v>
      </c>
      <c r="O973" s="790" t="s">
        <v>10956</v>
      </c>
      <c r="P973" s="790" t="s">
        <v>10244</v>
      </c>
    </row>
    <row r="974" spans="2:17">
      <c r="B974" s="40" t="s">
        <v>10989</v>
      </c>
      <c r="C974" s="1038"/>
      <c r="D974">
        <f>Page7!H56</f>
        <v>0</v>
      </c>
      <c r="E974" s="808">
        <f>Page7!H56</f>
        <v>0</v>
      </c>
      <c r="F974" t="str">
        <f t="shared" si="68"/>
        <v>03-00-TERM-PERSONNL-CURR</v>
      </c>
      <c r="G974" t="s">
        <v>127</v>
      </c>
      <c r="H974" t="s">
        <v>95</v>
      </c>
      <c r="I974" t="s">
        <v>10253</v>
      </c>
      <c r="K974" s="1073" t="s">
        <v>10981</v>
      </c>
      <c r="L974" s="789" t="s">
        <v>10241</v>
      </c>
      <c r="M974" s="790" t="s">
        <v>10970</v>
      </c>
      <c r="O974" s="790" t="s">
        <v>10956</v>
      </c>
      <c r="P974" s="790" t="s">
        <v>10244</v>
      </c>
    </row>
    <row r="975" spans="2:17">
      <c r="B975" s="5" t="s">
        <v>10990</v>
      </c>
      <c r="C975" s="1038"/>
      <c r="D975">
        <f>Page7!I48</f>
        <v>0</v>
      </c>
      <c r="E975" s="808">
        <f>Page7!I48</f>
        <v>0</v>
      </c>
      <c r="F975" t="str">
        <f t="shared" si="68"/>
        <v>04-00-SUPV-PERSONNL-CURR</v>
      </c>
      <c r="G975" t="s">
        <v>127</v>
      </c>
      <c r="H975" t="s">
        <v>95</v>
      </c>
      <c r="I975" t="s">
        <v>10253</v>
      </c>
      <c r="K975" s="1073" t="s">
        <v>10890</v>
      </c>
      <c r="L975" s="789" t="s">
        <v>10241</v>
      </c>
      <c r="M975" s="790" t="s">
        <v>10958</v>
      </c>
      <c r="O975" s="790" t="s">
        <v>10956</v>
      </c>
      <c r="P975" s="790" t="s">
        <v>10244</v>
      </c>
    </row>
    <row r="976" spans="2:17">
      <c r="B976" s="5" t="s">
        <v>10991</v>
      </c>
      <c r="C976" s="1038"/>
      <c r="D976">
        <f>Page7!I52</f>
        <v>2</v>
      </c>
      <c r="E976" s="808">
        <f>Page7!I52</f>
        <v>2</v>
      </c>
      <c r="F976" t="str">
        <f t="shared" si="68"/>
        <v>04-00-CLERC-PERSONNL-CURR</v>
      </c>
      <c r="G976" t="s">
        <v>127</v>
      </c>
      <c r="H976" t="s">
        <v>95</v>
      </c>
      <c r="I976" t="s">
        <v>10253</v>
      </c>
      <c r="K976" s="1073" t="s">
        <v>10890</v>
      </c>
      <c r="L976" s="789" t="s">
        <v>10241</v>
      </c>
      <c r="M976" s="790" t="s">
        <v>10963</v>
      </c>
      <c r="O976" s="790" t="s">
        <v>10956</v>
      </c>
      <c r="P976" s="790" t="s">
        <v>10244</v>
      </c>
    </row>
    <row r="977" spans="2:17">
      <c r="B977" s="5" t="s">
        <v>10992</v>
      </c>
      <c r="C977" s="1038"/>
      <c r="D977">
        <f>Page7!I53</f>
        <v>0</v>
      </c>
      <c r="E977" s="808">
        <f>Page7!I53</f>
        <v>0</v>
      </c>
      <c r="F977" t="str">
        <f t="shared" si="68"/>
        <v>04-00-OTHR-PERSONNL-CURR</v>
      </c>
      <c r="G977" t="s">
        <v>127</v>
      </c>
      <c r="H977" t="s">
        <v>95</v>
      </c>
      <c r="I977" t="s">
        <v>10253</v>
      </c>
      <c r="K977" s="1073" t="s">
        <v>10890</v>
      </c>
      <c r="L977" s="789" t="s">
        <v>10241</v>
      </c>
      <c r="M977" s="790" t="s">
        <v>10965</v>
      </c>
      <c r="O977" s="790" t="s">
        <v>10956</v>
      </c>
      <c r="P977" s="790" t="s">
        <v>10244</v>
      </c>
    </row>
    <row r="978" spans="2:17">
      <c r="B978" s="27" t="s">
        <v>10993</v>
      </c>
      <c r="C978" s="1042"/>
      <c r="D978">
        <f>Page7!I54</f>
        <v>2</v>
      </c>
      <c r="E978" s="808">
        <f>Page7!I54</f>
        <v>2</v>
      </c>
      <c r="F978" t="str">
        <f t="shared" si="68"/>
        <v>04-00-TOTAL-PERSONNL-CURR</v>
      </c>
      <c r="G978" t="s">
        <v>127</v>
      </c>
      <c r="H978" t="s">
        <v>95</v>
      </c>
      <c r="I978" t="s">
        <v>10253</v>
      </c>
      <c r="K978" s="1073" t="s">
        <v>10890</v>
      </c>
      <c r="L978" s="789" t="s">
        <v>10241</v>
      </c>
      <c r="M978" s="790" t="s">
        <v>834</v>
      </c>
      <c r="O978" s="790" t="s">
        <v>10956</v>
      </c>
      <c r="P978" s="790" t="s">
        <v>10244</v>
      </c>
      <c r="Q978" s="791" t="s">
        <v>773</v>
      </c>
    </row>
    <row r="979" spans="2:17">
      <c r="B979" s="5" t="s">
        <v>10994</v>
      </c>
      <c r="C979" s="1038"/>
      <c r="D979">
        <f>Page7!I55</f>
        <v>0</v>
      </c>
      <c r="E979" s="808">
        <f>Page7!I55</f>
        <v>0</v>
      </c>
      <c r="F979" t="str">
        <f t="shared" si="68"/>
        <v>04-00-HIRED-PERSONNL-CURR</v>
      </c>
      <c r="G979" t="s">
        <v>127</v>
      </c>
      <c r="H979" t="s">
        <v>95</v>
      </c>
      <c r="I979" t="s">
        <v>10253</v>
      </c>
      <c r="K979" s="1073" t="s">
        <v>10890</v>
      </c>
      <c r="L979" s="789" t="s">
        <v>10241</v>
      </c>
      <c r="M979" s="790" t="s">
        <v>10968</v>
      </c>
      <c r="O979" s="790" t="s">
        <v>10956</v>
      </c>
      <c r="P979" s="790" t="s">
        <v>10244</v>
      </c>
    </row>
    <row r="980" spans="2:17">
      <c r="B980" s="40" t="s">
        <v>10995</v>
      </c>
      <c r="C980" s="1038"/>
      <c r="D980">
        <f>Page7!I56</f>
        <v>0</v>
      </c>
      <c r="E980" s="808">
        <f>Page7!I56</f>
        <v>0</v>
      </c>
      <c r="F980" t="str">
        <f t="shared" si="68"/>
        <v>04-00-TERM-PERSONNL-CURR</v>
      </c>
      <c r="G980" t="s">
        <v>127</v>
      </c>
      <c r="H980" t="s">
        <v>95</v>
      </c>
      <c r="I980" t="s">
        <v>10253</v>
      </c>
      <c r="K980" s="1073" t="s">
        <v>10890</v>
      </c>
      <c r="L980" s="789" t="s">
        <v>10241</v>
      </c>
      <c r="M980" s="790" t="s">
        <v>10970</v>
      </c>
      <c r="O980" s="790" t="s">
        <v>10956</v>
      </c>
      <c r="P980" s="790" t="s">
        <v>10244</v>
      </c>
    </row>
    <row r="981" spans="2:17">
      <c r="B981" s="5" t="s">
        <v>10996</v>
      </c>
      <c r="C981" s="1038"/>
      <c r="D981">
        <f>Page7!J47</f>
        <v>0.3</v>
      </c>
      <c r="E981" s="808">
        <f>Page7!J47</f>
        <v>0.3</v>
      </c>
      <c r="F981" t="str">
        <f t="shared" si="68"/>
        <v>05-00-OWNR-PERSONNL-CURR</v>
      </c>
      <c r="G981" t="s">
        <v>127</v>
      </c>
      <c r="H981" t="s">
        <v>95</v>
      </c>
      <c r="I981" t="s">
        <v>10253</v>
      </c>
      <c r="K981" s="1073" t="s">
        <v>10274</v>
      </c>
      <c r="L981" s="789" t="s">
        <v>10241</v>
      </c>
      <c r="M981" s="790" t="s">
        <v>10955</v>
      </c>
      <c r="O981" s="790" t="s">
        <v>10956</v>
      </c>
      <c r="P981" s="790" t="s">
        <v>10244</v>
      </c>
    </row>
    <row r="982" spans="2:17">
      <c r="B982" s="5" t="s">
        <v>10997</v>
      </c>
      <c r="C982" s="1038"/>
      <c r="D982">
        <f>Page7!J48</f>
        <v>1</v>
      </c>
      <c r="E982" s="808">
        <f>Page7!J48</f>
        <v>1</v>
      </c>
      <c r="F982" t="str">
        <f t="shared" si="68"/>
        <v>05-00-SUPV-PERSONNL-CURR</v>
      </c>
      <c r="G982" t="s">
        <v>127</v>
      </c>
      <c r="H982" t="s">
        <v>95</v>
      </c>
      <c r="I982" t="s">
        <v>10253</v>
      </c>
      <c r="K982" s="1073" t="s">
        <v>10274</v>
      </c>
      <c r="L982" s="789" t="s">
        <v>10241</v>
      </c>
      <c r="M982" s="790" t="s">
        <v>10958</v>
      </c>
      <c r="O982" s="790" t="s">
        <v>10956</v>
      </c>
      <c r="P982" s="790" t="s">
        <v>10244</v>
      </c>
    </row>
    <row r="983" spans="2:17">
      <c r="B983" s="5" t="s">
        <v>10998</v>
      </c>
      <c r="C983" s="1038"/>
      <c r="D983">
        <f>Page7!J49</f>
        <v>3</v>
      </c>
      <c r="E983" s="808">
        <f>Page7!J49</f>
        <v>3</v>
      </c>
      <c r="F983" t="str">
        <f t="shared" si="68"/>
        <v>05-00-SALES-PERSONNL-CURR</v>
      </c>
      <c r="G983" t="s">
        <v>127</v>
      </c>
      <c r="H983" t="s">
        <v>95</v>
      </c>
      <c r="I983" t="s">
        <v>10253</v>
      </c>
      <c r="K983" s="1073" t="s">
        <v>10274</v>
      </c>
      <c r="L983" s="789" t="s">
        <v>10241</v>
      </c>
      <c r="M983" s="790" t="s">
        <v>9883</v>
      </c>
      <c r="O983" s="790" t="s">
        <v>10956</v>
      </c>
      <c r="P983" s="790" t="s">
        <v>10244</v>
      </c>
    </row>
    <row r="984" spans="2:17">
      <c r="B984" s="5" t="s">
        <v>10999</v>
      </c>
      <c r="C984" s="1038"/>
      <c r="D984">
        <f>Page7!J50</f>
        <v>0</v>
      </c>
      <c r="E984" s="808">
        <f>Page7!J50</f>
        <v>0</v>
      </c>
      <c r="F984" t="str">
        <f>TEXT(K984,"00")&amp;"-"&amp;L984&amp;IF(M984="","","-"&amp;M984)&amp;IF(N984="","","-"&amp;N984)&amp;IF(OR(O984="",O984=0),"","-"&amp;O984)&amp;IF(P984="","","-"&amp;P984)</f>
        <v>05-00-BDCE-PERSONNL-CURR</v>
      </c>
      <c r="G984" s="654" t="s">
        <v>127</v>
      </c>
      <c r="H984" t="s">
        <v>95</v>
      </c>
      <c r="I984" t="s">
        <v>10253</v>
      </c>
      <c r="K984" s="2231" t="s">
        <v>10274</v>
      </c>
      <c r="L984" s="789" t="s">
        <v>10241</v>
      </c>
      <c r="M984" s="2175" t="s">
        <v>10961</v>
      </c>
      <c r="O984" s="2175" t="s">
        <v>10956</v>
      </c>
      <c r="P984" s="2175" t="s">
        <v>10244</v>
      </c>
    </row>
    <row r="985" spans="2:17">
      <c r="B985" s="5" t="s">
        <v>11000</v>
      </c>
      <c r="C985" s="1038"/>
      <c r="D985">
        <f>Page7!J51</f>
        <v>13</v>
      </c>
      <c r="E985" s="808">
        <f>Page7!J51</f>
        <v>13</v>
      </c>
      <c r="F985" t="str">
        <f t="shared" si="68"/>
        <v>05-00-TECH-PERSONNL-CURR</v>
      </c>
      <c r="G985" t="s">
        <v>127</v>
      </c>
      <c r="H985" t="s">
        <v>95</v>
      </c>
      <c r="I985" t="s">
        <v>10253</v>
      </c>
      <c r="K985" s="1073" t="s">
        <v>10274</v>
      </c>
      <c r="L985" s="789" t="s">
        <v>10241</v>
      </c>
      <c r="M985" s="790" t="s">
        <v>11001</v>
      </c>
      <c r="O985" s="790" t="s">
        <v>10956</v>
      </c>
      <c r="P985" s="790" t="s">
        <v>10244</v>
      </c>
    </row>
    <row r="986" spans="2:17">
      <c r="B986" s="5" t="s">
        <v>11002</v>
      </c>
      <c r="C986" s="1038"/>
      <c r="D986">
        <f>Page7!J52</f>
        <v>1</v>
      </c>
      <c r="E986" s="808">
        <f>Page7!J52</f>
        <v>1</v>
      </c>
      <c r="F986" t="str">
        <f t="shared" si="68"/>
        <v>05-00-CLERC-PERSONNL-CURR</v>
      </c>
      <c r="G986" t="s">
        <v>127</v>
      </c>
      <c r="H986" t="s">
        <v>95</v>
      </c>
      <c r="I986" t="s">
        <v>10253</v>
      </c>
      <c r="K986" s="1073" t="s">
        <v>10274</v>
      </c>
      <c r="L986" s="789" t="s">
        <v>10241</v>
      </c>
      <c r="M986" s="790" t="s">
        <v>10963</v>
      </c>
      <c r="O986" s="790" t="s">
        <v>10956</v>
      </c>
      <c r="P986" s="790" t="s">
        <v>10244</v>
      </c>
    </row>
    <row r="987" spans="2:17">
      <c r="B987" s="5" t="s">
        <v>11003</v>
      </c>
      <c r="C987" s="1038"/>
      <c r="D987">
        <f>Page7!J53</f>
        <v>1</v>
      </c>
      <c r="E987" s="808">
        <f>Page7!J53</f>
        <v>1</v>
      </c>
      <c r="F987" t="str">
        <f t="shared" si="68"/>
        <v>05-00-OTHR-PERSONNL-CURR</v>
      </c>
      <c r="G987" t="s">
        <v>127</v>
      </c>
      <c r="H987" t="s">
        <v>95</v>
      </c>
      <c r="I987" t="s">
        <v>10253</v>
      </c>
      <c r="K987" s="1073" t="s">
        <v>10274</v>
      </c>
      <c r="L987" s="789" t="s">
        <v>10241</v>
      </c>
      <c r="M987" s="790" t="s">
        <v>10965</v>
      </c>
      <c r="O987" s="790" t="s">
        <v>10956</v>
      </c>
      <c r="P987" s="790" t="s">
        <v>10244</v>
      </c>
    </row>
    <row r="988" spans="2:17">
      <c r="B988" s="27" t="s">
        <v>11004</v>
      </c>
      <c r="C988" s="1042"/>
      <c r="D988">
        <f>Page7!J54</f>
        <v>19.3</v>
      </c>
      <c r="E988" s="808">
        <f>Page7!J54</f>
        <v>19.3</v>
      </c>
      <c r="F988" t="str">
        <f t="shared" si="68"/>
        <v>05-00-TOTAL-PERSONNL-CURR</v>
      </c>
      <c r="G988" t="s">
        <v>127</v>
      </c>
      <c r="H988" t="s">
        <v>95</v>
      </c>
      <c r="I988" t="s">
        <v>10253</v>
      </c>
      <c r="J988" t="s">
        <v>10268</v>
      </c>
      <c r="K988" s="1073" t="s">
        <v>10274</v>
      </c>
      <c r="L988" s="789" t="s">
        <v>10241</v>
      </c>
      <c r="M988" s="790" t="s">
        <v>834</v>
      </c>
      <c r="O988" s="790" t="s">
        <v>10956</v>
      </c>
      <c r="P988" s="790" t="s">
        <v>10244</v>
      </c>
      <c r="Q988" s="791" t="s">
        <v>773</v>
      </c>
    </row>
    <row r="989" spans="2:17">
      <c r="B989" s="5" t="s">
        <v>11005</v>
      </c>
      <c r="C989" s="1038"/>
      <c r="D989">
        <f>Page7!J55</f>
        <v>0</v>
      </c>
      <c r="E989" s="808">
        <f>Page7!J55</f>
        <v>0</v>
      </c>
      <c r="F989" t="str">
        <f t="shared" si="68"/>
        <v>05-00-HIRED-PERSONNL-CURR</v>
      </c>
      <c r="G989" t="s">
        <v>127</v>
      </c>
      <c r="H989" t="s">
        <v>95</v>
      </c>
      <c r="I989" t="s">
        <v>10253</v>
      </c>
      <c r="K989" s="1073" t="s">
        <v>10274</v>
      </c>
      <c r="L989" s="789" t="s">
        <v>10241</v>
      </c>
      <c r="M989" s="790" t="s">
        <v>10968</v>
      </c>
      <c r="O989" s="790" t="s">
        <v>10956</v>
      </c>
      <c r="P989" s="790" t="s">
        <v>10244</v>
      </c>
    </row>
    <row r="990" spans="2:17">
      <c r="B990" s="40" t="s">
        <v>11006</v>
      </c>
      <c r="C990" s="1038"/>
      <c r="D990">
        <f>Page7!J56</f>
        <v>0</v>
      </c>
      <c r="E990" s="808">
        <f>Page7!J56</f>
        <v>0</v>
      </c>
      <c r="F990" t="str">
        <f t="shared" si="68"/>
        <v>05-00-TERM-PERSONNL-CURR</v>
      </c>
      <c r="G990" t="s">
        <v>127</v>
      </c>
      <c r="H990" t="s">
        <v>95</v>
      </c>
      <c r="I990" t="s">
        <v>10253</v>
      </c>
      <c r="K990" s="1073" t="s">
        <v>10274</v>
      </c>
      <c r="L990" s="789" t="s">
        <v>10241</v>
      </c>
      <c r="M990" s="790" t="s">
        <v>10970</v>
      </c>
      <c r="O990" s="790" t="s">
        <v>10956</v>
      </c>
      <c r="P990" s="790" t="s">
        <v>10244</v>
      </c>
    </row>
    <row r="991" spans="2:17">
      <c r="B991" s="5" t="s">
        <v>11007</v>
      </c>
      <c r="C991" s="1038"/>
      <c r="D991">
        <f>Page7!K47</f>
        <v>0.1</v>
      </c>
      <c r="E991" s="808">
        <f>Page7!K47</f>
        <v>0.1</v>
      </c>
      <c r="F991" t="str">
        <f t="shared" si="68"/>
        <v>06-00-OWNR-PERSONNL-CURR</v>
      </c>
      <c r="G991" t="s">
        <v>127</v>
      </c>
      <c r="H991" t="s">
        <v>95</v>
      </c>
      <c r="I991" t="s">
        <v>10253</v>
      </c>
      <c r="K991" s="1073" t="s">
        <v>10284</v>
      </c>
      <c r="L991" s="789" t="s">
        <v>10241</v>
      </c>
      <c r="M991" s="790" t="s">
        <v>10955</v>
      </c>
      <c r="O991" s="790" t="s">
        <v>10956</v>
      </c>
      <c r="P991" s="790" t="s">
        <v>10244</v>
      </c>
    </row>
    <row r="992" spans="2:17">
      <c r="B992" s="5" t="s">
        <v>11008</v>
      </c>
      <c r="C992" s="1038"/>
      <c r="D992">
        <f>Page7!K48</f>
        <v>1</v>
      </c>
      <c r="E992" s="808">
        <f>Page7!K48</f>
        <v>1</v>
      </c>
      <c r="F992" t="str">
        <f t="shared" si="68"/>
        <v>06-00-SUPV-PERSONNL-CURR</v>
      </c>
      <c r="G992" t="s">
        <v>127</v>
      </c>
      <c r="H992" t="s">
        <v>95</v>
      </c>
      <c r="I992" t="s">
        <v>10253</v>
      </c>
      <c r="K992" s="1073" t="s">
        <v>10284</v>
      </c>
      <c r="L992" s="789" t="s">
        <v>10241</v>
      </c>
      <c r="M992" s="790" t="s">
        <v>10958</v>
      </c>
      <c r="O992" s="790" t="s">
        <v>10956</v>
      </c>
      <c r="P992" s="790" t="s">
        <v>10244</v>
      </c>
    </row>
    <row r="993" spans="2:17">
      <c r="B993" s="5" t="s">
        <v>11009</v>
      </c>
      <c r="C993" s="1038"/>
      <c r="D993">
        <f>Page7!K49</f>
        <v>1</v>
      </c>
      <c r="E993" s="808">
        <f>Page7!K49</f>
        <v>1</v>
      </c>
      <c r="F993" t="str">
        <f t="shared" si="68"/>
        <v>06-00-SALES-PERSONNL-CURR</v>
      </c>
      <c r="G993" t="s">
        <v>127</v>
      </c>
      <c r="H993" t="s">
        <v>95</v>
      </c>
      <c r="I993" t="s">
        <v>10253</v>
      </c>
      <c r="K993" s="1073" t="s">
        <v>10284</v>
      </c>
      <c r="L993" s="789" t="s">
        <v>10241</v>
      </c>
      <c r="M993" s="790" t="s">
        <v>9883</v>
      </c>
      <c r="O993" s="790" t="s">
        <v>10956</v>
      </c>
      <c r="P993" s="790" t="s">
        <v>10244</v>
      </c>
    </row>
    <row r="994" spans="2:17">
      <c r="B994" s="5" t="s">
        <v>11010</v>
      </c>
      <c r="C994" s="1038"/>
      <c r="D994">
        <f>Page7!K50</f>
        <v>0</v>
      </c>
      <c r="E994" s="808">
        <f>Page7!K50</f>
        <v>0</v>
      </c>
      <c r="F994" t="str">
        <f>TEXT(K994,"00")&amp;"-"&amp;L994&amp;IF(M994="","","-"&amp;M994)&amp;IF(N994="","","-"&amp;N994)&amp;IF(OR(O994="",O994=0),"","-"&amp;O994)&amp;IF(P994="","","-"&amp;P994)</f>
        <v>06-00-BDCE-PERSONNL-CURR</v>
      </c>
      <c r="G994" s="654" t="s">
        <v>127</v>
      </c>
      <c r="H994" t="s">
        <v>95</v>
      </c>
      <c r="I994" t="s">
        <v>10253</v>
      </c>
      <c r="K994" s="2231" t="s">
        <v>10284</v>
      </c>
      <c r="L994" s="789" t="s">
        <v>10241</v>
      </c>
      <c r="M994" s="2175" t="s">
        <v>10961</v>
      </c>
      <c r="O994" s="2175" t="s">
        <v>10956</v>
      </c>
      <c r="P994" s="2175" t="s">
        <v>10244</v>
      </c>
    </row>
    <row r="995" spans="2:17">
      <c r="B995" s="5" t="s">
        <v>11011</v>
      </c>
      <c r="C995" s="1038"/>
      <c r="D995">
        <f>Page7!K51</f>
        <v>4</v>
      </c>
      <c r="E995" s="808">
        <f>Page7!K51</f>
        <v>4</v>
      </c>
      <c r="F995" t="str">
        <f t="shared" si="68"/>
        <v>06-00-TECH-PERSONNL-CURR</v>
      </c>
      <c r="G995" t="s">
        <v>127</v>
      </c>
      <c r="H995" t="s">
        <v>95</v>
      </c>
      <c r="I995" t="s">
        <v>10253</v>
      </c>
      <c r="K995" s="1073" t="s">
        <v>10284</v>
      </c>
      <c r="L995" s="789" t="s">
        <v>10241</v>
      </c>
      <c r="M995" s="790" t="s">
        <v>11001</v>
      </c>
      <c r="O995" s="790" t="s">
        <v>10956</v>
      </c>
      <c r="P995" s="790" t="s">
        <v>10244</v>
      </c>
    </row>
    <row r="996" spans="2:17">
      <c r="B996" s="5" t="s">
        <v>11012</v>
      </c>
      <c r="C996" s="1038"/>
      <c r="D996">
        <f>Page7!K52</f>
        <v>0.5</v>
      </c>
      <c r="E996" s="808">
        <f>Page7!K52</f>
        <v>0.5</v>
      </c>
      <c r="F996" t="str">
        <f t="shared" si="68"/>
        <v>06-00-CLERC-PERSONNL-CURR</v>
      </c>
      <c r="G996" t="s">
        <v>127</v>
      </c>
      <c r="H996" t="s">
        <v>95</v>
      </c>
      <c r="I996" t="s">
        <v>10253</v>
      </c>
      <c r="K996" s="1073" t="s">
        <v>10284</v>
      </c>
      <c r="L996" s="789" t="s">
        <v>10241</v>
      </c>
      <c r="M996" s="790" t="s">
        <v>10963</v>
      </c>
      <c r="O996" s="790" t="s">
        <v>10956</v>
      </c>
      <c r="P996" s="790" t="s">
        <v>10244</v>
      </c>
    </row>
    <row r="997" spans="2:17">
      <c r="B997" s="5" t="s">
        <v>11013</v>
      </c>
      <c r="C997" s="1038"/>
      <c r="D997">
        <f>Page7!K53</f>
        <v>0</v>
      </c>
      <c r="E997" s="808">
        <f>Page7!K53</f>
        <v>0</v>
      </c>
      <c r="F997" t="str">
        <f t="shared" si="68"/>
        <v>06-00-OTHR-PERSONNL-CURR</v>
      </c>
      <c r="G997" t="s">
        <v>127</v>
      </c>
      <c r="H997" t="s">
        <v>95</v>
      </c>
      <c r="I997" t="s">
        <v>10253</v>
      </c>
      <c r="K997" s="1073" t="s">
        <v>10284</v>
      </c>
      <c r="L997" s="789" t="s">
        <v>10241</v>
      </c>
      <c r="M997" s="790" t="s">
        <v>10965</v>
      </c>
      <c r="O997" s="790" t="s">
        <v>10956</v>
      </c>
      <c r="P997" s="790" t="s">
        <v>10244</v>
      </c>
    </row>
    <row r="998" spans="2:17">
      <c r="B998" s="27" t="s">
        <v>11014</v>
      </c>
      <c r="C998" s="1042"/>
      <c r="D998">
        <f>Page7!K54</f>
        <v>6.6</v>
      </c>
      <c r="E998" s="808">
        <f>Page7!K54</f>
        <v>6.6</v>
      </c>
      <c r="F998" t="str">
        <f t="shared" si="68"/>
        <v>06-00-TOTAL-PERSONNL-CURR</v>
      </c>
      <c r="G998" t="s">
        <v>127</v>
      </c>
      <c r="H998" t="s">
        <v>95</v>
      </c>
      <c r="I998" t="s">
        <v>10253</v>
      </c>
      <c r="J998" t="s">
        <v>10268</v>
      </c>
      <c r="K998" s="1073" t="s">
        <v>10284</v>
      </c>
      <c r="L998" s="789" t="s">
        <v>10241</v>
      </c>
      <c r="M998" s="790" t="s">
        <v>834</v>
      </c>
      <c r="O998" s="790" t="s">
        <v>10956</v>
      </c>
      <c r="P998" s="790" t="s">
        <v>10244</v>
      </c>
      <c r="Q998" s="791" t="s">
        <v>773</v>
      </c>
    </row>
    <row r="999" spans="2:17">
      <c r="B999" s="5" t="s">
        <v>11015</v>
      </c>
      <c r="C999" s="1038"/>
      <c r="D999">
        <f>Page7!K55</f>
        <v>0</v>
      </c>
      <c r="E999" s="808">
        <f>Page7!K55</f>
        <v>0</v>
      </c>
      <c r="F999" t="str">
        <f t="shared" si="68"/>
        <v>06-00-HIRED-PERSONNL-CURR</v>
      </c>
      <c r="G999" t="s">
        <v>127</v>
      </c>
      <c r="H999" t="s">
        <v>95</v>
      </c>
      <c r="I999" t="s">
        <v>10253</v>
      </c>
      <c r="K999" s="1073" t="s">
        <v>10284</v>
      </c>
      <c r="L999" s="789" t="s">
        <v>10241</v>
      </c>
      <c r="M999" s="790" t="s">
        <v>10968</v>
      </c>
      <c r="O999" s="790" t="s">
        <v>10956</v>
      </c>
      <c r="P999" s="790" t="s">
        <v>10244</v>
      </c>
    </row>
    <row r="1000" spans="2:17">
      <c r="B1000" s="40" t="s">
        <v>11016</v>
      </c>
      <c r="C1000" s="1038"/>
      <c r="D1000">
        <f>Page7!K56</f>
        <v>0</v>
      </c>
      <c r="E1000" s="808">
        <f>Page7!K56</f>
        <v>0</v>
      </c>
      <c r="F1000" t="str">
        <f t="shared" si="68"/>
        <v>06-00-TERM-PERSONNL-CURR</v>
      </c>
      <c r="G1000" t="s">
        <v>127</v>
      </c>
      <c r="H1000" t="s">
        <v>95</v>
      </c>
      <c r="I1000" t="s">
        <v>10253</v>
      </c>
      <c r="K1000" s="1073" t="s">
        <v>10284</v>
      </c>
      <c r="L1000" s="789" t="s">
        <v>10241</v>
      </c>
      <c r="M1000" s="790" t="s">
        <v>10970</v>
      </c>
      <c r="O1000" s="790" t="s">
        <v>10956</v>
      </c>
      <c r="P1000" s="790" t="s">
        <v>10244</v>
      </c>
    </row>
    <row r="1001" spans="2:17">
      <c r="B1001" s="5" t="s">
        <v>11017</v>
      </c>
      <c r="C1001" s="1038"/>
      <c r="D1001">
        <f>Page7!M47</f>
        <v>0.1</v>
      </c>
      <c r="E1001" s="808">
        <f>Page7!M47</f>
        <v>0.1</v>
      </c>
      <c r="F1001" t="str">
        <f t="shared" si="68"/>
        <v>07-00-OWNR-PERSONNL-CURR</v>
      </c>
      <c r="G1001" t="s">
        <v>127</v>
      </c>
      <c r="H1001" t="s">
        <v>95</v>
      </c>
      <c r="I1001" t="s">
        <v>10253</v>
      </c>
      <c r="K1001" s="1073" t="s">
        <v>11018</v>
      </c>
      <c r="L1001" s="789" t="s">
        <v>10241</v>
      </c>
      <c r="M1001" s="790" t="s">
        <v>10955</v>
      </c>
      <c r="O1001" s="790" t="s">
        <v>10956</v>
      </c>
      <c r="P1001" s="790" t="s">
        <v>10244</v>
      </c>
    </row>
    <row r="1002" spans="2:17">
      <c r="B1002" s="5" t="s">
        <v>11019</v>
      </c>
      <c r="C1002" s="1038"/>
      <c r="D1002">
        <f>Page7!M48</f>
        <v>0.5</v>
      </c>
      <c r="E1002" s="808">
        <f>Page7!M48</f>
        <v>0.5</v>
      </c>
      <c r="F1002" t="str">
        <f t="shared" si="68"/>
        <v>07-00-SUPV-PERSONNL-CURR</v>
      </c>
      <c r="G1002" t="s">
        <v>127</v>
      </c>
      <c r="H1002" t="s">
        <v>95</v>
      </c>
      <c r="I1002" t="s">
        <v>10253</v>
      </c>
      <c r="K1002" s="1073" t="s">
        <v>11018</v>
      </c>
      <c r="L1002" s="789" t="s">
        <v>10241</v>
      </c>
      <c r="M1002" s="790" t="s">
        <v>10958</v>
      </c>
      <c r="O1002" s="790" t="s">
        <v>10956</v>
      </c>
      <c r="P1002" s="790" t="s">
        <v>10244</v>
      </c>
    </row>
    <row r="1003" spans="2:17">
      <c r="B1003" s="5" t="s">
        <v>11020</v>
      </c>
      <c r="C1003" s="1038"/>
      <c r="D1003">
        <f>Page7!M49</f>
        <v>1</v>
      </c>
      <c r="E1003" s="808">
        <f>Page7!M49</f>
        <v>1</v>
      </c>
      <c r="F1003" t="str">
        <f t="shared" si="68"/>
        <v>07-00-SALES-PERSONNL-CURR</v>
      </c>
      <c r="G1003" t="s">
        <v>127</v>
      </c>
      <c r="H1003" t="s">
        <v>95</v>
      </c>
      <c r="I1003" t="s">
        <v>10253</v>
      </c>
      <c r="K1003" s="1073" t="s">
        <v>11018</v>
      </c>
      <c r="L1003" s="789" t="s">
        <v>10241</v>
      </c>
      <c r="M1003" s="790" t="s">
        <v>9883</v>
      </c>
      <c r="O1003" s="790" t="s">
        <v>10956</v>
      </c>
      <c r="P1003" s="790" t="s">
        <v>10244</v>
      </c>
    </row>
    <row r="1004" spans="2:17">
      <c r="B1004" s="5" t="s">
        <v>11021</v>
      </c>
      <c r="C1004" s="1038"/>
      <c r="D1004">
        <f>Page7!M50</f>
        <v>0</v>
      </c>
      <c r="E1004" s="808">
        <f>Page7!M50</f>
        <v>0</v>
      </c>
      <c r="F1004" t="str">
        <f>TEXT(K1004,"00")&amp;"-"&amp;L1004&amp;IF(M1004="","","-"&amp;M1004)&amp;IF(N1004="","","-"&amp;N1004)&amp;IF(OR(O1004="",O1004=0),"","-"&amp;O1004)&amp;IF(P1004="","","-"&amp;P1004)</f>
        <v>07-00-BDCE-PERSONNL-CURR</v>
      </c>
      <c r="G1004" s="654" t="s">
        <v>127</v>
      </c>
      <c r="H1004" t="s">
        <v>95</v>
      </c>
      <c r="I1004" t="s">
        <v>10253</v>
      </c>
      <c r="K1004" s="2231" t="s">
        <v>11018</v>
      </c>
      <c r="L1004" s="789" t="s">
        <v>10241</v>
      </c>
      <c r="M1004" s="2175" t="s">
        <v>10961</v>
      </c>
      <c r="O1004" s="2175" t="s">
        <v>10956</v>
      </c>
      <c r="P1004" s="2175" t="s">
        <v>10244</v>
      </c>
    </row>
    <row r="1005" spans="2:17">
      <c r="B1005" s="5" t="s">
        <v>11022</v>
      </c>
      <c r="C1005" s="1038"/>
      <c r="D1005">
        <f>Page7!M52</f>
        <v>0.5</v>
      </c>
      <c r="E1005" s="808">
        <f>Page7!M52</f>
        <v>0.5</v>
      </c>
      <c r="F1005" t="str">
        <f t="shared" si="68"/>
        <v>07-00-CLERC-PERSONNL-CURR</v>
      </c>
      <c r="G1005" t="s">
        <v>127</v>
      </c>
      <c r="H1005" t="s">
        <v>95</v>
      </c>
      <c r="I1005" t="s">
        <v>10253</v>
      </c>
      <c r="K1005" s="1073" t="s">
        <v>11018</v>
      </c>
      <c r="L1005" s="789" t="s">
        <v>10241</v>
      </c>
      <c r="M1005" s="790" t="s">
        <v>10963</v>
      </c>
      <c r="O1005" s="790" t="s">
        <v>10956</v>
      </c>
      <c r="P1005" s="790" t="s">
        <v>10244</v>
      </c>
    </row>
    <row r="1006" spans="2:17">
      <c r="B1006" s="5" t="s">
        <v>11023</v>
      </c>
      <c r="C1006" s="1038"/>
      <c r="D1006">
        <f>Page7!M53</f>
        <v>0</v>
      </c>
      <c r="E1006" s="808">
        <f>Page7!M53</f>
        <v>0</v>
      </c>
      <c r="F1006" t="str">
        <f t="shared" si="68"/>
        <v>07-00-OTHR-PERSONNL-CURR</v>
      </c>
      <c r="G1006" t="s">
        <v>127</v>
      </c>
      <c r="H1006" t="s">
        <v>95</v>
      </c>
      <c r="I1006" t="s">
        <v>10253</v>
      </c>
      <c r="K1006" s="1073" t="s">
        <v>11018</v>
      </c>
      <c r="L1006" s="789" t="s">
        <v>10241</v>
      </c>
      <c r="M1006" s="790" t="s">
        <v>10965</v>
      </c>
      <c r="O1006" s="790" t="s">
        <v>10956</v>
      </c>
      <c r="P1006" s="790" t="s">
        <v>10244</v>
      </c>
    </row>
    <row r="1007" spans="2:17">
      <c r="B1007" s="27" t="s">
        <v>11024</v>
      </c>
      <c r="C1007" s="1042"/>
      <c r="D1007">
        <f>Page7!M54</f>
        <v>2.1</v>
      </c>
      <c r="E1007" s="808">
        <f>Page7!M54</f>
        <v>2.1</v>
      </c>
      <c r="F1007" t="str">
        <f t="shared" si="68"/>
        <v>07-00-TOTAL-PERSONNL-CURR</v>
      </c>
      <c r="G1007" t="s">
        <v>127</v>
      </c>
      <c r="H1007" t="s">
        <v>95</v>
      </c>
      <c r="I1007" t="s">
        <v>10253</v>
      </c>
      <c r="J1007" t="s">
        <v>10268</v>
      </c>
      <c r="K1007" s="1073" t="s">
        <v>11018</v>
      </c>
      <c r="L1007" s="789" t="s">
        <v>10241</v>
      </c>
      <c r="M1007" s="790" t="s">
        <v>834</v>
      </c>
      <c r="O1007" s="790" t="s">
        <v>10956</v>
      </c>
      <c r="P1007" s="790" t="s">
        <v>10244</v>
      </c>
      <c r="Q1007" s="791" t="s">
        <v>773</v>
      </c>
    </row>
    <row r="1008" spans="2:17">
      <c r="B1008" s="5" t="s">
        <v>11025</v>
      </c>
      <c r="C1008" s="1038"/>
      <c r="D1008">
        <f>Page7!M55</f>
        <v>0</v>
      </c>
      <c r="E1008" s="808">
        <f>Page7!M55</f>
        <v>0</v>
      </c>
      <c r="F1008" t="str">
        <f t="shared" ref="F1008:F1074" si="69">TEXT(K1008,"00")&amp;"-"&amp;L1008&amp;IF(M1008="","","-"&amp;M1008)&amp;IF(N1008="","","-"&amp;N1008)&amp;IF(OR(O1008="",O1008=0),"","-"&amp;O1008)&amp;IF(P1008="","","-"&amp;P1008)</f>
        <v>07-00-HIRED-PERSONNL-CURR</v>
      </c>
      <c r="G1008" t="s">
        <v>127</v>
      </c>
      <c r="H1008" t="s">
        <v>95</v>
      </c>
      <c r="I1008" t="s">
        <v>10253</v>
      </c>
      <c r="K1008" s="1073" t="s">
        <v>11018</v>
      </c>
      <c r="L1008" s="789" t="s">
        <v>10241</v>
      </c>
      <c r="M1008" s="790" t="s">
        <v>10968</v>
      </c>
      <c r="O1008" s="790" t="s">
        <v>10956</v>
      </c>
      <c r="P1008" s="790" t="s">
        <v>10244</v>
      </c>
    </row>
    <row r="1009" spans="2:17">
      <c r="B1009" s="40" t="s">
        <v>11026</v>
      </c>
      <c r="C1009" s="1038"/>
      <c r="D1009">
        <f>Page7!M56</f>
        <v>0</v>
      </c>
      <c r="E1009" s="808">
        <f>Page7!M56</f>
        <v>0</v>
      </c>
      <c r="F1009" t="str">
        <f t="shared" si="69"/>
        <v>07-00-TERM-PERSONNL-CURR</v>
      </c>
      <c r="G1009" t="s">
        <v>127</v>
      </c>
      <c r="H1009" t="s">
        <v>95</v>
      </c>
      <c r="I1009" t="s">
        <v>10253</v>
      </c>
      <c r="K1009" s="1073" t="s">
        <v>11018</v>
      </c>
      <c r="L1009" s="789" t="s">
        <v>10241</v>
      </c>
      <c r="M1009" s="790" t="s">
        <v>10970</v>
      </c>
      <c r="O1009" s="790" t="s">
        <v>10956</v>
      </c>
      <c r="P1009" s="790" t="s">
        <v>10244</v>
      </c>
    </row>
    <row r="1010" spans="2:17">
      <c r="B1010" s="5" t="s">
        <v>11027</v>
      </c>
      <c r="C1010" s="1038"/>
      <c r="D1010">
        <f>Page7!N47</f>
        <v>0</v>
      </c>
      <c r="E1010" s="808">
        <f>Page7!N47</f>
        <v>0</v>
      </c>
      <c r="F1010" t="str">
        <f t="shared" si="69"/>
        <v>09-00-OWNR-PERSONNL-CURR</v>
      </c>
      <c r="G1010" t="s">
        <v>127</v>
      </c>
      <c r="H1010" t="s">
        <v>95</v>
      </c>
      <c r="I1010" t="s">
        <v>10253</v>
      </c>
      <c r="K1010" s="1073" t="s">
        <v>11028</v>
      </c>
      <c r="L1010" s="789" t="s">
        <v>10241</v>
      </c>
      <c r="M1010" s="790" t="s">
        <v>10955</v>
      </c>
      <c r="O1010" s="790" t="s">
        <v>10956</v>
      </c>
      <c r="P1010" s="790" t="s">
        <v>10244</v>
      </c>
    </row>
    <row r="1011" spans="2:17">
      <c r="B1011" s="5" t="s">
        <v>11029</v>
      </c>
      <c r="C1011" s="1038"/>
      <c r="D1011">
        <f>Page7!N48</f>
        <v>0</v>
      </c>
      <c r="E1011" s="808">
        <f>Page7!N48</f>
        <v>0</v>
      </c>
      <c r="F1011" t="str">
        <f t="shared" si="69"/>
        <v>09-00-SUPV-PERSONNL-CURR</v>
      </c>
      <c r="G1011" t="s">
        <v>127</v>
      </c>
      <c r="H1011" t="s">
        <v>95</v>
      </c>
      <c r="I1011" t="s">
        <v>10253</v>
      </c>
      <c r="K1011" s="1073" t="s">
        <v>11028</v>
      </c>
      <c r="L1011" s="789" t="s">
        <v>10241</v>
      </c>
      <c r="M1011" s="790" t="s">
        <v>10958</v>
      </c>
      <c r="O1011" s="790" t="s">
        <v>10956</v>
      </c>
      <c r="P1011" s="790" t="s">
        <v>10244</v>
      </c>
    </row>
    <row r="1012" spans="2:17">
      <c r="B1012" s="5" t="s">
        <v>11030</v>
      </c>
      <c r="C1012" s="1038"/>
      <c r="D1012">
        <f>Page7!N49</f>
        <v>0</v>
      </c>
      <c r="E1012" s="808">
        <f>Page7!N49</f>
        <v>0</v>
      </c>
      <c r="F1012" t="str">
        <f t="shared" si="69"/>
        <v>09-00-SALES-PERSONNL-CURR</v>
      </c>
      <c r="G1012" t="s">
        <v>127</v>
      </c>
      <c r="H1012" t="s">
        <v>95</v>
      </c>
      <c r="I1012" t="s">
        <v>10253</v>
      </c>
      <c r="K1012" s="1073" t="s">
        <v>11028</v>
      </c>
      <c r="L1012" s="789" t="s">
        <v>10241</v>
      </c>
      <c r="M1012" s="790" t="s">
        <v>9883</v>
      </c>
      <c r="O1012" s="790" t="s">
        <v>10956</v>
      </c>
      <c r="P1012" s="790" t="s">
        <v>10244</v>
      </c>
    </row>
    <row r="1013" spans="2:17">
      <c r="B1013" s="5" t="s">
        <v>11031</v>
      </c>
      <c r="C1013" s="1038"/>
      <c r="D1013">
        <f>Page7!N50</f>
        <v>0</v>
      </c>
      <c r="E1013" s="808">
        <f>Page7!N50</f>
        <v>0</v>
      </c>
      <c r="F1013" t="str">
        <f>TEXT(K1013,"00")&amp;"-"&amp;L1013&amp;IF(M1013="","","-"&amp;M1013)&amp;IF(N1013="","","-"&amp;N1013)&amp;IF(OR(O1013="",O1013=0),"","-"&amp;O1013)&amp;IF(P1013="","","-"&amp;P1013)</f>
        <v>09-00-BDCE-PERSONNL-CURR</v>
      </c>
      <c r="G1013" s="654" t="s">
        <v>127</v>
      </c>
      <c r="H1013" t="s">
        <v>95</v>
      </c>
      <c r="I1013" t="s">
        <v>10253</v>
      </c>
      <c r="K1013" s="2231" t="s">
        <v>11028</v>
      </c>
      <c r="L1013" s="789" t="s">
        <v>10241</v>
      </c>
      <c r="M1013" s="2175" t="s">
        <v>10961</v>
      </c>
      <c r="O1013" s="2175" t="s">
        <v>10956</v>
      </c>
      <c r="P1013" s="2175" t="s">
        <v>10244</v>
      </c>
    </row>
    <row r="1014" spans="2:17">
      <c r="B1014" s="5" t="s">
        <v>11032</v>
      </c>
      <c r="C1014" s="1038"/>
      <c r="D1014">
        <f>Page7!N51</f>
        <v>0</v>
      </c>
      <c r="E1014" s="808">
        <f>Page7!N51</f>
        <v>0</v>
      </c>
      <c r="F1014" t="str">
        <f t="shared" si="69"/>
        <v>09-00-TECH-PERSONNL-CURR</v>
      </c>
      <c r="G1014" t="s">
        <v>127</v>
      </c>
      <c r="H1014" t="s">
        <v>95</v>
      </c>
      <c r="I1014" t="s">
        <v>10253</v>
      </c>
      <c r="K1014" s="1073" t="s">
        <v>11028</v>
      </c>
      <c r="L1014" s="789" t="s">
        <v>10241</v>
      </c>
      <c r="M1014" s="790" t="s">
        <v>11001</v>
      </c>
      <c r="O1014" s="790" t="s">
        <v>10956</v>
      </c>
      <c r="P1014" s="790" t="s">
        <v>10244</v>
      </c>
    </row>
    <row r="1015" spans="2:17">
      <c r="B1015" s="5" t="s">
        <v>11033</v>
      </c>
      <c r="C1015" s="1038"/>
      <c r="D1015">
        <f>Page7!N52</f>
        <v>0</v>
      </c>
      <c r="E1015" s="808">
        <f>Page7!N52</f>
        <v>0</v>
      </c>
      <c r="F1015" t="str">
        <f t="shared" si="69"/>
        <v>09-00-CLERC-PERSONNL-CURR</v>
      </c>
      <c r="G1015" t="s">
        <v>127</v>
      </c>
      <c r="H1015" t="s">
        <v>95</v>
      </c>
      <c r="I1015" t="s">
        <v>10253</v>
      </c>
      <c r="K1015" s="1073" t="s">
        <v>11028</v>
      </c>
      <c r="L1015" s="789" t="s">
        <v>10241</v>
      </c>
      <c r="M1015" s="790" t="s">
        <v>10963</v>
      </c>
      <c r="O1015" s="790" t="s">
        <v>10956</v>
      </c>
      <c r="P1015" s="790" t="s">
        <v>10244</v>
      </c>
    </row>
    <row r="1016" spans="2:17">
      <c r="B1016" s="5" t="s">
        <v>11034</v>
      </c>
      <c r="C1016" s="1038"/>
      <c r="D1016">
        <f>Page7!N53</f>
        <v>0</v>
      </c>
      <c r="E1016" s="808">
        <f>Page7!N53</f>
        <v>0</v>
      </c>
      <c r="F1016" t="str">
        <f t="shared" si="69"/>
        <v>09-00-OTHR-PERSONNL-CURR</v>
      </c>
      <c r="G1016" t="s">
        <v>127</v>
      </c>
      <c r="H1016" t="s">
        <v>95</v>
      </c>
      <c r="I1016" t="s">
        <v>10253</v>
      </c>
      <c r="K1016" s="1073" t="s">
        <v>11028</v>
      </c>
      <c r="L1016" s="789" t="s">
        <v>10241</v>
      </c>
      <c r="M1016" s="790" t="s">
        <v>10965</v>
      </c>
      <c r="O1016" s="790" t="s">
        <v>10956</v>
      </c>
      <c r="P1016" s="790" t="s">
        <v>10244</v>
      </c>
    </row>
    <row r="1017" spans="2:17">
      <c r="B1017" s="27" t="s">
        <v>11035</v>
      </c>
      <c r="C1017" s="1042"/>
      <c r="D1017">
        <f>Page7!N54</f>
        <v>0</v>
      </c>
      <c r="E1017" s="808">
        <f>Page7!N54</f>
        <v>0</v>
      </c>
      <c r="F1017" t="str">
        <f t="shared" si="69"/>
        <v>09-00-TOTAL-PERSONNL-CURR</v>
      </c>
      <c r="G1017" t="s">
        <v>127</v>
      </c>
      <c r="H1017" t="s">
        <v>95</v>
      </c>
      <c r="I1017" t="s">
        <v>10253</v>
      </c>
      <c r="J1017" t="s">
        <v>10268</v>
      </c>
      <c r="K1017" s="1073" t="s">
        <v>11028</v>
      </c>
      <c r="L1017" s="789" t="s">
        <v>10241</v>
      </c>
      <c r="M1017" s="790" t="s">
        <v>834</v>
      </c>
      <c r="O1017" s="790" t="s">
        <v>10956</v>
      </c>
      <c r="P1017" s="790" t="s">
        <v>10244</v>
      </c>
      <c r="Q1017" s="791" t="s">
        <v>773</v>
      </c>
    </row>
    <row r="1018" spans="2:17">
      <c r="B1018" s="5" t="s">
        <v>11036</v>
      </c>
      <c r="C1018" s="1038"/>
      <c r="D1018">
        <f>Page7!N55</f>
        <v>0</v>
      </c>
      <c r="E1018" s="808">
        <f>Page7!N55</f>
        <v>0</v>
      </c>
      <c r="F1018" t="str">
        <f t="shared" si="69"/>
        <v>09-00-HIRED-PERSONNL-CURR</v>
      </c>
      <c r="G1018" t="s">
        <v>127</v>
      </c>
      <c r="H1018" t="s">
        <v>95</v>
      </c>
      <c r="I1018" t="s">
        <v>10253</v>
      </c>
      <c r="K1018" s="1073" t="s">
        <v>11028</v>
      </c>
      <c r="L1018" s="789" t="s">
        <v>10241</v>
      </c>
      <c r="M1018" s="790" t="s">
        <v>10968</v>
      </c>
      <c r="O1018" s="790" t="s">
        <v>10956</v>
      </c>
      <c r="P1018" s="790" t="s">
        <v>10244</v>
      </c>
    </row>
    <row r="1019" spans="2:17">
      <c r="B1019" s="40" t="s">
        <v>11037</v>
      </c>
      <c r="C1019" s="1038"/>
      <c r="D1019">
        <f>Page7!N56</f>
        <v>0</v>
      </c>
      <c r="E1019" s="808">
        <f>Page7!N56</f>
        <v>0</v>
      </c>
      <c r="F1019" t="str">
        <f t="shared" si="69"/>
        <v>09-00-TERM-PERSONNL-CURR</v>
      </c>
      <c r="G1019" t="s">
        <v>127</v>
      </c>
      <c r="H1019" t="s">
        <v>95</v>
      </c>
      <c r="I1019" t="s">
        <v>10253</v>
      </c>
      <c r="K1019" s="1073" t="s">
        <v>11028</v>
      </c>
      <c r="L1019" s="789" t="s">
        <v>10241</v>
      </c>
      <c r="M1019" s="790" t="s">
        <v>10970</v>
      </c>
      <c r="O1019" s="790" t="s">
        <v>10956</v>
      </c>
      <c r="P1019" s="790" t="s">
        <v>10244</v>
      </c>
    </row>
    <row r="1020" spans="2:17">
      <c r="B1020" s="5" t="s">
        <v>11038</v>
      </c>
      <c r="C1020" s="1042"/>
      <c r="D1020">
        <f>Page7!O47</f>
        <v>1</v>
      </c>
      <c r="E1020" s="808">
        <f>Page7!O47</f>
        <v>1</v>
      </c>
      <c r="F1020" t="str">
        <f t="shared" si="69"/>
        <v>00-00-OWNR-PERSONNL-CURR</v>
      </c>
      <c r="G1020" t="s">
        <v>127</v>
      </c>
      <c r="H1020" t="s">
        <v>95</v>
      </c>
      <c r="I1020" t="s">
        <v>10253</v>
      </c>
      <c r="J1020" t="s">
        <v>10268</v>
      </c>
      <c r="K1020" s="1073" t="s">
        <v>10241</v>
      </c>
      <c r="L1020" s="789" t="s">
        <v>10241</v>
      </c>
      <c r="M1020" s="790" t="s">
        <v>10955</v>
      </c>
      <c r="O1020" s="790" t="s">
        <v>10956</v>
      </c>
      <c r="P1020" s="790" t="s">
        <v>10244</v>
      </c>
      <c r="Q1020" s="791" t="s">
        <v>773</v>
      </c>
    </row>
    <row r="1021" spans="2:17">
      <c r="B1021" s="5" t="s">
        <v>11039</v>
      </c>
      <c r="C1021" s="1042"/>
      <c r="D1021">
        <f>Page7!O48</f>
        <v>4.5</v>
      </c>
      <c r="E1021" s="808">
        <f>Page7!O48</f>
        <v>4.5</v>
      </c>
      <c r="F1021" t="str">
        <f t="shared" si="69"/>
        <v>00-00-SUPV-PERSONNL-CURR</v>
      </c>
      <c r="G1021" t="s">
        <v>127</v>
      </c>
      <c r="H1021" t="s">
        <v>95</v>
      </c>
      <c r="I1021" t="s">
        <v>10253</v>
      </c>
      <c r="J1021" t="s">
        <v>10268</v>
      </c>
      <c r="K1021" s="1073" t="s">
        <v>10241</v>
      </c>
      <c r="L1021" s="789" t="s">
        <v>10241</v>
      </c>
      <c r="M1021" s="790" t="s">
        <v>10958</v>
      </c>
      <c r="O1021" s="790" t="s">
        <v>10956</v>
      </c>
      <c r="P1021" s="790" t="s">
        <v>10244</v>
      </c>
      <c r="Q1021" s="791" t="s">
        <v>773</v>
      </c>
    </row>
    <row r="1022" spans="2:17">
      <c r="B1022" s="5" t="s">
        <v>11040</v>
      </c>
      <c r="C1022" s="1042"/>
      <c r="D1022">
        <f>Page7!O49</f>
        <v>11</v>
      </c>
      <c r="E1022" s="808">
        <f>Page7!O49</f>
        <v>11</v>
      </c>
      <c r="F1022" t="str">
        <f t="shared" si="69"/>
        <v>00-00-SALES-PERSONNL-CURR</v>
      </c>
      <c r="G1022" t="s">
        <v>127</v>
      </c>
      <c r="H1022" t="s">
        <v>95</v>
      </c>
      <c r="I1022" t="s">
        <v>10253</v>
      </c>
      <c r="J1022" t="s">
        <v>10268</v>
      </c>
      <c r="K1022" s="1073" t="s">
        <v>10241</v>
      </c>
      <c r="L1022" s="789" t="s">
        <v>10241</v>
      </c>
      <c r="M1022" s="790" t="s">
        <v>9883</v>
      </c>
      <c r="O1022" s="790" t="s">
        <v>10956</v>
      </c>
      <c r="P1022" s="790" t="s">
        <v>10244</v>
      </c>
      <c r="Q1022" s="791" t="s">
        <v>773</v>
      </c>
    </row>
    <row r="1023" spans="2:17">
      <c r="B1023" s="5" t="s">
        <v>11041</v>
      </c>
      <c r="C1023" s="1042"/>
      <c r="D1023">
        <f>Page7!O50</f>
        <v>0</v>
      </c>
      <c r="E1023" s="808">
        <f>Page7!O50</f>
        <v>0</v>
      </c>
      <c r="F1023" t="str">
        <f>TEXT(K1023,"00")&amp;"-"&amp;L1023&amp;IF(M1023="","","-"&amp;M1023)&amp;IF(N1023="","","-"&amp;N1023)&amp;IF(OR(O1023="",O1023=0),"","-"&amp;O1023)&amp;IF(P1023="","","-"&amp;P1023)</f>
        <v>00-00-BDCE-PERSONNL-CURR</v>
      </c>
      <c r="G1023" s="654" t="s">
        <v>127</v>
      </c>
      <c r="H1023" t="s">
        <v>95</v>
      </c>
      <c r="I1023" t="s">
        <v>10253</v>
      </c>
      <c r="J1023" t="s">
        <v>10268</v>
      </c>
      <c r="K1023" s="2231" t="s">
        <v>10241</v>
      </c>
      <c r="L1023" s="789" t="s">
        <v>10241</v>
      </c>
      <c r="M1023" s="2175" t="s">
        <v>10961</v>
      </c>
      <c r="O1023" s="2175" t="s">
        <v>10956</v>
      </c>
      <c r="P1023" s="2175" t="s">
        <v>10244</v>
      </c>
      <c r="Q1023" s="2232" t="s">
        <v>773</v>
      </c>
    </row>
    <row r="1024" spans="2:17">
      <c r="B1024" s="5" t="s">
        <v>11042</v>
      </c>
      <c r="C1024" s="1042"/>
      <c r="D1024">
        <f>Page7!O51</f>
        <v>17</v>
      </c>
      <c r="E1024" s="808">
        <f>Page7!O51</f>
        <v>17</v>
      </c>
      <c r="F1024" t="str">
        <f t="shared" si="69"/>
        <v>00-00-TECH-PERSONNL-CURR</v>
      </c>
      <c r="G1024" t="s">
        <v>127</v>
      </c>
      <c r="H1024" t="s">
        <v>95</v>
      </c>
      <c r="I1024" t="s">
        <v>10253</v>
      </c>
      <c r="J1024" t="s">
        <v>10268</v>
      </c>
      <c r="K1024" s="1073" t="s">
        <v>10241</v>
      </c>
      <c r="L1024" s="789" t="s">
        <v>10241</v>
      </c>
      <c r="M1024" s="790" t="s">
        <v>11001</v>
      </c>
      <c r="O1024" s="790" t="s">
        <v>10956</v>
      </c>
      <c r="P1024" s="790" t="s">
        <v>10244</v>
      </c>
      <c r="Q1024" s="791" t="s">
        <v>773</v>
      </c>
    </row>
    <row r="1025" spans="2:17">
      <c r="B1025" s="5" t="s">
        <v>11043</v>
      </c>
      <c r="C1025" s="1042"/>
      <c r="D1025">
        <f>Page7!O52</f>
        <v>8</v>
      </c>
      <c r="E1025" s="808">
        <f>Page7!O52</f>
        <v>8</v>
      </c>
      <c r="F1025" t="str">
        <f t="shared" si="69"/>
        <v>00-00-CLERC-PERSONNL-CURR</v>
      </c>
      <c r="G1025" t="s">
        <v>127</v>
      </c>
      <c r="H1025" t="s">
        <v>95</v>
      </c>
      <c r="I1025" t="s">
        <v>10253</v>
      </c>
      <c r="J1025" t="s">
        <v>10268</v>
      </c>
      <c r="K1025" s="1073" t="s">
        <v>10241</v>
      </c>
      <c r="L1025" s="789" t="s">
        <v>10241</v>
      </c>
      <c r="M1025" s="790" t="s">
        <v>10963</v>
      </c>
      <c r="O1025" s="790" t="s">
        <v>10956</v>
      </c>
      <c r="P1025" s="790" t="s">
        <v>10244</v>
      </c>
      <c r="Q1025" s="791" t="s">
        <v>773</v>
      </c>
    </row>
    <row r="1026" spans="2:17">
      <c r="B1026" s="5" t="s">
        <v>11044</v>
      </c>
      <c r="C1026" s="1042"/>
      <c r="D1026">
        <f>Page7!O53</f>
        <v>1.5</v>
      </c>
      <c r="E1026" s="808">
        <f>Page7!O53</f>
        <v>1.5</v>
      </c>
      <c r="F1026" t="str">
        <f t="shared" si="69"/>
        <v>00-00-OTHR-PERSONNL-CURR</v>
      </c>
      <c r="G1026" t="s">
        <v>127</v>
      </c>
      <c r="H1026" t="s">
        <v>95</v>
      </c>
      <c r="I1026" t="s">
        <v>10253</v>
      </c>
      <c r="J1026" t="s">
        <v>10268</v>
      </c>
      <c r="K1026" s="1073" t="s">
        <v>10241</v>
      </c>
      <c r="L1026" s="789" t="s">
        <v>10241</v>
      </c>
      <c r="M1026" s="790" t="s">
        <v>10965</v>
      </c>
      <c r="O1026" s="790" t="s">
        <v>10956</v>
      </c>
      <c r="P1026" s="790" t="s">
        <v>10244</v>
      </c>
      <c r="Q1026" s="791" t="s">
        <v>773</v>
      </c>
    </row>
    <row r="1027" spans="2:17">
      <c r="B1027" s="27" t="s">
        <v>11045</v>
      </c>
      <c r="C1027" s="1042"/>
      <c r="D1027">
        <f>Page7!O54</f>
        <v>43</v>
      </c>
      <c r="E1027" s="808">
        <f>Page7!O54</f>
        <v>43</v>
      </c>
      <c r="F1027" t="str">
        <f t="shared" si="69"/>
        <v>00-00-TOTAL-PERSONNL-CURR</v>
      </c>
      <c r="G1027" t="s">
        <v>127</v>
      </c>
      <c r="H1027" t="s">
        <v>95</v>
      </c>
      <c r="I1027" t="s">
        <v>10253</v>
      </c>
      <c r="J1027" t="s">
        <v>10268</v>
      </c>
      <c r="K1027" s="1073" t="s">
        <v>10241</v>
      </c>
      <c r="L1027" s="789" t="s">
        <v>10241</v>
      </c>
      <c r="M1027" s="790" t="s">
        <v>834</v>
      </c>
      <c r="O1027" s="790" t="s">
        <v>10956</v>
      </c>
      <c r="P1027" s="790" t="s">
        <v>10244</v>
      </c>
      <c r="Q1027" s="791" t="s">
        <v>773</v>
      </c>
    </row>
    <row r="1028" spans="2:17">
      <c r="B1028" s="5" t="s">
        <v>11046</v>
      </c>
      <c r="C1028" s="1042"/>
      <c r="D1028">
        <f>Page7!O55</f>
        <v>0</v>
      </c>
      <c r="E1028" s="808">
        <f>Page7!O55</f>
        <v>0</v>
      </c>
      <c r="F1028" t="str">
        <f t="shared" si="69"/>
        <v>00-00-HIRED-PERSONNL-CURR</v>
      </c>
      <c r="G1028" t="s">
        <v>127</v>
      </c>
      <c r="H1028" t="s">
        <v>95</v>
      </c>
      <c r="I1028" t="s">
        <v>10253</v>
      </c>
      <c r="J1028" t="s">
        <v>10268</v>
      </c>
      <c r="K1028" s="1073" t="s">
        <v>10241</v>
      </c>
      <c r="L1028" s="789" t="s">
        <v>10241</v>
      </c>
      <c r="M1028" s="790" t="s">
        <v>10968</v>
      </c>
      <c r="O1028" s="790" t="s">
        <v>10956</v>
      </c>
      <c r="P1028" s="790" t="s">
        <v>10244</v>
      </c>
      <c r="Q1028" s="791" t="s">
        <v>773</v>
      </c>
    </row>
    <row r="1029" spans="2:17">
      <c r="B1029" s="40" t="s">
        <v>11047</v>
      </c>
      <c r="C1029" s="1042"/>
      <c r="D1029">
        <f>Page7!O56</f>
        <v>0</v>
      </c>
      <c r="E1029" s="808">
        <f>Page7!O56</f>
        <v>0</v>
      </c>
      <c r="F1029" t="str">
        <f t="shared" si="69"/>
        <v>00-00-TERM-PERSONNL-CURR</v>
      </c>
      <c r="G1029" t="s">
        <v>127</v>
      </c>
      <c r="H1029" t="s">
        <v>95</v>
      </c>
      <c r="I1029" t="s">
        <v>10253</v>
      </c>
      <c r="J1029" t="s">
        <v>10268</v>
      </c>
      <c r="K1029" s="1073" t="s">
        <v>10241</v>
      </c>
      <c r="L1029" s="789" t="s">
        <v>10241</v>
      </c>
      <c r="M1029" s="790" t="s">
        <v>10970</v>
      </c>
      <c r="O1029" s="790" t="s">
        <v>10956</v>
      </c>
      <c r="P1029" s="790" t="s">
        <v>10244</v>
      </c>
      <c r="Q1029" s="791" t="s">
        <v>773</v>
      </c>
    </row>
    <row r="1030" spans="2:17">
      <c r="B1030" s="5" t="s">
        <v>11048</v>
      </c>
      <c r="C1030" s="1040"/>
      <c r="D1030" s="2160">
        <f>Page7!I59</f>
        <v>0</v>
      </c>
      <c r="E1030" s="37">
        <f>Page7!I59</f>
        <v>0</v>
      </c>
      <c r="F1030" t="str">
        <f t="shared" si="69"/>
        <v>00-00-210VEH-TOTLRECV-CURR</v>
      </c>
      <c r="G1030" t="s">
        <v>127</v>
      </c>
      <c r="H1030" t="s">
        <v>95</v>
      </c>
      <c r="I1030" t="s">
        <v>10253</v>
      </c>
      <c r="K1030" s="1073" t="s">
        <v>10241</v>
      </c>
      <c r="L1030" s="789" t="s">
        <v>10241</v>
      </c>
      <c r="M1030" s="790" t="s">
        <v>11049</v>
      </c>
      <c r="O1030" s="790" t="s">
        <v>11050</v>
      </c>
      <c r="P1030" s="790" t="s">
        <v>10244</v>
      </c>
    </row>
    <row r="1031" spans="2:17">
      <c r="B1031" s="5" t="s">
        <v>11051</v>
      </c>
      <c r="C1031" s="1040"/>
      <c r="D1031" s="7">
        <f>Page7!J59</f>
        <v>0</v>
      </c>
      <c r="E1031" s="7">
        <f>Page7!J59</f>
        <v>0</v>
      </c>
      <c r="F1031" t="str">
        <f t="shared" si="69"/>
        <v>00-00-210VEH-NOTDUE-CURR</v>
      </c>
      <c r="G1031" t="s">
        <v>127</v>
      </c>
      <c r="H1031" t="s">
        <v>95</v>
      </c>
      <c r="I1031" t="s">
        <v>10253</v>
      </c>
      <c r="K1031" s="1073" t="s">
        <v>10241</v>
      </c>
      <c r="L1031" s="789" t="s">
        <v>10241</v>
      </c>
      <c r="M1031" s="790" t="s">
        <v>11049</v>
      </c>
      <c r="O1031" s="790" t="s">
        <v>11052</v>
      </c>
      <c r="P1031" s="790" t="s">
        <v>10244</v>
      </c>
    </row>
    <row r="1032" spans="2:17">
      <c r="B1032" s="5" t="s">
        <v>11053</v>
      </c>
      <c r="C1032" s="1040"/>
      <c r="D1032" s="7">
        <f>Page7!M59</f>
        <v>0</v>
      </c>
      <c r="E1032" s="15">
        <f>Page7!M59</f>
        <v>0</v>
      </c>
      <c r="F1032" t="str">
        <f t="shared" si="69"/>
        <v>00-00-210VEH-31-60D-CURR</v>
      </c>
      <c r="G1032" t="s">
        <v>127</v>
      </c>
      <c r="H1032" t="s">
        <v>95</v>
      </c>
      <c r="I1032" t="s">
        <v>10253</v>
      </c>
      <c r="K1032" s="1073" t="s">
        <v>10241</v>
      </c>
      <c r="L1032" s="789" t="s">
        <v>10241</v>
      </c>
      <c r="M1032" s="790" t="s">
        <v>11049</v>
      </c>
      <c r="O1032" s="790" t="s">
        <v>11054</v>
      </c>
      <c r="P1032" s="790" t="s">
        <v>10244</v>
      </c>
    </row>
    <row r="1033" spans="2:17">
      <c r="B1033" s="5" t="s">
        <v>11055</v>
      </c>
      <c r="C1033" s="1040"/>
      <c r="D1033" s="7">
        <f>Page7!N59</f>
        <v>0</v>
      </c>
      <c r="E1033" s="15">
        <f>Page7!N59</f>
        <v>0</v>
      </c>
      <c r="F1033" t="str">
        <f t="shared" si="69"/>
        <v>00-00-210VEH-61-90D-CURR</v>
      </c>
      <c r="G1033" t="s">
        <v>127</v>
      </c>
      <c r="H1033" t="s">
        <v>95</v>
      </c>
      <c r="I1033" t="s">
        <v>10253</v>
      </c>
      <c r="K1033" s="1073" t="s">
        <v>10241</v>
      </c>
      <c r="L1033" s="789" t="s">
        <v>10241</v>
      </c>
      <c r="M1033" s="790" t="s">
        <v>11049</v>
      </c>
      <c r="O1033" s="790" t="s">
        <v>11056</v>
      </c>
      <c r="P1033" s="790" t="s">
        <v>10244</v>
      </c>
    </row>
    <row r="1034" spans="2:17">
      <c r="B1034" s="5" t="s">
        <v>11057</v>
      </c>
      <c r="C1034" s="1040"/>
      <c r="D1034" s="7">
        <f>Page7!O59</f>
        <v>0</v>
      </c>
      <c r="E1034" s="15">
        <f>Page7!O59</f>
        <v>0</v>
      </c>
      <c r="F1034" t="str">
        <f t="shared" si="69"/>
        <v>00-00-210VEH-OVER90D-CURR</v>
      </c>
      <c r="G1034" t="s">
        <v>127</v>
      </c>
      <c r="H1034" t="s">
        <v>95</v>
      </c>
      <c r="I1034" t="s">
        <v>10253</v>
      </c>
      <c r="K1034" s="1073" t="s">
        <v>10241</v>
      </c>
      <c r="L1034" s="789" t="s">
        <v>10241</v>
      </c>
      <c r="M1034" s="790" t="s">
        <v>11049</v>
      </c>
      <c r="O1034" s="790" t="s">
        <v>11058</v>
      </c>
      <c r="P1034" s="790" t="s">
        <v>10244</v>
      </c>
    </row>
    <row r="1035" spans="2:17">
      <c r="B1035" s="5" t="s">
        <v>11059</v>
      </c>
      <c r="C1035" s="1040"/>
      <c r="D1035" s="7">
        <f>Page7!I60</f>
        <v>0</v>
      </c>
      <c r="E1035" s="15">
        <f>Page7!I60</f>
        <v>0</v>
      </c>
      <c r="F1035" t="str">
        <f t="shared" si="69"/>
        <v>00-00-210OTH-TOTLRECV-CURR</v>
      </c>
      <c r="G1035" t="s">
        <v>127</v>
      </c>
      <c r="H1035" t="s">
        <v>95</v>
      </c>
      <c r="I1035" t="s">
        <v>10253</v>
      </c>
      <c r="K1035" s="1073" t="s">
        <v>10241</v>
      </c>
      <c r="L1035" s="789" t="s">
        <v>10241</v>
      </c>
      <c r="M1035" s="790" t="s">
        <v>11060</v>
      </c>
      <c r="O1035" s="790" t="s">
        <v>11050</v>
      </c>
      <c r="P1035" s="790" t="s">
        <v>10244</v>
      </c>
    </row>
    <row r="1036" spans="2:17">
      <c r="B1036" s="5" t="s">
        <v>11061</v>
      </c>
      <c r="C1036" s="1048"/>
      <c r="D1036" s="2160">
        <f>Page7!J60</f>
        <v>0</v>
      </c>
      <c r="E1036" s="15">
        <f>Page7!J60</f>
        <v>0</v>
      </c>
      <c r="F1036" t="str">
        <f t="shared" si="69"/>
        <v>00-00-210OTH-NOTDUE-CURR</v>
      </c>
      <c r="G1036" t="s">
        <v>127</v>
      </c>
      <c r="H1036" t="s">
        <v>95</v>
      </c>
      <c r="I1036" t="s">
        <v>10253</v>
      </c>
      <c r="K1036" s="1073" t="s">
        <v>10241</v>
      </c>
      <c r="L1036" s="789" t="s">
        <v>10241</v>
      </c>
      <c r="M1036" s="790" t="s">
        <v>11060</v>
      </c>
      <c r="O1036" s="790" t="s">
        <v>11052</v>
      </c>
      <c r="P1036" s="790" t="s">
        <v>10244</v>
      </c>
    </row>
    <row r="1037" spans="2:17">
      <c r="B1037" s="5" t="s">
        <v>11062</v>
      </c>
      <c r="C1037" s="1040"/>
      <c r="D1037" s="7">
        <f>Page7!M60</f>
        <v>0</v>
      </c>
      <c r="E1037" s="15">
        <f>Page7!M60</f>
        <v>0</v>
      </c>
      <c r="F1037" t="str">
        <f t="shared" si="69"/>
        <v>00-00-210OTH-31-60D-CURR</v>
      </c>
      <c r="G1037" t="s">
        <v>127</v>
      </c>
      <c r="H1037" t="s">
        <v>95</v>
      </c>
      <c r="I1037" t="s">
        <v>10253</v>
      </c>
      <c r="K1037" s="1073" t="s">
        <v>10241</v>
      </c>
      <c r="L1037" s="789" t="s">
        <v>10241</v>
      </c>
      <c r="M1037" s="790" t="s">
        <v>11060</v>
      </c>
      <c r="O1037" s="790" t="s">
        <v>11054</v>
      </c>
      <c r="P1037" s="790" t="s">
        <v>10244</v>
      </c>
    </row>
    <row r="1038" spans="2:17">
      <c r="B1038" s="5" t="s">
        <v>11063</v>
      </c>
      <c r="C1038" s="1040"/>
      <c r="D1038" s="7">
        <f>Page7!N60</f>
        <v>0</v>
      </c>
      <c r="E1038" s="15">
        <f>Page7!N60</f>
        <v>0</v>
      </c>
      <c r="F1038" t="str">
        <f t="shared" si="69"/>
        <v>00-00-210OTH-61-90D-CURR</v>
      </c>
      <c r="G1038" t="s">
        <v>127</v>
      </c>
      <c r="H1038" t="s">
        <v>95</v>
      </c>
      <c r="I1038" t="s">
        <v>10253</v>
      </c>
      <c r="K1038" s="1073" t="s">
        <v>10241</v>
      </c>
      <c r="L1038" s="789" t="s">
        <v>10241</v>
      </c>
      <c r="M1038" s="790" t="s">
        <v>11060</v>
      </c>
      <c r="O1038" s="790" t="s">
        <v>11056</v>
      </c>
      <c r="P1038" s="790" t="s">
        <v>10244</v>
      </c>
    </row>
    <row r="1039" spans="2:17">
      <c r="B1039" s="5" t="s">
        <v>11064</v>
      </c>
      <c r="C1039" s="1040"/>
      <c r="D1039" s="7">
        <f>Page7!O60</f>
        <v>0</v>
      </c>
      <c r="E1039" s="15">
        <f>Page7!O60</f>
        <v>0</v>
      </c>
      <c r="F1039" t="str">
        <f t="shared" si="69"/>
        <v>00-00-210OTH-OVER90D-CURR</v>
      </c>
      <c r="G1039" t="s">
        <v>127</v>
      </c>
      <c r="H1039" t="s">
        <v>95</v>
      </c>
      <c r="I1039" t="s">
        <v>10253</v>
      </c>
      <c r="K1039" s="1073" t="s">
        <v>10241</v>
      </c>
      <c r="L1039" s="789" t="s">
        <v>10241</v>
      </c>
      <c r="M1039" s="790" t="s">
        <v>11060</v>
      </c>
      <c r="O1039" s="790" t="s">
        <v>11058</v>
      </c>
      <c r="P1039" s="790" t="s">
        <v>10244</v>
      </c>
    </row>
    <row r="1040" spans="2:17">
      <c r="B1040" s="5" t="s">
        <v>11065</v>
      </c>
      <c r="C1040" s="1040"/>
      <c r="D1040" s="7">
        <f>Page7!I61</f>
        <v>2340799</v>
      </c>
      <c r="E1040" s="15">
        <f>Page7!I61</f>
        <v>2340799</v>
      </c>
      <c r="F1040" t="str">
        <f t="shared" si="69"/>
        <v>00-00-220VEH-TOTLRECV-CURR</v>
      </c>
      <c r="G1040" t="s">
        <v>127</v>
      </c>
      <c r="H1040" t="s">
        <v>95</v>
      </c>
      <c r="I1040" t="s">
        <v>10253</v>
      </c>
      <c r="K1040" s="1073" t="s">
        <v>10241</v>
      </c>
      <c r="L1040" s="789" t="s">
        <v>10241</v>
      </c>
      <c r="M1040" s="790" t="s">
        <v>11066</v>
      </c>
      <c r="O1040" s="790" t="s">
        <v>11050</v>
      </c>
      <c r="P1040" s="790" t="s">
        <v>10244</v>
      </c>
    </row>
    <row r="1041" spans="2:16">
      <c r="B1041" s="5" t="s">
        <v>11067</v>
      </c>
      <c r="C1041" s="1040"/>
      <c r="D1041" s="7">
        <f>Page7!J61</f>
        <v>2340799</v>
      </c>
      <c r="E1041" s="15">
        <f>Page7!J61</f>
        <v>2340799</v>
      </c>
      <c r="F1041" t="str">
        <f t="shared" si="69"/>
        <v>00-00-220VEH-NOTDUE-CURR</v>
      </c>
      <c r="G1041" t="s">
        <v>127</v>
      </c>
      <c r="H1041" t="s">
        <v>95</v>
      </c>
      <c r="I1041" t="s">
        <v>10253</v>
      </c>
      <c r="K1041" s="1073" t="s">
        <v>10241</v>
      </c>
      <c r="L1041" s="789" t="s">
        <v>10241</v>
      </c>
      <c r="M1041" s="790" t="s">
        <v>11066</v>
      </c>
      <c r="O1041" s="790" t="s">
        <v>11052</v>
      </c>
      <c r="P1041" s="790" t="s">
        <v>10244</v>
      </c>
    </row>
    <row r="1042" spans="2:16">
      <c r="B1042" s="5" t="s">
        <v>11068</v>
      </c>
      <c r="C1042" s="1040"/>
      <c r="D1042" s="7">
        <f>Page7!M61</f>
        <v>0</v>
      </c>
      <c r="E1042" s="15">
        <f>Page7!M61</f>
        <v>0</v>
      </c>
      <c r="F1042" t="str">
        <f t="shared" si="69"/>
        <v>00-00-220VEH-31-60D-CURR</v>
      </c>
      <c r="G1042" t="s">
        <v>127</v>
      </c>
      <c r="H1042" t="s">
        <v>95</v>
      </c>
      <c r="I1042" t="s">
        <v>10253</v>
      </c>
      <c r="K1042" s="1073" t="s">
        <v>10241</v>
      </c>
      <c r="L1042" s="789" t="s">
        <v>10241</v>
      </c>
      <c r="M1042" s="790" t="s">
        <v>11066</v>
      </c>
      <c r="O1042" s="790" t="s">
        <v>11054</v>
      </c>
      <c r="P1042" s="790" t="s">
        <v>10244</v>
      </c>
    </row>
    <row r="1043" spans="2:16">
      <c r="B1043" s="5" t="s">
        <v>11069</v>
      </c>
      <c r="C1043" s="1040"/>
      <c r="D1043" s="7">
        <f>Page7!N61</f>
        <v>0</v>
      </c>
      <c r="E1043" s="15">
        <f>Page7!N61</f>
        <v>0</v>
      </c>
      <c r="F1043" t="str">
        <f t="shared" si="69"/>
        <v>00-00-220VEH-61-90D-CURR</v>
      </c>
      <c r="G1043" t="s">
        <v>127</v>
      </c>
      <c r="H1043" t="s">
        <v>95</v>
      </c>
      <c r="I1043" t="s">
        <v>10253</v>
      </c>
      <c r="K1043" s="1073" t="s">
        <v>10241</v>
      </c>
      <c r="L1043" s="789" t="s">
        <v>10241</v>
      </c>
      <c r="M1043" s="790" t="s">
        <v>11066</v>
      </c>
      <c r="O1043" s="790" t="s">
        <v>11056</v>
      </c>
      <c r="P1043" s="790" t="s">
        <v>10244</v>
      </c>
    </row>
    <row r="1044" spans="2:16">
      <c r="B1044" s="5" t="s">
        <v>11070</v>
      </c>
      <c r="C1044" s="1048"/>
      <c r="D1044" s="2160">
        <f>Page7!O61</f>
        <v>0</v>
      </c>
      <c r="E1044" s="15">
        <f>Page7!O61</f>
        <v>0</v>
      </c>
      <c r="F1044" t="str">
        <f t="shared" si="69"/>
        <v>00-00-220VEH-OVER90D-CURR</v>
      </c>
      <c r="G1044" t="s">
        <v>127</v>
      </c>
      <c r="H1044" t="s">
        <v>95</v>
      </c>
      <c r="I1044" t="s">
        <v>10253</v>
      </c>
      <c r="K1044" s="1073" t="s">
        <v>10241</v>
      </c>
      <c r="L1044" s="789" t="s">
        <v>10241</v>
      </c>
      <c r="M1044" s="790" t="s">
        <v>11066</v>
      </c>
      <c r="O1044" s="790" t="s">
        <v>11058</v>
      </c>
      <c r="P1044" s="790" t="s">
        <v>10244</v>
      </c>
    </row>
    <row r="1045" spans="2:16">
      <c r="B1045" s="5" t="s">
        <v>11071</v>
      </c>
      <c r="C1045" s="1040"/>
      <c r="D1045" s="7">
        <f>Page7!I62</f>
        <v>0</v>
      </c>
      <c r="E1045" s="15">
        <f>Page7!I62</f>
        <v>0</v>
      </c>
      <c r="F1045" t="str">
        <f t="shared" si="69"/>
        <v>00-00-220L&amp;R-TOTLRECV-CURR</v>
      </c>
      <c r="G1045" t="s">
        <v>127</v>
      </c>
      <c r="H1045" t="s">
        <v>95</v>
      </c>
      <c r="I1045" t="s">
        <v>10253</v>
      </c>
      <c r="K1045" s="1073" t="s">
        <v>10241</v>
      </c>
      <c r="L1045" s="789" t="s">
        <v>10241</v>
      </c>
      <c r="M1045" s="790" t="s">
        <v>5618</v>
      </c>
      <c r="O1045" s="790" t="s">
        <v>11050</v>
      </c>
      <c r="P1045" s="790" t="s">
        <v>10244</v>
      </c>
    </row>
    <row r="1046" spans="2:16">
      <c r="B1046" s="5" t="s">
        <v>11072</v>
      </c>
      <c r="C1046" s="1040"/>
      <c r="D1046" s="7">
        <f>Page7!J62</f>
        <v>0</v>
      </c>
      <c r="E1046" s="15">
        <f>Page7!J62</f>
        <v>0</v>
      </c>
      <c r="F1046" t="str">
        <f t="shared" si="69"/>
        <v>00-00-220L&amp;R-NOTDUE-CURR</v>
      </c>
      <c r="G1046" t="s">
        <v>127</v>
      </c>
      <c r="H1046" t="s">
        <v>95</v>
      </c>
      <c r="I1046" t="s">
        <v>10253</v>
      </c>
      <c r="K1046" s="1073" t="s">
        <v>10241</v>
      </c>
      <c r="L1046" s="789" t="s">
        <v>10241</v>
      </c>
      <c r="M1046" s="790" t="s">
        <v>5618</v>
      </c>
      <c r="O1046" s="790" t="s">
        <v>11052</v>
      </c>
      <c r="P1046" s="790" t="s">
        <v>10244</v>
      </c>
    </row>
    <row r="1047" spans="2:16">
      <c r="B1047" s="5" t="s">
        <v>11073</v>
      </c>
      <c r="C1047" s="1040"/>
      <c r="D1047" s="7">
        <f>Page7!M62</f>
        <v>0</v>
      </c>
      <c r="E1047" s="15">
        <f>Page7!M62</f>
        <v>0</v>
      </c>
      <c r="F1047" t="str">
        <f t="shared" si="69"/>
        <v>00-00-220L&amp;R-31-60D-CURR</v>
      </c>
      <c r="G1047" t="s">
        <v>127</v>
      </c>
      <c r="H1047" t="s">
        <v>95</v>
      </c>
      <c r="I1047" t="s">
        <v>10253</v>
      </c>
      <c r="K1047" s="1073" t="s">
        <v>10241</v>
      </c>
      <c r="L1047" s="789" t="s">
        <v>10241</v>
      </c>
      <c r="M1047" s="790" t="s">
        <v>5618</v>
      </c>
      <c r="O1047" s="790" t="s">
        <v>11054</v>
      </c>
      <c r="P1047" s="790" t="s">
        <v>10244</v>
      </c>
    </row>
    <row r="1048" spans="2:16">
      <c r="B1048" s="5" t="s">
        <v>11074</v>
      </c>
      <c r="C1048" s="1040"/>
      <c r="D1048" s="7">
        <f>Page7!N62</f>
        <v>0</v>
      </c>
      <c r="E1048" s="15">
        <f>Page7!N62</f>
        <v>0</v>
      </c>
      <c r="F1048" t="str">
        <f t="shared" si="69"/>
        <v>00-00-220L&amp;R-61-90D-CURR</v>
      </c>
      <c r="G1048" t="s">
        <v>127</v>
      </c>
      <c r="H1048" t="s">
        <v>95</v>
      </c>
      <c r="I1048" t="s">
        <v>10253</v>
      </c>
      <c r="K1048" s="1073" t="s">
        <v>10241</v>
      </c>
      <c r="L1048" s="789" t="s">
        <v>10241</v>
      </c>
      <c r="M1048" s="790" t="s">
        <v>5618</v>
      </c>
      <c r="O1048" s="790" t="s">
        <v>11056</v>
      </c>
      <c r="P1048" s="790" t="s">
        <v>10244</v>
      </c>
    </row>
    <row r="1049" spans="2:16">
      <c r="B1049" s="5" t="s">
        <v>11075</v>
      </c>
      <c r="C1049" s="1040"/>
      <c r="D1049" s="7">
        <f>Page7!O62</f>
        <v>0</v>
      </c>
      <c r="E1049" s="15">
        <f>Page7!O62</f>
        <v>0</v>
      </c>
      <c r="F1049" t="str">
        <f t="shared" si="69"/>
        <v>00-00-220L&amp;R-OVER90D-CURR</v>
      </c>
      <c r="G1049" t="s">
        <v>127</v>
      </c>
      <c r="H1049" t="s">
        <v>95</v>
      </c>
      <c r="I1049" t="s">
        <v>10253</v>
      </c>
      <c r="K1049" s="1073" t="s">
        <v>10241</v>
      </c>
      <c r="L1049" s="789" t="s">
        <v>10241</v>
      </c>
      <c r="M1049" s="790" t="s">
        <v>5618</v>
      </c>
      <c r="O1049" s="790" t="s">
        <v>11058</v>
      </c>
      <c r="P1049" s="790" t="s">
        <v>10244</v>
      </c>
    </row>
    <row r="1050" spans="2:16">
      <c r="B1050" s="5" t="s">
        <v>11076</v>
      </c>
      <c r="C1050" s="1040"/>
      <c r="D1050" s="7">
        <f>Page7!I63</f>
        <v>282350</v>
      </c>
      <c r="E1050" s="15">
        <f>Page7!I63</f>
        <v>282350</v>
      </c>
      <c r="F1050" t="str">
        <f t="shared" si="69"/>
        <v>00-00-220SVCPT-TOTLRECV-CURR</v>
      </c>
      <c r="G1050" t="s">
        <v>127</v>
      </c>
      <c r="H1050" t="s">
        <v>95</v>
      </c>
      <c r="I1050" t="s">
        <v>10253</v>
      </c>
      <c r="K1050" s="1073" t="s">
        <v>10241</v>
      </c>
      <c r="L1050" s="789" t="s">
        <v>10241</v>
      </c>
      <c r="M1050" s="790" t="s">
        <v>11077</v>
      </c>
      <c r="O1050" s="790" t="s">
        <v>11050</v>
      </c>
      <c r="P1050" s="790" t="s">
        <v>10244</v>
      </c>
    </row>
    <row r="1051" spans="2:16">
      <c r="B1051" s="5" t="s">
        <v>11078</v>
      </c>
      <c r="C1051" s="1040"/>
      <c r="D1051" s="7">
        <f>Page7!J63</f>
        <v>282350</v>
      </c>
      <c r="E1051" s="15">
        <f>Page7!J63</f>
        <v>282350</v>
      </c>
      <c r="F1051" t="str">
        <f t="shared" si="69"/>
        <v>00-00-220SVCPT-NOTDUE-CURR</v>
      </c>
      <c r="G1051" t="s">
        <v>127</v>
      </c>
      <c r="H1051" t="s">
        <v>95</v>
      </c>
      <c r="I1051" t="s">
        <v>10253</v>
      </c>
      <c r="K1051" s="1073" t="s">
        <v>10241</v>
      </c>
      <c r="L1051" s="789" t="s">
        <v>10241</v>
      </c>
      <c r="M1051" s="790" t="s">
        <v>11077</v>
      </c>
      <c r="O1051" s="790" t="s">
        <v>11052</v>
      </c>
      <c r="P1051" s="790" t="s">
        <v>10244</v>
      </c>
    </row>
    <row r="1052" spans="2:16">
      <c r="B1052" s="5" t="s">
        <v>11079</v>
      </c>
      <c r="C1052" s="1048"/>
      <c r="D1052" s="2160">
        <f>Page7!M63</f>
        <v>0</v>
      </c>
      <c r="E1052" s="15">
        <f>Page7!M63</f>
        <v>0</v>
      </c>
      <c r="F1052" t="str">
        <f t="shared" si="69"/>
        <v>00-00-220SVCPT-31-60D-CURR</v>
      </c>
      <c r="G1052" t="s">
        <v>127</v>
      </c>
      <c r="H1052" t="s">
        <v>95</v>
      </c>
      <c r="I1052" t="s">
        <v>10253</v>
      </c>
      <c r="K1052" s="1073" t="s">
        <v>10241</v>
      </c>
      <c r="L1052" s="789" t="s">
        <v>10241</v>
      </c>
      <c r="M1052" s="790" t="s">
        <v>11077</v>
      </c>
      <c r="O1052" s="790" t="s">
        <v>11054</v>
      </c>
      <c r="P1052" s="790" t="s">
        <v>10244</v>
      </c>
    </row>
    <row r="1053" spans="2:16">
      <c r="B1053" s="5" t="s">
        <v>11080</v>
      </c>
      <c r="C1053" s="1040"/>
      <c r="D1053" s="7">
        <f>Page7!N63</f>
        <v>0</v>
      </c>
      <c r="E1053" s="15">
        <f>Page7!N63</f>
        <v>0</v>
      </c>
      <c r="F1053" t="str">
        <f t="shared" si="69"/>
        <v>00-00-220SVCPT-61-90D-CURR</v>
      </c>
      <c r="G1053" t="s">
        <v>127</v>
      </c>
      <c r="H1053" t="s">
        <v>95</v>
      </c>
      <c r="I1053" t="s">
        <v>10253</v>
      </c>
      <c r="K1053" s="1073" t="s">
        <v>10241</v>
      </c>
      <c r="L1053" s="789" t="s">
        <v>10241</v>
      </c>
      <c r="M1053" s="790" t="s">
        <v>11077</v>
      </c>
      <c r="O1053" s="790" t="s">
        <v>11056</v>
      </c>
      <c r="P1053" s="790" t="s">
        <v>10244</v>
      </c>
    </row>
    <row r="1054" spans="2:16">
      <c r="B1054" s="5" t="s">
        <v>11081</v>
      </c>
      <c r="C1054" s="1040"/>
      <c r="D1054" s="7">
        <f>Page7!O63</f>
        <v>0</v>
      </c>
      <c r="E1054" s="15">
        <f>Page7!O63</f>
        <v>0</v>
      </c>
      <c r="F1054" t="str">
        <f t="shared" si="69"/>
        <v>00-00-220SVCPT-OVER90D-CURR</v>
      </c>
      <c r="G1054" t="s">
        <v>127</v>
      </c>
      <c r="H1054" t="s">
        <v>95</v>
      </c>
      <c r="I1054" t="s">
        <v>10253</v>
      </c>
      <c r="K1054" s="1073" t="s">
        <v>10241</v>
      </c>
      <c r="L1054" s="789" t="s">
        <v>10241</v>
      </c>
      <c r="M1054" s="790" t="s">
        <v>11077</v>
      </c>
      <c r="O1054" s="790" t="s">
        <v>11058</v>
      </c>
      <c r="P1054" s="790" t="s">
        <v>10244</v>
      </c>
    </row>
    <row r="1055" spans="2:16">
      <c r="B1055" s="5" t="s">
        <v>11082</v>
      </c>
      <c r="C1055" s="1040"/>
      <c r="D1055" s="7">
        <f>Page7!I64</f>
        <v>17464</v>
      </c>
      <c r="E1055" s="15">
        <f>Page7!I64</f>
        <v>17464</v>
      </c>
      <c r="F1055" t="str">
        <f t="shared" si="69"/>
        <v>00-00-220OTH-TOTLRECV-CURR</v>
      </c>
      <c r="G1055" t="s">
        <v>127</v>
      </c>
      <c r="H1055" t="s">
        <v>95</v>
      </c>
      <c r="I1055" t="s">
        <v>10253</v>
      </c>
      <c r="K1055" s="1073" t="s">
        <v>10241</v>
      </c>
      <c r="L1055" s="789" t="s">
        <v>10241</v>
      </c>
      <c r="M1055" s="790" t="s">
        <v>11083</v>
      </c>
      <c r="O1055" s="790" t="s">
        <v>11050</v>
      </c>
      <c r="P1055" s="790" t="s">
        <v>10244</v>
      </c>
    </row>
    <row r="1056" spans="2:16">
      <c r="B1056" s="5" t="s">
        <v>11084</v>
      </c>
      <c r="C1056" s="1040"/>
      <c r="D1056" s="7">
        <f>Page7!J64</f>
        <v>17464</v>
      </c>
      <c r="E1056" s="15">
        <f>Page7!J64</f>
        <v>17464</v>
      </c>
      <c r="F1056" t="str">
        <f t="shared" si="69"/>
        <v>00-00-220OTH-NOTDUE-CURR</v>
      </c>
      <c r="G1056" t="s">
        <v>127</v>
      </c>
      <c r="H1056" t="s">
        <v>95</v>
      </c>
      <c r="I1056" t="s">
        <v>10253</v>
      </c>
      <c r="K1056" s="1073" t="s">
        <v>10241</v>
      </c>
      <c r="L1056" s="789" t="s">
        <v>10241</v>
      </c>
      <c r="M1056" s="790" t="s">
        <v>11083</v>
      </c>
      <c r="O1056" s="790" t="s">
        <v>11052</v>
      </c>
      <c r="P1056" s="790" t="s">
        <v>10244</v>
      </c>
    </row>
    <row r="1057" spans="2:17">
      <c r="B1057" s="5" t="s">
        <v>11085</v>
      </c>
      <c r="C1057" s="1040"/>
      <c r="D1057" s="7">
        <f>Page7!M64</f>
        <v>0</v>
      </c>
      <c r="E1057" s="15">
        <f>Page7!M64</f>
        <v>0</v>
      </c>
      <c r="F1057" t="str">
        <f t="shared" si="69"/>
        <v>00-00-220OTH-31-60D-CURR</v>
      </c>
      <c r="G1057" t="s">
        <v>127</v>
      </c>
      <c r="H1057" t="s">
        <v>95</v>
      </c>
      <c r="I1057" t="s">
        <v>10253</v>
      </c>
      <c r="K1057" s="1073" t="s">
        <v>10241</v>
      </c>
      <c r="L1057" s="789" t="s">
        <v>10241</v>
      </c>
      <c r="M1057" s="790" t="s">
        <v>11083</v>
      </c>
      <c r="O1057" s="790" t="s">
        <v>11054</v>
      </c>
      <c r="P1057" s="790" t="s">
        <v>10244</v>
      </c>
    </row>
    <row r="1058" spans="2:17">
      <c r="B1058" s="5" t="s">
        <v>11086</v>
      </c>
      <c r="C1058" s="1040"/>
      <c r="D1058" s="7">
        <f>Page7!N64</f>
        <v>0</v>
      </c>
      <c r="E1058" s="15">
        <f>Page7!N64</f>
        <v>0</v>
      </c>
      <c r="F1058" t="str">
        <f t="shared" si="69"/>
        <v>00-00-220OTH-61-90D-CURR</v>
      </c>
      <c r="G1058" t="s">
        <v>127</v>
      </c>
      <c r="H1058" t="s">
        <v>95</v>
      </c>
      <c r="I1058" t="s">
        <v>10253</v>
      </c>
      <c r="K1058" s="1073" t="s">
        <v>10241</v>
      </c>
      <c r="L1058" s="789" t="s">
        <v>10241</v>
      </c>
      <c r="M1058" s="790" t="s">
        <v>11083</v>
      </c>
      <c r="O1058" s="790" t="s">
        <v>11056</v>
      </c>
      <c r="P1058" s="790" t="s">
        <v>10244</v>
      </c>
    </row>
    <row r="1059" spans="2:17">
      <c r="B1059" s="5" t="s">
        <v>11087</v>
      </c>
      <c r="C1059" s="1040"/>
      <c r="D1059" s="7">
        <f>Page7!O64</f>
        <v>0</v>
      </c>
      <c r="E1059" s="15">
        <f>Page7!O64</f>
        <v>0</v>
      </c>
      <c r="F1059" t="str">
        <f t="shared" si="69"/>
        <v>00-00-220OTH-OVER90D-CURR</v>
      </c>
      <c r="G1059" t="s">
        <v>127</v>
      </c>
      <c r="H1059" t="s">
        <v>95</v>
      </c>
      <c r="I1059" t="s">
        <v>10253</v>
      </c>
      <c r="K1059" s="1073" t="s">
        <v>10241</v>
      </c>
      <c r="L1059" s="789" t="s">
        <v>10241</v>
      </c>
      <c r="M1059" s="790" t="s">
        <v>11083</v>
      </c>
      <c r="O1059" s="790" t="s">
        <v>11058</v>
      </c>
      <c r="P1059" s="790" t="s">
        <v>10244</v>
      </c>
    </row>
    <row r="1060" spans="2:17">
      <c r="B1060" s="5" t="s">
        <v>11088</v>
      </c>
      <c r="C1060" s="1042"/>
      <c r="D1060" s="2160">
        <f>Page7!I65</f>
        <v>2640613</v>
      </c>
      <c r="E1060" s="15">
        <f>Page7!I65</f>
        <v>2640613</v>
      </c>
      <c r="F1060" t="str">
        <f t="shared" si="69"/>
        <v>00-00-CUSTRECV-AMT-CURR</v>
      </c>
      <c r="G1060" t="s">
        <v>127</v>
      </c>
      <c r="H1060" t="s">
        <v>95</v>
      </c>
      <c r="I1060" t="s">
        <v>10253</v>
      </c>
      <c r="J1060" t="s">
        <v>10268</v>
      </c>
      <c r="K1060" s="1073" t="s">
        <v>10241</v>
      </c>
      <c r="L1060" s="789" t="s">
        <v>10241</v>
      </c>
      <c r="M1060" s="790" t="s">
        <v>11089</v>
      </c>
      <c r="O1060" s="790" t="s">
        <v>10263</v>
      </c>
      <c r="P1060" s="790" t="s">
        <v>10244</v>
      </c>
      <c r="Q1060" s="791" t="s">
        <v>773</v>
      </c>
    </row>
    <row r="1061" spans="2:17">
      <c r="B1061" s="5" t="s">
        <v>11090</v>
      </c>
      <c r="C1061" s="1042"/>
      <c r="D1061" s="7">
        <f>Page7!J65</f>
        <v>2640613</v>
      </c>
      <c r="E1061" s="15">
        <f>Page7!J65</f>
        <v>2640613</v>
      </c>
      <c r="F1061" t="str">
        <f t="shared" si="69"/>
        <v>00-00-CUSTRECV-NOTDUE-CURR</v>
      </c>
      <c r="G1061" t="s">
        <v>127</v>
      </c>
      <c r="H1061" t="s">
        <v>95</v>
      </c>
      <c r="I1061" t="s">
        <v>10253</v>
      </c>
      <c r="J1061" t="s">
        <v>10268</v>
      </c>
      <c r="K1061" s="1073" t="s">
        <v>10241</v>
      </c>
      <c r="L1061" s="789" t="s">
        <v>10241</v>
      </c>
      <c r="M1061" s="790" t="s">
        <v>11089</v>
      </c>
      <c r="O1061" s="790" t="s">
        <v>11052</v>
      </c>
      <c r="P1061" s="790" t="s">
        <v>10244</v>
      </c>
      <c r="Q1061" s="791" t="s">
        <v>773</v>
      </c>
    </row>
    <row r="1062" spans="2:17">
      <c r="B1062" s="5" t="s">
        <v>11091</v>
      </c>
      <c r="C1062" s="1042"/>
      <c r="D1062" s="7">
        <f>Page7!M65</f>
        <v>0</v>
      </c>
      <c r="E1062" s="15">
        <f>Page7!M65</f>
        <v>0</v>
      </c>
      <c r="F1062" t="str">
        <f t="shared" si="69"/>
        <v>00-00-CUSTRECV-31-60D-CURR</v>
      </c>
      <c r="G1062" t="s">
        <v>127</v>
      </c>
      <c r="H1062" t="s">
        <v>95</v>
      </c>
      <c r="I1062" t="s">
        <v>10253</v>
      </c>
      <c r="J1062" t="s">
        <v>10268</v>
      </c>
      <c r="K1062" s="1073" t="s">
        <v>10241</v>
      </c>
      <c r="L1062" s="789" t="s">
        <v>10241</v>
      </c>
      <c r="M1062" s="790" t="s">
        <v>11089</v>
      </c>
      <c r="O1062" s="790" t="s">
        <v>11054</v>
      </c>
      <c r="P1062" s="790" t="s">
        <v>10244</v>
      </c>
      <c r="Q1062" s="791" t="s">
        <v>773</v>
      </c>
    </row>
    <row r="1063" spans="2:17">
      <c r="B1063" s="5" t="s">
        <v>11092</v>
      </c>
      <c r="C1063" s="1042"/>
      <c r="D1063" s="7">
        <f>Page7!N65</f>
        <v>0</v>
      </c>
      <c r="E1063" s="15">
        <f>Page7!N65</f>
        <v>0</v>
      </c>
      <c r="F1063" t="str">
        <f t="shared" si="69"/>
        <v>00-00-CUSTRECV-61-90D-CURR</v>
      </c>
      <c r="G1063" t="s">
        <v>127</v>
      </c>
      <c r="H1063" t="s">
        <v>95</v>
      </c>
      <c r="I1063" t="s">
        <v>10253</v>
      </c>
      <c r="J1063" t="s">
        <v>10268</v>
      </c>
      <c r="K1063" s="1073" t="s">
        <v>10241</v>
      </c>
      <c r="L1063" s="789" t="s">
        <v>10241</v>
      </c>
      <c r="M1063" s="790" t="s">
        <v>11089</v>
      </c>
      <c r="O1063" s="790" t="s">
        <v>11056</v>
      </c>
      <c r="P1063" s="790" t="s">
        <v>10244</v>
      </c>
      <c r="Q1063" s="791" t="s">
        <v>773</v>
      </c>
    </row>
    <row r="1064" spans="2:17">
      <c r="B1064" s="5" t="s">
        <v>11093</v>
      </c>
      <c r="C1064" s="1042"/>
      <c r="D1064" s="7">
        <f>Page7!O65</f>
        <v>0</v>
      </c>
      <c r="E1064" s="15">
        <f>Page7!O65</f>
        <v>0</v>
      </c>
      <c r="F1064" t="str">
        <f t="shared" si="69"/>
        <v>00-00-CUSTRECV-OVER90D-CURR</v>
      </c>
      <c r="G1064" t="s">
        <v>127</v>
      </c>
      <c r="H1064" t="s">
        <v>95</v>
      </c>
      <c r="I1064" t="s">
        <v>10253</v>
      </c>
      <c r="J1064" t="s">
        <v>10268</v>
      </c>
      <c r="K1064" s="1073" t="s">
        <v>10241</v>
      </c>
      <c r="L1064" s="789" t="s">
        <v>10241</v>
      </c>
      <c r="M1064" s="790" t="s">
        <v>11089</v>
      </c>
      <c r="O1064" s="790" t="s">
        <v>11058</v>
      </c>
      <c r="P1064" s="790" t="s">
        <v>10244</v>
      </c>
      <c r="Q1064" s="791" t="s">
        <v>773</v>
      </c>
    </row>
    <row r="1065" spans="2:17">
      <c r="B1065" s="5" t="s">
        <v>11094</v>
      </c>
      <c r="C1065" s="1040"/>
      <c r="D1065">
        <f>Page7!I66*-1</f>
        <v>0</v>
      </c>
      <c r="E1065" s="15">
        <f>Page7!I66*-1</f>
        <v>0</v>
      </c>
      <c r="F1065" t="str">
        <f t="shared" si="69"/>
        <v>00-00-300-DEBTBAL-CURR</v>
      </c>
      <c r="G1065" t="s">
        <v>127</v>
      </c>
      <c r="H1065" t="s">
        <v>95</v>
      </c>
      <c r="I1065" t="s">
        <v>10253</v>
      </c>
      <c r="K1065" s="1073" t="s">
        <v>10241</v>
      </c>
      <c r="L1065" s="789" t="s">
        <v>10241</v>
      </c>
      <c r="M1065" s="790" t="s">
        <v>11095</v>
      </c>
      <c r="O1065" s="790" t="s">
        <v>11096</v>
      </c>
      <c r="P1065" s="790" t="s">
        <v>10244</v>
      </c>
    </row>
    <row r="1066" spans="2:17">
      <c r="B1066" s="5" t="s">
        <v>11097</v>
      </c>
      <c r="C1066" s="1040"/>
      <c r="D1066" s="7">
        <f>Page7!I67</f>
        <v>0</v>
      </c>
      <c r="E1066" s="15">
        <f>Page7!I67</f>
        <v>0</v>
      </c>
      <c r="F1066" t="str">
        <f t="shared" si="69"/>
        <v>00-00-340-ALLOW-CURR</v>
      </c>
      <c r="G1066" t="s">
        <v>127</v>
      </c>
      <c r="H1066" t="s">
        <v>95</v>
      </c>
      <c r="I1066" t="s">
        <v>10253</v>
      </c>
      <c r="K1066" s="1073" t="s">
        <v>10241</v>
      </c>
      <c r="L1066" s="789" t="s">
        <v>10241</v>
      </c>
      <c r="M1066" s="790" t="s">
        <v>11098</v>
      </c>
      <c r="O1066" s="790" t="s">
        <v>11099</v>
      </c>
      <c r="P1066" s="790" t="s">
        <v>10244</v>
      </c>
    </row>
    <row r="1067" spans="2:17">
      <c r="B1067" s="5" t="s">
        <v>11100</v>
      </c>
      <c r="C1067" s="1049" t="s">
        <v>11101</v>
      </c>
      <c r="D1067" s="2160">
        <f>Page7!I68</f>
        <v>2640613</v>
      </c>
      <c r="E1067" s="15">
        <f>Page7!I68</f>
        <v>2640613</v>
      </c>
      <c r="F1067" t="str">
        <f t="shared" si="69"/>
        <v>00-00-CUSTRECV-NET-CURR</v>
      </c>
      <c r="G1067" t="s">
        <v>127</v>
      </c>
      <c r="H1067" t="s">
        <v>95</v>
      </c>
      <c r="I1067" t="s">
        <v>10253</v>
      </c>
      <c r="J1067" t="s">
        <v>10268</v>
      </c>
      <c r="K1067" s="1073" t="s">
        <v>10241</v>
      </c>
      <c r="L1067" s="789" t="s">
        <v>10241</v>
      </c>
      <c r="M1067" s="790" t="s">
        <v>11089</v>
      </c>
      <c r="O1067" s="790" t="s">
        <v>1029</v>
      </c>
      <c r="P1067" s="790" t="s">
        <v>10244</v>
      </c>
      <c r="Q1067" s="791" t="s">
        <v>773</v>
      </c>
    </row>
    <row r="1068" spans="2:17">
      <c r="B1068" s="5" t="s">
        <v>11102</v>
      </c>
      <c r="C1068" s="1040"/>
      <c r="D1068" s="7">
        <f>Page7!M68</f>
        <v>126073</v>
      </c>
      <c r="E1068" s="7">
        <f>Page7!N68</f>
        <v>306731</v>
      </c>
      <c r="F1068" t="str">
        <f t="shared" si="69"/>
        <v>00-00-CASH-SALES-CURR</v>
      </c>
      <c r="G1068" t="s">
        <v>127</v>
      </c>
      <c r="H1068" t="s">
        <v>10287</v>
      </c>
      <c r="I1068" t="s">
        <v>10253</v>
      </c>
      <c r="K1068" s="1073" t="s">
        <v>10241</v>
      </c>
      <c r="L1068" s="789" t="s">
        <v>10241</v>
      </c>
      <c r="M1068" s="790" t="s">
        <v>11103</v>
      </c>
      <c r="O1068" s="790" t="s">
        <v>9883</v>
      </c>
      <c r="P1068" s="790" t="s">
        <v>10244</v>
      </c>
    </row>
    <row r="1069" spans="2:17">
      <c r="B1069" s="5" t="s">
        <v>11104</v>
      </c>
      <c r="C1069" s="1042"/>
      <c r="D1069" s="2161">
        <f>Page7!C65</f>
        <v>5.1168062479713977E-2</v>
      </c>
      <c r="E1069" s="802">
        <f>Page7!C65</f>
        <v>5.1168062479713977E-2</v>
      </c>
      <c r="F1069" t="str">
        <f t="shared" si="69"/>
        <v>00-00-ROA-AMT-CURR</v>
      </c>
      <c r="G1069" t="s">
        <v>127</v>
      </c>
      <c r="H1069" t="s">
        <v>95</v>
      </c>
      <c r="I1069" t="s">
        <v>10240</v>
      </c>
      <c r="J1069" t="s">
        <v>10268</v>
      </c>
      <c r="K1069" s="1073" t="s">
        <v>10241</v>
      </c>
      <c r="L1069" s="789" t="s">
        <v>10241</v>
      </c>
      <c r="M1069" s="790" t="s">
        <v>11105</v>
      </c>
      <c r="O1069" s="790" t="s">
        <v>10263</v>
      </c>
      <c r="P1069" s="790" t="s">
        <v>10244</v>
      </c>
      <c r="Q1069" s="791" t="s">
        <v>773</v>
      </c>
    </row>
    <row r="1070" spans="2:17">
      <c r="B1070" s="5" t="s">
        <v>11106</v>
      </c>
      <c r="C1070" s="1042"/>
      <c r="D1070">
        <f>Page7!C60</f>
        <v>0.325105949192316</v>
      </c>
      <c r="E1070" s="802">
        <f>Page7!C60</f>
        <v>0.325105949192316</v>
      </c>
      <c r="F1070" t="str">
        <f t="shared" si="69"/>
        <v>00-00-ROI-AMT-CURR</v>
      </c>
      <c r="G1070" t="s">
        <v>127</v>
      </c>
      <c r="H1070" t="s">
        <v>95</v>
      </c>
      <c r="I1070" t="s">
        <v>10240</v>
      </c>
      <c r="J1070" t="s">
        <v>10268</v>
      </c>
      <c r="K1070" s="1073" t="s">
        <v>10241</v>
      </c>
      <c r="L1070" s="789" t="s">
        <v>10241</v>
      </c>
      <c r="M1070" s="790" t="s">
        <v>911</v>
      </c>
      <c r="O1070" s="790" t="s">
        <v>10263</v>
      </c>
      <c r="P1070" s="790" t="s">
        <v>10244</v>
      </c>
      <c r="Q1070" s="791" t="s">
        <v>773</v>
      </c>
    </row>
    <row r="1071" spans="2:17">
      <c r="B1071" s="5" t="s">
        <v>11107</v>
      </c>
      <c r="C1071" s="1042"/>
      <c r="D1071" s="37">
        <f>Page7!E71</f>
        <v>0</v>
      </c>
      <c r="E1071" s="37">
        <f>Page7!J71</f>
        <v>1</v>
      </c>
      <c r="F1071" t="str">
        <f t="shared" si="69"/>
        <v>01-00-RTLCAR-UNIT-CURR</v>
      </c>
      <c r="G1071" t="s">
        <v>127</v>
      </c>
      <c r="H1071" t="s">
        <v>10287</v>
      </c>
      <c r="I1071" t="s">
        <v>10253</v>
      </c>
      <c r="J1071" t="s">
        <v>10268</v>
      </c>
      <c r="K1071" s="1073" t="s">
        <v>10288</v>
      </c>
      <c r="L1071" s="789" t="s">
        <v>10241</v>
      </c>
      <c r="M1071" s="790" t="s">
        <v>10855</v>
      </c>
      <c r="O1071" s="790" t="s">
        <v>10255</v>
      </c>
      <c r="P1071" s="790" t="s">
        <v>10244</v>
      </c>
      <c r="Q1071" s="791" t="s">
        <v>773</v>
      </c>
    </row>
    <row r="1072" spans="2:17">
      <c r="B1072" s="5" t="s">
        <v>11108</v>
      </c>
      <c r="C1072" s="1042"/>
      <c r="D1072" s="37">
        <f>Page7!E72</f>
        <v>0</v>
      </c>
      <c r="E1072" s="37">
        <f>Page7!J72</f>
        <v>0</v>
      </c>
      <c r="F1072" t="str">
        <f>TEXT(K1072,"00")&amp;"-"&amp;L1072&amp;IF(M1072="","","-"&amp;M1072)&amp;IF(N1072="","","-"&amp;N1072)&amp;IF(OR(O1072="",O1072=0),"","-"&amp;O1072)&amp;IF(P1072="","","-"&amp;P1072)</f>
        <v>01-00-RTLCARE-UNIT-CURR</v>
      </c>
      <c r="G1072" s="654" t="s">
        <v>127</v>
      </c>
      <c r="H1072" t="s">
        <v>10287</v>
      </c>
      <c r="I1072" t="s">
        <v>10253</v>
      </c>
      <c r="J1072" t="s">
        <v>10268</v>
      </c>
      <c r="K1072" s="2231" t="s">
        <v>10288</v>
      </c>
      <c r="L1072" s="789" t="s">
        <v>10241</v>
      </c>
      <c r="M1072" s="2175" t="s">
        <v>11109</v>
      </c>
      <c r="O1072" s="2175" t="s">
        <v>10255</v>
      </c>
      <c r="P1072" s="2175" t="s">
        <v>10244</v>
      </c>
      <c r="Q1072" s="2232" t="s">
        <v>773</v>
      </c>
    </row>
    <row r="1073" spans="2:17">
      <c r="B1073" s="40" t="s">
        <v>11110</v>
      </c>
      <c r="C1073" s="1042"/>
      <c r="D1073" s="37">
        <f>Page7!E73</f>
        <v>0</v>
      </c>
      <c r="E1073" s="37">
        <f>Page7!J73</f>
        <v>0</v>
      </c>
      <c r="F1073" t="str">
        <f t="shared" si="69"/>
        <v>01-00-FLTINCAR-UNIT-CURR</v>
      </c>
      <c r="G1073" t="s">
        <v>127</v>
      </c>
      <c r="H1073" t="s">
        <v>10287</v>
      </c>
      <c r="I1073" t="s">
        <v>10253</v>
      </c>
      <c r="J1073" t="s">
        <v>10268</v>
      </c>
      <c r="K1073" s="1073" t="s">
        <v>10288</v>
      </c>
      <c r="L1073" s="789" t="s">
        <v>10241</v>
      </c>
      <c r="M1073" s="790" t="s">
        <v>11111</v>
      </c>
      <c r="O1073" s="790" t="s">
        <v>10255</v>
      </c>
      <c r="P1073" s="790" t="s">
        <v>10244</v>
      </c>
      <c r="Q1073" s="791" t="s">
        <v>773</v>
      </c>
    </row>
    <row r="1074" spans="2:17">
      <c r="B1074" s="5" t="s">
        <v>11112</v>
      </c>
      <c r="C1074" s="1042"/>
      <c r="D1074" s="37">
        <f>Page7!E74</f>
        <v>0</v>
      </c>
      <c r="E1074" s="37">
        <f>Page7!J74</f>
        <v>1</v>
      </c>
      <c r="F1074" t="str">
        <f t="shared" si="69"/>
        <v>01-00-TOTALCAR-UNIT-CURR</v>
      </c>
      <c r="G1074" t="s">
        <v>127</v>
      </c>
      <c r="H1074" t="s">
        <v>10287</v>
      </c>
      <c r="I1074" t="s">
        <v>10253</v>
      </c>
      <c r="J1074" t="s">
        <v>10268</v>
      </c>
      <c r="K1074" s="1073" t="s">
        <v>10288</v>
      </c>
      <c r="L1074" s="789" t="s">
        <v>10241</v>
      </c>
      <c r="M1074" s="790" t="s">
        <v>11113</v>
      </c>
      <c r="O1074" s="790" t="s">
        <v>10255</v>
      </c>
      <c r="P1074" s="790" t="s">
        <v>10244</v>
      </c>
      <c r="Q1074" s="791" t="s">
        <v>773</v>
      </c>
    </row>
    <row r="1075" spans="2:17">
      <c r="B1075" s="40" t="s">
        <v>11114</v>
      </c>
      <c r="C1075" s="1042"/>
      <c r="D1075" s="37">
        <f>Page7!E75</f>
        <v>45</v>
      </c>
      <c r="E1075" s="37">
        <f>Page7!J75</f>
        <v>158</v>
      </c>
      <c r="F1075" t="str">
        <f t="shared" ref="F1075:F1143" si="70">TEXT(K1075,"00")&amp;"-"&amp;L1075&amp;IF(M1075="","","-"&amp;M1075)&amp;IF(N1075="","","-"&amp;N1075)&amp;IF(OR(O1075="",O1075=0),"","-"&amp;O1075)&amp;IF(P1075="","","-"&amp;P1075)</f>
        <v>01-00-RTLTRK-UNIT-CURR</v>
      </c>
      <c r="G1075" t="s">
        <v>127</v>
      </c>
      <c r="H1075" t="s">
        <v>10287</v>
      </c>
      <c r="I1075" t="s">
        <v>10253</v>
      </c>
      <c r="J1075" t="s">
        <v>10268</v>
      </c>
      <c r="K1075" s="1073" t="s">
        <v>10288</v>
      </c>
      <c r="L1075" s="789" t="s">
        <v>10241</v>
      </c>
      <c r="M1075" s="790" t="s">
        <v>10859</v>
      </c>
      <c r="O1075" s="790" t="s">
        <v>10255</v>
      </c>
      <c r="P1075" s="790" t="s">
        <v>10244</v>
      </c>
      <c r="Q1075" s="791" t="s">
        <v>773</v>
      </c>
    </row>
    <row r="1076" spans="2:17">
      <c r="B1076" s="40" t="s">
        <v>11115</v>
      </c>
      <c r="C1076" s="1042"/>
      <c r="D1076" s="37">
        <f>Page7!E76</f>
        <v>9</v>
      </c>
      <c r="E1076" s="37">
        <f>Page7!J76</f>
        <v>27</v>
      </c>
      <c r="F1076" t="str">
        <f>TEXT(K1076,"00")&amp;"-"&amp;L1076&amp;IF(M1076="","","-"&amp;M1076)&amp;IF(N1076="","","-"&amp;N1076)&amp;IF(OR(O1076="",O1076=0),"","-"&amp;O1076)&amp;IF(P1076="","","-"&amp;P1076)</f>
        <v>01-00-RTLTRKE-UNIT-CURR</v>
      </c>
      <c r="G1076" s="654" t="s">
        <v>127</v>
      </c>
      <c r="H1076" t="s">
        <v>10287</v>
      </c>
      <c r="I1076" t="s">
        <v>10253</v>
      </c>
      <c r="J1076" t="s">
        <v>10268</v>
      </c>
      <c r="K1076" s="2231" t="s">
        <v>10288</v>
      </c>
      <c r="L1076" s="789" t="s">
        <v>10241</v>
      </c>
      <c r="M1076" s="2175" t="s">
        <v>11116</v>
      </c>
      <c r="O1076" s="2175" t="s">
        <v>10255</v>
      </c>
      <c r="P1076" s="2175" t="s">
        <v>10244</v>
      </c>
      <c r="Q1076" s="2232" t="s">
        <v>773</v>
      </c>
    </row>
    <row r="1077" spans="2:17">
      <c r="B1077" s="5" t="s">
        <v>11117</v>
      </c>
      <c r="C1077" s="1042"/>
      <c r="D1077" s="37">
        <f>Page7!E77</f>
        <v>10</v>
      </c>
      <c r="E1077" s="37">
        <f>Page7!J77</f>
        <v>34</v>
      </c>
      <c r="F1077" t="str">
        <f t="shared" si="70"/>
        <v>01-00-FLTINTRK-UNIT-CURR</v>
      </c>
      <c r="G1077" t="s">
        <v>127</v>
      </c>
      <c r="H1077" t="s">
        <v>10287</v>
      </c>
      <c r="I1077" t="s">
        <v>10253</v>
      </c>
      <c r="J1077" t="s">
        <v>10268</v>
      </c>
      <c r="K1077" s="1073" t="s">
        <v>10288</v>
      </c>
      <c r="L1077" s="789" t="s">
        <v>10241</v>
      </c>
      <c r="M1077" s="790" t="s">
        <v>11118</v>
      </c>
      <c r="O1077" s="790" t="s">
        <v>10255</v>
      </c>
      <c r="P1077" s="790" t="s">
        <v>10244</v>
      </c>
      <c r="Q1077" s="791" t="s">
        <v>773</v>
      </c>
    </row>
    <row r="1078" spans="2:17">
      <c r="B1078" s="5" t="s">
        <v>11119</v>
      </c>
      <c r="C1078" s="1042"/>
      <c r="D1078" s="37">
        <f>Page7!E78</f>
        <v>64</v>
      </c>
      <c r="E1078" s="37">
        <f>Page7!J78</f>
        <v>219</v>
      </c>
      <c r="F1078" t="str">
        <f t="shared" si="70"/>
        <v>01-00-TOTALTRK-UNIT-CURR</v>
      </c>
      <c r="G1078" t="s">
        <v>127</v>
      </c>
      <c r="H1078" t="s">
        <v>10287</v>
      </c>
      <c r="I1078" t="s">
        <v>10253</v>
      </c>
      <c r="J1078" t="s">
        <v>10268</v>
      </c>
      <c r="K1078" s="1073" t="s">
        <v>10288</v>
      </c>
      <c r="L1078" s="789" t="s">
        <v>10241</v>
      </c>
      <c r="M1078" s="790" t="s">
        <v>11120</v>
      </c>
      <c r="O1078" s="790" t="s">
        <v>10255</v>
      </c>
      <c r="P1078" s="790" t="s">
        <v>10244</v>
      </c>
      <c r="Q1078" s="791" t="s">
        <v>773</v>
      </c>
    </row>
    <row r="1079" spans="2:17">
      <c r="B1079" s="5" t="s">
        <v>11121</v>
      </c>
      <c r="C1079" s="1042"/>
      <c r="D1079" s="37">
        <f>Page7!E80</f>
        <v>0</v>
      </c>
      <c r="E1079" s="37">
        <f>Page7!J80</f>
        <v>0</v>
      </c>
      <c r="F1079" t="str">
        <f t="shared" si="70"/>
        <v>01-00-ACCESSOR-UNIT-CURR</v>
      </c>
      <c r="G1079" t="s">
        <v>127</v>
      </c>
      <c r="H1079" t="s">
        <v>10287</v>
      </c>
      <c r="I1079" t="s">
        <v>10253</v>
      </c>
      <c r="K1079" s="1073" t="s">
        <v>10288</v>
      </c>
      <c r="L1079" s="789" t="s">
        <v>10241</v>
      </c>
      <c r="M1079" s="790" t="s">
        <v>11122</v>
      </c>
      <c r="O1079" s="790" t="s">
        <v>10255</v>
      </c>
      <c r="P1079" s="790" t="s">
        <v>10244</v>
      </c>
      <c r="Q1079" s="791" t="s">
        <v>773</v>
      </c>
    </row>
    <row r="1080" spans="2:17">
      <c r="B1080" s="27" t="s">
        <v>11123</v>
      </c>
      <c r="C1080" s="1042"/>
      <c r="D1080" s="37">
        <f>Page7!E81</f>
        <v>64</v>
      </c>
      <c r="E1080" s="37">
        <f>Page7!J81</f>
        <v>220</v>
      </c>
      <c r="F1080" t="str">
        <f t="shared" si="70"/>
        <v>01-00-TOTALVEH-UNIT-CURR</v>
      </c>
      <c r="G1080" t="s">
        <v>127</v>
      </c>
      <c r="H1080" t="s">
        <v>10287</v>
      </c>
      <c r="I1080" t="s">
        <v>10253</v>
      </c>
      <c r="J1080" t="s">
        <v>10268</v>
      </c>
      <c r="K1080" s="1073" t="s">
        <v>10288</v>
      </c>
      <c r="L1080" s="789" t="s">
        <v>10241</v>
      </c>
      <c r="M1080" s="790" t="s">
        <v>11124</v>
      </c>
      <c r="O1080" s="790" t="s">
        <v>10255</v>
      </c>
      <c r="P1080" s="790" t="s">
        <v>10244</v>
      </c>
      <c r="Q1080" s="791" t="s">
        <v>773</v>
      </c>
    </row>
    <row r="1081" spans="2:17">
      <c r="B1081" s="27" t="s">
        <v>11125</v>
      </c>
      <c r="C1081" s="1042"/>
      <c r="D1081" s="37">
        <f>Page7!E82</f>
        <v>54</v>
      </c>
      <c r="E1081" s="37">
        <f>Page7!J82</f>
        <v>186</v>
      </c>
      <c r="F1081" t="str">
        <f t="shared" si="70"/>
        <v>01-00-RTLVEH-UNIT-CURR</v>
      </c>
      <c r="G1081" t="s">
        <v>127</v>
      </c>
      <c r="H1081" t="s">
        <v>10287</v>
      </c>
      <c r="I1081" t="s">
        <v>10253</v>
      </c>
      <c r="J1081" t="s">
        <v>10268</v>
      </c>
      <c r="K1081" s="1073" t="s">
        <v>10288</v>
      </c>
      <c r="L1081" s="789" t="s">
        <v>10241</v>
      </c>
      <c r="M1081" s="790" t="s">
        <v>10851</v>
      </c>
      <c r="O1081" s="790" t="s">
        <v>10255</v>
      </c>
      <c r="P1081" s="790" t="s">
        <v>10244</v>
      </c>
      <c r="Q1081" s="791" t="s">
        <v>773</v>
      </c>
    </row>
    <row r="1082" spans="2:17">
      <c r="B1082" s="5" t="s">
        <v>11126</v>
      </c>
      <c r="C1082" s="1042"/>
      <c r="D1082" s="7">
        <f>Page7!F71</f>
        <v>0</v>
      </c>
      <c r="E1082" s="7">
        <f>Page7!K71</f>
        <v>33144</v>
      </c>
      <c r="F1082" t="str">
        <f t="shared" si="70"/>
        <v>01-00-RTLCAR-SALES-CURR</v>
      </c>
      <c r="G1082" t="s">
        <v>127</v>
      </c>
      <c r="H1082" t="s">
        <v>10287</v>
      </c>
      <c r="I1082" t="s">
        <v>10253</v>
      </c>
      <c r="J1082" t="s">
        <v>10268</v>
      </c>
      <c r="K1082" s="1073" t="s">
        <v>10288</v>
      </c>
      <c r="L1082" s="789" t="s">
        <v>10241</v>
      </c>
      <c r="M1082" s="790" t="s">
        <v>10855</v>
      </c>
      <c r="O1082" s="790" t="s">
        <v>9883</v>
      </c>
      <c r="P1082" s="790" t="s">
        <v>10244</v>
      </c>
      <c r="Q1082" s="791" t="s">
        <v>773</v>
      </c>
    </row>
    <row r="1083" spans="2:17">
      <c r="B1083" s="5" t="s">
        <v>11115</v>
      </c>
      <c r="C1083" s="1042"/>
      <c r="D1083" s="7">
        <f>Page7!F72</f>
        <v>0</v>
      </c>
      <c r="E1083" s="7">
        <f>Page7!K72</f>
        <v>0</v>
      </c>
      <c r="F1083" t="str">
        <f>TEXT(K1083,"00")&amp;"-"&amp;L1083&amp;IF(M1083="","","-"&amp;M1083)&amp;IF(N1083="","","-"&amp;N1083)&amp;IF(OR(O1083="",O1083=0),"","-"&amp;O1083)&amp;IF(P1083="","","-"&amp;P1083)</f>
        <v>01-00-RTLCARE-SALES-CURR</v>
      </c>
      <c r="G1083" s="654" t="s">
        <v>127</v>
      </c>
      <c r="H1083" t="s">
        <v>10287</v>
      </c>
      <c r="I1083" t="s">
        <v>10253</v>
      </c>
      <c r="J1083" t="s">
        <v>10268</v>
      </c>
      <c r="K1083" s="2231" t="s">
        <v>10288</v>
      </c>
      <c r="L1083" s="789" t="s">
        <v>10241</v>
      </c>
      <c r="M1083" s="2175" t="s">
        <v>11109</v>
      </c>
      <c r="O1083" s="2175" t="s">
        <v>9883</v>
      </c>
      <c r="P1083" s="2175" t="s">
        <v>10244</v>
      </c>
      <c r="Q1083" s="2232" t="s">
        <v>773</v>
      </c>
    </row>
    <row r="1084" spans="2:17">
      <c r="B1084" s="40" t="s">
        <v>11127</v>
      </c>
      <c r="C1084" s="1042"/>
      <c r="D1084" s="7">
        <f>Page7!F73</f>
        <v>0</v>
      </c>
      <c r="E1084" s="7">
        <f>Page7!K73</f>
        <v>0</v>
      </c>
      <c r="F1084" t="str">
        <f t="shared" si="70"/>
        <v>01-00-FLTINCAR-SALES-CURR</v>
      </c>
      <c r="G1084" t="s">
        <v>127</v>
      </c>
      <c r="H1084" t="s">
        <v>10287</v>
      </c>
      <c r="I1084" t="s">
        <v>10253</v>
      </c>
      <c r="J1084" t="s">
        <v>10268</v>
      </c>
      <c r="K1084" s="1073" t="s">
        <v>10288</v>
      </c>
      <c r="L1084" s="789" t="s">
        <v>10241</v>
      </c>
      <c r="M1084" s="790" t="s">
        <v>11111</v>
      </c>
      <c r="O1084" s="790" t="s">
        <v>9883</v>
      </c>
      <c r="P1084" s="790" t="s">
        <v>10244</v>
      </c>
      <c r="Q1084" s="791" t="s">
        <v>773</v>
      </c>
    </row>
    <row r="1085" spans="2:17">
      <c r="B1085" s="27" t="s">
        <v>11128</v>
      </c>
      <c r="C1085" s="1042"/>
      <c r="D1085" s="7">
        <f>Page7!F74</f>
        <v>0</v>
      </c>
      <c r="E1085" s="7">
        <f>Page7!K74</f>
        <v>33144</v>
      </c>
      <c r="F1085" t="str">
        <f t="shared" si="70"/>
        <v>01-00-TOTALCAR-SALES-CURR</v>
      </c>
      <c r="G1085" t="s">
        <v>127</v>
      </c>
      <c r="H1085" t="s">
        <v>10287</v>
      </c>
      <c r="I1085" t="s">
        <v>10253</v>
      </c>
      <c r="J1085" t="s">
        <v>10268</v>
      </c>
      <c r="K1085" s="1073" t="s">
        <v>10288</v>
      </c>
      <c r="L1085" s="789" t="s">
        <v>10241</v>
      </c>
      <c r="M1085" s="790" t="s">
        <v>11113</v>
      </c>
      <c r="O1085" s="790" t="s">
        <v>9883</v>
      </c>
      <c r="P1085" s="790" t="s">
        <v>10244</v>
      </c>
      <c r="Q1085" s="791" t="s">
        <v>773</v>
      </c>
    </row>
    <row r="1086" spans="2:17">
      <c r="B1086" s="40" t="s">
        <v>11129</v>
      </c>
      <c r="C1086" s="1042"/>
      <c r="D1086" s="7">
        <f>Page7!F75</f>
        <v>2981505</v>
      </c>
      <c r="E1086" s="7">
        <f>Page7!K75</f>
        <v>11789239</v>
      </c>
      <c r="F1086" t="str">
        <f t="shared" si="70"/>
        <v>01-00-RTLTRK-SALES-CURR</v>
      </c>
      <c r="G1086" t="s">
        <v>127</v>
      </c>
      <c r="H1086" t="s">
        <v>10287</v>
      </c>
      <c r="I1086" t="s">
        <v>10253</v>
      </c>
      <c r="J1086" t="s">
        <v>10268</v>
      </c>
      <c r="K1086" s="1073" t="s">
        <v>10288</v>
      </c>
      <c r="L1086" s="789" t="s">
        <v>10241</v>
      </c>
      <c r="M1086" s="790" t="s">
        <v>10859</v>
      </c>
      <c r="O1086" s="790" t="s">
        <v>9883</v>
      </c>
      <c r="P1086" s="790" t="s">
        <v>10244</v>
      </c>
      <c r="Q1086" s="791" t="s">
        <v>773</v>
      </c>
    </row>
    <row r="1087" spans="2:17">
      <c r="B1087" s="40" t="s">
        <v>11130</v>
      </c>
      <c r="C1087" s="1042"/>
      <c r="D1087" s="7">
        <f>Page7!F76</f>
        <v>835814</v>
      </c>
      <c r="E1087" s="7">
        <f>Page7!K76</f>
        <v>2457456</v>
      </c>
      <c r="F1087" t="str">
        <f>TEXT(K1087,"00")&amp;"-"&amp;L1087&amp;IF(M1087="","","-"&amp;M1087)&amp;IF(N1087="","","-"&amp;N1087)&amp;IF(OR(O1087="",O1087=0),"","-"&amp;O1087)&amp;IF(P1087="","","-"&amp;P1087)</f>
        <v>01-00-RTLTRKE-SALES-CURR</v>
      </c>
      <c r="G1087" s="654" t="s">
        <v>127</v>
      </c>
      <c r="H1087" t="s">
        <v>10287</v>
      </c>
      <c r="I1087" t="s">
        <v>10253</v>
      </c>
      <c r="J1087" t="s">
        <v>10268</v>
      </c>
      <c r="K1087" s="2231" t="s">
        <v>10288</v>
      </c>
      <c r="L1087" s="789" t="s">
        <v>10241</v>
      </c>
      <c r="M1087" s="2175" t="s">
        <v>11116</v>
      </c>
      <c r="O1087" s="2175" t="s">
        <v>9883</v>
      </c>
      <c r="P1087" s="2175" t="s">
        <v>10244</v>
      </c>
      <c r="Q1087" s="2232" t="s">
        <v>773</v>
      </c>
    </row>
    <row r="1088" spans="2:17">
      <c r="B1088" s="5" t="s">
        <v>11131</v>
      </c>
      <c r="C1088" s="1042"/>
      <c r="D1088" s="7">
        <f>Page7!F77</f>
        <v>619285</v>
      </c>
      <c r="E1088" s="7">
        <f>Page7!K77</f>
        <v>2326463</v>
      </c>
      <c r="F1088" t="str">
        <f t="shared" si="70"/>
        <v>01-00-FLTINTRK-SALES-CURR</v>
      </c>
      <c r="G1088" t="s">
        <v>127</v>
      </c>
      <c r="H1088" t="s">
        <v>10287</v>
      </c>
      <c r="I1088" t="s">
        <v>10253</v>
      </c>
      <c r="J1088" t="s">
        <v>10268</v>
      </c>
      <c r="K1088" s="1073" t="s">
        <v>10288</v>
      </c>
      <c r="L1088" s="789" t="s">
        <v>10241</v>
      </c>
      <c r="M1088" s="790" t="s">
        <v>11118</v>
      </c>
      <c r="O1088" s="790" t="s">
        <v>9883</v>
      </c>
      <c r="P1088" s="790" t="s">
        <v>10244</v>
      </c>
      <c r="Q1088" s="791" t="s">
        <v>773</v>
      </c>
    </row>
    <row r="1089" spans="2:17">
      <c r="B1089" s="27" t="s">
        <v>11132</v>
      </c>
      <c r="C1089" s="1042"/>
      <c r="D1089" s="7">
        <f>Page7!F78</f>
        <v>4436604</v>
      </c>
      <c r="E1089" s="7">
        <f>Page7!K78</f>
        <v>16573158</v>
      </c>
      <c r="F1089" t="str">
        <f t="shared" si="70"/>
        <v>01-00-TOTALTRK-SALES-CURR</v>
      </c>
      <c r="G1089" t="s">
        <v>127</v>
      </c>
      <c r="H1089" t="s">
        <v>10287</v>
      </c>
      <c r="I1089" t="s">
        <v>10253</v>
      </c>
      <c r="J1089" t="s">
        <v>10268</v>
      </c>
      <c r="K1089" s="1073" t="s">
        <v>10288</v>
      </c>
      <c r="L1089" s="789" t="s">
        <v>10241</v>
      </c>
      <c r="M1089" s="790" t="s">
        <v>11120</v>
      </c>
      <c r="O1089" s="790" t="s">
        <v>9883</v>
      </c>
      <c r="P1089" s="790" t="s">
        <v>10244</v>
      </c>
      <c r="Q1089" s="791" t="s">
        <v>773</v>
      </c>
    </row>
    <row r="1090" spans="2:17">
      <c r="B1090" s="5" t="s">
        <v>11133</v>
      </c>
      <c r="C1090" s="1042"/>
      <c r="D1090" s="7">
        <f>Page7!F79</f>
        <v>0</v>
      </c>
      <c r="E1090" s="7">
        <f>Page7!K79</f>
        <v>0</v>
      </c>
      <c r="F1090" t="str">
        <f t="shared" si="70"/>
        <v>01-00-OTHER-SALES-CURR</v>
      </c>
      <c r="G1090" t="s">
        <v>127</v>
      </c>
      <c r="H1090" t="s">
        <v>10287</v>
      </c>
      <c r="I1090" t="s">
        <v>10253</v>
      </c>
      <c r="J1090" t="s">
        <v>10268</v>
      </c>
      <c r="K1090" s="1073" t="s">
        <v>10288</v>
      </c>
      <c r="L1090" s="789" t="s">
        <v>10241</v>
      </c>
      <c r="M1090" s="790" t="s">
        <v>4430</v>
      </c>
      <c r="O1090" s="790" t="s">
        <v>9883</v>
      </c>
      <c r="P1090" s="790" t="s">
        <v>10244</v>
      </c>
      <c r="Q1090" s="791" t="s">
        <v>773</v>
      </c>
    </row>
    <row r="1091" spans="2:17">
      <c r="B1091" s="5" t="s">
        <v>11134</v>
      </c>
      <c r="C1091" s="1042"/>
      <c r="D1091" s="7">
        <f>Page7!F80</f>
        <v>0</v>
      </c>
      <c r="E1091" s="7">
        <f>Page7!K80</f>
        <v>0</v>
      </c>
      <c r="F1091" t="str">
        <f t="shared" si="70"/>
        <v>01-00-ACCESSOR-SALES-CURR</v>
      </c>
      <c r="G1091" t="s">
        <v>127</v>
      </c>
      <c r="H1091" t="s">
        <v>10287</v>
      </c>
      <c r="I1091" t="s">
        <v>10253</v>
      </c>
      <c r="K1091" s="1073" t="s">
        <v>10288</v>
      </c>
      <c r="L1091" s="789" t="s">
        <v>10241</v>
      </c>
      <c r="M1091" s="790" t="s">
        <v>11122</v>
      </c>
      <c r="O1091" s="790" t="s">
        <v>9883</v>
      </c>
      <c r="P1091" s="790" t="s">
        <v>10244</v>
      </c>
      <c r="Q1091" s="791" t="s">
        <v>773</v>
      </c>
    </row>
    <row r="1092" spans="2:17">
      <c r="B1092" s="27" t="s">
        <v>11135</v>
      </c>
      <c r="C1092" s="1042"/>
      <c r="D1092" s="7">
        <f>Page7!F81</f>
        <v>4436604</v>
      </c>
      <c r="E1092" s="7">
        <f>Page7!K81</f>
        <v>16606302</v>
      </c>
      <c r="F1092" t="str">
        <f t="shared" si="70"/>
        <v>01-00-TOTALVEH-SALES-CURR</v>
      </c>
      <c r="G1092" t="s">
        <v>127</v>
      </c>
      <c r="H1092" t="s">
        <v>10287</v>
      </c>
      <c r="I1092" t="s">
        <v>10253</v>
      </c>
      <c r="J1092" t="s">
        <v>10268</v>
      </c>
      <c r="K1092" s="1073" t="s">
        <v>10288</v>
      </c>
      <c r="L1092" s="789" t="s">
        <v>10241</v>
      </c>
      <c r="M1092" s="790" t="s">
        <v>11124</v>
      </c>
      <c r="O1092" s="790" t="s">
        <v>9883</v>
      </c>
      <c r="P1092" s="790" t="s">
        <v>10244</v>
      </c>
      <c r="Q1092" s="791" t="s">
        <v>773</v>
      </c>
    </row>
    <row r="1093" spans="2:17">
      <c r="B1093" s="27" t="s">
        <v>11136</v>
      </c>
      <c r="C1093" s="1042"/>
      <c r="D1093" s="7">
        <f>Page7!F82</f>
        <v>3817319</v>
      </c>
      <c r="E1093" s="7">
        <f>Page7!K82</f>
        <v>14279839</v>
      </c>
      <c r="F1093" t="str">
        <f t="shared" si="70"/>
        <v>01-00-RTLVEH-SALES-CURR</v>
      </c>
      <c r="G1093" t="s">
        <v>127</v>
      </c>
      <c r="H1093" t="s">
        <v>10287</v>
      </c>
      <c r="I1093" t="s">
        <v>10253</v>
      </c>
      <c r="J1093" t="s">
        <v>10268</v>
      </c>
      <c r="K1093" s="1073" t="s">
        <v>10288</v>
      </c>
      <c r="L1093" s="789" t="s">
        <v>10241</v>
      </c>
      <c r="M1093" s="790" t="s">
        <v>10851</v>
      </c>
      <c r="O1093" s="790" t="s">
        <v>9883</v>
      </c>
      <c r="P1093" s="790" t="s">
        <v>10244</v>
      </c>
      <c r="Q1093" s="791" t="s">
        <v>773</v>
      </c>
    </row>
    <row r="1094" spans="2:17">
      <c r="B1094" s="5" t="s">
        <v>11137</v>
      </c>
      <c r="C1094" s="1042"/>
      <c r="D1094" s="7">
        <f>Page7!H71</f>
        <v>0</v>
      </c>
      <c r="E1094" s="7">
        <f>Page7!M71</f>
        <v>-1856</v>
      </c>
      <c r="F1094" t="str">
        <f t="shared" si="70"/>
        <v>01-00-RTLCAR-GRSPFT-CURR</v>
      </c>
      <c r="G1094" t="s">
        <v>127</v>
      </c>
      <c r="H1094" t="s">
        <v>10287</v>
      </c>
      <c r="I1094" t="s">
        <v>10253</v>
      </c>
      <c r="J1094" t="s">
        <v>10268</v>
      </c>
      <c r="K1094" s="1073" t="s">
        <v>10288</v>
      </c>
      <c r="L1094" s="789" t="s">
        <v>10241</v>
      </c>
      <c r="M1094" s="790" t="s">
        <v>10855</v>
      </c>
      <c r="O1094" s="790" t="s">
        <v>10467</v>
      </c>
      <c r="P1094" s="790" t="s">
        <v>10244</v>
      </c>
      <c r="Q1094" s="791" t="s">
        <v>773</v>
      </c>
    </row>
    <row r="1095" spans="2:17">
      <c r="B1095" s="5" t="s">
        <v>11138</v>
      </c>
      <c r="C1095" s="1042"/>
      <c r="D1095" s="7">
        <f>Page7!H72</f>
        <v>0</v>
      </c>
      <c r="E1095" s="7">
        <f>Page7!M72</f>
        <v>0</v>
      </c>
      <c r="F1095" t="str">
        <f>TEXT(K1095,"00")&amp;"-"&amp;L1095&amp;IF(M1095="","","-"&amp;M1095)&amp;IF(N1095="","","-"&amp;N1095)&amp;IF(OR(O1095="",O1095=0),"","-"&amp;O1095)&amp;IF(P1095="","","-"&amp;P1095)</f>
        <v>01-00-RTLCARE-GRSPFT-CURR</v>
      </c>
      <c r="G1095" s="654" t="s">
        <v>127</v>
      </c>
      <c r="H1095" t="s">
        <v>10287</v>
      </c>
      <c r="I1095" t="s">
        <v>10253</v>
      </c>
      <c r="J1095" t="s">
        <v>10268</v>
      </c>
      <c r="K1095" s="2231" t="s">
        <v>10288</v>
      </c>
      <c r="L1095" s="789" t="s">
        <v>10241</v>
      </c>
      <c r="M1095" s="2175" t="s">
        <v>11109</v>
      </c>
      <c r="O1095" s="2175" t="s">
        <v>10467</v>
      </c>
      <c r="P1095" s="2175" t="s">
        <v>10244</v>
      </c>
      <c r="Q1095" s="2232" t="s">
        <v>773</v>
      </c>
    </row>
    <row r="1096" spans="2:17">
      <c r="B1096" s="40" t="s">
        <v>11139</v>
      </c>
      <c r="C1096" s="1042"/>
      <c r="D1096" s="7">
        <f>Page7!H73</f>
        <v>0</v>
      </c>
      <c r="E1096" s="7">
        <f>Page7!M73</f>
        <v>0</v>
      </c>
      <c r="F1096" t="str">
        <f t="shared" si="70"/>
        <v>01-00-FLTINCAR-GRSPFT-CURR</v>
      </c>
      <c r="G1096" t="s">
        <v>127</v>
      </c>
      <c r="H1096" t="s">
        <v>10287</v>
      </c>
      <c r="I1096" t="s">
        <v>10253</v>
      </c>
      <c r="J1096" t="s">
        <v>10268</v>
      </c>
      <c r="K1096" s="1073" t="s">
        <v>10288</v>
      </c>
      <c r="L1096" s="789" t="s">
        <v>10241</v>
      </c>
      <c r="M1096" s="790" t="s">
        <v>11111</v>
      </c>
      <c r="O1096" s="790" t="s">
        <v>10467</v>
      </c>
      <c r="P1096" s="790" t="s">
        <v>10244</v>
      </c>
      <c r="Q1096" s="791" t="s">
        <v>773</v>
      </c>
    </row>
    <row r="1097" spans="2:17">
      <c r="B1097" s="5" t="s">
        <v>11140</v>
      </c>
      <c r="C1097" s="1042"/>
      <c r="D1097" s="7">
        <f>Page7!H74</f>
        <v>0</v>
      </c>
      <c r="E1097" s="7">
        <f>Page7!M74</f>
        <v>-1856</v>
      </c>
      <c r="F1097" t="str">
        <f t="shared" si="70"/>
        <v>01-00-TOTALCAR-GRSPFT-CURR</v>
      </c>
      <c r="G1097" t="s">
        <v>127</v>
      </c>
      <c r="H1097" t="s">
        <v>10287</v>
      </c>
      <c r="I1097" t="s">
        <v>10253</v>
      </c>
      <c r="J1097" t="s">
        <v>10268</v>
      </c>
      <c r="K1097" s="1073" t="s">
        <v>10288</v>
      </c>
      <c r="L1097" s="789" t="s">
        <v>10241</v>
      </c>
      <c r="M1097" s="790" t="s">
        <v>11113</v>
      </c>
      <c r="O1097" s="790" t="s">
        <v>10467</v>
      </c>
      <c r="P1097" s="790" t="s">
        <v>10244</v>
      </c>
      <c r="Q1097" s="791" t="s">
        <v>773</v>
      </c>
    </row>
    <row r="1098" spans="2:17">
      <c r="B1098" s="40" t="s">
        <v>11141</v>
      </c>
      <c r="C1098" s="1042"/>
      <c r="D1098" s="7">
        <f>Page7!H75</f>
        <v>120173</v>
      </c>
      <c r="E1098" s="7">
        <f>Page7!M75</f>
        <v>460349</v>
      </c>
      <c r="F1098" t="str">
        <f t="shared" si="70"/>
        <v>01-00-RTLTRK-GRSPFT-CURR</v>
      </c>
      <c r="G1098" t="s">
        <v>127</v>
      </c>
      <c r="H1098" t="s">
        <v>10287</v>
      </c>
      <c r="I1098" t="s">
        <v>10253</v>
      </c>
      <c r="J1098" t="s">
        <v>10268</v>
      </c>
      <c r="K1098" s="1073" t="s">
        <v>10288</v>
      </c>
      <c r="L1098" s="789" t="s">
        <v>10241</v>
      </c>
      <c r="M1098" s="790" t="s">
        <v>10859</v>
      </c>
      <c r="O1098" s="790" t="s">
        <v>10467</v>
      </c>
      <c r="P1098" s="790" t="s">
        <v>10244</v>
      </c>
      <c r="Q1098" s="791" t="s">
        <v>773</v>
      </c>
    </row>
    <row r="1099" spans="2:17">
      <c r="B1099" s="40" t="s">
        <v>11142</v>
      </c>
      <c r="C1099" s="1042"/>
      <c r="D1099" s="7">
        <f>Page7!H76</f>
        <v>32891</v>
      </c>
      <c r="E1099" s="7">
        <f>Page7!M76</f>
        <v>105370</v>
      </c>
      <c r="F1099" t="str">
        <f>TEXT(K1099,"00")&amp;"-"&amp;L1099&amp;IF(M1099="","","-"&amp;M1099)&amp;IF(N1099="","","-"&amp;N1099)&amp;IF(OR(O1099="",O1099=0),"","-"&amp;O1099)&amp;IF(P1099="","","-"&amp;P1099)</f>
        <v>01-00-RTLTRKE-GRSPFT-CURR</v>
      </c>
      <c r="G1099" s="654" t="s">
        <v>127</v>
      </c>
      <c r="H1099" t="s">
        <v>10287</v>
      </c>
      <c r="I1099" t="s">
        <v>10253</v>
      </c>
      <c r="J1099" t="s">
        <v>10268</v>
      </c>
      <c r="K1099" s="2231" t="s">
        <v>10288</v>
      </c>
      <c r="L1099" s="789" t="s">
        <v>10241</v>
      </c>
      <c r="M1099" s="2175" t="s">
        <v>11116</v>
      </c>
      <c r="O1099" s="2175" t="s">
        <v>10467</v>
      </c>
      <c r="P1099" s="2175" t="s">
        <v>10244</v>
      </c>
      <c r="Q1099" s="2232" t="s">
        <v>773</v>
      </c>
    </row>
    <row r="1100" spans="2:17">
      <c r="B1100" s="5" t="s">
        <v>11143</v>
      </c>
      <c r="C1100" s="1042"/>
      <c r="D1100" s="7">
        <f>Page7!H77</f>
        <v>8149</v>
      </c>
      <c r="E1100" s="7">
        <f>Page7!M77</f>
        <v>16153</v>
      </c>
      <c r="F1100" t="str">
        <f t="shared" si="70"/>
        <v>01-00-FLTINTRK-GRSPFT-CURR</v>
      </c>
      <c r="G1100" t="s">
        <v>127</v>
      </c>
      <c r="H1100" t="s">
        <v>10287</v>
      </c>
      <c r="I1100" t="s">
        <v>10253</v>
      </c>
      <c r="J1100" t="s">
        <v>10268</v>
      </c>
      <c r="K1100" s="1073" t="s">
        <v>10288</v>
      </c>
      <c r="L1100" s="789" t="s">
        <v>10241</v>
      </c>
      <c r="M1100" s="790" t="s">
        <v>11118</v>
      </c>
      <c r="O1100" s="790" t="s">
        <v>10467</v>
      </c>
      <c r="P1100" s="790" t="s">
        <v>10244</v>
      </c>
      <c r="Q1100" s="791" t="s">
        <v>773</v>
      </c>
    </row>
    <row r="1101" spans="2:17">
      <c r="B1101" s="5" t="s">
        <v>11144</v>
      </c>
      <c r="C1101" s="1042"/>
      <c r="D1101" s="7">
        <f>Page7!H78</f>
        <v>161213</v>
      </c>
      <c r="E1101" s="7">
        <f>Page7!M78</f>
        <v>581872</v>
      </c>
      <c r="F1101" t="str">
        <f t="shared" si="70"/>
        <v>01-00-TOTALTRK-GRSPFT-CURR</v>
      </c>
      <c r="G1101" t="s">
        <v>127</v>
      </c>
      <c r="H1101" t="s">
        <v>10287</v>
      </c>
      <c r="I1101" t="s">
        <v>10253</v>
      </c>
      <c r="J1101" t="s">
        <v>10268</v>
      </c>
      <c r="K1101" s="1073" t="s">
        <v>10288</v>
      </c>
      <c r="L1101" s="789" t="s">
        <v>10241</v>
      </c>
      <c r="M1101" s="790" t="s">
        <v>11120</v>
      </c>
      <c r="O1101" s="790" t="s">
        <v>10467</v>
      </c>
      <c r="P1101" s="790" t="s">
        <v>10244</v>
      </c>
      <c r="Q1101" s="791" t="s">
        <v>773</v>
      </c>
    </row>
    <row r="1102" spans="2:17">
      <c r="B1102" s="5" t="s">
        <v>11145</v>
      </c>
      <c r="C1102" s="1042"/>
      <c r="D1102" s="7">
        <f>Page7!H79</f>
        <v>0</v>
      </c>
      <c r="E1102" s="7">
        <f>Page7!M79</f>
        <v>0</v>
      </c>
      <c r="F1102" t="str">
        <f t="shared" si="70"/>
        <v>01-00-OTHER-GRSPFT-CURR</v>
      </c>
      <c r="G1102" t="s">
        <v>127</v>
      </c>
      <c r="H1102" t="s">
        <v>10287</v>
      </c>
      <c r="I1102" t="s">
        <v>10253</v>
      </c>
      <c r="J1102" t="s">
        <v>10268</v>
      </c>
      <c r="K1102" s="1073" t="s">
        <v>10288</v>
      </c>
      <c r="L1102" s="789" t="s">
        <v>10241</v>
      </c>
      <c r="M1102" s="790" t="s">
        <v>4430</v>
      </c>
      <c r="O1102" s="790" t="s">
        <v>10467</v>
      </c>
      <c r="P1102" s="790" t="s">
        <v>10244</v>
      </c>
      <c r="Q1102" s="791" t="s">
        <v>773</v>
      </c>
    </row>
    <row r="1103" spans="2:17">
      <c r="B1103" s="5" t="s">
        <v>11146</v>
      </c>
      <c r="C1103" s="1042"/>
      <c r="D1103" s="7">
        <f>Page7!H80</f>
        <v>0</v>
      </c>
      <c r="E1103" s="7">
        <f>Page7!M80</f>
        <v>0</v>
      </c>
      <c r="F1103" t="str">
        <f t="shared" si="70"/>
        <v>01-00-ACCESSOR-GRSPFT-CURR</v>
      </c>
      <c r="G1103" t="s">
        <v>127</v>
      </c>
      <c r="H1103" t="s">
        <v>10287</v>
      </c>
      <c r="I1103" t="s">
        <v>10253</v>
      </c>
      <c r="K1103" s="1073" t="s">
        <v>10288</v>
      </c>
      <c r="L1103" s="789" t="s">
        <v>10241</v>
      </c>
      <c r="M1103" s="790" t="s">
        <v>11122</v>
      </c>
      <c r="O1103" s="790" t="s">
        <v>10467</v>
      </c>
      <c r="P1103" s="790" t="s">
        <v>10244</v>
      </c>
      <c r="Q1103" s="791" t="s">
        <v>773</v>
      </c>
    </row>
    <row r="1104" spans="2:17">
      <c r="B1104" s="27" t="s">
        <v>11147</v>
      </c>
      <c r="C1104" s="1042"/>
      <c r="D1104" s="7">
        <f>Page7!H81</f>
        <v>161213</v>
      </c>
      <c r="E1104" s="7">
        <f>Page7!M81</f>
        <v>580016</v>
      </c>
      <c r="F1104" t="str">
        <f t="shared" si="70"/>
        <v>01-00-TOTALVEH-GRSPFT-CURR</v>
      </c>
      <c r="G1104" t="s">
        <v>127</v>
      </c>
      <c r="H1104" t="s">
        <v>10287</v>
      </c>
      <c r="I1104" t="s">
        <v>10253</v>
      </c>
      <c r="J1104" t="s">
        <v>10268</v>
      </c>
      <c r="K1104" s="1073" t="s">
        <v>10288</v>
      </c>
      <c r="L1104" s="789" t="s">
        <v>10241</v>
      </c>
      <c r="M1104" s="790" t="s">
        <v>11124</v>
      </c>
      <c r="O1104" s="790" t="s">
        <v>10467</v>
      </c>
      <c r="P1104" s="790" t="s">
        <v>10244</v>
      </c>
      <c r="Q1104" s="791" t="s">
        <v>773</v>
      </c>
    </row>
    <row r="1105" spans="2:17">
      <c r="B1105" s="27" t="s">
        <v>11148</v>
      </c>
      <c r="C1105" s="1046"/>
      <c r="D1105" s="7">
        <f>Page7!H82</f>
        <v>153064</v>
      </c>
      <c r="E1105" s="7">
        <f>Page7!M82</f>
        <v>563863</v>
      </c>
      <c r="F1105" t="str">
        <f t="shared" si="70"/>
        <v>01-00-RTLVEH-GRSPFT-CURR</v>
      </c>
      <c r="G1105" t="s">
        <v>127</v>
      </c>
      <c r="H1105" t="s">
        <v>10287</v>
      </c>
      <c r="I1105" t="s">
        <v>10253</v>
      </c>
      <c r="J1105" t="s">
        <v>10268</v>
      </c>
      <c r="K1105" s="1073" t="s">
        <v>10288</v>
      </c>
      <c r="L1105" s="789" t="s">
        <v>10241</v>
      </c>
      <c r="M1105" s="790" t="s">
        <v>10851</v>
      </c>
      <c r="O1105" s="790" t="s">
        <v>10467</v>
      </c>
      <c r="P1105" s="790" t="s">
        <v>10244</v>
      </c>
      <c r="Q1105" s="791" t="s">
        <v>773</v>
      </c>
    </row>
    <row r="1106" spans="2:17">
      <c r="B1106" s="42" t="s">
        <v>11149</v>
      </c>
      <c r="C1106" s="811" t="s">
        <v>11150</v>
      </c>
      <c r="D1106" s="529">
        <f>Page8!H24</f>
        <v>0</v>
      </c>
      <c r="E1106" s="529">
        <f>Page8!J24</f>
        <v>0</v>
      </c>
      <c r="F1106" t="str">
        <f t="shared" si="70"/>
        <v>03-00-500DS-SALES-CURR</v>
      </c>
      <c r="G1106" t="s">
        <v>127</v>
      </c>
      <c r="H1106" t="s">
        <v>10287</v>
      </c>
      <c r="I1106" t="s">
        <v>10253</v>
      </c>
      <c r="J1106" t="s">
        <v>10268</v>
      </c>
      <c r="K1106" s="1073" t="s">
        <v>10981</v>
      </c>
      <c r="L1106" s="789" t="s">
        <v>10241</v>
      </c>
      <c r="M1106" s="790" t="s">
        <v>11150</v>
      </c>
      <c r="O1106" s="790" t="s">
        <v>9883</v>
      </c>
      <c r="P1106" s="790" t="s">
        <v>10244</v>
      </c>
      <c r="Q1106" s="791" t="s">
        <v>773</v>
      </c>
    </row>
    <row r="1107" spans="2:17">
      <c r="B1107" s="39" t="s">
        <v>11151</v>
      </c>
      <c r="C1107" s="812" t="s">
        <v>11152</v>
      </c>
      <c r="D1107" s="529">
        <f>Page8!H25</f>
        <v>0</v>
      </c>
      <c r="E1107" s="529">
        <f>Page8!J25</f>
        <v>0</v>
      </c>
      <c r="F1107" t="str">
        <f t="shared" si="70"/>
        <v>03-00-700DE-EXPNS-CURR</v>
      </c>
      <c r="G1107" t="s">
        <v>127</v>
      </c>
      <c r="H1107" t="s">
        <v>10287</v>
      </c>
      <c r="I1107" t="s">
        <v>10253</v>
      </c>
      <c r="J1107" t="s">
        <v>10268</v>
      </c>
      <c r="K1107" s="1073" t="s">
        <v>10981</v>
      </c>
      <c r="L1107" s="789" t="s">
        <v>10241</v>
      </c>
      <c r="M1107" s="790" t="s">
        <v>11152</v>
      </c>
      <c r="O1107" s="790" t="s">
        <v>11153</v>
      </c>
      <c r="P1107" s="790" t="s">
        <v>10244</v>
      </c>
      <c r="Q1107" s="791" t="s">
        <v>773</v>
      </c>
    </row>
    <row r="1108" spans="2:17">
      <c r="B1108" s="42" t="s">
        <v>11154</v>
      </c>
      <c r="C1108" s="811" t="s">
        <v>11155</v>
      </c>
      <c r="D1108" s="529">
        <f>Page8!M24</f>
        <v>0</v>
      </c>
      <c r="E1108" s="529">
        <f>Page8!N24</f>
        <v>0</v>
      </c>
      <c r="F1108" t="str">
        <f t="shared" si="70"/>
        <v>03-00-510DS-SALES-CURR</v>
      </c>
      <c r="G1108" t="s">
        <v>127</v>
      </c>
      <c r="H1108" t="s">
        <v>10287</v>
      </c>
      <c r="I1108" t="s">
        <v>10253</v>
      </c>
      <c r="J1108" t="s">
        <v>10268</v>
      </c>
      <c r="K1108" s="1073" t="s">
        <v>10981</v>
      </c>
      <c r="L1108" s="789" t="s">
        <v>10241</v>
      </c>
      <c r="M1108" s="790" t="s">
        <v>11155</v>
      </c>
      <c r="O1108" s="790" t="s">
        <v>9883</v>
      </c>
      <c r="P1108" s="790" t="s">
        <v>10244</v>
      </c>
      <c r="Q1108" s="791" t="s">
        <v>773</v>
      </c>
    </row>
    <row r="1109" spans="2:17">
      <c r="B1109" s="39" t="s">
        <v>11156</v>
      </c>
      <c r="C1109" s="754" t="s">
        <v>5440</v>
      </c>
      <c r="D1109" s="529">
        <f>Page8!M25</f>
        <v>0</v>
      </c>
      <c r="E1109" s="529">
        <f>Page8!N25</f>
        <v>0</v>
      </c>
      <c r="F1109" t="str">
        <f t="shared" si="70"/>
        <v>03-00-710DE-EXPNS-CURR</v>
      </c>
      <c r="G1109" t="s">
        <v>127</v>
      </c>
      <c r="H1109" t="s">
        <v>10287</v>
      </c>
      <c r="I1109" t="s">
        <v>10253</v>
      </c>
      <c r="J1109" t="s">
        <v>10268</v>
      </c>
      <c r="K1109" s="1073" t="s">
        <v>10981</v>
      </c>
      <c r="L1109" s="789" t="s">
        <v>10241</v>
      </c>
      <c r="M1109" s="790" t="s">
        <v>5440</v>
      </c>
      <c r="O1109" s="790" t="s">
        <v>11153</v>
      </c>
      <c r="P1109" s="790" t="s">
        <v>10244</v>
      </c>
      <c r="Q1109" s="791" t="s">
        <v>773</v>
      </c>
    </row>
    <row r="1110" spans="2:17">
      <c r="B1110" s="42" t="s">
        <v>11157</v>
      </c>
      <c r="C1110" s="754" t="s">
        <v>11158</v>
      </c>
      <c r="D1110" s="529">
        <f>Page8!O24</f>
        <v>0</v>
      </c>
      <c r="E1110" s="529">
        <f>Page8!P24</f>
        <v>0</v>
      </c>
      <c r="F1110" t="str">
        <f t="shared" si="70"/>
        <v>03-00-520DS-SALES-CURR</v>
      </c>
      <c r="G1110" t="s">
        <v>127</v>
      </c>
      <c r="H1110" t="s">
        <v>10287</v>
      </c>
      <c r="I1110" t="s">
        <v>10253</v>
      </c>
      <c r="J1110" t="s">
        <v>10268</v>
      </c>
      <c r="K1110" s="1073" t="s">
        <v>10981</v>
      </c>
      <c r="L1110" s="789" t="s">
        <v>10241</v>
      </c>
      <c r="M1110" s="790" t="s">
        <v>11158</v>
      </c>
      <c r="O1110" s="790" t="s">
        <v>9883</v>
      </c>
      <c r="P1110" s="790" t="s">
        <v>10244</v>
      </c>
      <c r="Q1110" s="791" t="s">
        <v>773</v>
      </c>
    </row>
    <row r="1111" spans="2:17">
      <c r="B1111" s="39" t="s">
        <v>11159</v>
      </c>
      <c r="C1111" s="754" t="s">
        <v>5463</v>
      </c>
      <c r="D1111" s="529">
        <f>Page8!O25</f>
        <v>0</v>
      </c>
      <c r="E1111" s="529">
        <f>Page8!P25</f>
        <v>0</v>
      </c>
      <c r="F1111" t="str">
        <f t="shared" si="70"/>
        <v>03-00-720DE-EXPNS-CURR</v>
      </c>
      <c r="G1111" t="s">
        <v>127</v>
      </c>
      <c r="H1111" t="s">
        <v>10287</v>
      </c>
      <c r="I1111" t="s">
        <v>10253</v>
      </c>
      <c r="J1111" t="s">
        <v>10268</v>
      </c>
      <c r="K1111" s="1073" t="s">
        <v>10981</v>
      </c>
      <c r="L1111" s="789" t="s">
        <v>10241</v>
      </c>
      <c r="M1111" s="790" t="s">
        <v>5463</v>
      </c>
      <c r="O1111" s="790" t="s">
        <v>11153</v>
      </c>
      <c r="P1111" s="790" t="s">
        <v>10244</v>
      </c>
      <c r="Q1111" s="791" t="s">
        <v>773</v>
      </c>
    </row>
    <row r="1112" spans="2:17">
      <c r="B1112" s="42" t="s">
        <v>11160</v>
      </c>
      <c r="C1112" s="754" t="s">
        <v>11161</v>
      </c>
      <c r="D1112" s="529">
        <f>Page8!Q24</f>
        <v>0</v>
      </c>
      <c r="E1112" s="529">
        <f>Page8!R24</f>
        <v>0</v>
      </c>
      <c r="F1112" t="str">
        <f t="shared" si="70"/>
        <v>03-00-530DS-SALES-CURR</v>
      </c>
      <c r="G1112" t="s">
        <v>127</v>
      </c>
      <c r="H1112" t="s">
        <v>10287</v>
      </c>
      <c r="I1112" t="s">
        <v>10253</v>
      </c>
      <c r="J1112" t="s">
        <v>10268</v>
      </c>
      <c r="K1112" s="1073" t="s">
        <v>10981</v>
      </c>
      <c r="L1112" s="789" t="s">
        <v>10241</v>
      </c>
      <c r="M1112" s="790" t="s">
        <v>11161</v>
      </c>
      <c r="O1112" s="790" t="s">
        <v>9883</v>
      </c>
      <c r="P1112" s="790" t="s">
        <v>10244</v>
      </c>
      <c r="Q1112" s="791" t="s">
        <v>773</v>
      </c>
    </row>
    <row r="1113" spans="2:17">
      <c r="B1113" s="39" t="s">
        <v>11162</v>
      </c>
      <c r="C1113" s="812" t="s">
        <v>5480</v>
      </c>
      <c r="D1113" s="529">
        <f>Page8!Q25</f>
        <v>0</v>
      </c>
      <c r="E1113" s="529">
        <f>Page8!R25</f>
        <v>0</v>
      </c>
      <c r="F1113" t="str">
        <f t="shared" si="70"/>
        <v>03-00-730DE-EXPNS-CURR</v>
      </c>
      <c r="G1113" t="s">
        <v>127</v>
      </c>
      <c r="H1113" t="s">
        <v>10287</v>
      </c>
      <c r="I1113" t="s">
        <v>10253</v>
      </c>
      <c r="J1113" t="s">
        <v>10268</v>
      </c>
      <c r="K1113" s="1073" t="s">
        <v>10981</v>
      </c>
      <c r="L1113" s="789" t="s">
        <v>10241</v>
      </c>
      <c r="M1113" s="790" t="s">
        <v>5480</v>
      </c>
      <c r="O1113" s="790" t="s">
        <v>11153</v>
      </c>
      <c r="P1113" s="790" t="s">
        <v>10244</v>
      </c>
      <c r="Q1113" s="791" t="s">
        <v>773</v>
      </c>
    </row>
    <row r="1114" spans="2:17">
      <c r="B1114" s="42" t="s">
        <v>11163</v>
      </c>
      <c r="C1114" s="1050"/>
      <c r="D1114" s="529">
        <f>Page8!J29</f>
        <v>0</v>
      </c>
      <c r="E1114" s="529">
        <f>Page8!J29</f>
        <v>0</v>
      </c>
      <c r="F1114" t="str">
        <f t="shared" si="70"/>
        <v>03-00-TOTAL-UNITBEGN-CURR</v>
      </c>
      <c r="G1114" t="s">
        <v>127</v>
      </c>
      <c r="H1114" t="s">
        <v>95</v>
      </c>
      <c r="I1114" t="s">
        <v>10253</v>
      </c>
      <c r="J1114" t="s">
        <v>10268</v>
      </c>
      <c r="K1114" s="1073" t="s">
        <v>10981</v>
      </c>
      <c r="L1114" s="789" t="s">
        <v>10241</v>
      </c>
      <c r="M1114" s="790" t="s">
        <v>834</v>
      </c>
      <c r="O1114" s="790" t="s">
        <v>11164</v>
      </c>
      <c r="P1114" s="790" t="s">
        <v>10244</v>
      </c>
      <c r="Q1114" s="791" t="s">
        <v>773</v>
      </c>
    </row>
    <row r="1115" spans="2:17">
      <c r="B1115" s="42" t="s">
        <v>11165</v>
      </c>
      <c r="C1115" s="1042"/>
      <c r="D1115" s="529">
        <f>Page8!H30</f>
        <v>0</v>
      </c>
      <c r="E1115" s="529">
        <f>Page8!H30</f>
        <v>0</v>
      </c>
      <c r="F1115" t="str">
        <f t="shared" si="70"/>
        <v>03-00-TOTAL-UNITADD-CURR</v>
      </c>
      <c r="G1115" t="s">
        <v>127</v>
      </c>
      <c r="H1115" t="s">
        <v>10287</v>
      </c>
      <c r="I1115" t="s">
        <v>10253</v>
      </c>
      <c r="K1115" s="1073" t="s">
        <v>10981</v>
      </c>
      <c r="L1115" s="789" t="s">
        <v>10241</v>
      </c>
      <c r="M1115" s="790" t="s">
        <v>834</v>
      </c>
      <c r="O1115" s="790" t="s">
        <v>11166</v>
      </c>
      <c r="P1115" s="790" t="s">
        <v>10244</v>
      </c>
      <c r="Q1115" s="791" t="s">
        <v>773</v>
      </c>
    </row>
    <row r="1116" spans="2:17">
      <c r="B1116" s="42" t="s">
        <v>11167</v>
      </c>
      <c r="C1116" s="1042"/>
      <c r="D1116" s="529">
        <f>Page8!H31</f>
        <v>0</v>
      </c>
      <c r="E1116" s="529">
        <f>Page8!H31</f>
        <v>0</v>
      </c>
      <c r="F1116" t="str">
        <f t="shared" si="70"/>
        <v>03-00-TOTAL-UNITRMVD-CURR</v>
      </c>
      <c r="G1116" t="s">
        <v>127</v>
      </c>
      <c r="H1116" t="s">
        <v>10287</v>
      </c>
      <c r="I1116" t="s">
        <v>10253</v>
      </c>
      <c r="K1116" s="1073" t="s">
        <v>10981</v>
      </c>
      <c r="L1116" s="789" t="s">
        <v>10241</v>
      </c>
      <c r="M1116" s="790" t="s">
        <v>834</v>
      </c>
      <c r="O1116" s="790" t="s">
        <v>11168</v>
      </c>
      <c r="P1116" s="790" t="s">
        <v>10244</v>
      </c>
      <c r="Q1116" s="791" t="s">
        <v>773</v>
      </c>
    </row>
    <row r="1117" spans="2:17">
      <c r="B1117" s="42" t="s">
        <v>11169</v>
      </c>
      <c r="C1117" s="1042"/>
      <c r="D1117" s="529">
        <f>Page8!H32</f>
        <v>0</v>
      </c>
      <c r="E1117" s="529">
        <f>Page8!H32</f>
        <v>0</v>
      </c>
      <c r="F1117" s="857" t="str">
        <f t="shared" si="70"/>
        <v>03-00-TOTAL-END&amp;EFFU-CURR</v>
      </c>
      <c r="G1117" t="s">
        <v>127</v>
      </c>
      <c r="H1117" t="s">
        <v>10287</v>
      </c>
      <c r="I1117" t="s">
        <v>10253</v>
      </c>
      <c r="J1117" t="s">
        <v>10268</v>
      </c>
      <c r="K1117" s="1073" t="s">
        <v>10981</v>
      </c>
      <c r="L1117" s="789" t="s">
        <v>10241</v>
      </c>
      <c r="M1117" s="790" t="s">
        <v>834</v>
      </c>
      <c r="O1117" s="855" t="s">
        <v>11170</v>
      </c>
      <c r="P1117" s="790" t="s">
        <v>10244</v>
      </c>
      <c r="Q1117" s="791" t="s">
        <v>773</v>
      </c>
    </row>
    <row r="1118" spans="2:17">
      <c r="B1118" s="42" t="s">
        <v>11171</v>
      </c>
      <c r="C1118" s="1042"/>
      <c r="D1118" s="529">
        <f>Page8!H33</f>
        <v>0</v>
      </c>
      <c r="E1118" s="529">
        <f>Page8!J33</f>
        <v>0</v>
      </c>
      <c r="F1118" t="str">
        <f t="shared" si="70"/>
        <v>03-00-TOTAL-UNITDISP-CURR</v>
      </c>
      <c r="G1118" t="s">
        <v>127</v>
      </c>
      <c r="H1118" t="s">
        <v>10287</v>
      </c>
      <c r="I1118" t="s">
        <v>10253</v>
      </c>
      <c r="K1118" s="1073" t="s">
        <v>10981</v>
      </c>
      <c r="L1118" s="789" t="s">
        <v>10241</v>
      </c>
      <c r="M1118" s="790" t="s">
        <v>834</v>
      </c>
      <c r="O1118" s="790" t="s">
        <v>11172</v>
      </c>
      <c r="P1118" s="790" t="s">
        <v>10244</v>
      </c>
      <c r="Q1118" s="791" t="s">
        <v>773</v>
      </c>
    </row>
    <row r="1119" spans="2:17">
      <c r="B1119" s="42" t="s">
        <v>11173</v>
      </c>
      <c r="C1119" s="1042"/>
      <c r="D1119" s="529">
        <f>Page8!H34</f>
        <v>0</v>
      </c>
      <c r="E1119" s="529">
        <f>Page8!J34</f>
        <v>0</v>
      </c>
      <c r="F1119" t="str">
        <f t="shared" si="70"/>
        <v>03-00-TOTAL-UNITRTND-CURR</v>
      </c>
      <c r="G1119" t="s">
        <v>127</v>
      </c>
      <c r="H1119" t="s">
        <v>10287</v>
      </c>
      <c r="I1119" t="s">
        <v>10253</v>
      </c>
      <c r="K1119" s="1073" t="s">
        <v>10981</v>
      </c>
      <c r="L1119" s="789" t="s">
        <v>10241</v>
      </c>
      <c r="M1119" s="790" t="s">
        <v>834</v>
      </c>
      <c r="O1119" s="790" t="s">
        <v>11174</v>
      </c>
      <c r="P1119" s="790" t="s">
        <v>10244</v>
      </c>
      <c r="Q1119" s="791" t="s">
        <v>773</v>
      </c>
    </row>
    <row r="1120" spans="2:17">
      <c r="B1120" s="42" t="s">
        <v>11175</v>
      </c>
      <c r="C1120" s="476"/>
      <c r="D1120" s="529">
        <f>Page8!N29</f>
        <v>0</v>
      </c>
      <c r="E1120" s="529">
        <f>Page8!N29</f>
        <v>0</v>
      </c>
      <c r="F1120" t="str">
        <f t="shared" si="70"/>
        <v>03-00-CLSDEND-UNITBEGN-CURR</v>
      </c>
      <c r="G1120" t="s">
        <v>127</v>
      </c>
      <c r="H1120" t="s">
        <v>95</v>
      </c>
      <c r="I1120" t="s">
        <v>10253</v>
      </c>
      <c r="K1120" s="1073" t="s">
        <v>10981</v>
      </c>
      <c r="L1120" s="789" t="s">
        <v>10241</v>
      </c>
      <c r="M1120" s="790" t="s">
        <v>11176</v>
      </c>
      <c r="O1120" s="790" t="s">
        <v>11164</v>
      </c>
      <c r="P1120" s="790" t="s">
        <v>10244</v>
      </c>
    </row>
    <row r="1121" spans="2:16">
      <c r="B1121" s="42" t="s">
        <v>11177</v>
      </c>
      <c r="C1121" s="476"/>
      <c r="D1121" s="529">
        <f>Page8!M30</f>
        <v>0</v>
      </c>
      <c r="E1121" s="529">
        <f>Page8!M30</f>
        <v>0</v>
      </c>
      <c r="F1121" t="str">
        <f t="shared" si="70"/>
        <v>03-00-CLSDEND-UNITADD-CURR</v>
      </c>
      <c r="G1121" t="s">
        <v>127</v>
      </c>
      <c r="H1121" t="s">
        <v>10287</v>
      </c>
      <c r="I1121" t="s">
        <v>10253</v>
      </c>
      <c r="K1121" s="1073" t="s">
        <v>10981</v>
      </c>
      <c r="L1121" s="789" t="s">
        <v>10241</v>
      </c>
      <c r="M1121" s="790" t="s">
        <v>11176</v>
      </c>
      <c r="O1121" s="790" t="s">
        <v>11166</v>
      </c>
      <c r="P1121" s="790" t="s">
        <v>10244</v>
      </c>
    </row>
    <row r="1122" spans="2:16">
      <c r="B1122" s="42" t="s">
        <v>11178</v>
      </c>
      <c r="C1122" s="476"/>
      <c r="D1122" s="529">
        <f>Page8!M31</f>
        <v>0</v>
      </c>
      <c r="E1122" s="529">
        <f>Page8!M31</f>
        <v>0</v>
      </c>
      <c r="F1122" t="str">
        <f t="shared" si="70"/>
        <v>03-00-CLSDEND-UNITRMVD-CURR</v>
      </c>
      <c r="G1122" t="s">
        <v>127</v>
      </c>
      <c r="H1122" t="s">
        <v>10287</v>
      </c>
      <c r="I1122" t="s">
        <v>10253</v>
      </c>
      <c r="K1122" s="1073" t="s">
        <v>10981</v>
      </c>
      <c r="L1122" s="789" t="s">
        <v>10241</v>
      </c>
      <c r="M1122" s="790" t="s">
        <v>11176</v>
      </c>
      <c r="O1122" s="790" t="s">
        <v>11168</v>
      </c>
      <c r="P1122" s="790" t="s">
        <v>10244</v>
      </c>
    </row>
    <row r="1123" spans="2:16">
      <c r="B1123" s="42" t="s">
        <v>11179</v>
      </c>
      <c r="C1123" s="476"/>
      <c r="D1123" s="529">
        <f>Page8!M32</f>
        <v>0</v>
      </c>
      <c r="E1123" s="529">
        <f>Page8!M32</f>
        <v>0</v>
      </c>
      <c r="F1123" s="857" t="str">
        <f t="shared" si="70"/>
        <v>03-00-CLSDEND-END&amp;EFFU-CURR</v>
      </c>
      <c r="G1123" t="s">
        <v>127</v>
      </c>
      <c r="H1123" t="s">
        <v>10287</v>
      </c>
      <c r="I1123" t="s">
        <v>10253</v>
      </c>
      <c r="J1123" t="s">
        <v>10268</v>
      </c>
      <c r="K1123" s="1073" t="s">
        <v>10981</v>
      </c>
      <c r="L1123" s="789" t="s">
        <v>10241</v>
      </c>
      <c r="M1123" s="790" t="s">
        <v>11176</v>
      </c>
      <c r="O1123" s="855" t="s">
        <v>11170</v>
      </c>
      <c r="P1123" s="790" t="s">
        <v>10244</v>
      </c>
    </row>
    <row r="1124" spans="2:16">
      <c r="B1124" s="42" t="s">
        <v>11180</v>
      </c>
      <c r="C1124" s="476"/>
      <c r="D1124" s="529">
        <f>Page8!M33</f>
        <v>0</v>
      </c>
      <c r="E1124" s="529">
        <f>Page8!N33</f>
        <v>0</v>
      </c>
      <c r="F1124" t="str">
        <f t="shared" si="70"/>
        <v>03-00-CLSDEND-UNITDISP-CURR</v>
      </c>
      <c r="G1124" t="s">
        <v>127</v>
      </c>
      <c r="H1124" t="s">
        <v>10287</v>
      </c>
      <c r="I1124" t="s">
        <v>10253</v>
      </c>
      <c r="K1124" s="1073" t="s">
        <v>10981</v>
      </c>
      <c r="L1124" s="789" t="s">
        <v>10241</v>
      </c>
      <c r="M1124" s="790" t="s">
        <v>11176</v>
      </c>
      <c r="O1124" s="790" t="s">
        <v>11172</v>
      </c>
      <c r="P1124" s="790" t="s">
        <v>10244</v>
      </c>
    </row>
    <row r="1125" spans="2:16">
      <c r="B1125" s="42" t="s">
        <v>11181</v>
      </c>
      <c r="C1125" s="476"/>
      <c r="D1125" s="529">
        <f>Page8!M34</f>
        <v>0</v>
      </c>
      <c r="E1125" s="529">
        <f>Page8!N34</f>
        <v>0</v>
      </c>
      <c r="F1125" t="str">
        <f t="shared" si="70"/>
        <v>03-00-CLSDEND-UNITRTND-CURR</v>
      </c>
      <c r="G1125" t="s">
        <v>127</v>
      </c>
      <c r="H1125" t="s">
        <v>10287</v>
      </c>
      <c r="I1125" t="s">
        <v>10253</v>
      </c>
      <c r="K1125" s="1073" t="s">
        <v>10981</v>
      </c>
      <c r="L1125" s="789" t="s">
        <v>10241</v>
      </c>
      <c r="M1125" s="790" t="s">
        <v>11176</v>
      </c>
      <c r="O1125" s="790" t="s">
        <v>11174</v>
      </c>
      <c r="P1125" s="790" t="s">
        <v>10244</v>
      </c>
    </row>
    <row r="1126" spans="2:16">
      <c r="B1126" s="42" t="s">
        <v>11182</v>
      </c>
      <c r="C1126" s="476"/>
      <c r="D1126" s="529">
        <f>Page8!P29</f>
        <v>0</v>
      </c>
      <c r="E1126" s="529">
        <f>Page8!P29</f>
        <v>0</v>
      </c>
      <c r="F1126" t="str">
        <f t="shared" si="70"/>
        <v>03-00-OPENEND-UNITBEGN-CURR</v>
      </c>
      <c r="G1126" t="s">
        <v>127</v>
      </c>
      <c r="H1126" t="s">
        <v>95</v>
      </c>
      <c r="I1126" t="s">
        <v>10253</v>
      </c>
      <c r="K1126" s="1073" t="s">
        <v>10981</v>
      </c>
      <c r="L1126" s="789" t="s">
        <v>10241</v>
      </c>
      <c r="M1126" s="790" t="s">
        <v>11183</v>
      </c>
      <c r="O1126" s="790" t="s">
        <v>11164</v>
      </c>
      <c r="P1126" s="790" t="s">
        <v>10244</v>
      </c>
    </row>
    <row r="1127" spans="2:16">
      <c r="B1127" s="42" t="s">
        <v>11184</v>
      </c>
      <c r="C1127" s="476"/>
      <c r="D1127" s="529">
        <f>Page8!O30</f>
        <v>0</v>
      </c>
      <c r="E1127" s="529">
        <f>Page8!O30</f>
        <v>0</v>
      </c>
      <c r="F1127" t="str">
        <f t="shared" si="70"/>
        <v>03-00-OPENEND-UNITADD-CURR</v>
      </c>
      <c r="G1127" t="s">
        <v>127</v>
      </c>
      <c r="H1127" t="s">
        <v>10287</v>
      </c>
      <c r="I1127" t="s">
        <v>10253</v>
      </c>
      <c r="K1127" s="1073" t="s">
        <v>10981</v>
      </c>
      <c r="L1127" s="789" t="s">
        <v>10241</v>
      </c>
      <c r="M1127" s="790" t="s">
        <v>11183</v>
      </c>
      <c r="O1127" s="790" t="s">
        <v>11166</v>
      </c>
      <c r="P1127" s="790" t="s">
        <v>10244</v>
      </c>
    </row>
    <row r="1128" spans="2:16">
      <c r="B1128" s="42" t="s">
        <v>11185</v>
      </c>
      <c r="C1128" s="476"/>
      <c r="D1128" s="529">
        <f>Page8!O31</f>
        <v>0</v>
      </c>
      <c r="E1128" s="529">
        <f>Page8!O31</f>
        <v>0</v>
      </c>
      <c r="F1128" t="str">
        <f t="shared" si="70"/>
        <v>03-00-OPENEND-UNITRMVD-CURR</v>
      </c>
      <c r="G1128" t="s">
        <v>127</v>
      </c>
      <c r="H1128" t="s">
        <v>10287</v>
      </c>
      <c r="I1128" t="s">
        <v>10253</v>
      </c>
      <c r="K1128" s="1073" t="s">
        <v>10981</v>
      </c>
      <c r="L1128" s="789" t="s">
        <v>10241</v>
      </c>
      <c r="M1128" s="790" t="s">
        <v>11183</v>
      </c>
      <c r="O1128" s="790" t="s">
        <v>11168</v>
      </c>
      <c r="P1128" s="790" t="s">
        <v>10244</v>
      </c>
    </row>
    <row r="1129" spans="2:16">
      <c r="B1129" s="42" t="s">
        <v>11186</v>
      </c>
      <c r="C1129" s="476"/>
      <c r="D1129" s="529">
        <f>Page8!O32</f>
        <v>0</v>
      </c>
      <c r="E1129" s="529">
        <f>Page8!O32</f>
        <v>0</v>
      </c>
      <c r="F1129" s="857" t="str">
        <f t="shared" si="70"/>
        <v>03-00-OPENEND-END&amp;EFFU-CURR</v>
      </c>
      <c r="G1129" t="s">
        <v>127</v>
      </c>
      <c r="H1129" t="s">
        <v>10287</v>
      </c>
      <c r="I1129" t="s">
        <v>10253</v>
      </c>
      <c r="J1129" t="s">
        <v>10268</v>
      </c>
      <c r="K1129" s="1073" t="s">
        <v>10981</v>
      </c>
      <c r="L1129" s="789" t="s">
        <v>10241</v>
      </c>
      <c r="M1129" s="790" t="s">
        <v>11183</v>
      </c>
      <c r="O1129" s="855" t="s">
        <v>11170</v>
      </c>
      <c r="P1129" s="790" t="s">
        <v>10244</v>
      </c>
    </row>
    <row r="1130" spans="2:16">
      <c r="B1130" s="42" t="s">
        <v>11187</v>
      </c>
      <c r="C1130" s="476"/>
      <c r="D1130" s="529">
        <f>Page8!O33</f>
        <v>0</v>
      </c>
      <c r="E1130" s="529">
        <f>Page8!P33</f>
        <v>0</v>
      </c>
      <c r="F1130" t="str">
        <f t="shared" si="70"/>
        <v>03-00-OPENEND-UNITDISP-CURR</v>
      </c>
      <c r="G1130" t="s">
        <v>127</v>
      </c>
      <c r="H1130" t="s">
        <v>10287</v>
      </c>
      <c r="I1130" t="s">
        <v>10253</v>
      </c>
      <c r="K1130" s="1073" t="s">
        <v>10981</v>
      </c>
      <c r="L1130" s="789" t="s">
        <v>10241</v>
      </c>
      <c r="M1130" s="790" t="s">
        <v>11183</v>
      </c>
      <c r="O1130" s="790" t="s">
        <v>11172</v>
      </c>
      <c r="P1130" s="790" t="s">
        <v>10244</v>
      </c>
    </row>
    <row r="1131" spans="2:16">
      <c r="B1131" s="42" t="s">
        <v>11188</v>
      </c>
      <c r="C1131" s="476"/>
      <c r="D1131" s="529">
        <f>Page8!O34</f>
        <v>0</v>
      </c>
      <c r="E1131" s="529">
        <f>Page8!P34</f>
        <v>0</v>
      </c>
      <c r="F1131" t="str">
        <f t="shared" si="70"/>
        <v>03-00-OPENEND-UNITRTND-CURR</v>
      </c>
      <c r="G1131" t="s">
        <v>127</v>
      </c>
      <c r="H1131" t="s">
        <v>10287</v>
      </c>
      <c r="I1131" t="s">
        <v>10253</v>
      </c>
      <c r="K1131" s="1073" t="s">
        <v>10981</v>
      </c>
      <c r="L1131" s="789" t="s">
        <v>10241</v>
      </c>
      <c r="M1131" s="790" t="s">
        <v>11183</v>
      </c>
      <c r="O1131" s="790" t="s">
        <v>11174</v>
      </c>
      <c r="P1131" s="790" t="s">
        <v>10244</v>
      </c>
    </row>
    <row r="1132" spans="2:16">
      <c r="B1132" s="42" t="s">
        <v>11189</v>
      </c>
      <c r="C1132" s="476"/>
      <c r="D1132" s="529">
        <f>Page8!R29</f>
        <v>0</v>
      </c>
      <c r="E1132" s="529">
        <f>Page8!R29</f>
        <v>0</v>
      </c>
      <c r="F1132" t="str">
        <f t="shared" si="70"/>
        <v>03-00-RENTAL-UNITBEGN-CURR</v>
      </c>
      <c r="G1132" t="s">
        <v>127</v>
      </c>
      <c r="H1132" t="s">
        <v>95</v>
      </c>
      <c r="I1132" t="s">
        <v>10253</v>
      </c>
      <c r="K1132" s="1073" t="s">
        <v>10981</v>
      </c>
      <c r="L1132" s="789" t="s">
        <v>10241</v>
      </c>
      <c r="M1132" s="790" t="s">
        <v>11190</v>
      </c>
      <c r="O1132" s="790" t="s">
        <v>11164</v>
      </c>
      <c r="P1132" s="790" t="s">
        <v>10244</v>
      </c>
    </row>
    <row r="1133" spans="2:16">
      <c r="B1133" s="42" t="s">
        <v>11191</v>
      </c>
      <c r="C1133" s="476"/>
      <c r="D1133" s="529">
        <f>Page8!Q30</f>
        <v>0</v>
      </c>
      <c r="E1133" s="529">
        <f>Page8!Q30</f>
        <v>0</v>
      </c>
      <c r="F1133" t="str">
        <f t="shared" si="70"/>
        <v>03-00-RENTAL-UNITADD-CURR</v>
      </c>
      <c r="G1133" t="s">
        <v>127</v>
      </c>
      <c r="H1133" t="s">
        <v>10287</v>
      </c>
      <c r="I1133" t="s">
        <v>10253</v>
      </c>
      <c r="K1133" s="1073" t="s">
        <v>10981</v>
      </c>
      <c r="L1133" s="789" t="s">
        <v>10241</v>
      </c>
      <c r="M1133" s="790" t="s">
        <v>11190</v>
      </c>
      <c r="O1133" s="790" t="s">
        <v>11166</v>
      </c>
      <c r="P1133" s="790" t="s">
        <v>10244</v>
      </c>
    </row>
    <row r="1134" spans="2:16">
      <c r="B1134" s="42" t="s">
        <v>11192</v>
      </c>
      <c r="C1134" s="476"/>
      <c r="D1134" s="529">
        <f>Page8!Q31</f>
        <v>0</v>
      </c>
      <c r="E1134" s="529">
        <f>Page8!Q31</f>
        <v>0</v>
      </c>
      <c r="F1134" t="str">
        <f t="shared" si="70"/>
        <v>03-00-RENTAL-UNITRMVD-CURR</v>
      </c>
      <c r="G1134" t="s">
        <v>127</v>
      </c>
      <c r="H1134" t="s">
        <v>10287</v>
      </c>
      <c r="I1134" t="s">
        <v>10253</v>
      </c>
      <c r="K1134" s="1073" t="s">
        <v>10981</v>
      </c>
      <c r="L1134" s="789" t="s">
        <v>10241</v>
      </c>
      <c r="M1134" s="790" t="s">
        <v>11190</v>
      </c>
      <c r="O1134" s="790" t="s">
        <v>11168</v>
      </c>
      <c r="P1134" s="790" t="s">
        <v>10244</v>
      </c>
    </row>
    <row r="1135" spans="2:16">
      <c r="B1135" s="42" t="s">
        <v>11193</v>
      </c>
      <c r="C1135" s="476"/>
      <c r="D1135" s="529">
        <f>Page8!Q32</f>
        <v>0</v>
      </c>
      <c r="E1135" s="529">
        <f>Page8!Q32</f>
        <v>0</v>
      </c>
      <c r="F1135" s="857" t="str">
        <f t="shared" si="70"/>
        <v>03-00-RENTAL-END&amp;EFFU-CURR</v>
      </c>
      <c r="G1135" t="s">
        <v>127</v>
      </c>
      <c r="H1135" t="s">
        <v>10287</v>
      </c>
      <c r="I1135" t="s">
        <v>10253</v>
      </c>
      <c r="J1135" t="s">
        <v>10268</v>
      </c>
      <c r="K1135" s="1073" t="s">
        <v>10981</v>
      </c>
      <c r="L1135" s="789" t="s">
        <v>10241</v>
      </c>
      <c r="M1135" s="790" t="s">
        <v>11190</v>
      </c>
      <c r="O1135" s="855" t="s">
        <v>11170</v>
      </c>
      <c r="P1135" s="790" t="s">
        <v>10244</v>
      </c>
    </row>
    <row r="1136" spans="2:16">
      <c r="B1136" s="42" t="s">
        <v>11194</v>
      </c>
      <c r="C1136" s="476"/>
      <c r="D1136" s="529">
        <f>Page8!Q33</f>
        <v>0</v>
      </c>
      <c r="E1136" s="529">
        <f>Page8!R33</f>
        <v>0</v>
      </c>
      <c r="F1136" t="str">
        <f t="shared" si="70"/>
        <v>03-00-RENTAL-UNITDISP-CURR</v>
      </c>
      <c r="G1136" t="s">
        <v>127</v>
      </c>
      <c r="H1136" t="s">
        <v>10287</v>
      </c>
      <c r="I1136" t="s">
        <v>10253</v>
      </c>
      <c r="K1136" s="1073" t="s">
        <v>10981</v>
      </c>
      <c r="L1136" s="789" t="s">
        <v>10241</v>
      </c>
      <c r="M1136" s="790" t="s">
        <v>11190</v>
      </c>
      <c r="O1136" s="790" t="s">
        <v>11172</v>
      </c>
      <c r="P1136" s="790" t="s">
        <v>10244</v>
      </c>
    </row>
    <row r="1137" spans="2:18">
      <c r="B1137" s="38" t="s">
        <v>11195</v>
      </c>
      <c r="C1137" s="1051" t="s">
        <v>11196</v>
      </c>
      <c r="D1137" s="529">
        <f>Page8!M38</f>
        <v>0</v>
      </c>
      <c r="E1137" s="529">
        <f>Page8!M38</f>
        <v>0</v>
      </c>
      <c r="F1137" t="str">
        <f t="shared" si="70"/>
        <v>00-00-220LR B-TOTLRECV-CURR</v>
      </c>
      <c r="G1137" t="s">
        <v>127</v>
      </c>
      <c r="H1137" t="s">
        <v>95</v>
      </c>
      <c r="I1137" t="s">
        <v>10253</v>
      </c>
      <c r="K1137" s="1073" t="s">
        <v>10241</v>
      </c>
      <c r="L1137" s="798" t="s">
        <v>10241</v>
      </c>
      <c r="M1137" s="790" t="s">
        <v>11197</v>
      </c>
      <c r="O1137" s="790" t="s">
        <v>11050</v>
      </c>
      <c r="P1137" s="790" t="s">
        <v>10244</v>
      </c>
      <c r="R1137" s="30"/>
    </row>
    <row r="1138" spans="2:18">
      <c r="B1138" s="42" t="s">
        <v>11198</v>
      </c>
      <c r="C1138" s="1051" t="s">
        <v>11199</v>
      </c>
      <c r="D1138" s="529">
        <f>Page8!M39</f>
        <v>0</v>
      </c>
      <c r="E1138" s="529">
        <f>Page8!M39</f>
        <v>0</v>
      </c>
      <c r="F1138" t="str">
        <f t="shared" si="70"/>
        <v>00-00-220LR O-TOTLRECV-CURR</v>
      </c>
      <c r="G1138" t="s">
        <v>127</v>
      </c>
      <c r="H1138" t="s">
        <v>95</v>
      </c>
      <c r="I1138" t="s">
        <v>10253</v>
      </c>
      <c r="K1138" s="1073" t="s">
        <v>10241</v>
      </c>
      <c r="L1138" s="798" t="s">
        <v>10241</v>
      </c>
      <c r="M1138" s="790" t="s">
        <v>11200</v>
      </c>
      <c r="O1138" s="790" t="s">
        <v>11050</v>
      </c>
      <c r="P1138" s="790" t="s">
        <v>10244</v>
      </c>
      <c r="R1138" s="30"/>
    </row>
    <row r="1139" spans="2:18">
      <c r="B1139" s="813" t="s">
        <v>11201</v>
      </c>
      <c r="C1139" s="1042"/>
      <c r="D1139" s="529">
        <f>Page8!M40</f>
        <v>0</v>
      </c>
      <c r="E1139" s="529">
        <f>Page8!M40</f>
        <v>0</v>
      </c>
      <c r="F1139" t="str">
        <f t="shared" si="70"/>
        <v>00-00-220LRSUB-TOTLRECV-CURR</v>
      </c>
      <c r="G1139" t="s">
        <v>127</v>
      </c>
      <c r="H1139" t="s">
        <v>95</v>
      </c>
      <c r="I1139" t="s">
        <v>10253</v>
      </c>
      <c r="J1139" t="s">
        <v>10268</v>
      </c>
      <c r="K1139" s="1073" t="s">
        <v>10241</v>
      </c>
      <c r="L1139" s="798" t="s">
        <v>10241</v>
      </c>
      <c r="M1139" s="790" t="s">
        <v>11202</v>
      </c>
      <c r="O1139" s="790" t="s">
        <v>11050</v>
      </c>
      <c r="P1139" s="790" t="s">
        <v>10244</v>
      </c>
      <c r="Q1139" s="791" t="s">
        <v>773</v>
      </c>
    </row>
    <row r="1140" spans="2:18">
      <c r="B1140" s="43" t="s">
        <v>11203</v>
      </c>
      <c r="C1140" s="1051" t="s">
        <v>11204</v>
      </c>
      <c r="D1140" s="529">
        <f>Page8!M41</f>
        <v>0</v>
      </c>
      <c r="E1140" s="529">
        <f>Page8!M41</f>
        <v>0</v>
      </c>
      <c r="F1140" t="str">
        <f t="shared" si="70"/>
        <v>00-00-340LRADA-TOTLRECV-CURR</v>
      </c>
      <c r="G1140" t="s">
        <v>127</v>
      </c>
      <c r="H1140" t="s">
        <v>95</v>
      </c>
      <c r="I1140" t="s">
        <v>10253</v>
      </c>
      <c r="K1140" s="1073" t="s">
        <v>10241</v>
      </c>
      <c r="L1140" s="798" t="s">
        <v>10241</v>
      </c>
      <c r="M1140" s="790" t="s">
        <v>11205</v>
      </c>
      <c r="O1140" s="790" t="s">
        <v>11050</v>
      </c>
      <c r="P1140" s="790" t="s">
        <v>10244</v>
      </c>
      <c r="R1140" s="30"/>
    </row>
    <row r="1141" spans="2:18">
      <c r="B1141" s="44" t="s">
        <v>11206</v>
      </c>
      <c r="C1141" s="1052" t="s">
        <v>11207</v>
      </c>
      <c r="D1141" s="529">
        <f>Page8!M42</f>
        <v>0</v>
      </c>
      <c r="E1141" s="529">
        <f>Page8!M42</f>
        <v>0</v>
      </c>
      <c r="F1141" t="str">
        <f t="shared" si="70"/>
        <v>00-00-220LRNET-TOTLRECV-CURR</v>
      </c>
      <c r="G1141" t="s">
        <v>127</v>
      </c>
      <c r="H1141" t="s">
        <v>95</v>
      </c>
      <c r="I1141" t="s">
        <v>10253</v>
      </c>
      <c r="J1141" t="s">
        <v>10268</v>
      </c>
      <c r="K1141" s="1073" t="s">
        <v>10241</v>
      </c>
      <c r="L1141" s="798" t="s">
        <v>10241</v>
      </c>
      <c r="M1141" s="790" t="s">
        <v>11208</v>
      </c>
      <c r="O1141" s="790" t="s">
        <v>11050</v>
      </c>
      <c r="P1141" s="790" t="s">
        <v>10244</v>
      </c>
      <c r="Q1141" s="791" t="s">
        <v>773</v>
      </c>
    </row>
    <row r="1142" spans="2:18">
      <c r="B1142" s="38" t="s">
        <v>11209</v>
      </c>
      <c r="C1142" s="1051" t="s">
        <v>11196</v>
      </c>
      <c r="D1142" s="529">
        <f>Page8!N38</f>
        <v>0</v>
      </c>
      <c r="E1142" s="529">
        <f>Page8!N38</f>
        <v>0</v>
      </c>
      <c r="F1142" t="str">
        <f t="shared" si="70"/>
        <v>00-00-220LR B-PREPAID-CURR</v>
      </c>
      <c r="G1142" t="s">
        <v>127</v>
      </c>
      <c r="H1142" t="s">
        <v>95</v>
      </c>
      <c r="I1142" t="s">
        <v>10253</v>
      </c>
      <c r="K1142" s="1073" t="s">
        <v>10241</v>
      </c>
      <c r="L1142" s="798" t="s">
        <v>10241</v>
      </c>
      <c r="M1142" s="790" t="s">
        <v>11197</v>
      </c>
      <c r="O1142" s="790" t="s">
        <v>11210</v>
      </c>
      <c r="P1142" s="790" t="s">
        <v>10244</v>
      </c>
      <c r="R1142" s="30"/>
    </row>
    <row r="1143" spans="2:18">
      <c r="B1143" s="42" t="s">
        <v>11211</v>
      </c>
      <c r="C1143" s="1051" t="s">
        <v>11199</v>
      </c>
      <c r="D1143" s="529">
        <f>Page8!N39</f>
        <v>0</v>
      </c>
      <c r="E1143" s="529">
        <f>Page8!N39</f>
        <v>0</v>
      </c>
      <c r="F1143" t="str">
        <f t="shared" si="70"/>
        <v>00-00-220LR O-PREPAID-CURR</v>
      </c>
      <c r="G1143" t="s">
        <v>127</v>
      </c>
      <c r="H1143" t="s">
        <v>95</v>
      </c>
      <c r="I1143" t="s">
        <v>10253</v>
      </c>
      <c r="K1143" s="1073" t="s">
        <v>10241</v>
      </c>
      <c r="L1143" s="798" t="s">
        <v>10241</v>
      </c>
      <c r="M1143" s="790" t="s">
        <v>11200</v>
      </c>
      <c r="O1143" s="790" t="s">
        <v>11210</v>
      </c>
      <c r="P1143" s="790" t="s">
        <v>10244</v>
      </c>
      <c r="R1143" s="30"/>
    </row>
    <row r="1144" spans="2:18">
      <c r="B1144" s="42" t="s">
        <v>11212</v>
      </c>
      <c r="C1144" s="1042"/>
      <c r="D1144" s="529">
        <f>Page8!N40</f>
        <v>0</v>
      </c>
      <c r="E1144" s="529">
        <f>Page8!N40</f>
        <v>0</v>
      </c>
      <c r="F1144" t="str">
        <f t="shared" ref="F1144:F1202" si="71">TEXT(K1144,"00")&amp;"-"&amp;L1144&amp;IF(M1144="","","-"&amp;M1144)&amp;IF(N1144="","","-"&amp;N1144)&amp;IF(OR(O1144="",O1144=0),"","-"&amp;O1144)&amp;IF(P1144="","","-"&amp;P1144)</f>
        <v>00-00-220LRSUB-PREPAID-CURR</v>
      </c>
      <c r="G1144" t="s">
        <v>127</v>
      </c>
      <c r="H1144" t="s">
        <v>95</v>
      </c>
      <c r="I1144" t="s">
        <v>10253</v>
      </c>
      <c r="J1144" t="s">
        <v>10268</v>
      </c>
      <c r="K1144" s="1073" t="s">
        <v>10241</v>
      </c>
      <c r="L1144" s="798" t="s">
        <v>10241</v>
      </c>
      <c r="M1144" s="790" t="s">
        <v>11202</v>
      </c>
      <c r="O1144" s="790" t="s">
        <v>11210</v>
      </c>
      <c r="P1144" s="790" t="s">
        <v>10244</v>
      </c>
      <c r="Q1144" s="791" t="s">
        <v>773</v>
      </c>
    </row>
    <row r="1145" spans="2:18">
      <c r="B1145" s="38" t="s">
        <v>11213</v>
      </c>
      <c r="C1145" s="1051" t="s">
        <v>11196</v>
      </c>
      <c r="D1145" s="529">
        <f>Page8!O38</f>
        <v>0</v>
      </c>
      <c r="E1145" s="529">
        <f>Page8!O38</f>
        <v>0</v>
      </c>
      <c r="F1145" t="str">
        <f t="shared" si="71"/>
        <v>00-00-220LR B-01-30D-CURR</v>
      </c>
      <c r="G1145" t="s">
        <v>127</v>
      </c>
      <c r="H1145" t="s">
        <v>95</v>
      </c>
      <c r="I1145" t="s">
        <v>10253</v>
      </c>
      <c r="K1145" s="1073" t="s">
        <v>10241</v>
      </c>
      <c r="L1145" s="798" t="s">
        <v>10241</v>
      </c>
      <c r="M1145" s="790" t="s">
        <v>11197</v>
      </c>
      <c r="O1145" s="799" t="s">
        <v>11214</v>
      </c>
      <c r="P1145" s="790" t="s">
        <v>10244</v>
      </c>
      <c r="R1145" s="30"/>
    </row>
    <row r="1146" spans="2:18">
      <c r="B1146" s="42" t="s">
        <v>11215</v>
      </c>
      <c r="C1146" s="1051" t="s">
        <v>11199</v>
      </c>
      <c r="D1146" s="529">
        <f>Page8!O39</f>
        <v>0</v>
      </c>
      <c r="E1146" s="529">
        <f>Page8!O39</f>
        <v>0</v>
      </c>
      <c r="F1146" t="str">
        <f t="shared" si="71"/>
        <v>00-00-220LR O-01-30D-CURR</v>
      </c>
      <c r="G1146" t="s">
        <v>127</v>
      </c>
      <c r="H1146" t="s">
        <v>95</v>
      </c>
      <c r="I1146" t="s">
        <v>10253</v>
      </c>
      <c r="K1146" s="1073" t="s">
        <v>10241</v>
      </c>
      <c r="L1146" s="798" t="s">
        <v>10241</v>
      </c>
      <c r="M1146" s="790" t="s">
        <v>11200</v>
      </c>
      <c r="O1146" s="799" t="s">
        <v>11214</v>
      </c>
      <c r="P1146" s="790" t="s">
        <v>10244</v>
      </c>
      <c r="R1146" s="30"/>
    </row>
    <row r="1147" spans="2:18">
      <c r="B1147" s="42" t="s">
        <v>11216</v>
      </c>
      <c r="C1147" s="1042"/>
      <c r="D1147" s="529">
        <f>Page8!O40</f>
        <v>0</v>
      </c>
      <c r="E1147" s="529">
        <f>Page8!O40</f>
        <v>0</v>
      </c>
      <c r="F1147" t="str">
        <f t="shared" si="71"/>
        <v>00-00-220LRSUB-01-30D-CURR</v>
      </c>
      <c r="G1147" t="s">
        <v>127</v>
      </c>
      <c r="H1147" t="s">
        <v>95</v>
      </c>
      <c r="I1147" t="s">
        <v>10253</v>
      </c>
      <c r="J1147" t="s">
        <v>10268</v>
      </c>
      <c r="K1147" s="1073" t="s">
        <v>10241</v>
      </c>
      <c r="L1147" s="798" t="s">
        <v>10241</v>
      </c>
      <c r="M1147" s="790" t="s">
        <v>11202</v>
      </c>
      <c r="O1147" s="799" t="s">
        <v>11214</v>
      </c>
      <c r="P1147" s="790" t="s">
        <v>10244</v>
      </c>
      <c r="Q1147" s="791" t="s">
        <v>773</v>
      </c>
    </row>
    <row r="1148" spans="2:18">
      <c r="B1148" s="38" t="s">
        <v>11217</v>
      </c>
      <c r="C1148" s="1051" t="s">
        <v>11196</v>
      </c>
      <c r="D1148" s="529">
        <f>Page8!P38</f>
        <v>0</v>
      </c>
      <c r="E1148" s="529">
        <f>Page8!P38</f>
        <v>0</v>
      </c>
      <c r="F1148" t="str">
        <f t="shared" si="71"/>
        <v>00-00-220LR B-31-60D-CURR</v>
      </c>
      <c r="G1148" t="s">
        <v>127</v>
      </c>
      <c r="H1148" t="s">
        <v>95</v>
      </c>
      <c r="I1148" t="s">
        <v>10253</v>
      </c>
      <c r="K1148" s="1073" t="s">
        <v>10241</v>
      </c>
      <c r="L1148" s="798" t="s">
        <v>10241</v>
      </c>
      <c r="M1148" s="790" t="s">
        <v>11197</v>
      </c>
      <c r="O1148" s="799" t="s">
        <v>11054</v>
      </c>
      <c r="P1148" s="790" t="s">
        <v>10244</v>
      </c>
      <c r="R1148" s="30"/>
    </row>
    <row r="1149" spans="2:18">
      <c r="B1149" s="42" t="s">
        <v>11218</v>
      </c>
      <c r="C1149" s="1051" t="s">
        <v>11199</v>
      </c>
      <c r="D1149" s="529">
        <f>Page8!P39</f>
        <v>0</v>
      </c>
      <c r="E1149" s="529">
        <f>Page8!P39</f>
        <v>0</v>
      </c>
      <c r="F1149" t="str">
        <f t="shared" si="71"/>
        <v>00-00-220LR O-31-60D-CURR</v>
      </c>
      <c r="G1149" t="s">
        <v>127</v>
      </c>
      <c r="H1149" t="s">
        <v>95</v>
      </c>
      <c r="I1149" t="s">
        <v>10253</v>
      </c>
      <c r="K1149" s="1073" t="s">
        <v>10241</v>
      </c>
      <c r="L1149" s="798" t="s">
        <v>10241</v>
      </c>
      <c r="M1149" s="790" t="s">
        <v>11200</v>
      </c>
      <c r="O1149" s="799" t="s">
        <v>11054</v>
      </c>
      <c r="P1149" s="790" t="s">
        <v>10244</v>
      </c>
      <c r="R1149" s="30"/>
    </row>
    <row r="1150" spans="2:18">
      <c r="B1150" s="813" t="s">
        <v>11219</v>
      </c>
      <c r="C1150" s="1042"/>
      <c r="D1150" s="529">
        <f>Page8!P40</f>
        <v>0</v>
      </c>
      <c r="E1150" s="529">
        <f>Page8!P40</f>
        <v>0</v>
      </c>
      <c r="F1150" t="str">
        <f t="shared" si="71"/>
        <v>00-00-220LRSUB-31-60D-CURR</v>
      </c>
      <c r="G1150" t="s">
        <v>127</v>
      </c>
      <c r="H1150" t="s">
        <v>95</v>
      </c>
      <c r="I1150" t="s">
        <v>10253</v>
      </c>
      <c r="J1150" t="s">
        <v>10268</v>
      </c>
      <c r="K1150" s="1073" t="s">
        <v>10241</v>
      </c>
      <c r="L1150" s="798" t="s">
        <v>10241</v>
      </c>
      <c r="M1150" s="790" t="s">
        <v>11202</v>
      </c>
      <c r="O1150" s="799" t="s">
        <v>11054</v>
      </c>
      <c r="P1150" s="790" t="s">
        <v>10244</v>
      </c>
      <c r="Q1150" s="791" t="s">
        <v>773</v>
      </c>
    </row>
    <row r="1151" spans="2:18">
      <c r="B1151" s="38" t="s">
        <v>11220</v>
      </c>
      <c r="C1151" s="1051" t="s">
        <v>11196</v>
      </c>
      <c r="D1151" s="529">
        <f>Page8!Q38</f>
        <v>0</v>
      </c>
      <c r="E1151" s="529">
        <f>Page8!Q38</f>
        <v>0</v>
      </c>
      <c r="F1151" t="str">
        <f t="shared" si="71"/>
        <v>00-00-220LR B-61-90D-CURR</v>
      </c>
      <c r="G1151" t="s">
        <v>127</v>
      </c>
      <c r="H1151" t="s">
        <v>95</v>
      </c>
      <c r="I1151" t="s">
        <v>10253</v>
      </c>
      <c r="K1151" s="1073" t="s">
        <v>10241</v>
      </c>
      <c r="L1151" s="798" t="s">
        <v>10241</v>
      </c>
      <c r="M1151" s="790" t="s">
        <v>11197</v>
      </c>
      <c r="O1151" s="799" t="s">
        <v>11056</v>
      </c>
      <c r="P1151" s="790" t="s">
        <v>10244</v>
      </c>
      <c r="R1151" s="30"/>
    </row>
    <row r="1152" spans="2:18">
      <c r="B1152" s="42" t="s">
        <v>11221</v>
      </c>
      <c r="C1152" s="1051" t="s">
        <v>11199</v>
      </c>
      <c r="D1152" s="529">
        <f>Page8!Q39</f>
        <v>0</v>
      </c>
      <c r="E1152" s="529">
        <f>Page8!Q39</f>
        <v>0</v>
      </c>
      <c r="F1152" t="str">
        <f t="shared" si="71"/>
        <v>00-00-220LR O-61-90D-CURR</v>
      </c>
      <c r="G1152" t="s">
        <v>127</v>
      </c>
      <c r="H1152" t="s">
        <v>95</v>
      </c>
      <c r="I1152" t="s">
        <v>10253</v>
      </c>
      <c r="K1152" s="1073" t="s">
        <v>10241</v>
      </c>
      <c r="L1152" s="798" t="s">
        <v>10241</v>
      </c>
      <c r="M1152" s="790" t="s">
        <v>11200</v>
      </c>
      <c r="O1152" s="799" t="s">
        <v>11056</v>
      </c>
      <c r="P1152" s="790" t="s">
        <v>10244</v>
      </c>
      <c r="R1152" s="30"/>
    </row>
    <row r="1153" spans="2:18">
      <c r="B1153" s="813" t="s">
        <v>11222</v>
      </c>
      <c r="C1153" s="1042"/>
      <c r="D1153" s="529">
        <f>Page8!Q40</f>
        <v>0</v>
      </c>
      <c r="E1153" s="529">
        <f>Page8!Q40</f>
        <v>0</v>
      </c>
      <c r="F1153" t="str">
        <f t="shared" si="71"/>
        <v>00-00-220LRSUB-61-90D-CURR</v>
      </c>
      <c r="G1153" t="s">
        <v>127</v>
      </c>
      <c r="H1153" t="s">
        <v>95</v>
      </c>
      <c r="I1153" t="s">
        <v>10253</v>
      </c>
      <c r="J1153" t="s">
        <v>10268</v>
      </c>
      <c r="K1153" s="1073" t="s">
        <v>10241</v>
      </c>
      <c r="L1153" s="798" t="s">
        <v>10241</v>
      </c>
      <c r="M1153" s="790" t="s">
        <v>11202</v>
      </c>
      <c r="O1153" s="799" t="s">
        <v>11056</v>
      </c>
      <c r="P1153" s="790" t="s">
        <v>10244</v>
      </c>
      <c r="Q1153" s="791" t="s">
        <v>773</v>
      </c>
    </row>
    <row r="1154" spans="2:18">
      <c r="B1154" s="38" t="s">
        <v>11223</v>
      </c>
      <c r="C1154" s="1051" t="s">
        <v>11196</v>
      </c>
      <c r="D1154" s="529">
        <f>Page8!R38</f>
        <v>0</v>
      </c>
      <c r="E1154" s="529">
        <f>Page8!R38</f>
        <v>0</v>
      </c>
      <c r="F1154" t="str">
        <f t="shared" si="71"/>
        <v>00-00-220LR B-OVER90D-CURR</v>
      </c>
      <c r="G1154" t="s">
        <v>127</v>
      </c>
      <c r="H1154" t="s">
        <v>95</v>
      </c>
      <c r="I1154" t="s">
        <v>10253</v>
      </c>
      <c r="K1154" s="1073" t="s">
        <v>10241</v>
      </c>
      <c r="L1154" s="798" t="s">
        <v>10241</v>
      </c>
      <c r="M1154" s="790" t="s">
        <v>11197</v>
      </c>
      <c r="O1154" s="799" t="s">
        <v>11058</v>
      </c>
      <c r="P1154" s="790" t="s">
        <v>10244</v>
      </c>
      <c r="R1154" s="30"/>
    </row>
    <row r="1155" spans="2:18">
      <c r="B1155" s="42" t="s">
        <v>11224</v>
      </c>
      <c r="C1155" s="1051" t="s">
        <v>11199</v>
      </c>
      <c r="D1155" s="529">
        <f>Page8!R39</f>
        <v>0</v>
      </c>
      <c r="E1155" s="529">
        <f>Page8!R39</f>
        <v>0</v>
      </c>
      <c r="F1155" t="str">
        <f t="shared" si="71"/>
        <v>00-00-220LR O-OVER90D-CURR</v>
      </c>
      <c r="G1155" t="s">
        <v>127</v>
      </c>
      <c r="H1155" t="s">
        <v>95</v>
      </c>
      <c r="I1155" t="s">
        <v>10253</v>
      </c>
      <c r="K1155" s="1073" t="s">
        <v>10241</v>
      </c>
      <c r="L1155" s="798" t="s">
        <v>10241</v>
      </c>
      <c r="M1155" s="790" t="s">
        <v>11200</v>
      </c>
      <c r="O1155" s="799" t="s">
        <v>11058</v>
      </c>
      <c r="P1155" s="790" t="s">
        <v>10244</v>
      </c>
      <c r="R1155" s="30"/>
    </row>
    <row r="1156" spans="2:18">
      <c r="B1156" s="813" t="s">
        <v>11225</v>
      </c>
      <c r="C1156" s="1042"/>
      <c r="D1156" s="529">
        <f>Page8!R40</f>
        <v>0</v>
      </c>
      <c r="E1156" s="529">
        <f>Page8!R40</f>
        <v>0</v>
      </c>
      <c r="F1156" t="str">
        <f t="shared" si="71"/>
        <v>00-00-220LRSUB-OVER90D-CURR</v>
      </c>
      <c r="G1156" t="s">
        <v>127</v>
      </c>
      <c r="H1156" t="s">
        <v>95</v>
      </c>
      <c r="I1156" t="s">
        <v>10253</v>
      </c>
      <c r="J1156" t="s">
        <v>10268</v>
      </c>
      <c r="K1156" s="1073" t="s">
        <v>10241</v>
      </c>
      <c r="L1156" s="798" t="s">
        <v>10241</v>
      </c>
      <c r="M1156" s="790" t="s">
        <v>11202</v>
      </c>
      <c r="O1156" s="799" t="s">
        <v>11058</v>
      </c>
      <c r="P1156" s="790" t="s">
        <v>10244</v>
      </c>
      <c r="Q1156" s="791" t="s">
        <v>773</v>
      </c>
    </row>
    <row r="1157" spans="2:18">
      <c r="B1157" s="42" t="s">
        <v>11226</v>
      </c>
      <c r="C1157" s="475" t="s">
        <v>1011</v>
      </c>
      <c r="D1157" s="529">
        <f>Page8!F37</f>
        <v>0</v>
      </c>
      <c r="E1157" s="529">
        <f>Page8!F37</f>
        <v>0</v>
      </c>
      <c r="F1157" t="str">
        <f t="shared" si="71"/>
        <v>00-00-277A-UNIT-CURR</v>
      </c>
      <c r="G1157" t="s">
        <v>127</v>
      </c>
      <c r="H1157" t="s">
        <v>95</v>
      </c>
      <c r="I1157" t="s">
        <v>10253</v>
      </c>
      <c r="K1157" s="1073" t="s">
        <v>10241</v>
      </c>
      <c r="L1157" s="798" t="s">
        <v>10241</v>
      </c>
      <c r="M1157" s="790" t="s">
        <v>1011</v>
      </c>
      <c r="O1157" s="790" t="s">
        <v>10255</v>
      </c>
      <c r="P1157" s="790" t="s">
        <v>10244</v>
      </c>
      <c r="R1157" s="30"/>
    </row>
    <row r="1158" spans="2:18">
      <c r="B1158" s="42" t="s">
        <v>11227</v>
      </c>
      <c r="C1158" s="475" t="s">
        <v>1019</v>
      </c>
      <c r="D1158" s="529">
        <f>Page8!F38</f>
        <v>0</v>
      </c>
      <c r="E1158" s="529">
        <f>Page8!F38</f>
        <v>0</v>
      </c>
      <c r="F1158" t="str">
        <f t="shared" si="71"/>
        <v>00-00-277B-UNIT-CURR</v>
      </c>
      <c r="G1158" t="s">
        <v>127</v>
      </c>
      <c r="H1158" t="s">
        <v>95</v>
      </c>
      <c r="I1158" t="s">
        <v>10253</v>
      </c>
      <c r="K1158" s="1073" t="s">
        <v>10241</v>
      </c>
      <c r="L1158" s="798" t="s">
        <v>10241</v>
      </c>
      <c r="M1158" s="790" t="s">
        <v>1019</v>
      </c>
      <c r="O1158" s="790" t="s">
        <v>10255</v>
      </c>
      <c r="P1158" s="790" t="s">
        <v>10244</v>
      </c>
      <c r="R1158" s="30"/>
    </row>
    <row r="1159" spans="2:18">
      <c r="B1159" s="42" t="s">
        <v>11228</v>
      </c>
      <c r="C1159" s="475" t="s">
        <v>1023</v>
      </c>
      <c r="D1159" s="529">
        <f>Page8!F39</f>
        <v>0</v>
      </c>
      <c r="E1159" s="529">
        <f>Page8!F39</f>
        <v>0</v>
      </c>
      <c r="F1159" t="str">
        <f t="shared" si="71"/>
        <v>00-00-277C-UNIT-CURR</v>
      </c>
      <c r="G1159" t="s">
        <v>127</v>
      </c>
      <c r="H1159" t="s">
        <v>95</v>
      </c>
      <c r="I1159" t="s">
        <v>10253</v>
      </c>
      <c r="K1159" s="1073" t="s">
        <v>10241</v>
      </c>
      <c r="L1159" s="798" t="s">
        <v>10241</v>
      </c>
      <c r="M1159" s="790" t="s">
        <v>1023</v>
      </c>
      <c r="O1159" s="790" t="s">
        <v>10255</v>
      </c>
      <c r="P1159" s="790" t="s">
        <v>10244</v>
      </c>
      <c r="R1159" s="30"/>
    </row>
    <row r="1160" spans="2:18">
      <c r="B1160" s="38" t="s">
        <v>11229</v>
      </c>
      <c r="C1160" s="476"/>
      <c r="D1160" s="529">
        <f>Page8!F40</f>
        <v>0</v>
      </c>
      <c r="E1160" s="529">
        <f>Page8!F40</f>
        <v>0</v>
      </c>
      <c r="F1160" t="str">
        <f t="shared" si="71"/>
        <v>00-00-277OV30D-UNIT-CURR</v>
      </c>
      <c r="G1160" t="s">
        <v>127</v>
      </c>
      <c r="H1160" t="s">
        <v>95</v>
      </c>
      <c r="I1160" t="s">
        <v>10253</v>
      </c>
      <c r="K1160" s="1073" t="s">
        <v>10241</v>
      </c>
      <c r="L1160" s="798" t="s">
        <v>10241</v>
      </c>
      <c r="M1160" s="790" t="s">
        <v>11230</v>
      </c>
      <c r="O1160" s="790" t="s">
        <v>10255</v>
      </c>
      <c r="P1160" s="790" t="s">
        <v>10244</v>
      </c>
    </row>
    <row r="1161" spans="2:18">
      <c r="B1161" s="42" t="s">
        <v>11231</v>
      </c>
      <c r="C1161" s="475" t="s">
        <v>1011</v>
      </c>
      <c r="D1161" s="529">
        <f>Page8!H37</f>
        <v>0</v>
      </c>
      <c r="E1161" s="529">
        <f>Page8!H37</f>
        <v>0</v>
      </c>
      <c r="F1161" t="str">
        <f t="shared" si="71"/>
        <v>00-00-277A-AMT-CURR</v>
      </c>
      <c r="G1161" t="s">
        <v>127</v>
      </c>
      <c r="H1161" t="s">
        <v>95</v>
      </c>
      <c r="I1161" t="s">
        <v>10253</v>
      </c>
      <c r="K1161" s="1073" t="s">
        <v>10241</v>
      </c>
      <c r="L1161" s="798" t="s">
        <v>10241</v>
      </c>
      <c r="M1161" s="790" t="s">
        <v>1011</v>
      </c>
      <c r="O1161" s="790" t="s">
        <v>10263</v>
      </c>
      <c r="P1161" s="790" t="s">
        <v>10244</v>
      </c>
      <c r="R1161" s="30"/>
    </row>
    <row r="1162" spans="2:18">
      <c r="B1162" s="42" t="s">
        <v>11232</v>
      </c>
      <c r="C1162" s="475" t="s">
        <v>1019</v>
      </c>
      <c r="D1162" s="529">
        <f>Page8!H38</f>
        <v>0</v>
      </c>
      <c r="E1162" s="529">
        <f>Page8!H38</f>
        <v>0</v>
      </c>
      <c r="F1162" t="str">
        <f t="shared" si="71"/>
        <v>00-00-277B-AMT-CURR</v>
      </c>
      <c r="G1162" t="s">
        <v>127</v>
      </c>
      <c r="H1162" t="s">
        <v>95</v>
      </c>
      <c r="I1162" t="s">
        <v>10253</v>
      </c>
      <c r="K1162" s="1073" t="s">
        <v>10241</v>
      </c>
      <c r="L1162" s="798" t="s">
        <v>10241</v>
      </c>
      <c r="M1162" s="790" t="s">
        <v>1019</v>
      </c>
      <c r="O1162" s="790" t="s">
        <v>10263</v>
      </c>
      <c r="P1162" s="790" t="s">
        <v>10244</v>
      </c>
      <c r="R1162" s="30"/>
    </row>
    <row r="1163" spans="2:18">
      <c r="B1163" s="42" t="s">
        <v>11233</v>
      </c>
      <c r="C1163" s="475" t="s">
        <v>1023</v>
      </c>
      <c r="D1163" s="529">
        <f>Page8!H39</f>
        <v>0</v>
      </c>
      <c r="E1163" s="529">
        <f>Page8!H39</f>
        <v>0</v>
      </c>
      <c r="F1163" t="str">
        <f t="shared" si="71"/>
        <v>00-00-277C-AMT-CURR</v>
      </c>
      <c r="G1163" t="s">
        <v>127</v>
      </c>
      <c r="H1163" t="s">
        <v>95</v>
      </c>
      <c r="I1163" t="s">
        <v>10253</v>
      </c>
      <c r="K1163" s="1073" t="s">
        <v>10241</v>
      </c>
      <c r="L1163" s="798" t="s">
        <v>10241</v>
      </c>
      <c r="M1163" s="790" t="s">
        <v>1023</v>
      </c>
      <c r="O1163" s="790" t="s">
        <v>10263</v>
      </c>
      <c r="P1163" s="790" t="s">
        <v>10244</v>
      </c>
      <c r="R1163" s="30"/>
    </row>
    <row r="1164" spans="2:18">
      <c r="B1164" s="38" t="s">
        <v>11234</v>
      </c>
      <c r="C1164" s="476"/>
      <c r="D1164" s="529">
        <f>Page8!$E$40</f>
        <v>0</v>
      </c>
      <c r="E1164" s="529">
        <f>Page8!$E$40</f>
        <v>0</v>
      </c>
      <c r="F1164" t="str">
        <f t="shared" si="71"/>
        <v>00-00-277OV30D-AMT-CURR</v>
      </c>
      <c r="G1164" t="s">
        <v>127</v>
      </c>
      <c r="H1164" t="s">
        <v>95</v>
      </c>
      <c r="I1164" t="s">
        <v>10253</v>
      </c>
      <c r="K1164" s="1073" t="s">
        <v>10241</v>
      </c>
      <c r="L1164" s="798" t="s">
        <v>10241</v>
      </c>
      <c r="M1164" s="790" t="s">
        <v>11230</v>
      </c>
      <c r="O1164" s="790" t="s">
        <v>10263</v>
      </c>
      <c r="P1164" s="790" t="s">
        <v>10244</v>
      </c>
    </row>
    <row r="1165" spans="2:18">
      <c r="B1165" s="38" t="s">
        <v>11235</v>
      </c>
      <c r="C1165" s="475" t="s">
        <v>1033</v>
      </c>
      <c r="D1165" s="529">
        <f>Page8!F42</f>
        <v>0</v>
      </c>
      <c r="E1165" s="529">
        <f>Page8!F42</f>
        <v>0</v>
      </c>
      <c r="F1165" t="str">
        <f t="shared" si="71"/>
        <v>00-00-277D-UNIT-CURR</v>
      </c>
      <c r="G1165" t="s">
        <v>127</v>
      </c>
      <c r="H1165" t="s">
        <v>95</v>
      </c>
      <c r="I1165" t="s">
        <v>10253</v>
      </c>
      <c r="K1165" s="1073" t="s">
        <v>10241</v>
      </c>
      <c r="L1165" s="798" t="s">
        <v>10241</v>
      </c>
      <c r="M1165" s="790" t="s">
        <v>1033</v>
      </c>
      <c r="O1165" s="790" t="s">
        <v>10255</v>
      </c>
      <c r="P1165" s="790" t="s">
        <v>10244</v>
      </c>
      <c r="R1165" s="30"/>
    </row>
    <row r="1166" spans="2:18">
      <c r="B1166" s="38" t="s">
        <v>11236</v>
      </c>
      <c r="C1166" s="475" t="s">
        <v>1036</v>
      </c>
      <c r="D1166" s="529">
        <f>Page8!F43</f>
        <v>0</v>
      </c>
      <c r="E1166" s="529">
        <f>Page8!F43</f>
        <v>0</v>
      </c>
      <c r="F1166" t="str">
        <f t="shared" si="71"/>
        <v>00-00-277E-UNIT-CURR</v>
      </c>
      <c r="G1166" t="s">
        <v>127</v>
      </c>
      <c r="H1166" t="s">
        <v>95</v>
      </c>
      <c r="I1166" t="s">
        <v>10253</v>
      </c>
      <c r="K1166" s="1073" t="s">
        <v>10241</v>
      </c>
      <c r="L1166" s="798" t="s">
        <v>10241</v>
      </c>
      <c r="M1166" s="790" t="s">
        <v>1036</v>
      </c>
      <c r="O1166" s="790" t="s">
        <v>10255</v>
      </c>
      <c r="P1166" s="790" t="s">
        <v>10244</v>
      </c>
      <c r="R1166" s="30"/>
    </row>
    <row r="1167" spans="2:18">
      <c r="B1167" s="38" t="s">
        <v>11237</v>
      </c>
      <c r="C1167" s="475" t="s">
        <v>1038</v>
      </c>
      <c r="D1167" s="529">
        <f>Page8!F44</f>
        <v>0</v>
      </c>
      <c r="E1167" s="529">
        <f>Page8!F44</f>
        <v>0</v>
      </c>
      <c r="F1167" t="str">
        <f t="shared" si="71"/>
        <v>00-00-277F-UNIT-CURR</v>
      </c>
      <c r="G1167" t="s">
        <v>127</v>
      </c>
      <c r="H1167" t="s">
        <v>95</v>
      </c>
      <c r="I1167" t="s">
        <v>10253</v>
      </c>
      <c r="K1167" s="1073" t="s">
        <v>10241</v>
      </c>
      <c r="L1167" s="798" t="s">
        <v>10241</v>
      </c>
      <c r="M1167" s="790" t="s">
        <v>1038</v>
      </c>
      <c r="O1167" s="790" t="s">
        <v>10255</v>
      </c>
      <c r="P1167" s="790" t="s">
        <v>10244</v>
      </c>
      <c r="R1167" s="30"/>
    </row>
    <row r="1168" spans="2:18">
      <c r="B1168" s="39" t="s">
        <v>11238</v>
      </c>
      <c r="C1168" s="754">
        <v>277</v>
      </c>
      <c r="D1168" s="529">
        <f>Page8!F45</f>
        <v>0</v>
      </c>
      <c r="E1168" s="529">
        <f>Page8!F45</f>
        <v>0</v>
      </c>
      <c r="F1168" t="str">
        <f t="shared" si="71"/>
        <v>00-00-277-UNIT-CURR</v>
      </c>
      <c r="G1168" t="s">
        <v>127</v>
      </c>
      <c r="H1168" t="s">
        <v>95</v>
      </c>
      <c r="I1168" t="s">
        <v>10253</v>
      </c>
      <c r="J1168" t="s">
        <v>10268</v>
      </c>
      <c r="K1168" s="1073" t="s">
        <v>10241</v>
      </c>
      <c r="L1168" s="789" t="s">
        <v>10241</v>
      </c>
      <c r="M1168" s="799" t="s">
        <v>10257</v>
      </c>
      <c r="O1168" s="799" t="s">
        <v>10255</v>
      </c>
      <c r="P1168" s="799" t="s">
        <v>10244</v>
      </c>
      <c r="Q1168" s="791" t="s">
        <v>773</v>
      </c>
    </row>
    <row r="1169" spans="2:18">
      <c r="B1169" s="38" t="s">
        <v>11239</v>
      </c>
      <c r="C1169" s="475" t="s">
        <v>1033</v>
      </c>
      <c r="D1169" s="529">
        <f>Page8!E42</f>
        <v>0</v>
      </c>
      <c r="E1169" s="529">
        <f>Page8!E42</f>
        <v>0</v>
      </c>
      <c r="F1169" t="str">
        <f t="shared" si="71"/>
        <v>00-00-277D-ACCDEPR-CURR</v>
      </c>
      <c r="G1169" t="s">
        <v>127</v>
      </c>
      <c r="H1169" t="s">
        <v>95</v>
      </c>
      <c r="I1169" t="s">
        <v>10253</v>
      </c>
      <c r="K1169" s="1073" t="s">
        <v>10241</v>
      </c>
      <c r="L1169" s="798" t="s">
        <v>10241</v>
      </c>
      <c r="M1169" s="790" t="s">
        <v>1033</v>
      </c>
      <c r="O1169" s="790" t="s">
        <v>11240</v>
      </c>
      <c r="P1169" s="790" t="s">
        <v>10244</v>
      </c>
      <c r="R1169" s="30"/>
    </row>
    <row r="1170" spans="2:18">
      <c r="B1170" s="38" t="s">
        <v>11241</v>
      </c>
      <c r="C1170" s="475" t="s">
        <v>1036</v>
      </c>
      <c r="D1170" s="529">
        <f>Page8!E43</f>
        <v>0</v>
      </c>
      <c r="E1170" s="529">
        <f>Page8!E43</f>
        <v>0</v>
      </c>
      <c r="F1170" t="str">
        <f t="shared" si="71"/>
        <v>00-00-277E-ACCDEPR-CURR</v>
      </c>
      <c r="G1170" t="s">
        <v>127</v>
      </c>
      <c r="H1170" t="s">
        <v>95</v>
      </c>
      <c r="I1170" t="s">
        <v>10253</v>
      </c>
      <c r="K1170" s="1073" t="s">
        <v>10241</v>
      </c>
      <c r="L1170" s="798" t="s">
        <v>10241</v>
      </c>
      <c r="M1170" s="790" t="s">
        <v>1036</v>
      </c>
      <c r="O1170" s="790" t="s">
        <v>11240</v>
      </c>
      <c r="P1170" s="790" t="s">
        <v>10244</v>
      </c>
      <c r="R1170" s="30"/>
    </row>
    <row r="1171" spans="2:18">
      <c r="B1171" s="38" t="s">
        <v>11242</v>
      </c>
      <c r="C1171" s="475" t="s">
        <v>1038</v>
      </c>
      <c r="D1171" s="529">
        <f>Page8!E44</f>
        <v>0</v>
      </c>
      <c r="E1171" s="529">
        <f>Page8!E44</f>
        <v>0</v>
      </c>
      <c r="F1171" t="str">
        <f t="shared" si="71"/>
        <v>00-00-277F-ACCDEPR-CURR</v>
      </c>
      <c r="G1171" t="s">
        <v>127</v>
      </c>
      <c r="H1171" t="s">
        <v>95</v>
      </c>
      <c r="I1171" t="s">
        <v>10253</v>
      </c>
      <c r="K1171" s="1073" t="s">
        <v>10241</v>
      </c>
      <c r="L1171" s="798" t="s">
        <v>10241</v>
      </c>
      <c r="M1171" s="790" t="s">
        <v>1038</v>
      </c>
      <c r="O1171" s="790" t="s">
        <v>11240</v>
      </c>
      <c r="P1171" s="790" t="s">
        <v>10244</v>
      </c>
      <c r="R1171" s="30"/>
    </row>
    <row r="1172" spans="2:18">
      <c r="B1172" s="39" t="s">
        <v>11243</v>
      </c>
      <c r="C1172" s="754">
        <v>277</v>
      </c>
      <c r="D1172" s="529">
        <f>Page8!E45</f>
        <v>0</v>
      </c>
      <c r="E1172" s="529">
        <f>Page8!E45</f>
        <v>0</v>
      </c>
      <c r="F1172" t="str">
        <f t="shared" si="71"/>
        <v>00-00-277-ACCDEPR-CURR</v>
      </c>
      <c r="G1172" t="s">
        <v>127</v>
      </c>
      <c r="H1172" t="s">
        <v>95</v>
      </c>
      <c r="I1172" t="s">
        <v>10253</v>
      </c>
      <c r="J1172" t="s">
        <v>10268</v>
      </c>
      <c r="K1172" s="1073" t="s">
        <v>10241</v>
      </c>
      <c r="L1172" s="789" t="s">
        <v>10241</v>
      </c>
      <c r="M1172" s="799" t="s">
        <v>10257</v>
      </c>
      <c r="O1172" s="799" t="s">
        <v>11240</v>
      </c>
      <c r="P1172" s="799" t="s">
        <v>10244</v>
      </c>
      <c r="Q1172" s="791" t="s">
        <v>773</v>
      </c>
    </row>
    <row r="1173" spans="2:18">
      <c r="B1173" s="38" t="s">
        <v>11244</v>
      </c>
      <c r="C1173" s="475" t="s">
        <v>1033</v>
      </c>
      <c r="D1173" s="529">
        <f>Page8!H42</f>
        <v>0</v>
      </c>
      <c r="E1173" s="529">
        <f>Page8!H42</f>
        <v>0</v>
      </c>
      <c r="F1173" t="str">
        <f t="shared" si="71"/>
        <v>00-00-277D-NET-CURR</v>
      </c>
      <c r="G1173" t="s">
        <v>127</v>
      </c>
      <c r="H1173" t="s">
        <v>95</v>
      </c>
      <c r="I1173" t="s">
        <v>10253</v>
      </c>
      <c r="K1173" s="1073" t="s">
        <v>10241</v>
      </c>
      <c r="L1173" s="798" t="s">
        <v>10241</v>
      </c>
      <c r="M1173" s="790" t="s">
        <v>1033</v>
      </c>
      <c r="O1173" s="790" t="s">
        <v>1029</v>
      </c>
      <c r="P1173" s="790" t="s">
        <v>10244</v>
      </c>
      <c r="R1173" s="30"/>
    </row>
    <row r="1174" spans="2:18">
      <c r="B1174" s="38" t="s">
        <v>11245</v>
      </c>
      <c r="C1174" s="475" t="s">
        <v>1036</v>
      </c>
      <c r="D1174" s="529">
        <f>Page8!H43</f>
        <v>0</v>
      </c>
      <c r="E1174" s="529">
        <f>Page8!H43</f>
        <v>0</v>
      </c>
      <c r="F1174" t="str">
        <f t="shared" si="71"/>
        <v>00-00-277E-NET-CURR</v>
      </c>
      <c r="G1174" t="s">
        <v>127</v>
      </c>
      <c r="H1174" t="s">
        <v>95</v>
      </c>
      <c r="I1174" t="s">
        <v>10253</v>
      </c>
      <c r="K1174" s="1073" t="s">
        <v>10241</v>
      </c>
      <c r="L1174" s="798" t="s">
        <v>10241</v>
      </c>
      <c r="M1174" s="790" t="s">
        <v>1036</v>
      </c>
      <c r="O1174" s="790" t="s">
        <v>1029</v>
      </c>
      <c r="P1174" s="790" t="s">
        <v>10244</v>
      </c>
      <c r="R1174" s="30"/>
    </row>
    <row r="1175" spans="2:18">
      <c r="B1175" s="38" t="s">
        <v>11246</v>
      </c>
      <c r="C1175" s="475" t="s">
        <v>1038</v>
      </c>
      <c r="D1175" s="529">
        <f>Page8!H44</f>
        <v>0</v>
      </c>
      <c r="E1175" s="529">
        <f>Page8!H44</f>
        <v>0</v>
      </c>
      <c r="F1175" t="str">
        <f t="shared" si="71"/>
        <v>00-00-277F-NET-CURR</v>
      </c>
      <c r="G1175" t="s">
        <v>127</v>
      </c>
      <c r="H1175" t="s">
        <v>95</v>
      </c>
      <c r="I1175" t="s">
        <v>10253</v>
      </c>
      <c r="K1175" s="1073" t="s">
        <v>10241</v>
      </c>
      <c r="L1175" s="798" t="s">
        <v>10241</v>
      </c>
      <c r="M1175" s="790" t="s">
        <v>1038</v>
      </c>
      <c r="O1175" s="790" t="s">
        <v>1029</v>
      </c>
      <c r="P1175" s="790" t="s">
        <v>10244</v>
      </c>
      <c r="R1175" s="30"/>
    </row>
    <row r="1176" spans="2:18">
      <c r="B1176" s="39" t="s">
        <v>11247</v>
      </c>
      <c r="C1176" s="754">
        <v>277</v>
      </c>
      <c r="D1176" s="529">
        <f>Page8!H45</f>
        <v>0</v>
      </c>
      <c r="E1176" s="529">
        <f>Page8!H45</f>
        <v>0</v>
      </c>
      <c r="F1176" t="str">
        <f t="shared" si="71"/>
        <v>00-00-277-NET-CURR</v>
      </c>
      <c r="G1176" t="s">
        <v>127</v>
      </c>
      <c r="H1176" t="s">
        <v>95</v>
      </c>
      <c r="I1176" t="s">
        <v>10253</v>
      </c>
      <c r="J1176" t="s">
        <v>10268</v>
      </c>
      <c r="K1176" s="1073" t="s">
        <v>10241</v>
      </c>
      <c r="L1176" s="789" t="s">
        <v>10241</v>
      </c>
      <c r="M1176" s="799" t="s">
        <v>10257</v>
      </c>
      <c r="O1176" s="799" t="s">
        <v>1029</v>
      </c>
      <c r="P1176" s="799" t="s">
        <v>10244</v>
      </c>
      <c r="Q1176" s="791" t="s">
        <v>773</v>
      </c>
    </row>
    <row r="1177" spans="2:18">
      <c r="B1177" s="5" t="s">
        <v>11248</v>
      </c>
      <c r="C1177" s="1038">
        <v>541</v>
      </c>
      <c r="D1177" s="7">
        <f>Page8!G48</f>
        <v>0</v>
      </c>
      <c r="E1177" s="7">
        <f>Page8!N48</f>
        <v>0</v>
      </c>
      <c r="F1177" t="str">
        <f t="shared" si="71"/>
        <v>03-00-541-CNTRS-CURR</v>
      </c>
      <c r="G1177" t="s">
        <v>127</v>
      </c>
      <c r="H1177" t="s">
        <v>10287</v>
      </c>
      <c r="I1177" t="s">
        <v>10253</v>
      </c>
      <c r="K1177" s="1073" t="s">
        <v>10981</v>
      </c>
      <c r="L1177" s="789" t="s">
        <v>10241</v>
      </c>
      <c r="M1177" s="790">
        <v>541</v>
      </c>
      <c r="O1177" s="790" t="s">
        <v>10891</v>
      </c>
      <c r="P1177" s="790" t="s">
        <v>10244</v>
      </c>
      <c r="R1177" s="30"/>
    </row>
    <row r="1178" spans="2:18">
      <c r="B1178" s="5" t="s">
        <v>11249</v>
      </c>
      <c r="C1178" s="1038">
        <v>542</v>
      </c>
      <c r="D1178" s="7">
        <f>Page8!G50</f>
        <v>0</v>
      </c>
      <c r="E1178" s="7">
        <f>Page8!N50</f>
        <v>0</v>
      </c>
      <c r="F1178" t="str">
        <f t="shared" si="71"/>
        <v>03-00-542-CNTRS-CURR</v>
      </c>
      <c r="G1178" t="s">
        <v>127</v>
      </c>
      <c r="H1178" t="s">
        <v>10287</v>
      </c>
      <c r="I1178" t="s">
        <v>10253</v>
      </c>
      <c r="K1178" s="1073" t="s">
        <v>10981</v>
      </c>
      <c r="L1178" s="789" t="s">
        <v>10241</v>
      </c>
      <c r="M1178" s="790">
        <v>542</v>
      </c>
      <c r="O1178" s="790" t="s">
        <v>10891</v>
      </c>
      <c r="P1178" s="790" t="s">
        <v>10244</v>
      </c>
      <c r="R1178" s="30"/>
    </row>
    <row r="1179" spans="2:18">
      <c r="B1179" s="5" t="s">
        <v>11250</v>
      </c>
      <c r="C1179" s="1038">
        <v>543</v>
      </c>
      <c r="D1179" s="7">
        <f>Page8!G51</f>
        <v>0</v>
      </c>
      <c r="E1179" s="7">
        <f>Page8!N51</f>
        <v>0</v>
      </c>
      <c r="F1179" t="str">
        <f t="shared" si="71"/>
        <v>03-00-543-CNTRS-CURR</v>
      </c>
      <c r="G1179" t="s">
        <v>127</v>
      </c>
      <c r="H1179" t="s">
        <v>10287</v>
      </c>
      <c r="I1179" t="s">
        <v>10253</v>
      </c>
      <c r="K1179" s="1073" t="s">
        <v>10981</v>
      </c>
      <c r="L1179" s="789" t="s">
        <v>10241</v>
      </c>
      <c r="M1179" s="790">
        <v>543</v>
      </c>
      <c r="O1179" s="790" t="s">
        <v>10891</v>
      </c>
      <c r="P1179" s="790" t="s">
        <v>10244</v>
      </c>
      <c r="R1179" s="30"/>
    </row>
    <row r="1180" spans="2:18">
      <c r="B1180" s="5" t="s">
        <v>11251</v>
      </c>
      <c r="C1180" s="1038">
        <v>544</v>
      </c>
      <c r="D1180" s="7">
        <f>Page8!G52</f>
        <v>0</v>
      </c>
      <c r="E1180" s="7">
        <f>Page8!N52</f>
        <v>0</v>
      </c>
      <c r="F1180" t="str">
        <f t="shared" si="71"/>
        <v>03-00-544-CNTRS-CURR</v>
      </c>
      <c r="G1180" t="s">
        <v>127</v>
      </c>
      <c r="H1180" t="s">
        <v>10287</v>
      </c>
      <c r="I1180" t="s">
        <v>10253</v>
      </c>
      <c r="K1180" s="1073" t="s">
        <v>10981</v>
      </c>
      <c r="L1180" s="789" t="s">
        <v>10241</v>
      </c>
      <c r="M1180" s="790">
        <v>544</v>
      </c>
      <c r="O1180" s="790" t="s">
        <v>10891</v>
      </c>
      <c r="P1180" s="790" t="s">
        <v>10244</v>
      </c>
      <c r="R1180" s="30"/>
    </row>
    <row r="1181" spans="2:18">
      <c r="B1181" s="5" t="s">
        <v>11134</v>
      </c>
      <c r="C1181" s="1038">
        <v>542</v>
      </c>
      <c r="D1181" s="7">
        <f>Page8!H50</f>
        <v>0</v>
      </c>
      <c r="E1181" s="7">
        <f>Page8!O50</f>
        <v>0</v>
      </c>
      <c r="F1181" t="str">
        <f t="shared" si="71"/>
        <v>03-00-542-SALES-CURR</v>
      </c>
      <c r="G1181" t="s">
        <v>127</v>
      </c>
      <c r="H1181" t="s">
        <v>10287</v>
      </c>
      <c r="I1181" t="s">
        <v>10253</v>
      </c>
      <c r="K1181" s="1073" t="s">
        <v>10981</v>
      </c>
      <c r="L1181" s="789" t="s">
        <v>10241</v>
      </c>
      <c r="M1181" s="790">
        <v>542</v>
      </c>
      <c r="O1181" s="790" t="s">
        <v>9883</v>
      </c>
      <c r="P1181" s="790" t="s">
        <v>10244</v>
      </c>
      <c r="R1181" s="30"/>
    </row>
    <row r="1182" spans="2:18">
      <c r="B1182" s="5" t="s">
        <v>11252</v>
      </c>
      <c r="C1182" s="1038">
        <v>543</v>
      </c>
      <c r="D1182" s="7">
        <f>Page8!H51</f>
        <v>0</v>
      </c>
      <c r="E1182" s="7">
        <f>Page8!O51</f>
        <v>0</v>
      </c>
      <c r="F1182" t="str">
        <f t="shared" si="71"/>
        <v>03-00-543-SALES-CURR</v>
      </c>
      <c r="G1182" t="s">
        <v>127</v>
      </c>
      <c r="H1182" t="s">
        <v>10287</v>
      </c>
      <c r="I1182" t="s">
        <v>10253</v>
      </c>
      <c r="K1182" s="1073" t="s">
        <v>10981</v>
      </c>
      <c r="L1182" s="789" t="s">
        <v>10241</v>
      </c>
      <c r="M1182" s="790">
        <v>543</v>
      </c>
      <c r="O1182" s="790" t="s">
        <v>9883</v>
      </c>
      <c r="P1182" s="790" t="s">
        <v>10244</v>
      </c>
      <c r="R1182" s="30"/>
    </row>
    <row r="1183" spans="2:18">
      <c r="B1183" s="5" t="s">
        <v>11253</v>
      </c>
      <c r="C1183" s="1038">
        <v>544</v>
      </c>
      <c r="D1183" s="7">
        <f>Page8!H52</f>
        <v>0</v>
      </c>
      <c r="E1183" s="7">
        <f>Page8!O52</f>
        <v>0</v>
      </c>
      <c r="F1183" t="str">
        <f t="shared" si="71"/>
        <v>03-00-544-SALES-CURR</v>
      </c>
      <c r="G1183" t="s">
        <v>127</v>
      </c>
      <c r="H1183" t="s">
        <v>10287</v>
      </c>
      <c r="I1183" t="s">
        <v>10253</v>
      </c>
      <c r="K1183" s="1073" t="s">
        <v>10981</v>
      </c>
      <c r="L1183" s="789" t="s">
        <v>10241</v>
      </c>
      <c r="M1183" s="790">
        <v>544</v>
      </c>
      <c r="O1183" s="790" t="s">
        <v>9883</v>
      </c>
      <c r="P1183" s="790" t="s">
        <v>10244</v>
      </c>
      <c r="R1183" s="30"/>
    </row>
    <row r="1184" spans="2:18">
      <c r="B1184" s="56" t="s">
        <v>11254</v>
      </c>
      <c r="C1184" s="1042"/>
      <c r="D1184" s="7">
        <f>Page8!H54</f>
        <v>0</v>
      </c>
      <c r="E1184" s="7">
        <f>Page8!O54</f>
        <v>0</v>
      </c>
      <c r="F1184" s="857" t="str">
        <f t="shared" si="71"/>
        <v>03-00-FIPPTOTL-SALES-CURR</v>
      </c>
      <c r="G1184" t="s">
        <v>127</v>
      </c>
      <c r="H1184" t="s">
        <v>10287</v>
      </c>
      <c r="I1184" t="s">
        <v>10253</v>
      </c>
      <c r="K1184" s="1073" t="s">
        <v>10981</v>
      </c>
      <c r="L1184" s="789" t="s">
        <v>10241</v>
      </c>
      <c r="M1184" s="855" t="s">
        <v>11255</v>
      </c>
      <c r="O1184" s="790" t="s">
        <v>9883</v>
      </c>
      <c r="P1184" s="790" t="s">
        <v>10244</v>
      </c>
      <c r="Q1184" s="791" t="s">
        <v>773</v>
      </c>
    </row>
    <row r="1185" spans="1:18">
      <c r="B1185" s="5" t="s">
        <v>11256</v>
      </c>
      <c r="C1185" s="1038">
        <v>541</v>
      </c>
      <c r="D1185" s="7">
        <f>Page8!H48</f>
        <v>0</v>
      </c>
      <c r="E1185" s="7">
        <f>Page8!O48</f>
        <v>0</v>
      </c>
      <c r="F1185" t="str">
        <f t="shared" si="71"/>
        <v>03-00-541-GRSINC-CURR</v>
      </c>
      <c r="G1185" t="s">
        <v>127</v>
      </c>
      <c r="H1185" t="s">
        <v>10287</v>
      </c>
      <c r="I1185" t="s">
        <v>10253</v>
      </c>
      <c r="K1185" s="1073" t="s">
        <v>10981</v>
      </c>
      <c r="L1185" s="789" t="s">
        <v>10241</v>
      </c>
      <c r="M1185" s="790">
        <v>541</v>
      </c>
      <c r="O1185" s="790" t="s">
        <v>11257</v>
      </c>
      <c r="P1185" s="790" t="s">
        <v>10244</v>
      </c>
      <c r="R1185" s="30"/>
    </row>
    <row r="1186" spans="1:18">
      <c r="B1186" s="5" t="s">
        <v>11258</v>
      </c>
      <c r="C1186" s="1038">
        <v>741</v>
      </c>
      <c r="D1186" s="7">
        <f>Page8!K49</f>
        <v>0</v>
      </c>
      <c r="E1186" s="7">
        <f>Page8!Q49</f>
        <v>0</v>
      </c>
      <c r="F1186" t="str">
        <f t="shared" si="71"/>
        <v>03-00-741-GRSINC-CURR</v>
      </c>
      <c r="G1186" t="s">
        <v>127</v>
      </c>
      <c r="H1186" t="s">
        <v>10287</v>
      </c>
      <c r="I1186" t="s">
        <v>10253</v>
      </c>
      <c r="K1186" s="1073" t="s">
        <v>10981</v>
      </c>
      <c r="L1186" s="789" t="s">
        <v>10241</v>
      </c>
      <c r="M1186" s="790">
        <v>741</v>
      </c>
      <c r="O1186" s="790" t="s">
        <v>11257</v>
      </c>
      <c r="P1186" s="790" t="s">
        <v>10244</v>
      </c>
      <c r="R1186" s="30"/>
    </row>
    <row r="1187" spans="1:18">
      <c r="B1187" s="5" t="s">
        <v>11146</v>
      </c>
      <c r="C1187" s="1038">
        <v>542</v>
      </c>
      <c r="D1187" s="7">
        <f>Page8!K50</f>
        <v>0</v>
      </c>
      <c r="E1187" s="7">
        <f>Page8!Q50</f>
        <v>0</v>
      </c>
      <c r="F1187" t="str">
        <f t="shared" si="71"/>
        <v>03-00-542-GRSINC-CURR</v>
      </c>
      <c r="G1187" t="s">
        <v>127</v>
      </c>
      <c r="H1187" t="s">
        <v>10287</v>
      </c>
      <c r="I1187" t="s">
        <v>10253</v>
      </c>
      <c r="K1187" s="1073" t="s">
        <v>10981</v>
      </c>
      <c r="L1187" s="789" t="s">
        <v>10241</v>
      </c>
      <c r="M1187" s="790">
        <v>542</v>
      </c>
      <c r="O1187" s="790" t="s">
        <v>11257</v>
      </c>
      <c r="P1187" s="790" t="s">
        <v>10244</v>
      </c>
      <c r="R1187" s="30"/>
    </row>
    <row r="1188" spans="1:18">
      <c r="B1188" s="5" t="s">
        <v>11259</v>
      </c>
      <c r="C1188" s="1038">
        <v>543</v>
      </c>
      <c r="D1188" s="7">
        <f>Page8!K51</f>
        <v>0</v>
      </c>
      <c r="E1188" s="7">
        <f>Page8!Q51</f>
        <v>0</v>
      </c>
      <c r="F1188" t="str">
        <f t="shared" si="71"/>
        <v>03-00-543-GRSINC-CURR</v>
      </c>
      <c r="G1188" t="s">
        <v>127</v>
      </c>
      <c r="H1188" t="s">
        <v>10287</v>
      </c>
      <c r="I1188" t="s">
        <v>10253</v>
      </c>
      <c r="K1188" s="1073" t="s">
        <v>10981</v>
      </c>
      <c r="L1188" s="789" t="s">
        <v>10241</v>
      </c>
      <c r="M1188" s="790">
        <v>543</v>
      </c>
      <c r="O1188" s="790" t="s">
        <v>11257</v>
      </c>
      <c r="P1188" s="790" t="s">
        <v>10244</v>
      </c>
      <c r="R1188" s="30"/>
    </row>
    <row r="1189" spans="1:18">
      <c r="B1189" s="5" t="s">
        <v>11260</v>
      </c>
      <c r="C1189" s="1038">
        <v>544</v>
      </c>
      <c r="D1189" s="7">
        <f>Page8!K52</f>
        <v>0</v>
      </c>
      <c r="E1189" s="7">
        <f>Page8!Q52</f>
        <v>0</v>
      </c>
      <c r="F1189" t="str">
        <f t="shared" si="71"/>
        <v>03-00-544-GRSINC-CURR</v>
      </c>
      <c r="G1189" t="s">
        <v>127</v>
      </c>
      <c r="H1189" t="s">
        <v>10287</v>
      </c>
      <c r="I1189" t="s">
        <v>10253</v>
      </c>
      <c r="K1189" s="1073" t="s">
        <v>10981</v>
      </c>
      <c r="L1189" s="789" t="s">
        <v>10241</v>
      </c>
      <c r="M1189" s="790">
        <v>544</v>
      </c>
      <c r="O1189" s="790" t="s">
        <v>11257</v>
      </c>
      <c r="P1189" s="790" t="s">
        <v>10244</v>
      </c>
      <c r="R1189" s="30"/>
    </row>
    <row r="1190" spans="1:18">
      <c r="B1190" s="5" t="s">
        <v>11261</v>
      </c>
      <c r="C1190" s="1038">
        <v>740</v>
      </c>
      <c r="D1190" s="7">
        <f>Page8!K53</f>
        <v>0</v>
      </c>
      <c r="E1190" s="7">
        <f>Page8!Q53</f>
        <v>0</v>
      </c>
      <c r="F1190" t="str">
        <f t="shared" si="71"/>
        <v>03-00-740-GRSINC-CURR</v>
      </c>
      <c r="G1190" t="s">
        <v>127</v>
      </c>
      <c r="H1190" t="s">
        <v>10287</v>
      </c>
      <c r="I1190" t="s">
        <v>10253</v>
      </c>
      <c r="K1190" s="1073" t="s">
        <v>10981</v>
      </c>
      <c r="L1190" s="789" t="s">
        <v>10241</v>
      </c>
      <c r="M1190" s="790">
        <v>740</v>
      </c>
      <c r="O1190" s="790" t="s">
        <v>11257</v>
      </c>
      <c r="P1190" s="790" t="s">
        <v>10244</v>
      </c>
      <c r="R1190" s="30"/>
    </row>
    <row r="1191" spans="1:18">
      <c r="B1191" s="50" t="s">
        <v>11262</v>
      </c>
      <c r="C1191" s="1042"/>
      <c r="D1191" s="7">
        <f>Page8!K54</f>
        <v>0</v>
      </c>
      <c r="E1191" s="7">
        <f>Page8!Q54</f>
        <v>0</v>
      </c>
      <c r="F1191" t="str">
        <f t="shared" si="71"/>
        <v>03-00-FIPPTOTL-GRSINC-CURR</v>
      </c>
      <c r="G1191" t="s">
        <v>127</v>
      </c>
      <c r="H1191" t="s">
        <v>10287</v>
      </c>
      <c r="I1191" t="s">
        <v>10253</v>
      </c>
      <c r="K1191" s="1073" t="s">
        <v>10981</v>
      </c>
      <c r="L1191" s="789" t="s">
        <v>10241</v>
      </c>
      <c r="M1191" s="790" t="s">
        <v>11255</v>
      </c>
      <c r="O1191" s="790" t="s">
        <v>11257</v>
      </c>
      <c r="P1191" s="790" t="s">
        <v>10244</v>
      </c>
      <c r="Q1191" s="791" t="s">
        <v>773</v>
      </c>
    </row>
    <row r="1192" spans="1:18" s="817" customFormat="1" ht="13">
      <c r="A1192" s="814" t="s">
        <v>5594</v>
      </c>
      <c r="B1192" s="815"/>
      <c r="C1192" s="1053"/>
      <c r="D1192" s="816"/>
      <c r="E1192" s="816"/>
      <c r="K1192" s="799"/>
      <c r="L1192" s="789"/>
      <c r="M1192" s="790"/>
      <c r="N1192" s="790"/>
      <c r="O1192" s="790"/>
      <c r="P1192" s="790"/>
      <c r="Q1192" s="791"/>
      <c r="R1192" s="791"/>
    </row>
    <row r="1193" spans="1:18">
      <c r="A1193" s="30"/>
      <c r="B1193" s="24" t="s">
        <v>5597</v>
      </c>
      <c r="C1193" s="1054">
        <v>200</v>
      </c>
      <c r="D1193" s="7">
        <f>Page1!I10</f>
        <v>-2762</v>
      </c>
      <c r="E1193" s="7">
        <f>Page1!I10</f>
        <v>-2762</v>
      </c>
      <c r="F1193" t="str">
        <f t="shared" si="71"/>
        <v>00-00-200-AMT-CURR</v>
      </c>
      <c r="G1193" t="s">
        <v>127</v>
      </c>
      <c r="H1193" t="s">
        <v>95</v>
      </c>
      <c r="I1193" t="s">
        <v>10253</v>
      </c>
      <c r="K1193" s="1073" t="s">
        <v>10241</v>
      </c>
      <c r="L1193" s="789" t="s">
        <v>10241</v>
      </c>
      <c r="M1193" s="790" t="s">
        <v>11263</v>
      </c>
      <c r="O1193" s="790" t="s">
        <v>10263</v>
      </c>
      <c r="P1193" s="790" t="s">
        <v>10244</v>
      </c>
      <c r="R1193" s="30"/>
    </row>
    <row r="1194" spans="1:18">
      <c r="B1194" s="5" t="s">
        <v>5599</v>
      </c>
      <c r="C1194" s="1055">
        <v>202</v>
      </c>
      <c r="D1194" s="7">
        <f>Page1!I11</f>
        <v>983368</v>
      </c>
      <c r="E1194" s="7">
        <f>Page1!I11</f>
        <v>983368</v>
      </c>
      <c r="F1194" t="str">
        <f t="shared" si="71"/>
        <v>00-00-202-AMT-CURR</v>
      </c>
      <c r="G1194" t="s">
        <v>127</v>
      </c>
      <c r="H1194" t="s">
        <v>95</v>
      </c>
      <c r="I1194" t="s">
        <v>10253</v>
      </c>
      <c r="K1194" s="1073" t="s">
        <v>10241</v>
      </c>
      <c r="L1194" s="789" t="s">
        <v>10241</v>
      </c>
      <c r="M1194" s="790" t="s">
        <v>11264</v>
      </c>
      <c r="O1194" s="790" t="s">
        <v>10263</v>
      </c>
      <c r="P1194" s="790" t="s">
        <v>10244</v>
      </c>
      <c r="R1194" s="30"/>
    </row>
    <row r="1195" spans="1:18">
      <c r="B1195" s="40" t="s">
        <v>5601</v>
      </c>
      <c r="C1195" s="1055">
        <v>205</v>
      </c>
      <c r="D1195" s="7">
        <f>Page1!I12</f>
        <v>714323</v>
      </c>
      <c r="E1195" s="7">
        <f>Page1!I12</f>
        <v>714323</v>
      </c>
      <c r="F1195" t="str">
        <f t="shared" si="71"/>
        <v>00-00-205-AMT-CURR</v>
      </c>
      <c r="G1195" t="s">
        <v>127</v>
      </c>
      <c r="H1195" t="s">
        <v>95</v>
      </c>
      <c r="I1195" t="s">
        <v>10253</v>
      </c>
      <c r="K1195" s="1073" t="s">
        <v>10241</v>
      </c>
      <c r="L1195" s="789" t="s">
        <v>10241</v>
      </c>
      <c r="M1195" s="790" t="s">
        <v>11265</v>
      </c>
      <c r="O1195" s="790" t="s">
        <v>10263</v>
      </c>
      <c r="P1195" s="790" t="s">
        <v>10244</v>
      </c>
      <c r="R1195" s="30"/>
    </row>
    <row r="1196" spans="1:18">
      <c r="B1196" s="40" t="s">
        <v>5603</v>
      </c>
      <c r="C1196" s="1055">
        <v>260</v>
      </c>
      <c r="D1196" s="7">
        <f>Page1!I13</f>
        <v>0</v>
      </c>
      <c r="E1196" s="7">
        <f>Page1!I13</f>
        <v>0</v>
      </c>
      <c r="F1196" t="str">
        <f t="shared" si="71"/>
        <v>00-00-260-AMT-CURR</v>
      </c>
      <c r="G1196" t="s">
        <v>127</v>
      </c>
      <c r="H1196" t="s">
        <v>95</v>
      </c>
      <c r="I1196" t="s">
        <v>10253</v>
      </c>
      <c r="K1196" s="1073" t="s">
        <v>10241</v>
      </c>
      <c r="L1196" s="789" t="s">
        <v>10241</v>
      </c>
      <c r="M1196" s="790" t="s">
        <v>11266</v>
      </c>
      <c r="O1196" s="790" t="s">
        <v>10263</v>
      </c>
      <c r="P1196" s="790" t="s">
        <v>10244</v>
      </c>
      <c r="R1196" s="30"/>
    </row>
    <row r="1197" spans="1:18">
      <c r="B1197" s="52" t="s">
        <v>11267</v>
      </c>
      <c r="C1197" s="1042"/>
      <c r="D1197" s="7">
        <f>Page1!I15</f>
        <v>1694929</v>
      </c>
      <c r="E1197" s="7">
        <f>Page1!I15</f>
        <v>1694929</v>
      </c>
      <c r="F1197" t="str">
        <f t="shared" si="71"/>
        <v>00-00-CASHCNTR-AMT-CURR</v>
      </c>
      <c r="G1197" t="s">
        <v>127</v>
      </c>
      <c r="H1197" t="s">
        <v>95</v>
      </c>
      <c r="I1197" t="s">
        <v>10253</v>
      </c>
      <c r="J1197" t="s">
        <v>10268</v>
      </c>
      <c r="K1197" s="1073" t="s">
        <v>10241</v>
      </c>
      <c r="L1197" s="789" t="s">
        <v>10241</v>
      </c>
      <c r="M1197" s="790" t="s">
        <v>11268</v>
      </c>
      <c r="O1197" s="790" t="s">
        <v>10263</v>
      </c>
      <c r="P1197" s="790" t="s">
        <v>10244</v>
      </c>
      <c r="Q1197" s="791" t="s">
        <v>773</v>
      </c>
    </row>
    <row r="1198" spans="1:18" ht="17.25" customHeight="1">
      <c r="B1198" s="47" t="s">
        <v>5633</v>
      </c>
      <c r="C1198" s="1049" t="s">
        <v>11269</v>
      </c>
      <c r="D1198" s="7">
        <f>Page1!I16</f>
        <v>2640613</v>
      </c>
      <c r="E1198" s="7">
        <f>Page1!I16</f>
        <v>2640613</v>
      </c>
      <c r="F1198" t="str">
        <f t="shared" si="71"/>
        <v>00-00-CUSTRECV-NET-CURR</v>
      </c>
      <c r="G1198" t="s">
        <v>127</v>
      </c>
      <c r="H1198" t="s">
        <v>95</v>
      </c>
      <c r="I1198" t="s">
        <v>10253</v>
      </c>
      <c r="J1198" t="s">
        <v>10268</v>
      </c>
      <c r="K1198" s="1073" t="s">
        <v>10241</v>
      </c>
      <c r="L1198" s="789" t="s">
        <v>10241</v>
      </c>
      <c r="M1198" s="790" t="s">
        <v>11089</v>
      </c>
      <c r="O1198" s="790" t="s">
        <v>1029</v>
      </c>
      <c r="P1198" s="790" t="s">
        <v>10244</v>
      </c>
      <c r="Q1198" s="791" t="s">
        <v>773</v>
      </c>
    </row>
    <row r="1199" spans="1:18">
      <c r="B1199" s="40" t="s">
        <v>5636</v>
      </c>
      <c r="C1199" s="1055">
        <v>261</v>
      </c>
      <c r="D1199" s="7">
        <f>Page1!I17</f>
        <v>329064</v>
      </c>
      <c r="E1199" s="7">
        <f>Page1!I17</f>
        <v>329064</v>
      </c>
      <c r="F1199" t="str">
        <f t="shared" si="71"/>
        <v>00-00-261-AMT-CURR</v>
      </c>
      <c r="G1199" t="s">
        <v>127</v>
      </c>
      <c r="H1199" t="s">
        <v>95</v>
      </c>
      <c r="I1199" t="s">
        <v>10253</v>
      </c>
      <c r="K1199" s="1073" t="s">
        <v>10241</v>
      </c>
      <c r="L1199" s="789" t="s">
        <v>10241</v>
      </c>
      <c r="M1199" s="790" t="s">
        <v>11270</v>
      </c>
      <c r="O1199" s="790" t="s">
        <v>10263</v>
      </c>
      <c r="P1199" s="790" t="s">
        <v>10244</v>
      </c>
      <c r="R1199" s="30"/>
    </row>
    <row r="1200" spans="1:18">
      <c r="B1200" s="40" t="s">
        <v>5638</v>
      </c>
      <c r="C1200" s="1055">
        <v>262</v>
      </c>
      <c r="D1200" s="7">
        <f>Page1!I18</f>
        <v>0</v>
      </c>
      <c r="E1200" s="7">
        <f>Page1!I18</f>
        <v>0</v>
      </c>
      <c r="F1200" t="str">
        <f t="shared" si="71"/>
        <v>00-00-262-AMT-CURR</v>
      </c>
      <c r="G1200" t="s">
        <v>127</v>
      </c>
      <c r="H1200" t="s">
        <v>95</v>
      </c>
      <c r="I1200" t="s">
        <v>10253</v>
      </c>
      <c r="K1200" s="1073" t="s">
        <v>10241</v>
      </c>
      <c r="L1200" s="789" t="s">
        <v>10241</v>
      </c>
      <c r="M1200" s="790" t="s">
        <v>11271</v>
      </c>
      <c r="O1200" s="790" t="s">
        <v>10263</v>
      </c>
      <c r="P1200" s="790" t="s">
        <v>10244</v>
      </c>
      <c r="R1200" s="30"/>
    </row>
    <row r="1201" spans="2:18">
      <c r="B1201" s="40" t="s">
        <v>5640</v>
      </c>
      <c r="C1201" s="1055">
        <v>263</v>
      </c>
      <c r="D1201" s="7">
        <f>Page1!I19</f>
        <v>10933</v>
      </c>
      <c r="E1201" s="7">
        <f>Page1!I19</f>
        <v>10933</v>
      </c>
      <c r="F1201" t="str">
        <f t="shared" si="71"/>
        <v>00-00-263-AMT-CURR</v>
      </c>
      <c r="G1201" t="s">
        <v>127</v>
      </c>
      <c r="H1201" t="s">
        <v>95</v>
      </c>
      <c r="I1201" t="s">
        <v>10253</v>
      </c>
      <c r="K1201" s="1073" t="s">
        <v>10241</v>
      </c>
      <c r="L1201" s="789" t="s">
        <v>10241</v>
      </c>
      <c r="M1201" s="790" t="s">
        <v>11272</v>
      </c>
      <c r="O1201" s="790" t="s">
        <v>10263</v>
      </c>
      <c r="P1201" s="790" t="s">
        <v>10244</v>
      </c>
      <c r="R1201" s="30"/>
    </row>
    <row r="1202" spans="2:18">
      <c r="B1202" s="40" t="s">
        <v>5642</v>
      </c>
      <c r="C1202" s="1055">
        <v>264</v>
      </c>
      <c r="D1202" s="7">
        <f>Page1!I20</f>
        <v>132</v>
      </c>
      <c r="E1202" s="7">
        <f>Page1!I20</f>
        <v>132</v>
      </c>
      <c r="F1202" t="str">
        <f t="shared" si="71"/>
        <v>00-00-264-AMT-CURR</v>
      </c>
      <c r="G1202" t="s">
        <v>127</v>
      </c>
      <c r="H1202" t="s">
        <v>95</v>
      </c>
      <c r="I1202" t="s">
        <v>10253</v>
      </c>
      <c r="K1202" s="1073" t="s">
        <v>10241</v>
      </c>
      <c r="L1202" s="789" t="s">
        <v>10241</v>
      </c>
      <c r="M1202" s="790" t="s">
        <v>11273</v>
      </c>
      <c r="O1202" s="790" t="s">
        <v>10263</v>
      </c>
      <c r="P1202" s="790" t="s">
        <v>10244</v>
      </c>
      <c r="R1202" s="30"/>
    </row>
    <row r="1203" spans="2:18">
      <c r="B1203" s="40" t="s">
        <v>11274</v>
      </c>
      <c r="C1203" s="1055">
        <v>265</v>
      </c>
      <c r="D1203" s="7">
        <f>Page1!I21</f>
        <v>349581</v>
      </c>
      <c r="E1203" s="7">
        <f>Page1!I21</f>
        <v>349581</v>
      </c>
      <c r="F1203" t="str">
        <f>TEXT(K1203,"00")&amp;"-"&amp;L1203&amp;IF(M1203="","","-"&amp;M1203)&amp;IF(N1203="","","-"&amp;N1203)&amp;IF(OR(O1203="",O1203=0),"","-"&amp;O1203)&amp;IF(P1203="","","-"&amp;P1203)</f>
        <v>00-00-265-AMT-CURR</v>
      </c>
      <c r="G1203" t="s">
        <v>127</v>
      </c>
      <c r="H1203" t="s">
        <v>95</v>
      </c>
      <c r="I1203" t="s">
        <v>10253</v>
      </c>
      <c r="K1203" s="1073" t="s">
        <v>10241</v>
      </c>
      <c r="L1203" s="789" t="s">
        <v>10241</v>
      </c>
      <c r="M1203" s="790">
        <v>265</v>
      </c>
      <c r="O1203" s="790" t="s">
        <v>10263</v>
      </c>
      <c r="P1203" s="790" t="s">
        <v>10244</v>
      </c>
      <c r="R1203" s="30"/>
    </row>
    <row r="1204" spans="2:18">
      <c r="B1204" s="53" t="s">
        <v>11275</v>
      </c>
      <c r="C1204" s="1042"/>
      <c r="D1204" s="7">
        <f>Page1!I22</f>
        <v>3330323</v>
      </c>
      <c r="E1204" s="7">
        <f>Page1!I22</f>
        <v>3330323</v>
      </c>
      <c r="F1204" t="str">
        <f t="shared" ref="F1204:F1267" si="72">TEXT(K1204,"00")&amp;"-"&amp;L1204&amp;IF(M1204="","","-"&amp;M1204)&amp;IF(N1204="","","-"&amp;N1204)&amp;IF(OR(O1204="",O1204=0),"","-"&amp;O1204)&amp;IF(P1204="","","-"&amp;P1204)</f>
        <v>00-00-TOTRECVS-AMT-CURR</v>
      </c>
      <c r="G1204" t="s">
        <v>127</v>
      </c>
      <c r="H1204" t="s">
        <v>95</v>
      </c>
      <c r="I1204" t="s">
        <v>10253</v>
      </c>
      <c r="J1204" t="s">
        <v>10268</v>
      </c>
      <c r="K1204" s="1073" t="s">
        <v>10241</v>
      </c>
      <c r="L1204" s="789" t="s">
        <v>10241</v>
      </c>
      <c r="M1204" s="790" t="s">
        <v>11276</v>
      </c>
      <c r="O1204" s="790" t="s">
        <v>10263</v>
      </c>
      <c r="P1204" s="790" t="s">
        <v>10244</v>
      </c>
      <c r="Q1204" s="791" t="s">
        <v>773</v>
      </c>
    </row>
    <row r="1205" spans="2:18">
      <c r="B1205" s="40" t="s">
        <v>5647</v>
      </c>
      <c r="C1205" s="1055">
        <v>230</v>
      </c>
      <c r="D1205" s="7">
        <f>Page1!I23</f>
        <v>0</v>
      </c>
      <c r="E1205" s="7">
        <f>Page1!I23</f>
        <v>0</v>
      </c>
      <c r="F1205" t="str">
        <f t="shared" si="72"/>
        <v>00-00-230-AMT-CURR</v>
      </c>
      <c r="G1205" t="s">
        <v>127</v>
      </c>
      <c r="H1205" t="s">
        <v>95</v>
      </c>
      <c r="I1205" t="s">
        <v>10253</v>
      </c>
      <c r="K1205" s="1073" t="s">
        <v>10241</v>
      </c>
      <c r="L1205" s="789" t="s">
        <v>10241</v>
      </c>
      <c r="M1205" s="790">
        <v>230</v>
      </c>
      <c r="O1205" s="790" t="s">
        <v>10263</v>
      </c>
      <c r="P1205" s="790" t="s">
        <v>10244</v>
      </c>
      <c r="Q1205" s="791" t="s">
        <v>773</v>
      </c>
    </row>
    <row r="1206" spans="2:18">
      <c r="B1206" s="40" t="s">
        <v>5649</v>
      </c>
      <c r="C1206" s="1055">
        <v>231</v>
      </c>
      <c r="D1206" s="7">
        <f>Page1!I24</f>
        <v>101989</v>
      </c>
      <c r="E1206" s="7">
        <f>Page1!I24</f>
        <v>101989</v>
      </c>
      <c r="F1206" t="str">
        <f t="shared" si="72"/>
        <v>00-00-231-AMT-CURR</v>
      </c>
      <c r="G1206" t="s">
        <v>127</v>
      </c>
      <c r="H1206" t="s">
        <v>95</v>
      </c>
      <c r="I1206" t="s">
        <v>10253</v>
      </c>
      <c r="K1206" s="1073" t="s">
        <v>10241</v>
      </c>
      <c r="L1206" s="789" t="s">
        <v>10241</v>
      </c>
      <c r="M1206" s="790">
        <v>231</v>
      </c>
      <c r="O1206" s="790" t="s">
        <v>10263</v>
      </c>
      <c r="P1206" s="790" t="s">
        <v>10244</v>
      </c>
      <c r="Q1206" s="791" t="s">
        <v>773</v>
      </c>
    </row>
    <row r="1207" spans="2:18">
      <c r="B1207" s="40" t="s">
        <v>5651</v>
      </c>
      <c r="C1207" s="1055">
        <v>237</v>
      </c>
      <c r="D1207" s="7">
        <f>Page1!I25</f>
        <v>10026181</v>
      </c>
      <c r="E1207" s="7">
        <f>Page1!I25</f>
        <v>10026181</v>
      </c>
      <c r="F1207" t="str">
        <f t="shared" si="72"/>
        <v>00-00-237-AMT-CURR</v>
      </c>
      <c r="G1207" t="s">
        <v>127</v>
      </c>
      <c r="H1207" t="s">
        <v>95</v>
      </c>
      <c r="I1207" t="s">
        <v>10253</v>
      </c>
      <c r="K1207" s="1073" t="s">
        <v>10241</v>
      </c>
      <c r="L1207" s="789" t="s">
        <v>10241</v>
      </c>
      <c r="M1207" s="790">
        <v>237</v>
      </c>
      <c r="O1207" s="790" t="s">
        <v>10263</v>
      </c>
      <c r="P1207" s="790" t="s">
        <v>10244</v>
      </c>
      <c r="Q1207" s="791" t="s">
        <v>773</v>
      </c>
    </row>
    <row r="1208" spans="2:18">
      <c r="B1208" s="40" t="s">
        <v>5653</v>
      </c>
      <c r="C1208" s="1055">
        <v>235</v>
      </c>
      <c r="D1208" s="7">
        <f>Page1!I26</f>
        <v>0</v>
      </c>
      <c r="E1208" s="7">
        <f>Page1!I26</f>
        <v>0</v>
      </c>
      <c r="F1208" t="str">
        <f t="shared" si="72"/>
        <v>00-00-235-AMT-CURR</v>
      </c>
      <c r="G1208" t="s">
        <v>127</v>
      </c>
      <c r="H1208" t="s">
        <v>95</v>
      </c>
      <c r="I1208" t="s">
        <v>10253</v>
      </c>
      <c r="K1208" s="1073" t="s">
        <v>10241</v>
      </c>
      <c r="L1208" s="789" t="s">
        <v>10241</v>
      </c>
      <c r="M1208" s="790">
        <v>235</v>
      </c>
      <c r="O1208" s="790" t="s">
        <v>10263</v>
      </c>
      <c r="P1208" s="790" t="s">
        <v>10244</v>
      </c>
      <c r="Q1208" s="791" t="s">
        <v>773</v>
      </c>
    </row>
    <row r="1209" spans="2:18">
      <c r="B1209" s="40" t="s">
        <v>5655</v>
      </c>
      <c r="C1209" s="1055">
        <v>238</v>
      </c>
      <c r="D1209" s="7">
        <f>Page1!I27</f>
        <v>0</v>
      </c>
      <c r="E1209" s="7">
        <f>Page1!I27</f>
        <v>0</v>
      </c>
      <c r="F1209" t="str">
        <f t="shared" si="72"/>
        <v>00-00-238-AMT-CURR</v>
      </c>
      <c r="G1209" t="s">
        <v>127</v>
      </c>
      <c r="H1209" t="s">
        <v>95</v>
      </c>
      <c r="I1209" t="s">
        <v>10253</v>
      </c>
      <c r="K1209" s="1073" t="s">
        <v>10241</v>
      </c>
      <c r="L1209" s="789" t="s">
        <v>10241</v>
      </c>
      <c r="M1209" s="790">
        <v>238</v>
      </c>
      <c r="O1209" s="790" t="s">
        <v>10263</v>
      </c>
      <c r="P1209" s="790" t="s">
        <v>10244</v>
      </c>
      <c r="Q1209" s="791" t="s">
        <v>773</v>
      </c>
    </row>
    <row r="1210" spans="2:18">
      <c r="B1210" s="40" t="s">
        <v>5657</v>
      </c>
      <c r="C1210" s="1055">
        <v>240</v>
      </c>
      <c r="D1210" s="7">
        <f>Page1!I28</f>
        <v>745411</v>
      </c>
      <c r="E1210" s="7">
        <f>Page1!I28</f>
        <v>745411</v>
      </c>
      <c r="F1210" t="str">
        <f t="shared" si="72"/>
        <v>00-00-240-AMT-CURR</v>
      </c>
      <c r="G1210" t="s">
        <v>127</v>
      </c>
      <c r="H1210" t="s">
        <v>95</v>
      </c>
      <c r="I1210" t="s">
        <v>10253</v>
      </c>
      <c r="K1210" s="1073" t="s">
        <v>10241</v>
      </c>
      <c r="L1210" s="789" t="s">
        <v>10241</v>
      </c>
      <c r="M1210" s="790">
        <v>240</v>
      </c>
      <c r="O1210" s="790" t="s">
        <v>10263</v>
      </c>
      <c r="P1210" s="790" t="s">
        <v>10244</v>
      </c>
      <c r="Q1210" s="791" t="s">
        <v>773</v>
      </c>
    </row>
    <row r="1211" spans="2:18">
      <c r="B1211" s="40" t="s">
        <v>5658</v>
      </c>
      <c r="C1211" s="1055">
        <v>241</v>
      </c>
      <c r="D1211" s="7">
        <f>Page1!I29</f>
        <v>9498359</v>
      </c>
      <c r="E1211" s="7">
        <f>Page1!I29</f>
        <v>9498359</v>
      </c>
      <c r="F1211" t="str">
        <f t="shared" si="72"/>
        <v>00-00-241-AMT-CURR</v>
      </c>
      <c r="G1211" t="s">
        <v>127</v>
      </c>
      <c r="H1211" t="s">
        <v>95</v>
      </c>
      <c r="I1211" t="s">
        <v>10253</v>
      </c>
      <c r="K1211" s="1073" t="s">
        <v>10241</v>
      </c>
      <c r="L1211" s="789" t="s">
        <v>10241</v>
      </c>
      <c r="M1211" s="790">
        <v>241</v>
      </c>
      <c r="O1211" s="790" t="s">
        <v>10263</v>
      </c>
      <c r="P1211" s="790" t="s">
        <v>10244</v>
      </c>
      <c r="Q1211" s="791" t="s">
        <v>773</v>
      </c>
    </row>
    <row r="1212" spans="2:18">
      <c r="B1212" s="40" t="s">
        <v>2010</v>
      </c>
      <c r="C1212" s="1055">
        <v>242</v>
      </c>
      <c r="D1212" s="7">
        <f>Page1!I30</f>
        <v>382979</v>
      </c>
      <c r="E1212" s="7">
        <f>Page1!I30</f>
        <v>382979</v>
      </c>
      <c r="F1212" t="str">
        <f t="shared" si="72"/>
        <v>00-00-242-AMT-CURR</v>
      </c>
      <c r="G1212" t="s">
        <v>127</v>
      </c>
      <c r="H1212" t="s">
        <v>95</v>
      </c>
      <c r="I1212" t="s">
        <v>10253</v>
      </c>
      <c r="K1212" s="1073" t="s">
        <v>10241</v>
      </c>
      <c r="L1212" s="789" t="s">
        <v>10241</v>
      </c>
      <c r="M1212" s="790" t="s">
        <v>11277</v>
      </c>
      <c r="O1212" s="790" t="s">
        <v>10263</v>
      </c>
      <c r="P1212" s="790" t="s">
        <v>10244</v>
      </c>
      <c r="Q1212" s="791" t="s">
        <v>773</v>
      </c>
    </row>
    <row r="1213" spans="2:18">
      <c r="B1213" s="5" t="s">
        <v>2019</v>
      </c>
      <c r="C1213" s="1055">
        <v>243</v>
      </c>
      <c r="D1213" s="7">
        <f>Page1!I31</f>
        <v>25824</v>
      </c>
      <c r="E1213" s="7">
        <f>Page1!I31</f>
        <v>25824</v>
      </c>
      <c r="F1213" t="str">
        <f t="shared" si="72"/>
        <v>00-00-243-AMT-CURR</v>
      </c>
      <c r="G1213" t="s">
        <v>127</v>
      </c>
      <c r="H1213" t="s">
        <v>95</v>
      </c>
      <c r="I1213" t="s">
        <v>10253</v>
      </c>
      <c r="K1213" s="1073" t="s">
        <v>10241</v>
      </c>
      <c r="L1213" s="789" t="s">
        <v>10241</v>
      </c>
      <c r="M1213" s="790" t="s">
        <v>11278</v>
      </c>
      <c r="O1213" s="790" t="s">
        <v>10263</v>
      </c>
      <c r="P1213" s="790" t="s">
        <v>10244</v>
      </c>
      <c r="R1213" s="30"/>
    </row>
    <row r="1214" spans="2:18">
      <c r="B1214" s="5" t="s">
        <v>2023</v>
      </c>
      <c r="C1214" s="1055">
        <v>244</v>
      </c>
      <c r="D1214" s="7">
        <f>Page1!I32</f>
        <v>37726</v>
      </c>
      <c r="E1214" s="7">
        <f>Page1!I32</f>
        <v>37726</v>
      </c>
      <c r="F1214" t="str">
        <f t="shared" si="72"/>
        <v>00-00-244-AMT-CURR</v>
      </c>
      <c r="G1214" t="s">
        <v>127</v>
      </c>
      <c r="H1214" t="s">
        <v>95</v>
      </c>
      <c r="I1214" t="s">
        <v>10253</v>
      </c>
      <c r="K1214" s="1073" t="s">
        <v>10241</v>
      </c>
      <c r="L1214" s="789" t="s">
        <v>10241</v>
      </c>
      <c r="M1214" s="790" t="s">
        <v>11279</v>
      </c>
      <c r="O1214" s="790" t="s">
        <v>10263</v>
      </c>
      <c r="P1214" s="790" t="s">
        <v>10244</v>
      </c>
      <c r="R1214" s="30"/>
    </row>
    <row r="1215" spans="2:18">
      <c r="B1215" s="5" t="s">
        <v>2027</v>
      </c>
      <c r="C1215" s="1055">
        <v>245</v>
      </c>
      <c r="D1215" s="7">
        <f>Page1!I33</f>
        <v>24835</v>
      </c>
      <c r="E1215" s="7">
        <f>Page1!I33</f>
        <v>24835</v>
      </c>
      <c r="F1215" t="str">
        <f t="shared" si="72"/>
        <v>00-00-245-AMT-CURR</v>
      </c>
      <c r="G1215" t="s">
        <v>127</v>
      </c>
      <c r="H1215" t="s">
        <v>95</v>
      </c>
      <c r="I1215" t="s">
        <v>10253</v>
      </c>
      <c r="K1215" s="1073" t="s">
        <v>10241</v>
      </c>
      <c r="L1215" s="789" t="s">
        <v>10241</v>
      </c>
      <c r="M1215" s="790" t="s">
        <v>11280</v>
      </c>
      <c r="O1215" s="790" t="s">
        <v>10263</v>
      </c>
      <c r="P1215" s="790" t="s">
        <v>10244</v>
      </c>
      <c r="R1215" s="30"/>
    </row>
    <row r="1216" spans="2:18">
      <c r="B1216" s="5" t="s">
        <v>5664</v>
      </c>
      <c r="C1216" s="1055">
        <v>246</v>
      </c>
      <c r="D1216" s="7">
        <f>Page1!I34</f>
        <v>51930</v>
      </c>
      <c r="E1216" s="7">
        <f>Page1!I34</f>
        <v>51930</v>
      </c>
      <c r="F1216" t="str">
        <f t="shared" si="72"/>
        <v>00-00-246-AMT-CURR</v>
      </c>
      <c r="G1216" t="s">
        <v>127</v>
      </c>
      <c r="H1216" t="s">
        <v>95</v>
      </c>
      <c r="I1216" t="s">
        <v>10253</v>
      </c>
      <c r="K1216" s="1073" t="s">
        <v>10241</v>
      </c>
      <c r="L1216" s="789" t="s">
        <v>10241</v>
      </c>
      <c r="M1216" s="790" t="s">
        <v>11281</v>
      </c>
      <c r="O1216" s="790" t="s">
        <v>10263</v>
      </c>
      <c r="P1216" s="790" t="s">
        <v>10244</v>
      </c>
      <c r="R1216" s="30"/>
    </row>
    <row r="1217" spans="2:18">
      <c r="B1217" s="5" t="s">
        <v>5666</v>
      </c>
      <c r="C1217" s="1055">
        <v>247</v>
      </c>
      <c r="D1217" s="7">
        <f>Page1!I35</f>
        <v>17981</v>
      </c>
      <c r="E1217" s="7">
        <f>Page1!I35</f>
        <v>17981</v>
      </c>
      <c r="F1217" t="str">
        <f t="shared" si="72"/>
        <v>00-00-247-AMT-CURR</v>
      </c>
      <c r="G1217" t="s">
        <v>127</v>
      </c>
      <c r="H1217" t="s">
        <v>95</v>
      </c>
      <c r="I1217" t="s">
        <v>10253</v>
      </c>
      <c r="K1217" s="1073" t="s">
        <v>10241</v>
      </c>
      <c r="L1217" s="789" t="s">
        <v>10241</v>
      </c>
      <c r="M1217" s="790" t="s">
        <v>11282</v>
      </c>
      <c r="O1217" s="790" t="s">
        <v>10263</v>
      </c>
      <c r="P1217" s="790" t="s">
        <v>10244</v>
      </c>
      <c r="R1217" s="30"/>
    </row>
    <row r="1218" spans="2:18">
      <c r="B1218" s="5" t="s">
        <v>4430</v>
      </c>
      <c r="C1218" s="1055">
        <v>252</v>
      </c>
      <c r="D1218" s="7">
        <f>Page1!I36</f>
        <v>0</v>
      </c>
      <c r="E1218" s="7">
        <f>Page1!I36</f>
        <v>0</v>
      </c>
      <c r="F1218" t="str">
        <f t="shared" si="72"/>
        <v>00-00-252-AMT-CURR</v>
      </c>
      <c r="G1218" t="s">
        <v>127</v>
      </c>
      <c r="H1218" t="s">
        <v>95</v>
      </c>
      <c r="I1218" t="s">
        <v>10253</v>
      </c>
      <c r="K1218" s="1073" t="s">
        <v>10241</v>
      </c>
      <c r="L1218" s="789" t="s">
        <v>10241</v>
      </c>
      <c r="M1218" s="790" t="s">
        <v>11283</v>
      </c>
      <c r="O1218" s="790" t="s">
        <v>10263</v>
      </c>
      <c r="P1218" s="790" t="s">
        <v>10244</v>
      </c>
      <c r="R1218" s="30"/>
    </row>
    <row r="1219" spans="2:18">
      <c r="B1219" s="48" t="s">
        <v>2031</v>
      </c>
      <c r="C1219" s="1056">
        <v>258</v>
      </c>
      <c r="D1219" s="7">
        <f>Page1!I37</f>
        <v>0</v>
      </c>
      <c r="E1219" s="7">
        <f>Page1!I37</f>
        <v>0</v>
      </c>
      <c r="F1219" t="str">
        <f t="shared" si="72"/>
        <v>00-00-258-AMT-CURR</v>
      </c>
      <c r="G1219" t="s">
        <v>127</v>
      </c>
      <c r="H1219" t="s">
        <v>95</v>
      </c>
      <c r="I1219" t="s">
        <v>10253</v>
      </c>
      <c r="K1219" s="1073" t="s">
        <v>10241</v>
      </c>
      <c r="L1219" s="789" t="s">
        <v>10241</v>
      </c>
      <c r="M1219" s="790" t="s">
        <v>11284</v>
      </c>
      <c r="O1219" s="790" t="s">
        <v>10263</v>
      </c>
      <c r="P1219" s="790" t="s">
        <v>10244</v>
      </c>
      <c r="R1219" s="30"/>
    </row>
    <row r="1220" spans="2:18">
      <c r="B1220" s="48" t="s">
        <v>11285</v>
      </c>
      <c r="C1220" s="1056">
        <v>339</v>
      </c>
      <c r="D1220" s="7">
        <f>Page1!I38</f>
        <v>0</v>
      </c>
      <c r="E1220" s="7">
        <f>Page1!I38</f>
        <v>0</v>
      </c>
      <c r="F1220" t="str">
        <f t="shared" si="72"/>
        <v>00-00-339-AMT-CURR</v>
      </c>
      <c r="G1220" t="s">
        <v>127</v>
      </c>
      <c r="H1220" t="s">
        <v>95</v>
      </c>
      <c r="I1220" t="s">
        <v>10253</v>
      </c>
      <c r="K1220" s="1073" t="s">
        <v>10241</v>
      </c>
      <c r="L1220" s="789" t="s">
        <v>10241</v>
      </c>
      <c r="M1220" s="790">
        <v>339</v>
      </c>
      <c r="O1220" s="790" t="s">
        <v>10263</v>
      </c>
      <c r="P1220" s="790" t="s">
        <v>10244</v>
      </c>
      <c r="R1220" s="30"/>
    </row>
    <row r="1221" spans="2:18">
      <c r="B1221" s="52" t="s">
        <v>11286</v>
      </c>
      <c r="C1221" s="1042"/>
      <c r="D1221" s="7">
        <f>Page1!I39</f>
        <v>20913215</v>
      </c>
      <c r="E1221" s="7">
        <f>Page1!I39</f>
        <v>20913215</v>
      </c>
      <c r="F1221" t="str">
        <f t="shared" si="72"/>
        <v>00-00-TOTINVEN-AMT-CURR</v>
      </c>
      <c r="G1221" t="s">
        <v>127</v>
      </c>
      <c r="H1221" t="s">
        <v>95</v>
      </c>
      <c r="I1221" t="s">
        <v>10253</v>
      </c>
      <c r="J1221" t="s">
        <v>10268</v>
      </c>
      <c r="K1221" s="1073" t="s">
        <v>10241</v>
      </c>
      <c r="L1221" s="789" t="s">
        <v>10241</v>
      </c>
      <c r="M1221" s="790" t="s">
        <v>11287</v>
      </c>
      <c r="O1221" s="790" t="s">
        <v>10263</v>
      </c>
      <c r="P1221" s="790" t="s">
        <v>10244</v>
      </c>
      <c r="Q1221" s="791" t="s">
        <v>773</v>
      </c>
    </row>
    <row r="1222" spans="2:18">
      <c r="B1222" s="5" t="s">
        <v>11288</v>
      </c>
      <c r="C1222" s="1055">
        <v>270</v>
      </c>
      <c r="D1222" s="7">
        <f>Page1!I40</f>
        <v>138420</v>
      </c>
      <c r="E1222" s="7">
        <f>Page1!I40</f>
        <v>138420</v>
      </c>
      <c r="F1222" t="str">
        <f t="shared" si="72"/>
        <v>00-00-270-AMT-CURR</v>
      </c>
      <c r="G1222" t="s">
        <v>127</v>
      </c>
      <c r="H1222" t="s">
        <v>95</v>
      </c>
      <c r="I1222" t="s">
        <v>10253</v>
      </c>
      <c r="K1222" s="1073" t="s">
        <v>10241</v>
      </c>
      <c r="L1222" s="789" t="s">
        <v>10241</v>
      </c>
      <c r="M1222" s="790" t="s">
        <v>11289</v>
      </c>
      <c r="O1222" s="790" t="s">
        <v>10263</v>
      </c>
      <c r="P1222" s="790" t="s">
        <v>10244</v>
      </c>
      <c r="R1222" s="30"/>
    </row>
    <row r="1223" spans="2:18">
      <c r="B1223" s="5" t="s">
        <v>11290</v>
      </c>
      <c r="C1223" s="1055">
        <v>271</v>
      </c>
      <c r="D1223" s="7">
        <f>Page1!I41</f>
        <v>0</v>
      </c>
      <c r="E1223" s="7">
        <f>Page1!I41</f>
        <v>0</v>
      </c>
      <c r="F1223" t="str">
        <f t="shared" si="72"/>
        <v>00-00-271-AMT-CURR</v>
      </c>
      <c r="G1223" t="s">
        <v>127</v>
      </c>
      <c r="H1223" t="s">
        <v>95</v>
      </c>
      <c r="I1223" t="s">
        <v>10253</v>
      </c>
      <c r="K1223" s="1073" t="s">
        <v>10241</v>
      </c>
      <c r="L1223" s="789" t="s">
        <v>10241</v>
      </c>
      <c r="M1223" s="790" t="s">
        <v>11291</v>
      </c>
      <c r="O1223" s="790" t="s">
        <v>10263</v>
      </c>
      <c r="P1223" s="790" t="s">
        <v>10244</v>
      </c>
      <c r="R1223" s="30"/>
    </row>
    <row r="1224" spans="2:18">
      <c r="B1224" s="5" t="s">
        <v>11292</v>
      </c>
      <c r="C1224" s="1056">
        <v>274</v>
      </c>
      <c r="D1224" s="7">
        <f>Page1!I42</f>
        <v>403556</v>
      </c>
      <c r="E1224" s="7">
        <f>Page1!I42</f>
        <v>403556</v>
      </c>
      <c r="F1224" t="str">
        <f t="shared" si="72"/>
        <v>00-00-274-AMT-CURR</v>
      </c>
      <c r="G1224" t="s">
        <v>127</v>
      </c>
      <c r="H1224" t="s">
        <v>95</v>
      </c>
      <c r="I1224" t="s">
        <v>10253</v>
      </c>
      <c r="K1224" s="1073" t="s">
        <v>10241</v>
      </c>
      <c r="L1224" s="789" t="s">
        <v>10241</v>
      </c>
      <c r="M1224" s="790" t="s">
        <v>11293</v>
      </c>
      <c r="O1224" s="790" t="s">
        <v>10263</v>
      </c>
      <c r="P1224" s="790" t="s">
        <v>10244</v>
      </c>
      <c r="R1224" s="30"/>
    </row>
    <row r="1225" spans="2:18">
      <c r="B1225" s="52" t="s">
        <v>11294</v>
      </c>
      <c r="C1225" s="1042"/>
      <c r="D1225" s="7">
        <f>Page1!I43</f>
        <v>26480443</v>
      </c>
      <c r="E1225" s="7">
        <f>Page1!I43</f>
        <v>26480443</v>
      </c>
      <c r="F1225" t="str">
        <f t="shared" si="72"/>
        <v>00-00-CURRASST-AMT-CURR</v>
      </c>
      <c r="G1225" t="s">
        <v>127</v>
      </c>
      <c r="H1225" t="s">
        <v>95</v>
      </c>
      <c r="I1225" t="s">
        <v>10253</v>
      </c>
      <c r="J1225" t="s">
        <v>10268</v>
      </c>
      <c r="K1225" s="1073" t="s">
        <v>10241</v>
      </c>
      <c r="L1225" s="789" t="s">
        <v>10241</v>
      </c>
      <c r="M1225" s="790" t="s">
        <v>11295</v>
      </c>
      <c r="O1225" s="790" t="s">
        <v>10263</v>
      </c>
      <c r="P1225" s="790" t="s">
        <v>10244</v>
      </c>
      <c r="Q1225" s="791" t="s">
        <v>773</v>
      </c>
    </row>
    <row r="1226" spans="2:18">
      <c r="B1226" s="50" t="s">
        <v>11296</v>
      </c>
      <c r="C1226" s="1054">
        <v>275</v>
      </c>
      <c r="D1226" s="7">
        <f>Page1!I44</f>
        <v>0</v>
      </c>
      <c r="E1226" s="7">
        <f>Page1!I44</f>
        <v>0</v>
      </c>
      <c r="F1226" t="str">
        <f t="shared" si="72"/>
        <v>00-00-275-AMT-CURR</v>
      </c>
      <c r="G1226" t="s">
        <v>127</v>
      </c>
      <c r="H1226" t="s">
        <v>95</v>
      </c>
      <c r="I1226" t="s">
        <v>10253</v>
      </c>
      <c r="K1226" s="1073" t="s">
        <v>10241</v>
      </c>
      <c r="L1226" s="789" t="s">
        <v>10241</v>
      </c>
      <c r="M1226" s="790" t="s">
        <v>10254</v>
      </c>
      <c r="O1226" s="790" t="s">
        <v>10263</v>
      </c>
      <c r="P1226" s="790" t="s">
        <v>10244</v>
      </c>
      <c r="R1226" s="30"/>
    </row>
    <row r="1227" spans="2:18" ht="13">
      <c r="B1227" s="5" t="s">
        <v>11297</v>
      </c>
      <c r="C1227" s="1055">
        <v>277</v>
      </c>
      <c r="D1227" s="7">
        <f>Page1!I45-Page1!G46</f>
        <v>0</v>
      </c>
      <c r="E1227" s="7">
        <f>Page1!I45-Page1!G46</f>
        <v>0</v>
      </c>
      <c r="F1227" s="857" t="str">
        <f t="shared" si="72"/>
        <v>00-00-277-AMT-CURR</v>
      </c>
      <c r="G1227" t="s">
        <v>127</v>
      </c>
      <c r="H1227" t="s">
        <v>95</v>
      </c>
      <c r="I1227" t="s">
        <v>10253</v>
      </c>
      <c r="K1227" s="1073" t="s">
        <v>10241</v>
      </c>
      <c r="L1227" s="798" t="s">
        <v>10241</v>
      </c>
      <c r="M1227" s="856">
        <v>277</v>
      </c>
      <c r="O1227" s="790" t="s">
        <v>10263</v>
      </c>
      <c r="P1227" s="790" t="s">
        <v>10244</v>
      </c>
      <c r="R1227" s="30"/>
    </row>
    <row r="1228" spans="2:18" ht="13">
      <c r="B1228" s="5" t="s">
        <v>11298</v>
      </c>
      <c r="C1228" s="1057">
        <v>347</v>
      </c>
      <c r="D1228" s="7">
        <f>Page1!$G$46</f>
        <v>0</v>
      </c>
      <c r="E1228" s="7">
        <f>Page1!$G$46</f>
        <v>0</v>
      </c>
      <c r="F1228" s="30" t="str">
        <f t="shared" si="72"/>
        <v>00-00-347-ACCDEPR-CURR</v>
      </c>
      <c r="G1228" t="s">
        <v>127</v>
      </c>
      <c r="H1228" t="s">
        <v>95</v>
      </c>
      <c r="I1228" t="s">
        <v>10253</v>
      </c>
      <c r="K1228" s="1073" t="s">
        <v>10241</v>
      </c>
      <c r="L1228" s="798" t="s">
        <v>10241</v>
      </c>
      <c r="M1228" s="807">
        <v>347</v>
      </c>
      <c r="O1228" s="790" t="s">
        <v>11240</v>
      </c>
      <c r="P1228" s="790" t="s">
        <v>10244</v>
      </c>
    </row>
    <row r="1229" spans="2:18">
      <c r="B1229" s="54" t="s">
        <v>11299</v>
      </c>
      <c r="C1229" s="1042"/>
      <c r="D1229" s="7">
        <f>Page1!I47</f>
        <v>26480443</v>
      </c>
      <c r="E1229" s="7">
        <f>Page1!I47</f>
        <v>26480443</v>
      </c>
      <c r="F1229" t="str">
        <f t="shared" si="72"/>
        <v>00-00-WORKASST-AMT-CURR</v>
      </c>
      <c r="G1229" t="s">
        <v>127</v>
      </c>
      <c r="H1229" t="s">
        <v>95</v>
      </c>
      <c r="I1229" t="s">
        <v>10253</v>
      </c>
      <c r="J1229" t="s">
        <v>10268</v>
      </c>
      <c r="K1229" s="1073" t="s">
        <v>10241</v>
      </c>
      <c r="L1229" s="789" t="s">
        <v>10241</v>
      </c>
      <c r="M1229" s="790" t="s">
        <v>11300</v>
      </c>
      <c r="O1229" s="790" t="s">
        <v>10263</v>
      </c>
      <c r="P1229" s="790" t="s">
        <v>10244</v>
      </c>
      <c r="Q1229" s="791" t="s">
        <v>773</v>
      </c>
    </row>
    <row r="1230" spans="2:18">
      <c r="B1230" s="45" t="s">
        <v>5682</v>
      </c>
      <c r="C1230" s="1058">
        <v>280</v>
      </c>
      <c r="D1230" s="7">
        <f>Page1!F50</f>
        <v>0</v>
      </c>
      <c r="E1230" s="7">
        <f>Page1!F50</f>
        <v>0</v>
      </c>
      <c r="F1230" t="str">
        <f t="shared" si="72"/>
        <v>00-00-280-COST-CURR</v>
      </c>
      <c r="G1230" t="s">
        <v>127</v>
      </c>
      <c r="H1230" t="s">
        <v>95</v>
      </c>
      <c r="I1230" t="s">
        <v>10253</v>
      </c>
      <c r="K1230" s="1073" t="s">
        <v>10241</v>
      </c>
      <c r="L1230" s="789" t="s">
        <v>10241</v>
      </c>
      <c r="M1230" s="790" t="s">
        <v>11301</v>
      </c>
      <c r="O1230" s="790" t="s">
        <v>11302</v>
      </c>
      <c r="P1230" s="790" t="s">
        <v>10244</v>
      </c>
      <c r="R1230" s="30"/>
    </row>
    <row r="1231" spans="2:18">
      <c r="B1231" s="49" t="s">
        <v>5684</v>
      </c>
      <c r="C1231" s="1058">
        <v>281</v>
      </c>
      <c r="D1231" s="7">
        <f>Page1!F51</f>
        <v>233357</v>
      </c>
      <c r="E1231" s="7">
        <f>Page1!F51</f>
        <v>233357</v>
      </c>
      <c r="F1231" t="str">
        <f t="shared" si="72"/>
        <v>00-00-281-COST-CURR</v>
      </c>
      <c r="G1231" t="s">
        <v>127</v>
      </c>
      <c r="H1231" t="s">
        <v>95</v>
      </c>
      <c r="I1231" t="s">
        <v>10253</v>
      </c>
      <c r="K1231" s="1073" t="s">
        <v>10241</v>
      </c>
      <c r="L1231" s="789" t="s">
        <v>10241</v>
      </c>
      <c r="M1231" s="790" t="s">
        <v>11303</v>
      </c>
      <c r="O1231" s="790" t="s">
        <v>11302</v>
      </c>
      <c r="P1231" s="790" t="s">
        <v>10244</v>
      </c>
      <c r="R1231" s="30"/>
    </row>
    <row r="1232" spans="2:18">
      <c r="B1232" s="49" t="s">
        <v>11304</v>
      </c>
      <c r="C1232" s="1058">
        <v>286</v>
      </c>
      <c r="D1232" s="7">
        <f>Page1!F52</f>
        <v>0</v>
      </c>
      <c r="E1232" s="7">
        <f>Page1!F52</f>
        <v>0</v>
      </c>
      <c r="F1232" t="str">
        <f t="shared" si="72"/>
        <v>00-00-286-COST-CURR</v>
      </c>
      <c r="G1232" t="s">
        <v>127</v>
      </c>
      <c r="H1232" t="s">
        <v>95</v>
      </c>
      <c r="I1232" t="s">
        <v>10253</v>
      </c>
      <c r="K1232" s="1073" t="s">
        <v>10241</v>
      </c>
      <c r="L1232" s="789" t="s">
        <v>10241</v>
      </c>
      <c r="M1232" s="790" t="s">
        <v>11305</v>
      </c>
      <c r="O1232" s="790" t="s">
        <v>11302</v>
      </c>
      <c r="P1232" s="790" t="s">
        <v>10244</v>
      </c>
      <c r="R1232" s="30"/>
    </row>
    <row r="1233" spans="2:18">
      <c r="B1233" s="49" t="s">
        <v>5688</v>
      </c>
      <c r="C1233" s="1058">
        <v>287</v>
      </c>
      <c r="D1233" s="7">
        <f>Page1!F53</f>
        <v>58570</v>
      </c>
      <c r="E1233" s="7">
        <f>Page1!F53</f>
        <v>58570</v>
      </c>
      <c r="F1233" t="str">
        <f t="shared" si="72"/>
        <v>00-00-287-COST-CURR</v>
      </c>
      <c r="G1233" t="s">
        <v>127</v>
      </c>
      <c r="H1233" t="s">
        <v>95</v>
      </c>
      <c r="I1233" t="s">
        <v>10253</v>
      </c>
      <c r="K1233" s="1073" t="s">
        <v>10241</v>
      </c>
      <c r="L1233" s="789" t="s">
        <v>10241</v>
      </c>
      <c r="M1233" s="790" t="s">
        <v>11306</v>
      </c>
      <c r="O1233" s="790" t="s">
        <v>11302</v>
      </c>
      <c r="P1233" s="790" t="s">
        <v>10244</v>
      </c>
      <c r="R1233" s="30"/>
    </row>
    <row r="1234" spans="2:18">
      <c r="B1234" s="49" t="s">
        <v>5690</v>
      </c>
      <c r="C1234" s="1058">
        <v>288</v>
      </c>
      <c r="D1234" s="7">
        <f>Page1!F54</f>
        <v>7207</v>
      </c>
      <c r="E1234" s="7">
        <f>Page1!F54</f>
        <v>7207</v>
      </c>
      <c r="F1234" t="str">
        <f t="shared" si="72"/>
        <v>00-00-288-COST-CURR</v>
      </c>
      <c r="G1234" t="s">
        <v>127</v>
      </c>
      <c r="H1234" t="s">
        <v>95</v>
      </c>
      <c r="I1234" t="s">
        <v>10253</v>
      </c>
      <c r="K1234" s="1073" t="s">
        <v>10241</v>
      </c>
      <c r="L1234" s="789" t="s">
        <v>10241</v>
      </c>
      <c r="M1234" s="790">
        <v>288</v>
      </c>
      <c r="O1234" s="790" t="s">
        <v>11302</v>
      </c>
      <c r="P1234" s="790" t="s">
        <v>10244</v>
      </c>
      <c r="R1234" s="30"/>
    </row>
    <row r="1235" spans="2:18">
      <c r="B1235" s="45" t="s">
        <v>5692</v>
      </c>
      <c r="C1235" s="1058">
        <v>282</v>
      </c>
      <c r="D1235" s="7">
        <f>Page1!F55</f>
        <v>698014</v>
      </c>
      <c r="E1235" s="7">
        <f>Page1!F55</f>
        <v>698014</v>
      </c>
      <c r="F1235" t="str">
        <f t="shared" si="72"/>
        <v>00-00-282-COST-CURR</v>
      </c>
      <c r="G1235" t="s">
        <v>127</v>
      </c>
      <c r="H1235" t="s">
        <v>95</v>
      </c>
      <c r="I1235" t="s">
        <v>10253</v>
      </c>
      <c r="K1235" s="1073" t="s">
        <v>10241</v>
      </c>
      <c r="L1235" s="789" t="s">
        <v>10241</v>
      </c>
      <c r="M1235" s="790" t="s">
        <v>11307</v>
      </c>
      <c r="O1235" s="790" t="s">
        <v>11302</v>
      </c>
      <c r="P1235" s="790" t="s">
        <v>10244</v>
      </c>
      <c r="R1235" s="30"/>
    </row>
    <row r="1236" spans="2:18">
      <c r="B1236" s="45" t="s">
        <v>5694</v>
      </c>
      <c r="C1236" s="1058">
        <v>283</v>
      </c>
      <c r="D1236" s="7">
        <f>Page1!F56</f>
        <v>0</v>
      </c>
      <c r="E1236" s="7">
        <f>Page1!F56</f>
        <v>0</v>
      </c>
      <c r="F1236" t="str">
        <f t="shared" si="72"/>
        <v>00-00-283-COST-CURR</v>
      </c>
      <c r="G1236" t="s">
        <v>127</v>
      </c>
      <c r="H1236" t="s">
        <v>95</v>
      </c>
      <c r="I1236" t="s">
        <v>10253</v>
      </c>
      <c r="K1236" s="1073" t="s">
        <v>10241</v>
      </c>
      <c r="L1236" s="789" t="s">
        <v>10241</v>
      </c>
      <c r="M1236" s="790" t="s">
        <v>11308</v>
      </c>
      <c r="O1236" s="790" t="s">
        <v>11302</v>
      </c>
      <c r="P1236" s="790" t="s">
        <v>10244</v>
      </c>
      <c r="R1236" s="30"/>
    </row>
    <row r="1237" spans="2:18">
      <c r="B1237" s="45" t="s">
        <v>5696</v>
      </c>
      <c r="C1237" s="1058">
        <v>284</v>
      </c>
      <c r="D1237" s="7">
        <f>Page1!F57</f>
        <v>49360</v>
      </c>
      <c r="E1237" s="7">
        <f>Page1!F57</f>
        <v>49360</v>
      </c>
      <c r="F1237" t="str">
        <f t="shared" si="72"/>
        <v>00-00-284-COST-CURR</v>
      </c>
      <c r="G1237" t="s">
        <v>127</v>
      </c>
      <c r="H1237" t="s">
        <v>95</v>
      </c>
      <c r="I1237" t="s">
        <v>10253</v>
      </c>
      <c r="K1237" s="1073" t="s">
        <v>10241</v>
      </c>
      <c r="L1237" s="789" t="s">
        <v>10241</v>
      </c>
      <c r="M1237" s="790" t="s">
        <v>11309</v>
      </c>
      <c r="O1237" s="790" t="s">
        <v>11302</v>
      </c>
      <c r="P1237" s="790" t="s">
        <v>10244</v>
      </c>
      <c r="R1237" s="30"/>
    </row>
    <row r="1238" spans="2:18">
      <c r="B1238" s="45" t="s">
        <v>5698</v>
      </c>
      <c r="C1238" s="1058">
        <v>285</v>
      </c>
      <c r="D1238" s="7">
        <f>Page1!F58</f>
        <v>73638</v>
      </c>
      <c r="E1238" s="7">
        <f>Page1!F58</f>
        <v>73638</v>
      </c>
      <c r="F1238" t="str">
        <f t="shared" si="72"/>
        <v>00-00-285-COST-CURR</v>
      </c>
      <c r="G1238" t="s">
        <v>127</v>
      </c>
      <c r="H1238" t="s">
        <v>95</v>
      </c>
      <c r="I1238" t="s">
        <v>10253</v>
      </c>
      <c r="K1238" s="1073" t="s">
        <v>10241</v>
      </c>
      <c r="L1238" s="789" t="s">
        <v>10241</v>
      </c>
      <c r="M1238" s="790" t="s">
        <v>11310</v>
      </c>
      <c r="O1238" s="790" t="s">
        <v>11302</v>
      </c>
      <c r="P1238" s="790" t="s">
        <v>10244</v>
      </c>
      <c r="R1238" s="30"/>
    </row>
    <row r="1239" spans="2:18">
      <c r="B1239" s="45" t="s">
        <v>5700</v>
      </c>
      <c r="C1239" s="1058">
        <v>289</v>
      </c>
      <c r="D1239" s="7">
        <f>Page1!F59</f>
        <v>48744</v>
      </c>
      <c r="E1239" s="7">
        <f>Page1!F59</f>
        <v>48744</v>
      </c>
      <c r="F1239" t="str">
        <f t="shared" si="72"/>
        <v>00-00-289-COST-CURR</v>
      </c>
      <c r="G1239" t="s">
        <v>127</v>
      </c>
      <c r="H1239" t="s">
        <v>95</v>
      </c>
      <c r="I1239" t="s">
        <v>10253</v>
      </c>
      <c r="K1239" s="1073" t="s">
        <v>10241</v>
      </c>
      <c r="L1239" s="789" t="s">
        <v>10241</v>
      </c>
      <c r="M1239" s="790">
        <v>289</v>
      </c>
      <c r="O1239" s="790" t="s">
        <v>11302</v>
      </c>
      <c r="P1239" s="790" t="s">
        <v>10244</v>
      </c>
      <c r="R1239" s="30"/>
    </row>
    <row r="1240" spans="2:18">
      <c r="B1240" s="51" t="s">
        <v>11311</v>
      </c>
      <c r="C1240" s="1042"/>
      <c r="D1240" s="7">
        <f>Page1!$F$60</f>
        <v>1168890</v>
      </c>
      <c r="E1240" s="7">
        <f>Page1!$F$60</f>
        <v>1168890</v>
      </c>
      <c r="F1240" t="str">
        <f t="shared" si="72"/>
        <v>00-00-FIXASSET-COST-CURR</v>
      </c>
      <c r="G1240" t="s">
        <v>127</v>
      </c>
      <c r="H1240" t="s">
        <v>95</v>
      </c>
      <c r="I1240" t="s">
        <v>10253</v>
      </c>
      <c r="J1240" t="s">
        <v>10268</v>
      </c>
      <c r="K1240" s="1073" t="s">
        <v>10241</v>
      </c>
      <c r="L1240" s="789" t="s">
        <v>10241</v>
      </c>
      <c r="M1240" s="790" t="s">
        <v>11312</v>
      </c>
      <c r="O1240" s="790" t="s">
        <v>11302</v>
      </c>
      <c r="P1240" s="790" t="s">
        <v>10244</v>
      </c>
      <c r="Q1240" s="791" t="s">
        <v>773</v>
      </c>
    </row>
    <row r="1241" spans="2:18">
      <c r="B1241" s="49" t="s">
        <v>11313</v>
      </c>
      <c r="C1241" s="1058">
        <v>351</v>
      </c>
      <c r="D1241">
        <f>Page1!G51*-1</f>
        <v>56920</v>
      </c>
      <c r="E1241" s="7">
        <f>Page1!G51*-1</f>
        <v>56920</v>
      </c>
      <c r="F1241" t="str">
        <f t="shared" si="72"/>
        <v>00-00-351-ACCDEPR-CURR</v>
      </c>
      <c r="G1241" t="s">
        <v>127</v>
      </c>
      <c r="H1241" t="s">
        <v>95</v>
      </c>
      <c r="I1241" t="s">
        <v>10253</v>
      </c>
      <c r="K1241" s="1073" t="s">
        <v>10241</v>
      </c>
      <c r="L1241" s="789" t="s">
        <v>10241</v>
      </c>
      <c r="M1241" s="790" t="s">
        <v>11314</v>
      </c>
      <c r="O1241" s="790" t="s">
        <v>11240</v>
      </c>
      <c r="P1241" s="790" t="s">
        <v>10244</v>
      </c>
      <c r="R1241" s="30"/>
    </row>
    <row r="1242" spans="2:18">
      <c r="B1242" s="49" t="s">
        <v>11315</v>
      </c>
      <c r="C1242" s="1058">
        <v>356</v>
      </c>
      <c r="D1242">
        <f>Page1!G52*-1</f>
        <v>0</v>
      </c>
      <c r="E1242" s="7">
        <f>Page1!G52*-1</f>
        <v>0</v>
      </c>
      <c r="F1242" t="str">
        <f t="shared" si="72"/>
        <v>00-00-356-ACCDEPR-CURR</v>
      </c>
      <c r="G1242" t="s">
        <v>127</v>
      </c>
      <c r="H1242" t="s">
        <v>95</v>
      </c>
      <c r="I1242" t="s">
        <v>10253</v>
      </c>
      <c r="K1242" s="1073" t="s">
        <v>10241</v>
      </c>
      <c r="L1242" s="789" t="s">
        <v>10241</v>
      </c>
      <c r="M1242" s="790" t="s">
        <v>11316</v>
      </c>
      <c r="O1242" s="790" t="s">
        <v>11240</v>
      </c>
      <c r="P1242" s="790" t="s">
        <v>10244</v>
      </c>
      <c r="R1242" s="30"/>
    </row>
    <row r="1243" spans="2:18">
      <c r="B1243" s="49" t="s">
        <v>11317</v>
      </c>
      <c r="C1243" s="1058">
        <v>357</v>
      </c>
      <c r="D1243">
        <f>Page1!G53*-1</f>
        <v>21280</v>
      </c>
      <c r="E1243" s="7">
        <f>Page1!G53*-1</f>
        <v>21280</v>
      </c>
      <c r="F1243" t="str">
        <f t="shared" si="72"/>
        <v>00-00-357-ACCDEPR-CURR</v>
      </c>
      <c r="G1243" t="s">
        <v>127</v>
      </c>
      <c r="H1243" t="s">
        <v>95</v>
      </c>
      <c r="I1243" t="s">
        <v>10253</v>
      </c>
      <c r="K1243" s="1073" t="s">
        <v>10241</v>
      </c>
      <c r="L1243" s="789" t="s">
        <v>10241</v>
      </c>
      <c r="M1243" s="790" t="s">
        <v>11318</v>
      </c>
      <c r="O1243" s="790" t="s">
        <v>11240</v>
      </c>
      <c r="P1243" s="790" t="s">
        <v>10244</v>
      </c>
      <c r="R1243" s="30"/>
    </row>
    <row r="1244" spans="2:18">
      <c r="B1244" s="49" t="s">
        <v>11319</v>
      </c>
      <c r="C1244" s="1058">
        <v>358</v>
      </c>
      <c r="D1244">
        <f>Page1!G54*-1</f>
        <v>2902</v>
      </c>
      <c r="E1244" s="7">
        <f>Page1!G54*-1</f>
        <v>2902</v>
      </c>
      <c r="F1244" t="str">
        <f t="shared" si="72"/>
        <v>00-00-358-ACCDEPR-CURR</v>
      </c>
      <c r="G1244" t="s">
        <v>127</v>
      </c>
      <c r="H1244" t="s">
        <v>95</v>
      </c>
      <c r="I1244" t="s">
        <v>10253</v>
      </c>
      <c r="K1244" s="1073" t="s">
        <v>10241</v>
      </c>
      <c r="L1244" s="789" t="s">
        <v>10241</v>
      </c>
      <c r="M1244" s="790">
        <v>358</v>
      </c>
      <c r="O1244" s="790" t="s">
        <v>11240</v>
      </c>
      <c r="P1244" s="790" t="s">
        <v>10244</v>
      </c>
      <c r="R1244" s="30"/>
    </row>
    <row r="1245" spans="2:18">
      <c r="B1245" s="45" t="s">
        <v>11320</v>
      </c>
      <c r="C1245" s="1058">
        <v>352</v>
      </c>
      <c r="D1245">
        <f>Page1!G55*-1</f>
        <v>237755</v>
      </c>
      <c r="E1245" s="7">
        <f>Page1!G55*-1</f>
        <v>237755</v>
      </c>
      <c r="F1245" t="str">
        <f t="shared" si="72"/>
        <v>00-00-352-ACCDEPR-CURR</v>
      </c>
      <c r="G1245" t="s">
        <v>127</v>
      </c>
      <c r="H1245" t="s">
        <v>95</v>
      </c>
      <c r="I1245" t="s">
        <v>10253</v>
      </c>
      <c r="K1245" s="1073" t="s">
        <v>10241</v>
      </c>
      <c r="L1245" s="789" t="s">
        <v>10241</v>
      </c>
      <c r="M1245" s="790" t="s">
        <v>11321</v>
      </c>
      <c r="O1245" s="790" t="s">
        <v>11240</v>
      </c>
      <c r="P1245" s="790" t="s">
        <v>10244</v>
      </c>
      <c r="R1245" s="30"/>
    </row>
    <row r="1246" spans="2:18">
      <c r="B1246" s="45" t="s">
        <v>11322</v>
      </c>
      <c r="C1246" s="1058">
        <v>353</v>
      </c>
      <c r="D1246">
        <f>Page1!G56*-1</f>
        <v>0</v>
      </c>
      <c r="E1246" s="7">
        <f>Page1!G56*-1</f>
        <v>0</v>
      </c>
      <c r="F1246" t="str">
        <f t="shared" si="72"/>
        <v>00-00-353-ACCDEPR-CURR</v>
      </c>
      <c r="G1246" t="s">
        <v>127</v>
      </c>
      <c r="H1246" t="s">
        <v>95</v>
      </c>
      <c r="I1246" t="s">
        <v>10253</v>
      </c>
      <c r="K1246" s="1073" t="s">
        <v>10241</v>
      </c>
      <c r="L1246" s="789" t="s">
        <v>10241</v>
      </c>
      <c r="M1246" s="790" t="s">
        <v>11323</v>
      </c>
      <c r="O1246" s="790" t="s">
        <v>11240</v>
      </c>
      <c r="P1246" s="790" t="s">
        <v>10244</v>
      </c>
      <c r="R1246" s="30"/>
    </row>
    <row r="1247" spans="2:18">
      <c r="B1247" s="45" t="s">
        <v>11324</v>
      </c>
      <c r="C1247" s="1058">
        <v>354</v>
      </c>
      <c r="D1247">
        <f>Page1!G57*-1</f>
        <v>13439</v>
      </c>
      <c r="E1247" s="7">
        <f>Page1!G57*-1</f>
        <v>13439</v>
      </c>
      <c r="F1247" t="str">
        <f t="shared" si="72"/>
        <v>00-00-354-ACCDEPR-CURR</v>
      </c>
      <c r="G1247" t="s">
        <v>127</v>
      </c>
      <c r="H1247" t="s">
        <v>95</v>
      </c>
      <c r="I1247" t="s">
        <v>10253</v>
      </c>
      <c r="K1247" s="1073" t="s">
        <v>10241</v>
      </c>
      <c r="L1247" s="789" t="s">
        <v>10241</v>
      </c>
      <c r="M1247" s="790" t="s">
        <v>11325</v>
      </c>
      <c r="O1247" s="790" t="s">
        <v>11240</v>
      </c>
      <c r="P1247" s="790" t="s">
        <v>10244</v>
      </c>
      <c r="R1247" s="30"/>
    </row>
    <row r="1248" spans="2:18">
      <c r="B1248" s="45" t="s">
        <v>11326</v>
      </c>
      <c r="C1248" s="1058">
        <v>355</v>
      </c>
      <c r="D1248">
        <f>Page1!G58*-1</f>
        <v>36719</v>
      </c>
      <c r="E1248" s="7">
        <f>Page1!G58*-1</f>
        <v>36719</v>
      </c>
      <c r="F1248" t="str">
        <f t="shared" si="72"/>
        <v>00-00-355-ACCDEPR-CURR</v>
      </c>
      <c r="G1248" t="s">
        <v>127</v>
      </c>
      <c r="H1248" t="s">
        <v>95</v>
      </c>
      <c r="I1248" t="s">
        <v>10253</v>
      </c>
      <c r="K1248" s="1073" t="s">
        <v>10241</v>
      </c>
      <c r="L1248" s="789" t="s">
        <v>10241</v>
      </c>
      <c r="M1248" s="790" t="s">
        <v>11327</v>
      </c>
      <c r="O1248" s="790" t="s">
        <v>11240</v>
      </c>
      <c r="P1248" s="790" t="s">
        <v>10244</v>
      </c>
      <c r="R1248" s="30"/>
    </row>
    <row r="1249" spans="2:18">
      <c r="B1249" s="45" t="s">
        <v>11328</v>
      </c>
      <c r="C1249" s="1058">
        <v>359</v>
      </c>
      <c r="D1249">
        <f>Page1!G59*-1</f>
        <v>2463</v>
      </c>
      <c r="E1249" s="7">
        <f>Page1!G59*-1</f>
        <v>2463</v>
      </c>
      <c r="F1249" t="str">
        <f t="shared" si="72"/>
        <v>00-00-359-ACCDEPR-CURR</v>
      </c>
      <c r="G1249" t="s">
        <v>127</v>
      </c>
      <c r="H1249" t="s">
        <v>95</v>
      </c>
      <c r="I1249" t="s">
        <v>10253</v>
      </c>
      <c r="K1249" s="1073" t="s">
        <v>10241</v>
      </c>
      <c r="L1249" s="789" t="s">
        <v>10241</v>
      </c>
      <c r="M1249" s="790">
        <v>359</v>
      </c>
      <c r="O1249" s="790" t="s">
        <v>11240</v>
      </c>
      <c r="P1249" s="790" t="s">
        <v>10244</v>
      </c>
      <c r="R1249" s="30"/>
    </row>
    <row r="1250" spans="2:18">
      <c r="B1250" s="51" t="s">
        <v>11329</v>
      </c>
      <c r="C1250" s="1042"/>
      <c r="D1250">
        <f>Page1!G60*-1</f>
        <v>371478</v>
      </c>
      <c r="E1250" s="7">
        <f>Page1!G60*-1</f>
        <v>371478</v>
      </c>
      <c r="F1250" t="str">
        <f t="shared" si="72"/>
        <v>00-00-FIXASSET-ACCDEPR-CURR</v>
      </c>
      <c r="G1250" t="s">
        <v>127</v>
      </c>
      <c r="H1250" t="s">
        <v>95</v>
      </c>
      <c r="I1250" t="s">
        <v>10253</v>
      </c>
      <c r="J1250" t="s">
        <v>10268</v>
      </c>
      <c r="K1250" s="1073" t="s">
        <v>10241</v>
      </c>
      <c r="L1250" s="789" t="s">
        <v>10241</v>
      </c>
      <c r="M1250" s="790" t="s">
        <v>11312</v>
      </c>
      <c r="O1250" s="790" t="s">
        <v>11240</v>
      </c>
      <c r="P1250" s="790" t="s">
        <v>10244</v>
      </c>
      <c r="Q1250" s="791" t="s">
        <v>773</v>
      </c>
    </row>
    <row r="1251" spans="2:18">
      <c r="B1251" s="45" t="s">
        <v>11330</v>
      </c>
      <c r="C1251" s="1058">
        <v>280</v>
      </c>
      <c r="D1251" s="7">
        <f>Page1!I50</f>
        <v>0</v>
      </c>
      <c r="E1251" s="7">
        <f>Page1!I50</f>
        <v>0</v>
      </c>
      <c r="F1251" t="str">
        <f t="shared" si="72"/>
        <v>00-00-280-NET-CURR</v>
      </c>
      <c r="G1251" t="s">
        <v>127</v>
      </c>
      <c r="H1251" t="s">
        <v>95</v>
      </c>
      <c r="I1251" t="s">
        <v>10253</v>
      </c>
      <c r="J1251" t="s">
        <v>10268</v>
      </c>
      <c r="K1251" s="1073" t="s">
        <v>10241</v>
      </c>
      <c r="L1251" s="789" t="s">
        <v>10241</v>
      </c>
      <c r="M1251" s="790" t="s">
        <v>11301</v>
      </c>
      <c r="O1251" s="790" t="s">
        <v>1029</v>
      </c>
      <c r="P1251" s="790" t="s">
        <v>10244</v>
      </c>
      <c r="Q1251" s="791" t="s">
        <v>773</v>
      </c>
    </row>
    <row r="1252" spans="2:18">
      <c r="B1252" s="49" t="s">
        <v>11331</v>
      </c>
      <c r="C1252" s="1058">
        <v>281</v>
      </c>
      <c r="D1252" s="7">
        <f>Page1!I51</f>
        <v>176437</v>
      </c>
      <c r="E1252" s="7">
        <f>Page1!I51</f>
        <v>176437</v>
      </c>
      <c r="F1252" t="str">
        <f t="shared" si="72"/>
        <v>00-00-281-NET-CURR</v>
      </c>
      <c r="G1252" t="s">
        <v>127</v>
      </c>
      <c r="H1252" t="s">
        <v>95</v>
      </c>
      <c r="I1252" t="s">
        <v>10253</v>
      </c>
      <c r="J1252" t="s">
        <v>10268</v>
      </c>
      <c r="K1252" s="1073" t="s">
        <v>10241</v>
      </c>
      <c r="L1252" s="789" t="s">
        <v>10241</v>
      </c>
      <c r="M1252" s="790" t="s">
        <v>11303</v>
      </c>
      <c r="O1252" s="790" t="s">
        <v>1029</v>
      </c>
      <c r="P1252" s="790" t="s">
        <v>10244</v>
      </c>
      <c r="Q1252" s="791" t="s">
        <v>773</v>
      </c>
    </row>
    <row r="1253" spans="2:18">
      <c r="B1253" s="49" t="s">
        <v>11332</v>
      </c>
      <c r="C1253" s="1058">
        <v>286</v>
      </c>
      <c r="D1253" s="7">
        <f>Page1!I52</f>
        <v>0</v>
      </c>
      <c r="E1253" s="7">
        <f>Page1!I52</f>
        <v>0</v>
      </c>
      <c r="F1253" t="str">
        <f t="shared" si="72"/>
        <v>00-00-286-NET-CURR</v>
      </c>
      <c r="G1253" t="s">
        <v>127</v>
      </c>
      <c r="H1253" t="s">
        <v>95</v>
      </c>
      <c r="I1253" t="s">
        <v>10253</v>
      </c>
      <c r="J1253" t="s">
        <v>10268</v>
      </c>
      <c r="K1253" s="1073" t="s">
        <v>10241</v>
      </c>
      <c r="L1253" s="789" t="s">
        <v>10241</v>
      </c>
      <c r="M1253" s="790" t="s">
        <v>11305</v>
      </c>
      <c r="O1253" s="790" t="s">
        <v>1029</v>
      </c>
      <c r="P1253" s="790" t="s">
        <v>10244</v>
      </c>
      <c r="Q1253" s="791" t="s">
        <v>773</v>
      </c>
    </row>
    <row r="1254" spans="2:18">
      <c r="B1254" s="49" t="s">
        <v>11333</v>
      </c>
      <c r="C1254" s="1058">
        <v>287</v>
      </c>
      <c r="D1254" s="7">
        <f>Page1!I53</f>
        <v>37290</v>
      </c>
      <c r="E1254" s="7">
        <f>Page1!I53</f>
        <v>37290</v>
      </c>
      <c r="F1254" t="str">
        <f t="shared" si="72"/>
        <v>00-00-287-NET-CURR</v>
      </c>
      <c r="G1254" t="s">
        <v>127</v>
      </c>
      <c r="H1254" t="s">
        <v>95</v>
      </c>
      <c r="I1254" t="s">
        <v>10253</v>
      </c>
      <c r="J1254" t="s">
        <v>10268</v>
      </c>
      <c r="K1254" s="1073" t="s">
        <v>10241</v>
      </c>
      <c r="L1254" s="789" t="s">
        <v>10241</v>
      </c>
      <c r="M1254" s="790" t="s">
        <v>11306</v>
      </c>
      <c r="O1254" s="790" t="s">
        <v>1029</v>
      </c>
      <c r="P1254" s="790" t="s">
        <v>10244</v>
      </c>
      <c r="Q1254" s="791" t="s">
        <v>773</v>
      </c>
    </row>
    <row r="1255" spans="2:18">
      <c r="B1255" s="49" t="s">
        <v>11334</v>
      </c>
      <c r="C1255" s="1058">
        <v>288</v>
      </c>
      <c r="D1255" s="7">
        <f>Page1!I54</f>
        <v>4305</v>
      </c>
      <c r="E1255" s="7">
        <f>Page1!I54</f>
        <v>4305</v>
      </c>
      <c r="F1255" t="str">
        <f t="shared" si="72"/>
        <v>00-00-288-NET-CURR</v>
      </c>
      <c r="G1255" t="s">
        <v>127</v>
      </c>
      <c r="H1255" t="s">
        <v>95</v>
      </c>
      <c r="I1255" t="s">
        <v>10253</v>
      </c>
      <c r="J1255" t="s">
        <v>10268</v>
      </c>
      <c r="K1255" s="1073" t="s">
        <v>10241</v>
      </c>
      <c r="L1255" s="789" t="s">
        <v>10241</v>
      </c>
      <c r="M1255" s="790">
        <v>288</v>
      </c>
      <c r="O1255" s="790" t="s">
        <v>1029</v>
      </c>
      <c r="P1255" s="790" t="s">
        <v>10244</v>
      </c>
      <c r="Q1255" s="791" t="s">
        <v>773</v>
      </c>
    </row>
    <row r="1256" spans="2:18">
      <c r="B1256" s="45" t="s">
        <v>11335</v>
      </c>
      <c r="C1256" s="1058">
        <v>282</v>
      </c>
      <c r="D1256" s="7">
        <f>Page1!I55</f>
        <v>460259</v>
      </c>
      <c r="E1256" s="7">
        <f>Page1!I55</f>
        <v>460259</v>
      </c>
      <c r="F1256" t="str">
        <f t="shared" si="72"/>
        <v>00-00-282-NET-CURR</v>
      </c>
      <c r="G1256" t="s">
        <v>127</v>
      </c>
      <c r="H1256" t="s">
        <v>95</v>
      </c>
      <c r="I1256" t="s">
        <v>10253</v>
      </c>
      <c r="J1256" t="s">
        <v>10268</v>
      </c>
      <c r="K1256" s="1073" t="s">
        <v>10241</v>
      </c>
      <c r="L1256" s="789" t="s">
        <v>10241</v>
      </c>
      <c r="M1256" s="790" t="s">
        <v>11307</v>
      </c>
      <c r="O1256" s="790" t="s">
        <v>1029</v>
      </c>
      <c r="P1256" s="790" t="s">
        <v>10244</v>
      </c>
      <c r="Q1256" s="791" t="s">
        <v>773</v>
      </c>
    </row>
    <row r="1257" spans="2:18">
      <c r="B1257" s="45" t="s">
        <v>11336</v>
      </c>
      <c r="C1257" s="1058">
        <v>283</v>
      </c>
      <c r="D1257" s="7">
        <f>Page1!I56</f>
        <v>0</v>
      </c>
      <c r="E1257" s="7">
        <f>Page1!I56</f>
        <v>0</v>
      </c>
      <c r="F1257" t="str">
        <f t="shared" si="72"/>
        <v>00-00-283-NET-CURR</v>
      </c>
      <c r="G1257" t="s">
        <v>127</v>
      </c>
      <c r="H1257" t="s">
        <v>95</v>
      </c>
      <c r="I1257" t="s">
        <v>10253</v>
      </c>
      <c r="J1257" t="s">
        <v>10268</v>
      </c>
      <c r="K1257" s="1073" t="s">
        <v>10241</v>
      </c>
      <c r="L1257" s="789" t="s">
        <v>10241</v>
      </c>
      <c r="M1257" s="790" t="s">
        <v>11308</v>
      </c>
      <c r="O1257" s="790" t="s">
        <v>1029</v>
      </c>
      <c r="P1257" s="790" t="s">
        <v>10244</v>
      </c>
      <c r="Q1257" s="791" t="s">
        <v>773</v>
      </c>
    </row>
    <row r="1258" spans="2:18">
      <c r="B1258" s="45" t="s">
        <v>11337</v>
      </c>
      <c r="C1258" s="1058">
        <v>284</v>
      </c>
      <c r="D1258" s="7">
        <f>Page1!I57</f>
        <v>35921</v>
      </c>
      <c r="E1258" s="7">
        <f>Page1!I57</f>
        <v>35921</v>
      </c>
      <c r="F1258" t="str">
        <f t="shared" si="72"/>
        <v>00-00-284-NET-CURR</v>
      </c>
      <c r="G1258" t="s">
        <v>127</v>
      </c>
      <c r="H1258" t="s">
        <v>95</v>
      </c>
      <c r="I1258" t="s">
        <v>10253</v>
      </c>
      <c r="J1258" t="s">
        <v>10268</v>
      </c>
      <c r="K1258" s="1073" t="s">
        <v>10241</v>
      </c>
      <c r="L1258" s="789" t="s">
        <v>10241</v>
      </c>
      <c r="M1258" s="790" t="s">
        <v>11309</v>
      </c>
      <c r="O1258" s="790" t="s">
        <v>1029</v>
      </c>
      <c r="P1258" s="790" t="s">
        <v>10244</v>
      </c>
      <c r="Q1258" s="791" t="s">
        <v>773</v>
      </c>
    </row>
    <row r="1259" spans="2:18">
      <c r="B1259" s="45" t="s">
        <v>11338</v>
      </c>
      <c r="C1259" s="1058">
        <v>285</v>
      </c>
      <c r="D1259" s="7">
        <f>Page1!I58</f>
        <v>36919</v>
      </c>
      <c r="E1259" s="7">
        <f>Page1!I58</f>
        <v>36919</v>
      </c>
      <c r="F1259" t="str">
        <f t="shared" si="72"/>
        <v>00-00-285-NET-CURR</v>
      </c>
      <c r="G1259" t="s">
        <v>127</v>
      </c>
      <c r="H1259" t="s">
        <v>95</v>
      </c>
      <c r="I1259" t="s">
        <v>10253</v>
      </c>
      <c r="J1259" t="s">
        <v>10268</v>
      </c>
      <c r="K1259" s="1073" t="s">
        <v>10241</v>
      </c>
      <c r="L1259" s="789" t="s">
        <v>10241</v>
      </c>
      <c r="M1259" s="790" t="s">
        <v>11310</v>
      </c>
      <c r="O1259" s="790" t="s">
        <v>1029</v>
      </c>
      <c r="P1259" s="790" t="s">
        <v>10244</v>
      </c>
      <c r="Q1259" s="791" t="s">
        <v>773</v>
      </c>
    </row>
    <row r="1260" spans="2:18">
      <c r="B1260" s="45" t="s">
        <v>11339</v>
      </c>
      <c r="C1260" s="1058">
        <v>289</v>
      </c>
      <c r="D1260" s="7">
        <f>Page1!I59</f>
        <v>46281</v>
      </c>
      <c r="E1260" s="7">
        <f>Page1!I59</f>
        <v>46281</v>
      </c>
      <c r="F1260" t="str">
        <f t="shared" si="72"/>
        <v>00-00-289-NET-CURR</v>
      </c>
      <c r="G1260" t="s">
        <v>127</v>
      </c>
      <c r="H1260" t="s">
        <v>95</v>
      </c>
      <c r="I1260" t="s">
        <v>10253</v>
      </c>
      <c r="J1260" t="s">
        <v>10268</v>
      </c>
      <c r="K1260" s="1073" t="s">
        <v>10241</v>
      </c>
      <c r="L1260" s="789" t="s">
        <v>10241</v>
      </c>
      <c r="M1260" s="790">
        <v>289</v>
      </c>
      <c r="O1260" s="790" t="s">
        <v>1029</v>
      </c>
      <c r="P1260" s="790" t="s">
        <v>10244</v>
      </c>
      <c r="Q1260" s="791" t="s">
        <v>773</v>
      </c>
    </row>
    <row r="1261" spans="2:18">
      <c r="B1261" s="51" t="s">
        <v>11340</v>
      </c>
      <c r="C1261" s="1042"/>
      <c r="D1261" s="7">
        <f>Page1!I60</f>
        <v>797412</v>
      </c>
      <c r="E1261" s="7">
        <f>Page1!I60</f>
        <v>797412</v>
      </c>
      <c r="F1261" t="str">
        <f t="shared" si="72"/>
        <v>00-00-FIXASSET-NET-CURR</v>
      </c>
      <c r="G1261" t="s">
        <v>127</v>
      </c>
      <c r="H1261" t="s">
        <v>95</v>
      </c>
      <c r="I1261" t="s">
        <v>10253</v>
      </c>
      <c r="J1261" t="s">
        <v>10268</v>
      </c>
      <c r="K1261" s="1073" t="s">
        <v>10241</v>
      </c>
      <c r="L1261" s="789" t="s">
        <v>10241</v>
      </c>
      <c r="M1261" s="790" t="s">
        <v>11312</v>
      </c>
      <c r="O1261" s="790" t="s">
        <v>1029</v>
      </c>
      <c r="P1261" s="790" t="s">
        <v>10244</v>
      </c>
      <c r="Q1261" s="791" t="s">
        <v>773</v>
      </c>
    </row>
    <row r="1262" spans="2:18">
      <c r="B1262" s="5" t="s">
        <v>5723</v>
      </c>
      <c r="C1262" s="1055">
        <v>291</v>
      </c>
      <c r="D1262" s="7">
        <f>Page1!I62</f>
        <v>0</v>
      </c>
      <c r="E1262" s="7">
        <f>Page1!I62</f>
        <v>0</v>
      </c>
      <c r="F1262" t="str">
        <f t="shared" si="72"/>
        <v>00-00-291-AMT-CURR</v>
      </c>
      <c r="G1262" t="s">
        <v>127</v>
      </c>
      <c r="H1262" t="s">
        <v>95</v>
      </c>
      <c r="I1262" t="s">
        <v>10253</v>
      </c>
      <c r="K1262" s="1073" t="s">
        <v>10241</v>
      </c>
      <c r="L1262" s="789" t="s">
        <v>10241</v>
      </c>
      <c r="M1262" s="790" t="s">
        <v>11341</v>
      </c>
      <c r="O1262" s="790" t="s">
        <v>10263</v>
      </c>
      <c r="P1262" s="790" t="s">
        <v>10244</v>
      </c>
      <c r="R1262" s="30"/>
    </row>
    <row r="1263" spans="2:18">
      <c r="B1263" s="5" t="s">
        <v>5725</v>
      </c>
      <c r="C1263" s="1055">
        <v>293</v>
      </c>
      <c r="D1263" s="7">
        <f>Page1!I63</f>
        <v>0</v>
      </c>
      <c r="E1263" s="7">
        <f>Page1!I63</f>
        <v>0</v>
      </c>
      <c r="F1263" t="str">
        <f t="shared" si="72"/>
        <v>00-00-293-AMT-CURR</v>
      </c>
      <c r="G1263" t="s">
        <v>127</v>
      </c>
      <c r="H1263" t="s">
        <v>95</v>
      </c>
      <c r="I1263" t="s">
        <v>10253</v>
      </c>
      <c r="K1263" s="1073" t="s">
        <v>10241</v>
      </c>
      <c r="L1263" s="789" t="s">
        <v>10241</v>
      </c>
      <c r="M1263" s="790" t="s">
        <v>11342</v>
      </c>
      <c r="O1263" s="790" t="s">
        <v>10263</v>
      </c>
      <c r="P1263" s="790" t="s">
        <v>10244</v>
      </c>
      <c r="R1263" s="30"/>
    </row>
    <row r="1264" spans="2:18">
      <c r="B1264" s="40" t="s">
        <v>5727</v>
      </c>
      <c r="C1264" s="1055">
        <v>294</v>
      </c>
      <c r="D1264" s="7">
        <f>Page1!I64</f>
        <v>0</v>
      </c>
      <c r="E1264" s="7">
        <f>Page1!I64</f>
        <v>0</v>
      </c>
      <c r="F1264" t="str">
        <f t="shared" si="72"/>
        <v>00-00-294-AMT-CURR</v>
      </c>
      <c r="G1264" t="s">
        <v>127</v>
      </c>
      <c r="H1264" t="s">
        <v>95</v>
      </c>
      <c r="I1264" t="s">
        <v>10253</v>
      </c>
      <c r="K1264" s="1073" t="s">
        <v>10241</v>
      </c>
      <c r="L1264" s="789" t="s">
        <v>10241</v>
      </c>
      <c r="M1264" s="790" t="s">
        <v>11343</v>
      </c>
      <c r="O1264" s="790" t="s">
        <v>10263</v>
      </c>
      <c r="P1264" s="790" t="s">
        <v>10244</v>
      </c>
      <c r="R1264" s="30"/>
    </row>
    <row r="1265" spans="2:18">
      <c r="B1265" s="40" t="s">
        <v>5729</v>
      </c>
      <c r="C1265" s="1055">
        <v>296</v>
      </c>
      <c r="D1265" s="7">
        <f>Page1!I65</f>
        <v>2974795</v>
      </c>
      <c r="E1265" s="7">
        <f>Page1!I65</f>
        <v>2974795</v>
      </c>
      <c r="F1265" t="str">
        <f t="shared" si="72"/>
        <v>00-00-296-AMT-CURR</v>
      </c>
      <c r="G1265" t="s">
        <v>127</v>
      </c>
      <c r="H1265" t="s">
        <v>95</v>
      </c>
      <c r="I1265" t="s">
        <v>10253</v>
      </c>
      <c r="K1265" s="1073" t="s">
        <v>10241</v>
      </c>
      <c r="L1265" s="789" t="s">
        <v>10241</v>
      </c>
      <c r="M1265" s="790" t="s">
        <v>11344</v>
      </c>
      <c r="O1265" s="790" t="s">
        <v>10263</v>
      </c>
      <c r="P1265" s="790" t="s">
        <v>10244</v>
      </c>
      <c r="R1265" s="30"/>
    </row>
    <row r="1266" spans="2:18">
      <c r="B1266" s="55" t="s">
        <v>11345</v>
      </c>
      <c r="C1266" s="1042"/>
      <c r="D1266" s="7">
        <f>Page1!I67</f>
        <v>2974795</v>
      </c>
      <c r="E1266" s="7">
        <f>Page1!I67</f>
        <v>2974795</v>
      </c>
      <c r="F1266" t="str">
        <f t="shared" si="72"/>
        <v>00-00-OTHRASST-AMT-CURR</v>
      </c>
      <c r="G1266" t="s">
        <v>127</v>
      </c>
      <c r="H1266" t="s">
        <v>95</v>
      </c>
      <c r="I1266" t="s">
        <v>10253</v>
      </c>
      <c r="J1266" t="s">
        <v>10268</v>
      </c>
      <c r="K1266" s="1073" t="s">
        <v>10241</v>
      </c>
      <c r="L1266" s="789" t="s">
        <v>10241</v>
      </c>
      <c r="M1266" s="790" t="s">
        <v>11346</v>
      </c>
      <c r="O1266" s="790" t="s">
        <v>10263</v>
      </c>
      <c r="P1266" s="790" t="s">
        <v>10244</v>
      </c>
      <c r="Q1266" s="791" t="s">
        <v>773</v>
      </c>
    </row>
    <row r="1267" spans="2:18">
      <c r="B1267" s="55" t="s">
        <v>5731</v>
      </c>
      <c r="C1267" s="1042"/>
      <c r="D1267" s="7">
        <f>Page1!I68</f>
        <v>30252650</v>
      </c>
      <c r="E1267" s="7">
        <f>Page1!I68</f>
        <v>30252650</v>
      </c>
      <c r="F1267" t="str">
        <f t="shared" si="72"/>
        <v>00-00-TOTASSET-AMT-CURR</v>
      </c>
      <c r="G1267" t="s">
        <v>127</v>
      </c>
      <c r="H1267" t="s">
        <v>95</v>
      </c>
      <c r="I1267" t="s">
        <v>10253</v>
      </c>
      <c r="J1267" t="s">
        <v>10268</v>
      </c>
      <c r="K1267" s="1073" t="s">
        <v>10241</v>
      </c>
      <c r="L1267" s="789" t="s">
        <v>10241</v>
      </c>
      <c r="M1267" s="790" t="s">
        <v>11347</v>
      </c>
      <c r="O1267" s="790" t="s">
        <v>10263</v>
      </c>
      <c r="P1267" s="790" t="s">
        <v>10244</v>
      </c>
      <c r="Q1267" s="791" t="s">
        <v>773</v>
      </c>
    </row>
    <row r="1268" spans="2:18">
      <c r="B1268" s="5" t="s">
        <v>11348</v>
      </c>
      <c r="C1268" s="1038">
        <v>202</v>
      </c>
      <c r="D1268" s="7">
        <f>Page1!R10</f>
        <v>0</v>
      </c>
      <c r="E1268" s="7">
        <f>Page1!R10</f>
        <v>0</v>
      </c>
      <c r="F1268" t="str">
        <f t="shared" ref="F1268:F1333" si="73">TEXT(K1268,"00")&amp;"-"&amp;L1268&amp;IF(M1268="","","-"&amp;M1268)&amp;IF(N1268="","","-"&amp;N1268)&amp;IF(OR(O1268="",O1268=0),"","-"&amp;O1268)&amp;IF(P1268="","","-"&amp;P1268)</f>
        <v>00-00-202-CB-CURR</v>
      </c>
      <c r="G1268" t="s">
        <v>127</v>
      </c>
      <c r="H1268" t="s">
        <v>95</v>
      </c>
      <c r="I1268" t="s">
        <v>10253</v>
      </c>
      <c r="K1268" s="1073" t="s">
        <v>10241</v>
      </c>
      <c r="L1268" s="789" t="s">
        <v>10241</v>
      </c>
      <c r="M1268" s="790" t="s">
        <v>11264</v>
      </c>
      <c r="O1268" s="790" t="s">
        <v>11349</v>
      </c>
      <c r="P1268" s="790" t="s">
        <v>10244</v>
      </c>
      <c r="R1268" s="30"/>
    </row>
    <row r="1269" spans="2:18">
      <c r="B1269" s="5" t="s">
        <v>5737</v>
      </c>
      <c r="C1269" s="1038">
        <v>300</v>
      </c>
      <c r="D1269" s="7">
        <f>Page1!R11</f>
        <v>-37952</v>
      </c>
      <c r="E1269" s="7">
        <f>Page1!R11</f>
        <v>-37952</v>
      </c>
      <c r="F1269" t="str">
        <f t="shared" si="73"/>
        <v>00-00-300TC-AMT-CURR</v>
      </c>
      <c r="G1269" t="s">
        <v>127</v>
      </c>
      <c r="H1269" t="s">
        <v>95</v>
      </c>
      <c r="I1269" t="s">
        <v>10253</v>
      </c>
      <c r="K1269" s="1073" t="s">
        <v>10241</v>
      </c>
      <c r="L1269" s="789" t="s">
        <v>10241</v>
      </c>
      <c r="M1269" s="790" t="s">
        <v>11350</v>
      </c>
      <c r="O1269" s="790" t="s">
        <v>10263</v>
      </c>
      <c r="P1269" s="790" t="s">
        <v>10244</v>
      </c>
      <c r="R1269" s="30"/>
    </row>
    <row r="1270" spans="2:18">
      <c r="B1270" s="5" t="s">
        <v>5739</v>
      </c>
      <c r="C1270" s="1038">
        <v>220</v>
      </c>
      <c r="D1270">
        <f>Page1!R12*-1</f>
        <v>0</v>
      </c>
      <c r="E1270" s="7">
        <f>Page1!R12*-1</f>
        <v>0</v>
      </c>
      <c r="F1270" t="str">
        <f t="shared" si="73"/>
        <v>00-00-220-CB-CURR</v>
      </c>
      <c r="G1270" t="s">
        <v>127</v>
      </c>
      <c r="H1270" t="s">
        <v>95</v>
      </c>
      <c r="I1270" t="s">
        <v>10253</v>
      </c>
      <c r="K1270" s="1073" t="s">
        <v>10241</v>
      </c>
      <c r="L1270" s="789" t="s">
        <v>10241</v>
      </c>
      <c r="M1270" s="790" t="s">
        <v>11351</v>
      </c>
      <c r="O1270" s="790" t="s">
        <v>11349</v>
      </c>
      <c r="P1270" s="790" t="s">
        <v>10244</v>
      </c>
      <c r="R1270" s="30"/>
    </row>
    <row r="1271" spans="2:18">
      <c r="B1271" s="5" t="s">
        <v>5741</v>
      </c>
      <c r="C1271" s="1038">
        <v>220</v>
      </c>
      <c r="D1271">
        <f>Page1!R13*-1</f>
        <v>0</v>
      </c>
      <c r="E1271" s="7">
        <f>Page1!R13*-1</f>
        <v>0</v>
      </c>
      <c r="F1271" t="str">
        <f t="shared" si="73"/>
        <v>00-00-220-CD-CURR</v>
      </c>
      <c r="G1271" t="s">
        <v>127</v>
      </c>
      <c r="H1271" t="s">
        <v>95</v>
      </c>
      <c r="I1271" t="s">
        <v>10253</v>
      </c>
      <c r="K1271" s="1073" t="s">
        <v>10241</v>
      </c>
      <c r="L1271" s="789" t="s">
        <v>10241</v>
      </c>
      <c r="M1271" s="790" t="s">
        <v>11351</v>
      </c>
      <c r="O1271" s="790" t="s">
        <v>11352</v>
      </c>
      <c r="P1271" s="790" t="s">
        <v>10244</v>
      </c>
      <c r="R1271" s="30"/>
    </row>
    <row r="1272" spans="2:18">
      <c r="B1272" s="5" t="s">
        <v>5743</v>
      </c>
      <c r="C1272" s="1038">
        <v>305</v>
      </c>
      <c r="D1272" s="7">
        <f>Page1!R14</f>
        <v>0</v>
      </c>
      <c r="E1272" s="7">
        <f>Page1!R14</f>
        <v>0</v>
      </c>
      <c r="F1272" t="str">
        <f t="shared" si="73"/>
        <v>00-00-305-AMT-CURR</v>
      </c>
      <c r="G1272" t="s">
        <v>127</v>
      </c>
      <c r="H1272" t="s">
        <v>95</v>
      </c>
      <c r="I1272" t="s">
        <v>10253</v>
      </c>
      <c r="K1272" s="1073" t="s">
        <v>10241</v>
      </c>
      <c r="L1272" s="789" t="s">
        <v>10241</v>
      </c>
      <c r="M1272" s="790" t="s">
        <v>11353</v>
      </c>
      <c r="O1272" s="790" t="s">
        <v>10263</v>
      </c>
      <c r="P1272" s="790" t="s">
        <v>10244</v>
      </c>
      <c r="R1272" s="30"/>
    </row>
    <row r="1273" spans="2:18">
      <c r="B1273" s="5" t="s">
        <v>5745</v>
      </c>
      <c r="C1273" s="1038">
        <v>310</v>
      </c>
      <c r="D1273" s="7">
        <f>Page1!R15</f>
        <v>14283351</v>
      </c>
      <c r="E1273" s="7">
        <f>Page1!R15</f>
        <v>14283351</v>
      </c>
      <c r="F1273" t="str">
        <f t="shared" si="73"/>
        <v>00-00-310-AMT-CURR</v>
      </c>
      <c r="G1273" t="s">
        <v>127</v>
      </c>
      <c r="H1273" t="s">
        <v>95</v>
      </c>
      <c r="I1273" t="s">
        <v>10253</v>
      </c>
      <c r="K1273" s="1073" t="s">
        <v>10241</v>
      </c>
      <c r="L1273" s="789" t="s">
        <v>10241</v>
      </c>
      <c r="M1273" s="790" t="s">
        <v>11354</v>
      </c>
      <c r="O1273" s="790" t="s">
        <v>10263</v>
      </c>
      <c r="P1273" s="790" t="s">
        <v>10244</v>
      </c>
      <c r="R1273" s="30"/>
    </row>
    <row r="1274" spans="2:18">
      <c r="B1274" s="5" t="s">
        <v>5747</v>
      </c>
      <c r="C1274" s="1038">
        <v>311</v>
      </c>
      <c r="D1274" s="7">
        <f>Page1!R18</f>
        <v>10642333</v>
      </c>
      <c r="E1274" s="7">
        <f>Page1!R18</f>
        <v>10642333</v>
      </c>
      <c r="F1274" t="str">
        <f t="shared" si="73"/>
        <v>00-00-311-AMT-CURR</v>
      </c>
      <c r="G1274" t="s">
        <v>127</v>
      </c>
      <c r="H1274" t="s">
        <v>95</v>
      </c>
      <c r="I1274" t="s">
        <v>10253</v>
      </c>
      <c r="K1274" s="1073" t="s">
        <v>10241</v>
      </c>
      <c r="L1274" s="789" t="s">
        <v>10241</v>
      </c>
      <c r="M1274" s="790">
        <v>311</v>
      </c>
      <c r="O1274" s="790" t="s">
        <v>10263</v>
      </c>
      <c r="P1274" s="790" t="s">
        <v>10244</v>
      </c>
      <c r="R1274" s="30"/>
    </row>
    <row r="1275" spans="2:18">
      <c r="B1275" s="5" t="s">
        <v>5749</v>
      </c>
      <c r="C1275" s="1038">
        <v>312</v>
      </c>
      <c r="D1275" s="7">
        <f>Page1!R19</f>
        <v>0</v>
      </c>
      <c r="E1275" s="7">
        <f>Page1!R19</f>
        <v>0</v>
      </c>
      <c r="F1275" t="str">
        <f t="shared" si="73"/>
        <v>00-00-312-AMT-CURR</v>
      </c>
      <c r="G1275" t="s">
        <v>127</v>
      </c>
      <c r="H1275" t="s">
        <v>95</v>
      </c>
      <c r="I1275" t="s">
        <v>10253</v>
      </c>
      <c r="K1275" s="1073" t="s">
        <v>10241</v>
      </c>
      <c r="L1275" s="789" t="s">
        <v>10241</v>
      </c>
      <c r="M1275" s="790" t="s">
        <v>11355</v>
      </c>
      <c r="O1275" s="790" t="s">
        <v>10263</v>
      </c>
      <c r="P1275" s="790" t="s">
        <v>10244</v>
      </c>
      <c r="R1275" s="30"/>
    </row>
    <row r="1276" spans="2:18">
      <c r="B1276" s="5" t="s">
        <v>5751</v>
      </c>
      <c r="C1276" s="1038">
        <v>314</v>
      </c>
      <c r="D1276" s="7">
        <f>Page1!R20</f>
        <v>0</v>
      </c>
      <c r="E1276" s="7">
        <f>Page1!R20</f>
        <v>0</v>
      </c>
      <c r="F1276" t="str">
        <f t="shared" si="73"/>
        <v>00-00-314-AMT-CURR</v>
      </c>
      <c r="G1276" t="s">
        <v>127</v>
      </c>
      <c r="H1276" t="s">
        <v>95</v>
      </c>
      <c r="I1276" t="s">
        <v>10253</v>
      </c>
      <c r="K1276" s="1073" t="s">
        <v>10241</v>
      </c>
      <c r="L1276" s="789" t="s">
        <v>10241</v>
      </c>
      <c r="M1276" s="790" t="s">
        <v>11356</v>
      </c>
      <c r="O1276" s="790" t="s">
        <v>10263</v>
      </c>
      <c r="P1276" s="790" t="s">
        <v>10244</v>
      </c>
      <c r="R1276" s="30"/>
    </row>
    <row r="1277" spans="2:18">
      <c r="B1277" s="5" t="s">
        <v>5753</v>
      </c>
      <c r="C1277" s="1038">
        <v>315</v>
      </c>
      <c r="D1277" s="7">
        <f>Page1!R21</f>
        <v>-211927</v>
      </c>
      <c r="E1277" s="7">
        <f>Page1!R21</f>
        <v>-211927</v>
      </c>
      <c r="F1277" t="str">
        <f>TEXT(K1277,"00")&amp;"-"&amp;L1277&amp;IF(M1277="","","-"&amp;M1277)&amp;IF(N1277="","","-"&amp;N1277)&amp;IF(OR(O1277="",O1277=0),"","-"&amp;O1277)&amp;IF(P1277="","","-"&amp;P1277)</f>
        <v>00-00-315-AMT-CURR</v>
      </c>
      <c r="G1277" t="s">
        <v>127</v>
      </c>
      <c r="H1277" t="s">
        <v>95</v>
      </c>
      <c r="I1277" t="s">
        <v>10253</v>
      </c>
      <c r="K1277" s="1073" t="s">
        <v>10241</v>
      </c>
      <c r="L1277" s="789" t="s">
        <v>10241</v>
      </c>
      <c r="M1277" s="790">
        <v>315</v>
      </c>
      <c r="O1277" s="790" t="s">
        <v>10263</v>
      </c>
      <c r="P1277" s="790" t="s">
        <v>10244</v>
      </c>
      <c r="R1277" s="30"/>
    </row>
    <row r="1278" spans="2:18">
      <c r="B1278" s="5" t="s">
        <v>5756</v>
      </c>
      <c r="C1278" s="1038">
        <v>320</v>
      </c>
      <c r="D1278" s="7">
        <f>Page1!R22</f>
        <v>0</v>
      </c>
      <c r="E1278" s="7">
        <f>Page1!R22</f>
        <v>0</v>
      </c>
      <c r="F1278" t="str">
        <f t="shared" si="73"/>
        <v>00-00-320-AMT-CURR</v>
      </c>
      <c r="G1278" t="s">
        <v>127</v>
      </c>
      <c r="H1278" t="s">
        <v>95</v>
      </c>
      <c r="I1278" t="s">
        <v>10253</v>
      </c>
      <c r="K1278" s="1073" t="s">
        <v>10241</v>
      </c>
      <c r="L1278" s="789" t="s">
        <v>10241</v>
      </c>
      <c r="M1278" s="790" t="s">
        <v>11357</v>
      </c>
      <c r="O1278" s="790" t="s">
        <v>10263</v>
      </c>
      <c r="P1278" s="790" t="s">
        <v>10244</v>
      </c>
      <c r="R1278" s="30"/>
    </row>
    <row r="1279" spans="2:18">
      <c r="B1279" s="5" t="s">
        <v>5758</v>
      </c>
      <c r="C1279" s="1038">
        <v>321</v>
      </c>
      <c r="D1279" s="7">
        <f>Page1!R23</f>
        <v>-15384</v>
      </c>
      <c r="E1279" s="7">
        <f>Page1!R23</f>
        <v>-15384</v>
      </c>
      <c r="F1279" t="str">
        <f t="shared" si="73"/>
        <v>00-00-321-AMT-CURR</v>
      </c>
      <c r="G1279" t="s">
        <v>127</v>
      </c>
      <c r="H1279" t="s">
        <v>95</v>
      </c>
      <c r="I1279" t="s">
        <v>10253</v>
      </c>
      <c r="K1279" s="1073" t="s">
        <v>10241</v>
      </c>
      <c r="L1279" s="789" t="s">
        <v>10241</v>
      </c>
      <c r="M1279" s="790" t="s">
        <v>11358</v>
      </c>
      <c r="O1279" s="790" t="s">
        <v>10263</v>
      </c>
      <c r="P1279" s="790" t="s">
        <v>10244</v>
      </c>
      <c r="R1279" s="30"/>
    </row>
    <row r="1280" spans="2:18">
      <c r="B1280" s="5" t="s">
        <v>5760</v>
      </c>
      <c r="C1280" s="1038">
        <v>322</v>
      </c>
      <c r="D1280" s="7">
        <f>Page1!R24</f>
        <v>0</v>
      </c>
      <c r="E1280" s="7">
        <f>Page1!R24</f>
        <v>0</v>
      </c>
      <c r="F1280" t="str">
        <f t="shared" si="73"/>
        <v>00-00-322-AMT-CURR</v>
      </c>
      <c r="G1280" t="s">
        <v>127</v>
      </c>
      <c r="H1280" t="s">
        <v>95</v>
      </c>
      <c r="I1280" t="s">
        <v>10253</v>
      </c>
      <c r="K1280" s="1073" t="s">
        <v>10241</v>
      </c>
      <c r="L1280" s="789" t="s">
        <v>10241</v>
      </c>
      <c r="M1280" s="790" t="s">
        <v>11359</v>
      </c>
      <c r="O1280" s="790" t="s">
        <v>10263</v>
      </c>
      <c r="P1280" s="790" t="s">
        <v>10244</v>
      </c>
      <c r="R1280" s="30"/>
    </row>
    <row r="1281" spans="2:18">
      <c r="B1281" s="5" t="s">
        <v>5762</v>
      </c>
      <c r="C1281" s="1038">
        <v>323</v>
      </c>
      <c r="D1281" s="7">
        <f>Page1!R25</f>
        <v>4995</v>
      </c>
      <c r="E1281" s="7">
        <f>Page1!R25</f>
        <v>4995</v>
      </c>
      <c r="F1281" t="str">
        <f t="shared" si="73"/>
        <v>00-00-323-AMT-CURR</v>
      </c>
      <c r="G1281" t="s">
        <v>127</v>
      </c>
      <c r="H1281" t="s">
        <v>95</v>
      </c>
      <c r="I1281" t="s">
        <v>10253</v>
      </c>
      <c r="K1281" s="1073" t="s">
        <v>10241</v>
      </c>
      <c r="L1281" s="789" t="s">
        <v>10241</v>
      </c>
      <c r="M1281" s="790" t="s">
        <v>11360</v>
      </c>
      <c r="O1281" s="790" t="s">
        <v>10263</v>
      </c>
      <c r="P1281" s="790" t="s">
        <v>10244</v>
      </c>
      <c r="R1281" s="30"/>
    </row>
    <row r="1282" spans="2:18">
      <c r="B1282" s="40" t="s">
        <v>5764</v>
      </c>
      <c r="C1282" s="1038">
        <v>324</v>
      </c>
      <c r="D1282" s="7">
        <f>Page1!R26</f>
        <v>-8171</v>
      </c>
      <c r="E1282" s="7">
        <f>Page1!R26</f>
        <v>-8171</v>
      </c>
      <c r="F1282" t="str">
        <f t="shared" si="73"/>
        <v>00-00-324-AMT-CURR</v>
      </c>
      <c r="G1282" t="s">
        <v>127</v>
      </c>
      <c r="H1282" t="s">
        <v>95</v>
      </c>
      <c r="I1282" t="s">
        <v>10253</v>
      </c>
      <c r="K1282" s="1073" t="s">
        <v>10241</v>
      </c>
      <c r="L1282" s="789" t="s">
        <v>10241</v>
      </c>
      <c r="M1282" s="790" t="s">
        <v>11361</v>
      </c>
      <c r="O1282" s="790" t="s">
        <v>10263</v>
      </c>
      <c r="P1282" s="790" t="s">
        <v>10244</v>
      </c>
      <c r="R1282" s="30"/>
    </row>
    <row r="1283" spans="2:18">
      <c r="B1283" s="5" t="s">
        <v>5765</v>
      </c>
      <c r="C1283" s="1038">
        <v>325</v>
      </c>
      <c r="D1283" s="7">
        <f>Page1!R27</f>
        <v>31762</v>
      </c>
      <c r="E1283" s="7">
        <f>Page1!R27</f>
        <v>31762</v>
      </c>
      <c r="F1283" t="str">
        <f t="shared" si="73"/>
        <v>00-00-325-AMT-CURR</v>
      </c>
      <c r="G1283" t="s">
        <v>127</v>
      </c>
      <c r="H1283" t="s">
        <v>95</v>
      </c>
      <c r="I1283" t="s">
        <v>10253</v>
      </c>
      <c r="K1283" s="1073" t="s">
        <v>10241</v>
      </c>
      <c r="L1283" s="789" t="s">
        <v>10241</v>
      </c>
      <c r="M1283" s="790" t="s">
        <v>11362</v>
      </c>
      <c r="O1283" s="790" t="s">
        <v>10263</v>
      </c>
      <c r="P1283" s="790" t="s">
        <v>10244</v>
      </c>
      <c r="R1283" s="30"/>
    </row>
    <row r="1284" spans="2:18">
      <c r="B1284" s="5" t="s">
        <v>5766</v>
      </c>
      <c r="C1284" s="1038">
        <v>327</v>
      </c>
      <c r="D1284" s="7">
        <f>Page1!R28</f>
        <v>0</v>
      </c>
      <c r="E1284" s="7">
        <f>Page1!R28</f>
        <v>0</v>
      </c>
      <c r="F1284" t="str">
        <f t="shared" si="73"/>
        <v>00-00-327-AMT-CURR</v>
      </c>
      <c r="G1284" t="s">
        <v>127</v>
      </c>
      <c r="H1284" t="s">
        <v>95</v>
      </c>
      <c r="I1284" t="s">
        <v>10253</v>
      </c>
      <c r="K1284" s="1073" t="s">
        <v>10241</v>
      </c>
      <c r="L1284" s="789" t="s">
        <v>10241</v>
      </c>
      <c r="M1284" s="790" t="s">
        <v>11363</v>
      </c>
      <c r="O1284" s="790" t="s">
        <v>10263</v>
      </c>
      <c r="P1284" s="790" t="s">
        <v>10244</v>
      </c>
      <c r="R1284" s="30"/>
    </row>
    <row r="1285" spans="2:18">
      <c r="B1285" s="50" t="s">
        <v>5768</v>
      </c>
      <c r="C1285" s="1038">
        <v>328</v>
      </c>
      <c r="D1285" s="7">
        <f>Page1!R29</f>
        <v>0</v>
      </c>
      <c r="E1285" s="7">
        <f>Page1!R29</f>
        <v>0</v>
      </c>
      <c r="F1285" t="str">
        <f t="shared" si="73"/>
        <v>00-00-328-AMT-CURR</v>
      </c>
      <c r="G1285" t="s">
        <v>127</v>
      </c>
      <c r="H1285" t="s">
        <v>95</v>
      </c>
      <c r="I1285" t="s">
        <v>10253</v>
      </c>
      <c r="K1285" s="1073" t="s">
        <v>10241</v>
      </c>
      <c r="L1285" s="789" t="s">
        <v>10241</v>
      </c>
      <c r="M1285" s="790" t="s">
        <v>11364</v>
      </c>
      <c r="O1285" s="790" t="s">
        <v>10263</v>
      </c>
      <c r="P1285" s="790" t="s">
        <v>10244</v>
      </c>
      <c r="R1285" s="30"/>
    </row>
    <row r="1286" spans="2:18">
      <c r="B1286" s="40" t="s">
        <v>5770</v>
      </c>
      <c r="C1286" s="1038">
        <v>329</v>
      </c>
      <c r="D1286" s="7">
        <f>Page1!R30</f>
        <v>0</v>
      </c>
      <c r="E1286" s="7">
        <f>Page1!R30</f>
        <v>0</v>
      </c>
      <c r="F1286" t="str">
        <f t="shared" si="73"/>
        <v>00-00-329-AMT-CURR</v>
      </c>
      <c r="G1286" t="s">
        <v>127</v>
      </c>
      <c r="H1286" t="s">
        <v>95</v>
      </c>
      <c r="I1286" t="s">
        <v>10253</v>
      </c>
      <c r="K1286" s="1073" t="s">
        <v>10241</v>
      </c>
      <c r="L1286" s="789" t="s">
        <v>10241</v>
      </c>
      <c r="M1286" s="790" t="s">
        <v>11365</v>
      </c>
      <c r="O1286" s="790" t="s">
        <v>10263</v>
      </c>
      <c r="P1286" s="790" t="s">
        <v>10244</v>
      </c>
      <c r="R1286" s="30"/>
    </row>
    <row r="1287" spans="2:18">
      <c r="B1287" s="5" t="s">
        <v>5772</v>
      </c>
      <c r="C1287" s="1038">
        <v>330</v>
      </c>
      <c r="D1287" s="7">
        <f>Page1!R31</f>
        <v>0</v>
      </c>
      <c r="E1287" s="7">
        <f>Page1!R31</f>
        <v>0</v>
      </c>
      <c r="F1287" t="str">
        <f t="shared" si="73"/>
        <v>00-00-330-AMT-CURR</v>
      </c>
      <c r="G1287" t="s">
        <v>127</v>
      </c>
      <c r="H1287" t="s">
        <v>95</v>
      </c>
      <c r="I1287" t="s">
        <v>10253</v>
      </c>
      <c r="K1287" s="1073" t="s">
        <v>10241</v>
      </c>
      <c r="L1287" s="789" t="s">
        <v>10241</v>
      </c>
      <c r="M1287" s="790" t="s">
        <v>11366</v>
      </c>
      <c r="O1287" s="790" t="s">
        <v>10263</v>
      </c>
      <c r="P1287" s="790" t="s">
        <v>10244</v>
      </c>
      <c r="R1287" s="30"/>
    </row>
    <row r="1288" spans="2:18">
      <c r="B1288" s="5" t="s">
        <v>5774</v>
      </c>
      <c r="C1288" s="1038">
        <v>331</v>
      </c>
      <c r="D1288" s="7">
        <f>Page1!R32</f>
        <v>274820</v>
      </c>
      <c r="E1288" s="7">
        <f>Page1!R32</f>
        <v>274820</v>
      </c>
      <c r="F1288" t="str">
        <f t="shared" si="73"/>
        <v>00-00-331-AMT-CURR</v>
      </c>
      <c r="G1288" t="s">
        <v>127</v>
      </c>
      <c r="H1288" t="s">
        <v>95</v>
      </c>
      <c r="I1288" t="s">
        <v>10253</v>
      </c>
      <c r="K1288" s="1073" t="s">
        <v>10241</v>
      </c>
      <c r="L1288" s="789" t="s">
        <v>10241</v>
      </c>
      <c r="M1288" s="790" t="s">
        <v>11367</v>
      </c>
      <c r="O1288" s="790" t="s">
        <v>10263</v>
      </c>
      <c r="P1288" s="790" t="s">
        <v>10244</v>
      </c>
      <c r="R1288" s="30"/>
    </row>
    <row r="1289" spans="2:18">
      <c r="B1289" s="27" t="s">
        <v>11368</v>
      </c>
      <c r="C1289" s="1042"/>
      <c r="D1289" s="7">
        <f>Page1!R34</f>
        <v>24963827</v>
      </c>
      <c r="E1289" s="7">
        <f>Page1!R34</f>
        <v>24963827</v>
      </c>
      <c r="F1289" t="str">
        <f t="shared" si="73"/>
        <v>00-00-CURRLIAB-AMT-CURR</v>
      </c>
      <c r="G1289" t="s">
        <v>127</v>
      </c>
      <c r="H1289" t="s">
        <v>95</v>
      </c>
      <c r="I1289" t="s">
        <v>10253</v>
      </c>
      <c r="J1289" t="s">
        <v>10268</v>
      </c>
      <c r="K1289" s="1073" t="s">
        <v>10241</v>
      </c>
      <c r="L1289" s="789" t="s">
        <v>10241</v>
      </c>
      <c r="M1289" s="790" t="s">
        <v>11369</v>
      </c>
      <c r="O1289" s="790" t="s">
        <v>10263</v>
      </c>
      <c r="P1289" s="790" t="s">
        <v>10244</v>
      </c>
      <c r="Q1289" s="791" t="s">
        <v>773</v>
      </c>
    </row>
    <row r="1290" spans="2:18" ht="13">
      <c r="B1290" s="5" t="s">
        <v>5776</v>
      </c>
      <c r="C1290" s="1038">
        <v>332</v>
      </c>
      <c r="D1290" s="7">
        <f>Page1!R35</f>
        <v>0</v>
      </c>
      <c r="E1290" s="7">
        <f>Page1!R35</f>
        <v>0</v>
      </c>
      <c r="F1290" t="str">
        <f>TEXT(K1290,"00")&amp;"-"&amp;L1290&amp;IF(M1290="","","-"&amp;M1290)&amp;IF(N1290="","","-"&amp;N1290)&amp;IF(OR(O1290="",O1290=0),"","-"&amp;O1290)&amp;IF(P1290="","","-"&amp;P1290)</f>
        <v>00-00-332-AMT-CURR</v>
      </c>
      <c r="G1290" t="s">
        <v>127</v>
      </c>
      <c r="H1290" t="s">
        <v>95</v>
      </c>
      <c r="I1290" t="s">
        <v>10253</v>
      </c>
      <c r="K1290" s="1073" t="s">
        <v>10241</v>
      </c>
      <c r="L1290" s="789" t="s">
        <v>10241</v>
      </c>
      <c r="M1290" s="807">
        <v>332</v>
      </c>
      <c r="O1290" s="790" t="s">
        <v>10263</v>
      </c>
      <c r="P1290" s="790" t="s">
        <v>10244</v>
      </c>
      <c r="R1290" s="30"/>
    </row>
    <row r="1291" spans="2:18">
      <c r="B1291" s="5" t="s">
        <v>5779</v>
      </c>
      <c r="C1291" s="1038">
        <v>334</v>
      </c>
      <c r="D1291" s="7">
        <f>Page1!R37</f>
        <v>500000</v>
      </c>
      <c r="E1291" s="7">
        <f>Page1!R37</f>
        <v>500000</v>
      </c>
      <c r="F1291" t="str">
        <f t="shared" si="73"/>
        <v>00-00-334-AMT-CURR</v>
      </c>
      <c r="G1291" t="s">
        <v>127</v>
      </c>
      <c r="H1291" t="s">
        <v>95</v>
      </c>
      <c r="I1291" t="s">
        <v>10253</v>
      </c>
      <c r="K1291" s="1073" t="s">
        <v>10241</v>
      </c>
      <c r="L1291" s="789" t="s">
        <v>10241</v>
      </c>
      <c r="M1291" s="790" t="s">
        <v>11370</v>
      </c>
      <c r="O1291" s="790" t="s">
        <v>10263</v>
      </c>
      <c r="P1291" s="790" t="s">
        <v>10244</v>
      </c>
      <c r="R1291" s="30"/>
    </row>
    <row r="1292" spans="2:18">
      <c r="B1292" s="5" t="s">
        <v>5781</v>
      </c>
      <c r="C1292" s="1038">
        <v>333</v>
      </c>
      <c r="D1292" s="7">
        <f>Page1!R39</f>
        <v>-21293</v>
      </c>
      <c r="E1292" s="7">
        <f>Page1!R39</f>
        <v>-21293</v>
      </c>
      <c r="F1292" t="str">
        <f t="shared" si="73"/>
        <v>00-00-333-AMT-CURR</v>
      </c>
      <c r="G1292" t="s">
        <v>127</v>
      </c>
      <c r="H1292" t="s">
        <v>95</v>
      </c>
      <c r="I1292" t="s">
        <v>10253</v>
      </c>
      <c r="K1292" s="1073" t="s">
        <v>10241</v>
      </c>
      <c r="L1292" s="789" t="s">
        <v>10241</v>
      </c>
      <c r="M1292" s="790" t="s">
        <v>11371</v>
      </c>
      <c r="O1292" s="790" t="s">
        <v>10263</v>
      </c>
      <c r="P1292" s="790" t="s">
        <v>10244</v>
      </c>
      <c r="R1292" s="30"/>
    </row>
    <row r="1293" spans="2:18">
      <c r="B1293" s="5" t="s">
        <v>11372</v>
      </c>
      <c r="C1293" s="1042"/>
      <c r="D1293" s="7">
        <f>Page1!R40</f>
        <v>25442534</v>
      </c>
      <c r="E1293" s="7">
        <f>Page1!R40</f>
        <v>25442534</v>
      </c>
      <c r="F1293" t="str">
        <f t="shared" si="73"/>
        <v>00-00-LTLIAB-AMT-CURR</v>
      </c>
      <c r="G1293" t="s">
        <v>127</v>
      </c>
      <c r="H1293" t="s">
        <v>95</v>
      </c>
      <c r="I1293" t="s">
        <v>10253</v>
      </c>
      <c r="J1293" t="s">
        <v>10268</v>
      </c>
      <c r="K1293" s="1073" t="s">
        <v>10241</v>
      </c>
      <c r="L1293" s="789" t="s">
        <v>10241</v>
      </c>
      <c r="M1293" s="790" t="s">
        <v>11373</v>
      </c>
      <c r="O1293" s="790" t="s">
        <v>10263</v>
      </c>
      <c r="P1293" s="790" t="s">
        <v>10244</v>
      </c>
      <c r="Q1293" s="791" t="s">
        <v>773</v>
      </c>
    </row>
    <row r="1294" spans="2:18">
      <c r="B1294" s="5" t="s">
        <v>5783</v>
      </c>
      <c r="C1294" s="1038">
        <v>335</v>
      </c>
      <c r="D1294" s="7">
        <f>Page1!R42</f>
        <v>0</v>
      </c>
      <c r="E1294" s="7">
        <f>Page1!R42</f>
        <v>0</v>
      </c>
      <c r="F1294" t="str">
        <f t="shared" si="73"/>
        <v>00-00-335-AMT-CURR</v>
      </c>
      <c r="G1294" t="s">
        <v>127</v>
      </c>
      <c r="H1294" t="s">
        <v>95</v>
      </c>
      <c r="I1294" t="s">
        <v>10253</v>
      </c>
      <c r="K1294" s="1073" t="s">
        <v>10241</v>
      </c>
      <c r="L1294" s="789" t="s">
        <v>10241</v>
      </c>
      <c r="M1294" s="790" t="s">
        <v>11374</v>
      </c>
      <c r="O1294" s="790" t="s">
        <v>10263</v>
      </c>
      <c r="P1294" s="790" t="s">
        <v>10244</v>
      </c>
      <c r="R1294" s="30"/>
    </row>
    <row r="1295" spans="2:18">
      <c r="B1295" s="51" t="s">
        <v>11375</v>
      </c>
      <c r="C1295" s="1042"/>
      <c r="D1295" s="7">
        <f>Page1!R45</f>
        <v>25442534</v>
      </c>
      <c r="E1295" s="7">
        <f>Page1!R45</f>
        <v>25442534</v>
      </c>
      <c r="F1295" t="str">
        <f t="shared" si="73"/>
        <v>00-00-TOTLIAB-AMT-CURR</v>
      </c>
      <c r="G1295" t="s">
        <v>127</v>
      </c>
      <c r="H1295" t="s">
        <v>95</v>
      </c>
      <c r="I1295" t="s">
        <v>10253</v>
      </c>
      <c r="J1295" t="s">
        <v>10268</v>
      </c>
      <c r="K1295" s="1073" t="s">
        <v>10241</v>
      </c>
      <c r="L1295" s="789" t="s">
        <v>10241</v>
      </c>
      <c r="M1295" s="790" t="s">
        <v>11376</v>
      </c>
      <c r="O1295" s="790" t="s">
        <v>10263</v>
      </c>
      <c r="P1295" s="790" t="s">
        <v>10244</v>
      </c>
      <c r="Q1295" s="791" t="s">
        <v>773</v>
      </c>
    </row>
    <row r="1296" spans="2:18">
      <c r="B1296" s="5" t="s">
        <v>11377</v>
      </c>
      <c r="C1296" s="1038">
        <v>360</v>
      </c>
      <c r="D1296" s="7">
        <f>Page1!R52</f>
        <v>3100020</v>
      </c>
      <c r="E1296" s="7">
        <f>Page1!R52</f>
        <v>3100020</v>
      </c>
      <c r="F1296" t="str">
        <f t="shared" si="73"/>
        <v>00-00-360-AMT-CURR</v>
      </c>
      <c r="G1296" t="s">
        <v>127</v>
      </c>
      <c r="H1296" t="s">
        <v>95</v>
      </c>
      <c r="I1296" t="s">
        <v>10253</v>
      </c>
      <c r="K1296" s="1073" t="s">
        <v>10241</v>
      </c>
      <c r="L1296" s="789" t="s">
        <v>10241</v>
      </c>
      <c r="M1296" s="790" t="s">
        <v>11378</v>
      </c>
      <c r="O1296" s="790" t="s">
        <v>10263</v>
      </c>
      <c r="P1296" s="790" t="s">
        <v>10244</v>
      </c>
      <c r="R1296" s="30"/>
    </row>
    <row r="1297" spans="2:18">
      <c r="B1297" s="5" t="s">
        <v>5788</v>
      </c>
      <c r="C1297" s="1038">
        <v>370</v>
      </c>
      <c r="D1297" s="7">
        <f>Page1!R55</f>
        <v>1239791</v>
      </c>
      <c r="E1297" s="7">
        <f>Page1!R55</f>
        <v>1239791</v>
      </c>
      <c r="F1297" t="str">
        <f t="shared" si="73"/>
        <v>00-00-370-AMT-CURR</v>
      </c>
      <c r="G1297" t="s">
        <v>127</v>
      </c>
      <c r="H1297" t="s">
        <v>95</v>
      </c>
      <c r="I1297" t="s">
        <v>10253</v>
      </c>
      <c r="K1297" s="1073" t="s">
        <v>10241</v>
      </c>
      <c r="L1297" s="789" t="s">
        <v>10241</v>
      </c>
      <c r="M1297" s="790" t="s">
        <v>11379</v>
      </c>
      <c r="O1297" s="790" t="s">
        <v>10263</v>
      </c>
      <c r="P1297" s="790" t="s">
        <v>10244</v>
      </c>
      <c r="R1297" s="30"/>
    </row>
    <row r="1298" spans="2:18">
      <c r="B1298" s="5" t="s">
        <v>5790</v>
      </c>
      <c r="C1298" s="1038">
        <v>375</v>
      </c>
      <c r="D1298" s="7">
        <f>Page1!R57</f>
        <v>0</v>
      </c>
      <c r="E1298" s="7">
        <f>Page1!R57</f>
        <v>0</v>
      </c>
      <c r="F1298" t="str">
        <f t="shared" si="73"/>
        <v>00-00-375-AMT-CURR</v>
      </c>
      <c r="G1298" t="s">
        <v>127</v>
      </c>
      <c r="H1298" t="s">
        <v>95</v>
      </c>
      <c r="I1298" t="s">
        <v>10253</v>
      </c>
      <c r="K1298" s="1073" t="s">
        <v>10241</v>
      </c>
      <c r="L1298" s="789" t="s">
        <v>10241</v>
      </c>
      <c r="M1298" s="790" t="s">
        <v>11380</v>
      </c>
      <c r="O1298" s="790" t="s">
        <v>10263</v>
      </c>
      <c r="P1298" s="790" t="s">
        <v>10244</v>
      </c>
      <c r="R1298" s="30"/>
    </row>
    <row r="1299" spans="2:18">
      <c r="B1299" s="5" t="s">
        <v>5792</v>
      </c>
      <c r="C1299" s="1038">
        <v>380</v>
      </c>
      <c r="D1299" s="7">
        <f>Page1!R59</f>
        <v>0</v>
      </c>
      <c r="E1299" s="7">
        <f>Page1!R59</f>
        <v>0</v>
      </c>
      <c r="F1299" t="str">
        <f t="shared" si="73"/>
        <v>00-00-380-AMT-CURR</v>
      </c>
      <c r="G1299" t="s">
        <v>127</v>
      </c>
      <c r="H1299" t="s">
        <v>95</v>
      </c>
      <c r="I1299" t="s">
        <v>10253</v>
      </c>
      <c r="K1299" s="1073" t="s">
        <v>10241</v>
      </c>
      <c r="L1299" s="789" t="s">
        <v>10241</v>
      </c>
      <c r="M1299" s="790" t="s">
        <v>11381</v>
      </c>
      <c r="O1299" s="790" t="s">
        <v>10263</v>
      </c>
      <c r="P1299" s="790" t="s">
        <v>10244</v>
      </c>
      <c r="R1299" s="30"/>
    </row>
    <row r="1300" spans="2:18">
      <c r="B1300" s="5" t="s">
        <v>5794</v>
      </c>
      <c r="C1300" s="1038">
        <v>390</v>
      </c>
      <c r="D1300" s="7">
        <f>Page1!R63</f>
        <v>0</v>
      </c>
      <c r="E1300" s="7">
        <f>Page1!R63</f>
        <v>0</v>
      </c>
      <c r="F1300" t="str">
        <f t="shared" si="73"/>
        <v>00-00-390-AMT-CURR</v>
      </c>
      <c r="G1300" t="s">
        <v>127</v>
      </c>
      <c r="H1300" t="s">
        <v>95</v>
      </c>
      <c r="I1300" t="s">
        <v>10253</v>
      </c>
      <c r="K1300" s="1073" t="s">
        <v>10241</v>
      </c>
      <c r="L1300" s="789" t="s">
        <v>10241</v>
      </c>
      <c r="M1300" s="790" t="s">
        <v>11382</v>
      </c>
      <c r="O1300" s="790" t="s">
        <v>10263</v>
      </c>
      <c r="P1300" s="790" t="s">
        <v>10244</v>
      </c>
      <c r="R1300" s="30"/>
    </row>
    <row r="1301" spans="2:18">
      <c r="B1301" s="5" t="s">
        <v>11383</v>
      </c>
      <c r="C1301" s="1038"/>
      <c r="D1301" s="7">
        <f>Page1!R64</f>
        <v>5</v>
      </c>
      <c r="E1301" s="7">
        <f>Page1!R64</f>
        <v>5</v>
      </c>
      <c r="F1301" t="str">
        <f t="shared" si="73"/>
        <v>00-00-TOBALNCE-AMT-CURR</v>
      </c>
      <c r="G1301" t="s">
        <v>127</v>
      </c>
      <c r="H1301" t="s">
        <v>95</v>
      </c>
      <c r="I1301" t="s">
        <v>10240</v>
      </c>
      <c r="K1301" s="1073" t="s">
        <v>10241</v>
      </c>
      <c r="L1301" s="789" t="s">
        <v>10241</v>
      </c>
      <c r="M1301" s="790" t="s">
        <v>11384</v>
      </c>
      <c r="O1301" s="790" t="s">
        <v>10263</v>
      </c>
      <c r="P1301" s="790" t="s">
        <v>10244</v>
      </c>
      <c r="Q1301" s="791" t="s">
        <v>773</v>
      </c>
    </row>
    <row r="1302" spans="2:18">
      <c r="B1302" s="5" t="s">
        <v>11385</v>
      </c>
      <c r="C1302" s="1038">
        <v>399</v>
      </c>
      <c r="D1302" s="7">
        <f>Page1!R66</f>
        <v>470300</v>
      </c>
      <c r="E1302" s="7">
        <f>Page1!R66</f>
        <v>470300</v>
      </c>
      <c r="F1302" t="str">
        <f t="shared" si="73"/>
        <v>00-00-399-AMT-CURR</v>
      </c>
      <c r="G1302" t="s">
        <v>127</v>
      </c>
      <c r="H1302" t="s">
        <v>95</v>
      </c>
      <c r="I1302" t="s">
        <v>10253</v>
      </c>
      <c r="K1302" s="1073" t="s">
        <v>10241</v>
      </c>
      <c r="L1302" s="789" t="s">
        <v>10241</v>
      </c>
      <c r="M1302" s="790" t="s">
        <v>11386</v>
      </c>
      <c r="O1302" s="790" t="s">
        <v>10263</v>
      </c>
      <c r="P1302" s="790" t="s">
        <v>10244</v>
      </c>
      <c r="R1302" s="30"/>
    </row>
    <row r="1303" spans="2:18">
      <c r="B1303" s="51" t="s">
        <v>11387</v>
      </c>
      <c r="C1303" s="1042"/>
      <c r="D1303" s="7">
        <f>Page1!R67</f>
        <v>4810116</v>
      </c>
      <c r="E1303" s="7">
        <f>Page1!R67</f>
        <v>4810116</v>
      </c>
      <c r="F1303" t="str">
        <f t="shared" si="73"/>
        <v>00-00-NETWORTH-AMT-CURR</v>
      </c>
      <c r="G1303" t="s">
        <v>127</v>
      </c>
      <c r="H1303" t="s">
        <v>95</v>
      </c>
      <c r="I1303" t="s">
        <v>10253</v>
      </c>
      <c r="J1303" t="s">
        <v>10268</v>
      </c>
      <c r="K1303" s="1073" t="s">
        <v>10241</v>
      </c>
      <c r="L1303" s="789" t="s">
        <v>10241</v>
      </c>
      <c r="M1303" s="790" t="s">
        <v>11388</v>
      </c>
      <c r="O1303" s="790" t="s">
        <v>10263</v>
      </c>
      <c r="P1303" s="790" t="s">
        <v>10244</v>
      </c>
      <c r="Q1303" s="791" t="s">
        <v>773</v>
      </c>
    </row>
    <row r="1304" spans="2:18">
      <c r="B1304" s="51" t="s">
        <v>5800</v>
      </c>
      <c r="C1304" s="1042"/>
      <c r="D1304" s="7">
        <f>Page1!R68</f>
        <v>30252650</v>
      </c>
      <c r="E1304" s="7">
        <f>Page1!R68</f>
        <v>30252650</v>
      </c>
      <c r="F1304" t="str">
        <f t="shared" si="73"/>
        <v>00-00-LIABNETW-AMT-CURR</v>
      </c>
      <c r="G1304" t="s">
        <v>127</v>
      </c>
      <c r="H1304" t="s">
        <v>95</v>
      </c>
      <c r="I1304" t="s">
        <v>10253</v>
      </c>
      <c r="J1304" t="s">
        <v>10268</v>
      </c>
      <c r="K1304" s="1073" t="s">
        <v>10241</v>
      </c>
      <c r="L1304" s="789" t="s">
        <v>10241</v>
      </c>
      <c r="M1304" s="790" t="s">
        <v>11389</v>
      </c>
      <c r="O1304" s="790" t="s">
        <v>10263</v>
      </c>
      <c r="P1304" s="790" t="s">
        <v>10244</v>
      </c>
      <c r="Q1304" s="791" t="s">
        <v>773</v>
      </c>
    </row>
    <row r="1305" spans="2:18">
      <c r="B1305" s="51" t="s">
        <v>11390</v>
      </c>
      <c r="C1305" s="1042"/>
      <c r="D1305" s="7">
        <f>Page2!G4</f>
        <v>10336068</v>
      </c>
      <c r="E1305" s="7">
        <f>Page2!J4</f>
        <v>34929085</v>
      </c>
      <c r="F1305" t="str">
        <f t="shared" si="73"/>
        <v>00-00-TOTAL-SALES-CURR</v>
      </c>
      <c r="G1305" t="s">
        <v>127</v>
      </c>
      <c r="H1305" t="s">
        <v>10287</v>
      </c>
      <c r="I1305" t="s">
        <v>10253</v>
      </c>
      <c r="J1305" t="s">
        <v>10268</v>
      </c>
      <c r="K1305" s="1073" t="s">
        <v>10241</v>
      </c>
      <c r="L1305" s="789" t="s">
        <v>10241</v>
      </c>
      <c r="M1305" s="790" t="s">
        <v>834</v>
      </c>
      <c r="O1305" s="790" t="s">
        <v>9883</v>
      </c>
      <c r="P1305" s="790" t="s">
        <v>10244</v>
      </c>
      <c r="Q1305" s="791" t="s">
        <v>773</v>
      </c>
    </row>
    <row r="1306" spans="2:18">
      <c r="B1306" s="51" t="s">
        <v>11391</v>
      </c>
      <c r="C1306" s="1042"/>
      <c r="D1306" s="7">
        <f>Page2!G5</f>
        <v>577339</v>
      </c>
      <c r="E1306" s="7">
        <f>Page2!J5</f>
        <v>2088131</v>
      </c>
      <c r="F1306" t="str">
        <f t="shared" si="73"/>
        <v>00-00-TOTAL-GRSPFT-CURR</v>
      </c>
      <c r="G1306" t="s">
        <v>127</v>
      </c>
      <c r="H1306" t="s">
        <v>10287</v>
      </c>
      <c r="I1306" t="s">
        <v>10253</v>
      </c>
      <c r="J1306" t="s">
        <v>10268</v>
      </c>
      <c r="K1306" s="1073" t="s">
        <v>10241</v>
      </c>
      <c r="L1306" s="789" t="s">
        <v>10241</v>
      </c>
      <c r="M1306" s="790" t="s">
        <v>834</v>
      </c>
      <c r="O1306" s="790" t="s">
        <v>10467</v>
      </c>
      <c r="P1306" s="790" t="s">
        <v>10244</v>
      </c>
      <c r="Q1306" s="791" t="s">
        <v>773</v>
      </c>
    </row>
    <row r="1307" spans="2:18">
      <c r="B1307" s="40" t="s">
        <v>11392</v>
      </c>
      <c r="C1307" s="1038">
        <v>11</v>
      </c>
      <c r="D1307" s="7">
        <f>Page2!G7</f>
        <v>41144</v>
      </c>
      <c r="E1307" s="7">
        <f>Page2!J7</f>
        <v>152840</v>
      </c>
      <c r="F1307" t="str">
        <f t="shared" si="73"/>
        <v>00-00-11-EXPNS-CURR</v>
      </c>
      <c r="G1307" t="s">
        <v>127</v>
      </c>
      <c r="H1307" t="s">
        <v>10287</v>
      </c>
      <c r="I1307" t="s">
        <v>10253</v>
      </c>
      <c r="J1307" t="s">
        <v>10268</v>
      </c>
      <c r="K1307" s="1073" t="s">
        <v>10241</v>
      </c>
      <c r="L1307" s="789" t="s">
        <v>10241</v>
      </c>
      <c r="M1307" s="790" t="s">
        <v>11393</v>
      </c>
      <c r="O1307" s="790" t="s">
        <v>11153</v>
      </c>
      <c r="P1307" s="790" t="s">
        <v>10244</v>
      </c>
      <c r="Q1307" s="791" t="s">
        <v>773</v>
      </c>
    </row>
    <row r="1308" spans="2:18">
      <c r="B1308" s="5" t="s">
        <v>11394</v>
      </c>
      <c r="C1308" s="1038">
        <v>13</v>
      </c>
      <c r="D1308" s="7">
        <f>Page2!G8</f>
        <v>-836</v>
      </c>
      <c r="E1308" s="7">
        <f>Page2!J8</f>
        <v>626</v>
      </c>
      <c r="F1308" t="str">
        <f t="shared" si="73"/>
        <v>00-00-13-EXPNS-CURR</v>
      </c>
      <c r="G1308" t="s">
        <v>127</v>
      </c>
      <c r="H1308" t="s">
        <v>10287</v>
      </c>
      <c r="I1308" t="s">
        <v>10253</v>
      </c>
      <c r="J1308" t="s">
        <v>10268</v>
      </c>
      <c r="K1308" s="1073" t="s">
        <v>10241</v>
      </c>
      <c r="L1308" s="789" t="s">
        <v>10241</v>
      </c>
      <c r="M1308" s="790" t="s">
        <v>1607</v>
      </c>
      <c r="O1308" s="790" t="s">
        <v>11153</v>
      </c>
      <c r="P1308" s="790" t="s">
        <v>10244</v>
      </c>
      <c r="Q1308" s="791" t="s">
        <v>773</v>
      </c>
      <c r="R1308" s="30"/>
    </row>
    <row r="1309" spans="2:18">
      <c r="B1309" s="5" t="s">
        <v>11395</v>
      </c>
      <c r="C1309" s="1038">
        <v>15</v>
      </c>
      <c r="D1309" s="7">
        <f>Page2!G9</f>
        <v>3642</v>
      </c>
      <c r="E1309" s="7">
        <f>Page2!J9</f>
        <v>21357</v>
      </c>
      <c r="F1309" t="str">
        <f t="shared" si="73"/>
        <v>00-00-15-EXPNS-CURR</v>
      </c>
      <c r="G1309" t="s">
        <v>127</v>
      </c>
      <c r="H1309" t="s">
        <v>10287</v>
      </c>
      <c r="I1309" t="s">
        <v>10253</v>
      </c>
      <c r="J1309" t="s">
        <v>10268</v>
      </c>
      <c r="K1309" s="1073" t="s">
        <v>10241</v>
      </c>
      <c r="L1309" s="789" t="s">
        <v>10241</v>
      </c>
      <c r="M1309" s="790" t="s">
        <v>11396</v>
      </c>
      <c r="O1309" s="790" t="s">
        <v>11153</v>
      </c>
      <c r="P1309" s="790" t="s">
        <v>10244</v>
      </c>
      <c r="Q1309" s="791" t="s">
        <v>773</v>
      </c>
      <c r="R1309" s="30"/>
    </row>
    <row r="1310" spans="2:18">
      <c r="B1310" s="51" t="s">
        <v>11397</v>
      </c>
      <c r="C1310" s="1042"/>
      <c r="D1310" s="7">
        <f>Page2!G10</f>
        <v>43950</v>
      </c>
      <c r="E1310" s="7">
        <f>Page2!J10</f>
        <v>174823</v>
      </c>
      <c r="F1310" t="str">
        <f t="shared" si="73"/>
        <v>00-00-VAREXPNS-EXPNS-CURR</v>
      </c>
      <c r="G1310" t="s">
        <v>127</v>
      </c>
      <c r="H1310" t="s">
        <v>10287</v>
      </c>
      <c r="I1310" t="s">
        <v>10253</v>
      </c>
      <c r="J1310" t="s">
        <v>10268</v>
      </c>
      <c r="K1310" s="1073" t="s">
        <v>10241</v>
      </c>
      <c r="L1310" s="789" t="s">
        <v>10241</v>
      </c>
      <c r="M1310" s="790" t="s">
        <v>11398</v>
      </c>
      <c r="O1310" s="790" t="s">
        <v>11153</v>
      </c>
      <c r="P1310" s="790" t="s">
        <v>10244</v>
      </c>
      <c r="Q1310" s="791" t="s">
        <v>773</v>
      </c>
    </row>
    <row r="1311" spans="2:18">
      <c r="B1311" s="5" t="s">
        <v>11399</v>
      </c>
      <c r="C1311" s="1038">
        <v>20</v>
      </c>
      <c r="D1311" s="7">
        <f>Page2!G11</f>
        <v>33879</v>
      </c>
      <c r="E1311" s="7">
        <f>Page2!J11</f>
        <v>133596</v>
      </c>
      <c r="F1311" t="str">
        <f t="shared" si="73"/>
        <v>00-00-20-EXPNS-CURR</v>
      </c>
      <c r="G1311" t="s">
        <v>127</v>
      </c>
      <c r="H1311" t="s">
        <v>10287</v>
      </c>
      <c r="I1311" t="s">
        <v>10253</v>
      </c>
      <c r="J1311" t="s">
        <v>10268</v>
      </c>
      <c r="K1311" s="1073" t="s">
        <v>10241</v>
      </c>
      <c r="L1311" s="789" t="s">
        <v>10241</v>
      </c>
      <c r="M1311" s="790" t="s">
        <v>11400</v>
      </c>
      <c r="O1311" s="790" t="s">
        <v>11153</v>
      </c>
      <c r="P1311" s="790" t="s">
        <v>10244</v>
      </c>
      <c r="Q1311" s="791" t="s">
        <v>773</v>
      </c>
      <c r="R1311" s="30"/>
    </row>
    <row r="1312" spans="2:18">
      <c r="B1312" s="5" t="s">
        <v>11401</v>
      </c>
      <c r="C1312" s="1038">
        <v>21</v>
      </c>
      <c r="D1312" s="7">
        <f>Page2!G12</f>
        <v>62764</v>
      </c>
      <c r="E1312" s="7">
        <f>Page2!J12</f>
        <v>193163</v>
      </c>
      <c r="F1312" t="str">
        <f t="shared" si="73"/>
        <v>00-00-21-EXPNS-CURR</v>
      </c>
      <c r="G1312" t="s">
        <v>127</v>
      </c>
      <c r="H1312" t="s">
        <v>10287</v>
      </c>
      <c r="I1312" t="s">
        <v>10253</v>
      </c>
      <c r="J1312" t="s">
        <v>10268</v>
      </c>
      <c r="K1312" s="1073" t="s">
        <v>10241</v>
      </c>
      <c r="L1312" s="789" t="s">
        <v>10241</v>
      </c>
      <c r="M1312" s="790" t="s">
        <v>11402</v>
      </c>
      <c r="O1312" s="790" t="s">
        <v>11153</v>
      </c>
      <c r="P1312" s="790" t="s">
        <v>10244</v>
      </c>
      <c r="Q1312" s="791" t="s">
        <v>773</v>
      </c>
      <c r="R1312" s="30"/>
    </row>
    <row r="1313" spans="2:18">
      <c r="B1313" s="40" t="s">
        <v>11403</v>
      </c>
      <c r="C1313" s="1038">
        <v>22</v>
      </c>
      <c r="D1313" s="7">
        <f>Page2!G13</f>
        <v>62646</v>
      </c>
      <c r="E1313" s="7">
        <f>Page2!J13</f>
        <v>245252</v>
      </c>
      <c r="F1313" t="str">
        <f t="shared" si="73"/>
        <v>00-00-22-EXPNS-CURR</v>
      </c>
      <c r="G1313" t="s">
        <v>127</v>
      </c>
      <c r="H1313" t="s">
        <v>10287</v>
      </c>
      <c r="I1313" t="s">
        <v>10253</v>
      </c>
      <c r="J1313" t="s">
        <v>10268</v>
      </c>
      <c r="K1313" s="1073" t="s">
        <v>10241</v>
      </c>
      <c r="L1313" s="789" t="s">
        <v>10241</v>
      </c>
      <c r="M1313" s="790" t="s">
        <v>11404</v>
      </c>
      <c r="O1313" s="790" t="s">
        <v>11153</v>
      </c>
      <c r="P1313" s="790" t="s">
        <v>10244</v>
      </c>
      <c r="Q1313" s="791" t="s">
        <v>773</v>
      </c>
      <c r="R1313" s="30"/>
    </row>
    <row r="1314" spans="2:18">
      <c r="B1314" s="5" t="s">
        <v>11405</v>
      </c>
      <c r="C1314" s="1038">
        <v>23</v>
      </c>
      <c r="D1314" s="7">
        <f>Page2!G14</f>
        <v>35890</v>
      </c>
      <c r="E1314" s="7">
        <f>Page2!J14</f>
        <v>116047</v>
      </c>
      <c r="F1314" t="str">
        <f t="shared" si="73"/>
        <v>00-00-23-EXPNS-CURR</v>
      </c>
      <c r="G1314" t="s">
        <v>127</v>
      </c>
      <c r="H1314" t="s">
        <v>10287</v>
      </c>
      <c r="I1314" t="s">
        <v>10253</v>
      </c>
      <c r="J1314" t="s">
        <v>10268</v>
      </c>
      <c r="K1314" s="1073" t="s">
        <v>10241</v>
      </c>
      <c r="L1314" s="789" t="s">
        <v>10241</v>
      </c>
      <c r="M1314" s="790" t="s">
        <v>11406</v>
      </c>
      <c r="O1314" s="790" t="s">
        <v>11153</v>
      </c>
      <c r="P1314" s="790" t="s">
        <v>10244</v>
      </c>
      <c r="Q1314" s="791" t="s">
        <v>773</v>
      </c>
      <c r="R1314" s="30"/>
    </row>
    <row r="1315" spans="2:18">
      <c r="B1315" s="5" t="s">
        <v>11407</v>
      </c>
      <c r="C1315" s="1038">
        <v>24</v>
      </c>
      <c r="D1315" s="7">
        <f>Page2!G15</f>
        <v>28876</v>
      </c>
      <c r="E1315" s="7">
        <f>Page2!J15</f>
        <v>95156</v>
      </c>
      <c r="F1315" t="str">
        <f t="shared" si="73"/>
        <v>00-00-24-EXPNS-CURR</v>
      </c>
      <c r="G1315" t="s">
        <v>127</v>
      </c>
      <c r="H1315" t="s">
        <v>10287</v>
      </c>
      <c r="I1315" t="s">
        <v>10253</v>
      </c>
      <c r="J1315" t="s">
        <v>10268</v>
      </c>
      <c r="K1315" s="1073" t="s">
        <v>10241</v>
      </c>
      <c r="L1315" s="789" t="s">
        <v>10241</v>
      </c>
      <c r="M1315" s="790" t="s">
        <v>11408</v>
      </c>
      <c r="O1315" s="790" t="s">
        <v>11153</v>
      </c>
      <c r="P1315" s="790" t="s">
        <v>10244</v>
      </c>
      <c r="Q1315" s="791" t="s">
        <v>773</v>
      </c>
      <c r="R1315" s="30"/>
    </row>
    <row r="1316" spans="2:18">
      <c r="B1316" s="5" t="s">
        <v>11409</v>
      </c>
      <c r="C1316" s="1038">
        <v>26</v>
      </c>
      <c r="D1316" s="7">
        <f>Page2!G16</f>
        <v>0</v>
      </c>
      <c r="E1316" s="7">
        <f>Page2!J16</f>
        <v>0</v>
      </c>
      <c r="F1316" t="str">
        <f t="shared" si="73"/>
        <v>00-00-26-EXPNS-CURR</v>
      </c>
      <c r="G1316" t="s">
        <v>127</v>
      </c>
      <c r="H1316" t="s">
        <v>10287</v>
      </c>
      <c r="I1316" t="s">
        <v>10253</v>
      </c>
      <c r="K1316" s="1073" t="s">
        <v>10241</v>
      </c>
      <c r="L1316" s="789" t="s">
        <v>10241</v>
      </c>
      <c r="M1316" s="790">
        <v>26</v>
      </c>
      <c r="O1316" s="790" t="s">
        <v>11153</v>
      </c>
      <c r="P1316" s="790" t="s">
        <v>10244</v>
      </c>
      <c r="Q1316" s="791" t="s">
        <v>773</v>
      </c>
      <c r="R1316" s="30"/>
    </row>
    <row r="1317" spans="2:18">
      <c r="B1317" s="5" t="s">
        <v>11410</v>
      </c>
      <c r="C1317" s="1038">
        <v>25</v>
      </c>
      <c r="D1317" s="7">
        <f>Page2!G17</f>
        <v>10296</v>
      </c>
      <c r="E1317" s="7">
        <f>Page2!J17</f>
        <v>38719</v>
      </c>
      <c r="F1317" t="str">
        <f t="shared" si="73"/>
        <v>00-00-25-EXPNS-CURR</v>
      </c>
      <c r="G1317" t="s">
        <v>127</v>
      </c>
      <c r="H1317" t="s">
        <v>10287</v>
      </c>
      <c r="I1317" t="s">
        <v>10253</v>
      </c>
      <c r="J1317" t="s">
        <v>10268</v>
      </c>
      <c r="K1317" s="1073" t="s">
        <v>10241</v>
      </c>
      <c r="L1317" s="789" t="s">
        <v>10241</v>
      </c>
      <c r="M1317" s="790" t="s">
        <v>11411</v>
      </c>
      <c r="O1317" s="790" t="s">
        <v>11153</v>
      </c>
      <c r="P1317" s="790" t="s">
        <v>10244</v>
      </c>
      <c r="Q1317" s="791" t="s">
        <v>773</v>
      </c>
      <c r="R1317" s="30"/>
    </row>
    <row r="1318" spans="2:18">
      <c r="B1318" s="5" t="s">
        <v>11412</v>
      </c>
      <c r="C1318" s="1038">
        <v>27</v>
      </c>
      <c r="D1318" s="7">
        <f>Page2!G18</f>
        <v>26479</v>
      </c>
      <c r="E1318" s="7">
        <f>Page2!J18</f>
        <v>100198</v>
      </c>
      <c r="F1318" t="str">
        <f t="shared" si="73"/>
        <v>00-00-27-EXPNS-CURR</v>
      </c>
      <c r="G1318" t="s">
        <v>127</v>
      </c>
      <c r="H1318" t="s">
        <v>10287</v>
      </c>
      <c r="I1318" t="s">
        <v>10253</v>
      </c>
      <c r="J1318" t="s">
        <v>10268</v>
      </c>
      <c r="K1318" s="1073" t="s">
        <v>10241</v>
      </c>
      <c r="L1318" s="789" t="s">
        <v>10241</v>
      </c>
      <c r="M1318" s="790" t="s">
        <v>11413</v>
      </c>
      <c r="O1318" s="790" t="s">
        <v>11153</v>
      </c>
      <c r="P1318" s="790" t="s">
        <v>10244</v>
      </c>
      <c r="Q1318" s="791" t="s">
        <v>773</v>
      </c>
      <c r="R1318" s="30"/>
    </row>
    <row r="1319" spans="2:18">
      <c r="B1319" s="5" t="s">
        <v>11414</v>
      </c>
      <c r="C1319" s="1038">
        <v>29</v>
      </c>
      <c r="D1319" s="7">
        <f>Page2!G19</f>
        <v>0</v>
      </c>
      <c r="E1319" s="7">
        <f>Page2!J19</f>
        <v>0</v>
      </c>
      <c r="F1319" t="str">
        <f t="shared" si="73"/>
        <v>00-00-29-EXPNS-CURR</v>
      </c>
      <c r="G1319" t="s">
        <v>127</v>
      </c>
      <c r="H1319" t="s">
        <v>10287</v>
      </c>
      <c r="I1319" t="s">
        <v>10253</v>
      </c>
      <c r="J1319" t="s">
        <v>10268</v>
      </c>
      <c r="K1319" s="1073" t="s">
        <v>10241</v>
      </c>
      <c r="L1319" s="789" t="s">
        <v>10241</v>
      </c>
      <c r="M1319" s="790" t="s">
        <v>11415</v>
      </c>
      <c r="O1319" s="790" t="s">
        <v>11153</v>
      </c>
      <c r="P1319" s="790" t="s">
        <v>10244</v>
      </c>
      <c r="Q1319" s="791" t="s">
        <v>773</v>
      </c>
      <c r="R1319" s="30"/>
    </row>
    <row r="1320" spans="2:18">
      <c r="B1320" s="27" t="s">
        <v>11416</v>
      </c>
      <c r="C1320" s="1042"/>
      <c r="D1320" s="7">
        <f>Page2!G20</f>
        <v>260830</v>
      </c>
      <c r="E1320" s="7">
        <f>Page2!J20</f>
        <v>922131</v>
      </c>
      <c r="F1320" t="str">
        <f t="shared" si="73"/>
        <v>00-00-PERSONNL-EXPNS-CURR</v>
      </c>
      <c r="G1320" t="s">
        <v>127</v>
      </c>
      <c r="H1320" t="s">
        <v>10287</v>
      </c>
      <c r="I1320" t="s">
        <v>10253</v>
      </c>
      <c r="J1320" t="s">
        <v>10268</v>
      </c>
      <c r="K1320" s="1073" t="s">
        <v>10241</v>
      </c>
      <c r="L1320" s="789" t="s">
        <v>10241</v>
      </c>
      <c r="M1320" s="790" t="s">
        <v>10956</v>
      </c>
      <c r="O1320" s="790" t="s">
        <v>11153</v>
      </c>
      <c r="P1320" s="790" t="s">
        <v>10244</v>
      </c>
      <c r="Q1320" s="791" t="s">
        <v>773</v>
      </c>
    </row>
    <row r="1321" spans="2:18">
      <c r="B1321" s="5" t="s">
        <v>11417</v>
      </c>
      <c r="C1321" s="1038">
        <v>51</v>
      </c>
      <c r="D1321" s="7">
        <f>Page2!G21</f>
        <v>14555</v>
      </c>
      <c r="E1321" s="7">
        <f>Page2!J21</f>
        <v>46060</v>
      </c>
      <c r="F1321" t="str">
        <f t="shared" si="73"/>
        <v>00-00-51-EXPNS-CURR</v>
      </c>
      <c r="G1321" t="s">
        <v>127</v>
      </c>
      <c r="H1321" t="s">
        <v>10287</v>
      </c>
      <c r="I1321" t="s">
        <v>10253</v>
      </c>
      <c r="J1321" t="s">
        <v>10268</v>
      </c>
      <c r="K1321" s="1073" t="s">
        <v>10241</v>
      </c>
      <c r="L1321" s="789" t="s">
        <v>10241</v>
      </c>
      <c r="M1321" s="790" t="s">
        <v>11418</v>
      </c>
      <c r="O1321" s="790" t="s">
        <v>11153</v>
      </c>
      <c r="P1321" s="790" t="s">
        <v>10244</v>
      </c>
      <c r="Q1321" s="791" t="s">
        <v>773</v>
      </c>
      <c r="R1321" s="30"/>
    </row>
    <row r="1322" spans="2:18">
      <c r="B1322" s="5" t="s">
        <v>11419</v>
      </c>
      <c r="C1322" s="1038">
        <v>60</v>
      </c>
      <c r="D1322" s="7">
        <f>Page2!G22</f>
        <v>2085</v>
      </c>
      <c r="E1322" s="7">
        <f>Page2!J22</f>
        <v>12300</v>
      </c>
      <c r="F1322" t="str">
        <f t="shared" si="73"/>
        <v>00-00-60-EXPNS-CURR</v>
      </c>
      <c r="G1322" t="s">
        <v>127</v>
      </c>
      <c r="H1322" t="s">
        <v>10287</v>
      </c>
      <c r="I1322" t="s">
        <v>10253</v>
      </c>
      <c r="J1322" t="s">
        <v>10268</v>
      </c>
      <c r="K1322" s="1073" t="s">
        <v>10241</v>
      </c>
      <c r="L1322" s="789" t="s">
        <v>10241</v>
      </c>
      <c r="M1322" s="790" t="s">
        <v>11420</v>
      </c>
      <c r="O1322" s="790" t="s">
        <v>11153</v>
      </c>
      <c r="P1322" s="790" t="s">
        <v>10244</v>
      </c>
      <c r="Q1322" s="791" t="s">
        <v>773</v>
      </c>
      <c r="R1322" s="30"/>
    </row>
    <row r="1323" spans="2:18">
      <c r="B1323" s="5" t="s">
        <v>11421</v>
      </c>
      <c r="C1323" s="1038">
        <v>61</v>
      </c>
      <c r="D1323" s="7">
        <f>Page2!G23</f>
        <v>9927</v>
      </c>
      <c r="E1323" s="7">
        <f>Page2!J23</f>
        <v>32155</v>
      </c>
      <c r="F1323" t="str">
        <f t="shared" si="73"/>
        <v>00-00-61-EXPNS-CURR</v>
      </c>
      <c r="G1323" t="s">
        <v>127</v>
      </c>
      <c r="H1323" t="s">
        <v>10287</v>
      </c>
      <c r="I1323" t="s">
        <v>10253</v>
      </c>
      <c r="J1323" t="s">
        <v>10268</v>
      </c>
      <c r="K1323" s="1073" t="s">
        <v>10241</v>
      </c>
      <c r="L1323" s="789" t="s">
        <v>10241</v>
      </c>
      <c r="M1323" s="790" t="s">
        <v>11422</v>
      </c>
      <c r="O1323" s="790" t="s">
        <v>11153</v>
      </c>
      <c r="P1323" s="790" t="s">
        <v>10244</v>
      </c>
      <c r="Q1323" s="791" t="s">
        <v>773</v>
      </c>
      <c r="R1323" s="30"/>
    </row>
    <row r="1324" spans="2:18">
      <c r="B1324" s="5" t="s">
        <v>11423</v>
      </c>
      <c r="C1324" s="1038">
        <v>63</v>
      </c>
      <c r="D1324" s="7">
        <f>Page2!G24</f>
        <v>0</v>
      </c>
      <c r="E1324" s="7">
        <f>Page2!J24</f>
        <v>0</v>
      </c>
      <c r="F1324" t="str">
        <f t="shared" si="73"/>
        <v>00-00-63-EXPNS-CURR</v>
      </c>
      <c r="G1324" t="s">
        <v>127</v>
      </c>
      <c r="H1324" t="s">
        <v>10287</v>
      </c>
      <c r="I1324" t="s">
        <v>10253</v>
      </c>
      <c r="K1324" s="1073" t="s">
        <v>10241</v>
      </c>
      <c r="L1324" s="789" t="s">
        <v>10241</v>
      </c>
      <c r="M1324" s="790">
        <v>63</v>
      </c>
      <c r="O1324" s="790" t="s">
        <v>11153</v>
      </c>
      <c r="P1324" s="790" t="s">
        <v>10244</v>
      </c>
      <c r="Q1324" s="791" t="s">
        <v>773</v>
      </c>
      <c r="R1324" s="30"/>
    </row>
    <row r="1325" spans="2:18">
      <c r="B1325" s="5" t="s">
        <v>11424</v>
      </c>
      <c r="C1325" s="1038">
        <v>65</v>
      </c>
      <c r="D1325" s="7">
        <f>Page2!G25</f>
        <v>15756</v>
      </c>
      <c r="E1325" s="7">
        <f>Page2!J25</f>
        <v>69283</v>
      </c>
      <c r="F1325" t="str">
        <f t="shared" si="73"/>
        <v>00-00-65-EXPNS-CURR</v>
      </c>
      <c r="G1325" t="s">
        <v>127</v>
      </c>
      <c r="H1325" t="s">
        <v>10287</v>
      </c>
      <c r="I1325" t="s">
        <v>10253</v>
      </c>
      <c r="J1325" t="s">
        <v>10268</v>
      </c>
      <c r="K1325" s="1073" t="s">
        <v>10241</v>
      </c>
      <c r="L1325" s="789" t="s">
        <v>10241</v>
      </c>
      <c r="M1325" s="790" t="s">
        <v>11425</v>
      </c>
      <c r="O1325" s="790" t="s">
        <v>11153</v>
      </c>
      <c r="P1325" s="790" t="s">
        <v>10244</v>
      </c>
      <c r="Q1325" s="791" t="s">
        <v>773</v>
      </c>
      <c r="R1325" s="30"/>
    </row>
    <row r="1326" spans="2:18">
      <c r="B1326" s="5" t="s">
        <v>11426</v>
      </c>
      <c r="C1326" s="1038">
        <v>64</v>
      </c>
      <c r="D1326" s="7">
        <f>Page2!G26</f>
        <v>0</v>
      </c>
      <c r="E1326" s="7">
        <f>Page2!J26</f>
        <v>-45212</v>
      </c>
      <c r="F1326" t="str">
        <f t="shared" si="73"/>
        <v>00-00-64-EXPNS-CURR</v>
      </c>
      <c r="G1326" t="s">
        <v>127</v>
      </c>
      <c r="H1326" t="s">
        <v>10287</v>
      </c>
      <c r="I1326" t="s">
        <v>10253</v>
      </c>
      <c r="K1326" s="1073" t="s">
        <v>10241</v>
      </c>
      <c r="L1326" s="789" t="s">
        <v>10241</v>
      </c>
      <c r="M1326" s="790">
        <v>64</v>
      </c>
      <c r="O1326" s="790" t="s">
        <v>11153</v>
      </c>
      <c r="P1326" s="790" t="s">
        <v>10244</v>
      </c>
      <c r="Q1326" s="791" t="s">
        <v>773</v>
      </c>
      <c r="R1326" s="30"/>
    </row>
    <row r="1327" spans="2:18">
      <c r="B1327" s="5" t="s">
        <v>11427</v>
      </c>
      <c r="C1327" s="1038">
        <v>66</v>
      </c>
      <c r="D1327" s="7">
        <f>Page2!G27</f>
        <v>500</v>
      </c>
      <c r="E1327" s="7">
        <f>Page2!J27</f>
        <v>500</v>
      </c>
      <c r="F1327" t="str">
        <f t="shared" si="73"/>
        <v>00-00-66-EXPNS-CURR</v>
      </c>
      <c r="G1327" t="s">
        <v>127</v>
      </c>
      <c r="H1327" t="s">
        <v>10287</v>
      </c>
      <c r="I1327" t="s">
        <v>10253</v>
      </c>
      <c r="J1327" t="s">
        <v>10268</v>
      </c>
      <c r="K1327" s="1073" t="s">
        <v>10241</v>
      </c>
      <c r="L1327" s="789" t="s">
        <v>10241</v>
      </c>
      <c r="M1327" s="790" t="s">
        <v>11428</v>
      </c>
      <c r="O1327" s="790" t="s">
        <v>11153</v>
      </c>
      <c r="P1327" s="790" t="s">
        <v>10244</v>
      </c>
      <c r="Q1327" s="791" t="s">
        <v>773</v>
      </c>
      <c r="R1327" s="30"/>
    </row>
    <row r="1328" spans="2:18">
      <c r="B1328" s="5" t="s">
        <v>11429</v>
      </c>
      <c r="C1328" s="1038">
        <v>67</v>
      </c>
      <c r="D1328" s="7">
        <f>Page2!G28</f>
        <v>444</v>
      </c>
      <c r="E1328" s="7">
        <f>Page2!J28</f>
        <v>9574</v>
      </c>
      <c r="F1328" t="str">
        <f t="shared" si="73"/>
        <v>00-00-67-EXPNS-CURR</v>
      </c>
      <c r="G1328" t="s">
        <v>127</v>
      </c>
      <c r="H1328" t="s">
        <v>10287</v>
      </c>
      <c r="I1328" t="s">
        <v>10253</v>
      </c>
      <c r="J1328" t="s">
        <v>10268</v>
      </c>
      <c r="K1328" s="1073" t="s">
        <v>10241</v>
      </c>
      <c r="L1328" s="789" t="s">
        <v>10241</v>
      </c>
      <c r="M1328" s="790" t="s">
        <v>11430</v>
      </c>
      <c r="O1328" s="790" t="s">
        <v>11153</v>
      </c>
      <c r="P1328" s="790" t="s">
        <v>10244</v>
      </c>
      <c r="Q1328" s="791" t="s">
        <v>773</v>
      </c>
      <c r="R1328" s="30"/>
    </row>
    <row r="1329" spans="2:18">
      <c r="B1329" s="5" t="s">
        <v>11431</v>
      </c>
      <c r="C1329" s="1038">
        <v>68</v>
      </c>
      <c r="D1329" s="7">
        <f>Page2!G29</f>
        <v>21336</v>
      </c>
      <c r="E1329" s="7">
        <f>Page2!J29</f>
        <v>75726</v>
      </c>
      <c r="F1329" t="str">
        <f t="shared" si="73"/>
        <v>00-00-68-EXPNS-CURR</v>
      </c>
      <c r="G1329" t="s">
        <v>127</v>
      </c>
      <c r="H1329" t="s">
        <v>10287</v>
      </c>
      <c r="I1329" t="s">
        <v>10253</v>
      </c>
      <c r="J1329" t="s">
        <v>10268</v>
      </c>
      <c r="K1329" s="1073" t="s">
        <v>10241</v>
      </c>
      <c r="L1329" s="789" t="s">
        <v>10241</v>
      </c>
      <c r="M1329" s="790" t="s">
        <v>11432</v>
      </c>
      <c r="O1329" s="790" t="s">
        <v>11153</v>
      </c>
      <c r="P1329" s="790" t="s">
        <v>10244</v>
      </c>
      <c r="Q1329" s="791" t="s">
        <v>773</v>
      </c>
      <c r="R1329" s="30"/>
    </row>
    <row r="1330" spans="2:18">
      <c r="B1330" s="5" t="s">
        <v>11433</v>
      </c>
      <c r="C1330" s="1038">
        <v>69</v>
      </c>
      <c r="D1330" s="7">
        <f>Page2!G30</f>
        <v>6900</v>
      </c>
      <c r="E1330" s="7">
        <f>Page2!J30</f>
        <v>21330</v>
      </c>
      <c r="F1330" t="str">
        <f t="shared" si="73"/>
        <v>00-00-69-EXPNS-CURR</v>
      </c>
      <c r="G1330" t="s">
        <v>127</v>
      </c>
      <c r="H1330" t="s">
        <v>10287</v>
      </c>
      <c r="I1330" t="s">
        <v>10253</v>
      </c>
      <c r="J1330" t="s">
        <v>10268</v>
      </c>
      <c r="K1330" s="1073" t="s">
        <v>10241</v>
      </c>
      <c r="L1330" s="789" t="s">
        <v>10241</v>
      </c>
      <c r="M1330" s="790" t="s">
        <v>11434</v>
      </c>
      <c r="O1330" s="790" t="s">
        <v>11153</v>
      </c>
      <c r="P1330" s="790" t="s">
        <v>10244</v>
      </c>
      <c r="Q1330" s="791" t="s">
        <v>773</v>
      </c>
      <c r="R1330" s="30"/>
    </row>
    <row r="1331" spans="2:18">
      <c r="B1331" s="5" t="s">
        <v>11435</v>
      </c>
      <c r="C1331" s="1038">
        <v>70</v>
      </c>
      <c r="D1331" s="7">
        <f>Page2!G31</f>
        <v>2668</v>
      </c>
      <c r="E1331" s="7">
        <f>Page2!J31</f>
        <v>7730</v>
      </c>
      <c r="F1331" t="str">
        <f t="shared" si="73"/>
        <v>00-00-70-EXPNS-CURR</v>
      </c>
      <c r="G1331" t="s">
        <v>127</v>
      </c>
      <c r="H1331" t="s">
        <v>10287</v>
      </c>
      <c r="I1331" t="s">
        <v>10253</v>
      </c>
      <c r="J1331" t="s">
        <v>10268</v>
      </c>
      <c r="K1331" s="1073" t="s">
        <v>10241</v>
      </c>
      <c r="L1331" s="789" t="s">
        <v>10241</v>
      </c>
      <c r="M1331" s="790" t="s">
        <v>11436</v>
      </c>
      <c r="O1331" s="790" t="s">
        <v>11153</v>
      </c>
      <c r="P1331" s="790" t="s">
        <v>10244</v>
      </c>
      <c r="Q1331" s="791" t="s">
        <v>773</v>
      </c>
      <c r="R1331" s="30"/>
    </row>
    <row r="1332" spans="2:18">
      <c r="B1332" s="5" t="s">
        <v>11437</v>
      </c>
      <c r="C1332" s="1038">
        <v>71</v>
      </c>
      <c r="D1332" s="7">
        <f>Page2!G32</f>
        <v>380</v>
      </c>
      <c r="E1332" s="7">
        <f>Page2!J32</f>
        <v>2490</v>
      </c>
      <c r="F1332" t="str">
        <f t="shared" si="73"/>
        <v>00-00-71-EXPNS-CURR</v>
      </c>
      <c r="G1332" t="s">
        <v>127</v>
      </c>
      <c r="H1332" t="s">
        <v>10287</v>
      </c>
      <c r="I1332" t="s">
        <v>10253</v>
      </c>
      <c r="J1332" t="s">
        <v>10268</v>
      </c>
      <c r="K1332" s="1073" t="s">
        <v>10241</v>
      </c>
      <c r="L1332" s="789" t="s">
        <v>10241</v>
      </c>
      <c r="M1332" s="790" t="s">
        <v>11438</v>
      </c>
      <c r="O1332" s="790" t="s">
        <v>11153</v>
      </c>
      <c r="P1332" s="790" t="s">
        <v>10244</v>
      </c>
      <c r="Q1332" s="791" t="s">
        <v>773</v>
      </c>
      <c r="R1332" s="30"/>
    </row>
    <row r="1333" spans="2:18">
      <c r="B1333" s="5" t="s">
        <v>11439</v>
      </c>
      <c r="C1333" s="1038">
        <v>72</v>
      </c>
      <c r="D1333" s="7">
        <f>Page2!G33</f>
        <v>2000</v>
      </c>
      <c r="E1333" s="7">
        <f>Page2!J33</f>
        <v>3000</v>
      </c>
      <c r="F1333" t="str">
        <f t="shared" si="73"/>
        <v>00-00-72-EXPNS-CURR</v>
      </c>
      <c r="G1333" t="s">
        <v>127</v>
      </c>
      <c r="H1333" t="s">
        <v>10287</v>
      </c>
      <c r="I1333" t="s">
        <v>10253</v>
      </c>
      <c r="J1333" t="s">
        <v>10268</v>
      </c>
      <c r="K1333" s="1073" t="s">
        <v>10241</v>
      </c>
      <c r="L1333" s="789" t="s">
        <v>10241</v>
      </c>
      <c r="M1333" s="790" t="s">
        <v>11440</v>
      </c>
      <c r="O1333" s="790" t="s">
        <v>11153</v>
      </c>
      <c r="P1333" s="790" t="s">
        <v>10244</v>
      </c>
      <c r="Q1333" s="791" t="s">
        <v>773</v>
      </c>
      <c r="R1333" s="30"/>
    </row>
    <row r="1334" spans="2:18">
      <c r="B1334" s="40" t="s">
        <v>11441</v>
      </c>
      <c r="C1334" s="1038">
        <v>74</v>
      </c>
      <c r="D1334" s="7">
        <f>Page2!G34</f>
        <v>1024</v>
      </c>
      <c r="E1334" s="7">
        <f>Page2!J34</f>
        <v>2987</v>
      </c>
      <c r="F1334" t="str">
        <f t="shared" ref="F1334:F1397" si="74">TEXT(K1334,"00")&amp;"-"&amp;L1334&amp;IF(M1334="","","-"&amp;M1334)&amp;IF(N1334="","","-"&amp;N1334)&amp;IF(OR(O1334="",O1334=0),"","-"&amp;O1334)&amp;IF(P1334="","","-"&amp;P1334)</f>
        <v>00-00-74-EXPNS-CURR</v>
      </c>
      <c r="G1334" t="s">
        <v>127</v>
      </c>
      <c r="H1334" t="s">
        <v>10287</v>
      </c>
      <c r="I1334" t="s">
        <v>10253</v>
      </c>
      <c r="J1334" t="s">
        <v>10268</v>
      </c>
      <c r="K1334" s="1073" t="s">
        <v>10241</v>
      </c>
      <c r="L1334" s="789" t="s">
        <v>10241</v>
      </c>
      <c r="M1334" s="790" t="s">
        <v>11442</v>
      </c>
      <c r="O1334" s="790" t="s">
        <v>11153</v>
      </c>
      <c r="P1334" s="790" t="s">
        <v>10244</v>
      </c>
      <c r="Q1334" s="791" t="s">
        <v>773</v>
      </c>
      <c r="R1334" s="30"/>
    </row>
    <row r="1335" spans="2:18">
      <c r="B1335" s="5" t="s">
        <v>11443</v>
      </c>
      <c r="C1335" s="1038">
        <v>75</v>
      </c>
      <c r="D1335" s="7">
        <f>Page2!G35</f>
        <v>7967</v>
      </c>
      <c r="E1335" s="7">
        <f>Page2!J35</f>
        <v>20965</v>
      </c>
      <c r="F1335" t="str">
        <f t="shared" si="74"/>
        <v>00-00-75-EXPNS-CURR</v>
      </c>
      <c r="G1335" t="s">
        <v>127</v>
      </c>
      <c r="H1335" t="s">
        <v>10287</v>
      </c>
      <c r="I1335" t="s">
        <v>10253</v>
      </c>
      <c r="J1335" t="s">
        <v>10268</v>
      </c>
      <c r="K1335" s="1073" t="s">
        <v>10241</v>
      </c>
      <c r="L1335" s="789" t="s">
        <v>10241</v>
      </c>
      <c r="M1335" s="790" t="s">
        <v>11444</v>
      </c>
      <c r="O1335" s="790" t="s">
        <v>11153</v>
      </c>
      <c r="P1335" s="790" t="s">
        <v>10244</v>
      </c>
      <c r="Q1335" s="791" t="s">
        <v>773</v>
      </c>
      <c r="R1335" s="30"/>
    </row>
    <row r="1336" spans="2:18">
      <c r="B1336" s="5" t="s">
        <v>11445</v>
      </c>
      <c r="C1336" s="1038">
        <v>76</v>
      </c>
      <c r="D1336" s="7">
        <f>Page2!G36</f>
        <v>100200</v>
      </c>
      <c r="E1336" s="7">
        <f>Page2!J36</f>
        <v>422526</v>
      </c>
      <c r="F1336" t="str">
        <f t="shared" si="74"/>
        <v>00-00-76-EXPNS-CURR</v>
      </c>
      <c r="G1336" t="s">
        <v>127</v>
      </c>
      <c r="H1336" t="s">
        <v>10287</v>
      </c>
      <c r="I1336" t="s">
        <v>10253</v>
      </c>
      <c r="J1336" t="s">
        <v>10268</v>
      </c>
      <c r="K1336" s="1073" t="s">
        <v>10241</v>
      </c>
      <c r="L1336" s="789" t="s">
        <v>10241</v>
      </c>
      <c r="M1336" s="790" t="s">
        <v>11446</v>
      </c>
      <c r="O1336" s="790" t="s">
        <v>11153</v>
      </c>
      <c r="P1336" s="790" t="s">
        <v>10244</v>
      </c>
      <c r="Q1336" s="791" t="s">
        <v>773</v>
      </c>
      <c r="R1336" s="30"/>
    </row>
    <row r="1337" spans="2:18">
      <c r="B1337" s="5" t="s">
        <v>11447</v>
      </c>
      <c r="C1337" s="1038">
        <v>78</v>
      </c>
      <c r="D1337" s="7">
        <f>Page2!G37</f>
        <v>-86777</v>
      </c>
      <c r="E1337" s="7">
        <f>Page2!J37</f>
        <v>-280611</v>
      </c>
      <c r="F1337" t="str">
        <f t="shared" si="74"/>
        <v>00-00-78-EXPNS-CURR</v>
      </c>
      <c r="G1337" t="s">
        <v>127</v>
      </c>
      <c r="H1337" t="s">
        <v>10287</v>
      </c>
      <c r="I1337" t="s">
        <v>10253</v>
      </c>
      <c r="K1337" s="1073" t="s">
        <v>10241</v>
      </c>
      <c r="L1337" s="789" t="s">
        <v>10241</v>
      </c>
      <c r="M1337" s="799" t="s">
        <v>11448</v>
      </c>
      <c r="O1337" s="790" t="s">
        <v>11153</v>
      </c>
      <c r="P1337" s="790" t="s">
        <v>10244</v>
      </c>
      <c r="Q1337" s="791" t="s">
        <v>773</v>
      </c>
      <c r="R1337" s="30"/>
    </row>
    <row r="1338" spans="2:18">
      <c r="B1338" s="5" t="s">
        <v>11449</v>
      </c>
      <c r="C1338" s="1038">
        <v>79</v>
      </c>
      <c r="D1338" s="7">
        <f>Page2!G38</f>
        <v>3777</v>
      </c>
      <c r="E1338" s="7">
        <f>Page2!J38</f>
        <v>12898</v>
      </c>
      <c r="F1338" t="str">
        <f t="shared" si="74"/>
        <v>00-00-79-EXPNS-CURR</v>
      </c>
      <c r="G1338" t="s">
        <v>127</v>
      </c>
      <c r="H1338" t="s">
        <v>10287</v>
      </c>
      <c r="I1338" t="s">
        <v>10253</v>
      </c>
      <c r="J1338" t="s">
        <v>10268</v>
      </c>
      <c r="K1338" s="1073" t="s">
        <v>10241</v>
      </c>
      <c r="L1338" s="789" t="s">
        <v>10241</v>
      </c>
      <c r="M1338" s="790">
        <v>79</v>
      </c>
      <c r="O1338" s="790" t="s">
        <v>11153</v>
      </c>
      <c r="P1338" s="790" t="s">
        <v>10244</v>
      </c>
      <c r="Q1338" s="791" t="s">
        <v>773</v>
      </c>
      <c r="R1338" s="30"/>
    </row>
    <row r="1339" spans="2:18">
      <c r="B1339" s="5" t="s">
        <v>11450</v>
      </c>
      <c r="C1339" s="1038">
        <v>56</v>
      </c>
      <c r="D1339" s="7">
        <f>Page2!G39</f>
        <v>0</v>
      </c>
      <c r="E1339" s="7">
        <f>Page2!J39</f>
        <v>0</v>
      </c>
      <c r="F1339" t="str">
        <f t="shared" si="74"/>
        <v>00-00-56-EXPNS-CURR</v>
      </c>
      <c r="G1339" t="s">
        <v>127</v>
      </c>
      <c r="H1339" t="s">
        <v>10287</v>
      </c>
      <c r="I1339" t="s">
        <v>10253</v>
      </c>
      <c r="K1339" s="1073" t="s">
        <v>10241</v>
      </c>
      <c r="L1339" s="789" t="s">
        <v>10241</v>
      </c>
      <c r="M1339" s="790">
        <v>56</v>
      </c>
      <c r="O1339" s="790" t="s">
        <v>11153</v>
      </c>
      <c r="P1339" s="790" t="s">
        <v>10244</v>
      </c>
      <c r="Q1339" s="791" t="s">
        <v>773</v>
      </c>
      <c r="R1339" s="30"/>
    </row>
    <row r="1340" spans="2:18">
      <c r="B1340" s="5" t="s">
        <v>11451</v>
      </c>
      <c r="C1340" s="1038">
        <v>57</v>
      </c>
      <c r="D1340" s="7">
        <f>Page2!G40</f>
        <v>0</v>
      </c>
      <c r="E1340" s="7">
        <f>Page2!J40</f>
        <v>0</v>
      </c>
      <c r="F1340" t="str">
        <f t="shared" si="74"/>
        <v>00-00-57-EXPNS-CURR</v>
      </c>
      <c r="G1340" t="s">
        <v>127</v>
      </c>
      <c r="H1340" t="s">
        <v>10287</v>
      </c>
      <c r="I1340" t="s">
        <v>10253</v>
      </c>
      <c r="K1340" s="1073" t="s">
        <v>10241</v>
      </c>
      <c r="L1340" s="789" t="s">
        <v>10241</v>
      </c>
      <c r="M1340" s="790" t="s">
        <v>11452</v>
      </c>
      <c r="O1340" s="790" t="s">
        <v>11153</v>
      </c>
      <c r="P1340" s="790" t="s">
        <v>10244</v>
      </c>
      <c r="Q1340" s="791" t="s">
        <v>773</v>
      </c>
      <c r="R1340" s="30"/>
    </row>
    <row r="1341" spans="2:18">
      <c r="B1341" s="5" t="s">
        <v>11453</v>
      </c>
      <c r="C1341" s="1038">
        <v>33</v>
      </c>
      <c r="D1341" s="7">
        <f>Page2!G41</f>
        <v>1569</v>
      </c>
      <c r="E1341" s="7">
        <f>Page2!J41</f>
        <v>4129</v>
      </c>
      <c r="F1341" t="str">
        <f t="shared" si="74"/>
        <v>00-00-33-EXPNS-CURR</v>
      </c>
      <c r="G1341" t="s">
        <v>127</v>
      </c>
      <c r="H1341" t="s">
        <v>10287</v>
      </c>
      <c r="I1341" t="s">
        <v>10253</v>
      </c>
      <c r="K1341" s="1073" t="s">
        <v>10241</v>
      </c>
      <c r="L1341" s="789" t="s">
        <v>10241</v>
      </c>
      <c r="M1341" s="790">
        <v>33</v>
      </c>
      <c r="O1341" s="790" t="s">
        <v>11153</v>
      </c>
      <c r="P1341" s="790" t="s">
        <v>10244</v>
      </c>
      <c r="Q1341" s="791" t="s">
        <v>773</v>
      </c>
      <c r="R1341" s="30"/>
    </row>
    <row r="1342" spans="2:18">
      <c r="B1342" s="5" t="s">
        <v>11454</v>
      </c>
      <c r="C1342" s="1038">
        <v>77</v>
      </c>
      <c r="D1342" s="7">
        <f>Page2!G42</f>
        <v>-4708</v>
      </c>
      <c r="E1342" s="7">
        <f>Page2!J42</f>
        <v>-3310</v>
      </c>
      <c r="F1342" t="str">
        <f t="shared" si="74"/>
        <v>00-00-77-EXPNS-CURR</v>
      </c>
      <c r="G1342" t="s">
        <v>127</v>
      </c>
      <c r="H1342" t="s">
        <v>10287</v>
      </c>
      <c r="I1342" t="s">
        <v>10253</v>
      </c>
      <c r="J1342" t="s">
        <v>10268</v>
      </c>
      <c r="K1342" s="1073" t="s">
        <v>10241</v>
      </c>
      <c r="L1342" s="789" t="s">
        <v>10241</v>
      </c>
      <c r="M1342" s="790" t="s">
        <v>11455</v>
      </c>
      <c r="O1342" s="790" t="s">
        <v>11153</v>
      </c>
      <c r="P1342" s="790" t="s">
        <v>10244</v>
      </c>
      <c r="Q1342" s="791" t="s">
        <v>773</v>
      </c>
      <c r="R1342" s="30"/>
    </row>
    <row r="1343" spans="2:18">
      <c r="B1343" s="51" t="s">
        <v>11456</v>
      </c>
      <c r="C1343" s="1042"/>
      <c r="D1343" s="7">
        <f>Page2!G43</f>
        <v>99603</v>
      </c>
      <c r="E1343" s="7">
        <f>Page2!J43</f>
        <v>414520</v>
      </c>
      <c r="F1343" t="str">
        <f t="shared" si="74"/>
        <v>00-00-SEMIFIXD-EXPNS-CURR</v>
      </c>
      <c r="G1343" t="s">
        <v>127</v>
      </c>
      <c r="H1343" t="s">
        <v>10287</v>
      </c>
      <c r="I1343" t="s">
        <v>10253</v>
      </c>
      <c r="J1343" t="s">
        <v>10268</v>
      </c>
      <c r="K1343" s="1073" t="s">
        <v>10241</v>
      </c>
      <c r="L1343" s="789" t="s">
        <v>10241</v>
      </c>
      <c r="M1343" s="790" t="s">
        <v>11457</v>
      </c>
      <c r="O1343" s="790" t="s">
        <v>11153</v>
      </c>
      <c r="P1343" s="790" t="s">
        <v>10244</v>
      </c>
      <c r="Q1343" s="791" t="s">
        <v>773</v>
      </c>
    </row>
    <row r="1344" spans="2:18">
      <c r="B1344" s="5" t="s">
        <v>11458</v>
      </c>
      <c r="C1344" s="1038">
        <v>80</v>
      </c>
      <c r="D1344" s="7">
        <f>Page2!G44</f>
        <v>47400</v>
      </c>
      <c r="E1344" s="7">
        <f>Page2!J44</f>
        <v>185100</v>
      </c>
      <c r="F1344" t="str">
        <f t="shared" si="74"/>
        <v>00-00-80-EXPNS-CURR</v>
      </c>
      <c r="G1344" t="s">
        <v>127</v>
      </c>
      <c r="H1344" t="s">
        <v>10287</v>
      </c>
      <c r="I1344" t="s">
        <v>10253</v>
      </c>
      <c r="J1344" t="s">
        <v>10268</v>
      </c>
      <c r="K1344" s="1073" t="s">
        <v>10241</v>
      </c>
      <c r="L1344" s="789" t="s">
        <v>10241</v>
      </c>
      <c r="M1344" s="790" t="s">
        <v>11459</v>
      </c>
      <c r="O1344" s="790" t="s">
        <v>11153</v>
      </c>
      <c r="P1344" s="790" t="s">
        <v>10244</v>
      </c>
      <c r="Q1344" s="791" t="s">
        <v>773</v>
      </c>
      <c r="R1344" s="30"/>
    </row>
    <row r="1345" spans="2:18">
      <c r="B1345" s="5" t="s">
        <v>11460</v>
      </c>
      <c r="C1345" s="1038">
        <v>81</v>
      </c>
      <c r="D1345" s="7">
        <f>Page2!G45</f>
        <v>0</v>
      </c>
      <c r="E1345" s="7">
        <f>Page2!J45</f>
        <v>0</v>
      </c>
      <c r="F1345" t="str">
        <f t="shared" si="74"/>
        <v>00-00-81-EXPNS-CURR</v>
      </c>
      <c r="G1345" t="s">
        <v>127</v>
      </c>
      <c r="H1345" t="s">
        <v>10287</v>
      </c>
      <c r="I1345" t="s">
        <v>10253</v>
      </c>
      <c r="J1345" t="s">
        <v>10268</v>
      </c>
      <c r="K1345" s="1073" t="s">
        <v>10241</v>
      </c>
      <c r="L1345" s="789" t="s">
        <v>10241</v>
      </c>
      <c r="M1345" s="790" t="s">
        <v>11461</v>
      </c>
      <c r="O1345" s="790" t="s">
        <v>11153</v>
      </c>
      <c r="P1345" s="790" t="s">
        <v>10244</v>
      </c>
      <c r="Q1345" s="791" t="s">
        <v>773</v>
      </c>
      <c r="R1345" s="30"/>
    </row>
    <row r="1346" spans="2:18">
      <c r="B1346" s="5" t="s">
        <v>11462</v>
      </c>
      <c r="C1346" s="1038">
        <v>82</v>
      </c>
      <c r="D1346" s="7">
        <f>Page2!G46</f>
        <v>3520</v>
      </c>
      <c r="E1346" s="7">
        <f>Page2!J46</f>
        <v>35028</v>
      </c>
      <c r="F1346" t="str">
        <f t="shared" si="74"/>
        <v>00-00-82-EXPNS-CURR</v>
      </c>
      <c r="G1346" t="s">
        <v>127</v>
      </c>
      <c r="H1346" t="s">
        <v>10287</v>
      </c>
      <c r="I1346" t="s">
        <v>10253</v>
      </c>
      <c r="J1346" t="s">
        <v>10268</v>
      </c>
      <c r="K1346" s="1073" t="s">
        <v>10241</v>
      </c>
      <c r="L1346" s="789" t="s">
        <v>10241</v>
      </c>
      <c r="M1346" s="790" t="s">
        <v>11463</v>
      </c>
      <c r="O1346" s="790" t="s">
        <v>11153</v>
      </c>
      <c r="P1346" s="790" t="s">
        <v>10244</v>
      </c>
      <c r="Q1346" s="791" t="s">
        <v>773</v>
      </c>
      <c r="R1346" s="30"/>
    </row>
    <row r="1347" spans="2:18">
      <c r="B1347" s="5" t="s">
        <v>11464</v>
      </c>
      <c r="C1347" s="1038">
        <v>83</v>
      </c>
      <c r="D1347" s="7">
        <f>Page2!G47</f>
        <v>77</v>
      </c>
      <c r="E1347" s="7">
        <f>Page2!J47</f>
        <v>308</v>
      </c>
      <c r="F1347" t="str">
        <f t="shared" si="74"/>
        <v>00-00-83-EXPNS-CURR</v>
      </c>
      <c r="G1347" t="s">
        <v>127</v>
      </c>
      <c r="H1347" t="s">
        <v>10287</v>
      </c>
      <c r="I1347" t="s">
        <v>10253</v>
      </c>
      <c r="J1347" t="s">
        <v>10268</v>
      </c>
      <c r="K1347" s="1073" t="s">
        <v>10241</v>
      </c>
      <c r="L1347" s="789" t="s">
        <v>10241</v>
      </c>
      <c r="M1347" s="790" t="s">
        <v>11465</v>
      </c>
      <c r="O1347" s="790" t="s">
        <v>11153</v>
      </c>
      <c r="P1347" s="790" t="s">
        <v>10244</v>
      </c>
      <c r="Q1347" s="791" t="s">
        <v>773</v>
      </c>
      <c r="R1347" s="30"/>
    </row>
    <row r="1348" spans="2:18">
      <c r="B1348" s="5" t="s">
        <v>11466</v>
      </c>
      <c r="C1348" s="1038">
        <v>84</v>
      </c>
      <c r="D1348" s="7">
        <f>Page2!G48</f>
        <v>6000</v>
      </c>
      <c r="E1348" s="7">
        <f>Page2!J48</f>
        <v>24000</v>
      </c>
      <c r="F1348" t="str">
        <f t="shared" si="74"/>
        <v>00-00-84-EXPNS-CURR</v>
      </c>
      <c r="G1348" t="s">
        <v>127</v>
      </c>
      <c r="H1348" t="s">
        <v>10287</v>
      </c>
      <c r="I1348" t="s">
        <v>10253</v>
      </c>
      <c r="J1348" t="s">
        <v>10268</v>
      </c>
      <c r="K1348" s="1073" t="s">
        <v>10241</v>
      </c>
      <c r="L1348" s="789" t="s">
        <v>10241</v>
      </c>
      <c r="M1348" s="790" t="s">
        <v>11467</v>
      </c>
      <c r="O1348" s="790" t="s">
        <v>11153</v>
      </c>
      <c r="P1348" s="790" t="s">
        <v>10244</v>
      </c>
      <c r="Q1348" s="791" t="s">
        <v>773</v>
      </c>
      <c r="R1348" s="30"/>
    </row>
    <row r="1349" spans="2:18">
      <c r="B1349" s="5" t="s">
        <v>11468</v>
      </c>
      <c r="C1349" s="1038">
        <v>85</v>
      </c>
      <c r="D1349" s="7">
        <f>Page2!G49</f>
        <v>4080</v>
      </c>
      <c r="E1349" s="7">
        <f>Page2!J49</f>
        <v>16320</v>
      </c>
      <c r="F1349" t="str">
        <f t="shared" si="74"/>
        <v>00-00-85-EXPNS-CURR</v>
      </c>
      <c r="G1349" t="s">
        <v>127</v>
      </c>
      <c r="H1349" t="s">
        <v>10287</v>
      </c>
      <c r="I1349" t="s">
        <v>10253</v>
      </c>
      <c r="J1349" t="s">
        <v>10268</v>
      </c>
      <c r="K1349" s="1073" t="s">
        <v>10241</v>
      </c>
      <c r="L1349" s="789" t="s">
        <v>10241</v>
      </c>
      <c r="M1349" s="790" t="s">
        <v>11469</v>
      </c>
      <c r="O1349" s="790" t="s">
        <v>11153</v>
      </c>
      <c r="P1349" s="790" t="s">
        <v>10244</v>
      </c>
      <c r="Q1349" s="791" t="s">
        <v>773</v>
      </c>
      <c r="R1349" s="30"/>
    </row>
    <row r="1350" spans="2:18">
      <c r="B1350" s="5" t="s">
        <v>11470</v>
      </c>
      <c r="C1350" s="1038">
        <v>86</v>
      </c>
      <c r="D1350" s="7">
        <f>Page2!G50</f>
        <v>0</v>
      </c>
      <c r="E1350" s="7">
        <f>Page2!J50</f>
        <v>0</v>
      </c>
      <c r="F1350" t="str">
        <f t="shared" si="74"/>
        <v>00-00-86-EXPNS-CURR</v>
      </c>
      <c r="G1350" t="s">
        <v>127</v>
      </c>
      <c r="H1350" t="s">
        <v>10287</v>
      </c>
      <c r="I1350" t="s">
        <v>10253</v>
      </c>
      <c r="J1350" t="s">
        <v>10268</v>
      </c>
      <c r="K1350" s="1073" t="s">
        <v>10241</v>
      </c>
      <c r="L1350" s="789" t="s">
        <v>10241</v>
      </c>
      <c r="M1350" s="790" t="s">
        <v>11471</v>
      </c>
      <c r="O1350" s="790" t="s">
        <v>11153</v>
      </c>
      <c r="P1350" s="790" t="s">
        <v>10244</v>
      </c>
      <c r="Q1350" s="791" t="s">
        <v>773</v>
      </c>
      <c r="R1350" s="30"/>
    </row>
    <row r="1351" spans="2:18">
      <c r="B1351" s="5" t="s">
        <v>11472</v>
      </c>
      <c r="C1351" s="1038">
        <v>87</v>
      </c>
      <c r="D1351" s="7">
        <f>Page2!G51</f>
        <v>9983</v>
      </c>
      <c r="E1351" s="7">
        <f>Page2!J51</f>
        <v>39417</v>
      </c>
      <c r="F1351" t="str">
        <f>TEXT(K1351,"00")&amp;"-"&amp;L1351&amp;IF(M1351="","","-"&amp;M1351)&amp;IF(N1351="","","-"&amp;N1351)&amp;IF(OR(O1351="",O1351=0),"","-"&amp;O1351)&amp;IF(P1351="","","-"&amp;P1351)</f>
        <v>00-00-87-EXPNS-CURR</v>
      </c>
      <c r="G1351" t="s">
        <v>127</v>
      </c>
      <c r="H1351" t="s">
        <v>10287</v>
      </c>
      <c r="I1351" t="s">
        <v>10253</v>
      </c>
      <c r="J1351" t="s">
        <v>10268</v>
      </c>
      <c r="K1351" s="1073" t="s">
        <v>10241</v>
      </c>
      <c r="L1351" s="789" t="s">
        <v>10241</v>
      </c>
      <c r="M1351" s="790" t="s">
        <v>11473</v>
      </c>
      <c r="O1351" s="790" t="s">
        <v>11153</v>
      </c>
      <c r="P1351" s="790" t="s">
        <v>10244</v>
      </c>
      <c r="Q1351" s="791" t="s">
        <v>773</v>
      </c>
      <c r="R1351" s="30"/>
    </row>
    <row r="1352" spans="2:18">
      <c r="B1352" s="27" t="s">
        <v>11474</v>
      </c>
      <c r="C1352" s="1042"/>
      <c r="D1352" s="7">
        <f>Page2!G52</f>
        <v>71060</v>
      </c>
      <c r="E1352" s="7">
        <f>Page2!J52</f>
        <v>300173</v>
      </c>
      <c r="F1352" t="str">
        <f t="shared" si="74"/>
        <v>00-00-RENTEQUV-EXPNS-CURR</v>
      </c>
      <c r="G1352" t="s">
        <v>127</v>
      </c>
      <c r="H1352" t="s">
        <v>10287</v>
      </c>
      <c r="I1352" t="s">
        <v>10253</v>
      </c>
      <c r="J1352" t="s">
        <v>10268</v>
      </c>
      <c r="K1352" s="1073" t="s">
        <v>10241</v>
      </c>
      <c r="L1352" s="789" t="s">
        <v>10241</v>
      </c>
      <c r="M1352" s="790" t="s">
        <v>11475</v>
      </c>
      <c r="O1352" s="790" t="s">
        <v>11153</v>
      </c>
      <c r="P1352" s="790" t="s">
        <v>10244</v>
      </c>
      <c r="Q1352" s="791" t="s">
        <v>773</v>
      </c>
    </row>
    <row r="1353" spans="2:18">
      <c r="B1353" s="5" t="s">
        <v>11476</v>
      </c>
      <c r="C1353" s="1038">
        <v>88</v>
      </c>
      <c r="D1353" s="7">
        <f>Page2!G53</f>
        <v>7088</v>
      </c>
      <c r="E1353" s="7">
        <f>Page2!J53</f>
        <v>29087</v>
      </c>
      <c r="F1353" t="str">
        <f t="shared" si="74"/>
        <v>00-00-88-EXPNS-CURR</v>
      </c>
      <c r="G1353" t="s">
        <v>127</v>
      </c>
      <c r="H1353" t="s">
        <v>10287</v>
      </c>
      <c r="I1353" t="s">
        <v>10253</v>
      </c>
      <c r="J1353" t="s">
        <v>10268</v>
      </c>
      <c r="K1353" s="1073" t="s">
        <v>10241</v>
      </c>
      <c r="L1353" s="789" t="s">
        <v>10241</v>
      </c>
      <c r="M1353" s="790" t="s">
        <v>11477</v>
      </c>
      <c r="O1353" s="790" t="s">
        <v>11153</v>
      </c>
      <c r="P1353" s="790" t="s">
        <v>10244</v>
      </c>
      <c r="Q1353" s="791" t="s">
        <v>773</v>
      </c>
      <c r="R1353" s="30"/>
    </row>
    <row r="1354" spans="2:18">
      <c r="B1354" s="5" t="s">
        <v>11478</v>
      </c>
      <c r="C1354" s="1038">
        <v>89</v>
      </c>
      <c r="D1354" s="7">
        <f>Page2!G54</f>
        <v>0</v>
      </c>
      <c r="E1354" s="7">
        <f>Page2!J54</f>
        <v>0</v>
      </c>
      <c r="F1354" t="str">
        <f t="shared" si="74"/>
        <v>00-00-89-EXPNS-CURR</v>
      </c>
      <c r="G1354" t="s">
        <v>127</v>
      </c>
      <c r="H1354" t="s">
        <v>10287</v>
      </c>
      <c r="I1354" t="s">
        <v>10253</v>
      </c>
      <c r="J1354" t="s">
        <v>10268</v>
      </c>
      <c r="K1354" s="1073" t="s">
        <v>10241</v>
      </c>
      <c r="L1354" s="789" t="s">
        <v>10241</v>
      </c>
      <c r="M1354" s="790" t="s">
        <v>11479</v>
      </c>
      <c r="O1354" s="790" t="s">
        <v>11153</v>
      </c>
      <c r="P1354" s="790" t="s">
        <v>10244</v>
      </c>
      <c r="Q1354" s="791" t="s">
        <v>773</v>
      </c>
      <c r="R1354" s="30"/>
    </row>
    <row r="1355" spans="2:18">
      <c r="B1355" s="5" t="s">
        <v>11480</v>
      </c>
      <c r="C1355" s="1038">
        <v>90</v>
      </c>
      <c r="D1355" s="7">
        <f>Page2!G55</f>
        <v>3808</v>
      </c>
      <c r="E1355" s="7">
        <f>Page2!J55</f>
        <v>6675</v>
      </c>
      <c r="F1355" t="str">
        <f t="shared" si="74"/>
        <v>00-00-90-EXPNS-CURR</v>
      </c>
      <c r="G1355" t="s">
        <v>127</v>
      </c>
      <c r="H1355" t="s">
        <v>10287</v>
      </c>
      <c r="I1355" t="s">
        <v>10253</v>
      </c>
      <c r="J1355" t="s">
        <v>10268</v>
      </c>
      <c r="K1355" s="1073" t="s">
        <v>10241</v>
      </c>
      <c r="L1355" s="789" t="s">
        <v>10241</v>
      </c>
      <c r="M1355" s="790" t="s">
        <v>11481</v>
      </c>
      <c r="O1355" s="790" t="s">
        <v>11153</v>
      </c>
      <c r="P1355" s="790" t="s">
        <v>10244</v>
      </c>
      <c r="Q1355" s="791" t="s">
        <v>773</v>
      </c>
      <c r="R1355" s="30"/>
    </row>
    <row r="1356" spans="2:18">
      <c r="B1356" s="5" t="s">
        <v>11482</v>
      </c>
      <c r="C1356" s="1038">
        <v>91</v>
      </c>
      <c r="D1356" s="7">
        <f>Page2!G56</f>
        <v>13510</v>
      </c>
      <c r="E1356" s="7">
        <f>Page2!J56</f>
        <v>54040</v>
      </c>
      <c r="F1356" t="str">
        <f t="shared" si="74"/>
        <v>00-00-91-EXPNS-CURR</v>
      </c>
      <c r="G1356" t="s">
        <v>127</v>
      </c>
      <c r="H1356" t="s">
        <v>10287</v>
      </c>
      <c r="I1356" t="s">
        <v>10253</v>
      </c>
      <c r="J1356" t="s">
        <v>10268</v>
      </c>
      <c r="K1356" s="1073" t="s">
        <v>10241</v>
      </c>
      <c r="L1356" s="789" t="s">
        <v>10241</v>
      </c>
      <c r="M1356" s="790" t="s">
        <v>11483</v>
      </c>
      <c r="O1356" s="790" t="s">
        <v>11153</v>
      </c>
      <c r="P1356" s="790" t="s">
        <v>10244</v>
      </c>
      <c r="Q1356" s="791" t="s">
        <v>773</v>
      </c>
      <c r="R1356" s="30"/>
    </row>
    <row r="1357" spans="2:18">
      <c r="B1357" s="5" t="s">
        <v>11484</v>
      </c>
      <c r="C1357" s="1055">
        <v>92</v>
      </c>
      <c r="D1357" s="7">
        <f>Page2!G57</f>
        <v>1070</v>
      </c>
      <c r="E1357" s="7">
        <f>Page2!J57</f>
        <v>1070</v>
      </c>
      <c r="F1357" t="str">
        <f t="shared" si="74"/>
        <v>00-00-92-EXPNS-CURR</v>
      </c>
      <c r="G1357" t="s">
        <v>127</v>
      </c>
      <c r="H1357" t="s">
        <v>10287</v>
      </c>
      <c r="I1357" t="s">
        <v>10253</v>
      </c>
      <c r="J1357" t="s">
        <v>10268</v>
      </c>
      <c r="K1357" s="1073" t="s">
        <v>10241</v>
      </c>
      <c r="L1357" s="789" t="s">
        <v>10241</v>
      </c>
      <c r="M1357" s="790" t="s">
        <v>11485</v>
      </c>
      <c r="O1357" s="790" t="s">
        <v>11153</v>
      </c>
      <c r="P1357" s="790" t="s">
        <v>10244</v>
      </c>
      <c r="Q1357" s="791" t="s">
        <v>773</v>
      </c>
      <c r="R1357" s="30"/>
    </row>
    <row r="1358" spans="2:18">
      <c r="B1358" s="40" t="s">
        <v>11486</v>
      </c>
      <c r="C1358" s="1042"/>
      <c r="D1358" s="7">
        <f>Page2!G58</f>
        <v>96536</v>
      </c>
      <c r="E1358" s="7">
        <f>Page2!J58</f>
        <v>391045</v>
      </c>
      <c r="F1358" t="str">
        <f t="shared" si="74"/>
        <v>00-00-FIXEDEXP-EXPNS-CURR</v>
      </c>
      <c r="G1358" t="s">
        <v>127</v>
      </c>
      <c r="H1358" t="s">
        <v>10287</v>
      </c>
      <c r="I1358" t="s">
        <v>10253</v>
      </c>
      <c r="J1358" t="s">
        <v>10268</v>
      </c>
      <c r="K1358" s="1073" t="s">
        <v>10241</v>
      </c>
      <c r="L1358" s="789" t="s">
        <v>10241</v>
      </c>
      <c r="M1358" s="790" t="s">
        <v>11487</v>
      </c>
      <c r="O1358" s="790" t="s">
        <v>11153</v>
      </c>
      <c r="P1358" s="790" t="s">
        <v>10244</v>
      </c>
      <c r="Q1358" s="791" t="s">
        <v>773</v>
      </c>
    </row>
    <row r="1359" spans="2:18">
      <c r="B1359" s="40" t="s">
        <v>11488</v>
      </c>
      <c r="C1359" s="1042"/>
      <c r="D1359" s="7">
        <f>Page2!G59</f>
        <v>456969</v>
      </c>
      <c r="E1359" s="7">
        <f>Page2!J59</f>
        <v>1727696</v>
      </c>
      <c r="F1359" t="str">
        <f t="shared" si="74"/>
        <v>00-00-FIXOVERH-EXPNS-CURR</v>
      </c>
      <c r="G1359" t="s">
        <v>127</v>
      </c>
      <c r="H1359" t="s">
        <v>10287</v>
      </c>
      <c r="I1359" t="s">
        <v>10253</v>
      </c>
      <c r="J1359" t="s">
        <v>10268</v>
      </c>
      <c r="K1359" s="1073" t="s">
        <v>10241</v>
      </c>
      <c r="L1359" s="789" t="s">
        <v>10241</v>
      </c>
      <c r="M1359" s="790" t="s">
        <v>11489</v>
      </c>
      <c r="O1359" s="790" t="s">
        <v>11153</v>
      </c>
      <c r="P1359" s="790" t="s">
        <v>10244</v>
      </c>
      <c r="Q1359" s="791" t="s">
        <v>773</v>
      </c>
    </row>
    <row r="1360" spans="2:18">
      <c r="B1360" s="40" t="s">
        <v>11490</v>
      </c>
      <c r="C1360" s="1042"/>
      <c r="D1360" s="7">
        <f>Page2!G60</f>
        <v>500919</v>
      </c>
      <c r="E1360" s="7">
        <f>Page2!J60</f>
        <v>1902519</v>
      </c>
      <c r="F1360" t="str">
        <f t="shared" si="74"/>
        <v>00-00-TOTALEXP-EXPNS-CURR</v>
      </c>
      <c r="G1360" t="s">
        <v>127</v>
      </c>
      <c r="H1360" t="s">
        <v>10287</v>
      </c>
      <c r="I1360" t="s">
        <v>10253</v>
      </c>
      <c r="J1360" t="s">
        <v>10268</v>
      </c>
      <c r="K1360" s="1073" t="s">
        <v>10241</v>
      </c>
      <c r="L1360" s="789" t="s">
        <v>10241</v>
      </c>
      <c r="M1360" s="790" t="s">
        <v>11491</v>
      </c>
      <c r="O1360" s="790" t="s">
        <v>11153</v>
      </c>
      <c r="P1360" s="790" t="s">
        <v>10244</v>
      </c>
      <c r="Q1360" s="791" t="s">
        <v>773</v>
      </c>
    </row>
    <row r="1361" spans="2:18">
      <c r="B1361" s="40" t="s">
        <v>11492</v>
      </c>
      <c r="C1361" s="1042"/>
      <c r="D1361" s="7">
        <f>Page2!G61</f>
        <v>76420</v>
      </c>
      <c r="E1361" s="7">
        <f>Page2!J61</f>
        <v>185612</v>
      </c>
      <c r="F1361" t="str">
        <f t="shared" si="74"/>
        <v>00-00-OPERPL-AMT-CURR</v>
      </c>
      <c r="G1361" t="s">
        <v>127</v>
      </c>
      <c r="H1361" t="s">
        <v>10287</v>
      </c>
      <c r="I1361" t="s">
        <v>10253</v>
      </c>
      <c r="J1361" t="s">
        <v>10268</v>
      </c>
      <c r="K1361" s="1073" t="s">
        <v>10241</v>
      </c>
      <c r="L1361" s="789" t="s">
        <v>10241</v>
      </c>
      <c r="M1361" s="790" t="s">
        <v>11493</v>
      </c>
      <c r="O1361" s="790" t="s">
        <v>10263</v>
      </c>
      <c r="P1361" s="790" t="s">
        <v>10244</v>
      </c>
      <c r="Q1361" s="791" t="s">
        <v>773</v>
      </c>
    </row>
    <row r="1362" spans="2:18">
      <c r="B1362" s="40" t="s">
        <v>11494</v>
      </c>
      <c r="C1362" s="1042"/>
      <c r="D1362" s="7">
        <f>Page2!G62</f>
        <v>53251</v>
      </c>
      <c r="E1362" s="7">
        <f>Page2!J62</f>
        <v>284688</v>
      </c>
      <c r="F1362" t="str">
        <f t="shared" si="74"/>
        <v>00-00-ADDDED-AMT-CURR</v>
      </c>
      <c r="G1362" t="s">
        <v>127</v>
      </c>
      <c r="H1362" t="s">
        <v>10287</v>
      </c>
      <c r="I1362" t="s">
        <v>10253</v>
      </c>
      <c r="J1362" t="s">
        <v>10268</v>
      </c>
      <c r="K1362" s="1073" t="s">
        <v>10241</v>
      </c>
      <c r="L1362" s="789" t="s">
        <v>10241</v>
      </c>
      <c r="M1362" s="790" t="s">
        <v>11495</v>
      </c>
      <c r="O1362" s="790" t="s">
        <v>10263</v>
      </c>
      <c r="P1362" s="790" t="s">
        <v>10244</v>
      </c>
      <c r="Q1362" s="791" t="s">
        <v>773</v>
      </c>
    </row>
    <row r="1363" spans="2:18">
      <c r="B1363" s="40" t="s">
        <v>11496</v>
      </c>
      <c r="C1363" s="1042"/>
      <c r="D1363" s="7">
        <f>Page2!G63</f>
        <v>129671</v>
      </c>
      <c r="E1363" s="7">
        <f>Page2!J63</f>
        <v>470300</v>
      </c>
      <c r="F1363" t="str">
        <f t="shared" si="74"/>
        <v>00-00-NPBBT-AMT-CURR</v>
      </c>
      <c r="G1363" t="s">
        <v>127</v>
      </c>
      <c r="H1363" t="s">
        <v>10287</v>
      </c>
      <c r="I1363" t="s">
        <v>10253</v>
      </c>
      <c r="J1363" t="s">
        <v>10268</v>
      </c>
      <c r="K1363" s="1073" t="s">
        <v>10241</v>
      </c>
      <c r="L1363" s="789" t="s">
        <v>10241</v>
      </c>
      <c r="M1363" s="790" t="s">
        <v>11497</v>
      </c>
      <c r="O1363" s="790" t="s">
        <v>10263</v>
      </c>
      <c r="P1363" s="790" t="s">
        <v>10244</v>
      </c>
      <c r="Q1363" s="791" t="s">
        <v>773</v>
      </c>
    </row>
    <row r="1364" spans="2:18">
      <c r="B1364" s="5" t="s">
        <v>11498</v>
      </c>
      <c r="C1364" s="1038">
        <v>97</v>
      </c>
      <c r="D1364" s="7">
        <f>Page2!G64</f>
        <v>0</v>
      </c>
      <c r="E1364" s="7">
        <f>Page2!J64</f>
        <v>0</v>
      </c>
      <c r="F1364" t="str">
        <f t="shared" si="74"/>
        <v>00-00-97-EXPNS-CURR</v>
      </c>
      <c r="G1364" t="s">
        <v>127</v>
      </c>
      <c r="H1364" t="s">
        <v>10287</v>
      </c>
      <c r="I1364" t="s">
        <v>10253</v>
      </c>
      <c r="K1364" s="1073" t="s">
        <v>10241</v>
      </c>
      <c r="L1364" s="789" t="s">
        <v>10241</v>
      </c>
      <c r="M1364" s="790" t="s">
        <v>11499</v>
      </c>
      <c r="O1364" s="790" t="s">
        <v>11153</v>
      </c>
      <c r="P1364" s="790" t="s">
        <v>10244</v>
      </c>
      <c r="Q1364" s="30"/>
      <c r="R1364" s="30"/>
    </row>
    <row r="1365" spans="2:18">
      <c r="B1365" s="5" t="s">
        <v>11500</v>
      </c>
      <c r="C1365" s="1038">
        <v>98</v>
      </c>
      <c r="D1365" s="7">
        <f>Page2!G65</f>
        <v>0</v>
      </c>
      <c r="E1365" s="7">
        <f>Page2!J65</f>
        <v>0</v>
      </c>
      <c r="F1365" t="str">
        <f t="shared" si="74"/>
        <v>00-00-98-EXPNS-CURR</v>
      </c>
      <c r="G1365" t="s">
        <v>127</v>
      </c>
      <c r="H1365" t="s">
        <v>10287</v>
      </c>
      <c r="I1365" t="s">
        <v>10253</v>
      </c>
      <c r="K1365" s="1073" t="s">
        <v>10241</v>
      </c>
      <c r="L1365" s="789" t="s">
        <v>10241</v>
      </c>
      <c r="M1365" s="790" t="s">
        <v>11501</v>
      </c>
      <c r="O1365" s="790" t="s">
        <v>11153</v>
      </c>
      <c r="P1365" s="790" t="s">
        <v>10244</v>
      </c>
      <c r="Q1365" s="30"/>
      <c r="R1365" s="30"/>
    </row>
    <row r="1366" spans="2:18">
      <c r="B1366" s="40" t="s">
        <v>11502</v>
      </c>
      <c r="C1366" s="1042"/>
      <c r="D1366" s="7">
        <f>Page2!G66</f>
        <v>129671</v>
      </c>
      <c r="E1366" s="7">
        <f>Page2!J66</f>
        <v>470300</v>
      </c>
      <c r="F1366" t="str">
        <f t="shared" si="74"/>
        <v>00-00-NPBT-AMT-CURR</v>
      </c>
      <c r="G1366" t="s">
        <v>127</v>
      </c>
      <c r="H1366" t="s">
        <v>10287</v>
      </c>
      <c r="I1366" t="s">
        <v>10253</v>
      </c>
      <c r="J1366" t="s">
        <v>10268</v>
      </c>
      <c r="K1366" s="1073" t="s">
        <v>10241</v>
      </c>
      <c r="L1366" s="789" t="s">
        <v>10241</v>
      </c>
      <c r="M1366" s="790" t="s">
        <v>11503</v>
      </c>
      <c r="O1366" s="790" t="s">
        <v>10263</v>
      </c>
      <c r="P1366" s="790" t="s">
        <v>10244</v>
      </c>
      <c r="Q1366" s="791" t="s">
        <v>773</v>
      </c>
    </row>
    <row r="1367" spans="2:18">
      <c r="B1367" s="5" t="s">
        <v>11504</v>
      </c>
      <c r="C1367" s="1038">
        <v>99</v>
      </c>
      <c r="D1367" s="7">
        <f>Page2!G67</f>
        <v>0</v>
      </c>
      <c r="E1367" s="7">
        <f>Page2!J67</f>
        <v>0</v>
      </c>
      <c r="F1367" t="str">
        <f t="shared" si="74"/>
        <v>00-00-99-EXPNS-CURR</v>
      </c>
      <c r="G1367" t="s">
        <v>127</v>
      </c>
      <c r="H1367" t="s">
        <v>10287</v>
      </c>
      <c r="I1367" t="s">
        <v>10253</v>
      </c>
      <c r="K1367" s="1073" t="s">
        <v>10241</v>
      </c>
      <c r="L1367" s="789" t="s">
        <v>10241</v>
      </c>
      <c r="M1367" s="790" t="s">
        <v>11505</v>
      </c>
      <c r="O1367" s="790" t="s">
        <v>11153</v>
      </c>
      <c r="P1367" s="790" t="s">
        <v>10244</v>
      </c>
      <c r="Q1367" s="30"/>
      <c r="R1367" s="30"/>
    </row>
    <row r="1368" spans="2:18">
      <c r="B1368" s="40" t="s">
        <v>11506</v>
      </c>
      <c r="C1368" s="1042"/>
      <c r="D1368" s="7">
        <f>Page2!G68</f>
        <v>129671</v>
      </c>
      <c r="E1368" s="7">
        <f>Page2!J68</f>
        <v>470300</v>
      </c>
      <c r="F1368" t="str">
        <f t="shared" si="74"/>
        <v>00-00-NPAT-AMT-CURR</v>
      </c>
      <c r="G1368" t="s">
        <v>127</v>
      </c>
      <c r="H1368" t="s">
        <v>10287</v>
      </c>
      <c r="I1368" t="s">
        <v>10253</v>
      </c>
      <c r="J1368" t="s">
        <v>10268</v>
      </c>
      <c r="K1368" s="1073" t="s">
        <v>10241</v>
      </c>
      <c r="L1368" s="789" t="s">
        <v>10241</v>
      </c>
      <c r="M1368" s="790" t="s">
        <v>11507</v>
      </c>
      <c r="O1368" s="790" t="s">
        <v>10263</v>
      </c>
      <c r="P1368" s="790" t="s">
        <v>10244</v>
      </c>
      <c r="Q1368" s="791" t="s">
        <v>773</v>
      </c>
    </row>
    <row r="1369" spans="2:18">
      <c r="B1369" s="40" t="s">
        <v>11508</v>
      </c>
      <c r="C1369" s="1042"/>
      <c r="D1369" s="7">
        <f>Page2!M4</f>
        <v>9904081</v>
      </c>
      <c r="E1369" s="7">
        <f>Page2!O4</f>
        <v>33335288</v>
      </c>
      <c r="F1369" t="str">
        <f t="shared" si="74"/>
        <v>00-00-TOTALVAR-SALES-CURR</v>
      </c>
      <c r="G1369" t="s">
        <v>127</v>
      </c>
      <c r="H1369" t="s">
        <v>10287</v>
      </c>
      <c r="I1369" t="s">
        <v>10253</v>
      </c>
      <c r="J1369" t="s">
        <v>10268</v>
      </c>
      <c r="K1369" s="1073" t="s">
        <v>10241</v>
      </c>
      <c r="L1369" s="789" t="s">
        <v>10241</v>
      </c>
      <c r="M1369" s="790" t="s">
        <v>11509</v>
      </c>
      <c r="O1369" s="790" t="s">
        <v>9883</v>
      </c>
      <c r="P1369" s="790" t="s">
        <v>10244</v>
      </c>
      <c r="Q1369" s="791" t="s">
        <v>773</v>
      </c>
    </row>
    <row r="1370" spans="2:18">
      <c r="B1370" s="40" t="s">
        <v>11510</v>
      </c>
      <c r="C1370" s="1042"/>
      <c r="D1370" s="7">
        <f>Page2!M5</f>
        <v>395455</v>
      </c>
      <c r="E1370" s="7">
        <f>Page2!O5</f>
        <v>1429046</v>
      </c>
      <c r="F1370" t="str">
        <f t="shared" si="74"/>
        <v>00-00-TOTALVAR-GRSPFT-CURR</v>
      </c>
      <c r="G1370" t="s">
        <v>127</v>
      </c>
      <c r="H1370" t="s">
        <v>10287</v>
      </c>
      <c r="I1370" t="s">
        <v>10253</v>
      </c>
      <c r="J1370" t="s">
        <v>10268</v>
      </c>
      <c r="K1370" s="1073" t="s">
        <v>10241</v>
      </c>
      <c r="L1370" s="789" t="s">
        <v>10241</v>
      </c>
      <c r="M1370" s="790" t="s">
        <v>11509</v>
      </c>
      <c r="O1370" s="790" t="s">
        <v>10467</v>
      </c>
      <c r="P1370" s="790" t="s">
        <v>10244</v>
      </c>
      <c r="Q1370" s="791" t="s">
        <v>773</v>
      </c>
    </row>
    <row r="1371" spans="2:18">
      <c r="B1371" s="40" t="s">
        <v>11511</v>
      </c>
      <c r="C1371" s="1038">
        <v>11</v>
      </c>
      <c r="D1371" s="7">
        <f>Page2!M7</f>
        <v>41144</v>
      </c>
      <c r="E1371" s="7">
        <f>Page2!O7</f>
        <v>152840</v>
      </c>
      <c r="F1371" t="str">
        <f t="shared" si="74"/>
        <v>00-00-11VAR-EXPNS-CURR</v>
      </c>
      <c r="G1371" t="s">
        <v>127</v>
      </c>
      <c r="H1371" t="s">
        <v>10287</v>
      </c>
      <c r="I1371" t="s">
        <v>10253</v>
      </c>
      <c r="J1371" t="s">
        <v>10268</v>
      </c>
      <c r="K1371" s="1073" t="s">
        <v>10241</v>
      </c>
      <c r="L1371" s="789" t="s">
        <v>10241</v>
      </c>
      <c r="M1371" s="790" t="s">
        <v>11512</v>
      </c>
      <c r="O1371" s="790" t="s">
        <v>11153</v>
      </c>
      <c r="P1371" s="790" t="s">
        <v>10244</v>
      </c>
      <c r="Q1371" s="791" t="s">
        <v>773</v>
      </c>
      <c r="R1371" s="30"/>
    </row>
    <row r="1372" spans="2:18">
      <c r="B1372" s="5" t="s">
        <v>11513</v>
      </c>
      <c r="C1372" s="1038">
        <v>13</v>
      </c>
      <c r="D1372" s="7">
        <f>Page2!M8</f>
        <v>-836</v>
      </c>
      <c r="E1372" s="7">
        <f>Page2!O8</f>
        <v>626</v>
      </c>
      <c r="F1372" t="str">
        <f t="shared" si="74"/>
        <v>00-00-13VAR-EXPNS-CURR</v>
      </c>
      <c r="G1372" t="s">
        <v>127</v>
      </c>
      <c r="H1372" t="s">
        <v>10287</v>
      </c>
      <c r="I1372" t="s">
        <v>10253</v>
      </c>
      <c r="J1372" t="s">
        <v>10268</v>
      </c>
      <c r="K1372" s="1073" t="s">
        <v>10241</v>
      </c>
      <c r="L1372" s="789" t="s">
        <v>10241</v>
      </c>
      <c r="M1372" s="790" t="s">
        <v>11514</v>
      </c>
      <c r="O1372" s="790" t="s">
        <v>11153</v>
      </c>
      <c r="P1372" s="790" t="s">
        <v>10244</v>
      </c>
      <c r="Q1372" s="791" t="s">
        <v>773</v>
      </c>
      <c r="R1372" s="30"/>
    </row>
    <row r="1373" spans="2:18">
      <c r="B1373" s="5" t="s">
        <v>11515</v>
      </c>
      <c r="C1373" s="1038">
        <v>15</v>
      </c>
      <c r="D1373" s="7">
        <f>Page2!M9</f>
        <v>3642</v>
      </c>
      <c r="E1373" s="7">
        <f>Page2!O9</f>
        <v>21357</v>
      </c>
      <c r="F1373" t="str">
        <f t="shared" si="74"/>
        <v>00-00-15VAR-EXPNS-CURR</v>
      </c>
      <c r="G1373" t="s">
        <v>127</v>
      </c>
      <c r="H1373" t="s">
        <v>10287</v>
      </c>
      <c r="I1373" t="s">
        <v>10253</v>
      </c>
      <c r="J1373" t="s">
        <v>10268</v>
      </c>
      <c r="K1373" s="1073" t="s">
        <v>10241</v>
      </c>
      <c r="L1373" s="789" t="s">
        <v>10241</v>
      </c>
      <c r="M1373" s="790" t="s">
        <v>11516</v>
      </c>
      <c r="O1373" s="790" t="s">
        <v>11153</v>
      </c>
      <c r="P1373" s="790" t="s">
        <v>10244</v>
      </c>
      <c r="Q1373" s="791" t="s">
        <v>773</v>
      </c>
      <c r="R1373" s="30"/>
    </row>
    <row r="1374" spans="2:18">
      <c r="B1374" s="51" t="s">
        <v>11517</v>
      </c>
      <c r="C1374" s="1042"/>
      <c r="D1374" s="7">
        <f>Page2!M10</f>
        <v>43950</v>
      </c>
      <c r="E1374" s="7">
        <f>Page2!O10</f>
        <v>174823</v>
      </c>
      <c r="F1374" t="str">
        <f t="shared" si="74"/>
        <v>00-00-VAREXVAR-EXPNS-CURR</v>
      </c>
      <c r="G1374" t="s">
        <v>127</v>
      </c>
      <c r="H1374" t="s">
        <v>10287</v>
      </c>
      <c r="I1374" t="s">
        <v>10253</v>
      </c>
      <c r="J1374" t="s">
        <v>10268</v>
      </c>
      <c r="K1374" s="1073" t="s">
        <v>10241</v>
      </c>
      <c r="L1374" s="789" t="s">
        <v>10241</v>
      </c>
      <c r="M1374" s="790" t="s">
        <v>11518</v>
      </c>
      <c r="O1374" s="790" t="s">
        <v>11153</v>
      </c>
      <c r="P1374" s="790" t="s">
        <v>10244</v>
      </c>
      <c r="Q1374" s="791" t="s">
        <v>773</v>
      </c>
    </row>
    <row r="1375" spans="2:18">
      <c r="B1375" s="5" t="s">
        <v>11519</v>
      </c>
      <c r="C1375" s="1038">
        <v>20</v>
      </c>
      <c r="D1375" s="7">
        <f>Page2!M11</f>
        <v>16923</v>
      </c>
      <c r="E1375" s="7">
        <f>Page2!O11</f>
        <v>66753</v>
      </c>
      <c r="F1375" t="str">
        <f t="shared" si="74"/>
        <v>00-00-20VAR-EXPNS-CURR</v>
      </c>
      <c r="G1375" t="s">
        <v>127</v>
      </c>
      <c r="H1375" t="s">
        <v>10287</v>
      </c>
      <c r="I1375" t="s">
        <v>10253</v>
      </c>
      <c r="J1375" t="s">
        <v>10268</v>
      </c>
      <c r="K1375" s="1073" t="s">
        <v>10241</v>
      </c>
      <c r="L1375" s="789" t="s">
        <v>10241</v>
      </c>
      <c r="M1375" s="790" t="s">
        <v>11520</v>
      </c>
      <c r="O1375" s="790" t="s">
        <v>11153</v>
      </c>
      <c r="P1375" s="790" t="s">
        <v>10244</v>
      </c>
      <c r="Q1375" s="791" t="s">
        <v>773</v>
      </c>
      <c r="R1375" s="30"/>
    </row>
    <row r="1376" spans="2:18">
      <c r="B1376" s="5" t="s">
        <v>11521</v>
      </c>
      <c r="C1376" s="1038">
        <v>21</v>
      </c>
      <c r="D1376" s="7">
        <f>Page2!M12</f>
        <v>48601</v>
      </c>
      <c r="E1376" s="7">
        <f>Page2!O12</f>
        <v>138621</v>
      </c>
      <c r="F1376" t="str">
        <f t="shared" si="74"/>
        <v>00-00-21VAR-EXPNS-CURR</v>
      </c>
      <c r="G1376" t="s">
        <v>127</v>
      </c>
      <c r="H1376" t="s">
        <v>10287</v>
      </c>
      <c r="I1376" t="s">
        <v>10253</v>
      </c>
      <c r="J1376" t="s">
        <v>10268</v>
      </c>
      <c r="K1376" s="1073" t="s">
        <v>10241</v>
      </c>
      <c r="L1376" s="789" t="s">
        <v>10241</v>
      </c>
      <c r="M1376" s="790" t="s">
        <v>11522</v>
      </c>
      <c r="O1376" s="790" t="s">
        <v>11153</v>
      </c>
      <c r="P1376" s="790" t="s">
        <v>10244</v>
      </c>
      <c r="Q1376" s="791" t="s">
        <v>773</v>
      </c>
      <c r="R1376" s="30"/>
    </row>
    <row r="1377" spans="2:18">
      <c r="B1377" s="40" t="s">
        <v>11523</v>
      </c>
      <c r="C1377" s="1038">
        <v>22</v>
      </c>
      <c r="D1377" s="7">
        <f>Page2!M13</f>
        <v>44657</v>
      </c>
      <c r="E1377" s="7">
        <f>Page2!O13</f>
        <v>153352</v>
      </c>
      <c r="F1377" t="str">
        <f t="shared" si="74"/>
        <v>00-00-22VAR-EXPNS-CURR</v>
      </c>
      <c r="G1377" t="s">
        <v>127</v>
      </c>
      <c r="H1377" t="s">
        <v>10287</v>
      </c>
      <c r="I1377" t="s">
        <v>10253</v>
      </c>
      <c r="J1377" t="s">
        <v>10268</v>
      </c>
      <c r="K1377" s="1073" t="s">
        <v>10241</v>
      </c>
      <c r="L1377" s="789" t="s">
        <v>10241</v>
      </c>
      <c r="M1377" s="790" t="s">
        <v>11524</v>
      </c>
      <c r="O1377" s="790" t="s">
        <v>11153</v>
      </c>
      <c r="P1377" s="790" t="s">
        <v>10244</v>
      </c>
      <c r="Q1377" s="791" t="s">
        <v>773</v>
      </c>
      <c r="R1377" s="30"/>
    </row>
    <row r="1378" spans="2:18">
      <c r="B1378" s="5" t="s">
        <v>11525</v>
      </c>
      <c r="C1378" s="1038">
        <v>23</v>
      </c>
      <c r="D1378" s="7">
        <f>Page2!M14</f>
        <v>9783</v>
      </c>
      <c r="E1378" s="7">
        <f>Page2!O14</f>
        <v>19523</v>
      </c>
      <c r="F1378" t="str">
        <f t="shared" si="74"/>
        <v>00-00-23VAR-EXPNS-CURR</v>
      </c>
      <c r="G1378" t="s">
        <v>127</v>
      </c>
      <c r="H1378" t="s">
        <v>10287</v>
      </c>
      <c r="I1378" t="s">
        <v>10253</v>
      </c>
      <c r="J1378" t="s">
        <v>10268</v>
      </c>
      <c r="K1378" s="1073" t="s">
        <v>10241</v>
      </c>
      <c r="L1378" s="789" t="s">
        <v>10241</v>
      </c>
      <c r="M1378" s="790" t="s">
        <v>11526</v>
      </c>
      <c r="O1378" s="790" t="s">
        <v>11153</v>
      </c>
      <c r="P1378" s="790" t="s">
        <v>10244</v>
      </c>
      <c r="Q1378" s="791" t="s">
        <v>773</v>
      </c>
      <c r="R1378" s="30"/>
    </row>
    <row r="1379" spans="2:18">
      <c r="B1379" s="5" t="s">
        <v>11527</v>
      </c>
      <c r="C1379" s="1038">
        <v>24</v>
      </c>
      <c r="D1379" s="7">
        <f>Page2!M15</f>
        <v>15743</v>
      </c>
      <c r="E1379" s="7">
        <f>Page2!O15</f>
        <v>48196</v>
      </c>
      <c r="F1379" t="str">
        <f t="shared" si="74"/>
        <v>00-00-24VAR-EXPNS-CURR</v>
      </c>
      <c r="G1379" t="s">
        <v>127</v>
      </c>
      <c r="H1379" t="s">
        <v>10287</v>
      </c>
      <c r="I1379" t="s">
        <v>10253</v>
      </c>
      <c r="J1379" t="s">
        <v>10268</v>
      </c>
      <c r="K1379" s="1073" t="s">
        <v>10241</v>
      </c>
      <c r="L1379" s="789" t="s">
        <v>10241</v>
      </c>
      <c r="M1379" s="790" t="s">
        <v>11528</v>
      </c>
      <c r="O1379" s="790" t="s">
        <v>11153</v>
      </c>
      <c r="P1379" s="790" t="s">
        <v>10244</v>
      </c>
      <c r="Q1379" s="791" t="s">
        <v>773</v>
      </c>
      <c r="R1379" s="30"/>
    </row>
    <row r="1380" spans="2:18">
      <c r="B1380" s="5" t="s">
        <v>11529</v>
      </c>
      <c r="C1380" s="1038">
        <v>26</v>
      </c>
      <c r="D1380" s="7">
        <f>Page2!M16</f>
        <v>0</v>
      </c>
      <c r="E1380" s="7">
        <f>Page2!O16</f>
        <v>0</v>
      </c>
      <c r="F1380" t="str">
        <f t="shared" si="74"/>
        <v>00-00-26VAR-EXPNS-CURR</v>
      </c>
      <c r="G1380" t="s">
        <v>127</v>
      </c>
      <c r="H1380" t="s">
        <v>10287</v>
      </c>
      <c r="I1380" t="s">
        <v>10253</v>
      </c>
      <c r="K1380" s="1073" t="s">
        <v>10241</v>
      </c>
      <c r="L1380" s="789" t="s">
        <v>10241</v>
      </c>
      <c r="M1380" s="790" t="s">
        <v>11530</v>
      </c>
      <c r="O1380" s="790" t="s">
        <v>11153</v>
      </c>
      <c r="P1380" s="790" t="s">
        <v>10244</v>
      </c>
      <c r="Q1380" s="791" t="s">
        <v>773</v>
      </c>
      <c r="R1380" s="30"/>
    </row>
    <row r="1381" spans="2:18">
      <c r="B1381" s="5" t="s">
        <v>11531</v>
      </c>
      <c r="C1381" s="1038">
        <v>25</v>
      </c>
      <c r="D1381" s="7">
        <f>Page2!M17</f>
        <v>5006</v>
      </c>
      <c r="E1381" s="7">
        <f>Page2!O17</f>
        <v>16274</v>
      </c>
      <c r="F1381" t="str">
        <f t="shared" si="74"/>
        <v>00-00-25VAR-EXPNS-CURR</v>
      </c>
      <c r="G1381" t="s">
        <v>127</v>
      </c>
      <c r="H1381" t="s">
        <v>10287</v>
      </c>
      <c r="I1381" t="s">
        <v>10253</v>
      </c>
      <c r="J1381" t="s">
        <v>10268</v>
      </c>
      <c r="K1381" s="1073" t="s">
        <v>10241</v>
      </c>
      <c r="L1381" s="789" t="s">
        <v>10241</v>
      </c>
      <c r="M1381" s="790" t="s">
        <v>11532</v>
      </c>
      <c r="O1381" s="790" t="s">
        <v>11153</v>
      </c>
      <c r="P1381" s="790" t="s">
        <v>10244</v>
      </c>
      <c r="Q1381" s="791" t="s">
        <v>773</v>
      </c>
      <c r="R1381" s="30"/>
    </row>
    <row r="1382" spans="2:18">
      <c r="B1382" s="5" t="s">
        <v>11533</v>
      </c>
      <c r="C1382" s="1038">
        <v>27</v>
      </c>
      <c r="D1382" s="7">
        <f>Page2!M18</f>
        <v>9604</v>
      </c>
      <c r="E1382" s="7">
        <f>Page2!O18</f>
        <v>43022</v>
      </c>
      <c r="F1382" t="str">
        <f t="shared" si="74"/>
        <v>00-00-27VAR-EXPNS-CURR</v>
      </c>
      <c r="G1382" t="s">
        <v>127</v>
      </c>
      <c r="H1382" t="s">
        <v>10287</v>
      </c>
      <c r="I1382" t="s">
        <v>10253</v>
      </c>
      <c r="J1382" t="s">
        <v>10268</v>
      </c>
      <c r="K1382" s="1073" t="s">
        <v>10241</v>
      </c>
      <c r="L1382" s="789" t="s">
        <v>10241</v>
      </c>
      <c r="M1382" s="790" t="s">
        <v>11534</v>
      </c>
      <c r="O1382" s="790" t="s">
        <v>11153</v>
      </c>
      <c r="P1382" s="790" t="s">
        <v>10244</v>
      </c>
      <c r="Q1382" s="791" t="s">
        <v>773</v>
      </c>
      <c r="R1382" s="30"/>
    </row>
    <row r="1383" spans="2:18">
      <c r="B1383" s="5" t="s">
        <v>11535</v>
      </c>
      <c r="C1383" s="1038">
        <v>29</v>
      </c>
      <c r="D1383" s="7">
        <f>Page2!M19</f>
        <v>0</v>
      </c>
      <c r="E1383" s="7">
        <f>Page2!O19</f>
        <v>0</v>
      </c>
      <c r="F1383" t="str">
        <f t="shared" si="74"/>
        <v>00-00-29VAR-EXPNS-CURR</v>
      </c>
      <c r="G1383" t="s">
        <v>127</v>
      </c>
      <c r="H1383" t="s">
        <v>10287</v>
      </c>
      <c r="I1383" t="s">
        <v>10253</v>
      </c>
      <c r="J1383" t="s">
        <v>10268</v>
      </c>
      <c r="K1383" s="1073" t="s">
        <v>10241</v>
      </c>
      <c r="L1383" s="789" t="s">
        <v>10241</v>
      </c>
      <c r="M1383" s="790" t="s">
        <v>11536</v>
      </c>
      <c r="O1383" s="790" t="s">
        <v>11153</v>
      </c>
      <c r="P1383" s="790" t="s">
        <v>10244</v>
      </c>
      <c r="Q1383" s="791" t="s">
        <v>773</v>
      </c>
      <c r="R1383" s="30"/>
    </row>
    <row r="1384" spans="2:18">
      <c r="B1384" s="27" t="s">
        <v>11537</v>
      </c>
      <c r="C1384" s="1042"/>
      <c r="D1384" s="7">
        <f>Page2!M20</f>
        <v>150317</v>
      </c>
      <c r="E1384" s="7">
        <f>Page2!O20</f>
        <v>485741</v>
      </c>
      <c r="F1384" t="str">
        <f t="shared" si="74"/>
        <v>00-00-PERSVAR-EXPNS-CURR</v>
      </c>
      <c r="G1384" t="s">
        <v>127</v>
      </c>
      <c r="H1384" t="s">
        <v>10287</v>
      </c>
      <c r="I1384" t="s">
        <v>10253</v>
      </c>
      <c r="J1384" t="s">
        <v>10268</v>
      </c>
      <c r="K1384" s="1073" t="s">
        <v>10241</v>
      </c>
      <c r="L1384" s="789" t="s">
        <v>10241</v>
      </c>
      <c r="M1384" s="790" t="s">
        <v>11538</v>
      </c>
      <c r="O1384" s="790" t="s">
        <v>11153</v>
      </c>
      <c r="P1384" s="790" t="s">
        <v>10244</v>
      </c>
      <c r="Q1384" s="791" t="s">
        <v>773</v>
      </c>
    </row>
    <row r="1385" spans="2:18">
      <c r="B1385" s="5" t="s">
        <v>11539</v>
      </c>
      <c r="C1385" s="1038">
        <v>51</v>
      </c>
      <c r="D1385" s="7">
        <f>Page2!M21</f>
        <v>-509</v>
      </c>
      <c r="E1385" s="7">
        <f>Page2!O21</f>
        <v>36551</v>
      </c>
      <c r="F1385" t="str">
        <f t="shared" si="74"/>
        <v>00-00-51VAR-EXPNS-CURR</v>
      </c>
      <c r="G1385" t="s">
        <v>127</v>
      </c>
      <c r="H1385" t="s">
        <v>10287</v>
      </c>
      <c r="I1385" t="s">
        <v>10253</v>
      </c>
      <c r="J1385" t="s">
        <v>10268</v>
      </c>
      <c r="K1385" s="1073" t="s">
        <v>10241</v>
      </c>
      <c r="L1385" s="789" t="s">
        <v>10241</v>
      </c>
      <c r="M1385" s="790" t="s">
        <v>11540</v>
      </c>
      <c r="O1385" s="790" t="s">
        <v>11153</v>
      </c>
      <c r="P1385" s="790" t="s">
        <v>10244</v>
      </c>
      <c r="Q1385" s="791" t="s">
        <v>773</v>
      </c>
      <c r="R1385" s="30"/>
    </row>
    <row r="1386" spans="2:18">
      <c r="B1386" s="5" t="s">
        <v>11541</v>
      </c>
      <c r="C1386" s="1038">
        <v>60</v>
      </c>
      <c r="D1386" s="7">
        <f>Page2!M22</f>
        <v>1135</v>
      </c>
      <c r="E1386" s="7">
        <f>Page2!O22</f>
        <v>6663</v>
      </c>
      <c r="F1386" t="str">
        <f t="shared" si="74"/>
        <v>00-00-60VAR-EXPNS-CURR</v>
      </c>
      <c r="G1386" t="s">
        <v>127</v>
      </c>
      <c r="H1386" t="s">
        <v>10287</v>
      </c>
      <c r="I1386" t="s">
        <v>10253</v>
      </c>
      <c r="J1386" t="s">
        <v>10268</v>
      </c>
      <c r="K1386" s="1073" t="s">
        <v>10241</v>
      </c>
      <c r="L1386" s="789" t="s">
        <v>10241</v>
      </c>
      <c r="M1386" s="790" t="s">
        <v>11542</v>
      </c>
      <c r="O1386" s="790" t="s">
        <v>11153</v>
      </c>
      <c r="P1386" s="790" t="s">
        <v>10244</v>
      </c>
      <c r="Q1386" s="791" t="s">
        <v>773</v>
      </c>
      <c r="R1386" s="30"/>
    </row>
    <row r="1387" spans="2:18">
      <c r="B1387" s="5" t="s">
        <v>11543</v>
      </c>
      <c r="C1387" s="1038">
        <v>61</v>
      </c>
      <c r="D1387" s="7">
        <f>Page2!M23</f>
        <v>4913</v>
      </c>
      <c r="E1387" s="7">
        <f>Page2!O23</f>
        <v>13014</v>
      </c>
      <c r="F1387" t="str">
        <f t="shared" si="74"/>
        <v>00-00-61VAR-EXPNS-CURR</v>
      </c>
      <c r="G1387" t="s">
        <v>127</v>
      </c>
      <c r="H1387" t="s">
        <v>10287</v>
      </c>
      <c r="I1387" t="s">
        <v>10253</v>
      </c>
      <c r="J1387" t="s">
        <v>10268</v>
      </c>
      <c r="K1387" s="1073" t="s">
        <v>10241</v>
      </c>
      <c r="L1387" s="789" t="s">
        <v>10241</v>
      </c>
      <c r="M1387" s="790" t="s">
        <v>11544</v>
      </c>
      <c r="O1387" s="790" t="s">
        <v>11153</v>
      </c>
      <c r="P1387" s="790" t="s">
        <v>10244</v>
      </c>
      <c r="Q1387" s="791" t="s">
        <v>773</v>
      </c>
      <c r="R1387" s="30"/>
    </row>
    <row r="1388" spans="2:18">
      <c r="B1388" s="5" t="s">
        <v>11545</v>
      </c>
      <c r="C1388" s="1038">
        <v>63</v>
      </c>
      <c r="D1388" s="7">
        <f>Page2!M24</f>
        <v>0</v>
      </c>
      <c r="E1388" s="7">
        <f>Page2!O24</f>
        <v>0</v>
      </c>
      <c r="F1388" t="str">
        <f t="shared" si="74"/>
        <v>00-00-63VAR-EXPNS-CURR</v>
      </c>
      <c r="G1388" t="s">
        <v>127</v>
      </c>
      <c r="H1388" t="s">
        <v>10287</v>
      </c>
      <c r="I1388" t="s">
        <v>10253</v>
      </c>
      <c r="K1388" s="1073" t="s">
        <v>10241</v>
      </c>
      <c r="L1388" s="789" t="s">
        <v>10241</v>
      </c>
      <c r="M1388" s="790" t="s">
        <v>11546</v>
      </c>
      <c r="O1388" s="790" t="s">
        <v>11153</v>
      </c>
      <c r="P1388" s="790" t="s">
        <v>10244</v>
      </c>
      <c r="Q1388" s="791" t="s">
        <v>773</v>
      </c>
      <c r="R1388" s="30"/>
    </row>
    <row r="1389" spans="2:18">
      <c r="B1389" s="5" t="s">
        <v>11547</v>
      </c>
      <c r="C1389" s="1038">
        <v>65</v>
      </c>
      <c r="D1389" s="7">
        <f>Page2!M25</f>
        <v>14184</v>
      </c>
      <c r="E1389" s="7">
        <f>Page2!O25</f>
        <v>62226</v>
      </c>
      <c r="F1389" t="str">
        <f t="shared" si="74"/>
        <v>00-00-65VAR-EXPNS-CURR</v>
      </c>
      <c r="G1389" t="s">
        <v>127</v>
      </c>
      <c r="H1389" t="s">
        <v>10287</v>
      </c>
      <c r="I1389" t="s">
        <v>10253</v>
      </c>
      <c r="J1389" t="s">
        <v>10268</v>
      </c>
      <c r="K1389" s="1073" t="s">
        <v>10241</v>
      </c>
      <c r="L1389" s="789" t="s">
        <v>10241</v>
      </c>
      <c r="M1389" s="790" t="s">
        <v>11548</v>
      </c>
      <c r="O1389" s="790" t="s">
        <v>11153</v>
      </c>
      <c r="P1389" s="790" t="s">
        <v>10244</v>
      </c>
      <c r="Q1389" s="791" t="s">
        <v>773</v>
      </c>
      <c r="R1389" s="30"/>
    </row>
    <row r="1390" spans="2:18">
      <c r="B1390" s="5" t="s">
        <v>11549</v>
      </c>
      <c r="C1390" s="1038">
        <v>64</v>
      </c>
      <c r="D1390" s="7">
        <f>Page2!M26</f>
        <v>0</v>
      </c>
      <c r="E1390" s="7">
        <f>Page2!O26</f>
        <v>-45212</v>
      </c>
      <c r="F1390" t="str">
        <f t="shared" si="74"/>
        <v>00-00-64VAR-EXPNS-CURR</v>
      </c>
      <c r="G1390" t="s">
        <v>127</v>
      </c>
      <c r="H1390" t="s">
        <v>10287</v>
      </c>
      <c r="I1390" t="s">
        <v>10253</v>
      </c>
      <c r="K1390" s="1073" t="s">
        <v>10241</v>
      </c>
      <c r="L1390" s="789" t="s">
        <v>10241</v>
      </c>
      <c r="M1390" s="790" t="s">
        <v>11550</v>
      </c>
      <c r="O1390" s="790" t="s">
        <v>11153</v>
      </c>
      <c r="P1390" s="790" t="s">
        <v>10244</v>
      </c>
      <c r="Q1390" s="791" t="s">
        <v>773</v>
      </c>
      <c r="R1390" s="30"/>
    </row>
    <row r="1391" spans="2:18">
      <c r="B1391" s="5" t="s">
        <v>11551</v>
      </c>
      <c r="C1391" s="1038">
        <v>66</v>
      </c>
      <c r="D1391" s="7">
        <f>Page2!M27</f>
        <v>250</v>
      </c>
      <c r="E1391" s="7">
        <f>Page2!O27</f>
        <v>250</v>
      </c>
      <c r="F1391" t="str">
        <f t="shared" si="74"/>
        <v>00-00-66VAR-EXPNS-CURR</v>
      </c>
      <c r="G1391" t="s">
        <v>127</v>
      </c>
      <c r="H1391" t="s">
        <v>10287</v>
      </c>
      <c r="I1391" t="s">
        <v>10253</v>
      </c>
      <c r="J1391" t="s">
        <v>10268</v>
      </c>
      <c r="K1391" s="1073" t="s">
        <v>10241</v>
      </c>
      <c r="L1391" s="789" t="s">
        <v>10241</v>
      </c>
      <c r="M1391" s="790" t="s">
        <v>11552</v>
      </c>
      <c r="O1391" s="790" t="s">
        <v>11153</v>
      </c>
      <c r="P1391" s="790" t="s">
        <v>10244</v>
      </c>
      <c r="Q1391" s="791" t="s">
        <v>773</v>
      </c>
      <c r="R1391" s="30"/>
    </row>
    <row r="1392" spans="2:18">
      <c r="B1392" s="5" t="s">
        <v>11553</v>
      </c>
      <c r="C1392" s="1038">
        <v>68</v>
      </c>
      <c r="D1392" s="7">
        <f>Page2!M29</f>
        <v>10045</v>
      </c>
      <c r="E1392" s="7">
        <f>Page2!O29</f>
        <v>34247</v>
      </c>
      <c r="F1392" t="str">
        <f t="shared" si="74"/>
        <v>00-00-68VAR-EXPNS-CURR</v>
      </c>
      <c r="G1392" t="s">
        <v>127</v>
      </c>
      <c r="H1392" t="s">
        <v>10287</v>
      </c>
      <c r="I1392" t="s">
        <v>10253</v>
      </c>
      <c r="J1392" t="s">
        <v>10268</v>
      </c>
      <c r="K1392" s="1073" t="s">
        <v>10241</v>
      </c>
      <c r="L1392" s="789" t="s">
        <v>10241</v>
      </c>
      <c r="M1392" s="790" t="s">
        <v>11554</v>
      </c>
      <c r="O1392" s="790" t="s">
        <v>11153</v>
      </c>
      <c r="P1392" s="790" t="s">
        <v>10244</v>
      </c>
      <c r="Q1392" s="791" t="s">
        <v>773</v>
      </c>
      <c r="R1392" s="30"/>
    </row>
    <row r="1393" spans="2:18">
      <c r="B1393" s="5" t="s">
        <v>11555</v>
      </c>
      <c r="C1393" s="1038">
        <v>69</v>
      </c>
      <c r="D1393" s="7">
        <f>Page2!M30</f>
        <v>1676</v>
      </c>
      <c r="E1393" s="7">
        <f>Page2!O30</f>
        <v>4129</v>
      </c>
      <c r="F1393" t="str">
        <f t="shared" si="74"/>
        <v>00-00-69VAR-EXPNS-CURR</v>
      </c>
      <c r="G1393" t="s">
        <v>127</v>
      </c>
      <c r="H1393" t="s">
        <v>10287</v>
      </c>
      <c r="I1393" t="s">
        <v>10253</v>
      </c>
      <c r="J1393" t="s">
        <v>10268</v>
      </c>
      <c r="K1393" s="1073" t="s">
        <v>10241</v>
      </c>
      <c r="L1393" s="789" t="s">
        <v>10241</v>
      </c>
      <c r="M1393" s="790" t="s">
        <v>11556</v>
      </c>
      <c r="O1393" s="790" t="s">
        <v>11153</v>
      </c>
      <c r="P1393" s="790" t="s">
        <v>10244</v>
      </c>
      <c r="Q1393" s="791" t="s">
        <v>773</v>
      </c>
      <c r="R1393" s="30"/>
    </row>
    <row r="1394" spans="2:18">
      <c r="B1394" s="5" t="s">
        <v>11557</v>
      </c>
      <c r="C1394" s="1038">
        <v>70</v>
      </c>
      <c r="D1394" s="7">
        <f>Page2!M31</f>
        <v>1267</v>
      </c>
      <c r="E1394" s="7">
        <f>Page2!O31</f>
        <v>4139</v>
      </c>
      <c r="F1394" t="str">
        <f t="shared" si="74"/>
        <v>00-00-70VAR-EXPNS-CURR</v>
      </c>
      <c r="G1394" t="s">
        <v>127</v>
      </c>
      <c r="H1394" t="s">
        <v>10287</v>
      </c>
      <c r="I1394" t="s">
        <v>10253</v>
      </c>
      <c r="J1394" t="s">
        <v>10268</v>
      </c>
      <c r="K1394" s="1073" t="s">
        <v>10241</v>
      </c>
      <c r="L1394" s="789" t="s">
        <v>10241</v>
      </c>
      <c r="M1394" s="790" t="s">
        <v>11558</v>
      </c>
      <c r="O1394" s="790" t="s">
        <v>11153</v>
      </c>
      <c r="P1394" s="790" t="s">
        <v>10244</v>
      </c>
      <c r="Q1394" s="791" t="s">
        <v>773</v>
      </c>
      <c r="R1394" s="30"/>
    </row>
    <row r="1395" spans="2:18">
      <c r="B1395" s="5" t="s">
        <v>11559</v>
      </c>
      <c r="C1395" s="1038">
        <v>71</v>
      </c>
      <c r="D1395" s="7">
        <f>Page2!M32</f>
        <v>305</v>
      </c>
      <c r="E1395" s="7">
        <f>Page2!O32</f>
        <v>2354</v>
      </c>
      <c r="F1395" t="str">
        <f t="shared" si="74"/>
        <v>00-00-71VAR-EXPNS-CURR</v>
      </c>
      <c r="G1395" t="s">
        <v>127</v>
      </c>
      <c r="H1395" t="s">
        <v>10287</v>
      </c>
      <c r="I1395" t="s">
        <v>10253</v>
      </c>
      <c r="J1395" t="s">
        <v>10268</v>
      </c>
      <c r="K1395" s="1073" t="s">
        <v>10241</v>
      </c>
      <c r="L1395" s="789" t="s">
        <v>10241</v>
      </c>
      <c r="M1395" s="790" t="s">
        <v>11560</v>
      </c>
      <c r="O1395" s="790" t="s">
        <v>11153</v>
      </c>
      <c r="P1395" s="790" t="s">
        <v>10244</v>
      </c>
      <c r="Q1395" s="791" t="s">
        <v>773</v>
      </c>
      <c r="R1395" s="30"/>
    </row>
    <row r="1396" spans="2:18">
      <c r="B1396" s="5" t="s">
        <v>11561</v>
      </c>
      <c r="C1396" s="1038">
        <v>72</v>
      </c>
      <c r="D1396" s="7">
        <f>Page2!M33</f>
        <v>1000</v>
      </c>
      <c r="E1396" s="7">
        <f>Page2!O33</f>
        <v>1500</v>
      </c>
      <c r="F1396" t="str">
        <f t="shared" si="74"/>
        <v>00-00-72VAR-EXPNS-CURR</v>
      </c>
      <c r="G1396" t="s">
        <v>127</v>
      </c>
      <c r="H1396" t="s">
        <v>10287</v>
      </c>
      <c r="I1396" t="s">
        <v>10253</v>
      </c>
      <c r="J1396" t="s">
        <v>10268</v>
      </c>
      <c r="K1396" s="1073" t="s">
        <v>10241</v>
      </c>
      <c r="L1396" s="789" t="s">
        <v>10241</v>
      </c>
      <c r="M1396" s="790" t="s">
        <v>11562</v>
      </c>
      <c r="O1396" s="790" t="s">
        <v>11153</v>
      </c>
      <c r="P1396" s="790" t="s">
        <v>10244</v>
      </c>
      <c r="Q1396" s="791" t="s">
        <v>773</v>
      </c>
      <c r="R1396" s="30"/>
    </row>
    <row r="1397" spans="2:18">
      <c r="B1397" s="40" t="s">
        <v>11563</v>
      </c>
      <c r="C1397" s="1038">
        <v>74</v>
      </c>
      <c r="D1397" s="7">
        <f>Page2!M34</f>
        <v>473</v>
      </c>
      <c r="E1397" s="7">
        <f>Page2!O34</f>
        <v>1257</v>
      </c>
      <c r="F1397" t="str">
        <f t="shared" si="74"/>
        <v>00-00-74VAR-EXPNS-CURR</v>
      </c>
      <c r="G1397" t="s">
        <v>127</v>
      </c>
      <c r="H1397" t="s">
        <v>10287</v>
      </c>
      <c r="I1397" t="s">
        <v>10253</v>
      </c>
      <c r="J1397" t="s">
        <v>10268</v>
      </c>
      <c r="K1397" s="1073" t="s">
        <v>10241</v>
      </c>
      <c r="L1397" s="789" t="s">
        <v>10241</v>
      </c>
      <c r="M1397" s="790" t="s">
        <v>11564</v>
      </c>
      <c r="O1397" s="790" t="s">
        <v>11153</v>
      </c>
      <c r="P1397" s="790" t="s">
        <v>10244</v>
      </c>
      <c r="Q1397" s="791" t="s">
        <v>773</v>
      </c>
      <c r="R1397" s="30"/>
    </row>
    <row r="1398" spans="2:18">
      <c r="B1398" s="5" t="s">
        <v>11565</v>
      </c>
      <c r="C1398" s="1038">
        <v>75</v>
      </c>
      <c r="D1398" s="7">
        <f>Page2!M35</f>
        <v>675</v>
      </c>
      <c r="E1398" s="7">
        <f>Page2!O35</f>
        <v>2533</v>
      </c>
      <c r="F1398" t="str">
        <f t="shared" ref="F1398:F1461" si="75">TEXT(K1398,"00")&amp;"-"&amp;L1398&amp;IF(M1398="","","-"&amp;M1398)&amp;IF(N1398="","","-"&amp;N1398)&amp;IF(OR(O1398="",O1398=0),"","-"&amp;O1398)&amp;IF(P1398="","","-"&amp;P1398)</f>
        <v>00-00-75VAR-EXPNS-CURR</v>
      </c>
      <c r="G1398" t="s">
        <v>127</v>
      </c>
      <c r="H1398" t="s">
        <v>10287</v>
      </c>
      <c r="I1398" t="s">
        <v>10253</v>
      </c>
      <c r="J1398" t="s">
        <v>10268</v>
      </c>
      <c r="K1398" s="1073" t="s">
        <v>10241</v>
      </c>
      <c r="L1398" s="789" t="s">
        <v>10241</v>
      </c>
      <c r="M1398" s="790" t="s">
        <v>11566</v>
      </c>
      <c r="O1398" s="790" t="s">
        <v>11153</v>
      </c>
      <c r="P1398" s="790" t="s">
        <v>10244</v>
      </c>
      <c r="Q1398" s="791" t="s">
        <v>773</v>
      </c>
      <c r="R1398" s="30"/>
    </row>
    <row r="1399" spans="2:18">
      <c r="B1399" s="5" t="s">
        <v>11567</v>
      </c>
      <c r="C1399" s="1038">
        <v>76</v>
      </c>
      <c r="D1399" s="7">
        <f>Page2!M36</f>
        <v>100200</v>
      </c>
      <c r="E1399" s="7">
        <f>Page2!O36</f>
        <v>422526</v>
      </c>
      <c r="F1399" t="str">
        <f t="shared" si="75"/>
        <v>00-00-76VAR-EXPNS-CURR</v>
      </c>
      <c r="G1399" t="s">
        <v>127</v>
      </c>
      <c r="H1399" t="s">
        <v>10287</v>
      </c>
      <c r="I1399" t="s">
        <v>10253</v>
      </c>
      <c r="J1399" t="s">
        <v>10268</v>
      </c>
      <c r="K1399" s="1073" t="s">
        <v>10241</v>
      </c>
      <c r="L1399" s="789" t="s">
        <v>10241</v>
      </c>
      <c r="M1399" s="790" t="s">
        <v>11568</v>
      </c>
      <c r="O1399" s="790" t="s">
        <v>11153</v>
      </c>
      <c r="P1399" s="790" t="s">
        <v>10244</v>
      </c>
      <c r="Q1399" s="791" t="s">
        <v>773</v>
      </c>
      <c r="R1399" s="30"/>
    </row>
    <row r="1400" spans="2:18">
      <c r="B1400" s="5" t="s">
        <v>11569</v>
      </c>
      <c r="C1400" s="1038">
        <v>78</v>
      </c>
      <c r="D1400" s="7">
        <f>Page2!M37</f>
        <v>-86777</v>
      </c>
      <c r="E1400" s="7">
        <f>Page2!O37</f>
        <v>-280611</v>
      </c>
      <c r="F1400" t="str">
        <f t="shared" si="75"/>
        <v>00-00-78VAR-EXPNS-CURR</v>
      </c>
      <c r="G1400" t="s">
        <v>127</v>
      </c>
      <c r="H1400" t="s">
        <v>10287</v>
      </c>
      <c r="I1400" t="s">
        <v>10253</v>
      </c>
      <c r="K1400" s="1073" t="s">
        <v>10241</v>
      </c>
      <c r="L1400" s="789" t="s">
        <v>10241</v>
      </c>
      <c r="M1400" s="790" t="s">
        <v>11570</v>
      </c>
      <c r="O1400" s="790" t="s">
        <v>11153</v>
      </c>
      <c r="P1400" s="790" t="s">
        <v>10244</v>
      </c>
      <c r="Q1400" s="791" t="s">
        <v>773</v>
      </c>
      <c r="R1400" s="30"/>
    </row>
    <row r="1401" spans="2:18">
      <c r="B1401" s="5" t="s">
        <v>11571</v>
      </c>
      <c r="C1401" s="1038">
        <v>79</v>
      </c>
      <c r="D1401" s="7">
        <f>Page2!M38</f>
        <v>1888</v>
      </c>
      <c r="E1401" s="7">
        <f>Page2!O38</f>
        <v>6449</v>
      </c>
      <c r="F1401" t="str">
        <f t="shared" si="75"/>
        <v>00-00-79VAR-EXPNS-CURR</v>
      </c>
      <c r="G1401" t="s">
        <v>127</v>
      </c>
      <c r="H1401" t="s">
        <v>10287</v>
      </c>
      <c r="I1401" t="s">
        <v>10253</v>
      </c>
      <c r="J1401" t="s">
        <v>10268</v>
      </c>
      <c r="K1401" s="1073" t="s">
        <v>10241</v>
      </c>
      <c r="L1401" s="789" t="s">
        <v>10241</v>
      </c>
      <c r="M1401" s="790" t="s">
        <v>11572</v>
      </c>
      <c r="O1401" s="790" t="s">
        <v>11153</v>
      </c>
      <c r="P1401" s="790" t="s">
        <v>10244</v>
      </c>
      <c r="Q1401" s="791" t="s">
        <v>773</v>
      </c>
      <c r="R1401" s="30"/>
    </row>
    <row r="1402" spans="2:18">
      <c r="B1402" s="5" t="s">
        <v>11573</v>
      </c>
      <c r="C1402" s="1038">
        <v>56</v>
      </c>
      <c r="D1402" s="7">
        <f>Page2!M39</f>
        <v>0</v>
      </c>
      <c r="E1402" s="7">
        <f>Page2!O39</f>
        <v>0</v>
      </c>
      <c r="F1402" t="str">
        <f t="shared" si="75"/>
        <v>00-00-56VAR-EXPNS-CURR</v>
      </c>
      <c r="G1402" t="s">
        <v>127</v>
      </c>
      <c r="H1402" t="s">
        <v>10287</v>
      </c>
      <c r="I1402" t="s">
        <v>10253</v>
      </c>
      <c r="K1402" s="1073" t="s">
        <v>10241</v>
      </c>
      <c r="L1402" s="789" t="s">
        <v>10241</v>
      </c>
      <c r="M1402" s="790" t="s">
        <v>11574</v>
      </c>
      <c r="O1402" s="790" t="s">
        <v>11153</v>
      </c>
      <c r="P1402" s="790" t="s">
        <v>10244</v>
      </c>
      <c r="Q1402" s="791" t="s">
        <v>773</v>
      </c>
      <c r="R1402" s="30"/>
    </row>
    <row r="1403" spans="2:18">
      <c r="B1403" s="5" t="s">
        <v>11575</v>
      </c>
      <c r="C1403" s="1038">
        <v>57</v>
      </c>
      <c r="D1403" s="7">
        <f>Page2!M40</f>
        <v>0</v>
      </c>
      <c r="E1403" s="7">
        <f>Page2!O40</f>
        <v>0</v>
      </c>
      <c r="F1403" t="str">
        <f t="shared" si="75"/>
        <v>00-00-57VAR-EXPNS-CURR</v>
      </c>
      <c r="G1403" t="s">
        <v>127</v>
      </c>
      <c r="H1403" t="s">
        <v>10287</v>
      </c>
      <c r="I1403" t="s">
        <v>10253</v>
      </c>
      <c r="K1403" s="1073" t="s">
        <v>10241</v>
      </c>
      <c r="L1403" s="789" t="s">
        <v>10241</v>
      </c>
      <c r="M1403" s="790" t="s">
        <v>11576</v>
      </c>
      <c r="O1403" s="790" t="s">
        <v>11153</v>
      </c>
      <c r="P1403" s="790" t="s">
        <v>10244</v>
      </c>
      <c r="Q1403" s="791" t="s">
        <v>773</v>
      </c>
      <c r="R1403" s="30"/>
    </row>
    <row r="1404" spans="2:18">
      <c r="B1404" s="5" t="s">
        <v>11577</v>
      </c>
      <c r="C1404" s="1038">
        <v>33</v>
      </c>
      <c r="D1404" s="7">
        <f>Page2!M41</f>
        <v>788</v>
      </c>
      <c r="E1404" s="7">
        <f>Page2!O41</f>
        <v>2973</v>
      </c>
      <c r="F1404" t="str">
        <f t="shared" si="75"/>
        <v>00-00-33VAR-EXPNS-CURR</v>
      </c>
      <c r="G1404" t="s">
        <v>127</v>
      </c>
      <c r="H1404" t="s">
        <v>10287</v>
      </c>
      <c r="I1404" t="s">
        <v>10253</v>
      </c>
      <c r="K1404" s="1073" t="s">
        <v>10241</v>
      </c>
      <c r="L1404" s="789" t="s">
        <v>10241</v>
      </c>
      <c r="M1404" s="790" t="s">
        <v>11578</v>
      </c>
      <c r="O1404" s="790" t="s">
        <v>11153</v>
      </c>
      <c r="P1404" s="790" t="s">
        <v>10244</v>
      </c>
      <c r="Q1404" s="791" t="s">
        <v>773</v>
      </c>
      <c r="R1404" s="30"/>
    </row>
    <row r="1405" spans="2:18">
      <c r="B1405" s="5" t="s">
        <v>11579</v>
      </c>
      <c r="C1405" s="1038">
        <v>77</v>
      </c>
      <c r="D1405" s="7">
        <f>Page2!M42</f>
        <v>0</v>
      </c>
      <c r="E1405" s="7">
        <f>Page2!O42</f>
        <v>390</v>
      </c>
      <c r="F1405" t="str">
        <f t="shared" si="75"/>
        <v>00-00-77VAR-EXPNS-CURR</v>
      </c>
      <c r="G1405" t="s">
        <v>127</v>
      </c>
      <c r="H1405" t="s">
        <v>10287</v>
      </c>
      <c r="I1405" t="s">
        <v>10253</v>
      </c>
      <c r="J1405" t="s">
        <v>10268</v>
      </c>
      <c r="K1405" s="1073" t="s">
        <v>10241</v>
      </c>
      <c r="L1405" s="789" t="s">
        <v>10241</v>
      </c>
      <c r="M1405" s="790" t="s">
        <v>11580</v>
      </c>
      <c r="O1405" s="790" t="s">
        <v>11153</v>
      </c>
      <c r="P1405" s="790" t="s">
        <v>10244</v>
      </c>
      <c r="Q1405" s="791" t="s">
        <v>773</v>
      </c>
      <c r="R1405" s="30"/>
    </row>
    <row r="1406" spans="2:18">
      <c r="B1406" s="51" t="s">
        <v>11581</v>
      </c>
      <c r="C1406" s="1042"/>
      <c r="D1406" s="7">
        <f>Page2!M43</f>
        <v>51513</v>
      </c>
      <c r="E1406" s="7">
        <f>Page2!O43</f>
        <v>275378</v>
      </c>
      <c r="F1406" t="str">
        <f t="shared" si="75"/>
        <v>00-00-SEMIFVAR-EXPNS-CURR</v>
      </c>
      <c r="G1406" t="s">
        <v>127</v>
      </c>
      <c r="H1406" t="s">
        <v>10287</v>
      </c>
      <c r="I1406" t="s">
        <v>10253</v>
      </c>
      <c r="J1406" t="s">
        <v>10268</v>
      </c>
      <c r="K1406" s="1073" t="s">
        <v>10241</v>
      </c>
      <c r="L1406" s="789" t="s">
        <v>10241</v>
      </c>
      <c r="M1406" s="790" t="s">
        <v>11582</v>
      </c>
      <c r="O1406" s="790" t="s">
        <v>11153</v>
      </c>
      <c r="P1406" s="790" t="s">
        <v>10244</v>
      </c>
      <c r="Q1406" s="791" t="s">
        <v>773</v>
      </c>
    </row>
    <row r="1407" spans="2:18">
      <c r="B1407" s="5" t="s">
        <v>11583</v>
      </c>
      <c r="C1407" s="1038">
        <v>80</v>
      </c>
      <c r="D1407" s="7">
        <f>Page2!M44</f>
        <v>23700</v>
      </c>
      <c r="E1407" s="7">
        <f>Page2!O44</f>
        <v>92550</v>
      </c>
      <c r="F1407" t="str">
        <f t="shared" si="75"/>
        <v>00-00-80VAR-EXPNS-CURR</v>
      </c>
      <c r="G1407" t="s">
        <v>127</v>
      </c>
      <c r="H1407" t="s">
        <v>10287</v>
      </c>
      <c r="I1407" t="s">
        <v>10253</v>
      </c>
      <c r="J1407" t="s">
        <v>10268</v>
      </c>
      <c r="K1407" s="1073" t="s">
        <v>10241</v>
      </c>
      <c r="L1407" s="789" t="s">
        <v>10241</v>
      </c>
      <c r="M1407" s="790" t="s">
        <v>11584</v>
      </c>
      <c r="O1407" s="790" t="s">
        <v>11153</v>
      </c>
      <c r="P1407" s="790" t="s">
        <v>10244</v>
      </c>
      <c r="Q1407" s="791" t="s">
        <v>773</v>
      </c>
      <c r="R1407" s="30"/>
    </row>
    <row r="1408" spans="2:18">
      <c r="B1408" s="5" t="s">
        <v>11585</v>
      </c>
      <c r="C1408" s="1038">
        <v>81</v>
      </c>
      <c r="D1408" s="7">
        <f>Page2!M45</f>
        <v>0</v>
      </c>
      <c r="E1408" s="7">
        <f>Page2!O45</f>
        <v>0</v>
      </c>
      <c r="F1408" t="str">
        <f t="shared" si="75"/>
        <v>00-00-81VAR-EXPNS-CURR</v>
      </c>
      <c r="G1408" t="s">
        <v>127</v>
      </c>
      <c r="H1408" t="s">
        <v>10287</v>
      </c>
      <c r="I1408" t="s">
        <v>10253</v>
      </c>
      <c r="J1408" t="s">
        <v>10268</v>
      </c>
      <c r="K1408" s="1073" t="s">
        <v>10241</v>
      </c>
      <c r="L1408" s="789" t="s">
        <v>10241</v>
      </c>
      <c r="M1408" s="790" t="s">
        <v>11586</v>
      </c>
      <c r="O1408" s="790" t="s">
        <v>11153</v>
      </c>
      <c r="P1408" s="790" t="s">
        <v>10244</v>
      </c>
      <c r="Q1408" s="791" t="s">
        <v>773</v>
      </c>
      <c r="R1408" s="30"/>
    </row>
    <row r="1409" spans="2:18">
      <c r="B1409" s="5" t="s">
        <v>11587</v>
      </c>
      <c r="C1409" s="1038">
        <v>82</v>
      </c>
      <c r="D1409" s="7">
        <f>Page2!M46</f>
        <v>1415</v>
      </c>
      <c r="E1409" s="7">
        <f>Page2!O46</f>
        <v>15333</v>
      </c>
      <c r="F1409" t="str">
        <f t="shared" si="75"/>
        <v>00-00-82VAR-EXPNS-CURR</v>
      </c>
      <c r="G1409" t="s">
        <v>127</v>
      </c>
      <c r="H1409" t="s">
        <v>10287</v>
      </c>
      <c r="I1409" t="s">
        <v>10253</v>
      </c>
      <c r="J1409" t="s">
        <v>10268</v>
      </c>
      <c r="K1409" s="1073" t="s">
        <v>10241</v>
      </c>
      <c r="L1409" s="789" t="s">
        <v>10241</v>
      </c>
      <c r="M1409" s="790" t="s">
        <v>11588</v>
      </c>
      <c r="O1409" s="790" t="s">
        <v>11153</v>
      </c>
      <c r="P1409" s="790" t="s">
        <v>10244</v>
      </c>
      <c r="Q1409" s="791" t="s">
        <v>773</v>
      </c>
      <c r="R1409" s="30"/>
    </row>
    <row r="1410" spans="2:18">
      <c r="B1410" s="5" t="s">
        <v>11589</v>
      </c>
      <c r="C1410" s="1038">
        <v>83</v>
      </c>
      <c r="D1410" s="7">
        <f>Page2!M47</f>
        <v>38</v>
      </c>
      <c r="E1410" s="7">
        <f>Page2!O47</f>
        <v>154</v>
      </c>
      <c r="F1410" t="str">
        <f t="shared" si="75"/>
        <v>00-00-83VAR-EXPNS-CURR</v>
      </c>
      <c r="G1410" t="s">
        <v>127</v>
      </c>
      <c r="H1410" t="s">
        <v>10287</v>
      </c>
      <c r="I1410" t="s">
        <v>10253</v>
      </c>
      <c r="J1410" t="s">
        <v>10268</v>
      </c>
      <c r="K1410" s="1073" t="s">
        <v>10241</v>
      </c>
      <c r="L1410" s="789" t="s">
        <v>10241</v>
      </c>
      <c r="M1410" s="790" t="s">
        <v>11590</v>
      </c>
      <c r="O1410" s="790" t="s">
        <v>11153</v>
      </c>
      <c r="P1410" s="790" t="s">
        <v>10244</v>
      </c>
      <c r="Q1410" s="791" t="s">
        <v>773</v>
      </c>
      <c r="R1410" s="30"/>
    </row>
    <row r="1411" spans="2:18">
      <c r="B1411" s="5" t="s">
        <v>11591</v>
      </c>
      <c r="C1411" s="1038">
        <v>84</v>
      </c>
      <c r="D1411" s="7">
        <f>Page2!M48</f>
        <v>3000</v>
      </c>
      <c r="E1411" s="7">
        <f>Page2!O48</f>
        <v>12000</v>
      </c>
      <c r="F1411" t="str">
        <f t="shared" si="75"/>
        <v>00-00-84VAR-EXPNS-CURR</v>
      </c>
      <c r="G1411" t="s">
        <v>127</v>
      </c>
      <c r="H1411" t="s">
        <v>10287</v>
      </c>
      <c r="I1411" t="s">
        <v>10253</v>
      </c>
      <c r="J1411" t="s">
        <v>10268</v>
      </c>
      <c r="K1411" s="1073" t="s">
        <v>10241</v>
      </c>
      <c r="L1411" s="789" t="s">
        <v>10241</v>
      </c>
      <c r="M1411" s="790" t="s">
        <v>11592</v>
      </c>
      <c r="O1411" s="790" t="s">
        <v>11153</v>
      </c>
      <c r="P1411" s="790" t="s">
        <v>10244</v>
      </c>
      <c r="Q1411" s="791" t="s">
        <v>773</v>
      </c>
      <c r="R1411" s="30"/>
    </row>
    <row r="1412" spans="2:18">
      <c r="B1412" s="5" t="s">
        <v>11593</v>
      </c>
      <c r="C1412" s="1038">
        <v>85</v>
      </c>
      <c r="D1412" s="7">
        <f>Page2!M49</f>
        <v>2040</v>
      </c>
      <c r="E1412" s="7">
        <f>Page2!O49</f>
        <v>8160</v>
      </c>
      <c r="F1412" t="str">
        <f t="shared" si="75"/>
        <v>00-00-85VAR-EXPNS-CURR</v>
      </c>
      <c r="G1412" t="s">
        <v>127</v>
      </c>
      <c r="H1412" t="s">
        <v>10287</v>
      </c>
      <c r="I1412" t="s">
        <v>10253</v>
      </c>
      <c r="J1412" t="s">
        <v>10268</v>
      </c>
      <c r="K1412" s="1073" t="s">
        <v>10241</v>
      </c>
      <c r="L1412" s="789" t="s">
        <v>10241</v>
      </c>
      <c r="M1412" s="790" t="s">
        <v>11594</v>
      </c>
      <c r="O1412" s="790" t="s">
        <v>11153</v>
      </c>
      <c r="P1412" s="790" t="s">
        <v>10244</v>
      </c>
      <c r="Q1412" s="791" t="s">
        <v>773</v>
      </c>
      <c r="R1412" s="30"/>
    </row>
    <row r="1413" spans="2:18">
      <c r="B1413" s="5" t="s">
        <v>11595</v>
      </c>
      <c r="C1413" s="1038">
        <v>86</v>
      </c>
      <c r="D1413" s="7">
        <f>Page2!M50</f>
        <v>0</v>
      </c>
      <c r="E1413" s="7">
        <f>Page2!O50</f>
        <v>0</v>
      </c>
      <c r="F1413" t="str">
        <f t="shared" si="75"/>
        <v>00-00-86VAR-EXPNS-CURR</v>
      </c>
      <c r="G1413" t="s">
        <v>127</v>
      </c>
      <c r="H1413" t="s">
        <v>10287</v>
      </c>
      <c r="I1413" t="s">
        <v>10253</v>
      </c>
      <c r="J1413" t="s">
        <v>10268</v>
      </c>
      <c r="K1413" s="1073" t="s">
        <v>10241</v>
      </c>
      <c r="L1413" s="789" t="s">
        <v>10241</v>
      </c>
      <c r="M1413" s="790" t="s">
        <v>11596</v>
      </c>
      <c r="O1413" s="790" t="s">
        <v>11153</v>
      </c>
      <c r="P1413" s="790" t="s">
        <v>10244</v>
      </c>
      <c r="Q1413" s="791" t="s">
        <v>773</v>
      </c>
      <c r="R1413" s="30"/>
    </row>
    <row r="1414" spans="2:18">
      <c r="B1414" s="5" t="s">
        <v>11597</v>
      </c>
      <c r="C1414" s="1038">
        <v>87</v>
      </c>
      <c r="D1414" s="7">
        <f>Page2!M51</f>
        <v>4992</v>
      </c>
      <c r="E1414" s="7">
        <f>Page2!O51</f>
        <v>19708</v>
      </c>
      <c r="F1414" t="str">
        <f>TEXT(K1414,"00")&amp;"-"&amp;L1414&amp;IF(M1414="","","-"&amp;M1414)&amp;IF(N1414="","","-"&amp;N1414)&amp;IF(OR(O1414="",O1414=0),"","-"&amp;O1414)&amp;IF(P1414="","","-"&amp;P1414)</f>
        <v>00-00-87VAR-EXPNS-CURR</v>
      </c>
      <c r="G1414" t="s">
        <v>127</v>
      </c>
      <c r="H1414" t="s">
        <v>10287</v>
      </c>
      <c r="I1414" t="s">
        <v>10253</v>
      </c>
      <c r="J1414" t="s">
        <v>10268</v>
      </c>
      <c r="K1414" s="1073" t="s">
        <v>10241</v>
      </c>
      <c r="L1414" s="789" t="s">
        <v>10241</v>
      </c>
      <c r="M1414" s="790" t="s">
        <v>11598</v>
      </c>
      <c r="O1414" s="790" t="s">
        <v>11153</v>
      </c>
      <c r="P1414" s="790" t="s">
        <v>10244</v>
      </c>
      <c r="Q1414" s="791" t="s">
        <v>773</v>
      </c>
      <c r="R1414" s="30"/>
    </row>
    <row r="1415" spans="2:18">
      <c r="B1415" s="27" t="s">
        <v>11599</v>
      </c>
      <c r="C1415" s="1042"/>
      <c r="D1415" s="7">
        <f>Page2!M52</f>
        <v>35185</v>
      </c>
      <c r="E1415" s="7">
        <f>Page2!O52</f>
        <v>147905</v>
      </c>
      <c r="F1415" t="str">
        <f t="shared" si="75"/>
        <v>00-00-RENTVAR-EXPNS-CURR</v>
      </c>
      <c r="G1415" t="s">
        <v>127</v>
      </c>
      <c r="H1415" t="s">
        <v>10287</v>
      </c>
      <c r="I1415" t="s">
        <v>10253</v>
      </c>
      <c r="J1415" t="s">
        <v>10268</v>
      </c>
      <c r="K1415" s="1073" t="s">
        <v>10241</v>
      </c>
      <c r="L1415" s="789" t="s">
        <v>10241</v>
      </c>
      <c r="M1415" s="790" t="s">
        <v>11600</v>
      </c>
      <c r="O1415" s="790" t="s">
        <v>11153</v>
      </c>
      <c r="P1415" s="790" t="s">
        <v>10244</v>
      </c>
      <c r="Q1415" s="791" t="s">
        <v>773</v>
      </c>
    </row>
    <row r="1416" spans="2:18">
      <c r="B1416" s="5" t="s">
        <v>11601</v>
      </c>
      <c r="C1416" s="1038">
        <v>88</v>
      </c>
      <c r="D1416" s="7">
        <f>Page2!M53</f>
        <v>7088</v>
      </c>
      <c r="E1416" s="7">
        <f>Page2!O53</f>
        <v>29087</v>
      </c>
      <c r="F1416" t="str">
        <f t="shared" si="75"/>
        <v>00-00-88VAR-EXPNS-CURR</v>
      </c>
      <c r="G1416" t="s">
        <v>127</v>
      </c>
      <c r="H1416" t="s">
        <v>10287</v>
      </c>
      <c r="I1416" t="s">
        <v>10253</v>
      </c>
      <c r="J1416" t="s">
        <v>10268</v>
      </c>
      <c r="K1416" s="1073" t="s">
        <v>10241</v>
      </c>
      <c r="L1416" s="789" t="s">
        <v>10241</v>
      </c>
      <c r="M1416" s="790" t="s">
        <v>11602</v>
      </c>
      <c r="O1416" s="790" t="s">
        <v>11153</v>
      </c>
      <c r="P1416" s="790" t="s">
        <v>10244</v>
      </c>
      <c r="Q1416" s="791" t="s">
        <v>773</v>
      </c>
      <c r="R1416" s="30"/>
    </row>
    <row r="1417" spans="2:18">
      <c r="B1417" s="5" t="s">
        <v>11603</v>
      </c>
      <c r="C1417" s="1038">
        <v>89</v>
      </c>
      <c r="D1417" s="7">
        <f>Page2!M54</f>
        <v>0</v>
      </c>
      <c r="E1417" s="7">
        <f>Page2!O54</f>
        <v>0</v>
      </c>
      <c r="F1417" t="str">
        <f t="shared" si="75"/>
        <v>00-00-89VAR-EXPNS-CURR</v>
      </c>
      <c r="G1417" t="s">
        <v>127</v>
      </c>
      <c r="H1417" t="s">
        <v>10287</v>
      </c>
      <c r="I1417" t="s">
        <v>10253</v>
      </c>
      <c r="J1417" t="s">
        <v>10268</v>
      </c>
      <c r="K1417" s="1073" t="s">
        <v>10241</v>
      </c>
      <c r="L1417" s="789" t="s">
        <v>10241</v>
      </c>
      <c r="M1417" s="790" t="s">
        <v>11604</v>
      </c>
      <c r="O1417" s="790" t="s">
        <v>11153</v>
      </c>
      <c r="P1417" s="790" t="s">
        <v>10244</v>
      </c>
      <c r="Q1417" s="791" t="s">
        <v>773</v>
      </c>
      <c r="R1417" s="30"/>
    </row>
    <row r="1418" spans="2:18">
      <c r="B1418" s="5" t="s">
        <v>11605</v>
      </c>
      <c r="C1418" s="1038">
        <v>90</v>
      </c>
      <c r="D1418" s="7">
        <f>Page2!M55</f>
        <v>0</v>
      </c>
      <c r="E1418" s="7">
        <f>Page2!O55</f>
        <v>735</v>
      </c>
      <c r="F1418" t="str">
        <f t="shared" si="75"/>
        <v>00-00-90VAR-EXPNS-CURR</v>
      </c>
      <c r="G1418" t="s">
        <v>127</v>
      </c>
      <c r="H1418" t="s">
        <v>10287</v>
      </c>
      <c r="I1418" t="s">
        <v>10253</v>
      </c>
      <c r="J1418" t="s">
        <v>10268</v>
      </c>
      <c r="K1418" s="1073" t="s">
        <v>10241</v>
      </c>
      <c r="L1418" s="789" t="s">
        <v>10241</v>
      </c>
      <c r="M1418" s="790" t="s">
        <v>11606</v>
      </c>
      <c r="O1418" s="790" t="s">
        <v>11153</v>
      </c>
      <c r="P1418" s="790" t="s">
        <v>10244</v>
      </c>
      <c r="Q1418" s="791" t="s">
        <v>773</v>
      </c>
      <c r="R1418" s="30"/>
    </row>
    <row r="1419" spans="2:18">
      <c r="B1419" s="5" t="s">
        <v>11607</v>
      </c>
      <c r="C1419" s="1038">
        <v>91</v>
      </c>
      <c r="D1419" s="7">
        <f>Page2!M56</f>
        <v>6755</v>
      </c>
      <c r="E1419" s="7">
        <f>Page2!O56</f>
        <v>27020</v>
      </c>
      <c r="F1419" t="str">
        <f t="shared" si="75"/>
        <v>00-00-91VAR-EXPNS-CURR</v>
      </c>
      <c r="G1419" t="s">
        <v>127</v>
      </c>
      <c r="H1419" t="s">
        <v>10287</v>
      </c>
      <c r="I1419" t="s">
        <v>10253</v>
      </c>
      <c r="J1419" t="s">
        <v>10268</v>
      </c>
      <c r="K1419" s="1073" t="s">
        <v>10241</v>
      </c>
      <c r="L1419" s="789" t="s">
        <v>10241</v>
      </c>
      <c r="M1419" s="790" t="s">
        <v>11608</v>
      </c>
      <c r="O1419" s="790" t="s">
        <v>11153</v>
      </c>
      <c r="P1419" s="790" t="s">
        <v>10244</v>
      </c>
      <c r="Q1419" s="791" t="s">
        <v>773</v>
      </c>
      <c r="R1419" s="30"/>
    </row>
    <row r="1420" spans="2:18">
      <c r="B1420" s="5" t="s">
        <v>11609</v>
      </c>
      <c r="C1420" s="1055">
        <v>92</v>
      </c>
      <c r="D1420" s="7">
        <f>Page2!M57</f>
        <v>0</v>
      </c>
      <c r="E1420" s="7">
        <f>Page2!O57</f>
        <v>0</v>
      </c>
      <c r="F1420" t="str">
        <f t="shared" si="75"/>
        <v>00-00-92VAR-EXPNS-CURR</v>
      </c>
      <c r="G1420" t="s">
        <v>127</v>
      </c>
      <c r="H1420" t="s">
        <v>10287</v>
      </c>
      <c r="I1420" t="s">
        <v>10253</v>
      </c>
      <c r="J1420" t="s">
        <v>10268</v>
      </c>
      <c r="K1420" s="1073" t="s">
        <v>10241</v>
      </c>
      <c r="L1420" s="789" t="s">
        <v>10241</v>
      </c>
      <c r="M1420" s="790" t="s">
        <v>11610</v>
      </c>
      <c r="O1420" s="790" t="s">
        <v>11153</v>
      </c>
      <c r="P1420" s="790" t="s">
        <v>10244</v>
      </c>
      <c r="Q1420" s="791" t="s">
        <v>773</v>
      </c>
      <c r="R1420" s="30"/>
    </row>
    <row r="1421" spans="2:18">
      <c r="B1421" s="40" t="s">
        <v>11611</v>
      </c>
      <c r="C1421" s="1042"/>
      <c r="D1421" s="7">
        <f>Page2!M58</f>
        <v>49028</v>
      </c>
      <c r="E1421" s="7">
        <f>Page2!O58</f>
        <v>204747</v>
      </c>
      <c r="F1421" t="str">
        <f t="shared" si="75"/>
        <v>00-00-FIXEDVAR-EXPNS-CURR</v>
      </c>
      <c r="G1421" t="s">
        <v>127</v>
      </c>
      <c r="H1421" t="s">
        <v>10287</v>
      </c>
      <c r="I1421" t="s">
        <v>10253</v>
      </c>
      <c r="J1421" t="s">
        <v>10268</v>
      </c>
      <c r="K1421" s="1073" t="s">
        <v>10241</v>
      </c>
      <c r="L1421" s="789" t="s">
        <v>10241</v>
      </c>
      <c r="M1421" s="790" t="s">
        <v>11612</v>
      </c>
      <c r="O1421" s="790" t="s">
        <v>11153</v>
      </c>
      <c r="P1421" s="790" t="s">
        <v>10244</v>
      </c>
      <c r="Q1421" s="791" t="s">
        <v>773</v>
      </c>
    </row>
    <row r="1422" spans="2:18">
      <c r="B1422" s="40" t="s">
        <v>11613</v>
      </c>
      <c r="C1422" s="1042"/>
      <c r="D1422" s="7">
        <f>Page2!M59</f>
        <v>250858</v>
      </c>
      <c r="E1422" s="7">
        <f>Page2!O59</f>
        <v>965866</v>
      </c>
      <c r="F1422" t="str">
        <f t="shared" si="75"/>
        <v>00-00-FIXOVVAR-EXPNS-CURR</v>
      </c>
      <c r="G1422" t="s">
        <v>127</v>
      </c>
      <c r="H1422" t="s">
        <v>10287</v>
      </c>
      <c r="I1422" t="s">
        <v>10253</v>
      </c>
      <c r="J1422" t="s">
        <v>10268</v>
      </c>
      <c r="K1422" s="1073" t="s">
        <v>10241</v>
      </c>
      <c r="L1422" s="789" t="s">
        <v>10241</v>
      </c>
      <c r="M1422" s="790" t="s">
        <v>11614</v>
      </c>
      <c r="O1422" s="790" t="s">
        <v>11153</v>
      </c>
      <c r="P1422" s="790" t="s">
        <v>10244</v>
      </c>
      <c r="Q1422" s="791" t="s">
        <v>773</v>
      </c>
    </row>
    <row r="1423" spans="2:18">
      <c r="B1423" s="40" t="s">
        <v>11615</v>
      </c>
      <c r="C1423" s="1042"/>
      <c r="D1423" s="7">
        <f>Page2!M60</f>
        <v>294808</v>
      </c>
      <c r="E1423" s="7">
        <f>Page2!O60</f>
        <v>1140689</v>
      </c>
      <c r="F1423" t="str">
        <f t="shared" si="75"/>
        <v>00-00-TOTEXVAR-EXPNS-CURR</v>
      </c>
      <c r="G1423" t="s">
        <v>127</v>
      </c>
      <c r="H1423" t="s">
        <v>10287</v>
      </c>
      <c r="I1423" t="s">
        <v>10253</v>
      </c>
      <c r="J1423" t="s">
        <v>10268</v>
      </c>
      <c r="K1423" s="1073" t="s">
        <v>10241</v>
      </c>
      <c r="L1423" s="789" t="s">
        <v>10241</v>
      </c>
      <c r="M1423" s="790" t="s">
        <v>11616</v>
      </c>
      <c r="O1423" s="790" t="s">
        <v>11153</v>
      </c>
      <c r="P1423" s="790" t="s">
        <v>10244</v>
      </c>
      <c r="Q1423" s="791" t="s">
        <v>773</v>
      </c>
    </row>
    <row r="1424" spans="2:18">
      <c r="B1424" s="40" t="s">
        <v>11617</v>
      </c>
      <c r="C1424" s="1042"/>
      <c r="D1424" s="7">
        <f>Page2!M61</f>
        <v>100647</v>
      </c>
      <c r="E1424" s="7">
        <f>Page2!O61</f>
        <v>288357</v>
      </c>
      <c r="F1424" t="str">
        <f t="shared" si="75"/>
        <v>00-00-OPRPLVAR-AMT-CURR</v>
      </c>
      <c r="G1424" t="s">
        <v>127</v>
      </c>
      <c r="H1424" t="s">
        <v>10287</v>
      </c>
      <c r="I1424" t="s">
        <v>10253</v>
      </c>
      <c r="J1424" t="s">
        <v>10268</v>
      </c>
      <c r="K1424" s="1073" t="s">
        <v>10241</v>
      </c>
      <c r="L1424" s="789" t="s">
        <v>10241</v>
      </c>
      <c r="M1424" s="790" t="s">
        <v>11618</v>
      </c>
      <c r="O1424" s="790" t="s">
        <v>10263</v>
      </c>
      <c r="P1424" s="790" t="s">
        <v>10244</v>
      </c>
      <c r="Q1424" s="791" t="s">
        <v>773</v>
      </c>
    </row>
    <row r="1425" spans="2:18">
      <c r="B1425" s="40" t="s">
        <v>11619</v>
      </c>
      <c r="C1425" s="1042"/>
      <c r="D1425" s="7">
        <f>Page2!Q4</f>
        <v>431987</v>
      </c>
      <c r="E1425" s="7">
        <f>Page2!S4</f>
        <v>1593797</v>
      </c>
      <c r="F1425" t="str">
        <f t="shared" si="75"/>
        <v>00-00-TOTALFIX-SALES-CURR</v>
      </c>
      <c r="G1425" t="s">
        <v>127</v>
      </c>
      <c r="H1425" t="s">
        <v>10287</v>
      </c>
      <c r="I1425" t="s">
        <v>10253</v>
      </c>
      <c r="J1425" t="s">
        <v>10268</v>
      </c>
      <c r="K1425" s="1073" t="s">
        <v>10241</v>
      </c>
      <c r="L1425" s="789" t="s">
        <v>10241</v>
      </c>
      <c r="M1425" s="790" t="s">
        <v>11620</v>
      </c>
      <c r="O1425" s="790" t="s">
        <v>9883</v>
      </c>
      <c r="P1425" s="790" t="s">
        <v>10244</v>
      </c>
      <c r="Q1425" s="791" t="s">
        <v>773</v>
      </c>
    </row>
    <row r="1426" spans="2:18">
      <c r="B1426" s="40" t="s">
        <v>11621</v>
      </c>
      <c r="C1426" s="1042"/>
      <c r="D1426" s="7">
        <f>Page2!Q5</f>
        <v>181884</v>
      </c>
      <c r="E1426" s="7">
        <f>Page2!S5</f>
        <v>659085</v>
      </c>
      <c r="F1426" t="str">
        <f t="shared" si="75"/>
        <v>00-00-TOTALFIX-GRSPFT-CURR</v>
      </c>
      <c r="G1426" t="s">
        <v>127</v>
      </c>
      <c r="H1426" t="s">
        <v>10287</v>
      </c>
      <c r="I1426" t="s">
        <v>10253</v>
      </c>
      <c r="J1426" t="s">
        <v>10268</v>
      </c>
      <c r="K1426" s="1073" t="s">
        <v>10241</v>
      </c>
      <c r="L1426" s="789" t="s">
        <v>10241</v>
      </c>
      <c r="M1426" s="790" t="s">
        <v>11620</v>
      </c>
      <c r="O1426" s="790" t="s">
        <v>10467</v>
      </c>
      <c r="P1426" s="790" t="s">
        <v>10244</v>
      </c>
      <c r="Q1426" s="791" t="s">
        <v>773</v>
      </c>
    </row>
    <row r="1427" spans="2:18">
      <c r="B1427" s="5" t="s">
        <v>11622</v>
      </c>
      <c r="C1427" s="1038">
        <v>20</v>
      </c>
      <c r="D1427" s="7">
        <f>Page2!Q11</f>
        <v>16956</v>
      </c>
      <c r="E1427" s="7">
        <f>Page2!S11</f>
        <v>66843</v>
      </c>
      <c r="F1427" t="str">
        <f t="shared" si="75"/>
        <v>00-00-20FIX-EXPNS-CURR</v>
      </c>
      <c r="G1427" t="s">
        <v>127</v>
      </c>
      <c r="H1427" t="s">
        <v>10287</v>
      </c>
      <c r="I1427" t="s">
        <v>10253</v>
      </c>
      <c r="J1427" t="s">
        <v>10268</v>
      </c>
      <c r="K1427" s="1073" t="s">
        <v>10241</v>
      </c>
      <c r="L1427" s="789" t="s">
        <v>10241</v>
      </c>
      <c r="M1427" s="790" t="s">
        <v>11623</v>
      </c>
      <c r="O1427" s="790" t="s">
        <v>11153</v>
      </c>
      <c r="P1427" s="790" t="s">
        <v>10244</v>
      </c>
      <c r="Q1427" s="791" t="s">
        <v>773</v>
      </c>
      <c r="R1427" s="30"/>
    </row>
    <row r="1428" spans="2:18">
      <c r="B1428" s="5" t="s">
        <v>11624</v>
      </c>
      <c r="C1428" s="1038">
        <v>21</v>
      </c>
      <c r="D1428" s="7">
        <f>Page2!Q12</f>
        <v>14163</v>
      </c>
      <c r="E1428" s="7">
        <f>Page2!S12</f>
        <v>54542</v>
      </c>
      <c r="F1428" t="str">
        <f t="shared" si="75"/>
        <v>00-00-21FIX-EXPNS-CURR</v>
      </c>
      <c r="G1428" t="s">
        <v>127</v>
      </c>
      <c r="H1428" t="s">
        <v>10287</v>
      </c>
      <c r="I1428" t="s">
        <v>10253</v>
      </c>
      <c r="J1428" t="s">
        <v>10268</v>
      </c>
      <c r="K1428" s="1073" t="s">
        <v>10241</v>
      </c>
      <c r="L1428" s="789" t="s">
        <v>10241</v>
      </c>
      <c r="M1428" s="790" t="s">
        <v>11625</v>
      </c>
      <c r="O1428" s="790" t="s">
        <v>11153</v>
      </c>
      <c r="P1428" s="790" t="s">
        <v>10244</v>
      </c>
      <c r="Q1428" s="791" t="s">
        <v>773</v>
      </c>
      <c r="R1428" s="30"/>
    </row>
    <row r="1429" spans="2:18">
      <c r="B1429" s="40" t="s">
        <v>11626</v>
      </c>
      <c r="C1429" s="1038">
        <v>22</v>
      </c>
      <c r="D1429" s="7">
        <f>Page2!Q13</f>
        <v>17989</v>
      </c>
      <c r="E1429" s="7">
        <f>Page2!S13</f>
        <v>91900</v>
      </c>
      <c r="F1429" t="str">
        <f t="shared" si="75"/>
        <v>00-00-22FIX-EXPNS-CURR</v>
      </c>
      <c r="G1429" t="s">
        <v>127</v>
      </c>
      <c r="H1429" t="s">
        <v>10287</v>
      </c>
      <c r="I1429" t="s">
        <v>10253</v>
      </c>
      <c r="J1429" t="s">
        <v>10268</v>
      </c>
      <c r="K1429" s="1073" t="s">
        <v>10241</v>
      </c>
      <c r="L1429" s="789" t="s">
        <v>10241</v>
      </c>
      <c r="M1429" s="790" t="s">
        <v>11627</v>
      </c>
      <c r="O1429" s="790" t="s">
        <v>11153</v>
      </c>
      <c r="P1429" s="790" t="s">
        <v>10244</v>
      </c>
      <c r="Q1429" s="791" t="s">
        <v>773</v>
      </c>
      <c r="R1429" s="30"/>
    </row>
    <row r="1430" spans="2:18">
      <c r="B1430" s="5" t="s">
        <v>11628</v>
      </c>
      <c r="C1430" s="1038">
        <v>23</v>
      </c>
      <c r="D1430" s="7">
        <f>Page2!Q14</f>
        <v>26107</v>
      </c>
      <c r="E1430" s="7">
        <f>Page2!S14</f>
        <v>96524</v>
      </c>
      <c r="F1430" t="str">
        <f t="shared" si="75"/>
        <v>00-00-23FIX-EXPNS-CURR</v>
      </c>
      <c r="G1430" t="s">
        <v>127</v>
      </c>
      <c r="H1430" t="s">
        <v>10287</v>
      </c>
      <c r="I1430" t="s">
        <v>10253</v>
      </c>
      <c r="J1430" t="s">
        <v>10268</v>
      </c>
      <c r="K1430" s="1073" t="s">
        <v>10241</v>
      </c>
      <c r="L1430" s="789" t="s">
        <v>10241</v>
      </c>
      <c r="M1430" s="790" t="s">
        <v>11629</v>
      </c>
      <c r="O1430" s="790" t="s">
        <v>11153</v>
      </c>
      <c r="P1430" s="790" t="s">
        <v>10244</v>
      </c>
      <c r="Q1430" s="791" t="s">
        <v>773</v>
      </c>
      <c r="R1430" s="30"/>
    </row>
    <row r="1431" spans="2:18">
      <c r="B1431" s="5" t="s">
        <v>11630</v>
      </c>
      <c r="C1431" s="1038">
        <v>24</v>
      </c>
      <c r="D1431" s="7">
        <f>Page2!Q15</f>
        <v>13133</v>
      </c>
      <c r="E1431" s="7">
        <f>Page2!S15</f>
        <v>46960</v>
      </c>
      <c r="F1431" t="str">
        <f t="shared" si="75"/>
        <v>00-00-24FIX-EXPNS-CURR</v>
      </c>
      <c r="G1431" t="s">
        <v>127</v>
      </c>
      <c r="H1431" t="s">
        <v>10287</v>
      </c>
      <c r="I1431" t="s">
        <v>10253</v>
      </c>
      <c r="J1431" t="s">
        <v>10268</v>
      </c>
      <c r="K1431" s="1073" t="s">
        <v>10241</v>
      </c>
      <c r="L1431" s="789" t="s">
        <v>10241</v>
      </c>
      <c r="M1431" s="790" t="s">
        <v>11631</v>
      </c>
      <c r="O1431" s="790" t="s">
        <v>11153</v>
      </c>
      <c r="P1431" s="790" t="s">
        <v>10244</v>
      </c>
      <c r="Q1431" s="791" t="s">
        <v>773</v>
      </c>
      <c r="R1431" s="30"/>
    </row>
    <row r="1432" spans="2:18">
      <c r="B1432" s="5" t="s">
        <v>11632</v>
      </c>
      <c r="C1432" s="1038">
        <v>26</v>
      </c>
      <c r="D1432" s="7">
        <f>Page2!Q16</f>
        <v>0</v>
      </c>
      <c r="E1432" s="7">
        <f>Page2!S16</f>
        <v>0</v>
      </c>
      <c r="F1432" t="str">
        <f t="shared" si="75"/>
        <v>00-00-26FIX-EXPNS-CURR</v>
      </c>
      <c r="G1432" t="s">
        <v>127</v>
      </c>
      <c r="H1432" t="s">
        <v>10287</v>
      </c>
      <c r="I1432" t="s">
        <v>10253</v>
      </c>
      <c r="K1432" s="1073" t="s">
        <v>10241</v>
      </c>
      <c r="L1432" s="789" t="s">
        <v>10241</v>
      </c>
      <c r="M1432" s="790" t="s">
        <v>11633</v>
      </c>
      <c r="O1432" s="790" t="s">
        <v>11153</v>
      </c>
      <c r="P1432" s="790" t="s">
        <v>10244</v>
      </c>
      <c r="Q1432" s="791" t="s">
        <v>773</v>
      </c>
      <c r="R1432" s="30"/>
    </row>
    <row r="1433" spans="2:18">
      <c r="B1433" s="5" t="s">
        <v>11634</v>
      </c>
      <c r="C1433" s="1038">
        <v>25</v>
      </c>
      <c r="D1433" s="7">
        <f>Page2!Q17</f>
        <v>5290</v>
      </c>
      <c r="E1433" s="7">
        <f>Page2!S17</f>
        <v>22445</v>
      </c>
      <c r="F1433" t="str">
        <f t="shared" si="75"/>
        <v>00-00-25FIX-EXPNS-CURR</v>
      </c>
      <c r="G1433" t="s">
        <v>127</v>
      </c>
      <c r="H1433" t="s">
        <v>10287</v>
      </c>
      <c r="I1433" t="s">
        <v>10253</v>
      </c>
      <c r="J1433" t="s">
        <v>10268</v>
      </c>
      <c r="K1433" s="1073" t="s">
        <v>10241</v>
      </c>
      <c r="L1433" s="789" t="s">
        <v>10241</v>
      </c>
      <c r="M1433" s="790" t="s">
        <v>11635</v>
      </c>
      <c r="O1433" s="790" t="s">
        <v>11153</v>
      </c>
      <c r="P1433" s="790" t="s">
        <v>10244</v>
      </c>
      <c r="Q1433" s="791" t="s">
        <v>773</v>
      </c>
      <c r="R1433" s="30"/>
    </row>
    <row r="1434" spans="2:18">
      <c r="B1434" s="5" t="s">
        <v>11636</v>
      </c>
      <c r="C1434" s="1038">
        <v>27</v>
      </c>
      <c r="D1434" s="7">
        <f>Page2!Q18</f>
        <v>16875</v>
      </c>
      <c r="E1434" s="7">
        <f>Page2!S18</f>
        <v>57176</v>
      </c>
      <c r="F1434" t="str">
        <f t="shared" si="75"/>
        <v>00-00-27FIX-EXPNS-CURR</v>
      </c>
      <c r="G1434" t="s">
        <v>127</v>
      </c>
      <c r="H1434" t="s">
        <v>10287</v>
      </c>
      <c r="I1434" t="s">
        <v>10253</v>
      </c>
      <c r="J1434" t="s">
        <v>10268</v>
      </c>
      <c r="K1434" s="1073" t="s">
        <v>10241</v>
      </c>
      <c r="L1434" s="789" t="s">
        <v>10241</v>
      </c>
      <c r="M1434" s="790" t="s">
        <v>11637</v>
      </c>
      <c r="O1434" s="790" t="s">
        <v>11153</v>
      </c>
      <c r="P1434" s="790" t="s">
        <v>10244</v>
      </c>
      <c r="Q1434" s="791" t="s">
        <v>773</v>
      </c>
      <c r="R1434" s="30"/>
    </row>
    <row r="1435" spans="2:18">
      <c r="B1435" s="5" t="s">
        <v>11638</v>
      </c>
      <c r="C1435" s="1038">
        <v>29</v>
      </c>
      <c r="D1435" s="7">
        <f>Page2!Q19</f>
        <v>0</v>
      </c>
      <c r="E1435" s="7">
        <f>Page2!S19</f>
        <v>0</v>
      </c>
      <c r="F1435" t="str">
        <f t="shared" si="75"/>
        <v>00-00-29FIX-EXPNS-CURR</v>
      </c>
      <c r="G1435" t="s">
        <v>127</v>
      </c>
      <c r="H1435" t="s">
        <v>10287</v>
      </c>
      <c r="I1435" t="s">
        <v>10253</v>
      </c>
      <c r="J1435" t="s">
        <v>10268</v>
      </c>
      <c r="K1435" s="1073" t="s">
        <v>10241</v>
      </c>
      <c r="L1435" s="789" t="s">
        <v>10241</v>
      </c>
      <c r="M1435" s="790" t="s">
        <v>11639</v>
      </c>
      <c r="O1435" s="790" t="s">
        <v>11153</v>
      </c>
      <c r="P1435" s="790" t="s">
        <v>10244</v>
      </c>
      <c r="Q1435" s="791" t="s">
        <v>773</v>
      </c>
      <c r="R1435" s="30"/>
    </row>
    <row r="1436" spans="2:18">
      <c r="B1436" s="27" t="s">
        <v>11640</v>
      </c>
      <c r="C1436" s="1042"/>
      <c r="D1436" s="7">
        <f>Page2!Q20</f>
        <v>110513</v>
      </c>
      <c r="E1436" s="7">
        <f>Page2!S20</f>
        <v>436390</v>
      </c>
      <c r="F1436" t="str">
        <f t="shared" si="75"/>
        <v>00-00-PERSFIX-EXPNS-CURR</v>
      </c>
      <c r="G1436" t="s">
        <v>127</v>
      </c>
      <c r="H1436" t="s">
        <v>10287</v>
      </c>
      <c r="I1436" t="s">
        <v>10253</v>
      </c>
      <c r="J1436" t="s">
        <v>10268</v>
      </c>
      <c r="K1436" s="1073" t="s">
        <v>10241</v>
      </c>
      <c r="L1436" s="789" t="s">
        <v>10241</v>
      </c>
      <c r="M1436" s="790" t="s">
        <v>11641</v>
      </c>
      <c r="O1436" s="790" t="s">
        <v>11153</v>
      </c>
      <c r="P1436" s="790" t="s">
        <v>10244</v>
      </c>
      <c r="Q1436" s="791" t="s">
        <v>773</v>
      </c>
    </row>
    <row r="1437" spans="2:18">
      <c r="B1437" s="5" t="s">
        <v>11642</v>
      </c>
      <c r="C1437" s="1038">
        <v>51</v>
      </c>
      <c r="D1437" s="7">
        <f>Page2!Q21</f>
        <v>15064</v>
      </c>
      <c r="E1437" s="7">
        <f>Page2!S21</f>
        <v>9509</v>
      </c>
      <c r="F1437" t="str">
        <f t="shared" si="75"/>
        <v>00-00-51FIX-EXPNS-CURR</v>
      </c>
      <c r="G1437" t="s">
        <v>127</v>
      </c>
      <c r="H1437" t="s">
        <v>10287</v>
      </c>
      <c r="J1437" t="s">
        <v>10268</v>
      </c>
      <c r="K1437" s="1073" t="s">
        <v>10241</v>
      </c>
      <c r="L1437" s="789" t="s">
        <v>10241</v>
      </c>
      <c r="M1437" s="790" t="s">
        <v>11643</v>
      </c>
      <c r="O1437" s="790" t="s">
        <v>11153</v>
      </c>
      <c r="P1437" s="790" t="s">
        <v>10244</v>
      </c>
      <c r="Q1437" s="791" t="s">
        <v>773</v>
      </c>
      <c r="R1437" s="30"/>
    </row>
    <row r="1438" spans="2:18">
      <c r="B1438" s="5" t="s">
        <v>11644</v>
      </c>
      <c r="C1438" s="1038">
        <v>60</v>
      </c>
      <c r="D1438" s="7">
        <f>Page2!Q22</f>
        <v>950</v>
      </c>
      <c r="E1438" s="7">
        <f>Page2!S22</f>
        <v>5637</v>
      </c>
      <c r="F1438" t="str">
        <f t="shared" si="75"/>
        <v>00-00-60FIX-EXPNS-CURR</v>
      </c>
      <c r="G1438" t="s">
        <v>127</v>
      </c>
      <c r="H1438" t="s">
        <v>10287</v>
      </c>
      <c r="I1438" t="s">
        <v>10253</v>
      </c>
      <c r="J1438" t="s">
        <v>10268</v>
      </c>
      <c r="K1438" s="1073" t="s">
        <v>10241</v>
      </c>
      <c r="L1438" s="789" t="s">
        <v>10241</v>
      </c>
      <c r="M1438" s="790" t="s">
        <v>11645</v>
      </c>
      <c r="O1438" s="790" t="s">
        <v>11153</v>
      </c>
      <c r="P1438" s="790" t="s">
        <v>10244</v>
      </c>
      <c r="Q1438" s="791" t="s">
        <v>773</v>
      </c>
      <c r="R1438" s="30"/>
    </row>
    <row r="1439" spans="2:18">
      <c r="B1439" s="5" t="s">
        <v>11646</v>
      </c>
      <c r="C1439" s="1038">
        <v>61</v>
      </c>
      <c r="D1439" s="7">
        <f>Page2!Q23</f>
        <v>5014</v>
      </c>
      <c r="E1439" s="7">
        <f>Page2!S23</f>
        <v>19141</v>
      </c>
      <c r="F1439" t="str">
        <f t="shared" si="75"/>
        <v>00-00-61FIX-EXPNS-CURR</v>
      </c>
      <c r="G1439" t="s">
        <v>127</v>
      </c>
      <c r="H1439" t="s">
        <v>10287</v>
      </c>
      <c r="I1439" t="s">
        <v>10253</v>
      </c>
      <c r="J1439" t="s">
        <v>10268</v>
      </c>
      <c r="K1439" s="1073" t="s">
        <v>10241</v>
      </c>
      <c r="L1439" s="789" t="s">
        <v>10241</v>
      </c>
      <c r="M1439" s="790" t="s">
        <v>11647</v>
      </c>
      <c r="O1439" s="790" t="s">
        <v>11153</v>
      </c>
      <c r="P1439" s="790" t="s">
        <v>10244</v>
      </c>
      <c r="Q1439" s="791" t="s">
        <v>773</v>
      </c>
      <c r="R1439" s="30"/>
    </row>
    <row r="1440" spans="2:18">
      <c r="B1440" s="5" t="s">
        <v>11648</v>
      </c>
      <c r="C1440" s="1038">
        <v>63</v>
      </c>
      <c r="D1440" s="7">
        <f>Page2!Q24</f>
        <v>0</v>
      </c>
      <c r="E1440" s="7">
        <f>Page2!S24</f>
        <v>0</v>
      </c>
      <c r="F1440" t="str">
        <f t="shared" si="75"/>
        <v>00-00-63FIX-EXPNS-CURR</v>
      </c>
      <c r="G1440" t="s">
        <v>127</v>
      </c>
      <c r="H1440" t="s">
        <v>10287</v>
      </c>
      <c r="I1440" t="s">
        <v>10253</v>
      </c>
      <c r="K1440" s="1073" t="s">
        <v>10241</v>
      </c>
      <c r="L1440" s="789" t="s">
        <v>10241</v>
      </c>
      <c r="M1440" s="790" t="s">
        <v>11649</v>
      </c>
      <c r="O1440" s="790" t="s">
        <v>11153</v>
      </c>
      <c r="P1440" s="790" t="s">
        <v>10244</v>
      </c>
      <c r="Q1440" s="791" t="s">
        <v>773</v>
      </c>
      <c r="R1440" s="30"/>
    </row>
    <row r="1441" spans="2:18">
      <c r="B1441" s="5" t="s">
        <v>11650</v>
      </c>
      <c r="C1441" s="1038">
        <v>65</v>
      </c>
      <c r="D1441" s="7">
        <f>Page2!Q25</f>
        <v>1572</v>
      </c>
      <c r="E1441" s="7">
        <f>Page2!S25</f>
        <v>7057</v>
      </c>
      <c r="F1441" t="str">
        <f t="shared" si="75"/>
        <v>00-00-65FIX-EXPNS-CURR</v>
      </c>
      <c r="G1441" t="s">
        <v>127</v>
      </c>
      <c r="H1441" t="s">
        <v>10287</v>
      </c>
      <c r="I1441" t="s">
        <v>10253</v>
      </c>
      <c r="J1441" t="s">
        <v>10268</v>
      </c>
      <c r="K1441" s="1073" t="s">
        <v>10241</v>
      </c>
      <c r="L1441" s="789" t="s">
        <v>10241</v>
      </c>
      <c r="M1441" s="790" t="s">
        <v>11651</v>
      </c>
      <c r="O1441" s="790" t="s">
        <v>11153</v>
      </c>
      <c r="P1441" s="790" t="s">
        <v>10244</v>
      </c>
      <c r="Q1441" s="791" t="s">
        <v>773</v>
      </c>
      <c r="R1441" s="30"/>
    </row>
    <row r="1442" spans="2:18">
      <c r="B1442" s="5" t="s">
        <v>11652</v>
      </c>
      <c r="C1442" s="1038">
        <v>64</v>
      </c>
      <c r="D1442" s="7">
        <f>Page2!Q26</f>
        <v>0</v>
      </c>
      <c r="E1442" s="7">
        <f>Page2!S26</f>
        <v>0</v>
      </c>
      <c r="F1442" t="str">
        <f t="shared" si="75"/>
        <v>00-00-64FIX-EXPNS-CURR</v>
      </c>
      <c r="G1442" t="s">
        <v>127</v>
      </c>
      <c r="H1442" t="s">
        <v>10287</v>
      </c>
      <c r="I1442" t="s">
        <v>10253</v>
      </c>
      <c r="K1442" s="1073" t="s">
        <v>10241</v>
      </c>
      <c r="L1442" s="789" t="s">
        <v>10241</v>
      </c>
      <c r="M1442" s="790" t="s">
        <v>11653</v>
      </c>
      <c r="O1442" s="790" t="s">
        <v>11153</v>
      </c>
      <c r="P1442" s="790" t="s">
        <v>10244</v>
      </c>
      <c r="Q1442" s="791" t="s">
        <v>773</v>
      </c>
      <c r="R1442" s="30"/>
    </row>
    <row r="1443" spans="2:18">
      <c r="B1443" s="5" t="s">
        <v>11654</v>
      </c>
      <c r="C1443" s="1038">
        <v>66</v>
      </c>
      <c r="D1443" s="7">
        <f>Page2!Q27</f>
        <v>250</v>
      </c>
      <c r="E1443" s="7">
        <f>Page2!S27</f>
        <v>250</v>
      </c>
      <c r="F1443" t="str">
        <f t="shared" si="75"/>
        <v>00-00-66FIX-EXPNS-CURR</v>
      </c>
      <c r="G1443" t="s">
        <v>127</v>
      </c>
      <c r="H1443" t="s">
        <v>10287</v>
      </c>
      <c r="I1443" t="s">
        <v>10253</v>
      </c>
      <c r="J1443" t="s">
        <v>10268</v>
      </c>
      <c r="K1443" s="1073" t="s">
        <v>10241</v>
      </c>
      <c r="L1443" s="789" t="s">
        <v>10241</v>
      </c>
      <c r="M1443" s="790" t="s">
        <v>11655</v>
      </c>
      <c r="O1443" s="790" t="s">
        <v>11153</v>
      </c>
      <c r="P1443" s="790" t="s">
        <v>10244</v>
      </c>
      <c r="Q1443" s="791" t="s">
        <v>773</v>
      </c>
      <c r="R1443" s="30"/>
    </row>
    <row r="1444" spans="2:18">
      <c r="B1444" s="5" t="s">
        <v>11656</v>
      </c>
      <c r="C1444" s="1038">
        <v>67</v>
      </c>
      <c r="D1444" s="7">
        <f>Page2!Q28</f>
        <v>444</v>
      </c>
      <c r="E1444" s="7">
        <f>Page2!S28</f>
        <v>9574</v>
      </c>
      <c r="F1444" t="str">
        <f t="shared" si="75"/>
        <v>00-00-67FIX-EXPNS-CURR</v>
      </c>
      <c r="G1444" t="s">
        <v>127</v>
      </c>
      <c r="H1444" t="s">
        <v>10287</v>
      </c>
      <c r="I1444" t="s">
        <v>10253</v>
      </c>
      <c r="J1444" t="s">
        <v>10268</v>
      </c>
      <c r="K1444" s="1073" t="s">
        <v>10241</v>
      </c>
      <c r="L1444" s="789" t="s">
        <v>10241</v>
      </c>
      <c r="M1444" s="790" t="s">
        <v>11657</v>
      </c>
      <c r="O1444" s="790" t="s">
        <v>11153</v>
      </c>
      <c r="P1444" s="790" t="s">
        <v>10244</v>
      </c>
      <c r="Q1444" s="791" t="s">
        <v>773</v>
      </c>
      <c r="R1444" s="30"/>
    </row>
    <row r="1445" spans="2:18">
      <c r="B1445" s="5" t="s">
        <v>11658</v>
      </c>
      <c r="C1445" s="1038">
        <v>68</v>
      </c>
      <c r="D1445" s="7">
        <f>Page2!Q29</f>
        <v>11291</v>
      </c>
      <c r="E1445" s="7">
        <f>Page2!S29</f>
        <v>41479</v>
      </c>
      <c r="F1445" t="str">
        <f t="shared" si="75"/>
        <v>00-00-68FIX-EXPNS-CURR</v>
      </c>
      <c r="G1445" t="s">
        <v>127</v>
      </c>
      <c r="H1445" t="s">
        <v>10287</v>
      </c>
      <c r="I1445" t="s">
        <v>10253</v>
      </c>
      <c r="J1445" t="s">
        <v>10268</v>
      </c>
      <c r="K1445" s="1073" t="s">
        <v>10241</v>
      </c>
      <c r="L1445" s="789" t="s">
        <v>10241</v>
      </c>
      <c r="M1445" s="790" t="s">
        <v>11659</v>
      </c>
      <c r="O1445" s="790" t="s">
        <v>11153</v>
      </c>
      <c r="P1445" s="790" t="s">
        <v>10244</v>
      </c>
      <c r="Q1445" s="791" t="s">
        <v>773</v>
      </c>
      <c r="R1445" s="30"/>
    </row>
    <row r="1446" spans="2:18">
      <c r="B1446" s="5" t="s">
        <v>11660</v>
      </c>
      <c r="C1446" s="1038">
        <v>69</v>
      </c>
      <c r="D1446" s="7">
        <f>Page2!Q30</f>
        <v>5224</v>
      </c>
      <c r="E1446" s="7">
        <f>Page2!S30</f>
        <v>17201</v>
      </c>
      <c r="F1446" t="str">
        <f t="shared" si="75"/>
        <v>00-00-69FIX-EXPNS-CURR</v>
      </c>
      <c r="G1446" t="s">
        <v>127</v>
      </c>
      <c r="H1446" t="s">
        <v>10287</v>
      </c>
      <c r="I1446" t="s">
        <v>10253</v>
      </c>
      <c r="J1446" t="s">
        <v>10268</v>
      </c>
      <c r="K1446" s="1073" t="s">
        <v>10241</v>
      </c>
      <c r="L1446" s="789" t="s">
        <v>10241</v>
      </c>
      <c r="M1446" s="790" t="s">
        <v>11661</v>
      </c>
      <c r="O1446" s="790" t="s">
        <v>11153</v>
      </c>
      <c r="P1446" s="790" t="s">
        <v>10244</v>
      </c>
      <c r="Q1446" s="791" t="s">
        <v>773</v>
      </c>
      <c r="R1446" s="30"/>
    </row>
    <row r="1447" spans="2:18">
      <c r="B1447" s="5" t="s">
        <v>11662</v>
      </c>
      <c r="C1447" s="1038">
        <v>70</v>
      </c>
      <c r="D1447" s="7">
        <f>Page2!Q31</f>
        <v>1401</v>
      </c>
      <c r="E1447" s="7">
        <f>Page2!S31</f>
        <v>3591</v>
      </c>
      <c r="F1447" t="str">
        <f t="shared" si="75"/>
        <v>00-00-70FIX-EXPNS-CURR</v>
      </c>
      <c r="G1447" t="s">
        <v>127</v>
      </c>
      <c r="H1447" t="s">
        <v>10287</v>
      </c>
      <c r="I1447" t="s">
        <v>10253</v>
      </c>
      <c r="J1447" t="s">
        <v>10268</v>
      </c>
      <c r="K1447" s="1073" t="s">
        <v>10241</v>
      </c>
      <c r="L1447" s="789" t="s">
        <v>10241</v>
      </c>
      <c r="M1447" s="790" t="s">
        <v>11663</v>
      </c>
      <c r="O1447" s="790" t="s">
        <v>11153</v>
      </c>
      <c r="P1447" s="790" t="s">
        <v>10244</v>
      </c>
      <c r="Q1447" s="791" t="s">
        <v>773</v>
      </c>
      <c r="R1447" s="30"/>
    </row>
    <row r="1448" spans="2:18">
      <c r="B1448" s="5" t="s">
        <v>11664</v>
      </c>
      <c r="C1448" s="1038">
        <v>71</v>
      </c>
      <c r="D1448" s="7">
        <f>Page2!Q32</f>
        <v>75</v>
      </c>
      <c r="E1448" s="7">
        <f>Page2!S32</f>
        <v>136</v>
      </c>
      <c r="F1448" t="str">
        <f t="shared" si="75"/>
        <v>00-00-71FIX-EXPNS-CURR</v>
      </c>
      <c r="G1448" t="s">
        <v>127</v>
      </c>
      <c r="H1448" t="s">
        <v>10287</v>
      </c>
      <c r="I1448" t="s">
        <v>10253</v>
      </c>
      <c r="J1448" t="s">
        <v>10268</v>
      </c>
      <c r="K1448" s="1073" t="s">
        <v>10241</v>
      </c>
      <c r="L1448" s="789" t="s">
        <v>10241</v>
      </c>
      <c r="M1448" s="790" t="s">
        <v>11665</v>
      </c>
      <c r="O1448" s="790" t="s">
        <v>11153</v>
      </c>
      <c r="P1448" s="790" t="s">
        <v>10244</v>
      </c>
      <c r="Q1448" s="791" t="s">
        <v>773</v>
      </c>
      <c r="R1448" s="30"/>
    </row>
    <row r="1449" spans="2:18">
      <c r="B1449" s="5" t="s">
        <v>11666</v>
      </c>
      <c r="C1449" s="1038">
        <v>72</v>
      </c>
      <c r="D1449" s="7">
        <f>Page2!Q33</f>
        <v>1000</v>
      </c>
      <c r="E1449" s="7">
        <f>Page2!S33</f>
        <v>1500</v>
      </c>
      <c r="F1449" t="str">
        <f t="shared" si="75"/>
        <v>00-00-72FIX-EXPNS-CURR</v>
      </c>
      <c r="G1449" t="s">
        <v>127</v>
      </c>
      <c r="H1449" t="s">
        <v>10287</v>
      </c>
      <c r="I1449" t="s">
        <v>10253</v>
      </c>
      <c r="J1449" t="s">
        <v>10268</v>
      </c>
      <c r="K1449" s="1073" t="s">
        <v>10241</v>
      </c>
      <c r="L1449" s="789" t="s">
        <v>10241</v>
      </c>
      <c r="M1449" s="790" t="s">
        <v>11667</v>
      </c>
      <c r="O1449" s="790" t="s">
        <v>11153</v>
      </c>
      <c r="P1449" s="790" t="s">
        <v>10244</v>
      </c>
      <c r="Q1449" s="791" t="s">
        <v>773</v>
      </c>
      <c r="R1449" s="30"/>
    </row>
    <row r="1450" spans="2:18">
      <c r="B1450" s="40" t="s">
        <v>11668</v>
      </c>
      <c r="C1450" s="1038">
        <v>74</v>
      </c>
      <c r="D1450" s="7">
        <f>Page2!Q34</f>
        <v>551</v>
      </c>
      <c r="E1450" s="7">
        <f>Page2!S34</f>
        <v>1730</v>
      </c>
      <c r="F1450" t="str">
        <f t="shared" si="75"/>
        <v>00-00-74FIX-EXPNS-CURR</v>
      </c>
      <c r="G1450" t="s">
        <v>127</v>
      </c>
      <c r="H1450" t="s">
        <v>10287</v>
      </c>
      <c r="I1450" t="s">
        <v>10253</v>
      </c>
      <c r="J1450" t="s">
        <v>10268</v>
      </c>
      <c r="K1450" s="1073" t="s">
        <v>10241</v>
      </c>
      <c r="L1450" s="789" t="s">
        <v>10241</v>
      </c>
      <c r="M1450" s="790" t="s">
        <v>11669</v>
      </c>
      <c r="O1450" s="790" t="s">
        <v>11153</v>
      </c>
      <c r="P1450" s="790" t="s">
        <v>10244</v>
      </c>
      <c r="Q1450" s="791" t="s">
        <v>773</v>
      </c>
      <c r="R1450" s="30"/>
    </row>
    <row r="1451" spans="2:18">
      <c r="B1451" s="5" t="s">
        <v>11670</v>
      </c>
      <c r="C1451" s="1038">
        <v>75</v>
      </c>
      <c r="D1451" s="7">
        <f>Page2!Q35</f>
        <v>7292</v>
      </c>
      <c r="E1451" s="7">
        <f>Page2!S35</f>
        <v>18432</v>
      </c>
      <c r="F1451" t="str">
        <f t="shared" si="75"/>
        <v>00-00-75FIX-EXPNS-CURR</v>
      </c>
      <c r="G1451" t="s">
        <v>127</v>
      </c>
      <c r="H1451" t="s">
        <v>10287</v>
      </c>
      <c r="I1451" t="s">
        <v>10253</v>
      </c>
      <c r="J1451" t="s">
        <v>10268</v>
      </c>
      <c r="K1451" s="1073" t="s">
        <v>10241</v>
      </c>
      <c r="L1451" s="789" t="s">
        <v>10241</v>
      </c>
      <c r="M1451" s="790" t="s">
        <v>11671</v>
      </c>
      <c r="O1451" s="790" t="s">
        <v>11153</v>
      </c>
      <c r="P1451" s="790" t="s">
        <v>10244</v>
      </c>
      <c r="Q1451" s="791" t="s">
        <v>773</v>
      </c>
      <c r="R1451" s="30"/>
    </row>
    <row r="1452" spans="2:18">
      <c r="B1452" s="5" t="s">
        <v>11672</v>
      </c>
      <c r="C1452" s="1038">
        <v>79</v>
      </c>
      <c r="D1452" s="7">
        <f>Page2!Q38</f>
        <v>1889</v>
      </c>
      <c r="E1452" s="7">
        <f>Page2!S38</f>
        <v>6449</v>
      </c>
      <c r="F1452" t="str">
        <f t="shared" si="75"/>
        <v>00-00-79FIX-EXPNS-CURR</v>
      </c>
      <c r="G1452" t="s">
        <v>127</v>
      </c>
      <c r="H1452" t="s">
        <v>10287</v>
      </c>
      <c r="I1452" t="s">
        <v>10253</v>
      </c>
      <c r="J1452" t="s">
        <v>10268</v>
      </c>
      <c r="K1452" s="1073" t="s">
        <v>10241</v>
      </c>
      <c r="L1452" s="789" t="s">
        <v>10241</v>
      </c>
      <c r="M1452" s="790" t="s">
        <v>11673</v>
      </c>
      <c r="O1452" s="790" t="s">
        <v>11153</v>
      </c>
      <c r="P1452" s="790" t="s">
        <v>10244</v>
      </c>
      <c r="Q1452" s="791" t="s">
        <v>773</v>
      </c>
      <c r="R1452" s="30"/>
    </row>
    <row r="1453" spans="2:18">
      <c r="B1453" s="5" t="s">
        <v>11674</v>
      </c>
      <c r="C1453" s="1038">
        <v>57</v>
      </c>
      <c r="D1453" s="7">
        <f>Page2!Q40</f>
        <v>0</v>
      </c>
      <c r="E1453" s="7">
        <f>Page2!S40</f>
        <v>0</v>
      </c>
      <c r="F1453" t="str">
        <f t="shared" si="75"/>
        <v>00-00-57FIX-EXPNS-CURR</v>
      </c>
      <c r="G1453" t="s">
        <v>127</v>
      </c>
      <c r="H1453" t="s">
        <v>10287</v>
      </c>
      <c r="I1453" t="s">
        <v>10253</v>
      </c>
      <c r="K1453" s="1073" t="s">
        <v>10241</v>
      </c>
      <c r="L1453" s="789" t="s">
        <v>10241</v>
      </c>
      <c r="M1453" s="790" t="s">
        <v>11675</v>
      </c>
      <c r="O1453" s="790" t="s">
        <v>11153</v>
      </c>
      <c r="P1453" s="790" t="s">
        <v>10244</v>
      </c>
      <c r="Q1453" s="791" t="s">
        <v>773</v>
      </c>
      <c r="R1453" s="30"/>
    </row>
    <row r="1454" spans="2:18">
      <c r="B1454" s="5" t="s">
        <v>11676</v>
      </c>
      <c r="C1454" s="1038">
        <v>33</v>
      </c>
      <c r="D1454" s="7">
        <f>Page2!Q41</f>
        <v>781</v>
      </c>
      <c r="E1454" s="7">
        <f>Page2!S41</f>
        <v>1156</v>
      </c>
      <c r="F1454" t="str">
        <f t="shared" si="75"/>
        <v>00-00-33FIX-EXPNS-CURR</v>
      </c>
      <c r="G1454" t="s">
        <v>127</v>
      </c>
      <c r="H1454" t="s">
        <v>10287</v>
      </c>
      <c r="I1454" t="s">
        <v>10253</v>
      </c>
      <c r="J1454" t="s">
        <v>10268</v>
      </c>
      <c r="K1454" s="1073" t="s">
        <v>10241</v>
      </c>
      <c r="L1454" s="789" t="s">
        <v>10241</v>
      </c>
      <c r="M1454" s="790" t="s">
        <v>11677</v>
      </c>
      <c r="O1454" s="790" t="s">
        <v>11153</v>
      </c>
      <c r="P1454" s="790" t="s">
        <v>10244</v>
      </c>
      <c r="Q1454" s="791" t="s">
        <v>773</v>
      </c>
      <c r="R1454" s="30"/>
    </row>
    <row r="1455" spans="2:18">
      <c r="B1455" s="5" t="s">
        <v>11678</v>
      </c>
      <c r="C1455" s="1038">
        <v>77</v>
      </c>
      <c r="D1455" s="7">
        <f>Page2!Q42</f>
        <v>-4708</v>
      </c>
      <c r="E1455" s="7">
        <f>Page2!S42</f>
        <v>-3700</v>
      </c>
      <c r="F1455" t="str">
        <f t="shared" si="75"/>
        <v>00-00-77FIX-EXPNS-CURR</v>
      </c>
      <c r="G1455" t="s">
        <v>127</v>
      </c>
      <c r="H1455" t="s">
        <v>10287</v>
      </c>
      <c r="I1455" t="s">
        <v>10253</v>
      </c>
      <c r="J1455" t="s">
        <v>10268</v>
      </c>
      <c r="K1455" s="1073" t="s">
        <v>10241</v>
      </c>
      <c r="L1455" s="789" t="s">
        <v>10241</v>
      </c>
      <c r="M1455" s="790" t="s">
        <v>11679</v>
      </c>
      <c r="O1455" s="790" t="s">
        <v>11153</v>
      </c>
      <c r="P1455" s="790" t="s">
        <v>10244</v>
      </c>
      <c r="Q1455" s="791" t="s">
        <v>773</v>
      </c>
      <c r="R1455" s="30"/>
    </row>
    <row r="1456" spans="2:18">
      <c r="B1456" s="51" t="s">
        <v>11680</v>
      </c>
      <c r="C1456" s="1042"/>
      <c r="D1456" s="7">
        <f>Page2!Q43</f>
        <v>48090</v>
      </c>
      <c r="E1456" s="7">
        <f>Page2!S43</f>
        <v>139142</v>
      </c>
      <c r="F1456" t="str">
        <f t="shared" si="75"/>
        <v>00-00-SEMIFFIX-EXPNS-CURR</v>
      </c>
      <c r="G1456" t="s">
        <v>127</v>
      </c>
      <c r="H1456" t="s">
        <v>10287</v>
      </c>
      <c r="I1456" t="s">
        <v>10253</v>
      </c>
      <c r="J1456" t="s">
        <v>10268</v>
      </c>
      <c r="K1456" s="1073" t="s">
        <v>10241</v>
      </c>
      <c r="L1456" s="789" t="s">
        <v>10241</v>
      </c>
      <c r="M1456" s="790" t="s">
        <v>11681</v>
      </c>
      <c r="O1456" s="790" t="s">
        <v>11153</v>
      </c>
      <c r="P1456" s="790" t="s">
        <v>10244</v>
      </c>
      <c r="Q1456" s="791" t="s">
        <v>773</v>
      </c>
    </row>
    <row r="1457" spans="2:18">
      <c r="B1457" s="5" t="s">
        <v>11682</v>
      </c>
      <c r="C1457" s="1038">
        <v>80</v>
      </c>
      <c r="D1457" s="7">
        <f>Page2!Q44</f>
        <v>23700</v>
      </c>
      <c r="E1457" s="7">
        <f>Page2!S44</f>
        <v>92550</v>
      </c>
      <c r="F1457" t="str">
        <f t="shared" si="75"/>
        <v>00-00-80FIX-EXPNS-CURR</v>
      </c>
      <c r="G1457" t="s">
        <v>127</v>
      </c>
      <c r="H1457" t="s">
        <v>10287</v>
      </c>
      <c r="I1457" t="s">
        <v>10253</v>
      </c>
      <c r="J1457" t="s">
        <v>10268</v>
      </c>
      <c r="K1457" s="1073" t="s">
        <v>10241</v>
      </c>
      <c r="L1457" s="789" t="s">
        <v>10241</v>
      </c>
      <c r="M1457" s="790" t="s">
        <v>11683</v>
      </c>
      <c r="O1457" s="790" t="s">
        <v>11153</v>
      </c>
      <c r="P1457" s="790" t="s">
        <v>10244</v>
      </c>
      <c r="Q1457" s="791" t="s">
        <v>773</v>
      </c>
      <c r="R1457" s="30"/>
    </row>
    <row r="1458" spans="2:18">
      <c r="B1458" s="5" t="s">
        <v>11684</v>
      </c>
      <c r="C1458" s="1038">
        <v>81</v>
      </c>
      <c r="D1458" s="7">
        <f>Page2!Q45</f>
        <v>0</v>
      </c>
      <c r="E1458" s="7">
        <f>Page2!S45</f>
        <v>0</v>
      </c>
      <c r="F1458" t="str">
        <f t="shared" si="75"/>
        <v>00-00-81FIX-EXPNS-CURR</v>
      </c>
      <c r="G1458" t="s">
        <v>127</v>
      </c>
      <c r="H1458" t="s">
        <v>10287</v>
      </c>
      <c r="I1458" t="s">
        <v>10253</v>
      </c>
      <c r="J1458" t="s">
        <v>10268</v>
      </c>
      <c r="K1458" s="1073" t="s">
        <v>10241</v>
      </c>
      <c r="L1458" s="789" t="s">
        <v>10241</v>
      </c>
      <c r="M1458" s="790" t="s">
        <v>11685</v>
      </c>
      <c r="O1458" s="790" t="s">
        <v>11153</v>
      </c>
      <c r="P1458" s="790" t="s">
        <v>10244</v>
      </c>
      <c r="Q1458" s="791" t="s">
        <v>773</v>
      </c>
      <c r="R1458" s="30"/>
    </row>
    <row r="1459" spans="2:18">
      <c r="B1459" s="5" t="s">
        <v>11686</v>
      </c>
      <c r="C1459" s="1038">
        <v>82</v>
      </c>
      <c r="D1459" s="7">
        <f>Page2!Q46</f>
        <v>2105</v>
      </c>
      <c r="E1459" s="7">
        <f>Page2!S46</f>
        <v>19695</v>
      </c>
      <c r="F1459" t="str">
        <f t="shared" si="75"/>
        <v>00-00-82FIX-EXPNS-CURR</v>
      </c>
      <c r="G1459" t="s">
        <v>127</v>
      </c>
      <c r="H1459" t="s">
        <v>10287</v>
      </c>
      <c r="I1459" t="s">
        <v>10253</v>
      </c>
      <c r="J1459" t="s">
        <v>10268</v>
      </c>
      <c r="K1459" s="1073" t="s">
        <v>10241</v>
      </c>
      <c r="L1459" s="789" t="s">
        <v>10241</v>
      </c>
      <c r="M1459" s="790" t="s">
        <v>11687</v>
      </c>
      <c r="O1459" s="790" t="s">
        <v>11153</v>
      </c>
      <c r="P1459" s="790" t="s">
        <v>10244</v>
      </c>
      <c r="Q1459" s="791" t="s">
        <v>773</v>
      </c>
      <c r="R1459" s="30"/>
    </row>
    <row r="1460" spans="2:18">
      <c r="B1460" s="5" t="s">
        <v>11688</v>
      </c>
      <c r="C1460" s="1038">
        <v>83</v>
      </c>
      <c r="D1460" s="7">
        <f>Page2!Q47</f>
        <v>39</v>
      </c>
      <c r="E1460" s="7">
        <f>Page2!S47</f>
        <v>154</v>
      </c>
      <c r="F1460" t="str">
        <f t="shared" si="75"/>
        <v>00-00-83FIX-EXPNS-CURR</v>
      </c>
      <c r="G1460" t="s">
        <v>127</v>
      </c>
      <c r="H1460" t="s">
        <v>10287</v>
      </c>
      <c r="I1460" t="s">
        <v>10253</v>
      </c>
      <c r="J1460" t="s">
        <v>10268</v>
      </c>
      <c r="K1460" s="1073" t="s">
        <v>10241</v>
      </c>
      <c r="L1460" s="789" t="s">
        <v>10241</v>
      </c>
      <c r="M1460" s="790" t="s">
        <v>11689</v>
      </c>
      <c r="O1460" s="790" t="s">
        <v>11153</v>
      </c>
      <c r="P1460" s="790" t="s">
        <v>10244</v>
      </c>
      <c r="Q1460" s="791" t="s">
        <v>773</v>
      </c>
      <c r="R1460" s="30"/>
    </row>
    <row r="1461" spans="2:18">
      <c r="B1461" s="5" t="s">
        <v>11690</v>
      </c>
      <c r="C1461" s="1038">
        <v>84</v>
      </c>
      <c r="D1461" s="7">
        <f>Page2!Q48</f>
        <v>3000</v>
      </c>
      <c r="E1461" s="7">
        <f>Page2!S48</f>
        <v>12000</v>
      </c>
      <c r="F1461" t="str">
        <f t="shared" si="75"/>
        <v>00-00-84FIX-EXPNS-CURR</v>
      </c>
      <c r="G1461" t="s">
        <v>127</v>
      </c>
      <c r="H1461" t="s">
        <v>10287</v>
      </c>
      <c r="I1461" t="s">
        <v>10253</v>
      </c>
      <c r="J1461" t="s">
        <v>10268</v>
      </c>
      <c r="K1461" s="1073" t="s">
        <v>10241</v>
      </c>
      <c r="L1461" s="789" t="s">
        <v>10241</v>
      </c>
      <c r="M1461" s="790" t="s">
        <v>11691</v>
      </c>
      <c r="O1461" s="790" t="s">
        <v>11153</v>
      </c>
      <c r="P1461" s="790" t="s">
        <v>10244</v>
      </c>
      <c r="Q1461" s="791" t="s">
        <v>773</v>
      </c>
      <c r="R1461" s="30"/>
    </row>
    <row r="1462" spans="2:18">
      <c r="B1462" s="5" t="s">
        <v>11692</v>
      </c>
      <c r="C1462" s="1038">
        <v>85</v>
      </c>
      <c r="D1462" s="7">
        <f>Page2!Q49</f>
        <v>2040</v>
      </c>
      <c r="E1462" s="7">
        <f>Page2!S49</f>
        <v>8160</v>
      </c>
      <c r="F1462" t="str">
        <f t="shared" ref="F1462:F1525" si="76">TEXT(K1462,"00")&amp;"-"&amp;L1462&amp;IF(M1462="","","-"&amp;M1462)&amp;IF(N1462="","","-"&amp;N1462)&amp;IF(OR(O1462="",O1462=0),"","-"&amp;O1462)&amp;IF(P1462="","","-"&amp;P1462)</f>
        <v>00-00-85FIX-EXPNS-CURR</v>
      </c>
      <c r="G1462" t="s">
        <v>127</v>
      </c>
      <c r="H1462" t="s">
        <v>10287</v>
      </c>
      <c r="I1462" t="s">
        <v>10253</v>
      </c>
      <c r="J1462" t="s">
        <v>10268</v>
      </c>
      <c r="K1462" s="1073" t="s">
        <v>10241</v>
      </c>
      <c r="L1462" s="789" t="s">
        <v>10241</v>
      </c>
      <c r="M1462" s="790" t="s">
        <v>11693</v>
      </c>
      <c r="O1462" s="790" t="s">
        <v>11153</v>
      </c>
      <c r="P1462" s="790" t="s">
        <v>10244</v>
      </c>
      <c r="Q1462" s="791" t="s">
        <v>773</v>
      </c>
      <c r="R1462" s="30"/>
    </row>
    <row r="1463" spans="2:18">
      <c r="B1463" s="5" t="s">
        <v>11694</v>
      </c>
      <c r="C1463" s="1038">
        <v>86</v>
      </c>
      <c r="D1463" s="7">
        <f>Page2!Q50</f>
        <v>0</v>
      </c>
      <c r="E1463" s="7">
        <f>Page2!S50</f>
        <v>0</v>
      </c>
      <c r="F1463" t="str">
        <f t="shared" si="76"/>
        <v>00-00-86FIX-EXPNS-CURR</v>
      </c>
      <c r="G1463" t="s">
        <v>127</v>
      </c>
      <c r="H1463" t="s">
        <v>10287</v>
      </c>
      <c r="I1463" t="s">
        <v>10253</v>
      </c>
      <c r="J1463" t="s">
        <v>10268</v>
      </c>
      <c r="K1463" s="1073" t="s">
        <v>10241</v>
      </c>
      <c r="L1463" s="789" t="s">
        <v>10241</v>
      </c>
      <c r="M1463" s="790" t="s">
        <v>11695</v>
      </c>
      <c r="O1463" s="790" t="s">
        <v>11153</v>
      </c>
      <c r="P1463" s="790" t="s">
        <v>10244</v>
      </c>
      <c r="Q1463" s="791" t="s">
        <v>773</v>
      </c>
      <c r="R1463" s="30"/>
    </row>
    <row r="1464" spans="2:18">
      <c r="B1464" s="5" t="s">
        <v>11696</v>
      </c>
      <c r="C1464" s="1038">
        <v>87</v>
      </c>
      <c r="D1464" s="7">
        <f>Page2!Q51</f>
        <v>4991</v>
      </c>
      <c r="E1464" s="7">
        <f>Page2!S51</f>
        <v>19709</v>
      </c>
      <c r="F1464" t="str">
        <f>TEXT(K1464,"00")&amp;"-"&amp;L1464&amp;IF(M1464="","","-"&amp;M1464)&amp;IF(N1464="","","-"&amp;N1464)&amp;IF(OR(O1464="",O1464=0),"","-"&amp;O1464)&amp;IF(P1464="","","-"&amp;P1464)</f>
        <v>00-00-87FIX-EXPNS-CURR</v>
      </c>
      <c r="G1464" t="s">
        <v>127</v>
      </c>
      <c r="H1464" t="s">
        <v>10287</v>
      </c>
      <c r="I1464" t="s">
        <v>10253</v>
      </c>
      <c r="J1464" t="s">
        <v>10268</v>
      </c>
      <c r="K1464" s="1073" t="s">
        <v>10241</v>
      </c>
      <c r="L1464" s="789" t="s">
        <v>10241</v>
      </c>
      <c r="M1464" s="790" t="s">
        <v>11697</v>
      </c>
      <c r="O1464" s="790" t="s">
        <v>11153</v>
      </c>
      <c r="P1464" s="790" t="s">
        <v>10244</v>
      </c>
      <c r="Q1464" s="791" t="s">
        <v>773</v>
      </c>
      <c r="R1464" s="30"/>
    </row>
    <row r="1465" spans="2:18">
      <c r="B1465" s="27" t="s">
        <v>11698</v>
      </c>
      <c r="C1465" s="1042"/>
      <c r="D1465" s="7">
        <f>Page2!Q52</f>
        <v>35875</v>
      </c>
      <c r="E1465" s="7">
        <f>Page2!S52</f>
        <v>152268</v>
      </c>
      <c r="F1465" t="str">
        <f t="shared" si="76"/>
        <v>00-00-RENTFIX-EXPNS-CURR</v>
      </c>
      <c r="G1465" t="s">
        <v>127</v>
      </c>
      <c r="H1465" t="s">
        <v>10287</v>
      </c>
      <c r="I1465" t="s">
        <v>10253</v>
      </c>
      <c r="J1465" t="s">
        <v>10268</v>
      </c>
      <c r="K1465" s="1073" t="s">
        <v>10241</v>
      </c>
      <c r="L1465" s="789" t="s">
        <v>10241</v>
      </c>
      <c r="M1465" s="790" t="s">
        <v>11699</v>
      </c>
      <c r="O1465" s="790" t="s">
        <v>11153</v>
      </c>
      <c r="P1465" s="790" t="s">
        <v>10244</v>
      </c>
      <c r="Q1465" s="791" t="s">
        <v>773</v>
      </c>
    </row>
    <row r="1466" spans="2:18">
      <c r="B1466" s="5" t="s">
        <v>11700</v>
      </c>
      <c r="C1466" s="1038">
        <v>88</v>
      </c>
      <c r="D1466" s="7">
        <f>Page2!Q53</f>
        <v>0</v>
      </c>
      <c r="E1466" s="7">
        <f>Page2!S53</f>
        <v>0</v>
      </c>
      <c r="F1466" t="str">
        <f t="shared" si="76"/>
        <v>00-00-88FIX-EXPNS-CURR</v>
      </c>
      <c r="G1466" t="s">
        <v>127</v>
      </c>
      <c r="H1466" t="s">
        <v>10287</v>
      </c>
      <c r="I1466" t="s">
        <v>10253</v>
      </c>
      <c r="J1466" t="s">
        <v>10268</v>
      </c>
      <c r="K1466" s="1073" t="s">
        <v>10241</v>
      </c>
      <c r="L1466" s="789" t="s">
        <v>10241</v>
      </c>
      <c r="M1466" s="790" t="s">
        <v>11701</v>
      </c>
      <c r="O1466" s="790" t="s">
        <v>11153</v>
      </c>
      <c r="P1466" s="790" t="s">
        <v>10244</v>
      </c>
      <c r="Q1466" s="791" t="s">
        <v>773</v>
      </c>
      <c r="R1466" s="30"/>
    </row>
    <row r="1467" spans="2:18">
      <c r="B1467" s="5" t="s">
        <v>11702</v>
      </c>
      <c r="C1467" s="1038">
        <v>89</v>
      </c>
      <c r="D1467" s="7">
        <f>Page2!Q54</f>
        <v>0</v>
      </c>
      <c r="E1467" s="7">
        <f>Page2!S54</f>
        <v>0</v>
      </c>
      <c r="F1467" t="str">
        <f t="shared" si="76"/>
        <v>00-00-89FIX-EXPNS-CURR</v>
      </c>
      <c r="G1467" t="s">
        <v>127</v>
      </c>
      <c r="H1467" t="s">
        <v>10287</v>
      </c>
      <c r="I1467" t="s">
        <v>10253</v>
      </c>
      <c r="J1467" t="s">
        <v>10268</v>
      </c>
      <c r="K1467" s="1073" t="s">
        <v>10241</v>
      </c>
      <c r="L1467" s="789" t="s">
        <v>10241</v>
      </c>
      <c r="M1467" s="790" t="s">
        <v>11703</v>
      </c>
      <c r="O1467" s="790" t="s">
        <v>11153</v>
      </c>
      <c r="P1467" s="790" t="s">
        <v>10244</v>
      </c>
      <c r="Q1467" s="791" t="s">
        <v>773</v>
      </c>
      <c r="R1467" s="30"/>
    </row>
    <row r="1468" spans="2:18">
      <c r="B1468" s="5" t="s">
        <v>11704</v>
      </c>
      <c r="C1468" s="1038">
        <v>90</v>
      </c>
      <c r="D1468" s="7">
        <f>Page2!Q55</f>
        <v>3808</v>
      </c>
      <c r="E1468" s="7">
        <f>Page2!S55</f>
        <v>5940</v>
      </c>
      <c r="F1468" t="str">
        <f t="shared" si="76"/>
        <v>00-00-90FIX-EXPNS-CURR</v>
      </c>
      <c r="G1468" t="s">
        <v>127</v>
      </c>
      <c r="H1468" t="s">
        <v>10287</v>
      </c>
      <c r="I1468" t="s">
        <v>10253</v>
      </c>
      <c r="J1468" t="s">
        <v>10268</v>
      </c>
      <c r="K1468" s="1073" t="s">
        <v>10241</v>
      </c>
      <c r="L1468" s="789" t="s">
        <v>10241</v>
      </c>
      <c r="M1468" s="790" t="s">
        <v>11705</v>
      </c>
      <c r="O1468" s="790" t="s">
        <v>11153</v>
      </c>
      <c r="P1468" s="790" t="s">
        <v>10244</v>
      </c>
      <c r="Q1468" s="791" t="s">
        <v>773</v>
      </c>
      <c r="R1468" s="30"/>
    </row>
    <row r="1469" spans="2:18">
      <c r="B1469" s="5" t="s">
        <v>11706</v>
      </c>
      <c r="C1469" s="1038">
        <v>91</v>
      </c>
      <c r="D1469" s="7">
        <f>Page2!Q56</f>
        <v>6755</v>
      </c>
      <c r="E1469" s="7">
        <f>Page2!S56</f>
        <v>27020</v>
      </c>
      <c r="F1469" t="str">
        <f t="shared" si="76"/>
        <v>00-00-91FIX-EXPNS-CURR</v>
      </c>
      <c r="G1469" t="s">
        <v>127</v>
      </c>
      <c r="H1469" t="s">
        <v>10287</v>
      </c>
      <c r="I1469" t="s">
        <v>10253</v>
      </c>
      <c r="J1469" t="s">
        <v>10268</v>
      </c>
      <c r="K1469" s="1073" t="s">
        <v>10241</v>
      </c>
      <c r="L1469" s="789" t="s">
        <v>10241</v>
      </c>
      <c r="M1469" s="790" t="s">
        <v>11707</v>
      </c>
      <c r="O1469" s="790" t="s">
        <v>11153</v>
      </c>
      <c r="P1469" s="790" t="s">
        <v>10244</v>
      </c>
      <c r="Q1469" s="791" t="s">
        <v>773</v>
      </c>
      <c r="R1469" s="30"/>
    </row>
    <row r="1470" spans="2:18">
      <c r="B1470" s="5" t="s">
        <v>11708</v>
      </c>
      <c r="C1470" s="1055">
        <v>92</v>
      </c>
      <c r="D1470" s="7">
        <f>Page2!Q57</f>
        <v>1070</v>
      </c>
      <c r="E1470" s="7">
        <f>Page2!S57</f>
        <v>1070</v>
      </c>
      <c r="F1470" t="str">
        <f t="shared" si="76"/>
        <v>00-00-92FIX-EXPNS-CURR</v>
      </c>
      <c r="G1470" t="s">
        <v>127</v>
      </c>
      <c r="H1470" t="s">
        <v>10287</v>
      </c>
      <c r="I1470" t="s">
        <v>10253</v>
      </c>
      <c r="J1470" t="s">
        <v>10268</v>
      </c>
      <c r="K1470" s="1073" t="s">
        <v>10241</v>
      </c>
      <c r="L1470" s="789" t="s">
        <v>10241</v>
      </c>
      <c r="M1470" s="790" t="s">
        <v>11709</v>
      </c>
      <c r="O1470" s="790" t="s">
        <v>11153</v>
      </c>
      <c r="P1470" s="790" t="s">
        <v>10244</v>
      </c>
      <c r="Q1470" s="791" t="s">
        <v>773</v>
      </c>
      <c r="R1470" s="30"/>
    </row>
    <row r="1471" spans="2:18">
      <c r="B1471" s="40" t="s">
        <v>11710</v>
      </c>
      <c r="C1471" s="1042"/>
      <c r="D1471" s="7">
        <f>Page2!Q58</f>
        <v>47508</v>
      </c>
      <c r="E1471" s="7">
        <f>Page2!S58</f>
        <v>186298</v>
      </c>
      <c r="F1471" t="str">
        <f t="shared" si="76"/>
        <v>00-00-FIXEDFIX-EXPNS-CURR</v>
      </c>
      <c r="G1471" t="s">
        <v>127</v>
      </c>
      <c r="H1471" t="s">
        <v>10287</v>
      </c>
      <c r="I1471" t="s">
        <v>10253</v>
      </c>
      <c r="J1471" t="s">
        <v>10268</v>
      </c>
      <c r="K1471" s="1073" t="s">
        <v>10241</v>
      </c>
      <c r="L1471" s="789" t="s">
        <v>10241</v>
      </c>
      <c r="M1471" s="790" t="s">
        <v>11711</v>
      </c>
      <c r="O1471" s="790" t="s">
        <v>11153</v>
      </c>
      <c r="P1471" s="790" t="s">
        <v>10244</v>
      </c>
      <c r="Q1471" s="791" t="s">
        <v>773</v>
      </c>
    </row>
    <row r="1472" spans="2:18">
      <c r="B1472" s="40" t="s">
        <v>11712</v>
      </c>
      <c r="C1472" s="1042"/>
      <c r="D1472" s="7">
        <f>Page2!Q59</f>
        <v>206111</v>
      </c>
      <c r="E1472" s="7">
        <f>Page2!S59</f>
        <v>761830</v>
      </c>
      <c r="F1472" t="str">
        <f t="shared" si="76"/>
        <v>00-00-FIXOVFIX-EXPNS-CURR</v>
      </c>
      <c r="G1472" t="s">
        <v>127</v>
      </c>
      <c r="H1472" t="s">
        <v>10287</v>
      </c>
      <c r="I1472" t="s">
        <v>10253</v>
      </c>
      <c r="J1472" t="s">
        <v>10268</v>
      </c>
      <c r="K1472" s="1073" t="s">
        <v>10241</v>
      </c>
      <c r="L1472" s="789" t="s">
        <v>10241</v>
      </c>
      <c r="M1472" s="790" t="s">
        <v>11713</v>
      </c>
      <c r="O1472" s="790" t="s">
        <v>11153</v>
      </c>
      <c r="P1472" s="790" t="s">
        <v>10244</v>
      </c>
      <c r="Q1472" s="791" t="s">
        <v>773</v>
      </c>
    </row>
    <row r="1473" spans="2:18">
      <c r="B1473" s="40" t="s">
        <v>11714</v>
      </c>
      <c r="C1473" s="1042"/>
      <c r="D1473" s="7">
        <f>Page2!Q60</f>
        <v>206111</v>
      </c>
      <c r="E1473" s="7">
        <f>Page2!S60</f>
        <v>761830</v>
      </c>
      <c r="F1473" t="str">
        <f t="shared" si="76"/>
        <v>00-00-TOTEXFIX-EXPNS-CURR</v>
      </c>
      <c r="G1473" t="s">
        <v>127</v>
      </c>
      <c r="H1473" t="s">
        <v>10287</v>
      </c>
      <c r="I1473" t="s">
        <v>10253</v>
      </c>
      <c r="J1473" t="s">
        <v>10268</v>
      </c>
      <c r="K1473" s="1073" t="s">
        <v>10241</v>
      </c>
      <c r="L1473" s="789" t="s">
        <v>10241</v>
      </c>
      <c r="M1473" s="790" t="s">
        <v>11715</v>
      </c>
      <c r="O1473" s="790" t="s">
        <v>11153</v>
      </c>
      <c r="P1473" s="790" t="s">
        <v>10244</v>
      </c>
      <c r="Q1473" s="791" t="s">
        <v>773</v>
      </c>
    </row>
    <row r="1474" spans="2:18">
      <c r="B1474" s="40" t="s">
        <v>11716</v>
      </c>
      <c r="C1474" s="1042"/>
      <c r="D1474" s="7">
        <f>Page2!Q61</f>
        <v>-24227</v>
      </c>
      <c r="E1474" s="7">
        <f>Page2!S61</f>
        <v>-102745</v>
      </c>
      <c r="F1474" t="str">
        <f t="shared" si="76"/>
        <v>00-00-OPRPLFIX-AMT-CURR</v>
      </c>
      <c r="G1474" t="s">
        <v>127</v>
      </c>
      <c r="H1474" t="s">
        <v>10287</v>
      </c>
      <c r="I1474" t="s">
        <v>10253</v>
      </c>
      <c r="J1474" t="s">
        <v>10268</v>
      </c>
      <c r="K1474" s="1073" t="s">
        <v>10241</v>
      </c>
      <c r="L1474" s="789" t="s">
        <v>10241</v>
      </c>
      <c r="M1474" s="790" t="s">
        <v>11717</v>
      </c>
      <c r="O1474" s="790" t="s">
        <v>10263</v>
      </c>
      <c r="P1474" s="790" t="s">
        <v>10244</v>
      </c>
      <c r="Q1474" s="791" t="s">
        <v>773</v>
      </c>
    </row>
    <row r="1475" spans="2:18">
      <c r="B1475" s="51" t="s">
        <v>11718</v>
      </c>
      <c r="C1475" s="1042"/>
      <c r="D1475" s="7">
        <f>Page3!D4</f>
        <v>4436604</v>
      </c>
      <c r="E1475" s="7">
        <f>Page3!F4</f>
        <v>16606302</v>
      </c>
      <c r="F1475" t="str">
        <f t="shared" si="76"/>
        <v>01-00-TOTALVEH-SALES-CURR</v>
      </c>
      <c r="G1475" t="s">
        <v>127</v>
      </c>
      <c r="H1475" t="s">
        <v>10287</v>
      </c>
      <c r="I1475" t="s">
        <v>10253</v>
      </c>
      <c r="J1475" t="s">
        <v>10268</v>
      </c>
      <c r="K1475" s="1073" t="s">
        <v>10288</v>
      </c>
      <c r="L1475" s="789" t="s">
        <v>10241</v>
      </c>
      <c r="M1475" s="790" t="s">
        <v>11124</v>
      </c>
      <c r="O1475" s="790" t="s">
        <v>9883</v>
      </c>
      <c r="P1475" s="790" t="s">
        <v>10244</v>
      </c>
      <c r="Q1475" s="791" t="s">
        <v>773</v>
      </c>
    </row>
    <row r="1476" spans="2:18">
      <c r="B1476" s="40" t="s">
        <v>11719</v>
      </c>
      <c r="C1476" s="1042"/>
      <c r="D1476" s="7">
        <f>Page3!D5</f>
        <v>161213</v>
      </c>
      <c r="E1476" s="7">
        <f>Page3!F5</f>
        <v>580016</v>
      </c>
      <c r="F1476" t="str">
        <f t="shared" si="76"/>
        <v>01-00-TOTALVEH-GRSPFT-CURR</v>
      </c>
      <c r="G1476" t="s">
        <v>127</v>
      </c>
      <c r="H1476" t="s">
        <v>10287</v>
      </c>
      <c r="I1476" t="s">
        <v>10253</v>
      </c>
      <c r="J1476" t="s">
        <v>10268</v>
      </c>
      <c r="K1476" s="1073" t="s">
        <v>10288</v>
      </c>
      <c r="L1476" s="789" t="s">
        <v>10241</v>
      </c>
      <c r="M1476" s="790" t="s">
        <v>11124</v>
      </c>
      <c r="O1476" s="790" t="s">
        <v>10467</v>
      </c>
      <c r="P1476" s="790" t="s">
        <v>10244</v>
      </c>
      <c r="Q1476" s="791" t="s">
        <v>773</v>
      </c>
    </row>
    <row r="1477" spans="2:18">
      <c r="B1477" s="40" t="s">
        <v>11720</v>
      </c>
      <c r="C1477" s="1038">
        <v>11</v>
      </c>
      <c r="D1477" s="7">
        <f>Page3!D7</f>
        <v>34342</v>
      </c>
      <c r="E1477" s="7">
        <f>Page3!F7</f>
        <v>125094</v>
      </c>
      <c r="F1477" t="str">
        <f t="shared" si="76"/>
        <v>01-00-11-EXPNS-CURR</v>
      </c>
      <c r="G1477" t="s">
        <v>127</v>
      </c>
      <c r="H1477" t="s">
        <v>10287</v>
      </c>
      <c r="I1477" t="s">
        <v>10253</v>
      </c>
      <c r="K1477" s="1073" t="s">
        <v>10288</v>
      </c>
      <c r="L1477" s="789" t="s">
        <v>10241</v>
      </c>
      <c r="M1477" s="790" t="s">
        <v>11393</v>
      </c>
      <c r="O1477" s="790" t="s">
        <v>11153</v>
      </c>
      <c r="P1477" s="790" t="s">
        <v>10244</v>
      </c>
      <c r="R1477" s="30"/>
    </row>
    <row r="1478" spans="2:18">
      <c r="B1478" s="5" t="s">
        <v>11721</v>
      </c>
      <c r="C1478" s="1038">
        <v>13</v>
      </c>
      <c r="D1478" s="7">
        <f>Page3!D8</f>
        <v>-11024</v>
      </c>
      <c r="E1478" s="7">
        <f>Page3!F8</f>
        <v>-40131</v>
      </c>
      <c r="F1478" t="str">
        <f t="shared" si="76"/>
        <v>01-00-13-EXPNS-CURR</v>
      </c>
      <c r="G1478" t="s">
        <v>127</v>
      </c>
      <c r="H1478" t="s">
        <v>10287</v>
      </c>
      <c r="I1478" t="s">
        <v>10253</v>
      </c>
      <c r="K1478" s="1073" t="s">
        <v>10288</v>
      </c>
      <c r="L1478" s="789" t="s">
        <v>10241</v>
      </c>
      <c r="M1478" s="790" t="s">
        <v>1607</v>
      </c>
      <c r="O1478" s="790" t="s">
        <v>11153</v>
      </c>
      <c r="P1478" s="790" t="s">
        <v>10244</v>
      </c>
      <c r="R1478" s="30"/>
    </row>
    <row r="1479" spans="2:18">
      <c r="B1479" s="5" t="s">
        <v>11722</v>
      </c>
      <c r="C1479" s="1038">
        <v>15</v>
      </c>
      <c r="D1479" s="7">
        <f>Page3!D9</f>
        <v>3303</v>
      </c>
      <c r="E1479" s="7">
        <f>Page3!F9</f>
        <v>19427</v>
      </c>
      <c r="F1479" t="str">
        <f t="shared" si="76"/>
        <v>01-00-15-EXPNS-CURR</v>
      </c>
      <c r="G1479" t="s">
        <v>127</v>
      </c>
      <c r="H1479" t="s">
        <v>10287</v>
      </c>
      <c r="I1479" t="s">
        <v>10253</v>
      </c>
      <c r="K1479" s="1073" t="s">
        <v>10288</v>
      </c>
      <c r="L1479" s="789" t="s">
        <v>10241</v>
      </c>
      <c r="M1479" s="790" t="s">
        <v>11396</v>
      </c>
      <c r="O1479" s="790" t="s">
        <v>11153</v>
      </c>
      <c r="P1479" s="790" t="s">
        <v>10244</v>
      </c>
      <c r="R1479" s="30"/>
    </row>
    <row r="1480" spans="2:18">
      <c r="B1480" s="51" t="s">
        <v>11723</v>
      </c>
      <c r="C1480" s="1042"/>
      <c r="D1480" s="7">
        <f>Page3!D10</f>
        <v>26621</v>
      </c>
      <c r="E1480" s="7">
        <f>Page3!F10</f>
        <v>104390</v>
      </c>
      <c r="F1480" t="str">
        <f t="shared" si="76"/>
        <v>01-00-VAREXPNS-EXPNS-CURR</v>
      </c>
      <c r="G1480" t="s">
        <v>127</v>
      </c>
      <c r="H1480" t="s">
        <v>10287</v>
      </c>
      <c r="I1480" t="s">
        <v>10253</v>
      </c>
      <c r="J1480" t="s">
        <v>10268</v>
      </c>
      <c r="K1480" s="1073" t="s">
        <v>10288</v>
      </c>
      <c r="L1480" s="789" t="s">
        <v>10241</v>
      </c>
      <c r="M1480" s="790" t="s">
        <v>11398</v>
      </c>
      <c r="O1480" s="790" t="s">
        <v>11153</v>
      </c>
      <c r="P1480" s="790" t="s">
        <v>10244</v>
      </c>
      <c r="Q1480" s="791" t="s">
        <v>773</v>
      </c>
    </row>
    <row r="1481" spans="2:18">
      <c r="B1481" s="5" t="s">
        <v>11724</v>
      </c>
      <c r="C1481" s="1038">
        <v>20</v>
      </c>
      <c r="D1481" s="7">
        <f>Page3!D11</f>
        <v>10154</v>
      </c>
      <c r="E1481" s="7">
        <f>Page3!F11</f>
        <v>40052</v>
      </c>
      <c r="F1481" t="str">
        <f t="shared" si="76"/>
        <v>01-00-20-EXPNS-CURR</v>
      </c>
      <c r="G1481" t="s">
        <v>127</v>
      </c>
      <c r="H1481" t="s">
        <v>10287</v>
      </c>
      <c r="I1481" t="s">
        <v>10253</v>
      </c>
      <c r="K1481" s="1073" t="s">
        <v>10288</v>
      </c>
      <c r="L1481" s="789" t="s">
        <v>10241</v>
      </c>
      <c r="M1481" s="790" t="s">
        <v>11400</v>
      </c>
      <c r="O1481" s="790" t="s">
        <v>11153</v>
      </c>
      <c r="P1481" s="790" t="s">
        <v>10244</v>
      </c>
      <c r="R1481" s="30"/>
    </row>
    <row r="1482" spans="2:18">
      <c r="B1482" s="5" t="s">
        <v>11725</v>
      </c>
      <c r="C1482" s="1038">
        <v>21</v>
      </c>
      <c r="D1482" s="7">
        <f>Page3!D12</f>
        <v>22658</v>
      </c>
      <c r="E1482" s="7">
        <f>Page3!F12</f>
        <v>64451</v>
      </c>
      <c r="F1482" t="str">
        <f t="shared" si="76"/>
        <v>01-00-21-EXPNS-CURR</v>
      </c>
      <c r="G1482" t="s">
        <v>127</v>
      </c>
      <c r="H1482" t="s">
        <v>10287</v>
      </c>
      <c r="I1482" t="s">
        <v>10253</v>
      </c>
      <c r="K1482" s="1073" t="s">
        <v>10288</v>
      </c>
      <c r="L1482" s="789" t="s">
        <v>10241</v>
      </c>
      <c r="M1482" s="790" t="s">
        <v>11402</v>
      </c>
      <c r="O1482" s="790" t="s">
        <v>11153</v>
      </c>
      <c r="P1482" s="790" t="s">
        <v>10244</v>
      </c>
      <c r="R1482" s="30"/>
    </row>
    <row r="1483" spans="2:18">
      <c r="B1483" s="40" t="s">
        <v>11726</v>
      </c>
      <c r="C1483" s="1038">
        <v>22</v>
      </c>
      <c r="D1483" s="7">
        <f>Page3!D13</f>
        <v>34496</v>
      </c>
      <c r="E1483" s="7">
        <f>Page3!F13</f>
        <v>117595</v>
      </c>
      <c r="F1483" t="str">
        <f t="shared" si="76"/>
        <v>01-00-22-EXPNS-CURR</v>
      </c>
      <c r="G1483" t="s">
        <v>127</v>
      </c>
      <c r="H1483" t="s">
        <v>10287</v>
      </c>
      <c r="I1483" t="s">
        <v>10253</v>
      </c>
      <c r="K1483" s="1073" t="s">
        <v>10288</v>
      </c>
      <c r="L1483" s="789" t="s">
        <v>10241</v>
      </c>
      <c r="M1483" s="790" t="s">
        <v>11404</v>
      </c>
      <c r="O1483" s="790" t="s">
        <v>11153</v>
      </c>
      <c r="P1483" s="790" t="s">
        <v>10244</v>
      </c>
      <c r="R1483" s="30"/>
    </row>
    <row r="1484" spans="2:18">
      <c r="B1484" s="5" t="s">
        <v>11727</v>
      </c>
      <c r="C1484" s="1038">
        <v>23</v>
      </c>
      <c r="D1484" s="7">
        <f>Page3!D14</f>
        <v>9783</v>
      </c>
      <c r="E1484" s="7">
        <f>Page3!F14</f>
        <v>19523</v>
      </c>
      <c r="F1484" t="str">
        <f t="shared" si="76"/>
        <v>01-00-23-EXPNS-CURR</v>
      </c>
      <c r="G1484" t="s">
        <v>127</v>
      </c>
      <c r="H1484" t="s">
        <v>10287</v>
      </c>
      <c r="I1484" t="s">
        <v>10253</v>
      </c>
      <c r="K1484" s="1073" t="s">
        <v>10288</v>
      </c>
      <c r="L1484" s="789" t="s">
        <v>10241</v>
      </c>
      <c r="M1484" s="790" t="s">
        <v>11406</v>
      </c>
      <c r="O1484" s="790" t="s">
        <v>11153</v>
      </c>
      <c r="P1484" s="790" t="s">
        <v>10244</v>
      </c>
      <c r="R1484" s="30"/>
    </row>
    <row r="1485" spans="2:18">
      <c r="B1485" s="5" t="s">
        <v>11728</v>
      </c>
      <c r="C1485" s="1038">
        <v>24</v>
      </c>
      <c r="D1485" s="7">
        <f>Page3!D15</f>
        <v>9842</v>
      </c>
      <c r="E1485" s="7">
        <f>Page3!F15</f>
        <v>30832</v>
      </c>
      <c r="F1485" t="str">
        <f t="shared" si="76"/>
        <v>01-00-24-EXPNS-CURR</v>
      </c>
      <c r="G1485" t="s">
        <v>127</v>
      </c>
      <c r="H1485" t="s">
        <v>10287</v>
      </c>
      <c r="I1485" t="s">
        <v>10253</v>
      </c>
      <c r="K1485" s="1073" t="s">
        <v>10288</v>
      </c>
      <c r="L1485" s="789" t="s">
        <v>10241</v>
      </c>
      <c r="M1485" s="790" t="s">
        <v>11408</v>
      </c>
      <c r="O1485" s="790" t="s">
        <v>11153</v>
      </c>
      <c r="P1485" s="790" t="s">
        <v>10244</v>
      </c>
      <c r="R1485" s="30"/>
    </row>
    <row r="1486" spans="2:18">
      <c r="B1486" s="5" t="s">
        <v>11729</v>
      </c>
      <c r="C1486" s="1038">
        <v>26</v>
      </c>
      <c r="D1486" s="7">
        <f>Page3!D16</f>
        <v>0</v>
      </c>
      <c r="E1486" s="7">
        <f>Page3!F16</f>
        <v>0</v>
      </c>
      <c r="F1486" t="str">
        <f t="shared" si="76"/>
        <v>01-00-26-EXPNS-CURR</v>
      </c>
      <c r="G1486" t="s">
        <v>127</v>
      </c>
      <c r="H1486" t="s">
        <v>10287</v>
      </c>
      <c r="I1486" t="s">
        <v>10253</v>
      </c>
      <c r="K1486" s="1073" t="s">
        <v>10288</v>
      </c>
      <c r="L1486" s="789" t="s">
        <v>10241</v>
      </c>
      <c r="M1486" s="790">
        <v>26</v>
      </c>
      <c r="O1486" s="790" t="s">
        <v>11153</v>
      </c>
      <c r="P1486" s="790" t="s">
        <v>10244</v>
      </c>
      <c r="R1486" s="30"/>
    </row>
    <row r="1487" spans="2:18">
      <c r="B1487" s="5" t="s">
        <v>11730</v>
      </c>
      <c r="C1487" s="1038">
        <v>25</v>
      </c>
      <c r="D1487" s="7">
        <f>Page3!D17</f>
        <v>3870</v>
      </c>
      <c r="E1487" s="7">
        <f>Page3!F17</f>
        <v>13285</v>
      </c>
      <c r="F1487" t="str">
        <f t="shared" si="76"/>
        <v>01-00-25-EXPNS-CURR</v>
      </c>
      <c r="G1487" t="s">
        <v>127</v>
      </c>
      <c r="H1487" t="s">
        <v>10287</v>
      </c>
      <c r="I1487" t="s">
        <v>10253</v>
      </c>
      <c r="K1487" s="1073" t="s">
        <v>10288</v>
      </c>
      <c r="L1487" s="789" t="s">
        <v>10241</v>
      </c>
      <c r="M1487" s="790" t="s">
        <v>11411</v>
      </c>
      <c r="O1487" s="790" t="s">
        <v>11153</v>
      </c>
      <c r="P1487" s="790" t="s">
        <v>10244</v>
      </c>
      <c r="R1487" s="30"/>
    </row>
    <row r="1488" spans="2:18">
      <c r="B1488" s="5" t="s">
        <v>11731</v>
      </c>
      <c r="C1488" s="1038">
        <v>27</v>
      </c>
      <c r="D1488" s="7">
        <f>Page3!D18</f>
        <v>9446</v>
      </c>
      <c r="E1488" s="7">
        <f>Page3!F18</f>
        <v>29885</v>
      </c>
      <c r="F1488" t="str">
        <f t="shared" si="76"/>
        <v>01-00-27-EXPNS-CURR</v>
      </c>
      <c r="G1488" t="s">
        <v>127</v>
      </c>
      <c r="H1488" t="s">
        <v>10287</v>
      </c>
      <c r="I1488" t="s">
        <v>10253</v>
      </c>
      <c r="K1488" s="1073" t="s">
        <v>10288</v>
      </c>
      <c r="L1488" s="789" t="s">
        <v>10241</v>
      </c>
      <c r="M1488" s="790" t="s">
        <v>11413</v>
      </c>
      <c r="O1488" s="790" t="s">
        <v>11153</v>
      </c>
      <c r="P1488" s="790" t="s">
        <v>10244</v>
      </c>
      <c r="R1488" s="30"/>
    </row>
    <row r="1489" spans="2:18">
      <c r="B1489" s="5" t="s">
        <v>11732</v>
      </c>
      <c r="C1489" s="1038">
        <v>29</v>
      </c>
      <c r="D1489" s="7">
        <f>Page3!D19</f>
        <v>0</v>
      </c>
      <c r="E1489" s="7">
        <f>Page3!F19</f>
        <v>0</v>
      </c>
      <c r="F1489" t="str">
        <f t="shared" si="76"/>
        <v>01-00-29-EXPNS-CURR</v>
      </c>
      <c r="G1489" t="s">
        <v>127</v>
      </c>
      <c r="H1489" t="s">
        <v>10287</v>
      </c>
      <c r="I1489" t="s">
        <v>10253</v>
      </c>
      <c r="K1489" s="1073" t="s">
        <v>10288</v>
      </c>
      <c r="L1489" s="789" t="s">
        <v>10241</v>
      </c>
      <c r="M1489" s="790" t="s">
        <v>11415</v>
      </c>
      <c r="O1489" s="790" t="s">
        <v>11153</v>
      </c>
      <c r="P1489" s="790" t="s">
        <v>10244</v>
      </c>
      <c r="R1489" s="30"/>
    </row>
    <row r="1490" spans="2:18">
      <c r="B1490" s="27" t="s">
        <v>11733</v>
      </c>
      <c r="C1490" s="1042"/>
      <c r="D1490" s="7">
        <f>Page3!D20</f>
        <v>100249</v>
      </c>
      <c r="E1490" s="7">
        <f>Page3!F20</f>
        <v>315623</v>
      </c>
      <c r="F1490" t="str">
        <f t="shared" si="76"/>
        <v>01-00-PERSONNL-EXPNS-CURR</v>
      </c>
      <c r="G1490" t="s">
        <v>127</v>
      </c>
      <c r="H1490" t="s">
        <v>10287</v>
      </c>
      <c r="I1490" t="s">
        <v>10253</v>
      </c>
      <c r="J1490" t="s">
        <v>10268</v>
      </c>
      <c r="K1490" s="1073" t="s">
        <v>10288</v>
      </c>
      <c r="L1490" s="789" t="s">
        <v>10241</v>
      </c>
      <c r="M1490" s="790" t="s">
        <v>10956</v>
      </c>
      <c r="O1490" s="790" t="s">
        <v>11153</v>
      </c>
      <c r="P1490" s="790" t="s">
        <v>10244</v>
      </c>
      <c r="Q1490" s="791" t="s">
        <v>773</v>
      </c>
    </row>
    <row r="1491" spans="2:18">
      <c r="B1491" s="5" t="s">
        <v>11734</v>
      </c>
      <c r="C1491" s="1038">
        <v>51</v>
      </c>
      <c r="D1491" s="7">
        <f>Page3!D21</f>
        <v>-3143</v>
      </c>
      <c r="E1491" s="7">
        <f>Page3!F21</f>
        <v>28552</v>
      </c>
      <c r="F1491" t="str">
        <f t="shared" si="76"/>
        <v>01-00-51-EXPNS-CURR</v>
      </c>
      <c r="G1491" t="s">
        <v>127</v>
      </c>
      <c r="H1491" t="s">
        <v>10287</v>
      </c>
      <c r="I1491" t="s">
        <v>10253</v>
      </c>
      <c r="K1491" s="1073" t="s">
        <v>10288</v>
      </c>
      <c r="L1491" s="789" t="s">
        <v>10241</v>
      </c>
      <c r="M1491" s="790" t="s">
        <v>11418</v>
      </c>
      <c r="O1491" s="790" t="s">
        <v>11153</v>
      </c>
      <c r="P1491" s="790" t="s">
        <v>10244</v>
      </c>
      <c r="R1491" s="30"/>
    </row>
    <row r="1492" spans="2:18">
      <c r="B1492" s="5" t="s">
        <v>11735</v>
      </c>
      <c r="C1492" s="1038">
        <v>60</v>
      </c>
      <c r="D1492" s="7">
        <f>Page3!D22</f>
        <v>849</v>
      </c>
      <c r="E1492" s="7">
        <f>Page3!F22</f>
        <v>3843</v>
      </c>
      <c r="F1492" t="str">
        <f t="shared" si="76"/>
        <v>01-00-60-EXPNS-CURR</v>
      </c>
      <c r="G1492" t="s">
        <v>127</v>
      </c>
      <c r="H1492" t="s">
        <v>10287</v>
      </c>
      <c r="I1492" t="s">
        <v>10253</v>
      </c>
      <c r="K1492" s="1073" t="s">
        <v>10288</v>
      </c>
      <c r="L1492" s="789" t="s">
        <v>10241</v>
      </c>
      <c r="M1492" s="790" t="s">
        <v>11420</v>
      </c>
      <c r="O1492" s="790" t="s">
        <v>11153</v>
      </c>
      <c r="P1492" s="790" t="s">
        <v>10244</v>
      </c>
      <c r="R1492" s="30"/>
    </row>
    <row r="1493" spans="2:18">
      <c r="B1493" s="5" t="s">
        <v>11736</v>
      </c>
      <c r="C1493" s="1038">
        <v>61</v>
      </c>
      <c r="D1493" s="7">
        <f>Page3!D23</f>
        <v>2785</v>
      </c>
      <c r="E1493" s="7">
        <f>Page3!F23</f>
        <v>8038</v>
      </c>
      <c r="F1493" t="str">
        <f t="shared" si="76"/>
        <v>01-00-61-EXPNS-CURR</v>
      </c>
      <c r="G1493" t="s">
        <v>127</v>
      </c>
      <c r="H1493" t="s">
        <v>10287</v>
      </c>
      <c r="I1493" t="s">
        <v>10253</v>
      </c>
      <c r="K1493" s="1073" t="s">
        <v>10288</v>
      </c>
      <c r="L1493" s="789" t="s">
        <v>10241</v>
      </c>
      <c r="M1493" s="790" t="s">
        <v>11422</v>
      </c>
      <c r="O1493" s="790" t="s">
        <v>11153</v>
      </c>
      <c r="P1493" s="790" t="s">
        <v>10244</v>
      </c>
      <c r="R1493" s="30"/>
    </row>
    <row r="1494" spans="2:18">
      <c r="B1494" s="5" t="s">
        <v>11737</v>
      </c>
      <c r="C1494" s="1038">
        <v>63</v>
      </c>
      <c r="D1494" s="7">
        <f>Page3!D24</f>
        <v>0</v>
      </c>
      <c r="E1494" s="7">
        <f>Page3!F24</f>
        <v>0</v>
      </c>
      <c r="F1494" t="str">
        <f t="shared" si="76"/>
        <v>01-00-63-EXPNS-CURR</v>
      </c>
      <c r="G1494" t="s">
        <v>127</v>
      </c>
      <c r="H1494" t="s">
        <v>10287</v>
      </c>
      <c r="I1494" t="s">
        <v>10253</v>
      </c>
      <c r="K1494" s="1073" t="s">
        <v>10288</v>
      </c>
      <c r="L1494" s="789" t="s">
        <v>10241</v>
      </c>
      <c r="M1494" s="790">
        <v>63</v>
      </c>
      <c r="O1494" s="790" t="s">
        <v>11153</v>
      </c>
      <c r="P1494" s="790" t="s">
        <v>10244</v>
      </c>
      <c r="R1494" s="30"/>
    </row>
    <row r="1495" spans="2:18">
      <c r="B1495" s="5" t="s">
        <v>11738</v>
      </c>
      <c r="C1495" s="1038">
        <v>65</v>
      </c>
      <c r="D1495" s="7">
        <f>Page3!D25</f>
        <v>5193</v>
      </c>
      <c r="E1495" s="7">
        <f>Page3!F25</f>
        <v>19675</v>
      </c>
      <c r="F1495" t="str">
        <f t="shared" si="76"/>
        <v>01-00-65-EXPNS-CURR</v>
      </c>
      <c r="G1495" t="s">
        <v>127</v>
      </c>
      <c r="H1495" t="s">
        <v>10287</v>
      </c>
      <c r="I1495" t="s">
        <v>10253</v>
      </c>
      <c r="K1495" s="1073" t="s">
        <v>10288</v>
      </c>
      <c r="L1495" s="789" t="s">
        <v>10241</v>
      </c>
      <c r="M1495" s="790" t="s">
        <v>11425</v>
      </c>
      <c r="O1495" s="790" t="s">
        <v>11153</v>
      </c>
      <c r="P1495" s="790" t="s">
        <v>10244</v>
      </c>
      <c r="R1495" s="30"/>
    </row>
    <row r="1496" spans="2:18">
      <c r="B1496" s="5" t="s">
        <v>11739</v>
      </c>
      <c r="C1496" s="1038">
        <v>64</v>
      </c>
      <c r="D1496" s="7">
        <f>Page3!D26</f>
        <v>0</v>
      </c>
      <c r="E1496" s="7">
        <f>Page3!F26</f>
        <v>-45212</v>
      </c>
      <c r="F1496" t="str">
        <f t="shared" si="76"/>
        <v>01-00-64-EXPNS-CURR</v>
      </c>
      <c r="G1496" t="s">
        <v>127</v>
      </c>
      <c r="H1496" t="s">
        <v>10287</v>
      </c>
      <c r="I1496" t="s">
        <v>10253</v>
      </c>
      <c r="K1496" s="1073" t="s">
        <v>10288</v>
      </c>
      <c r="L1496" s="789" t="s">
        <v>10241</v>
      </c>
      <c r="M1496" s="790">
        <v>64</v>
      </c>
      <c r="O1496" s="790" t="s">
        <v>11153</v>
      </c>
      <c r="P1496" s="790" t="s">
        <v>10244</v>
      </c>
      <c r="R1496" s="30"/>
    </row>
    <row r="1497" spans="2:18">
      <c r="B1497" s="5" t="s">
        <v>11740</v>
      </c>
      <c r="C1497" s="1038">
        <v>66</v>
      </c>
      <c r="D1497" s="7">
        <f>Page3!D27</f>
        <v>150</v>
      </c>
      <c r="E1497" s="7">
        <f>Page3!F27</f>
        <v>150</v>
      </c>
      <c r="F1497" t="str">
        <f t="shared" si="76"/>
        <v>01-00-66-EXPNS-CURR</v>
      </c>
      <c r="G1497" t="s">
        <v>127</v>
      </c>
      <c r="H1497" t="s">
        <v>10287</v>
      </c>
      <c r="I1497" t="s">
        <v>10253</v>
      </c>
      <c r="K1497" s="1073" t="s">
        <v>10288</v>
      </c>
      <c r="L1497" s="789" t="s">
        <v>10241</v>
      </c>
      <c r="M1497" s="790" t="s">
        <v>11428</v>
      </c>
      <c r="O1497" s="790" t="s">
        <v>11153</v>
      </c>
      <c r="P1497" s="790" t="s">
        <v>10244</v>
      </c>
      <c r="R1497" s="30"/>
    </row>
    <row r="1498" spans="2:18">
      <c r="B1498" s="5" t="s">
        <v>11741</v>
      </c>
      <c r="C1498" s="1038">
        <v>68</v>
      </c>
      <c r="D1498" s="7">
        <f>Page3!D29</f>
        <v>5711</v>
      </c>
      <c r="E1498" s="7">
        <f>Page3!F29</f>
        <v>19404</v>
      </c>
      <c r="F1498" t="str">
        <f t="shared" si="76"/>
        <v>01-00-68-EXPNS-CURR</v>
      </c>
      <c r="G1498" t="s">
        <v>127</v>
      </c>
      <c r="H1498" t="s">
        <v>10287</v>
      </c>
      <c r="I1498" t="s">
        <v>10253</v>
      </c>
      <c r="K1498" s="1073" t="s">
        <v>10288</v>
      </c>
      <c r="L1498" s="789" t="s">
        <v>10241</v>
      </c>
      <c r="M1498" s="790" t="s">
        <v>11432</v>
      </c>
      <c r="O1498" s="790" t="s">
        <v>11153</v>
      </c>
      <c r="P1498" s="790" t="s">
        <v>10244</v>
      </c>
      <c r="R1498" s="30"/>
    </row>
    <row r="1499" spans="2:18">
      <c r="B1499" s="5" t="s">
        <v>11742</v>
      </c>
      <c r="C1499" s="1038">
        <v>69</v>
      </c>
      <c r="D1499" s="7">
        <f>Page3!D30</f>
        <v>1676</v>
      </c>
      <c r="E1499" s="7">
        <f>Page3!F30</f>
        <v>4129</v>
      </c>
      <c r="F1499" t="str">
        <f t="shared" si="76"/>
        <v>01-00-69-EXPNS-CURR</v>
      </c>
      <c r="G1499" t="s">
        <v>127</v>
      </c>
      <c r="H1499" t="s">
        <v>10287</v>
      </c>
      <c r="I1499" t="s">
        <v>10253</v>
      </c>
      <c r="K1499" s="1073" t="s">
        <v>10288</v>
      </c>
      <c r="L1499" s="789" t="s">
        <v>10241</v>
      </c>
      <c r="M1499" s="790" t="s">
        <v>11434</v>
      </c>
      <c r="O1499" s="790" t="s">
        <v>11153</v>
      </c>
      <c r="P1499" s="790" t="s">
        <v>10244</v>
      </c>
      <c r="R1499" s="30"/>
    </row>
    <row r="1500" spans="2:18">
      <c r="B1500" s="5" t="s">
        <v>11743</v>
      </c>
      <c r="C1500" s="1038">
        <v>70</v>
      </c>
      <c r="D1500" s="7">
        <f>Page3!D31</f>
        <v>715</v>
      </c>
      <c r="E1500" s="7">
        <f>Page3!F31</f>
        <v>2578</v>
      </c>
      <c r="F1500" t="str">
        <f t="shared" si="76"/>
        <v>01-00-70-EXPNS-CURR</v>
      </c>
      <c r="G1500" t="s">
        <v>127</v>
      </c>
      <c r="H1500" t="s">
        <v>10287</v>
      </c>
      <c r="I1500" t="s">
        <v>10253</v>
      </c>
      <c r="K1500" s="1073" t="s">
        <v>10288</v>
      </c>
      <c r="L1500" s="789" t="s">
        <v>10241</v>
      </c>
      <c r="M1500" s="790" t="s">
        <v>11436</v>
      </c>
      <c r="O1500" s="790" t="s">
        <v>11153</v>
      </c>
      <c r="P1500" s="790" t="s">
        <v>10244</v>
      </c>
      <c r="R1500" s="30"/>
    </row>
    <row r="1501" spans="2:18">
      <c r="B1501" s="5" t="s">
        <v>11744</v>
      </c>
      <c r="C1501" s="1038">
        <v>71</v>
      </c>
      <c r="D1501" s="7">
        <f>Page3!D32</f>
        <v>45</v>
      </c>
      <c r="E1501" s="7">
        <f>Page3!F32</f>
        <v>417</v>
      </c>
      <c r="F1501" t="str">
        <f t="shared" si="76"/>
        <v>01-00-71-EXPNS-CURR</v>
      </c>
      <c r="G1501" t="s">
        <v>127</v>
      </c>
      <c r="H1501" t="s">
        <v>10287</v>
      </c>
      <c r="I1501" t="s">
        <v>10253</v>
      </c>
      <c r="K1501" s="1073" t="s">
        <v>10288</v>
      </c>
      <c r="L1501" s="789" t="s">
        <v>10241</v>
      </c>
      <c r="M1501" s="790" t="s">
        <v>11438</v>
      </c>
      <c r="O1501" s="790" t="s">
        <v>11153</v>
      </c>
      <c r="P1501" s="790" t="s">
        <v>10244</v>
      </c>
      <c r="R1501" s="30"/>
    </row>
    <row r="1502" spans="2:18">
      <c r="B1502" s="5" t="s">
        <v>11745</v>
      </c>
      <c r="C1502" s="1038">
        <v>72</v>
      </c>
      <c r="D1502" s="7">
        <f>Page3!D33</f>
        <v>600</v>
      </c>
      <c r="E1502" s="7">
        <f>Page3!F33</f>
        <v>900</v>
      </c>
      <c r="F1502" t="str">
        <f t="shared" si="76"/>
        <v>01-00-72-EXPNS-CURR</v>
      </c>
      <c r="G1502" t="s">
        <v>127</v>
      </c>
      <c r="H1502" t="s">
        <v>10287</v>
      </c>
      <c r="I1502" t="s">
        <v>10253</v>
      </c>
      <c r="K1502" s="1073" t="s">
        <v>10288</v>
      </c>
      <c r="L1502" s="789" t="s">
        <v>10241</v>
      </c>
      <c r="M1502" s="790" t="s">
        <v>11440</v>
      </c>
      <c r="O1502" s="790" t="s">
        <v>11153</v>
      </c>
      <c r="P1502" s="790" t="s">
        <v>10244</v>
      </c>
      <c r="R1502" s="30"/>
    </row>
    <row r="1503" spans="2:18">
      <c r="B1503" s="40" t="s">
        <v>11746</v>
      </c>
      <c r="C1503" s="1038">
        <v>74</v>
      </c>
      <c r="D1503" s="7">
        <f>Page3!D34</f>
        <v>284</v>
      </c>
      <c r="E1503" s="7">
        <f>Page3!F34</f>
        <v>754</v>
      </c>
      <c r="F1503" t="str">
        <f t="shared" si="76"/>
        <v>01-00-74-EXPNS-CURR</v>
      </c>
      <c r="G1503" t="s">
        <v>127</v>
      </c>
      <c r="H1503" t="s">
        <v>10287</v>
      </c>
      <c r="I1503" t="s">
        <v>10253</v>
      </c>
      <c r="K1503" s="1073" t="s">
        <v>10288</v>
      </c>
      <c r="L1503" s="789" t="s">
        <v>10241</v>
      </c>
      <c r="M1503" s="790" t="s">
        <v>11442</v>
      </c>
      <c r="O1503" s="790" t="s">
        <v>11153</v>
      </c>
      <c r="P1503" s="790" t="s">
        <v>10244</v>
      </c>
      <c r="R1503" s="30"/>
    </row>
    <row r="1504" spans="2:18">
      <c r="B1504" s="5" t="s">
        <v>11747</v>
      </c>
      <c r="C1504" s="1038">
        <v>75</v>
      </c>
      <c r="D1504" s="7">
        <f>Page3!D35</f>
        <v>675</v>
      </c>
      <c r="E1504" s="7">
        <f>Page3!F35</f>
        <v>2507</v>
      </c>
      <c r="F1504" t="str">
        <f t="shared" si="76"/>
        <v>01-00-75-EXPNS-CURR</v>
      </c>
      <c r="G1504" t="s">
        <v>127</v>
      </c>
      <c r="H1504" t="s">
        <v>10287</v>
      </c>
      <c r="I1504" t="s">
        <v>10253</v>
      </c>
      <c r="K1504" s="1073" t="s">
        <v>10288</v>
      </c>
      <c r="L1504" s="789" t="s">
        <v>10241</v>
      </c>
      <c r="M1504" s="790" t="s">
        <v>11444</v>
      </c>
      <c r="O1504" s="790" t="s">
        <v>11153</v>
      </c>
      <c r="P1504" s="790" t="s">
        <v>10244</v>
      </c>
      <c r="R1504" s="30"/>
    </row>
    <row r="1505" spans="2:18">
      <c r="B1505" s="5" t="s">
        <v>11748</v>
      </c>
      <c r="C1505" s="1038">
        <v>76</v>
      </c>
      <c r="D1505" s="7">
        <f>Page3!D36</f>
        <v>58899</v>
      </c>
      <c r="E1505" s="7">
        <f>Page3!F36</f>
        <v>236575</v>
      </c>
      <c r="F1505" t="str">
        <f t="shared" si="76"/>
        <v>01-00-76-EXPNS-CURR</v>
      </c>
      <c r="G1505" t="s">
        <v>127</v>
      </c>
      <c r="H1505" t="s">
        <v>10287</v>
      </c>
      <c r="I1505" t="s">
        <v>10253</v>
      </c>
      <c r="K1505" s="1073" t="s">
        <v>10288</v>
      </c>
      <c r="L1505" s="789" t="s">
        <v>10241</v>
      </c>
      <c r="M1505" s="790" t="s">
        <v>11446</v>
      </c>
      <c r="O1505" s="790" t="s">
        <v>11153</v>
      </c>
      <c r="P1505" s="790" t="s">
        <v>10244</v>
      </c>
      <c r="R1505" s="30"/>
    </row>
    <row r="1506" spans="2:18">
      <c r="B1506" s="5" t="s">
        <v>11749</v>
      </c>
      <c r="C1506" s="1038">
        <v>78</v>
      </c>
      <c r="D1506" s="7">
        <f>Page3!D37</f>
        <v>-86777</v>
      </c>
      <c r="E1506" s="7">
        <f>Page3!F37</f>
        <v>-280611</v>
      </c>
      <c r="F1506" t="str">
        <f t="shared" si="76"/>
        <v>01-00-78-EXPNS-CURR</v>
      </c>
      <c r="G1506" t="s">
        <v>127</v>
      </c>
      <c r="H1506" t="s">
        <v>10287</v>
      </c>
      <c r="I1506" t="s">
        <v>10253</v>
      </c>
      <c r="K1506" s="1073" t="s">
        <v>10288</v>
      </c>
      <c r="L1506" s="789" t="s">
        <v>10241</v>
      </c>
      <c r="M1506" s="790">
        <v>78</v>
      </c>
      <c r="O1506" s="790" t="s">
        <v>11153</v>
      </c>
      <c r="P1506" s="790" t="s">
        <v>10244</v>
      </c>
      <c r="R1506" s="30"/>
    </row>
    <row r="1507" spans="2:18">
      <c r="B1507" s="5" t="s">
        <v>11750</v>
      </c>
      <c r="C1507" s="1038">
        <v>79</v>
      </c>
      <c r="D1507" s="7">
        <f>Page3!D38</f>
        <v>1133</v>
      </c>
      <c r="E1507" s="7">
        <f>Page3!F38</f>
        <v>3869</v>
      </c>
      <c r="F1507" t="str">
        <f t="shared" si="76"/>
        <v>01-00-79-EXPNS-CURR</v>
      </c>
      <c r="G1507" t="s">
        <v>127</v>
      </c>
      <c r="H1507" t="s">
        <v>10287</v>
      </c>
      <c r="I1507" t="s">
        <v>10253</v>
      </c>
      <c r="K1507" s="1073" t="s">
        <v>10288</v>
      </c>
      <c r="L1507" s="789" t="s">
        <v>10241</v>
      </c>
      <c r="M1507" s="790">
        <v>79</v>
      </c>
      <c r="O1507" s="790" t="s">
        <v>11153</v>
      </c>
      <c r="P1507" s="790" t="s">
        <v>10244</v>
      </c>
      <c r="R1507" s="30"/>
    </row>
    <row r="1508" spans="2:18">
      <c r="B1508" s="5" t="s">
        <v>11751</v>
      </c>
      <c r="C1508" s="1038">
        <v>56</v>
      </c>
      <c r="D1508" s="7">
        <f>Page3!D39</f>
        <v>0</v>
      </c>
      <c r="E1508" s="7">
        <f>Page3!F39</f>
        <v>0</v>
      </c>
      <c r="F1508" t="str">
        <f t="shared" si="76"/>
        <v>01-00-56-EXPNS-CURR</v>
      </c>
      <c r="G1508" t="s">
        <v>127</v>
      </c>
      <c r="H1508" t="s">
        <v>10287</v>
      </c>
      <c r="I1508" t="s">
        <v>10253</v>
      </c>
      <c r="K1508" s="1073" t="s">
        <v>10288</v>
      </c>
      <c r="L1508" s="789" t="s">
        <v>10241</v>
      </c>
      <c r="M1508" s="790">
        <v>56</v>
      </c>
      <c r="O1508" s="790" t="s">
        <v>11153</v>
      </c>
      <c r="P1508" s="790" t="s">
        <v>10244</v>
      </c>
      <c r="R1508" s="30"/>
    </row>
    <row r="1509" spans="2:18">
      <c r="B1509" s="5" t="s">
        <v>11752</v>
      </c>
      <c r="C1509" s="1038">
        <v>57</v>
      </c>
      <c r="D1509" s="7">
        <f>Page3!D40</f>
        <v>0</v>
      </c>
      <c r="E1509" s="7">
        <f>Page3!F40</f>
        <v>0</v>
      </c>
      <c r="F1509" t="str">
        <f t="shared" si="76"/>
        <v>01-00-57-EXPNS-CURR</v>
      </c>
      <c r="G1509" t="s">
        <v>127</v>
      </c>
      <c r="H1509" t="s">
        <v>10287</v>
      </c>
      <c r="I1509" t="s">
        <v>10253</v>
      </c>
      <c r="K1509" s="1073" t="s">
        <v>10288</v>
      </c>
      <c r="L1509" s="789" t="s">
        <v>10241</v>
      </c>
      <c r="M1509" s="790">
        <v>57</v>
      </c>
      <c r="O1509" s="790" t="s">
        <v>11153</v>
      </c>
      <c r="P1509" s="790" t="s">
        <v>10244</v>
      </c>
      <c r="R1509" s="30"/>
    </row>
    <row r="1510" spans="2:18">
      <c r="B1510" s="5" t="s">
        <v>11753</v>
      </c>
      <c r="C1510" s="1038">
        <v>33</v>
      </c>
      <c r="D1510" s="7">
        <f>Page3!D41</f>
        <v>10</v>
      </c>
      <c r="E1510" s="7">
        <f>Page3!F41</f>
        <v>138</v>
      </c>
      <c r="F1510" t="str">
        <f t="shared" si="76"/>
        <v>01-00-33-EXPNS-CURR</v>
      </c>
      <c r="G1510" t="s">
        <v>127</v>
      </c>
      <c r="H1510" t="s">
        <v>10287</v>
      </c>
      <c r="I1510" t="s">
        <v>10253</v>
      </c>
      <c r="K1510" s="1073" t="s">
        <v>10288</v>
      </c>
      <c r="L1510" s="789" t="s">
        <v>10241</v>
      </c>
      <c r="M1510" s="790">
        <v>33</v>
      </c>
      <c r="O1510" s="790" t="s">
        <v>11153</v>
      </c>
      <c r="P1510" s="790" t="s">
        <v>10244</v>
      </c>
      <c r="R1510" s="30"/>
    </row>
    <row r="1511" spans="2:18">
      <c r="B1511" s="5" t="s">
        <v>11754</v>
      </c>
      <c r="C1511" s="1038">
        <v>77</v>
      </c>
      <c r="D1511" s="7">
        <f>Page3!D42</f>
        <v>0</v>
      </c>
      <c r="E1511" s="7">
        <f>Page3!F42</f>
        <v>234</v>
      </c>
      <c r="F1511" t="str">
        <f t="shared" si="76"/>
        <v>01-00-77-EXPNS-CURR</v>
      </c>
      <c r="G1511" t="s">
        <v>127</v>
      </c>
      <c r="H1511" t="s">
        <v>10287</v>
      </c>
      <c r="I1511" t="s">
        <v>10253</v>
      </c>
      <c r="K1511" s="1073" t="s">
        <v>10288</v>
      </c>
      <c r="L1511" s="789" t="s">
        <v>10241</v>
      </c>
      <c r="M1511" s="790" t="s">
        <v>11455</v>
      </c>
      <c r="O1511" s="790" t="s">
        <v>11153</v>
      </c>
      <c r="P1511" s="790" t="s">
        <v>10244</v>
      </c>
      <c r="R1511" s="30"/>
    </row>
    <row r="1512" spans="2:18">
      <c r="B1512" s="51" t="s">
        <v>11755</v>
      </c>
      <c r="C1512" s="1042"/>
      <c r="D1512" s="7">
        <f>Page3!D43</f>
        <v>-11195</v>
      </c>
      <c r="E1512" s="7">
        <f>Page3!F43</f>
        <v>5940</v>
      </c>
      <c r="F1512" t="str">
        <f t="shared" si="76"/>
        <v>01-00-SEMIFIXD-EXPNS-CURR</v>
      </c>
      <c r="G1512" t="s">
        <v>127</v>
      </c>
      <c r="H1512" t="s">
        <v>10287</v>
      </c>
      <c r="I1512" t="s">
        <v>10253</v>
      </c>
      <c r="J1512" t="s">
        <v>10268</v>
      </c>
      <c r="K1512" s="1073" t="s">
        <v>10288</v>
      </c>
      <c r="L1512" s="789" t="s">
        <v>10241</v>
      </c>
      <c r="M1512" s="790" t="s">
        <v>11457</v>
      </c>
      <c r="O1512" s="790" t="s">
        <v>11153</v>
      </c>
      <c r="P1512" s="790" t="s">
        <v>10244</v>
      </c>
      <c r="Q1512" s="791" t="s">
        <v>773</v>
      </c>
    </row>
    <row r="1513" spans="2:18">
      <c r="B1513" s="5" t="s">
        <v>11756</v>
      </c>
      <c r="C1513" s="1038">
        <v>80</v>
      </c>
      <c r="D1513" s="7">
        <f>Page3!D44</f>
        <v>14220</v>
      </c>
      <c r="E1513" s="7">
        <f>Page3!F44</f>
        <v>55530</v>
      </c>
      <c r="F1513" t="str">
        <f t="shared" si="76"/>
        <v>01-00-80-EXPNS-CURR</v>
      </c>
      <c r="G1513" t="s">
        <v>127</v>
      </c>
      <c r="H1513" t="s">
        <v>10287</v>
      </c>
      <c r="I1513" t="s">
        <v>10253</v>
      </c>
      <c r="K1513" s="1073" t="s">
        <v>10288</v>
      </c>
      <c r="L1513" s="789" t="s">
        <v>10241</v>
      </c>
      <c r="M1513" s="790" t="s">
        <v>11459</v>
      </c>
      <c r="O1513" s="790" t="s">
        <v>11153</v>
      </c>
      <c r="P1513" s="790" t="s">
        <v>10244</v>
      </c>
      <c r="R1513" s="30"/>
    </row>
    <row r="1514" spans="2:18">
      <c r="B1514" s="5" t="s">
        <v>11757</v>
      </c>
      <c r="C1514" s="1038">
        <v>81</v>
      </c>
      <c r="D1514" s="7">
        <f>Page3!D45</f>
        <v>0</v>
      </c>
      <c r="E1514" s="7">
        <f>Page3!F45</f>
        <v>0</v>
      </c>
      <c r="F1514" t="str">
        <f t="shared" si="76"/>
        <v>01-00-81-EXPNS-CURR</v>
      </c>
      <c r="G1514" t="s">
        <v>127</v>
      </c>
      <c r="H1514" t="s">
        <v>10287</v>
      </c>
      <c r="I1514" t="s">
        <v>10253</v>
      </c>
      <c r="K1514" s="1073" t="s">
        <v>10288</v>
      </c>
      <c r="L1514" s="789" t="s">
        <v>10241</v>
      </c>
      <c r="M1514" s="790" t="s">
        <v>11461</v>
      </c>
      <c r="O1514" s="790" t="s">
        <v>11153</v>
      </c>
      <c r="P1514" s="790" t="s">
        <v>10244</v>
      </c>
      <c r="R1514" s="30"/>
    </row>
    <row r="1515" spans="2:18">
      <c r="B1515" s="5" t="s">
        <v>11758</v>
      </c>
      <c r="C1515" s="1038">
        <v>82</v>
      </c>
      <c r="D1515" s="7">
        <f>Page3!D46</f>
        <v>849</v>
      </c>
      <c r="E1515" s="7">
        <f>Page3!F46</f>
        <v>9001</v>
      </c>
      <c r="F1515" t="str">
        <f t="shared" si="76"/>
        <v>01-00-82-EXPNS-CURR</v>
      </c>
      <c r="G1515" t="s">
        <v>127</v>
      </c>
      <c r="H1515" t="s">
        <v>10287</v>
      </c>
      <c r="I1515" t="s">
        <v>10253</v>
      </c>
      <c r="K1515" s="1073" t="s">
        <v>10288</v>
      </c>
      <c r="L1515" s="789" t="s">
        <v>10241</v>
      </c>
      <c r="M1515" s="790" t="s">
        <v>11463</v>
      </c>
      <c r="O1515" s="790" t="s">
        <v>11153</v>
      </c>
      <c r="P1515" s="790" t="s">
        <v>10244</v>
      </c>
      <c r="R1515" s="30"/>
    </row>
    <row r="1516" spans="2:18">
      <c r="B1516" s="5" t="s">
        <v>11759</v>
      </c>
      <c r="C1516" s="1038">
        <v>83</v>
      </c>
      <c r="D1516" s="7">
        <f>Page3!D47</f>
        <v>23</v>
      </c>
      <c r="E1516" s="7">
        <f>Page3!F47</f>
        <v>92</v>
      </c>
      <c r="F1516" t="str">
        <f t="shared" si="76"/>
        <v>01-00-83-EXPNS-CURR</v>
      </c>
      <c r="G1516" t="s">
        <v>127</v>
      </c>
      <c r="H1516" t="s">
        <v>10287</v>
      </c>
      <c r="I1516" t="s">
        <v>10253</v>
      </c>
      <c r="K1516" s="1073" t="s">
        <v>10288</v>
      </c>
      <c r="L1516" s="789" t="s">
        <v>10241</v>
      </c>
      <c r="M1516" s="790" t="s">
        <v>11465</v>
      </c>
      <c r="O1516" s="790" t="s">
        <v>11153</v>
      </c>
      <c r="P1516" s="790" t="s">
        <v>10244</v>
      </c>
      <c r="R1516" s="30"/>
    </row>
    <row r="1517" spans="2:18">
      <c r="B1517" s="5" t="s">
        <v>11760</v>
      </c>
      <c r="C1517" s="1038">
        <v>84</v>
      </c>
      <c r="D1517" s="7">
        <f>Page3!D48</f>
        <v>1800</v>
      </c>
      <c r="E1517" s="7">
        <f>Page3!F48</f>
        <v>7200</v>
      </c>
      <c r="F1517" t="str">
        <f t="shared" si="76"/>
        <v>01-00-84-EXPNS-CURR</v>
      </c>
      <c r="G1517" t="s">
        <v>127</v>
      </c>
      <c r="H1517" t="s">
        <v>10287</v>
      </c>
      <c r="I1517" t="s">
        <v>10253</v>
      </c>
      <c r="K1517" s="1073" t="s">
        <v>10288</v>
      </c>
      <c r="L1517" s="789" t="s">
        <v>10241</v>
      </c>
      <c r="M1517" s="790" t="s">
        <v>11467</v>
      </c>
      <c r="O1517" s="790" t="s">
        <v>11153</v>
      </c>
      <c r="P1517" s="790" t="s">
        <v>10244</v>
      </c>
      <c r="R1517" s="30"/>
    </row>
    <row r="1518" spans="2:18">
      <c r="B1518" s="5" t="s">
        <v>11761</v>
      </c>
      <c r="C1518" s="1038">
        <v>85</v>
      </c>
      <c r="D1518" s="7">
        <f>Page3!D49</f>
        <v>1224</v>
      </c>
      <c r="E1518" s="7">
        <f>Page3!F49</f>
        <v>4896</v>
      </c>
      <c r="F1518" t="str">
        <f t="shared" si="76"/>
        <v>01-00-85-EXPNS-CURR</v>
      </c>
      <c r="G1518" t="s">
        <v>127</v>
      </c>
      <c r="H1518" t="s">
        <v>10287</v>
      </c>
      <c r="I1518" t="s">
        <v>10253</v>
      </c>
      <c r="K1518" s="1073" t="s">
        <v>10288</v>
      </c>
      <c r="L1518" s="789" t="s">
        <v>10241</v>
      </c>
      <c r="M1518" s="790" t="s">
        <v>11469</v>
      </c>
      <c r="O1518" s="790" t="s">
        <v>11153</v>
      </c>
      <c r="P1518" s="790" t="s">
        <v>10244</v>
      </c>
      <c r="R1518" s="30"/>
    </row>
    <row r="1519" spans="2:18">
      <c r="B1519" s="5" t="s">
        <v>11762</v>
      </c>
      <c r="C1519" s="1038">
        <v>86</v>
      </c>
      <c r="D1519" s="7">
        <f>Page3!D50</f>
        <v>0</v>
      </c>
      <c r="E1519" s="7">
        <f>Page3!F50</f>
        <v>0</v>
      </c>
      <c r="F1519" t="str">
        <f t="shared" si="76"/>
        <v>01-00-86-EXPNS-CURR</v>
      </c>
      <c r="G1519" t="s">
        <v>127</v>
      </c>
      <c r="H1519" t="s">
        <v>10287</v>
      </c>
      <c r="I1519" t="s">
        <v>10253</v>
      </c>
      <c r="K1519" s="1073" t="s">
        <v>10288</v>
      </c>
      <c r="L1519" s="789" t="s">
        <v>10241</v>
      </c>
      <c r="M1519" s="790" t="s">
        <v>11471</v>
      </c>
      <c r="O1519" s="790" t="s">
        <v>11153</v>
      </c>
      <c r="P1519" s="790" t="s">
        <v>10244</v>
      </c>
      <c r="R1519" s="30"/>
    </row>
    <row r="1520" spans="2:18">
      <c r="B1520" s="5" t="s">
        <v>11763</v>
      </c>
      <c r="C1520" s="1038">
        <v>87</v>
      </c>
      <c r="D1520" s="7">
        <f>Page3!D51</f>
        <v>2995</v>
      </c>
      <c r="E1520" s="7">
        <f>Page3!F51</f>
        <v>11825</v>
      </c>
      <c r="F1520" t="str">
        <f>TEXT(K1520,"00")&amp;"-"&amp;L1520&amp;IF(M1520="","","-"&amp;M1520)&amp;IF(N1520="","","-"&amp;N1520)&amp;IF(OR(O1520="",O1520=0),"","-"&amp;O1520)&amp;IF(P1520="","","-"&amp;P1520)</f>
        <v>01-00-87-EXPNS-CURR</v>
      </c>
      <c r="G1520" t="s">
        <v>127</v>
      </c>
      <c r="H1520" t="s">
        <v>10287</v>
      </c>
      <c r="I1520" t="s">
        <v>10253</v>
      </c>
      <c r="K1520" s="1073" t="s">
        <v>10288</v>
      </c>
      <c r="L1520" s="789" t="s">
        <v>10241</v>
      </c>
      <c r="M1520" s="790" t="s">
        <v>11473</v>
      </c>
      <c r="O1520" s="790" t="s">
        <v>11153</v>
      </c>
      <c r="P1520" s="790" t="s">
        <v>10244</v>
      </c>
      <c r="R1520" s="30"/>
    </row>
    <row r="1521" spans="2:18">
      <c r="B1521" s="27" t="s">
        <v>11764</v>
      </c>
      <c r="C1521" s="1042"/>
      <c r="D1521" s="7">
        <f>Page3!D52</f>
        <v>21111</v>
      </c>
      <c r="E1521" s="7">
        <f>Page3!F52</f>
        <v>88544</v>
      </c>
      <c r="F1521" t="str">
        <f t="shared" si="76"/>
        <v>01-00-RENTEQUV-EXPNS-CURR</v>
      </c>
      <c r="G1521" t="s">
        <v>127</v>
      </c>
      <c r="H1521" t="s">
        <v>10287</v>
      </c>
      <c r="I1521" t="s">
        <v>10253</v>
      </c>
      <c r="J1521" t="s">
        <v>10268</v>
      </c>
      <c r="K1521" s="1073" t="s">
        <v>10288</v>
      </c>
      <c r="L1521" s="789" t="s">
        <v>10241</v>
      </c>
      <c r="M1521" s="790" t="s">
        <v>11475</v>
      </c>
      <c r="O1521" s="790" t="s">
        <v>11153</v>
      </c>
      <c r="P1521" s="790" t="s">
        <v>10244</v>
      </c>
      <c r="Q1521" s="791" t="s">
        <v>773</v>
      </c>
    </row>
    <row r="1522" spans="2:18">
      <c r="B1522" s="5" t="s">
        <v>11765</v>
      </c>
      <c r="C1522" s="1038">
        <v>88</v>
      </c>
      <c r="D1522" s="7">
        <f>Page3!D53</f>
        <v>4177</v>
      </c>
      <c r="E1522" s="7">
        <f>Page3!F53</f>
        <v>16526</v>
      </c>
      <c r="F1522" t="str">
        <f t="shared" si="76"/>
        <v>01-00-88-EXPNS-CURR</v>
      </c>
      <c r="G1522" t="s">
        <v>127</v>
      </c>
      <c r="H1522" t="s">
        <v>10287</v>
      </c>
      <c r="I1522" t="s">
        <v>10253</v>
      </c>
      <c r="K1522" s="1073" t="s">
        <v>10288</v>
      </c>
      <c r="L1522" s="789" t="s">
        <v>10241</v>
      </c>
      <c r="M1522" s="790" t="s">
        <v>11477</v>
      </c>
      <c r="O1522" s="790" t="s">
        <v>11153</v>
      </c>
      <c r="P1522" s="790" t="s">
        <v>10244</v>
      </c>
      <c r="R1522" s="30"/>
    </row>
    <row r="1523" spans="2:18">
      <c r="B1523" s="5" t="s">
        <v>11766</v>
      </c>
      <c r="C1523" s="1038">
        <v>89</v>
      </c>
      <c r="D1523" s="7">
        <f>Page3!D54</f>
        <v>0</v>
      </c>
      <c r="E1523" s="7">
        <f>Page3!F54</f>
        <v>0</v>
      </c>
      <c r="F1523" t="str">
        <f t="shared" si="76"/>
        <v>01-00-89-EXPNS-CURR</v>
      </c>
      <c r="G1523" t="s">
        <v>127</v>
      </c>
      <c r="H1523" t="s">
        <v>10287</v>
      </c>
      <c r="I1523" t="s">
        <v>10253</v>
      </c>
      <c r="K1523" s="1073" t="s">
        <v>10288</v>
      </c>
      <c r="L1523" s="789" t="s">
        <v>10241</v>
      </c>
      <c r="M1523" s="790" t="s">
        <v>11479</v>
      </c>
      <c r="O1523" s="790" t="s">
        <v>11153</v>
      </c>
      <c r="P1523" s="790" t="s">
        <v>10244</v>
      </c>
      <c r="R1523" s="30"/>
    </row>
    <row r="1524" spans="2:18">
      <c r="B1524" s="5" t="s">
        <v>11767</v>
      </c>
      <c r="C1524" s="1038">
        <v>90</v>
      </c>
      <c r="D1524" s="7">
        <f>Page3!D55</f>
        <v>0</v>
      </c>
      <c r="E1524" s="7">
        <f>Page3!F55</f>
        <v>441</v>
      </c>
      <c r="F1524" t="str">
        <f t="shared" si="76"/>
        <v>01-00-90-EXPNS-CURR</v>
      </c>
      <c r="G1524" t="s">
        <v>127</v>
      </c>
      <c r="H1524" t="s">
        <v>10287</v>
      </c>
      <c r="I1524" t="s">
        <v>10253</v>
      </c>
      <c r="K1524" s="1073" t="s">
        <v>10288</v>
      </c>
      <c r="L1524" s="789" t="s">
        <v>10241</v>
      </c>
      <c r="M1524" s="790" t="s">
        <v>11481</v>
      </c>
      <c r="O1524" s="790" t="s">
        <v>11153</v>
      </c>
      <c r="P1524" s="790" t="s">
        <v>10244</v>
      </c>
      <c r="R1524" s="30"/>
    </row>
    <row r="1525" spans="2:18">
      <c r="B1525" s="5" t="s">
        <v>11768</v>
      </c>
      <c r="C1525" s="1038">
        <v>91</v>
      </c>
      <c r="D1525" s="7">
        <f>Page3!D56</f>
        <v>4053</v>
      </c>
      <c r="E1525" s="7">
        <f>Page3!F56</f>
        <v>16212</v>
      </c>
      <c r="F1525" t="str">
        <f t="shared" si="76"/>
        <v>01-00-91-EXPNS-CURR</v>
      </c>
      <c r="G1525" t="s">
        <v>127</v>
      </c>
      <c r="H1525" t="s">
        <v>10287</v>
      </c>
      <c r="I1525" t="s">
        <v>10253</v>
      </c>
      <c r="K1525" s="1073" t="s">
        <v>10288</v>
      </c>
      <c r="L1525" s="789" t="s">
        <v>10241</v>
      </c>
      <c r="M1525" s="790" t="s">
        <v>11483</v>
      </c>
      <c r="O1525" s="790" t="s">
        <v>11153</v>
      </c>
      <c r="P1525" s="790" t="s">
        <v>10244</v>
      </c>
      <c r="R1525" s="30"/>
    </row>
    <row r="1526" spans="2:18">
      <c r="B1526" s="5" t="s">
        <v>11769</v>
      </c>
      <c r="C1526" s="1055">
        <v>92</v>
      </c>
      <c r="D1526" s="7">
        <f>Page3!D57</f>
        <v>0</v>
      </c>
      <c r="E1526" s="7">
        <f>Page3!F57</f>
        <v>0</v>
      </c>
      <c r="F1526" t="str">
        <f t="shared" ref="F1526:F1589" si="77">TEXT(K1526,"00")&amp;"-"&amp;L1526&amp;IF(M1526="","","-"&amp;M1526)&amp;IF(N1526="","","-"&amp;N1526)&amp;IF(OR(O1526="",O1526=0),"","-"&amp;O1526)&amp;IF(P1526="","","-"&amp;P1526)</f>
        <v>01-00-92-EXPNS-CURR</v>
      </c>
      <c r="G1526" t="s">
        <v>127</v>
      </c>
      <c r="H1526" t="s">
        <v>10287</v>
      </c>
      <c r="I1526" t="s">
        <v>10253</v>
      </c>
      <c r="K1526" s="1073" t="s">
        <v>10288</v>
      </c>
      <c r="L1526" s="789" t="s">
        <v>10241</v>
      </c>
      <c r="M1526" s="790" t="s">
        <v>11485</v>
      </c>
      <c r="O1526" s="790" t="s">
        <v>11153</v>
      </c>
      <c r="P1526" s="790" t="s">
        <v>10244</v>
      </c>
      <c r="R1526" s="30"/>
    </row>
    <row r="1527" spans="2:18">
      <c r="B1527" s="40" t="s">
        <v>11770</v>
      </c>
      <c r="C1527" s="1042"/>
      <c r="D1527" s="7">
        <f>Page3!D58</f>
        <v>29341</v>
      </c>
      <c r="E1527" s="7">
        <f>Page3!F58</f>
        <v>121723</v>
      </c>
      <c r="F1527" t="str">
        <f t="shared" si="77"/>
        <v>01-00-FIXEDEXP-EXPNS-CURR</v>
      </c>
      <c r="G1527" t="s">
        <v>127</v>
      </c>
      <c r="H1527" t="s">
        <v>10287</v>
      </c>
      <c r="I1527" t="s">
        <v>10253</v>
      </c>
      <c r="J1527" t="s">
        <v>10268</v>
      </c>
      <c r="K1527" s="1073" t="s">
        <v>10288</v>
      </c>
      <c r="L1527" s="789" t="s">
        <v>10241</v>
      </c>
      <c r="M1527" s="790" t="s">
        <v>11487</v>
      </c>
      <c r="O1527" s="790" t="s">
        <v>11153</v>
      </c>
      <c r="P1527" s="790" t="s">
        <v>10244</v>
      </c>
      <c r="Q1527" s="791" t="s">
        <v>773</v>
      </c>
    </row>
    <row r="1528" spans="2:18">
      <c r="B1528" s="40" t="s">
        <v>11771</v>
      </c>
      <c r="C1528" s="1042"/>
      <c r="D1528" s="7">
        <f>Page3!D59</f>
        <v>118395</v>
      </c>
      <c r="E1528" s="7">
        <f>Page3!F59</f>
        <v>443286</v>
      </c>
      <c r="F1528" t="str">
        <f t="shared" si="77"/>
        <v>01-00-FIXOVERH-EXPNS-CURR</v>
      </c>
      <c r="G1528" t="s">
        <v>127</v>
      </c>
      <c r="H1528" t="s">
        <v>10287</v>
      </c>
      <c r="I1528" t="s">
        <v>10253</v>
      </c>
      <c r="J1528" t="s">
        <v>10268</v>
      </c>
      <c r="K1528" s="1073" t="s">
        <v>10288</v>
      </c>
      <c r="L1528" s="789" t="s">
        <v>10241</v>
      </c>
      <c r="M1528" s="790" t="s">
        <v>11489</v>
      </c>
      <c r="O1528" s="790" t="s">
        <v>11153</v>
      </c>
      <c r="P1528" s="790" t="s">
        <v>10244</v>
      </c>
      <c r="Q1528" s="791" t="s">
        <v>773</v>
      </c>
    </row>
    <row r="1529" spans="2:18">
      <c r="B1529" s="40" t="s">
        <v>11772</v>
      </c>
      <c r="C1529" s="1042"/>
      <c r="D1529" s="7">
        <f>Page3!D60</f>
        <v>145016</v>
      </c>
      <c r="E1529" s="7">
        <f>Page3!F60</f>
        <v>547676</v>
      </c>
      <c r="F1529" t="str">
        <f t="shared" si="77"/>
        <v>01-00-TOTALEXP-EXPNS-CURR</v>
      </c>
      <c r="G1529" t="s">
        <v>127</v>
      </c>
      <c r="H1529" t="s">
        <v>10287</v>
      </c>
      <c r="I1529" t="s">
        <v>10253</v>
      </c>
      <c r="J1529" t="s">
        <v>10268</v>
      </c>
      <c r="K1529" s="1073" t="s">
        <v>10288</v>
      </c>
      <c r="L1529" s="789" t="s">
        <v>10241</v>
      </c>
      <c r="M1529" s="790" t="s">
        <v>11491</v>
      </c>
      <c r="O1529" s="790" t="s">
        <v>11153</v>
      </c>
      <c r="P1529" s="790" t="s">
        <v>10244</v>
      </c>
      <c r="Q1529" s="791" t="s">
        <v>773</v>
      </c>
    </row>
    <row r="1530" spans="2:18">
      <c r="B1530" s="40" t="s">
        <v>11773</v>
      </c>
      <c r="C1530" s="1042"/>
      <c r="D1530" s="7">
        <f>Page3!D61</f>
        <v>16197</v>
      </c>
      <c r="E1530" s="7">
        <f>Page3!F61</f>
        <v>32340</v>
      </c>
      <c r="F1530" t="str">
        <f t="shared" si="77"/>
        <v>01-00-P&amp;LDEPT-AMT-CURR</v>
      </c>
      <c r="G1530" t="s">
        <v>127</v>
      </c>
      <c r="H1530" t="s">
        <v>10287</v>
      </c>
      <c r="I1530" t="s">
        <v>10253</v>
      </c>
      <c r="J1530" t="s">
        <v>10268</v>
      </c>
      <c r="K1530" s="1073" t="s">
        <v>10288</v>
      </c>
      <c r="L1530" s="789" t="s">
        <v>10241</v>
      </c>
      <c r="M1530" s="790" t="s">
        <v>11774</v>
      </c>
      <c r="O1530" s="790" t="s">
        <v>10263</v>
      </c>
      <c r="P1530" s="790" t="s">
        <v>10244</v>
      </c>
      <c r="Q1530" s="791" t="s">
        <v>773</v>
      </c>
    </row>
    <row r="1531" spans="2:18">
      <c r="B1531" s="40" t="s">
        <v>11775</v>
      </c>
      <c r="C1531" s="1042"/>
      <c r="D1531" s="7">
        <f>Page3!D62</f>
        <v>8612</v>
      </c>
      <c r="E1531" s="7">
        <f>Page3!F62</f>
        <v>43266</v>
      </c>
      <c r="F1531" t="str">
        <f t="shared" si="77"/>
        <v>01-00-FIPPINCM-TRANSFER-CURR</v>
      </c>
      <c r="G1531" t="s">
        <v>127</v>
      </c>
      <c r="H1531" t="s">
        <v>10287</v>
      </c>
      <c r="I1531" t="s">
        <v>10253</v>
      </c>
      <c r="J1531" t="s">
        <v>10268</v>
      </c>
      <c r="K1531" s="1073" t="s">
        <v>10288</v>
      </c>
      <c r="L1531" s="789" t="s">
        <v>10241</v>
      </c>
      <c r="M1531" s="790" t="s">
        <v>11776</v>
      </c>
      <c r="O1531" s="790" t="s">
        <v>11777</v>
      </c>
      <c r="P1531" s="790" t="s">
        <v>10244</v>
      </c>
      <c r="Q1531" s="791" t="s">
        <v>773</v>
      </c>
    </row>
    <row r="1532" spans="2:18">
      <c r="B1532" s="40" t="s">
        <v>11778</v>
      </c>
      <c r="C1532" s="1059"/>
      <c r="D1532" s="7">
        <f>Page3!D63</f>
        <v>0</v>
      </c>
      <c r="E1532" s="7">
        <f>Page3!F63</f>
        <v>0</v>
      </c>
      <c r="F1532" t="str">
        <f t="shared" si="77"/>
        <v>01-00-G&amp;APRO-AMT-CURR</v>
      </c>
      <c r="G1532" t="s">
        <v>127</v>
      </c>
      <c r="H1532" t="s">
        <v>10287</v>
      </c>
      <c r="I1532" t="s">
        <v>10253</v>
      </c>
      <c r="K1532" s="1073" t="s">
        <v>10288</v>
      </c>
      <c r="L1532" s="789" t="s">
        <v>10241</v>
      </c>
      <c r="M1532" s="790" t="s">
        <v>11779</v>
      </c>
      <c r="O1532" s="790" t="s">
        <v>10263</v>
      </c>
      <c r="P1532" s="790" t="s">
        <v>10244</v>
      </c>
    </row>
    <row r="1533" spans="2:18">
      <c r="B1533" s="40" t="s">
        <v>11780</v>
      </c>
      <c r="C1533" s="1042"/>
      <c r="D1533" s="7">
        <f>Page3!D64</f>
        <v>24809</v>
      </c>
      <c r="E1533" s="7">
        <f>Page3!F64</f>
        <v>75606</v>
      </c>
      <c r="F1533" t="str">
        <f t="shared" si="77"/>
        <v>01-00-P&amp;LDEPT-AFTERPRO-CURR</v>
      </c>
      <c r="G1533" t="s">
        <v>127</v>
      </c>
      <c r="H1533" t="s">
        <v>10287</v>
      </c>
      <c r="I1533" t="s">
        <v>10253</v>
      </c>
      <c r="J1533" t="s">
        <v>10268</v>
      </c>
      <c r="K1533" s="1073" t="s">
        <v>10288</v>
      </c>
      <c r="L1533" s="789" t="s">
        <v>10241</v>
      </c>
      <c r="M1533" s="790" t="s">
        <v>11774</v>
      </c>
      <c r="O1533" s="790" t="s">
        <v>11781</v>
      </c>
      <c r="P1533" s="790" t="s">
        <v>10244</v>
      </c>
      <c r="Q1533" s="791" t="s">
        <v>773</v>
      </c>
    </row>
    <row r="1534" spans="2:18">
      <c r="B1534" s="51" t="s">
        <v>11782</v>
      </c>
      <c r="C1534" s="1042"/>
      <c r="D1534" s="7">
        <f>Page3!H4</f>
        <v>5423036</v>
      </c>
      <c r="E1534" s="7">
        <f>Page3!J4</f>
        <v>16558650</v>
      </c>
      <c r="F1534" t="str">
        <f t="shared" si="77"/>
        <v>02-00-USEDVEH-SALES-CURR</v>
      </c>
      <c r="G1534" t="s">
        <v>127</v>
      </c>
      <c r="H1534" t="s">
        <v>10287</v>
      </c>
      <c r="I1534" t="s">
        <v>10253</v>
      </c>
      <c r="J1534" t="s">
        <v>10268</v>
      </c>
      <c r="K1534" s="1073" t="s">
        <v>10837</v>
      </c>
      <c r="L1534" s="789" t="s">
        <v>10241</v>
      </c>
      <c r="M1534" s="790" t="s">
        <v>10863</v>
      </c>
      <c r="O1534" s="790" t="s">
        <v>9883</v>
      </c>
      <c r="P1534" s="790" t="s">
        <v>10244</v>
      </c>
      <c r="Q1534" s="791" t="s">
        <v>773</v>
      </c>
    </row>
    <row r="1535" spans="2:18">
      <c r="B1535" s="51" t="s">
        <v>11783</v>
      </c>
      <c r="C1535" s="1042"/>
      <c r="D1535" s="7">
        <f>Page3!H5</f>
        <v>221358</v>
      </c>
      <c r="E1535" s="7">
        <f>Page3!J5</f>
        <v>791793</v>
      </c>
      <c r="F1535" t="str">
        <f t="shared" si="77"/>
        <v>02-00-USEDVEH-GRSPFT-CURR</v>
      </c>
      <c r="G1535" t="s">
        <v>127</v>
      </c>
      <c r="H1535" t="s">
        <v>10287</v>
      </c>
      <c r="I1535" t="s">
        <v>10253</v>
      </c>
      <c r="J1535" t="s">
        <v>10268</v>
      </c>
      <c r="K1535" s="1073" t="s">
        <v>10837</v>
      </c>
      <c r="L1535" s="789" t="s">
        <v>10241</v>
      </c>
      <c r="M1535" s="790" t="s">
        <v>10863</v>
      </c>
      <c r="O1535" s="790" t="s">
        <v>10467</v>
      </c>
      <c r="P1535" s="790" t="s">
        <v>10244</v>
      </c>
      <c r="Q1535" s="791" t="s">
        <v>773</v>
      </c>
    </row>
    <row r="1536" spans="2:18">
      <c r="B1536" s="40" t="s">
        <v>11784</v>
      </c>
      <c r="C1536" s="1038">
        <v>11</v>
      </c>
      <c r="D1536" s="7">
        <f>Page3!H7</f>
        <v>6802</v>
      </c>
      <c r="E1536" s="7">
        <f>Page3!J7</f>
        <v>27746</v>
      </c>
      <c r="F1536" t="str">
        <f t="shared" si="77"/>
        <v>02-00-11-EXPNS-CURR</v>
      </c>
      <c r="G1536" t="s">
        <v>127</v>
      </c>
      <c r="H1536" t="s">
        <v>10287</v>
      </c>
      <c r="I1536" t="s">
        <v>10253</v>
      </c>
      <c r="K1536" s="1073" t="s">
        <v>10837</v>
      </c>
      <c r="L1536" s="789" t="s">
        <v>10241</v>
      </c>
      <c r="M1536" s="790" t="s">
        <v>11393</v>
      </c>
      <c r="O1536" s="790" t="s">
        <v>11153</v>
      </c>
      <c r="P1536" s="790" t="s">
        <v>10244</v>
      </c>
      <c r="R1536" s="30"/>
    </row>
    <row r="1537" spans="2:18">
      <c r="B1537" s="5" t="s">
        <v>11785</v>
      </c>
      <c r="C1537" s="1038">
        <v>13</v>
      </c>
      <c r="D1537" s="7">
        <f>Page3!H8</f>
        <v>10188</v>
      </c>
      <c r="E1537" s="7">
        <f>Page3!J8</f>
        <v>40757</v>
      </c>
      <c r="F1537" t="str">
        <f t="shared" si="77"/>
        <v>02-00-13-EXPNS-CURR</v>
      </c>
      <c r="G1537" t="s">
        <v>127</v>
      </c>
      <c r="H1537" t="s">
        <v>10287</v>
      </c>
      <c r="I1537" t="s">
        <v>10253</v>
      </c>
      <c r="K1537" s="1073" t="s">
        <v>10837</v>
      </c>
      <c r="L1537" s="789" t="s">
        <v>10241</v>
      </c>
      <c r="M1537" s="790" t="s">
        <v>1607</v>
      </c>
      <c r="O1537" s="790" t="s">
        <v>11153</v>
      </c>
      <c r="P1537" s="790" t="s">
        <v>10244</v>
      </c>
      <c r="R1537" s="30"/>
    </row>
    <row r="1538" spans="2:18">
      <c r="B1538" s="5" t="s">
        <v>11786</v>
      </c>
      <c r="C1538" s="1038">
        <v>15</v>
      </c>
      <c r="D1538" s="7">
        <f>Page3!H9</f>
        <v>339</v>
      </c>
      <c r="E1538" s="7">
        <f>Page3!J9</f>
        <v>1930</v>
      </c>
      <c r="F1538" t="str">
        <f t="shared" si="77"/>
        <v>02-00-15-EXPNS-CURR</v>
      </c>
      <c r="G1538" t="s">
        <v>127</v>
      </c>
      <c r="H1538" t="s">
        <v>10287</v>
      </c>
      <c r="I1538" t="s">
        <v>10253</v>
      </c>
      <c r="K1538" s="1073" t="s">
        <v>10837</v>
      </c>
      <c r="L1538" s="789" t="s">
        <v>10241</v>
      </c>
      <c r="M1538" s="790" t="s">
        <v>11396</v>
      </c>
      <c r="O1538" s="790" t="s">
        <v>11153</v>
      </c>
      <c r="P1538" s="790" t="s">
        <v>10244</v>
      </c>
      <c r="R1538" s="30"/>
    </row>
    <row r="1539" spans="2:18">
      <c r="B1539" s="51" t="s">
        <v>11787</v>
      </c>
      <c r="C1539" s="1042"/>
      <c r="D1539" s="7">
        <f>Page3!H10</f>
        <v>17329</v>
      </c>
      <c r="E1539" s="7">
        <f>Page3!J10</f>
        <v>70433</v>
      </c>
      <c r="F1539" t="str">
        <f t="shared" si="77"/>
        <v>02-00-VAREXPNS-EXPNS-CURR</v>
      </c>
      <c r="G1539" t="s">
        <v>127</v>
      </c>
      <c r="H1539" t="s">
        <v>10287</v>
      </c>
      <c r="I1539" t="s">
        <v>10253</v>
      </c>
      <c r="J1539" t="s">
        <v>10268</v>
      </c>
      <c r="K1539" s="1073" t="s">
        <v>10837</v>
      </c>
      <c r="L1539" s="789" t="s">
        <v>10241</v>
      </c>
      <c r="M1539" s="790" t="s">
        <v>11398</v>
      </c>
      <c r="O1539" s="790" t="s">
        <v>11153</v>
      </c>
      <c r="P1539" s="790" t="s">
        <v>10244</v>
      </c>
      <c r="Q1539" s="791" t="s">
        <v>773</v>
      </c>
    </row>
    <row r="1540" spans="2:18">
      <c r="B1540" s="5" t="s">
        <v>11788</v>
      </c>
      <c r="C1540" s="1038">
        <v>20</v>
      </c>
      <c r="D1540" s="7">
        <f>Page3!H11</f>
        <v>6769</v>
      </c>
      <c r="E1540" s="7">
        <f>Page3!J11</f>
        <v>26701</v>
      </c>
      <c r="F1540" t="str">
        <f t="shared" si="77"/>
        <v>02-00-20-EXPNS-CURR</v>
      </c>
      <c r="G1540" t="s">
        <v>127</v>
      </c>
      <c r="H1540" t="s">
        <v>10287</v>
      </c>
      <c r="I1540" t="s">
        <v>10253</v>
      </c>
      <c r="K1540" s="1073" t="s">
        <v>10837</v>
      </c>
      <c r="L1540" s="789" t="s">
        <v>10241</v>
      </c>
      <c r="M1540" s="790" t="s">
        <v>11400</v>
      </c>
      <c r="O1540" s="790" t="s">
        <v>11153</v>
      </c>
      <c r="P1540" s="790" t="s">
        <v>10244</v>
      </c>
      <c r="R1540" s="30"/>
    </row>
    <row r="1541" spans="2:18">
      <c r="B1541" s="5" t="s">
        <v>11789</v>
      </c>
      <c r="C1541" s="1038">
        <v>21</v>
      </c>
      <c r="D1541" s="7">
        <f>Page3!H12</f>
        <v>25943</v>
      </c>
      <c r="E1541" s="7">
        <f>Page3!J12</f>
        <v>74170</v>
      </c>
      <c r="F1541" t="str">
        <f t="shared" si="77"/>
        <v>02-00-21-EXPNS-CURR</v>
      </c>
      <c r="G1541" t="s">
        <v>127</v>
      </c>
      <c r="H1541" t="s">
        <v>10287</v>
      </c>
      <c r="I1541" t="s">
        <v>10253</v>
      </c>
      <c r="K1541" s="1073" t="s">
        <v>10837</v>
      </c>
      <c r="L1541" s="789" t="s">
        <v>10241</v>
      </c>
      <c r="M1541" s="790" t="s">
        <v>11402</v>
      </c>
      <c r="O1541" s="790" t="s">
        <v>11153</v>
      </c>
      <c r="P1541" s="790" t="s">
        <v>10244</v>
      </c>
      <c r="R1541" s="30"/>
    </row>
    <row r="1542" spans="2:18">
      <c r="B1542" s="40" t="s">
        <v>11790</v>
      </c>
      <c r="C1542" s="1038">
        <v>22</v>
      </c>
      <c r="D1542" s="7">
        <f>Page3!H13</f>
        <v>10161</v>
      </c>
      <c r="E1542" s="7">
        <f>Page3!J13</f>
        <v>35757</v>
      </c>
      <c r="F1542" t="str">
        <f t="shared" si="77"/>
        <v>02-00-22-EXPNS-CURR</v>
      </c>
      <c r="G1542" t="s">
        <v>127</v>
      </c>
      <c r="H1542" t="s">
        <v>10287</v>
      </c>
      <c r="I1542" t="s">
        <v>10253</v>
      </c>
      <c r="K1542" s="1073" t="s">
        <v>10837</v>
      </c>
      <c r="L1542" s="789" t="s">
        <v>10241</v>
      </c>
      <c r="M1542" s="790" t="s">
        <v>11404</v>
      </c>
      <c r="O1542" s="790" t="s">
        <v>11153</v>
      </c>
      <c r="P1542" s="790" t="s">
        <v>10244</v>
      </c>
      <c r="R1542" s="30"/>
    </row>
    <row r="1543" spans="2:18">
      <c r="B1543" s="5" t="s">
        <v>11791</v>
      </c>
      <c r="C1543" s="1038">
        <v>23</v>
      </c>
      <c r="D1543" s="7">
        <f>Page3!H14</f>
        <v>0</v>
      </c>
      <c r="E1543" s="7">
        <f>Page3!J14</f>
        <v>0</v>
      </c>
      <c r="F1543" t="str">
        <f t="shared" si="77"/>
        <v>02-00-23-EXPNS-CURR</v>
      </c>
      <c r="G1543" t="s">
        <v>127</v>
      </c>
      <c r="H1543" t="s">
        <v>10287</v>
      </c>
      <c r="I1543" t="s">
        <v>10253</v>
      </c>
      <c r="K1543" s="1073" t="s">
        <v>10837</v>
      </c>
      <c r="L1543" s="789" t="s">
        <v>10241</v>
      </c>
      <c r="M1543" s="790" t="s">
        <v>11406</v>
      </c>
      <c r="O1543" s="790" t="s">
        <v>11153</v>
      </c>
      <c r="P1543" s="790" t="s">
        <v>10244</v>
      </c>
      <c r="R1543" s="30"/>
    </row>
    <row r="1544" spans="2:18">
      <c r="B1544" s="5" t="s">
        <v>11792</v>
      </c>
      <c r="C1544" s="1038">
        <v>24</v>
      </c>
      <c r="D1544" s="7">
        <f>Page3!H15</f>
        <v>5901</v>
      </c>
      <c r="E1544" s="7">
        <f>Page3!J15</f>
        <v>17364</v>
      </c>
      <c r="F1544" t="str">
        <f t="shared" si="77"/>
        <v>02-00-24-EXPNS-CURR</v>
      </c>
      <c r="G1544" t="s">
        <v>127</v>
      </c>
      <c r="H1544" t="s">
        <v>10287</v>
      </c>
      <c r="I1544" t="s">
        <v>10253</v>
      </c>
      <c r="K1544" s="1073" t="s">
        <v>10837</v>
      </c>
      <c r="L1544" s="789" t="s">
        <v>10241</v>
      </c>
      <c r="M1544" s="790" t="s">
        <v>11408</v>
      </c>
      <c r="O1544" s="790" t="s">
        <v>11153</v>
      </c>
      <c r="P1544" s="790" t="s">
        <v>10244</v>
      </c>
      <c r="R1544" s="30"/>
    </row>
    <row r="1545" spans="2:18">
      <c r="B1545" s="5" t="s">
        <v>11793</v>
      </c>
      <c r="C1545" s="1038">
        <v>26</v>
      </c>
      <c r="D1545" s="7">
        <f>Page3!H16</f>
        <v>0</v>
      </c>
      <c r="E1545" s="7">
        <f>Page3!J16</f>
        <v>0</v>
      </c>
      <c r="F1545" t="str">
        <f t="shared" si="77"/>
        <v>02-00-26-EXPNS-CURR</v>
      </c>
      <c r="G1545" t="s">
        <v>127</v>
      </c>
      <c r="H1545" t="s">
        <v>10287</v>
      </c>
      <c r="I1545" t="s">
        <v>10253</v>
      </c>
      <c r="J1545" t="s">
        <v>10268</v>
      </c>
      <c r="K1545" s="1073" t="s">
        <v>10837</v>
      </c>
      <c r="L1545" s="789" t="s">
        <v>10241</v>
      </c>
      <c r="M1545" s="790">
        <v>26</v>
      </c>
      <c r="O1545" s="790" t="s">
        <v>11153</v>
      </c>
      <c r="P1545" s="790" t="s">
        <v>10244</v>
      </c>
      <c r="R1545" s="30"/>
    </row>
    <row r="1546" spans="2:18">
      <c r="B1546" s="5" t="s">
        <v>11794</v>
      </c>
      <c r="C1546" s="1038">
        <v>25</v>
      </c>
      <c r="D1546" s="7">
        <f>Page3!H17</f>
        <v>1136</v>
      </c>
      <c r="E1546" s="7">
        <f>Page3!J17</f>
        <v>2989</v>
      </c>
      <c r="F1546" t="str">
        <f t="shared" si="77"/>
        <v>02-00-25-EXPNS-CURR</v>
      </c>
      <c r="G1546" t="s">
        <v>127</v>
      </c>
      <c r="H1546" t="s">
        <v>10287</v>
      </c>
      <c r="I1546" t="s">
        <v>10253</v>
      </c>
      <c r="K1546" s="1073" t="s">
        <v>10837</v>
      </c>
      <c r="L1546" s="789" t="s">
        <v>10241</v>
      </c>
      <c r="M1546" s="790" t="s">
        <v>11411</v>
      </c>
      <c r="O1546" s="790" t="s">
        <v>11153</v>
      </c>
      <c r="P1546" s="790" t="s">
        <v>10244</v>
      </c>
      <c r="R1546" s="30"/>
    </row>
    <row r="1547" spans="2:18">
      <c r="B1547" s="5" t="s">
        <v>11795</v>
      </c>
      <c r="C1547" s="1038">
        <v>27</v>
      </c>
      <c r="D1547" s="7">
        <f>Page3!H18</f>
        <v>158</v>
      </c>
      <c r="E1547" s="7">
        <f>Page3!J18</f>
        <v>13137</v>
      </c>
      <c r="F1547" t="str">
        <f t="shared" si="77"/>
        <v>02-00-27-EXPNS-CURR</v>
      </c>
      <c r="G1547" t="s">
        <v>127</v>
      </c>
      <c r="H1547" t="s">
        <v>10287</v>
      </c>
      <c r="I1547" t="s">
        <v>10253</v>
      </c>
      <c r="K1547" s="1073" t="s">
        <v>10837</v>
      </c>
      <c r="L1547" s="789" t="s">
        <v>10241</v>
      </c>
      <c r="M1547" s="790" t="s">
        <v>11413</v>
      </c>
      <c r="O1547" s="790" t="s">
        <v>11153</v>
      </c>
      <c r="P1547" s="790" t="s">
        <v>10244</v>
      </c>
      <c r="R1547" s="30"/>
    </row>
    <row r="1548" spans="2:18">
      <c r="B1548" s="5" t="s">
        <v>11796</v>
      </c>
      <c r="C1548" s="1038">
        <v>29</v>
      </c>
      <c r="D1548" s="7">
        <f>Page3!H19</f>
        <v>0</v>
      </c>
      <c r="E1548" s="7">
        <f>Page3!J19</f>
        <v>0</v>
      </c>
      <c r="F1548" t="str">
        <f t="shared" si="77"/>
        <v>02-00-29-EXPNS-CURR</v>
      </c>
      <c r="G1548" t="s">
        <v>127</v>
      </c>
      <c r="H1548" t="s">
        <v>10287</v>
      </c>
      <c r="I1548" t="s">
        <v>10253</v>
      </c>
      <c r="K1548" s="1073" t="s">
        <v>10837</v>
      </c>
      <c r="L1548" s="789" t="s">
        <v>10241</v>
      </c>
      <c r="M1548" s="790" t="s">
        <v>11415</v>
      </c>
      <c r="O1548" s="790" t="s">
        <v>11153</v>
      </c>
      <c r="P1548" s="790" t="s">
        <v>10244</v>
      </c>
      <c r="R1548" s="30"/>
    </row>
    <row r="1549" spans="2:18">
      <c r="B1549" s="27" t="s">
        <v>11797</v>
      </c>
      <c r="C1549" s="1042"/>
      <c r="D1549" s="7">
        <f>Page3!H20</f>
        <v>50068</v>
      </c>
      <c r="E1549" s="7">
        <f>Page3!J20</f>
        <v>170118</v>
      </c>
      <c r="F1549" t="str">
        <f t="shared" si="77"/>
        <v>02-00-PERSONNL-EXPNS-CURR</v>
      </c>
      <c r="G1549" t="s">
        <v>127</v>
      </c>
      <c r="H1549" t="s">
        <v>10287</v>
      </c>
      <c r="I1549" t="s">
        <v>10253</v>
      </c>
      <c r="J1549" t="s">
        <v>10268</v>
      </c>
      <c r="K1549" s="1073" t="s">
        <v>10837</v>
      </c>
      <c r="L1549" s="789" t="s">
        <v>10241</v>
      </c>
      <c r="M1549" s="790" t="s">
        <v>10956</v>
      </c>
      <c r="O1549" s="790" t="s">
        <v>11153</v>
      </c>
      <c r="P1549" s="790" t="s">
        <v>10244</v>
      </c>
      <c r="Q1549" s="791" t="s">
        <v>773</v>
      </c>
    </row>
    <row r="1550" spans="2:18">
      <c r="B1550" s="5" t="s">
        <v>11798</v>
      </c>
      <c r="C1550" s="1038">
        <v>51</v>
      </c>
      <c r="D1550" s="7">
        <f>Page3!H21</f>
        <v>2634</v>
      </c>
      <c r="E1550" s="7">
        <f>Page3!J21</f>
        <v>7999</v>
      </c>
      <c r="F1550" t="str">
        <f t="shared" si="77"/>
        <v>02-00-51-EXPNS-CURR</v>
      </c>
      <c r="G1550" t="s">
        <v>127</v>
      </c>
      <c r="H1550" t="s">
        <v>10287</v>
      </c>
      <c r="I1550" t="s">
        <v>10253</v>
      </c>
      <c r="K1550" s="1073" t="s">
        <v>10837</v>
      </c>
      <c r="L1550" s="789" t="s">
        <v>10241</v>
      </c>
      <c r="M1550" s="790" t="s">
        <v>11418</v>
      </c>
      <c r="O1550" s="790" t="s">
        <v>11153</v>
      </c>
      <c r="P1550" s="790" t="s">
        <v>10244</v>
      </c>
      <c r="R1550" s="30"/>
    </row>
    <row r="1551" spans="2:18">
      <c r="B1551" s="5" t="s">
        <v>11799</v>
      </c>
      <c r="C1551" s="1038">
        <v>60</v>
      </c>
      <c r="D1551" s="7">
        <f>Page3!H22</f>
        <v>286</v>
      </c>
      <c r="E1551" s="7">
        <f>Page3!J22</f>
        <v>2820</v>
      </c>
      <c r="F1551" t="str">
        <f t="shared" si="77"/>
        <v>02-00-60-EXPNS-CURR</v>
      </c>
      <c r="G1551" t="s">
        <v>127</v>
      </c>
      <c r="H1551" t="s">
        <v>10287</v>
      </c>
      <c r="I1551" t="s">
        <v>10253</v>
      </c>
      <c r="K1551" s="1073" t="s">
        <v>10837</v>
      </c>
      <c r="L1551" s="789" t="s">
        <v>10241</v>
      </c>
      <c r="M1551" s="790" t="s">
        <v>11420</v>
      </c>
      <c r="O1551" s="790" t="s">
        <v>11153</v>
      </c>
      <c r="P1551" s="790" t="s">
        <v>10244</v>
      </c>
      <c r="R1551" s="30"/>
    </row>
    <row r="1552" spans="2:18">
      <c r="B1552" s="5" t="s">
        <v>11800</v>
      </c>
      <c r="C1552" s="1038">
        <v>61</v>
      </c>
      <c r="D1552" s="7">
        <f>Page3!H23</f>
        <v>2128</v>
      </c>
      <c r="E1552" s="7">
        <f>Page3!J23</f>
        <v>4976</v>
      </c>
      <c r="F1552" t="str">
        <f t="shared" si="77"/>
        <v>02-00-61-EXPNS-CURR</v>
      </c>
      <c r="G1552" t="s">
        <v>127</v>
      </c>
      <c r="H1552" t="s">
        <v>10287</v>
      </c>
      <c r="I1552" t="s">
        <v>10253</v>
      </c>
      <c r="K1552" s="1073" t="s">
        <v>10837</v>
      </c>
      <c r="L1552" s="789" t="s">
        <v>10241</v>
      </c>
      <c r="M1552" s="790" t="s">
        <v>11422</v>
      </c>
      <c r="O1552" s="790" t="s">
        <v>11153</v>
      </c>
      <c r="P1552" s="790" t="s">
        <v>10244</v>
      </c>
      <c r="R1552" s="30"/>
    </row>
    <row r="1553" spans="2:18">
      <c r="B1553" s="5" t="s">
        <v>11801</v>
      </c>
      <c r="C1553" s="1038">
        <v>63</v>
      </c>
      <c r="D1553" s="7">
        <f>Page3!H24</f>
        <v>0</v>
      </c>
      <c r="E1553" s="7">
        <f>Page3!J24</f>
        <v>0</v>
      </c>
      <c r="F1553" t="str">
        <f t="shared" si="77"/>
        <v>02-00-63-EXPNS-CURR</v>
      </c>
      <c r="G1553" t="s">
        <v>127</v>
      </c>
      <c r="H1553" t="s">
        <v>10287</v>
      </c>
      <c r="I1553" t="s">
        <v>10253</v>
      </c>
      <c r="K1553" s="1073" t="s">
        <v>10837</v>
      </c>
      <c r="L1553" s="789" t="s">
        <v>10241</v>
      </c>
      <c r="M1553" s="790">
        <v>63</v>
      </c>
      <c r="O1553" s="790" t="s">
        <v>11153</v>
      </c>
      <c r="P1553" s="790" t="s">
        <v>10244</v>
      </c>
      <c r="R1553" s="30"/>
    </row>
    <row r="1554" spans="2:18">
      <c r="B1554" s="5" t="s">
        <v>11802</v>
      </c>
      <c r="C1554" s="1038">
        <v>65</v>
      </c>
      <c r="D1554" s="7">
        <f>Page3!H25</f>
        <v>8991</v>
      </c>
      <c r="E1554" s="7">
        <f>Page3!J25</f>
        <v>42551</v>
      </c>
      <c r="F1554" t="str">
        <f t="shared" si="77"/>
        <v>02-00-65-EXPNS-CURR</v>
      </c>
      <c r="G1554" t="s">
        <v>127</v>
      </c>
      <c r="H1554" t="s">
        <v>10287</v>
      </c>
      <c r="I1554" t="s">
        <v>10253</v>
      </c>
      <c r="K1554" s="1073" t="s">
        <v>10837</v>
      </c>
      <c r="L1554" s="789" t="s">
        <v>10241</v>
      </c>
      <c r="M1554" s="790" t="s">
        <v>11425</v>
      </c>
      <c r="O1554" s="790" t="s">
        <v>11153</v>
      </c>
      <c r="P1554" s="790" t="s">
        <v>10244</v>
      </c>
      <c r="R1554" s="30"/>
    </row>
    <row r="1555" spans="2:18">
      <c r="B1555" s="5" t="s">
        <v>11803</v>
      </c>
      <c r="C1555" s="1038">
        <v>64</v>
      </c>
      <c r="D1555" s="7">
        <f>Page3!H26</f>
        <v>0</v>
      </c>
      <c r="E1555" s="7">
        <f>Page3!J26</f>
        <v>0</v>
      </c>
      <c r="F1555" t="str">
        <f t="shared" si="77"/>
        <v>02-00-64-EXPNS-CURR</v>
      </c>
      <c r="G1555" t="s">
        <v>127</v>
      </c>
      <c r="H1555" t="s">
        <v>10287</v>
      </c>
      <c r="I1555" t="s">
        <v>10253</v>
      </c>
      <c r="K1555" s="1073" t="s">
        <v>10837</v>
      </c>
      <c r="L1555" s="789" t="s">
        <v>10241</v>
      </c>
      <c r="M1555" s="790">
        <v>64</v>
      </c>
      <c r="O1555" s="790" t="s">
        <v>11153</v>
      </c>
      <c r="P1555" s="790" t="s">
        <v>10244</v>
      </c>
      <c r="R1555" s="30"/>
    </row>
    <row r="1556" spans="2:18">
      <c r="B1556" s="5" t="s">
        <v>11804</v>
      </c>
      <c r="C1556" s="1038">
        <v>66</v>
      </c>
      <c r="D1556" s="7">
        <f>Page3!H27</f>
        <v>100</v>
      </c>
      <c r="E1556" s="7">
        <f>Page3!J27</f>
        <v>100</v>
      </c>
      <c r="F1556" t="str">
        <f t="shared" si="77"/>
        <v>02-00-66-EXPNS-CURR</v>
      </c>
      <c r="G1556" t="s">
        <v>127</v>
      </c>
      <c r="H1556" t="s">
        <v>10287</v>
      </c>
      <c r="I1556" t="s">
        <v>10253</v>
      </c>
      <c r="K1556" s="1073" t="s">
        <v>10837</v>
      </c>
      <c r="L1556" s="789" t="s">
        <v>10241</v>
      </c>
      <c r="M1556" s="790" t="s">
        <v>11428</v>
      </c>
      <c r="O1556" s="790" t="s">
        <v>11153</v>
      </c>
      <c r="P1556" s="790" t="s">
        <v>10244</v>
      </c>
      <c r="R1556" s="30"/>
    </row>
    <row r="1557" spans="2:18">
      <c r="B1557" s="5" t="s">
        <v>11805</v>
      </c>
      <c r="C1557" s="1038">
        <v>68</v>
      </c>
      <c r="D1557" s="7">
        <f>Page3!H29</f>
        <v>4334</v>
      </c>
      <c r="E1557" s="7">
        <f>Page3!J29</f>
        <v>14843</v>
      </c>
      <c r="F1557" t="str">
        <f t="shared" si="77"/>
        <v>02-00-68-EXPNS-CURR</v>
      </c>
      <c r="G1557" t="s">
        <v>127</v>
      </c>
      <c r="H1557" t="s">
        <v>10287</v>
      </c>
      <c r="I1557" t="s">
        <v>10253</v>
      </c>
      <c r="K1557" s="1073" t="s">
        <v>10837</v>
      </c>
      <c r="L1557" s="789" t="s">
        <v>10241</v>
      </c>
      <c r="M1557" s="790" t="s">
        <v>11432</v>
      </c>
      <c r="O1557" s="790" t="s">
        <v>11153</v>
      </c>
      <c r="P1557" s="790" t="s">
        <v>10244</v>
      </c>
      <c r="R1557" s="30"/>
    </row>
    <row r="1558" spans="2:18">
      <c r="B1558" s="5" t="s">
        <v>11806</v>
      </c>
      <c r="C1558" s="1038">
        <v>69</v>
      </c>
      <c r="D1558" s="7">
        <f>Page3!H30</f>
        <v>0</v>
      </c>
      <c r="E1558" s="7">
        <f>Page3!J30</f>
        <v>0</v>
      </c>
      <c r="F1558" t="str">
        <f t="shared" si="77"/>
        <v>02-00-69-EXPNS-CURR</v>
      </c>
      <c r="G1558" t="s">
        <v>127</v>
      </c>
      <c r="H1558" t="s">
        <v>10287</v>
      </c>
      <c r="I1558" t="s">
        <v>10253</v>
      </c>
      <c r="K1558" s="1073" t="s">
        <v>10837</v>
      </c>
      <c r="L1558" s="789" t="s">
        <v>10241</v>
      </c>
      <c r="M1558" s="790" t="s">
        <v>11434</v>
      </c>
      <c r="O1558" s="790" t="s">
        <v>11153</v>
      </c>
      <c r="P1558" s="790" t="s">
        <v>10244</v>
      </c>
      <c r="R1558" s="30"/>
    </row>
    <row r="1559" spans="2:18">
      <c r="B1559" s="5" t="s">
        <v>11807</v>
      </c>
      <c r="C1559" s="1038">
        <v>70</v>
      </c>
      <c r="D1559" s="7">
        <f>Page3!H31</f>
        <v>552</v>
      </c>
      <c r="E1559" s="7">
        <f>Page3!J31</f>
        <v>1561</v>
      </c>
      <c r="F1559" t="str">
        <f t="shared" si="77"/>
        <v>02-00-70-EXPNS-CURR</v>
      </c>
      <c r="G1559" t="s">
        <v>127</v>
      </c>
      <c r="H1559" t="s">
        <v>10287</v>
      </c>
      <c r="I1559" t="s">
        <v>10253</v>
      </c>
      <c r="K1559" s="1073" t="s">
        <v>10837</v>
      </c>
      <c r="L1559" s="789" t="s">
        <v>10241</v>
      </c>
      <c r="M1559" s="790" t="s">
        <v>11436</v>
      </c>
      <c r="O1559" s="790" t="s">
        <v>11153</v>
      </c>
      <c r="P1559" s="790" t="s">
        <v>10244</v>
      </c>
      <c r="R1559" s="30"/>
    </row>
    <row r="1560" spans="2:18">
      <c r="B1560" s="5" t="s">
        <v>11808</v>
      </c>
      <c r="C1560" s="1038">
        <v>71</v>
      </c>
      <c r="D1560" s="7">
        <f>Page3!H32</f>
        <v>260</v>
      </c>
      <c r="E1560" s="7">
        <f>Page3!J32</f>
        <v>1937</v>
      </c>
      <c r="F1560" t="str">
        <f t="shared" si="77"/>
        <v>02-00-71-EXPNS-CURR</v>
      </c>
      <c r="G1560" t="s">
        <v>127</v>
      </c>
      <c r="H1560" t="s">
        <v>10287</v>
      </c>
      <c r="I1560" t="s">
        <v>10253</v>
      </c>
      <c r="K1560" s="1073" t="s">
        <v>10837</v>
      </c>
      <c r="L1560" s="789" t="s">
        <v>10241</v>
      </c>
      <c r="M1560" s="790" t="s">
        <v>11438</v>
      </c>
      <c r="O1560" s="790" t="s">
        <v>11153</v>
      </c>
      <c r="P1560" s="790" t="s">
        <v>10244</v>
      </c>
      <c r="R1560" s="30"/>
    </row>
    <row r="1561" spans="2:18">
      <c r="B1561" s="5" t="s">
        <v>11809</v>
      </c>
      <c r="C1561" s="1038">
        <v>72</v>
      </c>
      <c r="D1561" s="7">
        <f>Page3!H33</f>
        <v>400</v>
      </c>
      <c r="E1561" s="7">
        <f>Page3!J33</f>
        <v>600</v>
      </c>
      <c r="F1561" t="str">
        <f t="shared" si="77"/>
        <v>02-00-72-EXPNS-CURR</v>
      </c>
      <c r="G1561" t="s">
        <v>127</v>
      </c>
      <c r="H1561" t="s">
        <v>10287</v>
      </c>
      <c r="I1561" t="s">
        <v>10253</v>
      </c>
      <c r="K1561" s="1073" t="s">
        <v>10837</v>
      </c>
      <c r="L1561" s="789" t="s">
        <v>10241</v>
      </c>
      <c r="M1561" s="790" t="s">
        <v>11440</v>
      </c>
      <c r="O1561" s="790" t="s">
        <v>11153</v>
      </c>
      <c r="P1561" s="790" t="s">
        <v>10244</v>
      </c>
      <c r="R1561" s="30"/>
    </row>
    <row r="1562" spans="2:18">
      <c r="B1562" s="40" t="s">
        <v>11810</v>
      </c>
      <c r="C1562" s="1038">
        <v>74</v>
      </c>
      <c r="D1562" s="7">
        <f>Page3!H34</f>
        <v>189</v>
      </c>
      <c r="E1562" s="7">
        <f>Page3!J34</f>
        <v>503</v>
      </c>
      <c r="F1562" t="str">
        <f t="shared" si="77"/>
        <v>02-00-74-EXPNS-CURR</v>
      </c>
      <c r="G1562" t="s">
        <v>127</v>
      </c>
      <c r="H1562" t="s">
        <v>10287</v>
      </c>
      <c r="I1562" t="s">
        <v>10253</v>
      </c>
      <c r="K1562" s="1073" t="s">
        <v>10837</v>
      </c>
      <c r="L1562" s="789" t="s">
        <v>10241</v>
      </c>
      <c r="M1562" s="790" t="s">
        <v>11442</v>
      </c>
      <c r="O1562" s="790" t="s">
        <v>11153</v>
      </c>
      <c r="P1562" s="790" t="s">
        <v>10244</v>
      </c>
      <c r="R1562" s="30"/>
    </row>
    <row r="1563" spans="2:18">
      <c r="B1563" s="5" t="s">
        <v>11811</v>
      </c>
      <c r="C1563" s="1038">
        <v>75</v>
      </c>
      <c r="D1563" s="7">
        <f>Page3!H35</f>
        <v>0</v>
      </c>
      <c r="E1563" s="7">
        <f>Page3!J35</f>
        <v>26</v>
      </c>
      <c r="F1563" t="str">
        <f t="shared" si="77"/>
        <v>02-00-75-EXPNS-CURR</v>
      </c>
      <c r="G1563" t="s">
        <v>127</v>
      </c>
      <c r="H1563" t="s">
        <v>10287</v>
      </c>
      <c r="I1563" t="s">
        <v>10253</v>
      </c>
      <c r="K1563" s="1073" t="s">
        <v>10837</v>
      </c>
      <c r="L1563" s="789" t="s">
        <v>10241</v>
      </c>
      <c r="M1563" s="790" t="s">
        <v>11444</v>
      </c>
      <c r="O1563" s="790" t="s">
        <v>11153</v>
      </c>
      <c r="P1563" s="790" t="s">
        <v>10244</v>
      </c>
      <c r="R1563" s="30"/>
    </row>
    <row r="1564" spans="2:18">
      <c r="B1564" s="5" t="s">
        <v>11812</v>
      </c>
      <c r="C1564" s="1038">
        <v>76</v>
      </c>
      <c r="D1564" s="7">
        <f>Page3!H36</f>
        <v>41301</v>
      </c>
      <c r="E1564" s="7">
        <f>Page3!J36</f>
        <v>185951</v>
      </c>
      <c r="F1564" t="str">
        <f t="shared" si="77"/>
        <v>02-00-76-EXPNS-CURR</v>
      </c>
      <c r="G1564" t="s">
        <v>127</v>
      </c>
      <c r="H1564" t="s">
        <v>10287</v>
      </c>
      <c r="I1564" t="s">
        <v>10253</v>
      </c>
      <c r="K1564" s="1073" t="s">
        <v>10837</v>
      </c>
      <c r="L1564" s="789" t="s">
        <v>10241</v>
      </c>
      <c r="M1564" s="790" t="s">
        <v>11446</v>
      </c>
      <c r="O1564" s="790" t="s">
        <v>11153</v>
      </c>
      <c r="P1564" s="790" t="s">
        <v>10244</v>
      </c>
      <c r="R1564" s="30"/>
    </row>
    <row r="1565" spans="2:18">
      <c r="B1565" s="5" t="s">
        <v>11813</v>
      </c>
      <c r="C1565" s="1038">
        <v>78</v>
      </c>
      <c r="D1565" s="7">
        <f>Page3!H37</f>
        <v>0</v>
      </c>
      <c r="E1565" s="7">
        <f>Page3!J37</f>
        <v>0</v>
      </c>
      <c r="F1565" t="str">
        <f t="shared" si="77"/>
        <v>02-00-78-EXPNS-CURR</v>
      </c>
      <c r="G1565" t="s">
        <v>127</v>
      </c>
      <c r="H1565" t="s">
        <v>10287</v>
      </c>
      <c r="I1565" t="s">
        <v>10253</v>
      </c>
      <c r="K1565" s="1073" t="s">
        <v>10837</v>
      </c>
      <c r="L1565" s="789" t="s">
        <v>10241</v>
      </c>
      <c r="M1565" s="790">
        <v>78</v>
      </c>
      <c r="O1565" s="790" t="s">
        <v>11153</v>
      </c>
      <c r="P1565" s="790" t="s">
        <v>10244</v>
      </c>
      <c r="R1565" s="30"/>
    </row>
    <row r="1566" spans="2:18">
      <c r="B1566" s="5" t="s">
        <v>11814</v>
      </c>
      <c r="C1566" s="1038">
        <v>79</v>
      </c>
      <c r="D1566" s="7">
        <f>Page3!H38</f>
        <v>755</v>
      </c>
      <c r="E1566" s="7">
        <f>Page3!J38</f>
        <v>2580</v>
      </c>
      <c r="F1566" t="str">
        <f t="shared" si="77"/>
        <v>02-00-79-EXPNS-CURR</v>
      </c>
      <c r="G1566" t="s">
        <v>127</v>
      </c>
      <c r="H1566" t="s">
        <v>10287</v>
      </c>
      <c r="I1566" t="s">
        <v>10253</v>
      </c>
      <c r="K1566" s="1073" t="s">
        <v>10837</v>
      </c>
      <c r="L1566" s="789" t="s">
        <v>10241</v>
      </c>
      <c r="M1566" s="790">
        <v>79</v>
      </c>
      <c r="O1566" s="790" t="s">
        <v>11153</v>
      </c>
      <c r="P1566" s="790" t="s">
        <v>10244</v>
      </c>
      <c r="R1566" s="30"/>
    </row>
    <row r="1567" spans="2:18">
      <c r="B1567" s="5" t="s">
        <v>11815</v>
      </c>
      <c r="C1567" s="1038">
        <v>56</v>
      </c>
      <c r="D1567" s="7">
        <f>Page3!H39</f>
        <v>0</v>
      </c>
      <c r="E1567" s="7">
        <f>Page3!J39</f>
        <v>0</v>
      </c>
      <c r="F1567" t="str">
        <f t="shared" si="77"/>
        <v>02-00-56-EXPNS-CURR</v>
      </c>
      <c r="G1567" t="s">
        <v>127</v>
      </c>
      <c r="H1567" t="s">
        <v>10287</v>
      </c>
      <c r="I1567" t="s">
        <v>10253</v>
      </c>
      <c r="K1567" s="1073" t="s">
        <v>10837</v>
      </c>
      <c r="L1567" s="789" t="s">
        <v>10241</v>
      </c>
      <c r="M1567" s="790">
        <v>56</v>
      </c>
      <c r="O1567" s="790" t="s">
        <v>11153</v>
      </c>
      <c r="P1567" s="790" t="s">
        <v>10244</v>
      </c>
      <c r="R1567" s="30"/>
    </row>
    <row r="1568" spans="2:18">
      <c r="B1568" s="5" t="s">
        <v>11816</v>
      </c>
      <c r="C1568" s="1038">
        <v>57</v>
      </c>
      <c r="D1568" s="7">
        <f>Page3!H40</f>
        <v>0</v>
      </c>
      <c r="E1568" s="7">
        <f>Page3!J40</f>
        <v>0</v>
      </c>
      <c r="F1568" t="str">
        <f t="shared" si="77"/>
        <v>02-00-57-EXPNS-CURR</v>
      </c>
      <c r="G1568" t="s">
        <v>127</v>
      </c>
      <c r="H1568" t="s">
        <v>10287</v>
      </c>
      <c r="I1568" t="s">
        <v>10253</v>
      </c>
      <c r="K1568" s="1073" t="s">
        <v>10837</v>
      </c>
      <c r="L1568" s="789" t="s">
        <v>10241</v>
      </c>
      <c r="M1568" s="790">
        <v>57</v>
      </c>
      <c r="O1568" s="790" t="s">
        <v>11153</v>
      </c>
      <c r="P1568" s="790" t="s">
        <v>10244</v>
      </c>
      <c r="R1568" s="30"/>
    </row>
    <row r="1569" spans="2:18">
      <c r="B1569" s="5" t="s">
        <v>11817</v>
      </c>
      <c r="C1569" s="1038">
        <v>33</v>
      </c>
      <c r="D1569" s="7">
        <f>Page3!H41</f>
        <v>778</v>
      </c>
      <c r="E1569" s="7">
        <f>Page3!J41</f>
        <v>2835</v>
      </c>
      <c r="F1569" t="str">
        <f t="shared" si="77"/>
        <v>02-00-33-EXPNS-CURR</v>
      </c>
      <c r="G1569" t="s">
        <v>127</v>
      </c>
      <c r="H1569" t="s">
        <v>10287</v>
      </c>
      <c r="I1569" t="s">
        <v>10253</v>
      </c>
      <c r="K1569" s="1073" t="s">
        <v>10837</v>
      </c>
      <c r="L1569" s="789" t="s">
        <v>10241</v>
      </c>
      <c r="M1569" s="790">
        <v>33</v>
      </c>
      <c r="O1569" s="790" t="s">
        <v>11153</v>
      </c>
      <c r="P1569" s="790" t="s">
        <v>10244</v>
      </c>
      <c r="R1569" s="30"/>
    </row>
    <row r="1570" spans="2:18">
      <c r="B1570" s="5" t="s">
        <v>11818</v>
      </c>
      <c r="C1570" s="1038">
        <v>77</v>
      </c>
      <c r="D1570" s="7">
        <f>Page3!H42</f>
        <v>0</v>
      </c>
      <c r="E1570" s="7">
        <f>Page3!J42</f>
        <v>156</v>
      </c>
      <c r="F1570" t="str">
        <f t="shared" si="77"/>
        <v>02-00-77-EXPNS-CURR</v>
      </c>
      <c r="G1570" t="s">
        <v>127</v>
      </c>
      <c r="H1570" t="s">
        <v>10287</v>
      </c>
      <c r="I1570" t="s">
        <v>10253</v>
      </c>
      <c r="K1570" s="1073" t="s">
        <v>10837</v>
      </c>
      <c r="L1570" s="789" t="s">
        <v>10241</v>
      </c>
      <c r="M1570" s="790" t="s">
        <v>11455</v>
      </c>
      <c r="O1570" s="790" t="s">
        <v>11153</v>
      </c>
      <c r="P1570" s="790" t="s">
        <v>10244</v>
      </c>
      <c r="R1570" s="30"/>
    </row>
    <row r="1571" spans="2:18">
      <c r="B1571" s="51" t="s">
        <v>11819</v>
      </c>
      <c r="C1571" s="1042"/>
      <c r="D1571" s="7">
        <f>Page3!H43</f>
        <v>62708</v>
      </c>
      <c r="E1571" s="7">
        <f>Page3!J43</f>
        <v>269438</v>
      </c>
      <c r="F1571" t="str">
        <f t="shared" si="77"/>
        <v>02-00-SEMIFIXD-EXPNS-CURR</v>
      </c>
      <c r="G1571" t="s">
        <v>127</v>
      </c>
      <c r="H1571" t="s">
        <v>10287</v>
      </c>
      <c r="I1571" t="s">
        <v>10253</v>
      </c>
      <c r="J1571" t="s">
        <v>10268</v>
      </c>
      <c r="K1571" s="1073" t="s">
        <v>10837</v>
      </c>
      <c r="L1571" s="789" t="s">
        <v>10241</v>
      </c>
      <c r="M1571" s="790" t="s">
        <v>11457</v>
      </c>
      <c r="O1571" s="790" t="s">
        <v>11153</v>
      </c>
      <c r="P1571" s="790" t="s">
        <v>10244</v>
      </c>
      <c r="Q1571" s="791" t="s">
        <v>773</v>
      </c>
    </row>
    <row r="1572" spans="2:18">
      <c r="B1572" s="5" t="s">
        <v>11820</v>
      </c>
      <c r="C1572" s="1038">
        <v>80</v>
      </c>
      <c r="D1572" s="7">
        <f>Page3!H44</f>
        <v>9480</v>
      </c>
      <c r="E1572" s="7">
        <f>Page3!J44</f>
        <v>37020</v>
      </c>
      <c r="F1572" t="str">
        <f t="shared" si="77"/>
        <v>02-00-80-EXPNS-CURR</v>
      </c>
      <c r="G1572" t="s">
        <v>127</v>
      </c>
      <c r="H1572" t="s">
        <v>10287</v>
      </c>
      <c r="I1572" t="s">
        <v>10253</v>
      </c>
      <c r="K1572" s="1073" t="s">
        <v>10837</v>
      </c>
      <c r="L1572" s="789" t="s">
        <v>10241</v>
      </c>
      <c r="M1572" s="790" t="s">
        <v>11459</v>
      </c>
      <c r="O1572" s="790" t="s">
        <v>11153</v>
      </c>
      <c r="P1572" s="790" t="s">
        <v>10244</v>
      </c>
      <c r="R1572" s="30"/>
    </row>
    <row r="1573" spans="2:18">
      <c r="B1573" s="5" t="s">
        <v>11821</v>
      </c>
      <c r="C1573" s="1038">
        <v>81</v>
      </c>
      <c r="D1573" s="7">
        <f>Page3!H45</f>
        <v>0</v>
      </c>
      <c r="E1573" s="7">
        <f>Page3!J45</f>
        <v>0</v>
      </c>
      <c r="F1573" t="str">
        <f t="shared" si="77"/>
        <v>02-00-81-EXPNS-CURR</v>
      </c>
      <c r="G1573" t="s">
        <v>127</v>
      </c>
      <c r="H1573" t="s">
        <v>10287</v>
      </c>
      <c r="I1573" t="s">
        <v>10253</v>
      </c>
      <c r="K1573" s="1073" t="s">
        <v>10837</v>
      </c>
      <c r="L1573" s="789" t="s">
        <v>10241</v>
      </c>
      <c r="M1573" s="790" t="s">
        <v>11461</v>
      </c>
      <c r="O1573" s="790" t="s">
        <v>11153</v>
      </c>
      <c r="P1573" s="790" t="s">
        <v>10244</v>
      </c>
      <c r="R1573" s="30"/>
    </row>
    <row r="1574" spans="2:18">
      <c r="B1574" s="5" t="s">
        <v>11822</v>
      </c>
      <c r="C1574" s="1038">
        <v>82</v>
      </c>
      <c r="D1574" s="7">
        <f>Page3!H46</f>
        <v>566</v>
      </c>
      <c r="E1574" s="7">
        <f>Page3!J46</f>
        <v>6332</v>
      </c>
      <c r="F1574" t="str">
        <f t="shared" si="77"/>
        <v>02-00-82-EXPNS-CURR</v>
      </c>
      <c r="G1574" t="s">
        <v>127</v>
      </c>
      <c r="H1574" t="s">
        <v>10287</v>
      </c>
      <c r="I1574" t="s">
        <v>10253</v>
      </c>
      <c r="K1574" s="1073" t="s">
        <v>10837</v>
      </c>
      <c r="L1574" s="789" t="s">
        <v>10241</v>
      </c>
      <c r="M1574" s="790" t="s">
        <v>11463</v>
      </c>
      <c r="O1574" s="790" t="s">
        <v>11153</v>
      </c>
      <c r="P1574" s="790" t="s">
        <v>10244</v>
      </c>
      <c r="R1574" s="30"/>
    </row>
    <row r="1575" spans="2:18">
      <c r="B1575" s="5" t="s">
        <v>11823</v>
      </c>
      <c r="C1575" s="1038">
        <v>83</v>
      </c>
      <c r="D1575" s="7">
        <f>Page3!H47</f>
        <v>15</v>
      </c>
      <c r="E1575" s="7">
        <f>Page3!J47</f>
        <v>62</v>
      </c>
      <c r="F1575" t="str">
        <f t="shared" si="77"/>
        <v>02-00-83-EXPNS-CURR</v>
      </c>
      <c r="G1575" t="s">
        <v>127</v>
      </c>
      <c r="H1575" t="s">
        <v>10287</v>
      </c>
      <c r="I1575" t="s">
        <v>10253</v>
      </c>
      <c r="K1575" s="1073" t="s">
        <v>10837</v>
      </c>
      <c r="L1575" s="789" t="s">
        <v>10241</v>
      </c>
      <c r="M1575" s="790" t="s">
        <v>11465</v>
      </c>
      <c r="O1575" s="790" t="s">
        <v>11153</v>
      </c>
      <c r="P1575" s="790" t="s">
        <v>10244</v>
      </c>
      <c r="R1575" s="30"/>
    </row>
    <row r="1576" spans="2:18">
      <c r="B1576" s="5" t="s">
        <v>11824</v>
      </c>
      <c r="C1576" s="1038">
        <v>84</v>
      </c>
      <c r="D1576" s="7">
        <f>Page3!H48</f>
        <v>1200</v>
      </c>
      <c r="E1576" s="7">
        <f>Page3!J48</f>
        <v>4800</v>
      </c>
      <c r="F1576" t="str">
        <f t="shared" si="77"/>
        <v>02-00-84-EXPNS-CURR</v>
      </c>
      <c r="G1576" t="s">
        <v>127</v>
      </c>
      <c r="H1576" t="s">
        <v>10287</v>
      </c>
      <c r="I1576" t="s">
        <v>10253</v>
      </c>
      <c r="K1576" s="1073" t="s">
        <v>10837</v>
      </c>
      <c r="L1576" s="789" t="s">
        <v>10241</v>
      </c>
      <c r="M1576" s="790" t="s">
        <v>11467</v>
      </c>
      <c r="O1576" s="790" t="s">
        <v>11153</v>
      </c>
      <c r="P1576" s="790" t="s">
        <v>10244</v>
      </c>
      <c r="R1576" s="30"/>
    </row>
    <row r="1577" spans="2:18">
      <c r="B1577" s="5" t="s">
        <v>11825</v>
      </c>
      <c r="C1577" s="1038">
        <v>85</v>
      </c>
      <c r="D1577" s="7">
        <f>Page3!H49</f>
        <v>816</v>
      </c>
      <c r="E1577" s="7">
        <f>Page3!J49</f>
        <v>3264</v>
      </c>
      <c r="F1577" t="str">
        <f t="shared" si="77"/>
        <v>02-00-85-EXPNS-CURR</v>
      </c>
      <c r="G1577" t="s">
        <v>127</v>
      </c>
      <c r="H1577" t="s">
        <v>10287</v>
      </c>
      <c r="I1577" t="s">
        <v>10253</v>
      </c>
      <c r="K1577" s="1073" t="s">
        <v>10837</v>
      </c>
      <c r="L1577" s="789" t="s">
        <v>10241</v>
      </c>
      <c r="M1577" s="790" t="s">
        <v>11469</v>
      </c>
      <c r="O1577" s="790" t="s">
        <v>11153</v>
      </c>
      <c r="P1577" s="790" t="s">
        <v>10244</v>
      </c>
      <c r="R1577" s="30"/>
    </row>
    <row r="1578" spans="2:18">
      <c r="B1578" s="5" t="s">
        <v>11826</v>
      </c>
      <c r="C1578" s="1038">
        <v>86</v>
      </c>
      <c r="D1578" s="7">
        <f>Page3!H50</f>
        <v>0</v>
      </c>
      <c r="E1578" s="7">
        <f>Page3!J50</f>
        <v>0</v>
      </c>
      <c r="F1578" t="str">
        <f t="shared" si="77"/>
        <v>02-00-86-EXPNS-CURR</v>
      </c>
      <c r="G1578" t="s">
        <v>127</v>
      </c>
      <c r="H1578" t="s">
        <v>10287</v>
      </c>
      <c r="I1578" t="s">
        <v>10253</v>
      </c>
      <c r="K1578" s="1073" t="s">
        <v>10837</v>
      </c>
      <c r="L1578" s="789" t="s">
        <v>10241</v>
      </c>
      <c r="M1578" s="790" t="s">
        <v>11471</v>
      </c>
      <c r="O1578" s="790" t="s">
        <v>11153</v>
      </c>
      <c r="P1578" s="790" t="s">
        <v>10244</v>
      </c>
      <c r="R1578" s="30"/>
    </row>
    <row r="1579" spans="2:18">
      <c r="B1579" s="5" t="s">
        <v>11827</v>
      </c>
      <c r="C1579" s="1038">
        <v>87</v>
      </c>
      <c r="D1579" s="7">
        <f>Page3!H51</f>
        <v>1997</v>
      </c>
      <c r="E1579" s="7">
        <f>Page3!J51</f>
        <v>7883</v>
      </c>
      <c r="F1579" t="str">
        <f>TEXT(K1579,"00")&amp;"-"&amp;L1579&amp;IF(M1579="","","-"&amp;M1579)&amp;IF(N1579="","","-"&amp;N1579)&amp;IF(OR(O1579="",O1579=0),"","-"&amp;O1579)&amp;IF(P1579="","","-"&amp;P1579)</f>
        <v>02-00-87-EXPNS-CURR</v>
      </c>
      <c r="G1579" t="s">
        <v>127</v>
      </c>
      <c r="H1579" t="s">
        <v>10287</v>
      </c>
      <c r="I1579" t="s">
        <v>10253</v>
      </c>
      <c r="K1579" s="1073" t="s">
        <v>10837</v>
      </c>
      <c r="L1579" s="789" t="s">
        <v>10241</v>
      </c>
      <c r="M1579" s="790" t="s">
        <v>11473</v>
      </c>
      <c r="O1579" s="790" t="s">
        <v>11153</v>
      </c>
      <c r="P1579" s="790" t="s">
        <v>10244</v>
      </c>
      <c r="R1579" s="30"/>
    </row>
    <row r="1580" spans="2:18">
      <c r="B1580" s="27" t="s">
        <v>11828</v>
      </c>
      <c r="C1580" s="1042"/>
      <c r="D1580" s="7">
        <f>Page3!H52</f>
        <v>14074</v>
      </c>
      <c r="E1580" s="7">
        <f>Page3!J52</f>
        <v>59361</v>
      </c>
      <c r="F1580" t="str">
        <f t="shared" si="77"/>
        <v>02-00-RENTEQUV-EXPNS-CURR</v>
      </c>
      <c r="G1580" t="s">
        <v>127</v>
      </c>
      <c r="H1580" t="s">
        <v>10287</v>
      </c>
      <c r="I1580" t="s">
        <v>10253</v>
      </c>
      <c r="J1580" t="s">
        <v>10268</v>
      </c>
      <c r="K1580" s="1073" t="s">
        <v>10837</v>
      </c>
      <c r="L1580" s="789" t="s">
        <v>10241</v>
      </c>
      <c r="M1580" s="790" t="s">
        <v>11475</v>
      </c>
      <c r="O1580" s="790" t="s">
        <v>11153</v>
      </c>
      <c r="P1580" s="790" t="s">
        <v>10244</v>
      </c>
      <c r="Q1580" s="791" t="s">
        <v>773</v>
      </c>
    </row>
    <row r="1581" spans="2:18">
      <c r="B1581" s="5" t="s">
        <v>11829</v>
      </c>
      <c r="C1581" s="1038">
        <v>88</v>
      </c>
      <c r="D1581" s="7">
        <f>Page3!H53</f>
        <v>2911</v>
      </c>
      <c r="E1581" s="7">
        <f>Page3!J53</f>
        <v>12561</v>
      </c>
      <c r="F1581" t="str">
        <f t="shared" si="77"/>
        <v>02-00-88-EXPNS-CURR</v>
      </c>
      <c r="G1581" t="s">
        <v>127</v>
      </c>
      <c r="H1581" t="s">
        <v>10287</v>
      </c>
      <c r="I1581" t="s">
        <v>10253</v>
      </c>
      <c r="K1581" s="1073" t="s">
        <v>10837</v>
      </c>
      <c r="L1581" s="789" t="s">
        <v>10241</v>
      </c>
      <c r="M1581" s="790" t="s">
        <v>11477</v>
      </c>
      <c r="O1581" s="790" t="s">
        <v>11153</v>
      </c>
      <c r="P1581" s="790" t="s">
        <v>10244</v>
      </c>
      <c r="R1581" s="30"/>
    </row>
    <row r="1582" spans="2:18">
      <c r="B1582" s="5" t="s">
        <v>11830</v>
      </c>
      <c r="C1582" s="1038">
        <v>89</v>
      </c>
      <c r="D1582" s="7">
        <f>Page3!H54</f>
        <v>0</v>
      </c>
      <c r="E1582" s="7">
        <f>Page3!J54</f>
        <v>0</v>
      </c>
      <c r="F1582" t="str">
        <f t="shared" si="77"/>
        <v>02-00-89-EXPNS-CURR</v>
      </c>
      <c r="G1582" t="s">
        <v>127</v>
      </c>
      <c r="H1582" t="s">
        <v>10287</v>
      </c>
      <c r="I1582" t="s">
        <v>10253</v>
      </c>
      <c r="K1582" s="1073" t="s">
        <v>10837</v>
      </c>
      <c r="L1582" s="789" t="s">
        <v>10241</v>
      </c>
      <c r="M1582" s="790" t="s">
        <v>11479</v>
      </c>
      <c r="O1582" s="790" t="s">
        <v>11153</v>
      </c>
      <c r="P1582" s="790" t="s">
        <v>10244</v>
      </c>
      <c r="R1582" s="30"/>
    </row>
    <row r="1583" spans="2:18">
      <c r="B1583" s="5" t="s">
        <v>11831</v>
      </c>
      <c r="C1583" s="1038">
        <v>90</v>
      </c>
      <c r="D1583" s="7">
        <f>Page3!H55</f>
        <v>0</v>
      </c>
      <c r="E1583" s="7">
        <f>Page3!J55</f>
        <v>294</v>
      </c>
      <c r="F1583" t="str">
        <f t="shared" si="77"/>
        <v>02-00-90-EXPNS-CURR</v>
      </c>
      <c r="G1583" t="s">
        <v>127</v>
      </c>
      <c r="H1583" t="s">
        <v>10287</v>
      </c>
      <c r="I1583" t="s">
        <v>10253</v>
      </c>
      <c r="K1583" s="1073" t="s">
        <v>10837</v>
      </c>
      <c r="L1583" s="789" t="s">
        <v>10241</v>
      </c>
      <c r="M1583" s="790" t="s">
        <v>11481</v>
      </c>
      <c r="O1583" s="790" t="s">
        <v>11153</v>
      </c>
      <c r="P1583" s="790" t="s">
        <v>10244</v>
      </c>
      <c r="R1583" s="30"/>
    </row>
    <row r="1584" spans="2:18">
      <c r="B1584" s="5" t="s">
        <v>11832</v>
      </c>
      <c r="C1584" s="1038">
        <v>91</v>
      </c>
      <c r="D1584" s="7">
        <f>Page3!H56</f>
        <v>2702</v>
      </c>
      <c r="E1584" s="7">
        <f>Page3!J56</f>
        <v>10808</v>
      </c>
      <c r="F1584" t="str">
        <f t="shared" si="77"/>
        <v>02-00-91-EXPNS-CURR</v>
      </c>
      <c r="G1584" t="s">
        <v>127</v>
      </c>
      <c r="H1584" t="s">
        <v>10287</v>
      </c>
      <c r="I1584" t="s">
        <v>10253</v>
      </c>
      <c r="K1584" s="1073" t="s">
        <v>10837</v>
      </c>
      <c r="L1584" s="789" t="s">
        <v>10241</v>
      </c>
      <c r="M1584" s="790" t="s">
        <v>11483</v>
      </c>
      <c r="O1584" s="790" t="s">
        <v>11153</v>
      </c>
      <c r="P1584" s="790" t="s">
        <v>10244</v>
      </c>
      <c r="R1584" s="30"/>
    </row>
    <row r="1585" spans="2:18">
      <c r="B1585" s="5" t="s">
        <v>11833</v>
      </c>
      <c r="C1585" s="1055">
        <v>92</v>
      </c>
      <c r="D1585" s="7">
        <f>Page3!H57</f>
        <v>0</v>
      </c>
      <c r="E1585" s="7">
        <f>Page3!J57</f>
        <v>0</v>
      </c>
      <c r="F1585" t="str">
        <f t="shared" si="77"/>
        <v>02-00-92-EXPNS-CURR</v>
      </c>
      <c r="G1585" t="s">
        <v>127</v>
      </c>
      <c r="H1585" t="s">
        <v>10287</v>
      </c>
      <c r="I1585" t="s">
        <v>10253</v>
      </c>
      <c r="K1585" s="1073" t="s">
        <v>10837</v>
      </c>
      <c r="L1585" s="789" t="s">
        <v>10241</v>
      </c>
      <c r="M1585" s="790" t="s">
        <v>11485</v>
      </c>
      <c r="O1585" s="790" t="s">
        <v>11153</v>
      </c>
      <c r="P1585" s="790" t="s">
        <v>10244</v>
      </c>
      <c r="R1585" s="30"/>
    </row>
    <row r="1586" spans="2:18">
      <c r="B1586" s="40" t="s">
        <v>11834</v>
      </c>
      <c r="C1586" s="1042"/>
      <c r="D1586" s="7">
        <f>Page3!H58</f>
        <v>19687</v>
      </c>
      <c r="E1586" s="7">
        <f>Page3!J58</f>
        <v>83024</v>
      </c>
      <c r="F1586" t="str">
        <f t="shared" si="77"/>
        <v>02-00-FIXEDEXP-EXPNS-CURR</v>
      </c>
      <c r="G1586" t="s">
        <v>127</v>
      </c>
      <c r="H1586" t="s">
        <v>10287</v>
      </c>
      <c r="I1586" t="s">
        <v>10253</v>
      </c>
      <c r="J1586" t="s">
        <v>10268</v>
      </c>
      <c r="K1586" s="1073" t="s">
        <v>10837</v>
      </c>
      <c r="L1586" s="789" t="s">
        <v>10241</v>
      </c>
      <c r="M1586" s="790" t="s">
        <v>11487</v>
      </c>
      <c r="O1586" s="790" t="s">
        <v>11153</v>
      </c>
      <c r="P1586" s="790" t="s">
        <v>10244</v>
      </c>
      <c r="Q1586" s="791" t="s">
        <v>773</v>
      </c>
    </row>
    <row r="1587" spans="2:18">
      <c r="B1587" s="40" t="s">
        <v>11835</v>
      </c>
      <c r="C1587" s="1042"/>
      <c r="D1587" s="7">
        <f>Page3!H59</f>
        <v>132463</v>
      </c>
      <c r="E1587" s="7">
        <f>Page3!J59</f>
        <v>522580</v>
      </c>
      <c r="F1587" t="str">
        <f t="shared" si="77"/>
        <v>02-00-FIXOVERH-EXPNS-CURR</v>
      </c>
      <c r="G1587" t="s">
        <v>127</v>
      </c>
      <c r="H1587" t="s">
        <v>10287</v>
      </c>
      <c r="I1587" t="s">
        <v>10253</v>
      </c>
      <c r="J1587" t="s">
        <v>10268</v>
      </c>
      <c r="K1587" s="1073" t="s">
        <v>10837</v>
      </c>
      <c r="L1587" s="789" t="s">
        <v>10241</v>
      </c>
      <c r="M1587" s="790" t="s">
        <v>11489</v>
      </c>
      <c r="O1587" s="790" t="s">
        <v>11153</v>
      </c>
      <c r="P1587" s="790" t="s">
        <v>10244</v>
      </c>
      <c r="Q1587" s="791" t="s">
        <v>773</v>
      </c>
    </row>
    <row r="1588" spans="2:18">
      <c r="B1588" s="40" t="s">
        <v>11836</v>
      </c>
      <c r="C1588" s="1042"/>
      <c r="D1588" s="7">
        <f>Page3!H60</f>
        <v>149792</v>
      </c>
      <c r="E1588" s="7">
        <f>Page3!J60</f>
        <v>593013</v>
      </c>
      <c r="F1588" t="str">
        <f t="shared" si="77"/>
        <v>02-00-TOTALEXP-EXPNS-CURR</v>
      </c>
      <c r="G1588" t="s">
        <v>127</v>
      </c>
      <c r="H1588" t="s">
        <v>10287</v>
      </c>
      <c r="I1588" t="s">
        <v>10253</v>
      </c>
      <c r="J1588" t="s">
        <v>10268</v>
      </c>
      <c r="K1588" s="1073" t="s">
        <v>10837</v>
      </c>
      <c r="L1588" s="789" t="s">
        <v>10241</v>
      </c>
      <c r="M1588" s="790" t="s">
        <v>11491</v>
      </c>
      <c r="O1588" s="790" t="s">
        <v>11153</v>
      </c>
      <c r="P1588" s="790" t="s">
        <v>10244</v>
      </c>
      <c r="Q1588" s="791" t="s">
        <v>773</v>
      </c>
    </row>
    <row r="1589" spans="2:18">
      <c r="B1589" s="40" t="s">
        <v>11837</v>
      </c>
      <c r="C1589" s="1042"/>
      <c r="D1589" s="7">
        <f>Page3!H61</f>
        <v>71566</v>
      </c>
      <c r="E1589" s="7">
        <f>Page3!J61</f>
        <v>198780</v>
      </c>
      <c r="F1589" t="str">
        <f t="shared" si="77"/>
        <v>02-00-P&amp;LDEPT-AMT-CURR</v>
      </c>
      <c r="G1589" t="s">
        <v>127</v>
      </c>
      <c r="H1589" t="s">
        <v>10287</v>
      </c>
      <c r="I1589" t="s">
        <v>10253</v>
      </c>
      <c r="J1589" t="s">
        <v>10268</v>
      </c>
      <c r="K1589" s="1073" t="s">
        <v>10837</v>
      </c>
      <c r="L1589" s="789" t="s">
        <v>10241</v>
      </c>
      <c r="M1589" s="790" t="s">
        <v>11774</v>
      </c>
      <c r="O1589" s="790" t="s">
        <v>10263</v>
      </c>
      <c r="P1589" s="790" t="s">
        <v>10244</v>
      </c>
      <c r="Q1589" s="791" t="s">
        <v>773</v>
      </c>
    </row>
    <row r="1590" spans="2:18">
      <c r="B1590" s="40" t="s">
        <v>11838</v>
      </c>
      <c r="C1590" s="1042"/>
      <c r="D1590" s="7">
        <f>Page3!H62</f>
        <v>4272</v>
      </c>
      <c r="E1590" s="7">
        <f>Page3!J62</f>
        <v>13971</v>
      </c>
      <c r="F1590" t="str">
        <f t="shared" ref="F1590:F1653" si="78">TEXT(K1590,"00")&amp;"-"&amp;L1590&amp;IF(M1590="","","-"&amp;M1590)&amp;IF(N1590="","","-"&amp;N1590)&amp;IF(OR(O1590="",O1590=0),"","-"&amp;O1590)&amp;IF(P1590="","","-"&amp;P1590)</f>
        <v>02-00-FIPPINCM-TRANSFER-CURR</v>
      </c>
      <c r="G1590" t="s">
        <v>127</v>
      </c>
      <c r="H1590" t="s">
        <v>10287</v>
      </c>
      <c r="I1590" t="s">
        <v>10253</v>
      </c>
      <c r="J1590" t="s">
        <v>10268</v>
      </c>
      <c r="K1590" s="1073" t="s">
        <v>10837</v>
      </c>
      <c r="L1590" s="789" t="s">
        <v>10241</v>
      </c>
      <c r="M1590" s="790" t="s">
        <v>11776</v>
      </c>
      <c r="O1590" s="790" t="s">
        <v>11777</v>
      </c>
      <c r="P1590" s="790" t="s">
        <v>10244</v>
      </c>
      <c r="Q1590" s="791" t="s">
        <v>773</v>
      </c>
    </row>
    <row r="1591" spans="2:18">
      <c r="B1591" s="40" t="s">
        <v>11839</v>
      </c>
      <c r="C1591" s="1059"/>
      <c r="D1591" s="7">
        <f>Page3!H63</f>
        <v>0</v>
      </c>
      <c r="E1591" s="7">
        <f>Page3!J63</f>
        <v>0</v>
      </c>
      <c r="F1591" t="str">
        <f t="shared" si="78"/>
        <v>02-00-G&amp;APRO-AMT-CURR</v>
      </c>
      <c r="G1591" t="s">
        <v>127</v>
      </c>
      <c r="H1591" t="s">
        <v>10287</v>
      </c>
      <c r="I1591" t="s">
        <v>10253</v>
      </c>
      <c r="K1591" s="1073" t="s">
        <v>10837</v>
      </c>
      <c r="L1591" s="789" t="s">
        <v>10241</v>
      </c>
      <c r="M1591" s="790" t="s">
        <v>11779</v>
      </c>
      <c r="O1591" s="790" t="s">
        <v>10263</v>
      </c>
      <c r="P1591" s="790" t="s">
        <v>10244</v>
      </c>
    </row>
    <row r="1592" spans="2:18">
      <c r="B1592" s="40" t="s">
        <v>11840</v>
      </c>
      <c r="C1592" s="1042"/>
      <c r="D1592" s="7">
        <f>Page3!H64</f>
        <v>75838</v>
      </c>
      <c r="E1592" s="7">
        <f>Page3!J64</f>
        <v>212751</v>
      </c>
      <c r="F1592" t="str">
        <f t="shared" si="78"/>
        <v>02-00-P&amp;LDEPT-AFTERPRO-CURR</v>
      </c>
      <c r="G1592" t="s">
        <v>127</v>
      </c>
      <c r="H1592" t="s">
        <v>10287</v>
      </c>
      <c r="I1592" t="s">
        <v>10253</v>
      </c>
      <c r="J1592" t="s">
        <v>10268</v>
      </c>
      <c r="K1592" s="1073" t="s">
        <v>10837</v>
      </c>
      <c r="L1592" s="789" t="s">
        <v>10241</v>
      </c>
      <c r="M1592" s="790" t="s">
        <v>11774</v>
      </c>
      <c r="O1592" s="790" t="s">
        <v>11781</v>
      </c>
      <c r="P1592" s="790" t="s">
        <v>10244</v>
      </c>
      <c r="Q1592" s="791" t="s">
        <v>773</v>
      </c>
    </row>
    <row r="1593" spans="2:18">
      <c r="B1593" s="51" t="s">
        <v>11841</v>
      </c>
      <c r="C1593" s="1042"/>
      <c r="D1593" s="7">
        <f>Page3!L4</f>
        <v>0</v>
      </c>
      <c r="E1593" s="7">
        <f>Page3!N4</f>
        <v>0</v>
      </c>
      <c r="F1593" t="str">
        <f t="shared" si="78"/>
        <v>03-00-TOTAL-SALES-CURR</v>
      </c>
      <c r="G1593" t="s">
        <v>127</v>
      </c>
      <c r="H1593" t="s">
        <v>10287</v>
      </c>
      <c r="I1593" t="s">
        <v>10253</v>
      </c>
      <c r="J1593" t="s">
        <v>10268</v>
      </c>
      <c r="K1593" s="1073" t="s">
        <v>10981</v>
      </c>
      <c r="L1593" s="789" t="s">
        <v>10241</v>
      </c>
      <c r="M1593" s="790" t="s">
        <v>834</v>
      </c>
      <c r="O1593" s="790" t="s">
        <v>9883</v>
      </c>
      <c r="P1593" s="790" t="s">
        <v>10244</v>
      </c>
      <c r="Q1593" s="791" t="s">
        <v>773</v>
      </c>
    </row>
    <row r="1594" spans="2:18">
      <c r="B1594" s="40" t="s">
        <v>11842</v>
      </c>
      <c r="C1594" s="1042"/>
      <c r="D1594" s="7">
        <f>Page3!L5</f>
        <v>0</v>
      </c>
      <c r="E1594" s="7">
        <f>Page3!N5</f>
        <v>0</v>
      </c>
      <c r="F1594" t="str">
        <f t="shared" si="78"/>
        <v>03-00-GPINTOTL-GRSPFT-CURR</v>
      </c>
      <c r="G1594" t="s">
        <v>127</v>
      </c>
      <c r="H1594" t="s">
        <v>10287</v>
      </c>
      <c r="I1594" t="s">
        <v>10253</v>
      </c>
      <c r="J1594" t="s">
        <v>10268</v>
      </c>
      <c r="K1594" s="1073" t="s">
        <v>10981</v>
      </c>
      <c r="L1594" s="789" t="s">
        <v>10241</v>
      </c>
      <c r="M1594" s="790" t="s">
        <v>11843</v>
      </c>
      <c r="O1594" s="790" t="s">
        <v>10467</v>
      </c>
      <c r="P1594" s="790" t="s">
        <v>10244</v>
      </c>
      <c r="Q1594" s="791" t="s">
        <v>773</v>
      </c>
    </row>
    <row r="1595" spans="2:18">
      <c r="B1595" s="40" t="s">
        <v>11844</v>
      </c>
      <c r="C1595" s="1038">
        <v>11</v>
      </c>
      <c r="D1595" s="7">
        <f>Page3!L7</f>
        <v>0</v>
      </c>
      <c r="E1595" s="7">
        <f>Page3!N7</f>
        <v>0</v>
      </c>
      <c r="F1595" t="str">
        <f t="shared" si="78"/>
        <v>03-00-11-EXPNS-CURR</v>
      </c>
      <c r="G1595" t="s">
        <v>127</v>
      </c>
      <c r="H1595" t="s">
        <v>10287</v>
      </c>
      <c r="I1595" t="s">
        <v>10253</v>
      </c>
      <c r="K1595" s="1073" t="s">
        <v>10981</v>
      </c>
      <c r="L1595" s="789" t="s">
        <v>10241</v>
      </c>
      <c r="M1595" s="790" t="s">
        <v>11393</v>
      </c>
      <c r="O1595" s="790" t="s">
        <v>11153</v>
      </c>
      <c r="P1595" s="790" t="s">
        <v>10244</v>
      </c>
      <c r="R1595" s="30"/>
    </row>
    <row r="1596" spans="2:18">
      <c r="B1596" s="5" t="s">
        <v>11845</v>
      </c>
      <c r="C1596" s="1038">
        <v>13</v>
      </c>
      <c r="D1596" s="7">
        <f>Page3!L8</f>
        <v>0</v>
      </c>
      <c r="E1596" s="7">
        <f>Page3!N8</f>
        <v>0</v>
      </c>
      <c r="F1596" t="str">
        <f t="shared" si="78"/>
        <v>03-00-13-EXPNS-CURR</v>
      </c>
      <c r="G1596" t="s">
        <v>127</v>
      </c>
      <c r="H1596" t="s">
        <v>10287</v>
      </c>
      <c r="I1596" t="s">
        <v>10253</v>
      </c>
      <c r="K1596" s="1073" t="s">
        <v>10981</v>
      </c>
      <c r="L1596" s="789" t="s">
        <v>10241</v>
      </c>
      <c r="M1596" s="790" t="s">
        <v>1607</v>
      </c>
      <c r="O1596" s="790" t="s">
        <v>11153</v>
      </c>
      <c r="P1596" s="790" t="s">
        <v>10244</v>
      </c>
      <c r="R1596" s="30"/>
    </row>
    <row r="1597" spans="2:18">
      <c r="B1597" s="5" t="s">
        <v>11846</v>
      </c>
      <c r="C1597" s="1038">
        <v>15</v>
      </c>
      <c r="D1597" s="7">
        <f>Page3!L9</f>
        <v>0</v>
      </c>
      <c r="E1597" s="7">
        <f>Page3!N9</f>
        <v>0</v>
      </c>
      <c r="F1597" t="str">
        <f t="shared" si="78"/>
        <v>03-00-15-EXPNS-CURR</v>
      </c>
      <c r="G1597" t="s">
        <v>127</v>
      </c>
      <c r="H1597" t="s">
        <v>10287</v>
      </c>
      <c r="I1597" t="s">
        <v>10253</v>
      </c>
      <c r="K1597" s="1073" t="s">
        <v>10981</v>
      </c>
      <c r="L1597" s="789" t="s">
        <v>10241</v>
      </c>
      <c r="M1597" s="790" t="s">
        <v>11396</v>
      </c>
      <c r="O1597" s="790" t="s">
        <v>11153</v>
      </c>
      <c r="P1597" s="790" t="s">
        <v>10244</v>
      </c>
      <c r="R1597" s="30"/>
    </row>
    <row r="1598" spans="2:18">
      <c r="B1598" s="51" t="s">
        <v>11847</v>
      </c>
      <c r="C1598" s="1042"/>
      <c r="D1598" s="7">
        <f>Page3!L10</f>
        <v>0</v>
      </c>
      <c r="E1598" s="7">
        <f>Page3!N10</f>
        <v>0</v>
      </c>
      <c r="F1598" t="str">
        <f t="shared" si="78"/>
        <v>03-00-VAREXPNS-EXPNS-CURR</v>
      </c>
      <c r="G1598" t="s">
        <v>127</v>
      </c>
      <c r="H1598" t="s">
        <v>10287</v>
      </c>
      <c r="I1598" t="s">
        <v>10253</v>
      </c>
      <c r="J1598" t="s">
        <v>10268</v>
      </c>
      <c r="K1598" s="1073" t="s">
        <v>10981</v>
      </c>
      <c r="L1598" s="789" t="s">
        <v>10241</v>
      </c>
      <c r="M1598" s="790" t="s">
        <v>11398</v>
      </c>
      <c r="O1598" s="790" t="s">
        <v>11153</v>
      </c>
      <c r="P1598" s="790" t="s">
        <v>10244</v>
      </c>
      <c r="Q1598" s="791" t="s">
        <v>773</v>
      </c>
    </row>
    <row r="1599" spans="2:18">
      <c r="B1599" s="5" t="s">
        <v>11848</v>
      </c>
      <c r="C1599" s="1038">
        <v>20</v>
      </c>
      <c r="D1599" s="7">
        <f>Page3!L11</f>
        <v>0</v>
      </c>
      <c r="E1599" s="7">
        <f>Page3!N11</f>
        <v>0</v>
      </c>
      <c r="F1599" t="str">
        <f t="shared" si="78"/>
        <v>03-00-20-EXPNS-CURR</v>
      </c>
      <c r="G1599" t="s">
        <v>127</v>
      </c>
      <c r="H1599" t="s">
        <v>10287</v>
      </c>
      <c r="I1599" t="s">
        <v>10253</v>
      </c>
      <c r="K1599" s="1073" t="s">
        <v>10981</v>
      </c>
      <c r="L1599" s="789" t="s">
        <v>10241</v>
      </c>
      <c r="M1599" s="790" t="s">
        <v>11400</v>
      </c>
      <c r="O1599" s="790" t="s">
        <v>11153</v>
      </c>
      <c r="P1599" s="790" t="s">
        <v>10244</v>
      </c>
      <c r="R1599" s="30"/>
    </row>
    <row r="1600" spans="2:18">
      <c r="B1600" s="5" t="s">
        <v>11849</v>
      </c>
      <c r="C1600" s="1038">
        <v>21</v>
      </c>
      <c r="D1600" s="7">
        <f>Page3!L12</f>
        <v>0</v>
      </c>
      <c r="E1600" s="7">
        <f>Page3!N12</f>
        <v>0</v>
      </c>
      <c r="F1600" t="str">
        <f t="shared" si="78"/>
        <v>03-00-21-EXPNS-CURR</v>
      </c>
      <c r="G1600" t="s">
        <v>127</v>
      </c>
      <c r="H1600" t="s">
        <v>10287</v>
      </c>
      <c r="I1600" t="s">
        <v>10253</v>
      </c>
      <c r="K1600" s="1073" t="s">
        <v>10981</v>
      </c>
      <c r="L1600" s="789" t="s">
        <v>10241</v>
      </c>
      <c r="M1600" s="790" t="s">
        <v>11402</v>
      </c>
      <c r="O1600" s="790" t="s">
        <v>11153</v>
      </c>
      <c r="P1600" s="790" t="s">
        <v>10244</v>
      </c>
      <c r="R1600" s="30"/>
    </row>
    <row r="1601" spans="2:18">
      <c r="B1601" s="40" t="s">
        <v>11850</v>
      </c>
      <c r="C1601" s="1038">
        <v>22</v>
      </c>
      <c r="D1601" s="7">
        <f>Page3!L13</f>
        <v>0</v>
      </c>
      <c r="E1601" s="7">
        <f>Page3!N13</f>
        <v>0</v>
      </c>
      <c r="F1601" t="str">
        <f t="shared" si="78"/>
        <v>03-00-22-EXPNS-CURR</v>
      </c>
      <c r="G1601" t="s">
        <v>127</v>
      </c>
      <c r="H1601" t="s">
        <v>10287</v>
      </c>
      <c r="I1601" t="s">
        <v>10253</v>
      </c>
      <c r="K1601" s="1073" t="s">
        <v>10981</v>
      </c>
      <c r="L1601" s="789" t="s">
        <v>10241</v>
      </c>
      <c r="M1601" s="790" t="s">
        <v>11404</v>
      </c>
      <c r="O1601" s="790" t="s">
        <v>11153</v>
      </c>
      <c r="P1601" s="790" t="s">
        <v>10244</v>
      </c>
      <c r="R1601" s="30"/>
    </row>
    <row r="1602" spans="2:18">
      <c r="B1602" s="5" t="s">
        <v>11851</v>
      </c>
      <c r="C1602" s="1038">
        <v>23</v>
      </c>
      <c r="D1602" s="7">
        <f>Page3!L14</f>
        <v>0</v>
      </c>
      <c r="E1602" s="7">
        <f>Page3!N14</f>
        <v>0</v>
      </c>
      <c r="F1602" t="str">
        <f t="shared" si="78"/>
        <v>03-00-23-EXPNS-CURR</v>
      </c>
      <c r="G1602" t="s">
        <v>127</v>
      </c>
      <c r="H1602" t="s">
        <v>10287</v>
      </c>
      <c r="I1602" t="s">
        <v>10253</v>
      </c>
      <c r="K1602" s="1073" t="s">
        <v>10981</v>
      </c>
      <c r="L1602" s="789" t="s">
        <v>10241</v>
      </c>
      <c r="M1602" s="790" t="s">
        <v>11406</v>
      </c>
      <c r="O1602" s="790" t="s">
        <v>11153</v>
      </c>
      <c r="P1602" s="790" t="s">
        <v>10244</v>
      </c>
      <c r="R1602" s="30"/>
    </row>
    <row r="1603" spans="2:18">
      <c r="B1603" s="5" t="s">
        <v>11852</v>
      </c>
      <c r="C1603" s="1038">
        <v>24</v>
      </c>
      <c r="D1603" s="7">
        <f>Page3!L15</f>
        <v>0</v>
      </c>
      <c r="E1603" s="7">
        <f>Page3!N15</f>
        <v>0</v>
      </c>
      <c r="F1603" t="str">
        <f t="shared" si="78"/>
        <v>03-00-24-EXPNS-CURR</v>
      </c>
      <c r="G1603" t="s">
        <v>127</v>
      </c>
      <c r="H1603" t="s">
        <v>10287</v>
      </c>
      <c r="I1603" t="s">
        <v>10253</v>
      </c>
      <c r="K1603" s="1073" t="s">
        <v>10981</v>
      </c>
      <c r="L1603" s="789" t="s">
        <v>10241</v>
      </c>
      <c r="M1603" s="790" t="s">
        <v>11408</v>
      </c>
      <c r="O1603" s="790" t="s">
        <v>11153</v>
      </c>
      <c r="P1603" s="790" t="s">
        <v>10244</v>
      </c>
      <c r="R1603" s="30"/>
    </row>
    <row r="1604" spans="2:18">
      <c r="B1604" s="5" t="s">
        <v>11853</v>
      </c>
      <c r="C1604" s="1038">
        <v>26</v>
      </c>
      <c r="D1604" s="7">
        <f>Page3!L16</f>
        <v>0</v>
      </c>
      <c r="E1604" s="7">
        <f>Page3!N16</f>
        <v>0</v>
      </c>
      <c r="F1604" t="str">
        <f t="shared" si="78"/>
        <v>03-00-26-EXPNS-CURR</v>
      </c>
      <c r="G1604" t="s">
        <v>127</v>
      </c>
      <c r="H1604" t="s">
        <v>10287</v>
      </c>
      <c r="I1604" t="s">
        <v>10253</v>
      </c>
      <c r="K1604" s="1073" t="s">
        <v>10981</v>
      </c>
      <c r="L1604" s="789" t="s">
        <v>10241</v>
      </c>
      <c r="M1604" s="799" t="s">
        <v>11854</v>
      </c>
      <c r="O1604" s="790" t="s">
        <v>11153</v>
      </c>
      <c r="P1604" s="790" t="s">
        <v>10244</v>
      </c>
      <c r="R1604" s="30"/>
    </row>
    <row r="1605" spans="2:18">
      <c r="B1605" s="5" t="s">
        <v>11855</v>
      </c>
      <c r="C1605" s="1038">
        <v>25</v>
      </c>
      <c r="D1605" s="7">
        <f>Page3!L17</f>
        <v>0</v>
      </c>
      <c r="E1605" s="7">
        <f>Page3!N17</f>
        <v>0</v>
      </c>
      <c r="F1605" t="str">
        <f t="shared" si="78"/>
        <v>03-00-25-EXPNS-CURR</v>
      </c>
      <c r="G1605" t="s">
        <v>127</v>
      </c>
      <c r="H1605" t="s">
        <v>10287</v>
      </c>
      <c r="I1605" t="s">
        <v>10253</v>
      </c>
      <c r="K1605" s="1073" t="s">
        <v>10981</v>
      </c>
      <c r="L1605" s="789" t="s">
        <v>10241</v>
      </c>
      <c r="M1605" s="790" t="s">
        <v>11411</v>
      </c>
      <c r="O1605" s="790" t="s">
        <v>11153</v>
      </c>
      <c r="P1605" s="790" t="s">
        <v>10244</v>
      </c>
      <c r="R1605" s="30"/>
    </row>
    <row r="1606" spans="2:18">
      <c r="B1606" s="5" t="s">
        <v>11856</v>
      </c>
      <c r="C1606" s="1038">
        <v>27</v>
      </c>
      <c r="D1606" s="7">
        <f>Page3!L18</f>
        <v>0</v>
      </c>
      <c r="E1606" s="7">
        <f>Page3!N18</f>
        <v>0</v>
      </c>
      <c r="F1606" t="str">
        <f t="shared" si="78"/>
        <v>03-00-27-EXPNS-CURR</v>
      </c>
      <c r="G1606" t="s">
        <v>127</v>
      </c>
      <c r="H1606" t="s">
        <v>10287</v>
      </c>
      <c r="I1606" t="s">
        <v>10253</v>
      </c>
      <c r="K1606" s="1073" t="s">
        <v>10981</v>
      </c>
      <c r="L1606" s="789" t="s">
        <v>10241</v>
      </c>
      <c r="M1606" s="790" t="s">
        <v>11413</v>
      </c>
      <c r="O1606" s="790" t="s">
        <v>11153</v>
      </c>
      <c r="P1606" s="790" t="s">
        <v>10244</v>
      </c>
      <c r="R1606" s="30"/>
    </row>
    <row r="1607" spans="2:18">
      <c r="B1607" s="5" t="s">
        <v>11857</v>
      </c>
      <c r="C1607" s="1038">
        <v>29</v>
      </c>
      <c r="D1607" s="7">
        <f>Page3!L19</f>
        <v>0</v>
      </c>
      <c r="E1607" s="7">
        <f>Page3!N19</f>
        <v>0</v>
      </c>
      <c r="F1607" t="str">
        <f t="shared" si="78"/>
        <v>03-00-29-EXPNS-CURR</v>
      </c>
      <c r="G1607" t="s">
        <v>127</v>
      </c>
      <c r="H1607" t="s">
        <v>10287</v>
      </c>
      <c r="I1607" t="s">
        <v>10253</v>
      </c>
      <c r="K1607" s="1073" t="s">
        <v>10981</v>
      </c>
      <c r="L1607" s="789" t="s">
        <v>10241</v>
      </c>
      <c r="M1607" s="790" t="s">
        <v>11415</v>
      </c>
      <c r="O1607" s="790" t="s">
        <v>11153</v>
      </c>
      <c r="P1607" s="790" t="s">
        <v>10244</v>
      </c>
      <c r="R1607" s="30"/>
    </row>
    <row r="1608" spans="2:18">
      <c r="B1608" s="27" t="s">
        <v>11858</v>
      </c>
      <c r="C1608" s="1042"/>
      <c r="D1608" s="7">
        <f>Page3!L20</f>
        <v>0</v>
      </c>
      <c r="E1608" s="7">
        <f>Page3!N20</f>
        <v>0</v>
      </c>
      <c r="F1608" t="str">
        <f t="shared" si="78"/>
        <v>03-00-PERSONNL-EXPNS-CURR</v>
      </c>
      <c r="G1608" t="s">
        <v>127</v>
      </c>
      <c r="H1608" t="s">
        <v>10287</v>
      </c>
      <c r="I1608" t="s">
        <v>10253</v>
      </c>
      <c r="J1608" t="s">
        <v>10268</v>
      </c>
      <c r="K1608" s="1073" t="s">
        <v>10981</v>
      </c>
      <c r="L1608" s="789" t="s">
        <v>10241</v>
      </c>
      <c r="M1608" s="790" t="s">
        <v>10956</v>
      </c>
      <c r="O1608" s="790" t="s">
        <v>11153</v>
      </c>
      <c r="P1608" s="790" t="s">
        <v>10244</v>
      </c>
      <c r="Q1608" s="791" t="s">
        <v>773</v>
      </c>
    </row>
    <row r="1609" spans="2:18">
      <c r="B1609" s="5" t="s">
        <v>11859</v>
      </c>
      <c r="C1609" s="1038">
        <v>51</v>
      </c>
      <c r="D1609" s="7">
        <f>Page3!L21</f>
        <v>0</v>
      </c>
      <c r="E1609" s="7">
        <f>Page3!N21</f>
        <v>0</v>
      </c>
      <c r="F1609" t="str">
        <f t="shared" si="78"/>
        <v>03-00-51-EXPNS-CURR</v>
      </c>
      <c r="G1609" t="s">
        <v>127</v>
      </c>
      <c r="H1609" t="s">
        <v>10287</v>
      </c>
      <c r="I1609" t="s">
        <v>10253</v>
      </c>
      <c r="K1609" s="1073" t="s">
        <v>10981</v>
      </c>
      <c r="L1609" s="789" t="s">
        <v>10241</v>
      </c>
      <c r="M1609" s="790" t="s">
        <v>11418</v>
      </c>
      <c r="O1609" s="790" t="s">
        <v>11153</v>
      </c>
      <c r="P1609" s="790" t="s">
        <v>10244</v>
      </c>
      <c r="R1609" s="30"/>
    </row>
    <row r="1610" spans="2:18">
      <c r="B1610" s="5" t="s">
        <v>11860</v>
      </c>
      <c r="C1610" s="1038">
        <v>60</v>
      </c>
      <c r="D1610" s="7">
        <f>Page3!L22</f>
        <v>0</v>
      </c>
      <c r="E1610" s="7">
        <f>Page3!N22</f>
        <v>0</v>
      </c>
      <c r="F1610" t="str">
        <f t="shared" si="78"/>
        <v>03-00-60-EXPNS-CURR</v>
      </c>
      <c r="G1610" t="s">
        <v>127</v>
      </c>
      <c r="H1610" t="s">
        <v>10287</v>
      </c>
      <c r="I1610" t="s">
        <v>10253</v>
      </c>
      <c r="K1610" s="1073" t="s">
        <v>10981</v>
      </c>
      <c r="L1610" s="789" t="s">
        <v>10241</v>
      </c>
      <c r="M1610" s="790" t="s">
        <v>11420</v>
      </c>
      <c r="O1610" s="790" t="s">
        <v>11153</v>
      </c>
      <c r="P1610" s="790" t="s">
        <v>10244</v>
      </c>
      <c r="R1610" s="30"/>
    </row>
    <row r="1611" spans="2:18">
      <c r="B1611" s="5" t="s">
        <v>11861</v>
      </c>
      <c r="C1611" s="1038">
        <v>61</v>
      </c>
      <c r="D1611" s="7">
        <f>Page3!L23</f>
        <v>0</v>
      </c>
      <c r="E1611" s="7">
        <f>Page3!N23</f>
        <v>0</v>
      </c>
      <c r="F1611" t="str">
        <f t="shared" si="78"/>
        <v>03-00-61-EXPNS-CURR</v>
      </c>
      <c r="G1611" t="s">
        <v>127</v>
      </c>
      <c r="H1611" t="s">
        <v>10287</v>
      </c>
      <c r="I1611" t="s">
        <v>10253</v>
      </c>
      <c r="K1611" s="1073" t="s">
        <v>10981</v>
      </c>
      <c r="L1611" s="789" t="s">
        <v>10241</v>
      </c>
      <c r="M1611" s="790" t="s">
        <v>11422</v>
      </c>
      <c r="O1611" s="790" t="s">
        <v>11153</v>
      </c>
      <c r="P1611" s="790" t="s">
        <v>10244</v>
      </c>
      <c r="R1611" s="30"/>
    </row>
    <row r="1612" spans="2:18">
      <c r="B1612" s="5" t="s">
        <v>11862</v>
      </c>
      <c r="C1612" s="1038">
        <v>63</v>
      </c>
      <c r="D1612" s="7">
        <f>Page3!L24</f>
        <v>0</v>
      </c>
      <c r="E1612" s="7">
        <f>Page3!N24</f>
        <v>0</v>
      </c>
      <c r="F1612" t="str">
        <f t="shared" si="78"/>
        <v>03-00-63-EXPNS-CURR</v>
      </c>
      <c r="G1612" t="s">
        <v>127</v>
      </c>
      <c r="H1612" t="s">
        <v>10287</v>
      </c>
      <c r="I1612" t="s">
        <v>10253</v>
      </c>
      <c r="K1612" s="1073" t="s">
        <v>10981</v>
      </c>
      <c r="L1612" s="789" t="s">
        <v>10241</v>
      </c>
      <c r="M1612" s="799" t="s">
        <v>11863</v>
      </c>
      <c r="O1612" s="790" t="s">
        <v>11153</v>
      </c>
      <c r="P1612" s="790" t="s">
        <v>10244</v>
      </c>
      <c r="R1612" s="30"/>
    </row>
    <row r="1613" spans="2:18">
      <c r="B1613" s="5" t="s">
        <v>11864</v>
      </c>
      <c r="C1613" s="1038">
        <v>65</v>
      </c>
      <c r="D1613" s="7">
        <f>Page3!L25</f>
        <v>0</v>
      </c>
      <c r="E1613" s="7">
        <f>Page3!N25</f>
        <v>0</v>
      </c>
      <c r="F1613" t="str">
        <f t="shared" si="78"/>
        <v>03-00-65-EXPNS-CURR</v>
      </c>
      <c r="G1613" t="s">
        <v>127</v>
      </c>
      <c r="H1613" t="s">
        <v>10287</v>
      </c>
      <c r="I1613" t="s">
        <v>10253</v>
      </c>
      <c r="K1613" s="1073" t="s">
        <v>10981</v>
      </c>
      <c r="L1613" s="789" t="s">
        <v>10241</v>
      </c>
      <c r="M1613" s="790" t="s">
        <v>11425</v>
      </c>
      <c r="O1613" s="790" t="s">
        <v>11153</v>
      </c>
      <c r="P1613" s="790" t="s">
        <v>10244</v>
      </c>
      <c r="R1613" s="30"/>
    </row>
    <row r="1614" spans="2:18">
      <c r="B1614" s="5" t="s">
        <v>11865</v>
      </c>
      <c r="C1614" s="1038">
        <v>64</v>
      </c>
      <c r="D1614" s="7">
        <f>Page3!L26</f>
        <v>0</v>
      </c>
      <c r="E1614" s="7">
        <f>Page3!N26</f>
        <v>0</v>
      </c>
      <c r="F1614" t="str">
        <f t="shared" si="78"/>
        <v>03-00-64-EXPNS-CURR</v>
      </c>
      <c r="G1614" t="s">
        <v>127</v>
      </c>
      <c r="H1614" t="s">
        <v>10287</v>
      </c>
      <c r="I1614" t="s">
        <v>10253</v>
      </c>
      <c r="K1614" s="1073" t="s">
        <v>10981</v>
      </c>
      <c r="L1614" s="789" t="s">
        <v>10241</v>
      </c>
      <c r="M1614" s="799" t="s">
        <v>11866</v>
      </c>
      <c r="O1614" s="790" t="s">
        <v>11153</v>
      </c>
      <c r="P1614" s="790" t="s">
        <v>10244</v>
      </c>
      <c r="R1614" s="30"/>
    </row>
    <row r="1615" spans="2:18">
      <c r="B1615" s="5" t="s">
        <v>11867</v>
      </c>
      <c r="C1615" s="1038">
        <v>66</v>
      </c>
      <c r="D1615" s="7">
        <f>Page3!L27</f>
        <v>0</v>
      </c>
      <c r="E1615" s="7">
        <f>Page3!N27</f>
        <v>0</v>
      </c>
      <c r="F1615" t="str">
        <f t="shared" si="78"/>
        <v>03-00-66-EXPNS-CURR</v>
      </c>
      <c r="G1615" t="s">
        <v>127</v>
      </c>
      <c r="H1615" t="s">
        <v>10287</v>
      </c>
      <c r="I1615" t="s">
        <v>10253</v>
      </c>
      <c r="K1615" s="1073" t="s">
        <v>10981</v>
      </c>
      <c r="L1615" s="789" t="s">
        <v>10241</v>
      </c>
      <c r="M1615" s="790" t="s">
        <v>11428</v>
      </c>
      <c r="O1615" s="790" t="s">
        <v>11153</v>
      </c>
      <c r="P1615" s="790" t="s">
        <v>10244</v>
      </c>
      <c r="R1615" s="30"/>
    </row>
    <row r="1616" spans="2:18">
      <c r="B1616" s="5" t="s">
        <v>11868</v>
      </c>
      <c r="C1616" s="1038">
        <v>68</v>
      </c>
      <c r="D1616" s="7">
        <f>Page3!L29</f>
        <v>0</v>
      </c>
      <c r="E1616" s="7">
        <f>Page3!N29</f>
        <v>0</v>
      </c>
      <c r="F1616" t="str">
        <f t="shared" si="78"/>
        <v>03-00-68-EXPNS-CURR</v>
      </c>
      <c r="G1616" t="s">
        <v>127</v>
      </c>
      <c r="H1616" t="s">
        <v>10287</v>
      </c>
      <c r="I1616" t="s">
        <v>10253</v>
      </c>
      <c r="K1616" s="1073" t="s">
        <v>10981</v>
      </c>
      <c r="L1616" s="789" t="s">
        <v>10241</v>
      </c>
      <c r="M1616" s="790" t="s">
        <v>11432</v>
      </c>
      <c r="O1616" s="790" t="s">
        <v>11153</v>
      </c>
      <c r="P1616" s="790" t="s">
        <v>10244</v>
      </c>
      <c r="R1616" s="30"/>
    </row>
    <row r="1617" spans="2:18">
      <c r="B1617" s="5" t="s">
        <v>11869</v>
      </c>
      <c r="C1617" s="1038">
        <v>69</v>
      </c>
      <c r="D1617" s="7">
        <f>Page3!L30</f>
        <v>0</v>
      </c>
      <c r="E1617" s="7">
        <f>Page3!N30</f>
        <v>0</v>
      </c>
      <c r="F1617" t="str">
        <f t="shared" si="78"/>
        <v>03-00-69-EXPNS-CURR</v>
      </c>
      <c r="G1617" t="s">
        <v>127</v>
      </c>
      <c r="H1617" t="s">
        <v>10287</v>
      </c>
      <c r="I1617" t="s">
        <v>10253</v>
      </c>
      <c r="K1617" s="1073" t="s">
        <v>10981</v>
      </c>
      <c r="L1617" s="789" t="s">
        <v>10241</v>
      </c>
      <c r="M1617" s="790" t="s">
        <v>11434</v>
      </c>
      <c r="O1617" s="790" t="s">
        <v>11153</v>
      </c>
      <c r="P1617" s="790" t="s">
        <v>10244</v>
      </c>
      <c r="R1617" s="30"/>
    </row>
    <row r="1618" spans="2:18">
      <c r="B1618" s="5" t="s">
        <v>11870</v>
      </c>
      <c r="C1618" s="1038">
        <v>70</v>
      </c>
      <c r="D1618" s="7">
        <f>Page3!L31</f>
        <v>0</v>
      </c>
      <c r="E1618" s="7">
        <f>Page3!N31</f>
        <v>0</v>
      </c>
      <c r="F1618" t="str">
        <f t="shared" si="78"/>
        <v>03-00-70-EXPNS-CURR</v>
      </c>
      <c r="G1618" t="s">
        <v>127</v>
      </c>
      <c r="H1618" t="s">
        <v>10287</v>
      </c>
      <c r="I1618" t="s">
        <v>10253</v>
      </c>
      <c r="K1618" s="1073" t="s">
        <v>10981</v>
      </c>
      <c r="L1618" s="789" t="s">
        <v>10241</v>
      </c>
      <c r="M1618" s="790" t="s">
        <v>11436</v>
      </c>
      <c r="O1618" s="790" t="s">
        <v>11153</v>
      </c>
      <c r="P1618" s="790" t="s">
        <v>10244</v>
      </c>
      <c r="R1618" s="30"/>
    </row>
    <row r="1619" spans="2:18">
      <c r="B1619" s="5" t="s">
        <v>11871</v>
      </c>
      <c r="C1619" s="1038">
        <v>71</v>
      </c>
      <c r="D1619" s="7">
        <f>Page3!L32</f>
        <v>0</v>
      </c>
      <c r="E1619" s="7">
        <f>Page3!N32</f>
        <v>0</v>
      </c>
      <c r="F1619" t="str">
        <f t="shared" si="78"/>
        <v>03-00-71-EXPNS-CURR</v>
      </c>
      <c r="G1619" t="s">
        <v>127</v>
      </c>
      <c r="H1619" t="s">
        <v>10287</v>
      </c>
      <c r="I1619" t="s">
        <v>10253</v>
      </c>
      <c r="K1619" s="1073" t="s">
        <v>10981</v>
      </c>
      <c r="L1619" s="789" t="s">
        <v>10241</v>
      </c>
      <c r="M1619" s="790" t="s">
        <v>11438</v>
      </c>
      <c r="O1619" s="790" t="s">
        <v>11153</v>
      </c>
      <c r="P1619" s="790" t="s">
        <v>10244</v>
      </c>
      <c r="R1619" s="30"/>
    </row>
    <row r="1620" spans="2:18">
      <c r="B1620" s="5" t="s">
        <v>11872</v>
      </c>
      <c r="C1620" s="1038">
        <v>72</v>
      </c>
      <c r="D1620" s="7">
        <f>Page3!L33</f>
        <v>0</v>
      </c>
      <c r="E1620" s="7">
        <f>Page3!N33</f>
        <v>0</v>
      </c>
      <c r="F1620" t="str">
        <f t="shared" si="78"/>
        <v>03-00-72-EXPNS-CURR</v>
      </c>
      <c r="G1620" t="s">
        <v>127</v>
      </c>
      <c r="H1620" t="s">
        <v>10287</v>
      </c>
      <c r="I1620" t="s">
        <v>10253</v>
      </c>
      <c r="K1620" s="1073" t="s">
        <v>10981</v>
      </c>
      <c r="L1620" s="789" t="s">
        <v>10241</v>
      </c>
      <c r="M1620" s="790" t="s">
        <v>11440</v>
      </c>
      <c r="O1620" s="790" t="s">
        <v>11153</v>
      </c>
      <c r="P1620" s="790" t="s">
        <v>10244</v>
      </c>
      <c r="R1620" s="30"/>
    </row>
    <row r="1621" spans="2:18">
      <c r="B1621" s="40" t="s">
        <v>11873</v>
      </c>
      <c r="C1621" s="1038">
        <v>74</v>
      </c>
      <c r="D1621" s="7">
        <f>Page3!L34</f>
        <v>0</v>
      </c>
      <c r="E1621" s="7">
        <f>Page3!N34</f>
        <v>0</v>
      </c>
      <c r="F1621" t="str">
        <f t="shared" si="78"/>
        <v>03-00-74-EXPNS-CURR</v>
      </c>
      <c r="G1621" t="s">
        <v>127</v>
      </c>
      <c r="H1621" t="s">
        <v>10287</v>
      </c>
      <c r="I1621" t="s">
        <v>10253</v>
      </c>
      <c r="K1621" s="1073" t="s">
        <v>10981</v>
      </c>
      <c r="L1621" s="789" t="s">
        <v>10241</v>
      </c>
      <c r="M1621" s="790" t="s">
        <v>11442</v>
      </c>
      <c r="O1621" s="790" t="s">
        <v>11153</v>
      </c>
      <c r="P1621" s="790" t="s">
        <v>10244</v>
      </c>
      <c r="R1621" s="30"/>
    </row>
    <row r="1622" spans="2:18">
      <c r="B1622" s="5" t="s">
        <v>11874</v>
      </c>
      <c r="C1622" s="1038">
        <v>75</v>
      </c>
      <c r="D1622" s="7">
        <f>Page3!L35</f>
        <v>0</v>
      </c>
      <c r="E1622" s="7">
        <f>Page3!N35</f>
        <v>0</v>
      </c>
      <c r="F1622" t="str">
        <f t="shared" si="78"/>
        <v>03-00-75-EXPNS-CURR</v>
      </c>
      <c r="G1622" t="s">
        <v>127</v>
      </c>
      <c r="H1622" t="s">
        <v>10287</v>
      </c>
      <c r="I1622" t="s">
        <v>10253</v>
      </c>
      <c r="K1622" s="1073" t="s">
        <v>10981</v>
      </c>
      <c r="L1622" s="789" t="s">
        <v>10241</v>
      </c>
      <c r="M1622" s="790" t="s">
        <v>11444</v>
      </c>
      <c r="O1622" s="790" t="s">
        <v>11153</v>
      </c>
      <c r="P1622" s="790" t="s">
        <v>10244</v>
      </c>
      <c r="R1622" s="30"/>
    </row>
    <row r="1623" spans="2:18">
      <c r="B1623" s="5" t="s">
        <v>11875</v>
      </c>
      <c r="C1623" s="1038">
        <v>76</v>
      </c>
      <c r="D1623" s="7">
        <f>Page3!L36</f>
        <v>0</v>
      </c>
      <c r="E1623" s="7">
        <f>Page3!N36</f>
        <v>0</v>
      </c>
      <c r="F1623" t="str">
        <f t="shared" si="78"/>
        <v>03-00-76-EXPNS-CURR</v>
      </c>
      <c r="G1623" t="s">
        <v>127</v>
      </c>
      <c r="H1623" t="s">
        <v>10287</v>
      </c>
      <c r="I1623" t="s">
        <v>10253</v>
      </c>
      <c r="K1623" s="1073" t="s">
        <v>10981</v>
      </c>
      <c r="L1623" s="789" t="s">
        <v>10241</v>
      </c>
      <c r="M1623" s="790" t="s">
        <v>11446</v>
      </c>
      <c r="O1623" s="790" t="s">
        <v>11153</v>
      </c>
      <c r="P1623" s="790" t="s">
        <v>10244</v>
      </c>
      <c r="R1623" s="30"/>
    </row>
    <row r="1624" spans="2:18">
      <c r="B1624" s="5" t="s">
        <v>11876</v>
      </c>
      <c r="C1624" s="1038">
        <v>78</v>
      </c>
      <c r="D1624" s="7">
        <f>Page3!L37</f>
        <v>0</v>
      </c>
      <c r="E1624" s="7">
        <f>Page3!N37</f>
        <v>0</v>
      </c>
      <c r="F1624" t="str">
        <f t="shared" si="78"/>
        <v>03-00-78-EXPNS-CURR</v>
      </c>
      <c r="G1624" t="s">
        <v>127</v>
      </c>
      <c r="H1624" t="s">
        <v>10287</v>
      </c>
      <c r="I1624" t="s">
        <v>10253</v>
      </c>
      <c r="K1624" s="1073" t="s">
        <v>10981</v>
      </c>
      <c r="L1624" s="789" t="s">
        <v>10241</v>
      </c>
      <c r="M1624" s="799" t="s">
        <v>11448</v>
      </c>
      <c r="O1624" s="790" t="s">
        <v>11153</v>
      </c>
      <c r="P1624" s="790" t="s">
        <v>10244</v>
      </c>
      <c r="R1624" s="30"/>
    </row>
    <row r="1625" spans="2:18">
      <c r="B1625" s="5" t="s">
        <v>11877</v>
      </c>
      <c r="C1625" s="1038">
        <v>79</v>
      </c>
      <c r="D1625" s="7">
        <f>Page3!L38</f>
        <v>0</v>
      </c>
      <c r="E1625" s="7">
        <f>Page3!N38</f>
        <v>0</v>
      </c>
      <c r="F1625" t="str">
        <f t="shared" si="78"/>
        <v>03-00-79-EXPNS-CURR</v>
      </c>
      <c r="G1625" t="s">
        <v>127</v>
      </c>
      <c r="H1625" t="s">
        <v>10287</v>
      </c>
      <c r="I1625" t="s">
        <v>10253</v>
      </c>
      <c r="K1625" s="1073" t="s">
        <v>10981</v>
      </c>
      <c r="L1625" s="789" t="s">
        <v>10241</v>
      </c>
      <c r="M1625" s="799" t="s">
        <v>11878</v>
      </c>
      <c r="O1625" s="790" t="s">
        <v>11153</v>
      </c>
      <c r="P1625" s="790" t="s">
        <v>10244</v>
      </c>
      <c r="R1625" s="30"/>
    </row>
    <row r="1626" spans="2:18">
      <c r="B1626" s="5" t="s">
        <v>11879</v>
      </c>
      <c r="C1626" s="1038">
        <v>56</v>
      </c>
      <c r="D1626" s="7">
        <f>Page3!L39</f>
        <v>0</v>
      </c>
      <c r="E1626" s="7">
        <f>Page3!N39</f>
        <v>0</v>
      </c>
      <c r="F1626" t="str">
        <f t="shared" si="78"/>
        <v>03-00-56-EXPNS-CURR</v>
      </c>
      <c r="G1626" t="s">
        <v>127</v>
      </c>
      <c r="H1626" t="s">
        <v>10287</v>
      </c>
      <c r="I1626" t="s">
        <v>10253</v>
      </c>
      <c r="K1626" s="1073" t="s">
        <v>10981</v>
      </c>
      <c r="L1626" s="789" t="s">
        <v>10241</v>
      </c>
      <c r="M1626" s="799" t="s">
        <v>11880</v>
      </c>
      <c r="O1626" s="790" t="s">
        <v>11153</v>
      </c>
      <c r="P1626" s="790" t="s">
        <v>10244</v>
      </c>
      <c r="R1626" s="30"/>
    </row>
    <row r="1627" spans="2:18">
      <c r="B1627" s="5" t="s">
        <v>11881</v>
      </c>
      <c r="C1627" s="1038">
        <v>57</v>
      </c>
      <c r="D1627" s="7">
        <f>Page3!L40</f>
        <v>0</v>
      </c>
      <c r="E1627" s="7">
        <f>Page3!N40</f>
        <v>0</v>
      </c>
      <c r="F1627" t="str">
        <f t="shared" si="78"/>
        <v>03-00-57-EXPNS-CURR</v>
      </c>
      <c r="G1627" t="s">
        <v>127</v>
      </c>
      <c r="H1627" t="s">
        <v>10287</v>
      </c>
      <c r="I1627" t="s">
        <v>10253</v>
      </c>
      <c r="K1627" s="1073" t="s">
        <v>10981</v>
      </c>
      <c r="L1627" s="789" t="s">
        <v>10241</v>
      </c>
      <c r="M1627" s="799" t="s">
        <v>11452</v>
      </c>
      <c r="O1627" s="790" t="s">
        <v>11153</v>
      </c>
      <c r="P1627" s="790" t="s">
        <v>10244</v>
      </c>
      <c r="R1627" s="30"/>
    </row>
    <row r="1628" spans="2:18">
      <c r="B1628" s="5" t="s">
        <v>11882</v>
      </c>
      <c r="C1628" s="1038">
        <v>33</v>
      </c>
      <c r="D1628" s="7">
        <f>Page3!L41</f>
        <v>0</v>
      </c>
      <c r="E1628" s="7">
        <f>Page3!N41</f>
        <v>0</v>
      </c>
      <c r="F1628" t="str">
        <f t="shared" si="78"/>
        <v>03-00-33-EXPNS-CURR</v>
      </c>
      <c r="G1628" t="s">
        <v>127</v>
      </c>
      <c r="H1628" t="s">
        <v>10287</v>
      </c>
      <c r="I1628" t="s">
        <v>10253</v>
      </c>
      <c r="K1628" s="1073" t="s">
        <v>10981</v>
      </c>
      <c r="L1628" s="789" t="s">
        <v>10241</v>
      </c>
      <c r="M1628" s="799" t="s">
        <v>11883</v>
      </c>
      <c r="O1628" s="790" t="s">
        <v>11153</v>
      </c>
      <c r="P1628" s="790" t="s">
        <v>10244</v>
      </c>
      <c r="R1628" s="30"/>
    </row>
    <row r="1629" spans="2:18">
      <c r="B1629" s="5" t="s">
        <v>11884</v>
      </c>
      <c r="C1629" s="1038">
        <v>77</v>
      </c>
      <c r="D1629" s="7">
        <f>Page3!L42</f>
        <v>0</v>
      </c>
      <c r="E1629" s="7">
        <f>Page3!N42</f>
        <v>0</v>
      </c>
      <c r="F1629" t="str">
        <f t="shared" si="78"/>
        <v>03-00-77-EXPNS-CURR</v>
      </c>
      <c r="G1629" t="s">
        <v>127</v>
      </c>
      <c r="H1629" t="s">
        <v>10287</v>
      </c>
      <c r="I1629" t="s">
        <v>10253</v>
      </c>
      <c r="K1629" s="1073" t="s">
        <v>10981</v>
      </c>
      <c r="L1629" s="789" t="s">
        <v>10241</v>
      </c>
      <c r="M1629" s="790" t="s">
        <v>11455</v>
      </c>
      <c r="O1629" s="790" t="s">
        <v>11153</v>
      </c>
      <c r="P1629" s="790" t="s">
        <v>10244</v>
      </c>
      <c r="R1629" s="30"/>
    </row>
    <row r="1630" spans="2:18">
      <c r="B1630" s="51" t="s">
        <v>11885</v>
      </c>
      <c r="C1630" s="1042"/>
      <c r="D1630" s="7">
        <f>Page3!L43</f>
        <v>0</v>
      </c>
      <c r="E1630" s="7">
        <f>Page3!N43</f>
        <v>0</v>
      </c>
      <c r="F1630" t="str">
        <f t="shared" si="78"/>
        <v>03-00-SEMIFIXD-EXPNS-CURR</v>
      </c>
      <c r="G1630" t="s">
        <v>127</v>
      </c>
      <c r="H1630" t="s">
        <v>10287</v>
      </c>
      <c r="I1630" t="s">
        <v>10253</v>
      </c>
      <c r="J1630" t="s">
        <v>10268</v>
      </c>
      <c r="K1630" s="1073" t="s">
        <v>10981</v>
      </c>
      <c r="L1630" s="789" t="s">
        <v>10241</v>
      </c>
      <c r="M1630" s="790" t="s">
        <v>11457</v>
      </c>
      <c r="O1630" s="790" t="s">
        <v>11153</v>
      </c>
      <c r="P1630" s="790" t="s">
        <v>10244</v>
      </c>
      <c r="Q1630" s="791" t="s">
        <v>773</v>
      </c>
    </row>
    <row r="1631" spans="2:18">
      <c r="B1631" s="5" t="s">
        <v>11886</v>
      </c>
      <c r="C1631" s="1038">
        <v>80</v>
      </c>
      <c r="D1631" s="7">
        <f>Page3!L44</f>
        <v>0</v>
      </c>
      <c r="E1631" s="7">
        <f>Page3!N44</f>
        <v>0</v>
      </c>
      <c r="F1631" t="str">
        <f t="shared" si="78"/>
        <v>03-00-80-EXPNS-CURR</v>
      </c>
      <c r="G1631" t="s">
        <v>127</v>
      </c>
      <c r="H1631" t="s">
        <v>10287</v>
      </c>
      <c r="I1631" t="s">
        <v>10253</v>
      </c>
      <c r="K1631" s="1073" t="s">
        <v>10981</v>
      </c>
      <c r="L1631" s="789" t="s">
        <v>10241</v>
      </c>
      <c r="M1631" s="790" t="s">
        <v>11459</v>
      </c>
      <c r="O1631" s="790" t="s">
        <v>11153</v>
      </c>
      <c r="P1631" s="790" t="s">
        <v>10244</v>
      </c>
      <c r="R1631" s="30"/>
    </row>
    <row r="1632" spans="2:18">
      <c r="B1632" s="5" t="s">
        <v>11887</v>
      </c>
      <c r="C1632" s="1038">
        <v>81</v>
      </c>
      <c r="D1632" s="7">
        <f>Page3!L45</f>
        <v>0</v>
      </c>
      <c r="E1632" s="7">
        <f>Page3!N45</f>
        <v>0</v>
      </c>
      <c r="F1632" t="str">
        <f t="shared" si="78"/>
        <v>03-00-81-EXPNS-CURR</v>
      </c>
      <c r="G1632" t="s">
        <v>127</v>
      </c>
      <c r="H1632" t="s">
        <v>10287</v>
      </c>
      <c r="I1632" t="s">
        <v>10253</v>
      </c>
      <c r="K1632" s="1073" t="s">
        <v>10981</v>
      </c>
      <c r="L1632" s="789" t="s">
        <v>10241</v>
      </c>
      <c r="M1632" s="790" t="s">
        <v>11461</v>
      </c>
      <c r="O1632" s="790" t="s">
        <v>11153</v>
      </c>
      <c r="P1632" s="790" t="s">
        <v>10244</v>
      </c>
      <c r="R1632" s="30"/>
    </row>
    <row r="1633" spans="2:18">
      <c r="B1633" s="5" t="s">
        <v>11888</v>
      </c>
      <c r="C1633" s="1038">
        <v>82</v>
      </c>
      <c r="D1633" s="7">
        <f>Page3!L46</f>
        <v>0</v>
      </c>
      <c r="E1633" s="7">
        <f>Page3!N46</f>
        <v>0</v>
      </c>
      <c r="F1633" t="str">
        <f t="shared" si="78"/>
        <v>03-00-82-EXPNS-CURR</v>
      </c>
      <c r="G1633" t="s">
        <v>127</v>
      </c>
      <c r="H1633" t="s">
        <v>10287</v>
      </c>
      <c r="I1633" t="s">
        <v>10253</v>
      </c>
      <c r="K1633" s="1073" t="s">
        <v>10981</v>
      </c>
      <c r="L1633" s="789" t="s">
        <v>10241</v>
      </c>
      <c r="M1633" s="790" t="s">
        <v>11463</v>
      </c>
      <c r="O1633" s="790" t="s">
        <v>11153</v>
      </c>
      <c r="P1633" s="790" t="s">
        <v>10244</v>
      </c>
      <c r="R1633" s="30"/>
    </row>
    <row r="1634" spans="2:18">
      <c r="B1634" s="5" t="s">
        <v>11889</v>
      </c>
      <c r="C1634" s="1038">
        <v>83</v>
      </c>
      <c r="D1634" s="7">
        <f>Page3!L47</f>
        <v>0</v>
      </c>
      <c r="E1634" s="7">
        <f>Page3!N47</f>
        <v>0</v>
      </c>
      <c r="F1634" t="str">
        <f t="shared" si="78"/>
        <v>03-00-83-EXPNS-CURR</v>
      </c>
      <c r="G1634" t="s">
        <v>127</v>
      </c>
      <c r="H1634" t="s">
        <v>10287</v>
      </c>
      <c r="I1634" t="s">
        <v>10253</v>
      </c>
      <c r="K1634" s="1073" t="s">
        <v>10981</v>
      </c>
      <c r="L1634" s="789" t="s">
        <v>10241</v>
      </c>
      <c r="M1634" s="790" t="s">
        <v>11465</v>
      </c>
      <c r="O1634" s="790" t="s">
        <v>11153</v>
      </c>
      <c r="P1634" s="790" t="s">
        <v>10244</v>
      </c>
      <c r="R1634" s="30"/>
    </row>
    <row r="1635" spans="2:18">
      <c r="B1635" s="5" t="s">
        <v>11890</v>
      </c>
      <c r="C1635" s="1038">
        <v>84</v>
      </c>
      <c r="D1635" s="7">
        <f>Page3!L48</f>
        <v>0</v>
      </c>
      <c r="E1635" s="7">
        <f>Page3!N48</f>
        <v>0</v>
      </c>
      <c r="F1635" t="str">
        <f t="shared" si="78"/>
        <v>03-00-84-EXPNS-CURR</v>
      </c>
      <c r="G1635" t="s">
        <v>127</v>
      </c>
      <c r="H1635" t="s">
        <v>10287</v>
      </c>
      <c r="I1635" t="s">
        <v>10253</v>
      </c>
      <c r="K1635" s="1073" t="s">
        <v>10981</v>
      </c>
      <c r="L1635" s="789" t="s">
        <v>10241</v>
      </c>
      <c r="M1635" s="790" t="s">
        <v>11467</v>
      </c>
      <c r="O1635" s="790" t="s">
        <v>11153</v>
      </c>
      <c r="P1635" s="790" t="s">
        <v>10244</v>
      </c>
      <c r="R1635" s="30"/>
    </row>
    <row r="1636" spans="2:18">
      <c r="B1636" s="5" t="s">
        <v>11891</v>
      </c>
      <c r="C1636" s="1038">
        <v>85</v>
      </c>
      <c r="D1636" s="7">
        <f>Page3!L49</f>
        <v>0</v>
      </c>
      <c r="E1636" s="7">
        <f>Page3!N49</f>
        <v>0</v>
      </c>
      <c r="F1636" t="str">
        <f t="shared" si="78"/>
        <v>03-00-85-EXPNS-CURR</v>
      </c>
      <c r="G1636" t="s">
        <v>127</v>
      </c>
      <c r="H1636" t="s">
        <v>10287</v>
      </c>
      <c r="I1636" t="s">
        <v>10253</v>
      </c>
      <c r="K1636" s="1073" t="s">
        <v>10981</v>
      </c>
      <c r="L1636" s="789" t="s">
        <v>10241</v>
      </c>
      <c r="M1636" s="790" t="s">
        <v>11469</v>
      </c>
      <c r="O1636" s="790" t="s">
        <v>11153</v>
      </c>
      <c r="P1636" s="790" t="s">
        <v>10244</v>
      </c>
      <c r="R1636" s="30"/>
    </row>
    <row r="1637" spans="2:18">
      <c r="B1637" s="5" t="s">
        <v>11892</v>
      </c>
      <c r="C1637" s="1038">
        <v>86</v>
      </c>
      <c r="D1637" s="7">
        <f>Page3!L50</f>
        <v>0</v>
      </c>
      <c r="E1637" s="7">
        <f>Page3!N50</f>
        <v>0</v>
      </c>
      <c r="F1637" t="str">
        <f t="shared" si="78"/>
        <v>03-00-86-EXPNS-CURR</v>
      </c>
      <c r="G1637" t="s">
        <v>127</v>
      </c>
      <c r="H1637" t="s">
        <v>10287</v>
      </c>
      <c r="I1637" t="s">
        <v>10253</v>
      </c>
      <c r="K1637" s="1073" t="s">
        <v>10981</v>
      </c>
      <c r="L1637" s="789" t="s">
        <v>10241</v>
      </c>
      <c r="M1637" s="790" t="s">
        <v>11471</v>
      </c>
      <c r="O1637" s="790" t="s">
        <v>11153</v>
      </c>
      <c r="P1637" s="790" t="s">
        <v>10244</v>
      </c>
      <c r="R1637" s="30"/>
    </row>
    <row r="1638" spans="2:18">
      <c r="B1638" s="5" t="s">
        <v>11893</v>
      </c>
      <c r="C1638" s="1038">
        <v>87</v>
      </c>
      <c r="D1638" s="7">
        <f>Page3!L51</f>
        <v>0</v>
      </c>
      <c r="E1638" s="7">
        <f>Page3!N51</f>
        <v>0</v>
      </c>
      <c r="F1638" t="str">
        <f>TEXT(K1638,"00")&amp;"-"&amp;L1638&amp;IF(M1638="","","-"&amp;M1638)&amp;IF(N1638="","","-"&amp;N1638)&amp;IF(OR(O1638="",O1638=0),"","-"&amp;O1638)&amp;IF(P1638="","","-"&amp;P1638)</f>
        <v>03-00-87-EXPNS-CURR</v>
      </c>
      <c r="G1638" t="s">
        <v>127</v>
      </c>
      <c r="H1638" t="s">
        <v>10287</v>
      </c>
      <c r="I1638" t="s">
        <v>10253</v>
      </c>
      <c r="K1638" s="1073" t="s">
        <v>10981</v>
      </c>
      <c r="L1638" s="789" t="s">
        <v>10241</v>
      </c>
      <c r="M1638" s="790" t="s">
        <v>11473</v>
      </c>
      <c r="O1638" s="790" t="s">
        <v>11153</v>
      </c>
      <c r="P1638" s="790" t="s">
        <v>10244</v>
      </c>
      <c r="R1638" s="30"/>
    </row>
    <row r="1639" spans="2:18">
      <c r="B1639" s="27" t="s">
        <v>11894</v>
      </c>
      <c r="C1639" s="1042"/>
      <c r="D1639" s="7">
        <f>Page3!L52</f>
        <v>0</v>
      </c>
      <c r="E1639" s="7">
        <f>Page3!N52</f>
        <v>0</v>
      </c>
      <c r="F1639" t="str">
        <f t="shared" si="78"/>
        <v>03-00-RENTEQUV-EXPNS-CURR</v>
      </c>
      <c r="G1639" t="s">
        <v>127</v>
      </c>
      <c r="H1639" t="s">
        <v>10287</v>
      </c>
      <c r="I1639" t="s">
        <v>10253</v>
      </c>
      <c r="J1639" t="s">
        <v>10268</v>
      </c>
      <c r="K1639" s="1073" t="s">
        <v>10981</v>
      </c>
      <c r="L1639" s="789" t="s">
        <v>10241</v>
      </c>
      <c r="M1639" s="790" t="s">
        <v>11475</v>
      </c>
      <c r="O1639" s="790" t="s">
        <v>11153</v>
      </c>
      <c r="P1639" s="790" t="s">
        <v>10244</v>
      </c>
      <c r="Q1639" s="791" t="s">
        <v>773</v>
      </c>
    </row>
    <row r="1640" spans="2:18">
      <c r="B1640" s="5" t="s">
        <v>11895</v>
      </c>
      <c r="C1640" s="1038">
        <v>88</v>
      </c>
      <c r="D1640" s="7">
        <f>Page3!L53</f>
        <v>0</v>
      </c>
      <c r="E1640" s="7">
        <f>Page3!N53</f>
        <v>0</v>
      </c>
      <c r="F1640" t="str">
        <f t="shared" si="78"/>
        <v>03-00-88-EXPNS-CURR</v>
      </c>
      <c r="G1640" t="s">
        <v>127</v>
      </c>
      <c r="H1640" t="s">
        <v>10287</v>
      </c>
      <c r="I1640" t="s">
        <v>10253</v>
      </c>
      <c r="K1640" s="1073" t="s">
        <v>10981</v>
      </c>
      <c r="L1640" s="789" t="s">
        <v>10241</v>
      </c>
      <c r="M1640" s="790" t="s">
        <v>11477</v>
      </c>
      <c r="O1640" s="790" t="s">
        <v>11153</v>
      </c>
      <c r="P1640" s="790" t="s">
        <v>10244</v>
      </c>
      <c r="R1640" s="30"/>
    </row>
    <row r="1641" spans="2:18">
      <c r="B1641" s="5" t="s">
        <v>11896</v>
      </c>
      <c r="C1641" s="1038">
        <v>89</v>
      </c>
      <c r="D1641" s="7">
        <f>Page3!L54</f>
        <v>0</v>
      </c>
      <c r="E1641" s="7">
        <f>Page3!N54</f>
        <v>0</v>
      </c>
      <c r="F1641" t="str">
        <f t="shared" si="78"/>
        <v>03-00-89-EXPNS-CURR</v>
      </c>
      <c r="G1641" t="s">
        <v>127</v>
      </c>
      <c r="H1641" t="s">
        <v>10287</v>
      </c>
      <c r="I1641" t="s">
        <v>10253</v>
      </c>
      <c r="K1641" s="1073" t="s">
        <v>10981</v>
      </c>
      <c r="L1641" s="789" t="s">
        <v>10241</v>
      </c>
      <c r="M1641" s="790" t="s">
        <v>11479</v>
      </c>
      <c r="O1641" s="790" t="s">
        <v>11153</v>
      </c>
      <c r="P1641" s="790" t="s">
        <v>10244</v>
      </c>
      <c r="R1641" s="30"/>
    </row>
    <row r="1642" spans="2:18">
      <c r="B1642" s="5" t="s">
        <v>11897</v>
      </c>
      <c r="C1642" s="1038">
        <v>90</v>
      </c>
      <c r="D1642" s="7">
        <f>Page3!L55</f>
        <v>0</v>
      </c>
      <c r="E1642" s="7">
        <f>Page3!N55</f>
        <v>0</v>
      </c>
      <c r="F1642" t="str">
        <f t="shared" si="78"/>
        <v>03-00-90-EXPNS-CURR</v>
      </c>
      <c r="G1642" t="s">
        <v>127</v>
      </c>
      <c r="H1642" t="s">
        <v>10287</v>
      </c>
      <c r="I1642" t="s">
        <v>10253</v>
      </c>
      <c r="K1642" s="1073" t="s">
        <v>10981</v>
      </c>
      <c r="L1642" s="789" t="s">
        <v>10241</v>
      </c>
      <c r="M1642" s="790" t="s">
        <v>11481</v>
      </c>
      <c r="O1642" s="790" t="s">
        <v>11153</v>
      </c>
      <c r="P1642" s="790" t="s">
        <v>10244</v>
      </c>
      <c r="R1642" s="30"/>
    </row>
    <row r="1643" spans="2:18">
      <c r="B1643" s="5" t="s">
        <v>11898</v>
      </c>
      <c r="C1643" s="1038">
        <v>91</v>
      </c>
      <c r="D1643" s="7">
        <f>Page3!L56</f>
        <v>0</v>
      </c>
      <c r="E1643" s="7">
        <f>Page3!N56</f>
        <v>0</v>
      </c>
      <c r="F1643" t="str">
        <f t="shared" si="78"/>
        <v>03-00-91-EXPNS-CURR</v>
      </c>
      <c r="G1643" t="s">
        <v>127</v>
      </c>
      <c r="H1643" t="s">
        <v>10287</v>
      </c>
      <c r="I1643" t="s">
        <v>10253</v>
      </c>
      <c r="K1643" s="1073" t="s">
        <v>10981</v>
      </c>
      <c r="L1643" s="789" t="s">
        <v>10241</v>
      </c>
      <c r="M1643" s="790" t="s">
        <v>11483</v>
      </c>
      <c r="O1643" s="790" t="s">
        <v>11153</v>
      </c>
      <c r="P1643" s="790" t="s">
        <v>10244</v>
      </c>
      <c r="R1643" s="30"/>
    </row>
    <row r="1644" spans="2:18">
      <c r="B1644" s="5" t="s">
        <v>11899</v>
      </c>
      <c r="C1644" s="1055">
        <v>92</v>
      </c>
      <c r="D1644" s="7">
        <f>Page3!L57</f>
        <v>0</v>
      </c>
      <c r="E1644" s="7">
        <f>Page3!N57</f>
        <v>0</v>
      </c>
      <c r="F1644" t="str">
        <f t="shared" si="78"/>
        <v>03-00-92-EXPNS-CURR</v>
      </c>
      <c r="G1644" t="s">
        <v>127</v>
      </c>
      <c r="H1644" t="s">
        <v>10287</v>
      </c>
      <c r="I1644" t="s">
        <v>10253</v>
      </c>
      <c r="K1644" s="1073" t="s">
        <v>10981</v>
      </c>
      <c r="L1644" s="789" t="s">
        <v>10241</v>
      </c>
      <c r="M1644" s="790" t="s">
        <v>11485</v>
      </c>
      <c r="O1644" s="790" t="s">
        <v>11153</v>
      </c>
      <c r="P1644" s="790" t="s">
        <v>10244</v>
      </c>
      <c r="R1644" s="30"/>
    </row>
    <row r="1645" spans="2:18">
      <c r="B1645" s="40" t="s">
        <v>11900</v>
      </c>
      <c r="C1645" s="1042"/>
      <c r="D1645" s="7">
        <f>Page3!L58</f>
        <v>0</v>
      </c>
      <c r="E1645" s="7">
        <f>Page3!N58</f>
        <v>0</v>
      </c>
      <c r="F1645" t="str">
        <f t="shared" si="78"/>
        <v>03-00-FIXEDEXP-EXPNS-CURR</v>
      </c>
      <c r="G1645" t="s">
        <v>127</v>
      </c>
      <c r="H1645" t="s">
        <v>10287</v>
      </c>
      <c r="I1645" t="s">
        <v>10253</v>
      </c>
      <c r="J1645" t="s">
        <v>10268</v>
      </c>
      <c r="K1645" s="1073" t="s">
        <v>10981</v>
      </c>
      <c r="L1645" s="789" t="s">
        <v>10241</v>
      </c>
      <c r="M1645" s="790" t="s">
        <v>11487</v>
      </c>
      <c r="O1645" s="790" t="s">
        <v>11153</v>
      </c>
      <c r="P1645" s="790" t="s">
        <v>10244</v>
      </c>
      <c r="Q1645" s="791" t="s">
        <v>773</v>
      </c>
    </row>
    <row r="1646" spans="2:18">
      <c r="B1646" s="40" t="s">
        <v>11901</v>
      </c>
      <c r="C1646" s="1042"/>
      <c r="D1646" s="7">
        <f>Page3!L59</f>
        <v>0</v>
      </c>
      <c r="E1646" s="7">
        <f>Page3!N59</f>
        <v>0</v>
      </c>
      <c r="F1646" t="str">
        <f t="shared" si="78"/>
        <v>03-00-FIXOVERH-EXPNS-CURR</v>
      </c>
      <c r="G1646" t="s">
        <v>127</v>
      </c>
      <c r="H1646" t="s">
        <v>10287</v>
      </c>
      <c r="I1646" t="s">
        <v>10253</v>
      </c>
      <c r="J1646" t="s">
        <v>10268</v>
      </c>
      <c r="K1646" s="1073" t="s">
        <v>10981</v>
      </c>
      <c r="L1646" s="789" t="s">
        <v>10241</v>
      </c>
      <c r="M1646" s="790" t="s">
        <v>11489</v>
      </c>
      <c r="O1646" s="790" t="s">
        <v>11153</v>
      </c>
      <c r="P1646" s="790" t="s">
        <v>10244</v>
      </c>
      <c r="Q1646" s="791" t="s">
        <v>773</v>
      </c>
    </row>
    <row r="1647" spans="2:18">
      <c r="B1647" s="40" t="s">
        <v>11902</v>
      </c>
      <c r="C1647" s="1042"/>
      <c r="D1647" s="7">
        <f>Page3!L60</f>
        <v>0</v>
      </c>
      <c r="E1647" s="7">
        <f>Page3!N60</f>
        <v>0</v>
      </c>
      <c r="F1647" t="str">
        <f t="shared" si="78"/>
        <v>03-00-TOTALEXP-EXPNS-CURR</v>
      </c>
      <c r="G1647" t="s">
        <v>127</v>
      </c>
      <c r="H1647" t="s">
        <v>10287</v>
      </c>
      <c r="I1647" t="s">
        <v>10253</v>
      </c>
      <c r="J1647" t="s">
        <v>10268</v>
      </c>
      <c r="K1647" s="1073" t="s">
        <v>10981</v>
      </c>
      <c r="L1647" s="789" t="s">
        <v>10241</v>
      </c>
      <c r="M1647" s="790" t="s">
        <v>11491</v>
      </c>
      <c r="O1647" s="790" t="s">
        <v>11153</v>
      </c>
      <c r="P1647" s="790" t="s">
        <v>10244</v>
      </c>
      <c r="Q1647" s="791" t="s">
        <v>773</v>
      </c>
    </row>
    <row r="1648" spans="2:18">
      <c r="B1648" s="40" t="s">
        <v>11903</v>
      </c>
      <c r="C1648" s="1042"/>
      <c r="D1648" s="7">
        <f>Page3!L61</f>
        <v>0</v>
      </c>
      <c r="E1648" s="7">
        <f>Page3!N61</f>
        <v>0</v>
      </c>
      <c r="F1648" t="str">
        <f t="shared" si="78"/>
        <v>03-00-P&amp;LDEPT-AMT-CURR</v>
      </c>
      <c r="G1648" t="s">
        <v>127</v>
      </c>
      <c r="H1648" t="s">
        <v>10287</v>
      </c>
      <c r="I1648" t="s">
        <v>10253</v>
      </c>
      <c r="J1648" t="s">
        <v>10268</v>
      </c>
      <c r="K1648" s="1073" t="s">
        <v>10981</v>
      </c>
      <c r="L1648" s="789" t="s">
        <v>10241</v>
      </c>
      <c r="M1648" s="790" t="s">
        <v>11774</v>
      </c>
      <c r="O1648" s="790" t="s">
        <v>10263</v>
      </c>
      <c r="P1648" s="790" t="s">
        <v>10244</v>
      </c>
      <c r="Q1648" s="791" t="s">
        <v>773</v>
      </c>
    </row>
    <row r="1649" spans="2:18">
      <c r="B1649" s="40" t="s">
        <v>11904</v>
      </c>
      <c r="C1649" s="1042"/>
      <c r="D1649" s="7">
        <f>Page3!L62</f>
        <v>0</v>
      </c>
      <c r="E1649" s="7">
        <f>Page3!N62</f>
        <v>0</v>
      </c>
      <c r="F1649" t="str">
        <f t="shared" si="78"/>
        <v>03-00-FIPPINCM-TRANSFER-CURR</v>
      </c>
      <c r="G1649" t="s">
        <v>127</v>
      </c>
      <c r="H1649" t="s">
        <v>10287</v>
      </c>
      <c r="I1649" t="s">
        <v>10253</v>
      </c>
      <c r="J1649" t="s">
        <v>10268</v>
      </c>
      <c r="K1649" s="1073" t="s">
        <v>10981</v>
      </c>
      <c r="L1649" s="789" t="s">
        <v>10241</v>
      </c>
      <c r="M1649" s="790" t="s">
        <v>11776</v>
      </c>
      <c r="O1649" s="790" t="s">
        <v>11777</v>
      </c>
      <c r="P1649" s="790" t="s">
        <v>10244</v>
      </c>
      <c r="Q1649" s="791" t="s">
        <v>773</v>
      </c>
    </row>
    <row r="1650" spans="2:18">
      <c r="B1650" s="40" t="s">
        <v>11905</v>
      </c>
      <c r="C1650" s="1059"/>
      <c r="D1650" s="7">
        <f>Page3!L63</f>
        <v>0</v>
      </c>
      <c r="E1650" s="7">
        <f>Page3!N63</f>
        <v>0</v>
      </c>
      <c r="F1650" t="str">
        <f t="shared" si="78"/>
        <v>03-00-G&amp;APRO-AMT-CURR</v>
      </c>
      <c r="G1650" t="s">
        <v>127</v>
      </c>
      <c r="H1650" t="s">
        <v>10287</v>
      </c>
      <c r="I1650" t="s">
        <v>10253</v>
      </c>
      <c r="K1650" s="1073" t="s">
        <v>10981</v>
      </c>
      <c r="L1650" s="789" t="s">
        <v>10241</v>
      </c>
      <c r="M1650" s="790" t="s">
        <v>11779</v>
      </c>
      <c r="O1650" s="790" t="s">
        <v>10263</v>
      </c>
      <c r="P1650" s="790" t="s">
        <v>10244</v>
      </c>
    </row>
    <row r="1651" spans="2:18">
      <c r="B1651" s="40" t="s">
        <v>11906</v>
      </c>
      <c r="C1651" s="1042"/>
      <c r="D1651" s="7">
        <f>Page3!L64</f>
        <v>0</v>
      </c>
      <c r="E1651" s="7">
        <f>Page3!N64</f>
        <v>0</v>
      </c>
      <c r="F1651" t="str">
        <f t="shared" si="78"/>
        <v>03-00-P&amp;LDEPT-AFTERPRO-CURR</v>
      </c>
      <c r="G1651" t="s">
        <v>127</v>
      </c>
      <c r="H1651" t="s">
        <v>10287</v>
      </c>
      <c r="I1651" t="s">
        <v>10253</v>
      </c>
      <c r="J1651" t="s">
        <v>10268</v>
      </c>
      <c r="K1651" s="1073" t="s">
        <v>10981</v>
      </c>
      <c r="L1651" s="789" t="s">
        <v>10241</v>
      </c>
      <c r="M1651" s="790" t="s">
        <v>11774</v>
      </c>
      <c r="O1651" s="790" t="s">
        <v>11781</v>
      </c>
      <c r="P1651" s="790" t="s">
        <v>10244</v>
      </c>
      <c r="Q1651" s="791" t="s">
        <v>773</v>
      </c>
    </row>
    <row r="1652" spans="2:18">
      <c r="B1652" s="51" t="s">
        <v>11907</v>
      </c>
      <c r="C1652" s="1042"/>
      <c r="D1652" s="7">
        <f>Page3!P4</f>
        <v>44441</v>
      </c>
      <c r="E1652" s="7">
        <f>Page3!Q4</f>
        <v>170336</v>
      </c>
      <c r="F1652" t="str">
        <f t="shared" si="78"/>
        <v>04-00-FIPPNET-SALES-CURR</v>
      </c>
      <c r="G1652" t="s">
        <v>127</v>
      </c>
      <c r="H1652" t="s">
        <v>10287</v>
      </c>
      <c r="I1652" t="s">
        <v>10253</v>
      </c>
      <c r="J1652" t="s">
        <v>10268</v>
      </c>
      <c r="K1652" s="1073" t="s">
        <v>10890</v>
      </c>
      <c r="L1652" s="789" t="s">
        <v>10241</v>
      </c>
      <c r="M1652" s="790" t="s">
        <v>11908</v>
      </c>
      <c r="O1652" s="790" t="s">
        <v>9883</v>
      </c>
      <c r="P1652" s="790" t="s">
        <v>10244</v>
      </c>
      <c r="Q1652" s="791" t="s">
        <v>773</v>
      </c>
    </row>
    <row r="1653" spans="2:18">
      <c r="B1653" s="51" t="s">
        <v>11909</v>
      </c>
      <c r="C1653" s="1042"/>
      <c r="D1653" s="7">
        <f>Page3!P5</f>
        <v>12884</v>
      </c>
      <c r="E1653" s="7">
        <f>Page3!Q5</f>
        <v>57237</v>
      </c>
      <c r="F1653" t="str">
        <f t="shared" si="78"/>
        <v>04-00-FIPPGRS-GRSINC-CURR</v>
      </c>
      <c r="G1653" t="s">
        <v>127</v>
      </c>
      <c r="H1653" t="s">
        <v>10287</v>
      </c>
      <c r="I1653" t="s">
        <v>10253</v>
      </c>
      <c r="J1653" t="s">
        <v>10268</v>
      </c>
      <c r="K1653" s="1073" t="s">
        <v>10890</v>
      </c>
      <c r="L1653" s="789" t="s">
        <v>10241</v>
      </c>
      <c r="M1653" s="790" t="s">
        <v>11910</v>
      </c>
      <c r="O1653" s="790" t="s">
        <v>11257</v>
      </c>
      <c r="P1653" s="790" t="s">
        <v>10244</v>
      </c>
      <c r="Q1653" s="791" t="s">
        <v>773</v>
      </c>
    </row>
    <row r="1654" spans="2:18">
      <c r="B1654" s="50" t="s">
        <v>11911</v>
      </c>
      <c r="C1654" s="1042"/>
      <c r="D1654" s="7">
        <f>Page3!P62</f>
        <v>-12884</v>
      </c>
      <c r="E1654" s="7">
        <f>Page3!Q62</f>
        <v>-57237</v>
      </c>
      <c r="F1654" t="str">
        <f t="shared" ref="F1654:F1717" si="79">TEXT(K1654,"00")&amp;"-"&amp;L1654&amp;IF(M1654="","","-"&amp;M1654)&amp;IF(N1654="","","-"&amp;N1654)&amp;IF(OR(O1654="",O1654=0),"","-"&amp;O1654)&amp;IF(P1654="","","-"&amp;P1654)</f>
        <v>04-00-FIPPINCM-TRANSFER-CURR</v>
      </c>
      <c r="G1654" t="s">
        <v>127</v>
      </c>
      <c r="H1654" t="s">
        <v>10287</v>
      </c>
      <c r="I1654" t="s">
        <v>10253</v>
      </c>
      <c r="J1654" t="s">
        <v>10268</v>
      </c>
      <c r="K1654" s="1073" t="s">
        <v>10890</v>
      </c>
      <c r="L1654" s="789" t="s">
        <v>10241</v>
      </c>
      <c r="M1654" s="790" t="s">
        <v>11776</v>
      </c>
      <c r="O1654" s="790" t="s">
        <v>11777</v>
      </c>
      <c r="P1654" s="790" t="s">
        <v>10244</v>
      </c>
      <c r="Q1654" s="791" t="s">
        <v>773</v>
      </c>
    </row>
    <row r="1655" spans="2:18">
      <c r="B1655" s="51" t="s">
        <v>11912</v>
      </c>
      <c r="C1655" s="1042"/>
      <c r="D1655" s="7">
        <f>Page4!D4</f>
        <v>141732</v>
      </c>
      <c r="E1655" s="7">
        <f>Page4!F4</f>
        <v>483083</v>
      </c>
      <c r="F1655" t="str">
        <f t="shared" si="79"/>
        <v>05-00-MECHTOTL-SALES-CURR</v>
      </c>
      <c r="G1655" t="s">
        <v>127</v>
      </c>
      <c r="H1655" t="s">
        <v>10287</v>
      </c>
      <c r="I1655" t="s">
        <v>10253</v>
      </c>
      <c r="J1655" t="s">
        <v>10268</v>
      </c>
      <c r="K1655" s="1073" t="s">
        <v>10274</v>
      </c>
      <c r="L1655" s="789" t="s">
        <v>10241</v>
      </c>
      <c r="M1655" s="790" t="s">
        <v>11913</v>
      </c>
      <c r="O1655" s="790" t="s">
        <v>9883</v>
      </c>
      <c r="P1655" s="790" t="s">
        <v>10244</v>
      </c>
      <c r="Q1655" s="791" t="s">
        <v>773</v>
      </c>
    </row>
    <row r="1656" spans="2:18">
      <c r="B1656" s="51" t="s">
        <v>11914</v>
      </c>
      <c r="C1656" s="1042"/>
      <c r="D1656" s="7">
        <f>Page4!D5</f>
        <v>84465</v>
      </c>
      <c r="E1656" s="7">
        <f>Page4!F5</f>
        <v>277137</v>
      </c>
      <c r="F1656" t="str">
        <f t="shared" si="79"/>
        <v>05-00-MECHTOTL-GRSPFT-CURR</v>
      </c>
      <c r="G1656" t="s">
        <v>127</v>
      </c>
      <c r="H1656" t="s">
        <v>10287</v>
      </c>
      <c r="I1656" t="s">
        <v>10253</v>
      </c>
      <c r="J1656" t="s">
        <v>10268</v>
      </c>
      <c r="K1656" s="1073" t="s">
        <v>10274</v>
      </c>
      <c r="L1656" s="789" t="s">
        <v>10241</v>
      </c>
      <c r="M1656" s="790" t="s">
        <v>11913</v>
      </c>
      <c r="O1656" s="790" t="s">
        <v>10467</v>
      </c>
      <c r="P1656" s="790" t="s">
        <v>10244</v>
      </c>
      <c r="Q1656" s="791" t="s">
        <v>773</v>
      </c>
    </row>
    <row r="1657" spans="2:18">
      <c r="B1657" s="5" t="s">
        <v>11915</v>
      </c>
      <c r="C1657" s="1038">
        <v>20</v>
      </c>
      <c r="D1657" s="7">
        <f>Page4!D11</f>
        <v>10186</v>
      </c>
      <c r="E1657" s="7">
        <f>Page4!F11</f>
        <v>40084</v>
      </c>
      <c r="F1657" t="str">
        <f t="shared" si="79"/>
        <v>05-00-20-EXPNS-CURR</v>
      </c>
      <c r="G1657" t="s">
        <v>127</v>
      </c>
      <c r="H1657" t="s">
        <v>10287</v>
      </c>
      <c r="I1657" t="s">
        <v>10253</v>
      </c>
      <c r="K1657" s="1073" t="s">
        <v>10274</v>
      </c>
      <c r="L1657" s="789" t="s">
        <v>10241</v>
      </c>
      <c r="M1657" s="790" t="s">
        <v>11400</v>
      </c>
      <c r="O1657" s="790" t="s">
        <v>11153</v>
      </c>
      <c r="P1657" s="790" t="s">
        <v>10244</v>
      </c>
      <c r="R1657" s="30"/>
    </row>
    <row r="1658" spans="2:18">
      <c r="B1658" s="5" t="s">
        <v>11916</v>
      </c>
      <c r="C1658" s="1038">
        <v>21</v>
      </c>
      <c r="D1658" s="7">
        <f>Page4!D12</f>
        <v>14436</v>
      </c>
      <c r="E1658" s="7">
        <f>Page4!F12</f>
        <v>44884</v>
      </c>
      <c r="F1658" t="str">
        <f t="shared" si="79"/>
        <v>05-00-21-EXPNS-CURR</v>
      </c>
      <c r="G1658" t="s">
        <v>127</v>
      </c>
      <c r="H1658" t="s">
        <v>10287</v>
      </c>
      <c r="I1658" t="s">
        <v>10253</v>
      </c>
      <c r="K1658" s="1073" t="s">
        <v>10274</v>
      </c>
      <c r="L1658" s="789" t="s">
        <v>10241</v>
      </c>
      <c r="M1658" s="790" t="s">
        <v>11402</v>
      </c>
      <c r="O1658" s="790" t="s">
        <v>11153</v>
      </c>
      <c r="P1658" s="790" t="s">
        <v>10244</v>
      </c>
      <c r="R1658" s="30"/>
    </row>
    <row r="1659" spans="2:18">
      <c r="B1659" s="40" t="s">
        <v>11917</v>
      </c>
      <c r="C1659" s="1038">
        <v>22</v>
      </c>
      <c r="D1659" s="7">
        <f>Page4!D13</f>
        <v>13853</v>
      </c>
      <c r="E1659" s="7">
        <f>Page4!F13</f>
        <v>53609</v>
      </c>
      <c r="F1659" t="str">
        <f t="shared" si="79"/>
        <v>05-00-22-EXPNS-CURR</v>
      </c>
      <c r="G1659" t="s">
        <v>127</v>
      </c>
      <c r="H1659" t="s">
        <v>10287</v>
      </c>
      <c r="I1659" t="s">
        <v>10253</v>
      </c>
      <c r="K1659" s="1073" t="s">
        <v>10274</v>
      </c>
      <c r="L1659" s="789" t="s">
        <v>10241</v>
      </c>
      <c r="M1659" s="790" t="s">
        <v>11404</v>
      </c>
      <c r="O1659" s="790" t="s">
        <v>11153</v>
      </c>
      <c r="P1659" s="790" t="s">
        <v>10244</v>
      </c>
      <c r="R1659" s="30"/>
    </row>
    <row r="1660" spans="2:18">
      <c r="B1660" s="5" t="s">
        <v>11918</v>
      </c>
      <c r="C1660" s="1038">
        <v>23</v>
      </c>
      <c r="D1660" s="7">
        <f>Page4!D14</f>
        <v>13426</v>
      </c>
      <c r="E1660" s="7">
        <f>Page4!F14</f>
        <v>45597</v>
      </c>
      <c r="F1660" t="str">
        <f t="shared" si="79"/>
        <v>05-00-23-EXPNS-CURR</v>
      </c>
      <c r="G1660" t="s">
        <v>127</v>
      </c>
      <c r="H1660" t="s">
        <v>10287</v>
      </c>
      <c r="I1660" t="s">
        <v>10253</v>
      </c>
      <c r="K1660" s="1073" t="s">
        <v>10274</v>
      </c>
      <c r="L1660" s="789" t="s">
        <v>10241</v>
      </c>
      <c r="M1660" s="790" t="s">
        <v>11406</v>
      </c>
      <c r="O1660" s="790" t="s">
        <v>11153</v>
      </c>
      <c r="P1660" s="790" t="s">
        <v>10244</v>
      </c>
      <c r="R1660" s="30"/>
    </row>
    <row r="1661" spans="2:18">
      <c r="B1661" s="5" t="s">
        <v>11919</v>
      </c>
      <c r="C1661" s="1038">
        <v>24</v>
      </c>
      <c r="D1661" s="7">
        <f>Page4!D15</f>
        <v>8924</v>
      </c>
      <c r="E1661" s="7">
        <f>Page4!F15</f>
        <v>33105</v>
      </c>
      <c r="F1661" t="str">
        <f t="shared" si="79"/>
        <v>05-00-24-EXPNS-CURR</v>
      </c>
      <c r="G1661" t="s">
        <v>127</v>
      </c>
      <c r="H1661" t="s">
        <v>10287</v>
      </c>
      <c r="I1661" t="s">
        <v>10253</v>
      </c>
      <c r="K1661" s="1073" t="s">
        <v>10274</v>
      </c>
      <c r="L1661" s="789" t="s">
        <v>10241</v>
      </c>
      <c r="M1661" s="790" t="s">
        <v>11408</v>
      </c>
      <c r="O1661" s="790" t="s">
        <v>11153</v>
      </c>
      <c r="P1661" s="790" t="s">
        <v>10244</v>
      </c>
      <c r="R1661" s="30"/>
    </row>
    <row r="1662" spans="2:18">
      <c r="B1662" s="5" t="s">
        <v>11920</v>
      </c>
      <c r="C1662" s="1038">
        <v>26</v>
      </c>
      <c r="D1662" s="7">
        <f>Page4!D16</f>
        <v>0</v>
      </c>
      <c r="E1662" s="7">
        <f>Page4!F16</f>
        <v>0</v>
      </c>
      <c r="F1662" t="str">
        <f t="shared" si="79"/>
        <v>05-00-26-EXPNS-CURR</v>
      </c>
      <c r="G1662" t="s">
        <v>127</v>
      </c>
      <c r="H1662" t="s">
        <v>10287</v>
      </c>
      <c r="I1662" t="s">
        <v>10253</v>
      </c>
      <c r="K1662" s="1073" t="s">
        <v>10274</v>
      </c>
      <c r="L1662" s="789" t="s">
        <v>10241</v>
      </c>
      <c r="M1662" s="790">
        <v>26</v>
      </c>
      <c r="O1662" s="790" t="s">
        <v>11153</v>
      </c>
      <c r="P1662" s="790" t="s">
        <v>10244</v>
      </c>
      <c r="R1662" s="30"/>
    </row>
    <row r="1663" spans="2:18">
      <c r="B1663" s="5" t="s">
        <v>11921</v>
      </c>
      <c r="C1663" s="1038">
        <v>25</v>
      </c>
      <c r="D1663" s="7">
        <f>Page4!D17</f>
        <v>3567</v>
      </c>
      <c r="E1663" s="7">
        <f>Page4!F17</f>
        <v>14907</v>
      </c>
      <c r="F1663" t="str">
        <f t="shared" si="79"/>
        <v>05-00-25-EXPNS-CURR</v>
      </c>
      <c r="G1663" t="s">
        <v>127</v>
      </c>
      <c r="H1663" t="s">
        <v>10287</v>
      </c>
      <c r="I1663" t="s">
        <v>10253</v>
      </c>
      <c r="K1663" s="1073" t="s">
        <v>10274</v>
      </c>
      <c r="L1663" s="789" t="s">
        <v>10241</v>
      </c>
      <c r="M1663" s="790" t="s">
        <v>11411</v>
      </c>
      <c r="O1663" s="790" t="s">
        <v>11153</v>
      </c>
      <c r="P1663" s="790" t="s">
        <v>10244</v>
      </c>
      <c r="R1663" s="30"/>
    </row>
    <row r="1664" spans="2:18">
      <c r="B1664" s="5" t="s">
        <v>11922</v>
      </c>
      <c r="C1664" s="1038">
        <v>27</v>
      </c>
      <c r="D1664" s="7">
        <f>Page4!D18</f>
        <v>11035</v>
      </c>
      <c r="E1664" s="7">
        <f>Page4!F18</f>
        <v>37869</v>
      </c>
      <c r="F1664" t="str">
        <f t="shared" si="79"/>
        <v>05-00-27-EXPNS-CURR</v>
      </c>
      <c r="G1664" t="s">
        <v>127</v>
      </c>
      <c r="H1664" t="s">
        <v>10287</v>
      </c>
      <c r="I1664" t="s">
        <v>10253</v>
      </c>
      <c r="K1664" s="1073" t="s">
        <v>10274</v>
      </c>
      <c r="L1664" s="789" t="s">
        <v>10241</v>
      </c>
      <c r="M1664" s="790" t="s">
        <v>11413</v>
      </c>
      <c r="O1664" s="790" t="s">
        <v>11153</v>
      </c>
      <c r="P1664" s="790" t="s">
        <v>10244</v>
      </c>
      <c r="R1664" s="30"/>
    </row>
    <row r="1665" spans="2:18">
      <c r="B1665" s="5" t="s">
        <v>11923</v>
      </c>
      <c r="C1665" s="1038">
        <v>29</v>
      </c>
      <c r="D1665" s="7">
        <f>Page4!D19</f>
        <v>0</v>
      </c>
      <c r="E1665" s="7">
        <f>Page4!F19</f>
        <v>0</v>
      </c>
      <c r="F1665" t="str">
        <f t="shared" si="79"/>
        <v>05-00-29-EXPNS-CURR</v>
      </c>
      <c r="G1665" t="s">
        <v>127</v>
      </c>
      <c r="H1665" t="s">
        <v>10287</v>
      </c>
      <c r="I1665" t="s">
        <v>10253</v>
      </c>
      <c r="K1665" s="1073" t="s">
        <v>10274</v>
      </c>
      <c r="L1665" s="789" t="s">
        <v>10241</v>
      </c>
      <c r="M1665" s="790" t="s">
        <v>11415</v>
      </c>
      <c r="O1665" s="790" t="s">
        <v>11153</v>
      </c>
      <c r="P1665" s="790" t="s">
        <v>10244</v>
      </c>
      <c r="R1665" s="30"/>
    </row>
    <row r="1666" spans="2:18">
      <c r="B1666" s="27" t="s">
        <v>11924</v>
      </c>
      <c r="C1666" s="1042"/>
      <c r="D1666" s="7">
        <f>Page4!D20</f>
        <v>75427</v>
      </c>
      <c r="E1666" s="7">
        <f>Page4!F20</f>
        <v>270055</v>
      </c>
      <c r="F1666" t="str">
        <f t="shared" si="79"/>
        <v>05-00-PERSONNL-EXPNS-CURR</v>
      </c>
      <c r="G1666" t="s">
        <v>127</v>
      </c>
      <c r="H1666" t="s">
        <v>10287</v>
      </c>
      <c r="I1666" t="s">
        <v>10253</v>
      </c>
      <c r="J1666" t="s">
        <v>10268</v>
      </c>
      <c r="K1666" s="1073" t="s">
        <v>10274</v>
      </c>
      <c r="L1666" s="789" t="s">
        <v>10241</v>
      </c>
      <c r="M1666" s="790" t="s">
        <v>10956</v>
      </c>
      <c r="O1666" s="790" t="s">
        <v>11153</v>
      </c>
      <c r="P1666" s="790" t="s">
        <v>10244</v>
      </c>
      <c r="Q1666" s="791" t="s">
        <v>773</v>
      </c>
    </row>
    <row r="1667" spans="2:18">
      <c r="B1667" s="5" t="s">
        <v>11925</v>
      </c>
      <c r="C1667" s="1038">
        <v>51</v>
      </c>
      <c r="D1667" s="7">
        <f>Page4!D21</f>
        <v>5710</v>
      </c>
      <c r="E1667" s="7">
        <f>Page4!F21</f>
        <v>-3112</v>
      </c>
      <c r="F1667" t="str">
        <f t="shared" si="79"/>
        <v>05-00-51-EXPNS-CURR</v>
      </c>
      <c r="G1667" t="s">
        <v>127</v>
      </c>
      <c r="H1667" t="s">
        <v>10287</v>
      </c>
      <c r="I1667" t="s">
        <v>10253</v>
      </c>
      <c r="K1667" s="1073" t="s">
        <v>10274</v>
      </c>
      <c r="L1667" s="789" t="s">
        <v>10241</v>
      </c>
      <c r="M1667" s="790" t="s">
        <v>11418</v>
      </c>
      <c r="O1667" s="790" t="s">
        <v>11153</v>
      </c>
      <c r="P1667" s="790" t="s">
        <v>10244</v>
      </c>
      <c r="R1667" s="30"/>
    </row>
    <row r="1668" spans="2:18">
      <c r="B1668" s="5" t="s">
        <v>11926</v>
      </c>
      <c r="C1668" s="1038">
        <v>60</v>
      </c>
      <c r="D1668" s="7">
        <f>Page4!D22</f>
        <v>511</v>
      </c>
      <c r="E1668" s="7">
        <f>Page4!F22</f>
        <v>3404</v>
      </c>
      <c r="F1668" t="str">
        <f t="shared" si="79"/>
        <v>05-00-60-EXPNS-CURR</v>
      </c>
      <c r="G1668" t="s">
        <v>127</v>
      </c>
      <c r="H1668" t="s">
        <v>10287</v>
      </c>
      <c r="I1668" t="s">
        <v>10253</v>
      </c>
      <c r="K1668" s="1073" t="s">
        <v>10274</v>
      </c>
      <c r="L1668" s="789" t="s">
        <v>10241</v>
      </c>
      <c r="M1668" s="790" t="s">
        <v>11420</v>
      </c>
      <c r="O1668" s="790" t="s">
        <v>11153</v>
      </c>
      <c r="P1668" s="790" t="s">
        <v>10244</v>
      </c>
      <c r="R1668" s="30"/>
    </row>
    <row r="1669" spans="2:18">
      <c r="B1669" s="5" t="s">
        <v>11927</v>
      </c>
      <c r="C1669" s="1038">
        <v>61</v>
      </c>
      <c r="D1669" s="7">
        <f>Page4!D23</f>
        <v>3749</v>
      </c>
      <c r="E1669" s="7">
        <f>Page4!F23</f>
        <v>15476</v>
      </c>
      <c r="F1669" t="str">
        <f t="shared" si="79"/>
        <v>05-00-61-EXPNS-CURR</v>
      </c>
      <c r="G1669" t="s">
        <v>127</v>
      </c>
      <c r="H1669" t="s">
        <v>10287</v>
      </c>
      <c r="I1669" t="s">
        <v>10253</v>
      </c>
      <c r="K1669" s="1073" t="s">
        <v>10274</v>
      </c>
      <c r="L1669" s="789" t="s">
        <v>10241</v>
      </c>
      <c r="M1669" s="790" t="s">
        <v>11422</v>
      </c>
      <c r="O1669" s="790" t="s">
        <v>11153</v>
      </c>
      <c r="P1669" s="790" t="s">
        <v>10244</v>
      </c>
      <c r="R1669" s="30"/>
    </row>
    <row r="1670" spans="2:18">
      <c r="B1670" s="5" t="s">
        <v>11928</v>
      </c>
      <c r="C1670" s="1038">
        <v>63</v>
      </c>
      <c r="D1670" s="7">
        <f>Page4!D24</f>
        <v>0</v>
      </c>
      <c r="E1670" s="7">
        <f>Page4!F24</f>
        <v>0</v>
      </c>
      <c r="F1670" t="str">
        <f t="shared" si="79"/>
        <v>05-00-63-EXPNS-CURR</v>
      </c>
      <c r="G1670" t="s">
        <v>127</v>
      </c>
      <c r="H1670" t="s">
        <v>10287</v>
      </c>
      <c r="I1670" t="s">
        <v>10253</v>
      </c>
      <c r="K1670" s="1073" t="s">
        <v>10274</v>
      </c>
      <c r="L1670" s="789" t="s">
        <v>10241</v>
      </c>
      <c r="M1670" s="790">
        <v>63</v>
      </c>
      <c r="O1670" s="790" t="s">
        <v>11153</v>
      </c>
      <c r="P1670" s="790" t="s">
        <v>10244</v>
      </c>
      <c r="R1670" s="30"/>
    </row>
    <row r="1671" spans="2:18">
      <c r="B1671" s="5" t="s">
        <v>11929</v>
      </c>
      <c r="C1671" s="1038">
        <v>65</v>
      </c>
      <c r="D1671" s="7">
        <f>Page4!D25</f>
        <v>796</v>
      </c>
      <c r="E1671" s="7">
        <f>Page4!F25</f>
        <v>3387</v>
      </c>
      <c r="F1671" t="str">
        <f t="shared" si="79"/>
        <v>05-00-65-EXPNS-CURR</v>
      </c>
      <c r="G1671" t="s">
        <v>127</v>
      </c>
      <c r="H1671" t="s">
        <v>10287</v>
      </c>
      <c r="I1671" t="s">
        <v>10253</v>
      </c>
      <c r="K1671" s="1073" t="s">
        <v>10274</v>
      </c>
      <c r="L1671" s="789" t="s">
        <v>10241</v>
      </c>
      <c r="M1671" s="790" t="s">
        <v>11425</v>
      </c>
      <c r="O1671" s="790" t="s">
        <v>11153</v>
      </c>
      <c r="P1671" s="790" t="s">
        <v>10244</v>
      </c>
      <c r="R1671" s="30"/>
    </row>
    <row r="1672" spans="2:18">
      <c r="B1672" s="5" t="s">
        <v>11930</v>
      </c>
      <c r="C1672" s="1038">
        <v>64</v>
      </c>
      <c r="D1672" s="7">
        <f>Page4!D26</f>
        <v>0</v>
      </c>
      <c r="E1672" s="7">
        <f>Page4!F26</f>
        <v>0</v>
      </c>
      <c r="F1672" t="str">
        <f t="shared" si="79"/>
        <v>05-00-64-EXPNS-CURR</v>
      </c>
      <c r="G1672" t="s">
        <v>127</v>
      </c>
      <c r="H1672" t="s">
        <v>10287</v>
      </c>
      <c r="I1672" t="s">
        <v>10253</v>
      </c>
      <c r="K1672" s="1073" t="s">
        <v>10274</v>
      </c>
      <c r="L1672" s="789" t="s">
        <v>10241</v>
      </c>
      <c r="M1672" s="790">
        <v>64</v>
      </c>
      <c r="O1672" s="790" t="s">
        <v>11153</v>
      </c>
      <c r="P1672" s="790" t="s">
        <v>10244</v>
      </c>
      <c r="R1672" s="30"/>
    </row>
    <row r="1673" spans="2:18">
      <c r="B1673" s="5" t="s">
        <v>11931</v>
      </c>
      <c r="C1673" s="1038">
        <v>66</v>
      </c>
      <c r="D1673" s="7">
        <f>Page4!D27</f>
        <v>150</v>
      </c>
      <c r="E1673" s="7">
        <f>Page4!F27</f>
        <v>150</v>
      </c>
      <c r="F1673" t="str">
        <f t="shared" si="79"/>
        <v>05-00-66-EXPNS-CURR</v>
      </c>
      <c r="G1673" t="s">
        <v>127</v>
      </c>
      <c r="H1673" t="s">
        <v>10287</v>
      </c>
      <c r="I1673" t="s">
        <v>10253</v>
      </c>
      <c r="K1673" s="1073" t="s">
        <v>10274</v>
      </c>
      <c r="L1673" s="789" t="s">
        <v>10241</v>
      </c>
      <c r="M1673" s="790" t="s">
        <v>11428</v>
      </c>
      <c r="O1673" s="790" t="s">
        <v>11153</v>
      </c>
      <c r="P1673" s="790" t="s">
        <v>10244</v>
      </c>
      <c r="R1673" s="30"/>
    </row>
    <row r="1674" spans="2:18">
      <c r="B1674" s="5" t="s">
        <v>11932</v>
      </c>
      <c r="C1674" s="1038">
        <v>67</v>
      </c>
      <c r="D1674" s="7">
        <f>Page4!D28</f>
        <v>524</v>
      </c>
      <c r="E1674" s="7">
        <f>Page4!F28</f>
        <v>8005</v>
      </c>
      <c r="F1674" t="str">
        <f t="shared" si="79"/>
        <v>05-00-67-EXPNS-CURR</v>
      </c>
      <c r="G1674" t="s">
        <v>127</v>
      </c>
      <c r="H1674" t="s">
        <v>10287</v>
      </c>
      <c r="I1674" t="s">
        <v>10253</v>
      </c>
      <c r="K1674" s="1073" t="s">
        <v>10274</v>
      </c>
      <c r="L1674" s="789" t="s">
        <v>10241</v>
      </c>
      <c r="M1674" s="790" t="s">
        <v>11430</v>
      </c>
      <c r="O1674" s="790" t="s">
        <v>11153</v>
      </c>
      <c r="P1674" s="790" t="s">
        <v>10244</v>
      </c>
      <c r="R1674" s="30"/>
    </row>
    <row r="1675" spans="2:18">
      <c r="B1675" s="5" t="s">
        <v>11933</v>
      </c>
      <c r="C1675" s="1038">
        <v>68</v>
      </c>
      <c r="D1675" s="7">
        <f>Page4!D29</f>
        <v>5090</v>
      </c>
      <c r="E1675" s="7">
        <f>Page4!F29</f>
        <v>18252</v>
      </c>
      <c r="F1675" t="str">
        <f t="shared" si="79"/>
        <v>05-00-68-EXPNS-CURR</v>
      </c>
      <c r="G1675" t="s">
        <v>127</v>
      </c>
      <c r="H1675" t="s">
        <v>10287</v>
      </c>
      <c r="I1675" t="s">
        <v>10253</v>
      </c>
      <c r="K1675" s="1073" t="s">
        <v>10274</v>
      </c>
      <c r="L1675" s="789" t="s">
        <v>10241</v>
      </c>
      <c r="M1675" s="790" t="s">
        <v>11432</v>
      </c>
      <c r="O1675" s="790" t="s">
        <v>11153</v>
      </c>
      <c r="P1675" s="790" t="s">
        <v>10244</v>
      </c>
      <c r="R1675" s="30"/>
    </row>
    <row r="1676" spans="2:18">
      <c r="B1676" s="5" t="s">
        <v>11934</v>
      </c>
      <c r="C1676" s="1038">
        <v>69</v>
      </c>
      <c r="D1676" s="7">
        <f>Page4!D30</f>
        <v>1616</v>
      </c>
      <c r="E1676" s="7">
        <f>Page4!F30</f>
        <v>10742</v>
      </c>
      <c r="F1676" t="str">
        <f t="shared" si="79"/>
        <v>05-00-69-EXPNS-CURR</v>
      </c>
      <c r="G1676" t="s">
        <v>127</v>
      </c>
      <c r="H1676" t="s">
        <v>10287</v>
      </c>
      <c r="I1676" t="s">
        <v>10253</v>
      </c>
      <c r="K1676" s="1073" t="s">
        <v>10274</v>
      </c>
      <c r="L1676" s="789" t="s">
        <v>10241</v>
      </c>
      <c r="M1676" s="790" t="s">
        <v>11434</v>
      </c>
      <c r="O1676" s="790" t="s">
        <v>11153</v>
      </c>
      <c r="P1676" s="790" t="s">
        <v>10244</v>
      </c>
      <c r="R1676" s="30"/>
    </row>
    <row r="1677" spans="2:18">
      <c r="B1677" s="5" t="s">
        <v>11935</v>
      </c>
      <c r="C1677" s="1038">
        <v>70</v>
      </c>
      <c r="D1677" s="7">
        <f>Page4!D31</f>
        <v>925</v>
      </c>
      <c r="E1677" s="7">
        <f>Page4!F31</f>
        <v>2273</v>
      </c>
      <c r="F1677" t="str">
        <f t="shared" si="79"/>
        <v>05-00-70-EXPNS-CURR</v>
      </c>
      <c r="G1677" t="s">
        <v>127</v>
      </c>
      <c r="H1677" t="s">
        <v>10287</v>
      </c>
      <c r="I1677" t="s">
        <v>10253</v>
      </c>
      <c r="K1677" s="1073" t="s">
        <v>10274</v>
      </c>
      <c r="L1677" s="789" t="s">
        <v>10241</v>
      </c>
      <c r="M1677" s="790" t="s">
        <v>11436</v>
      </c>
      <c r="O1677" s="790" t="s">
        <v>11153</v>
      </c>
      <c r="P1677" s="790" t="s">
        <v>10244</v>
      </c>
      <c r="R1677" s="30"/>
    </row>
    <row r="1678" spans="2:18">
      <c r="B1678" s="5" t="s">
        <v>11936</v>
      </c>
      <c r="C1678" s="1038">
        <v>71</v>
      </c>
      <c r="D1678" s="7">
        <f>Page4!D32</f>
        <v>45</v>
      </c>
      <c r="E1678" s="7">
        <f>Page4!F32</f>
        <v>82</v>
      </c>
      <c r="F1678" t="str">
        <f t="shared" si="79"/>
        <v>05-00-71-EXPNS-CURR</v>
      </c>
      <c r="G1678" t="s">
        <v>127</v>
      </c>
      <c r="H1678" t="s">
        <v>10287</v>
      </c>
      <c r="I1678" t="s">
        <v>10253</v>
      </c>
      <c r="K1678" s="1073" t="s">
        <v>10274</v>
      </c>
      <c r="L1678" s="789" t="s">
        <v>10241</v>
      </c>
      <c r="M1678" s="790" t="s">
        <v>11438</v>
      </c>
      <c r="O1678" s="790" t="s">
        <v>11153</v>
      </c>
      <c r="P1678" s="790" t="s">
        <v>10244</v>
      </c>
      <c r="R1678" s="30"/>
    </row>
    <row r="1679" spans="2:18">
      <c r="B1679" s="5" t="s">
        <v>11937</v>
      </c>
      <c r="C1679" s="1038">
        <v>72</v>
      </c>
      <c r="D1679" s="7">
        <f>Page4!D33</f>
        <v>600</v>
      </c>
      <c r="E1679" s="7">
        <f>Page4!F33</f>
        <v>900</v>
      </c>
      <c r="F1679" t="str">
        <f t="shared" si="79"/>
        <v>05-00-72-EXPNS-CURR</v>
      </c>
      <c r="G1679" t="s">
        <v>127</v>
      </c>
      <c r="H1679" t="s">
        <v>10287</v>
      </c>
      <c r="I1679" t="s">
        <v>10253</v>
      </c>
      <c r="K1679" s="1073" t="s">
        <v>10274</v>
      </c>
      <c r="L1679" s="789" t="s">
        <v>10241</v>
      </c>
      <c r="M1679" s="790" t="s">
        <v>11440</v>
      </c>
      <c r="O1679" s="790" t="s">
        <v>11153</v>
      </c>
      <c r="P1679" s="790" t="s">
        <v>10244</v>
      </c>
      <c r="R1679" s="30"/>
    </row>
    <row r="1680" spans="2:18">
      <c r="B1680" s="40" t="s">
        <v>11938</v>
      </c>
      <c r="C1680" s="1038">
        <v>74</v>
      </c>
      <c r="D1680" s="7">
        <f>Page4!D34</f>
        <v>284</v>
      </c>
      <c r="E1680" s="7">
        <f>Page4!F34</f>
        <v>779</v>
      </c>
      <c r="F1680" t="str">
        <f t="shared" si="79"/>
        <v>05-00-74-EXPNS-CURR</v>
      </c>
      <c r="G1680" t="s">
        <v>127</v>
      </c>
      <c r="H1680" t="s">
        <v>10287</v>
      </c>
      <c r="I1680" t="s">
        <v>10253</v>
      </c>
      <c r="K1680" s="1073" t="s">
        <v>10274</v>
      </c>
      <c r="L1680" s="789" t="s">
        <v>10241</v>
      </c>
      <c r="M1680" s="790" t="s">
        <v>11442</v>
      </c>
      <c r="O1680" s="790" t="s">
        <v>11153</v>
      </c>
      <c r="P1680" s="790" t="s">
        <v>10244</v>
      </c>
      <c r="R1680" s="30"/>
    </row>
    <row r="1681" spans="2:18">
      <c r="B1681" s="5" t="s">
        <v>11939</v>
      </c>
      <c r="C1681" s="1038">
        <v>75</v>
      </c>
      <c r="D1681" s="7">
        <f>Page4!D35</f>
        <v>5349</v>
      </c>
      <c r="E1681" s="7">
        <f>Page4!F35</f>
        <v>16233</v>
      </c>
      <c r="F1681" t="str">
        <f t="shared" si="79"/>
        <v>05-00-75-EXPNS-CURR</v>
      </c>
      <c r="G1681" t="s">
        <v>127</v>
      </c>
      <c r="H1681" t="s">
        <v>10287</v>
      </c>
      <c r="I1681" t="s">
        <v>10253</v>
      </c>
      <c r="K1681" s="1073" t="s">
        <v>10274</v>
      </c>
      <c r="L1681" s="789" t="s">
        <v>10241</v>
      </c>
      <c r="M1681" s="790" t="s">
        <v>11444</v>
      </c>
      <c r="O1681" s="790" t="s">
        <v>11153</v>
      </c>
      <c r="P1681" s="790" t="s">
        <v>10244</v>
      </c>
      <c r="R1681" s="30"/>
    </row>
    <row r="1682" spans="2:18">
      <c r="B1682" s="5" t="s">
        <v>11940</v>
      </c>
      <c r="C1682" s="1038">
        <v>79</v>
      </c>
      <c r="D1682" s="7">
        <f>Page4!D38</f>
        <v>1133</v>
      </c>
      <c r="E1682" s="7">
        <f>Page4!F38</f>
        <v>3869</v>
      </c>
      <c r="F1682" t="str">
        <f t="shared" si="79"/>
        <v>05-00-79-EXPNS-CURR</v>
      </c>
      <c r="G1682" t="s">
        <v>127</v>
      </c>
      <c r="H1682" t="s">
        <v>10287</v>
      </c>
      <c r="I1682" t="s">
        <v>10253</v>
      </c>
      <c r="K1682" s="1073" t="s">
        <v>10274</v>
      </c>
      <c r="L1682" s="789" t="s">
        <v>10241</v>
      </c>
      <c r="M1682" s="790" t="s">
        <v>11878</v>
      </c>
      <c r="O1682" s="790" t="s">
        <v>11153</v>
      </c>
      <c r="P1682" s="790" t="s">
        <v>10244</v>
      </c>
      <c r="R1682" s="30"/>
    </row>
    <row r="1683" spans="2:18">
      <c r="B1683" s="5" t="s">
        <v>11941</v>
      </c>
      <c r="C1683" s="1038">
        <v>57</v>
      </c>
      <c r="D1683" s="7">
        <f>Page4!D40</f>
        <v>0</v>
      </c>
      <c r="E1683" s="7">
        <f>Page4!F40</f>
        <v>0</v>
      </c>
      <c r="F1683" t="str">
        <f t="shared" si="79"/>
        <v>05-00-57-EXPNS-CURR</v>
      </c>
      <c r="G1683" t="s">
        <v>127</v>
      </c>
      <c r="H1683" t="s">
        <v>10287</v>
      </c>
      <c r="I1683" t="s">
        <v>10253</v>
      </c>
      <c r="K1683" s="1073" t="s">
        <v>10274</v>
      </c>
      <c r="L1683" s="789" t="s">
        <v>10241</v>
      </c>
      <c r="M1683" s="790">
        <v>57</v>
      </c>
      <c r="O1683" s="790" t="s">
        <v>11153</v>
      </c>
      <c r="P1683" s="790" t="s">
        <v>10244</v>
      </c>
      <c r="R1683" s="30"/>
    </row>
    <row r="1684" spans="2:18">
      <c r="B1684" s="5" t="s">
        <v>11942</v>
      </c>
      <c r="C1684" s="1038">
        <v>33</v>
      </c>
      <c r="D1684" s="7">
        <f>Page4!D41</f>
        <v>726</v>
      </c>
      <c r="E1684" s="7">
        <f>Page4!F41</f>
        <v>819</v>
      </c>
      <c r="F1684" t="str">
        <f t="shared" si="79"/>
        <v>05-00-33-EXPNS-CURR</v>
      </c>
      <c r="G1684" t="s">
        <v>127</v>
      </c>
      <c r="H1684" t="s">
        <v>10287</v>
      </c>
      <c r="I1684" t="s">
        <v>10253</v>
      </c>
      <c r="K1684" s="1073" t="s">
        <v>10274</v>
      </c>
      <c r="L1684" s="789" t="s">
        <v>10241</v>
      </c>
      <c r="M1684" s="790">
        <v>33</v>
      </c>
      <c r="O1684" s="790" t="s">
        <v>11153</v>
      </c>
      <c r="P1684" s="790" t="s">
        <v>10244</v>
      </c>
      <c r="R1684" s="30"/>
    </row>
    <row r="1685" spans="2:18">
      <c r="B1685" s="5" t="s">
        <v>11943</v>
      </c>
      <c r="C1685" s="1038">
        <v>77</v>
      </c>
      <c r="D1685" s="7">
        <f>Page4!D42</f>
        <v>-6640</v>
      </c>
      <c r="E1685" s="7">
        <f>Page4!F42</f>
        <v>-8714</v>
      </c>
      <c r="F1685" t="str">
        <f t="shared" si="79"/>
        <v>05-00-77-EXPNS-CURR</v>
      </c>
      <c r="G1685" t="s">
        <v>127</v>
      </c>
      <c r="H1685" t="s">
        <v>10287</v>
      </c>
      <c r="I1685" t="s">
        <v>10253</v>
      </c>
      <c r="K1685" s="1073" t="s">
        <v>10274</v>
      </c>
      <c r="L1685" s="789" t="s">
        <v>10241</v>
      </c>
      <c r="M1685" s="790" t="s">
        <v>11455</v>
      </c>
      <c r="O1685" s="790" t="s">
        <v>11153</v>
      </c>
      <c r="P1685" s="790" t="s">
        <v>10244</v>
      </c>
      <c r="R1685" s="30"/>
    </row>
    <row r="1686" spans="2:18">
      <c r="B1686" s="51" t="s">
        <v>11944</v>
      </c>
      <c r="C1686" s="1042"/>
      <c r="D1686" s="7">
        <f>Page4!D43</f>
        <v>20568</v>
      </c>
      <c r="E1686" s="7">
        <f>Page4!F43</f>
        <v>72545</v>
      </c>
      <c r="F1686" t="str">
        <f t="shared" si="79"/>
        <v>05-00-SEMIFIXD-EXPNS-CURR</v>
      </c>
      <c r="G1686" t="s">
        <v>127</v>
      </c>
      <c r="H1686" t="s">
        <v>10287</v>
      </c>
      <c r="I1686" t="s">
        <v>10253</v>
      </c>
      <c r="J1686" t="s">
        <v>10268</v>
      </c>
      <c r="K1686" s="1073" t="s">
        <v>10274</v>
      </c>
      <c r="L1686" s="789" t="s">
        <v>10241</v>
      </c>
      <c r="M1686" s="790" t="s">
        <v>11457</v>
      </c>
      <c r="O1686" s="790" t="s">
        <v>11153</v>
      </c>
      <c r="P1686" s="790" t="s">
        <v>10244</v>
      </c>
      <c r="Q1686" s="791" t="s">
        <v>773</v>
      </c>
    </row>
    <row r="1687" spans="2:18">
      <c r="B1687" s="5" t="s">
        <v>11945</v>
      </c>
      <c r="C1687" s="1038">
        <v>80</v>
      </c>
      <c r="D1687" s="7">
        <f>Page4!D44</f>
        <v>14220</v>
      </c>
      <c r="E1687" s="7">
        <f>Page4!F44</f>
        <v>55530</v>
      </c>
      <c r="F1687" t="str">
        <f t="shared" si="79"/>
        <v>05-00-80-EXPNS-CURR</v>
      </c>
      <c r="G1687" t="s">
        <v>127</v>
      </c>
      <c r="H1687" t="s">
        <v>10287</v>
      </c>
      <c r="I1687" t="s">
        <v>10253</v>
      </c>
      <c r="K1687" s="1073" t="s">
        <v>10274</v>
      </c>
      <c r="L1687" s="789" t="s">
        <v>10241</v>
      </c>
      <c r="M1687" s="790" t="s">
        <v>11459</v>
      </c>
      <c r="O1687" s="790" t="s">
        <v>11153</v>
      </c>
      <c r="P1687" s="790" t="s">
        <v>10244</v>
      </c>
      <c r="R1687" s="30"/>
    </row>
    <row r="1688" spans="2:18">
      <c r="B1688" s="5" t="s">
        <v>11946</v>
      </c>
      <c r="C1688" s="1038">
        <v>81</v>
      </c>
      <c r="D1688" s="7">
        <f>Page4!D45</f>
        <v>0</v>
      </c>
      <c r="E1688" s="7">
        <f>Page4!F45</f>
        <v>0</v>
      </c>
      <c r="F1688" t="str">
        <f t="shared" si="79"/>
        <v>05-00-81-EXPNS-CURR</v>
      </c>
      <c r="G1688" t="s">
        <v>127</v>
      </c>
      <c r="H1688" t="s">
        <v>10287</v>
      </c>
      <c r="I1688" t="s">
        <v>10253</v>
      </c>
      <c r="K1688" s="1073" t="s">
        <v>10274</v>
      </c>
      <c r="L1688" s="789" t="s">
        <v>10241</v>
      </c>
      <c r="M1688" s="790" t="s">
        <v>11461</v>
      </c>
      <c r="O1688" s="790" t="s">
        <v>11153</v>
      </c>
      <c r="P1688" s="790" t="s">
        <v>10244</v>
      </c>
      <c r="R1688" s="30"/>
    </row>
    <row r="1689" spans="2:18">
      <c r="B1689" s="5" t="s">
        <v>11947</v>
      </c>
      <c r="C1689" s="1038">
        <v>82</v>
      </c>
      <c r="D1689" s="7">
        <f>Page4!D46</f>
        <v>849</v>
      </c>
      <c r="E1689" s="7">
        <f>Page4!F46</f>
        <v>10165</v>
      </c>
      <c r="F1689" t="str">
        <f t="shared" si="79"/>
        <v>05-00-82-EXPNS-CURR</v>
      </c>
      <c r="G1689" t="s">
        <v>127</v>
      </c>
      <c r="H1689" t="s">
        <v>10287</v>
      </c>
      <c r="I1689" t="s">
        <v>10253</v>
      </c>
      <c r="K1689" s="1073" t="s">
        <v>10274</v>
      </c>
      <c r="L1689" s="789" t="s">
        <v>10241</v>
      </c>
      <c r="M1689" s="790" t="s">
        <v>11463</v>
      </c>
      <c r="O1689" s="790" t="s">
        <v>11153</v>
      </c>
      <c r="P1689" s="790" t="s">
        <v>10244</v>
      </c>
      <c r="R1689" s="30"/>
    </row>
    <row r="1690" spans="2:18">
      <c r="B1690" s="5" t="s">
        <v>11948</v>
      </c>
      <c r="C1690" s="1038">
        <v>83</v>
      </c>
      <c r="D1690" s="7">
        <f>Page4!D47</f>
        <v>23</v>
      </c>
      <c r="E1690" s="7">
        <f>Page4!F47</f>
        <v>92</v>
      </c>
      <c r="F1690" t="str">
        <f t="shared" si="79"/>
        <v>05-00-83-EXPNS-CURR</v>
      </c>
      <c r="G1690" t="s">
        <v>127</v>
      </c>
      <c r="H1690" t="s">
        <v>10287</v>
      </c>
      <c r="I1690" t="s">
        <v>10253</v>
      </c>
      <c r="K1690" s="1073" t="s">
        <v>10274</v>
      </c>
      <c r="L1690" s="789" t="s">
        <v>10241</v>
      </c>
      <c r="M1690" s="790" t="s">
        <v>11465</v>
      </c>
      <c r="O1690" s="790" t="s">
        <v>11153</v>
      </c>
      <c r="P1690" s="790" t="s">
        <v>10244</v>
      </c>
      <c r="R1690" s="30"/>
    </row>
    <row r="1691" spans="2:18">
      <c r="B1691" s="5" t="s">
        <v>11949</v>
      </c>
      <c r="C1691" s="1038">
        <v>84</v>
      </c>
      <c r="D1691" s="7">
        <f>Page4!D48</f>
        <v>1800</v>
      </c>
      <c r="E1691" s="7">
        <f>Page4!F48</f>
        <v>7200</v>
      </c>
      <c r="F1691" t="str">
        <f t="shared" si="79"/>
        <v>05-00-84-EXPNS-CURR</v>
      </c>
      <c r="G1691" t="s">
        <v>127</v>
      </c>
      <c r="H1691" t="s">
        <v>10287</v>
      </c>
      <c r="I1691" t="s">
        <v>10253</v>
      </c>
      <c r="K1691" s="1073" t="s">
        <v>10274</v>
      </c>
      <c r="L1691" s="789" t="s">
        <v>10241</v>
      </c>
      <c r="M1691" s="790" t="s">
        <v>11467</v>
      </c>
      <c r="O1691" s="790" t="s">
        <v>11153</v>
      </c>
      <c r="P1691" s="790" t="s">
        <v>10244</v>
      </c>
      <c r="R1691" s="30"/>
    </row>
    <row r="1692" spans="2:18">
      <c r="B1692" s="5" t="s">
        <v>11950</v>
      </c>
      <c r="C1692" s="1038">
        <v>85</v>
      </c>
      <c r="D1692" s="7">
        <f>Page4!D49</f>
        <v>1224</v>
      </c>
      <c r="E1692" s="7">
        <f>Page4!F49</f>
        <v>4896</v>
      </c>
      <c r="F1692" t="str">
        <f t="shared" si="79"/>
        <v>05-00-85-EXPNS-CURR</v>
      </c>
      <c r="G1692" t="s">
        <v>127</v>
      </c>
      <c r="H1692" t="s">
        <v>10287</v>
      </c>
      <c r="I1692" t="s">
        <v>10253</v>
      </c>
      <c r="K1692" s="1073" t="s">
        <v>10274</v>
      </c>
      <c r="L1692" s="789" t="s">
        <v>10241</v>
      </c>
      <c r="M1692" s="790" t="s">
        <v>11469</v>
      </c>
      <c r="O1692" s="790" t="s">
        <v>11153</v>
      </c>
      <c r="P1692" s="790" t="s">
        <v>10244</v>
      </c>
      <c r="R1692" s="30"/>
    </row>
    <row r="1693" spans="2:18">
      <c r="B1693" s="5" t="s">
        <v>11951</v>
      </c>
      <c r="C1693" s="1038">
        <v>86</v>
      </c>
      <c r="D1693" s="7">
        <f>Page4!D50</f>
        <v>0</v>
      </c>
      <c r="E1693" s="7">
        <f>Page4!F50</f>
        <v>0</v>
      </c>
      <c r="F1693" t="str">
        <f t="shared" si="79"/>
        <v>05-00-86-EXPNS-CURR</v>
      </c>
      <c r="G1693" t="s">
        <v>127</v>
      </c>
      <c r="H1693" t="s">
        <v>10287</v>
      </c>
      <c r="I1693" t="s">
        <v>10253</v>
      </c>
      <c r="K1693" s="1073" t="s">
        <v>10274</v>
      </c>
      <c r="L1693" s="789" t="s">
        <v>10241</v>
      </c>
      <c r="M1693" s="790" t="s">
        <v>11471</v>
      </c>
      <c r="O1693" s="790" t="s">
        <v>11153</v>
      </c>
      <c r="P1693" s="790" t="s">
        <v>10244</v>
      </c>
      <c r="R1693" s="30"/>
    </row>
    <row r="1694" spans="2:18">
      <c r="B1694" s="5" t="s">
        <v>11952</v>
      </c>
      <c r="C1694" s="1038">
        <v>87</v>
      </c>
      <c r="D1694" s="7">
        <f>Page4!D51</f>
        <v>2995</v>
      </c>
      <c r="E1694" s="7">
        <f>Page4!F51</f>
        <v>11825</v>
      </c>
      <c r="F1694" t="str">
        <f>TEXT(K1694,"00")&amp;"-"&amp;L1694&amp;IF(M1694="","","-"&amp;M1694)&amp;IF(N1694="","","-"&amp;N1694)&amp;IF(OR(O1694="",O1694=0),"","-"&amp;O1694)&amp;IF(P1694="","","-"&amp;P1694)</f>
        <v>05-00-87-EXPNS-CURR</v>
      </c>
      <c r="G1694" t="s">
        <v>127</v>
      </c>
      <c r="H1694" t="s">
        <v>10287</v>
      </c>
      <c r="I1694" t="s">
        <v>10253</v>
      </c>
      <c r="K1694" s="1073" t="s">
        <v>10274</v>
      </c>
      <c r="L1694" s="789" t="s">
        <v>10241</v>
      </c>
      <c r="M1694" s="790" t="s">
        <v>11473</v>
      </c>
      <c r="O1694" s="790" t="s">
        <v>11153</v>
      </c>
      <c r="P1694" s="790" t="s">
        <v>10244</v>
      </c>
      <c r="R1694" s="30"/>
    </row>
    <row r="1695" spans="2:18">
      <c r="B1695" s="27" t="s">
        <v>11953</v>
      </c>
      <c r="C1695" s="1042"/>
      <c r="D1695" s="7">
        <f>Page4!D52</f>
        <v>21111</v>
      </c>
      <c r="E1695" s="7">
        <f>Page4!F52</f>
        <v>89708</v>
      </c>
      <c r="F1695" t="str">
        <f t="shared" si="79"/>
        <v>05-00-RENTEQUV-EXPNS-CURR</v>
      </c>
      <c r="G1695" t="s">
        <v>127</v>
      </c>
      <c r="H1695" t="s">
        <v>10287</v>
      </c>
      <c r="I1695" t="s">
        <v>10253</v>
      </c>
      <c r="J1695" t="s">
        <v>10268</v>
      </c>
      <c r="K1695" s="1073" t="s">
        <v>10274</v>
      </c>
      <c r="L1695" s="789" t="s">
        <v>10241</v>
      </c>
      <c r="M1695" s="790" t="s">
        <v>11475</v>
      </c>
      <c r="O1695" s="790" t="s">
        <v>11153</v>
      </c>
      <c r="P1695" s="790" t="s">
        <v>10244</v>
      </c>
      <c r="Q1695" s="791" t="s">
        <v>773</v>
      </c>
    </row>
    <row r="1696" spans="2:18">
      <c r="B1696" s="5" t="s">
        <v>11954</v>
      </c>
      <c r="C1696" s="1038">
        <v>88</v>
      </c>
      <c r="D1696" s="7">
        <f>Page4!D53</f>
        <v>0</v>
      </c>
      <c r="E1696" s="7">
        <f>Page4!F53</f>
        <v>0</v>
      </c>
      <c r="F1696" t="str">
        <f t="shared" si="79"/>
        <v>05-00-88-EXPNS-CURR</v>
      </c>
      <c r="G1696" t="s">
        <v>127</v>
      </c>
      <c r="H1696" t="s">
        <v>10287</v>
      </c>
      <c r="I1696" t="s">
        <v>10253</v>
      </c>
      <c r="K1696" s="1073" t="s">
        <v>10274</v>
      </c>
      <c r="L1696" s="789" t="s">
        <v>10241</v>
      </c>
      <c r="M1696" s="790" t="s">
        <v>11477</v>
      </c>
      <c r="O1696" s="790" t="s">
        <v>11153</v>
      </c>
      <c r="P1696" s="790" t="s">
        <v>10244</v>
      </c>
      <c r="R1696" s="30"/>
    </row>
    <row r="1697" spans="2:18">
      <c r="B1697" s="5" t="s">
        <v>11955</v>
      </c>
      <c r="C1697" s="1038">
        <v>89</v>
      </c>
      <c r="D1697" s="7">
        <f>Page4!D54</f>
        <v>0</v>
      </c>
      <c r="E1697" s="7">
        <f>Page4!F54</f>
        <v>0</v>
      </c>
      <c r="F1697" t="str">
        <f t="shared" si="79"/>
        <v>05-00-89-EXPNS-CURR</v>
      </c>
      <c r="G1697" t="s">
        <v>127</v>
      </c>
      <c r="H1697" t="s">
        <v>10287</v>
      </c>
      <c r="I1697" t="s">
        <v>10253</v>
      </c>
      <c r="K1697" s="1073" t="s">
        <v>10274</v>
      </c>
      <c r="L1697" s="789" t="s">
        <v>10241</v>
      </c>
      <c r="M1697" s="790" t="s">
        <v>11479</v>
      </c>
      <c r="O1697" s="790" t="s">
        <v>11153</v>
      </c>
      <c r="P1697" s="790" t="s">
        <v>10244</v>
      </c>
      <c r="R1697" s="30"/>
    </row>
    <row r="1698" spans="2:18">
      <c r="B1698" s="5" t="s">
        <v>11956</v>
      </c>
      <c r="C1698" s="1038">
        <v>90</v>
      </c>
      <c r="D1698" s="7">
        <f>Page4!D55</f>
        <v>3808</v>
      </c>
      <c r="E1698" s="7">
        <f>Page4!F55</f>
        <v>4249</v>
      </c>
      <c r="F1698" t="str">
        <f t="shared" si="79"/>
        <v>05-00-90-EXPNS-CURR</v>
      </c>
      <c r="G1698" t="s">
        <v>127</v>
      </c>
      <c r="H1698" t="s">
        <v>10287</v>
      </c>
      <c r="I1698" t="s">
        <v>10253</v>
      </c>
      <c r="K1698" s="1073" t="s">
        <v>10274</v>
      </c>
      <c r="L1698" s="789" t="s">
        <v>10241</v>
      </c>
      <c r="M1698" s="790" t="s">
        <v>11481</v>
      </c>
      <c r="O1698" s="790" t="s">
        <v>11153</v>
      </c>
      <c r="P1698" s="790" t="s">
        <v>10244</v>
      </c>
      <c r="R1698" s="30"/>
    </row>
    <row r="1699" spans="2:18">
      <c r="B1699" s="5" t="s">
        <v>11957</v>
      </c>
      <c r="C1699" s="1038">
        <v>91</v>
      </c>
      <c r="D1699" s="7">
        <f>Page4!D56</f>
        <v>4053</v>
      </c>
      <c r="E1699" s="7">
        <f>Page4!F56</f>
        <v>16212</v>
      </c>
      <c r="F1699" t="str">
        <f t="shared" si="79"/>
        <v>05-00-91-EXPNS-CURR</v>
      </c>
      <c r="G1699" t="s">
        <v>127</v>
      </c>
      <c r="H1699" t="s">
        <v>10287</v>
      </c>
      <c r="I1699" t="s">
        <v>10253</v>
      </c>
      <c r="K1699" s="1073" t="s">
        <v>10274</v>
      </c>
      <c r="L1699" s="789" t="s">
        <v>10241</v>
      </c>
      <c r="M1699" s="790" t="s">
        <v>11483</v>
      </c>
      <c r="O1699" s="790" t="s">
        <v>11153</v>
      </c>
      <c r="P1699" s="790" t="s">
        <v>10244</v>
      </c>
      <c r="R1699" s="30"/>
    </row>
    <row r="1700" spans="2:18">
      <c r="B1700" s="5" t="s">
        <v>11958</v>
      </c>
      <c r="C1700" s="1055">
        <v>92</v>
      </c>
      <c r="D1700" s="7">
        <f>Page4!D57</f>
        <v>1070</v>
      </c>
      <c r="E1700" s="7">
        <f>Page4!F57</f>
        <v>1070</v>
      </c>
      <c r="F1700" t="str">
        <f t="shared" si="79"/>
        <v>05-00-92-EXPNS-CURR</v>
      </c>
      <c r="G1700" t="s">
        <v>127</v>
      </c>
      <c r="H1700" t="s">
        <v>10287</v>
      </c>
      <c r="I1700" t="s">
        <v>10253</v>
      </c>
      <c r="K1700" s="1073" t="s">
        <v>10274</v>
      </c>
      <c r="L1700" s="789" t="s">
        <v>10241</v>
      </c>
      <c r="M1700" s="790" t="s">
        <v>11485</v>
      </c>
      <c r="O1700" s="790" t="s">
        <v>11153</v>
      </c>
      <c r="P1700" s="790" t="s">
        <v>10244</v>
      </c>
      <c r="R1700" s="30"/>
    </row>
    <row r="1701" spans="2:18">
      <c r="B1701" s="51" t="s">
        <v>11959</v>
      </c>
      <c r="C1701" s="1042"/>
      <c r="D1701" s="7">
        <f>Page4!D58</f>
        <v>30042</v>
      </c>
      <c r="E1701" s="7">
        <f>Page4!F58</f>
        <v>111239</v>
      </c>
      <c r="F1701" t="str">
        <f t="shared" si="79"/>
        <v>05-00-FIXEDEXP-EXPNS-CURR</v>
      </c>
      <c r="G1701" t="s">
        <v>127</v>
      </c>
      <c r="H1701" t="s">
        <v>10287</v>
      </c>
      <c r="I1701" t="s">
        <v>10253</v>
      </c>
      <c r="J1701" t="s">
        <v>10268</v>
      </c>
      <c r="K1701" s="1073" t="s">
        <v>10274</v>
      </c>
      <c r="L1701" s="789" t="s">
        <v>10241</v>
      </c>
      <c r="M1701" s="790" t="s">
        <v>11487</v>
      </c>
      <c r="O1701" s="790" t="s">
        <v>11153</v>
      </c>
      <c r="P1701" s="790" t="s">
        <v>10244</v>
      </c>
      <c r="Q1701" s="791" t="s">
        <v>773</v>
      </c>
    </row>
    <row r="1702" spans="2:18">
      <c r="B1702" s="51" t="s">
        <v>11960</v>
      </c>
      <c r="C1702" s="1042"/>
      <c r="D1702" s="7">
        <f>Page4!D59</f>
        <v>126037</v>
      </c>
      <c r="E1702" s="7">
        <f>Page4!F59</f>
        <v>453839</v>
      </c>
      <c r="F1702" t="str">
        <f t="shared" si="79"/>
        <v>05-00-FIXOVERH-EXPNS-CURR</v>
      </c>
      <c r="G1702" t="s">
        <v>127</v>
      </c>
      <c r="H1702" t="s">
        <v>10287</v>
      </c>
      <c r="I1702" t="s">
        <v>10253</v>
      </c>
      <c r="J1702" t="s">
        <v>10268</v>
      </c>
      <c r="K1702" s="1073" t="s">
        <v>10274</v>
      </c>
      <c r="L1702" s="789" t="s">
        <v>10241</v>
      </c>
      <c r="M1702" s="790" t="s">
        <v>11489</v>
      </c>
      <c r="O1702" s="790" t="s">
        <v>11153</v>
      </c>
      <c r="P1702" s="790" t="s">
        <v>10244</v>
      </c>
      <c r="Q1702" s="791" t="s">
        <v>773</v>
      </c>
    </row>
    <row r="1703" spans="2:18">
      <c r="B1703" s="51" t="s">
        <v>11961</v>
      </c>
      <c r="C1703" s="1042"/>
      <c r="D1703" s="7">
        <f>Page4!D60</f>
        <v>126037</v>
      </c>
      <c r="E1703" s="7">
        <f>Page4!F60</f>
        <v>453839</v>
      </c>
      <c r="F1703" t="str">
        <f t="shared" si="79"/>
        <v>05-00-TOTALEXP-EXPNS-CURR</v>
      </c>
      <c r="G1703" t="s">
        <v>127</v>
      </c>
      <c r="H1703" t="s">
        <v>10287</v>
      </c>
      <c r="I1703" t="s">
        <v>10253</v>
      </c>
      <c r="J1703" t="s">
        <v>10268</v>
      </c>
      <c r="K1703" s="1073" t="s">
        <v>10274</v>
      </c>
      <c r="L1703" s="789" t="s">
        <v>10241</v>
      </c>
      <c r="M1703" s="790" t="s">
        <v>11491</v>
      </c>
      <c r="O1703" s="790" t="s">
        <v>11153</v>
      </c>
      <c r="P1703" s="790" t="s">
        <v>10244</v>
      </c>
      <c r="Q1703" s="791" t="s">
        <v>773</v>
      </c>
    </row>
    <row r="1704" spans="2:18">
      <c r="B1704" s="51" t="s">
        <v>11962</v>
      </c>
      <c r="C1704" s="1042"/>
      <c r="D1704" s="7">
        <f>Page4!D61</f>
        <v>-41572</v>
      </c>
      <c r="E1704" s="7">
        <f>Page4!F61</f>
        <v>-176702</v>
      </c>
      <c r="F1704" t="str">
        <f t="shared" si="79"/>
        <v>05-00-P&amp;LDEPT-AMT-CURR</v>
      </c>
      <c r="G1704" t="s">
        <v>127</v>
      </c>
      <c r="H1704" t="s">
        <v>10287</v>
      </c>
      <c r="I1704" t="s">
        <v>10253</v>
      </c>
      <c r="J1704" t="s">
        <v>10268</v>
      </c>
      <c r="K1704" s="1073" t="s">
        <v>10274</v>
      </c>
      <c r="L1704" s="789" t="s">
        <v>10241</v>
      </c>
      <c r="M1704" s="790" t="s">
        <v>11774</v>
      </c>
      <c r="O1704" s="790" t="s">
        <v>10263</v>
      </c>
      <c r="P1704" s="790" t="s">
        <v>10244</v>
      </c>
      <c r="Q1704" s="791" t="s">
        <v>773</v>
      </c>
    </row>
    <row r="1705" spans="2:18">
      <c r="B1705" s="40" t="s">
        <v>11963</v>
      </c>
      <c r="C1705" s="1042"/>
      <c r="D1705" s="7">
        <f>Page4!D62</f>
        <v>7312</v>
      </c>
      <c r="E1705" s="7">
        <f>Page4!F62</f>
        <v>25957</v>
      </c>
      <c r="F1705" t="str">
        <f t="shared" si="79"/>
        <v>05-00-P&amp;A INCM-TRANSFER-CURR</v>
      </c>
      <c r="G1705" t="s">
        <v>127</v>
      </c>
      <c r="H1705" t="s">
        <v>10287</v>
      </c>
      <c r="I1705" t="s">
        <v>10253</v>
      </c>
      <c r="J1705" t="s">
        <v>10268</v>
      </c>
      <c r="K1705" s="1073" t="s">
        <v>10274</v>
      </c>
      <c r="L1705" s="789" t="s">
        <v>10241</v>
      </c>
      <c r="M1705" s="790" t="s">
        <v>11964</v>
      </c>
      <c r="O1705" s="790" t="s">
        <v>11777</v>
      </c>
      <c r="P1705" s="790" t="s">
        <v>10244</v>
      </c>
      <c r="Q1705" s="791" t="s">
        <v>773</v>
      </c>
    </row>
    <row r="1706" spans="2:18">
      <c r="B1706" s="40" t="s">
        <v>11965</v>
      </c>
      <c r="C1706" s="1059"/>
      <c r="D1706" s="7">
        <f>Page4!D63</f>
        <v>0</v>
      </c>
      <c r="E1706" s="7">
        <f>Page4!F63</f>
        <v>0</v>
      </c>
      <c r="F1706" t="str">
        <f t="shared" si="79"/>
        <v>05-00-G&amp;APRO-AMT-CURR</v>
      </c>
      <c r="G1706" t="s">
        <v>127</v>
      </c>
      <c r="H1706" t="s">
        <v>10287</v>
      </c>
      <c r="I1706" t="s">
        <v>10253</v>
      </c>
      <c r="K1706" s="1073" t="s">
        <v>10274</v>
      </c>
      <c r="L1706" s="789" t="s">
        <v>10241</v>
      </c>
      <c r="M1706" s="790" t="s">
        <v>11779</v>
      </c>
      <c r="O1706" s="790" t="s">
        <v>10263</v>
      </c>
      <c r="P1706" s="790" t="s">
        <v>10244</v>
      </c>
    </row>
    <row r="1707" spans="2:18">
      <c r="B1707" s="51" t="s">
        <v>11966</v>
      </c>
      <c r="C1707" s="1042"/>
      <c r="D1707" s="7">
        <f>Page4!D64</f>
        <v>-34260</v>
      </c>
      <c r="E1707" s="7">
        <f>Page4!F64</f>
        <v>-150745</v>
      </c>
      <c r="F1707" t="str">
        <f t="shared" si="79"/>
        <v>05-00-P&amp;LDEPT-AFTERPRO-CURR</v>
      </c>
      <c r="G1707" t="s">
        <v>127</v>
      </c>
      <c r="H1707" t="s">
        <v>10287</v>
      </c>
      <c r="I1707" t="s">
        <v>10253</v>
      </c>
      <c r="J1707" t="s">
        <v>10268</v>
      </c>
      <c r="K1707" s="1073" t="s">
        <v>10274</v>
      </c>
      <c r="L1707" s="789" t="s">
        <v>10241</v>
      </c>
      <c r="M1707" s="790" t="s">
        <v>11774</v>
      </c>
      <c r="O1707" s="790" t="s">
        <v>11781</v>
      </c>
      <c r="P1707" s="790" t="s">
        <v>10244</v>
      </c>
      <c r="Q1707" s="791" t="s">
        <v>773</v>
      </c>
    </row>
    <row r="1708" spans="2:18">
      <c r="B1708" s="51" t="s">
        <v>11967</v>
      </c>
      <c r="C1708" s="1042"/>
      <c r="D1708" s="803">
        <f>Page4!H4</f>
        <v>125390</v>
      </c>
      <c r="E1708" s="803">
        <f>Page4!J4</f>
        <v>453258</v>
      </c>
      <c r="F1708" t="str">
        <f t="shared" si="79"/>
        <v>06-00-BODYTOTL-SALES-CURR</v>
      </c>
      <c r="G1708" t="s">
        <v>127</v>
      </c>
      <c r="H1708" t="s">
        <v>10287</v>
      </c>
      <c r="I1708" t="s">
        <v>10253</v>
      </c>
      <c r="J1708" t="s">
        <v>10268</v>
      </c>
      <c r="K1708" s="1073" t="s">
        <v>10284</v>
      </c>
      <c r="L1708" s="789" t="s">
        <v>10241</v>
      </c>
      <c r="M1708" s="790" t="s">
        <v>11968</v>
      </c>
      <c r="O1708" s="790" t="s">
        <v>9883</v>
      </c>
      <c r="P1708" s="790" t="s">
        <v>10244</v>
      </c>
      <c r="Q1708" s="791" t="s">
        <v>773</v>
      </c>
    </row>
    <row r="1709" spans="2:18">
      <c r="B1709" s="51" t="s">
        <v>11969</v>
      </c>
      <c r="C1709" s="1042"/>
      <c r="D1709" s="803">
        <f>Page4!H5</f>
        <v>47763</v>
      </c>
      <c r="E1709" s="803">
        <f>Page4!J5</f>
        <v>174275</v>
      </c>
      <c r="F1709" t="str">
        <f t="shared" si="79"/>
        <v>06-00-BODYTOTL-GRSPFT-CURR</v>
      </c>
      <c r="G1709" t="s">
        <v>127</v>
      </c>
      <c r="H1709" t="s">
        <v>10287</v>
      </c>
      <c r="I1709" t="s">
        <v>10253</v>
      </c>
      <c r="J1709" t="s">
        <v>10268</v>
      </c>
      <c r="K1709" s="1073" t="s">
        <v>10284</v>
      </c>
      <c r="L1709" s="789" t="s">
        <v>10241</v>
      </c>
      <c r="M1709" s="790" t="s">
        <v>11968</v>
      </c>
      <c r="O1709" s="790" t="s">
        <v>10467</v>
      </c>
      <c r="P1709" s="790" t="s">
        <v>10244</v>
      </c>
      <c r="Q1709" s="791" t="s">
        <v>773</v>
      </c>
    </row>
    <row r="1710" spans="2:18">
      <c r="B1710" s="5" t="s">
        <v>11970</v>
      </c>
      <c r="C1710" s="1038">
        <v>20</v>
      </c>
      <c r="D1710" s="803">
        <f>Page4!H11</f>
        <v>3385</v>
      </c>
      <c r="E1710" s="803">
        <f>Page4!J11</f>
        <v>13408</v>
      </c>
      <c r="F1710" t="str">
        <f t="shared" si="79"/>
        <v>06-00-20-EXPNS-CURR</v>
      </c>
      <c r="G1710" t="s">
        <v>127</v>
      </c>
      <c r="H1710" t="s">
        <v>10287</v>
      </c>
      <c r="I1710" t="s">
        <v>10253</v>
      </c>
      <c r="K1710" s="1073" t="s">
        <v>10284</v>
      </c>
      <c r="L1710" s="789" t="s">
        <v>10241</v>
      </c>
      <c r="M1710" s="790" t="s">
        <v>11400</v>
      </c>
      <c r="O1710" s="790" t="s">
        <v>11153</v>
      </c>
      <c r="P1710" s="790" t="s">
        <v>10244</v>
      </c>
      <c r="R1710" s="30"/>
    </row>
    <row r="1711" spans="2:18">
      <c r="B1711" s="5" t="s">
        <v>11971</v>
      </c>
      <c r="C1711" s="1038">
        <v>21</v>
      </c>
      <c r="D1711" s="803">
        <f>Page4!H12</f>
        <v>487</v>
      </c>
      <c r="E1711" s="803">
        <f>Page4!J12</f>
        <v>2025</v>
      </c>
      <c r="F1711" t="str">
        <f t="shared" si="79"/>
        <v>06-00-21-EXPNS-CURR</v>
      </c>
      <c r="G1711" t="s">
        <v>127</v>
      </c>
      <c r="H1711" t="s">
        <v>10287</v>
      </c>
      <c r="I1711" t="s">
        <v>10253</v>
      </c>
      <c r="K1711" s="1073" t="s">
        <v>10284</v>
      </c>
      <c r="L1711" s="789" t="s">
        <v>10241</v>
      </c>
      <c r="M1711" s="790" t="s">
        <v>11402</v>
      </c>
      <c r="O1711" s="790" t="s">
        <v>11153</v>
      </c>
      <c r="P1711" s="790" t="s">
        <v>10244</v>
      </c>
      <c r="R1711" s="30"/>
    </row>
    <row r="1712" spans="2:18">
      <c r="B1712" s="40" t="s">
        <v>11972</v>
      </c>
      <c r="C1712" s="1038">
        <v>22</v>
      </c>
      <c r="D1712" s="803">
        <f>Page4!H13</f>
        <v>4083</v>
      </c>
      <c r="E1712" s="803">
        <f>Page4!J13</f>
        <v>37528</v>
      </c>
      <c r="F1712" t="str">
        <f t="shared" si="79"/>
        <v>06-00-22-EXPNS-CURR</v>
      </c>
      <c r="G1712" t="s">
        <v>127</v>
      </c>
      <c r="H1712" t="s">
        <v>10287</v>
      </c>
      <c r="I1712" t="s">
        <v>10253</v>
      </c>
      <c r="K1712" s="1073" t="s">
        <v>10284</v>
      </c>
      <c r="L1712" s="789" t="s">
        <v>10241</v>
      </c>
      <c r="M1712" s="790" t="s">
        <v>11404</v>
      </c>
      <c r="O1712" s="790" t="s">
        <v>11153</v>
      </c>
      <c r="P1712" s="790" t="s">
        <v>10244</v>
      </c>
      <c r="R1712" s="30"/>
    </row>
    <row r="1713" spans="2:18">
      <c r="B1713" s="5" t="s">
        <v>11973</v>
      </c>
      <c r="C1713" s="1038">
        <v>23</v>
      </c>
      <c r="D1713" s="803">
        <f>Page4!H14</f>
        <v>4401</v>
      </c>
      <c r="E1713" s="803">
        <f>Page4!J14</f>
        <v>16807</v>
      </c>
      <c r="F1713" t="str">
        <f t="shared" si="79"/>
        <v>06-00-23-EXPNS-CURR</v>
      </c>
      <c r="G1713" t="s">
        <v>127</v>
      </c>
      <c r="H1713" t="s">
        <v>10287</v>
      </c>
      <c r="I1713" t="s">
        <v>10253</v>
      </c>
      <c r="K1713" s="1073" t="s">
        <v>10284</v>
      </c>
      <c r="L1713" s="789" t="s">
        <v>10241</v>
      </c>
      <c r="M1713" s="790" t="s">
        <v>11406</v>
      </c>
      <c r="O1713" s="790" t="s">
        <v>11153</v>
      </c>
      <c r="P1713" s="790" t="s">
        <v>10244</v>
      </c>
      <c r="R1713" s="30"/>
    </row>
    <row r="1714" spans="2:18">
      <c r="B1714" s="5" t="s">
        <v>11974</v>
      </c>
      <c r="C1714" s="1038">
        <v>24</v>
      </c>
      <c r="D1714" s="803">
        <f>Page4!H15</f>
        <v>3138</v>
      </c>
      <c r="E1714" s="803">
        <f>Page4!J15</f>
        <v>10006</v>
      </c>
      <c r="F1714" t="str">
        <f t="shared" si="79"/>
        <v>06-00-24-EXPNS-CURR</v>
      </c>
      <c r="G1714" t="s">
        <v>127</v>
      </c>
      <c r="H1714" t="s">
        <v>10287</v>
      </c>
      <c r="I1714" t="s">
        <v>10253</v>
      </c>
      <c r="K1714" s="1073" t="s">
        <v>10284</v>
      </c>
      <c r="L1714" s="789" t="s">
        <v>10241</v>
      </c>
      <c r="M1714" s="790" t="s">
        <v>11408</v>
      </c>
      <c r="O1714" s="790" t="s">
        <v>11153</v>
      </c>
      <c r="P1714" s="790" t="s">
        <v>10244</v>
      </c>
      <c r="R1714" s="30"/>
    </row>
    <row r="1715" spans="2:18">
      <c r="B1715" s="5" t="s">
        <v>11975</v>
      </c>
      <c r="C1715" s="1038">
        <v>26</v>
      </c>
      <c r="D1715" s="803">
        <f>Page4!H16</f>
        <v>0</v>
      </c>
      <c r="E1715" s="803">
        <f>Page4!J16</f>
        <v>0</v>
      </c>
      <c r="F1715" t="str">
        <f t="shared" si="79"/>
        <v>06-00-26-EXPNS-CURR</v>
      </c>
      <c r="G1715" t="s">
        <v>127</v>
      </c>
      <c r="H1715" t="s">
        <v>10287</v>
      </c>
      <c r="I1715" t="s">
        <v>10253</v>
      </c>
      <c r="K1715" s="1073" t="s">
        <v>10284</v>
      </c>
      <c r="L1715" s="789" t="s">
        <v>10241</v>
      </c>
      <c r="M1715" s="790">
        <v>26</v>
      </c>
      <c r="O1715" s="790" t="s">
        <v>11153</v>
      </c>
      <c r="P1715" s="790" t="s">
        <v>10244</v>
      </c>
      <c r="R1715" s="30"/>
    </row>
    <row r="1716" spans="2:18">
      <c r="B1716" s="5" t="s">
        <v>11976</v>
      </c>
      <c r="C1716" s="1038">
        <v>25</v>
      </c>
      <c r="D1716" s="803">
        <f>Page4!H17</f>
        <v>1354</v>
      </c>
      <c r="E1716" s="803">
        <f>Page4!J17</f>
        <v>5112</v>
      </c>
      <c r="F1716" t="str">
        <f t="shared" si="79"/>
        <v>06-00-25-EXPNS-CURR</v>
      </c>
      <c r="G1716" t="s">
        <v>127</v>
      </c>
      <c r="H1716" t="s">
        <v>10287</v>
      </c>
      <c r="I1716" t="s">
        <v>10253</v>
      </c>
      <c r="K1716" s="1073" t="s">
        <v>10284</v>
      </c>
      <c r="L1716" s="789" t="s">
        <v>10241</v>
      </c>
      <c r="M1716" s="790" t="s">
        <v>11411</v>
      </c>
      <c r="O1716" s="790" t="s">
        <v>11153</v>
      </c>
      <c r="P1716" s="790" t="s">
        <v>10244</v>
      </c>
      <c r="R1716" s="30"/>
    </row>
    <row r="1717" spans="2:18">
      <c r="B1717" s="5" t="s">
        <v>11977</v>
      </c>
      <c r="C1717" s="1038">
        <v>27</v>
      </c>
      <c r="D1717" s="803">
        <f>Page4!H18</f>
        <v>3674</v>
      </c>
      <c r="E1717" s="803">
        <f>Page4!J18</f>
        <v>12029</v>
      </c>
      <c r="F1717" t="str">
        <f t="shared" si="79"/>
        <v>06-00-27-EXPNS-CURR</v>
      </c>
      <c r="G1717" t="s">
        <v>127</v>
      </c>
      <c r="H1717" t="s">
        <v>10287</v>
      </c>
      <c r="I1717" t="s">
        <v>10253</v>
      </c>
      <c r="K1717" s="1073" t="s">
        <v>10284</v>
      </c>
      <c r="L1717" s="789" t="s">
        <v>10241</v>
      </c>
      <c r="M1717" s="790" t="s">
        <v>11413</v>
      </c>
      <c r="O1717" s="790" t="s">
        <v>11153</v>
      </c>
      <c r="P1717" s="790" t="s">
        <v>10244</v>
      </c>
      <c r="R1717" s="30"/>
    </row>
    <row r="1718" spans="2:18">
      <c r="B1718" s="5" t="s">
        <v>11978</v>
      </c>
      <c r="C1718" s="1038">
        <v>29</v>
      </c>
      <c r="D1718" s="803">
        <f>Page4!H19</f>
        <v>0</v>
      </c>
      <c r="E1718" s="803">
        <f>Page4!J19</f>
        <v>0</v>
      </c>
      <c r="F1718" t="str">
        <f t="shared" ref="F1718:F1781" si="80">TEXT(K1718,"00")&amp;"-"&amp;L1718&amp;IF(M1718="","","-"&amp;M1718)&amp;IF(N1718="","","-"&amp;N1718)&amp;IF(OR(O1718="",O1718=0),"","-"&amp;O1718)&amp;IF(P1718="","","-"&amp;P1718)</f>
        <v>06-00-29-EXPNS-CURR</v>
      </c>
      <c r="G1718" t="s">
        <v>127</v>
      </c>
      <c r="H1718" t="s">
        <v>10287</v>
      </c>
      <c r="I1718" t="s">
        <v>10253</v>
      </c>
      <c r="K1718" s="1073" t="s">
        <v>10284</v>
      </c>
      <c r="L1718" s="789" t="s">
        <v>10241</v>
      </c>
      <c r="M1718" s="790" t="s">
        <v>11415</v>
      </c>
      <c r="O1718" s="790" t="s">
        <v>11153</v>
      </c>
      <c r="P1718" s="790" t="s">
        <v>10244</v>
      </c>
      <c r="R1718" s="30"/>
    </row>
    <row r="1719" spans="2:18">
      <c r="B1719" s="27" t="s">
        <v>11979</v>
      </c>
      <c r="C1719" s="1042"/>
      <c r="D1719" s="803">
        <f>Page4!H20</f>
        <v>20522</v>
      </c>
      <c r="E1719" s="803">
        <f>Page4!J20</f>
        <v>96915</v>
      </c>
      <c r="F1719" t="str">
        <f t="shared" si="80"/>
        <v>06-00-PERSONNL-EXPNS-CURR</v>
      </c>
      <c r="G1719" t="s">
        <v>127</v>
      </c>
      <c r="H1719" t="s">
        <v>10287</v>
      </c>
      <c r="I1719" t="s">
        <v>10253</v>
      </c>
      <c r="J1719" t="s">
        <v>10268</v>
      </c>
      <c r="K1719" s="1073" t="s">
        <v>10284</v>
      </c>
      <c r="L1719" s="789" t="s">
        <v>10241</v>
      </c>
      <c r="M1719" s="790" t="s">
        <v>10956</v>
      </c>
      <c r="O1719" s="790" t="s">
        <v>11153</v>
      </c>
      <c r="P1719" s="790" t="s">
        <v>10244</v>
      </c>
      <c r="Q1719" s="791" t="s">
        <v>773</v>
      </c>
    </row>
    <row r="1720" spans="2:18">
      <c r="B1720" s="5" t="s">
        <v>11980</v>
      </c>
      <c r="C1720" s="1038">
        <v>51</v>
      </c>
      <c r="D1720" s="803">
        <f>Page4!H21</f>
        <v>4700</v>
      </c>
      <c r="E1720" s="803">
        <f>Page4!J21</f>
        <v>-1592</v>
      </c>
      <c r="F1720" t="str">
        <f t="shared" si="80"/>
        <v>06-00-51-EXPNS-CURR</v>
      </c>
      <c r="G1720" t="s">
        <v>127</v>
      </c>
      <c r="H1720" t="s">
        <v>10287</v>
      </c>
      <c r="I1720" t="s">
        <v>10253</v>
      </c>
      <c r="K1720" s="1073" t="s">
        <v>10284</v>
      </c>
      <c r="L1720" s="789" t="s">
        <v>10241</v>
      </c>
      <c r="M1720" s="790" t="s">
        <v>11418</v>
      </c>
      <c r="O1720" s="790" t="s">
        <v>11153</v>
      </c>
      <c r="P1720" s="790" t="s">
        <v>10244</v>
      </c>
      <c r="R1720" s="30"/>
    </row>
    <row r="1721" spans="2:18">
      <c r="B1721" s="5" t="s">
        <v>11981</v>
      </c>
      <c r="C1721" s="1038">
        <v>60</v>
      </c>
      <c r="D1721" s="803">
        <f>Page4!H22</f>
        <v>281</v>
      </c>
      <c r="E1721" s="803">
        <f>Page4!J22</f>
        <v>1280</v>
      </c>
      <c r="F1721" t="str">
        <f t="shared" si="80"/>
        <v>06-00-60-EXPNS-CURR</v>
      </c>
      <c r="G1721" t="s">
        <v>127</v>
      </c>
      <c r="H1721" t="s">
        <v>10287</v>
      </c>
      <c r="I1721" t="s">
        <v>10253</v>
      </c>
      <c r="K1721" s="1073" t="s">
        <v>10284</v>
      </c>
      <c r="L1721" s="789" t="s">
        <v>10241</v>
      </c>
      <c r="M1721" s="790" t="s">
        <v>11420</v>
      </c>
      <c r="O1721" s="790" t="s">
        <v>11153</v>
      </c>
      <c r="P1721" s="790" t="s">
        <v>10244</v>
      </c>
      <c r="R1721" s="30"/>
    </row>
    <row r="1722" spans="2:18">
      <c r="B1722" s="5" t="s">
        <v>11982</v>
      </c>
      <c r="C1722" s="1038">
        <v>61</v>
      </c>
      <c r="D1722" s="803">
        <f>Page4!H23</f>
        <v>790</v>
      </c>
      <c r="E1722" s="803">
        <f>Page4!J23</f>
        <v>1476</v>
      </c>
      <c r="F1722" t="str">
        <f t="shared" si="80"/>
        <v>06-00-61-EXPNS-CURR</v>
      </c>
      <c r="G1722" t="s">
        <v>127</v>
      </c>
      <c r="H1722" t="s">
        <v>10287</v>
      </c>
      <c r="I1722" t="s">
        <v>10253</v>
      </c>
      <c r="K1722" s="1073" t="s">
        <v>10284</v>
      </c>
      <c r="L1722" s="789" t="s">
        <v>10241</v>
      </c>
      <c r="M1722" s="790" t="s">
        <v>11422</v>
      </c>
      <c r="O1722" s="790" t="s">
        <v>11153</v>
      </c>
      <c r="P1722" s="790" t="s">
        <v>10244</v>
      </c>
      <c r="R1722" s="30"/>
    </row>
    <row r="1723" spans="2:18">
      <c r="B1723" s="5" t="s">
        <v>11983</v>
      </c>
      <c r="C1723" s="1038">
        <v>63</v>
      </c>
      <c r="D1723" s="803">
        <f>Page4!H24</f>
        <v>0</v>
      </c>
      <c r="E1723" s="803">
        <f>Page4!J24</f>
        <v>0</v>
      </c>
      <c r="F1723" t="str">
        <f t="shared" si="80"/>
        <v>06-00-63-EXPNS-CURR</v>
      </c>
      <c r="G1723" t="s">
        <v>127</v>
      </c>
      <c r="H1723" t="s">
        <v>10287</v>
      </c>
      <c r="I1723" t="s">
        <v>10253</v>
      </c>
      <c r="K1723" s="1073" t="s">
        <v>10284</v>
      </c>
      <c r="L1723" s="789" t="s">
        <v>10241</v>
      </c>
      <c r="M1723" s="790">
        <v>63</v>
      </c>
      <c r="O1723" s="790" t="s">
        <v>11153</v>
      </c>
      <c r="P1723" s="790" t="s">
        <v>10244</v>
      </c>
      <c r="R1723" s="30"/>
    </row>
    <row r="1724" spans="2:18">
      <c r="B1724" s="5" t="s">
        <v>11984</v>
      </c>
      <c r="C1724" s="1038">
        <v>65</v>
      </c>
      <c r="D1724" s="803">
        <f>Page4!H25</f>
        <v>138</v>
      </c>
      <c r="E1724" s="803">
        <f>Page4!J25</f>
        <v>765</v>
      </c>
      <c r="F1724" t="str">
        <f t="shared" si="80"/>
        <v>06-00-65-EXPNS-CURR</v>
      </c>
      <c r="G1724" t="s">
        <v>127</v>
      </c>
      <c r="H1724" t="s">
        <v>10287</v>
      </c>
      <c r="I1724" t="s">
        <v>10253</v>
      </c>
      <c r="K1724" s="1073" t="s">
        <v>10284</v>
      </c>
      <c r="L1724" s="789" t="s">
        <v>10241</v>
      </c>
      <c r="M1724" s="790" t="s">
        <v>11425</v>
      </c>
      <c r="O1724" s="790" t="s">
        <v>11153</v>
      </c>
      <c r="P1724" s="790" t="s">
        <v>10244</v>
      </c>
      <c r="R1724" s="30"/>
    </row>
    <row r="1725" spans="2:18">
      <c r="B1725" s="5" t="s">
        <v>11985</v>
      </c>
      <c r="C1725" s="1038">
        <v>64</v>
      </c>
      <c r="D1725" s="803">
        <f>Page4!H26</f>
        <v>0</v>
      </c>
      <c r="E1725" s="803">
        <f>Page4!J26</f>
        <v>0</v>
      </c>
      <c r="F1725" t="str">
        <f t="shared" si="80"/>
        <v>06-00-64-EXPNS-CURR</v>
      </c>
      <c r="G1725" t="s">
        <v>127</v>
      </c>
      <c r="H1725" t="s">
        <v>10287</v>
      </c>
      <c r="I1725" t="s">
        <v>10253</v>
      </c>
      <c r="K1725" s="1073" t="s">
        <v>10284</v>
      </c>
      <c r="L1725" s="789" t="s">
        <v>10241</v>
      </c>
      <c r="M1725" s="790">
        <v>64</v>
      </c>
      <c r="O1725" s="790" t="s">
        <v>11153</v>
      </c>
      <c r="P1725" s="790" t="s">
        <v>10244</v>
      </c>
      <c r="R1725" s="30"/>
    </row>
    <row r="1726" spans="2:18">
      <c r="B1726" s="5" t="s">
        <v>11986</v>
      </c>
      <c r="C1726" s="1038">
        <v>66</v>
      </c>
      <c r="D1726" s="803">
        <f>Page4!H27</f>
        <v>50</v>
      </c>
      <c r="E1726" s="803">
        <f>Page4!J27</f>
        <v>50</v>
      </c>
      <c r="F1726" t="str">
        <f t="shared" si="80"/>
        <v>06-00-66-EXPNS-CURR</v>
      </c>
      <c r="G1726" t="s">
        <v>127</v>
      </c>
      <c r="H1726" t="s">
        <v>10287</v>
      </c>
      <c r="I1726" t="s">
        <v>10253</v>
      </c>
      <c r="K1726" s="1073" t="s">
        <v>10284</v>
      </c>
      <c r="L1726" s="789" t="s">
        <v>10241</v>
      </c>
      <c r="M1726" s="790" t="s">
        <v>11428</v>
      </c>
      <c r="O1726" s="790" t="s">
        <v>11153</v>
      </c>
      <c r="P1726" s="790" t="s">
        <v>10244</v>
      </c>
      <c r="R1726" s="30"/>
    </row>
    <row r="1727" spans="2:18">
      <c r="B1727" s="5" t="s">
        <v>11987</v>
      </c>
      <c r="C1727" s="1038">
        <v>67</v>
      </c>
      <c r="D1727" s="803">
        <f>Page4!H28</f>
        <v>219</v>
      </c>
      <c r="E1727" s="803">
        <f>Page4!J28</f>
        <v>654</v>
      </c>
      <c r="F1727" t="str">
        <f t="shared" si="80"/>
        <v>06-00-67-EXPNS-CURR</v>
      </c>
      <c r="G1727" t="s">
        <v>127</v>
      </c>
      <c r="H1727" t="s">
        <v>10287</v>
      </c>
      <c r="I1727" t="s">
        <v>10253</v>
      </c>
      <c r="K1727" s="1073" t="s">
        <v>10284</v>
      </c>
      <c r="L1727" s="789" t="s">
        <v>10241</v>
      </c>
      <c r="M1727" s="790" t="s">
        <v>11430</v>
      </c>
      <c r="O1727" s="790" t="s">
        <v>11153</v>
      </c>
      <c r="P1727" s="790" t="s">
        <v>10244</v>
      </c>
      <c r="R1727" s="30"/>
    </row>
    <row r="1728" spans="2:18">
      <c r="B1728" s="5" t="s">
        <v>11988</v>
      </c>
      <c r="C1728" s="1038">
        <v>68</v>
      </c>
      <c r="D1728" s="803">
        <f>Page4!H29</f>
        <v>3806</v>
      </c>
      <c r="E1728" s="803">
        <f>Page4!J29</f>
        <v>13869</v>
      </c>
      <c r="F1728" t="str">
        <f t="shared" si="80"/>
        <v>06-00-68-EXPNS-CURR</v>
      </c>
      <c r="G1728" t="s">
        <v>127</v>
      </c>
      <c r="H1728" t="s">
        <v>10287</v>
      </c>
      <c r="I1728" t="s">
        <v>10253</v>
      </c>
      <c r="K1728" s="1073" t="s">
        <v>10284</v>
      </c>
      <c r="L1728" s="789" t="s">
        <v>10241</v>
      </c>
      <c r="M1728" s="790" t="s">
        <v>11432</v>
      </c>
      <c r="O1728" s="790" t="s">
        <v>11153</v>
      </c>
      <c r="P1728" s="790" t="s">
        <v>10244</v>
      </c>
      <c r="R1728" s="30"/>
    </row>
    <row r="1729" spans="2:18">
      <c r="B1729" s="5" t="s">
        <v>11989</v>
      </c>
      <c r="C1729" s="1038">
        <v>69</v>
      </c>
      <c r="D1729" s="803">
        <f>Page4!H30</f>
        <v>2539</v>
      </c>
      <c r="E1729" s="803">
        <f>Page4!J30</f>
        <v>4661</v>
      </c>
      <c r="F1729" t="str">
        <f t="shared" si="80"/>
        <v>06-00-69-EXPNS-CURR</v>
      </c>
      <c r="G1729" t="s">
        <v>127</v>
      </c>
      <c r="H1729" t="s">
        <v>10287</v>
      </c>
      <c r="I1729" t="s">
        <v>10253</v>
      </c>
      <c r="K1729" s="1073" t="s">
        <v>10284</v>
      </c>
      <c r="L1729" s="789" t="s">
        <v>10241</v>
      </c>
      <c r="M1729" s="790" t="s">
        <v>11434</v>
      </c>
      <c r="O1729" s="790" t="s">
        <v>11153</v>
      </c>
      <c r="P1729" s="790" t="s">
        <v>10244</v>
      </c>
      <c r="R1729" s="30"/>
    </row>
    <row r="1730" spans="2:18">
      <c r="B1730" s="5" t="s">
        <v>11990</v>
      </c>
      <c r="C1730" s="1038">
        <v>70</v>
      </c>
      <c r="D1730" s="803">
        <f>Page4!H31</f>
        <v>238</v>
      </c>
      <c r="E1730" s="803">
        <f>Page4!J31</f>
        <v>659</v>
      </c>
      <c r="F1730" t="str">
        <f t="shared" si="80"/>
        <v>06-00-70-EXPNS-CURR</v>
      </c>
      <c r="G1730" t="s">
        <v>127</v>
      </c>
      <c r="H1730" t="s">
        <v>10287</v>
      </c>
      <c r="I1730" t="s">
        <v>10253</v>
      </c>
      <c r="K1730" s="1073" t="s">
        <v>10284</v>
      </c>
      <c r="L1730" s="789" t="s">
        <v>10241</v>
      </c>
      <c r="M1730" s="790" t="s">
        <v>11436</v>
      </c>
      <c r="O1730" s="790" t="s">
        <v>11153</v>
      </c>
      <c r="P1730" s="790" t="s">
        <v>10244</v>
      </c>
      <c r="R1730" s="30"/>
    </row>
    <row r="1731" spans="2:18">
      <c r="B1731" s="5" t="s">
        <v>11991</v>
      </c>
      <c r="C1731" s="1038">
        <v>71</v>
      </c>
      <c r="D1731" s="803">
        <f>Page4!H32</f>
        <v>15</v>
      </c>
      <c r="E1731" s="803">
        <f>Page4!J32</f>
        <v>27</v>
      </c>
      <c r="F1731" t="str">
        <f t="shared" si="80"/>
        <v>06-00-71-EXPNS-CURR</v>
      </c>
      <c r="G1731" t="s">
        <v>127</v>
      </c>
      <c r="H1731" t="s">
        <v>10287</v>
      </c>
      <c r="I1731" t="s">
        <v>10253</v>
      </c>
      <c r="K1731" s="1073" t="s">
        <v>10284</v>
      </c>
      <c r="L1731" s="789" t="s">
        <v>10241</v>
      </c>
      <c r="M1731" s="790" t="s">
        <v>11438</v>
      </c>
      <c r="O1731" s="790" t="s">
        <v>11153</v>
      </c>
      <c r="P1731" s="790" t="s">
        <v>10244</v>
      </c>
      <c r="R1731" s="30"/>
    </row>
    <row r="1732" spans="2:18">
      <c r="B1732" s="5" t="s">
        <v>11992</v>
      </c>
      <c r="C1732" s="1038">
        <v>72</v>
      </c>
      <c r="D1732" s="803">
        <f>Page4!H33</f>
        <v>200</v>
      </c>
      <c r="E1732" s="803">
        <f>Page4!J33</f>
        <v>300</v>
      </c>
      <c r="F1732" t="str">
        <f t="shared" si="80"/>
        <v>06-00-72-EXPNS-CURR</v>
      </c>
      <c r="G1732" t="s">
        <v>127</v>
      </c>
      <c r="H1732" t="s">
        <v>10287</v>
      </c>
      <c r="I1732" t="s">
        <v>10253</v>
      </c>
      <c r="K1732" s="1073" t="s">
        <v>10284</v>
      </c>
      <c r="L1732" s="789" t="s">
        <v>10241</v>
      </c>
      <c r="M1732" s="790" t="s">
        <v>11440</v>
      </c>
      <c r="O1732" s="790" t="s">
        <v>11153</v>
      </c>
      <c r="P1732" s="790" t="s">
        <v>10244</v>
      </c>
      <c r="R1732" s="30"/>
    </row>
    <row r="1733" spans="2:18">
      <c r="B1733" s="40" t="s">
        <v>11993</v>
      </c>
      <c r="C1733" s="1038">
        <v>74</v>
      </c>
      <c r="D1733" s="803">
        <f>Page4!H34</f>
        <v>172</v>
      </c>
      <c r="E1733" s="803">
        <f>Page4!J34</f>
        <v>700</v>
      </c>
      <c r="F1733" t="str">
        <f t="shared" si="80"/>
        <v>06-00-74-EXPNS-CURR</v>
      </c>
      <c r="G1733" t="s">
        <v>127</v>
      </c>
      <c r="H1733" t="s">
        <v>10287</v>
      </c>
      <c r="I1733" t="s">
        <v>10253</v>
      </c>
      <c r="K1733" s="1073" t="s">
        <v>10284</v>
      </c>
      <c r="L1733" s="789" t="s">
        <v>10241</v>
      </c>
      <c r="M1733" s="790" t="s">
        <v>11442</v>
      </c>
      <c r="O1733" s="790" t="s">
        <v>11153</v>
      </c>
      <c r="P1733" s="790" t="s">
        <v>10244</v>
      </c>
      <c r="R1733" s="30"/>
    </row>
    <row r="1734" spans="2:18">
      <c r="B1734" s="5" t="s">
        <v>11994</v>
      </c>
      <c r="C1734" s="1038">
        <v>75</v>
      </c>
      <c r="D1734" s="803">
        <f>Page4!H35</f>
        <v>0</v>
      </c>
      <c r="E1734" s="803">
        <f>Page4!J35</f>
        <v>13</v>
      </c>
      <c r="F1734" t="str">
        <f t="shared" si="80"/>
        <v>06-00-75-EXPNS-CURR</v>
      </c>
      <c r="G1734" t="s">
        <v>127</v>
      </c>
      <c r="H1734" t="s">
        <v>10287</v>
      </c>
      <c r="I1734" t="s">
        <v>10253</v>
      </c>
      <c r="K1734" s="1073" t="s">
        <v>10284</v>
      </c>
      <c r="L1734" s="789" t="s">
        <v>10241</v>
      </c>
      <c r="M1734" s="790" t="s">
        <v>11444</v>
      </c>
      <c r="O1734" s="790" t="s">
        <v>11153</v>
      </c>
      <c r="P1734" s="790" t="s">
        <v>10244</v>
      </c>
      <c r="R1734" s="30"/>
    </row>
    <row r="1735" spans="2:18">
      <c r="B1735" s="5" t="s">
        <v>5886</v>
      </c>
      <c r="C1735" s="1038">
        <v>79</v>
      </c>
      <c r="D1735" s="803">
        <f>Page4!H38</f>
        <v>378</v>
      </c>
      <c r="E1735" s="803">
        <f>Page4!J38</f>
        <v>1290</v>
      </c>
      <c r="F1735" t="str">
        <f t="shared" si="80"/>
        <v>06-00-79-EXPNS-CURR</v>
      </c>
      <c r="G1735" t="s">
        <v>127</v>
      </c>
      <c r="H1735" t="s">
        <v>10287</v>
      </c>
      <c r="I1735" t="s">
        <v>10253</v>
      </c>
      <c r="K1735" s="1073" t="s">
        <v>10284</v>
      </c>
      <c r="L1735" s="789" t="s">
        <v>10241</v>
      </c>
      <c r="M1735" s="790" t="s">
        <v>11878</v>
      </c>
      <c r="O1735" s="790" t="s">
        <v>11153</v>
      </c>
      <c r="P1735" s="790" t="s">
        <v>10244</v>
      </c>
      <c r="R1735" s="30"/>
    </row>
    <row r="1736" spans="2:18">
      <c r="B1736" s="5" t="s">
        <v>11995</v>
      </c>
      <c r="C1736" s="1038">
        <v>57</v>
      </c>
      <c r="D1736" s="803">
        <f>Page4!H40</f>
        <v>0</v>
      </c>
      <c r="E1736" s="803">
        <f>Page4!J40</f>
        <v>0</v>
      </c>
      <c r="F1736" t="str">
        <f t="shared" si="80"/>
        <v>06-00-57-EXPNS-CURR</v>
      </c>
      <c r="G1736" t="s">
        <v>127</v>
      </c>
      <c r="H1736" t="s">
        <v>10287</v>
      </c>
      <c r="I1736" t="s">
        <v>10253</v>
      </c>
      <c r="K1736" s="1073" t="s">
        <v>10284</v>
      </c>
      <c r="L1736" s="789" t="s">
        <v>10241</v>
      </c>
      <c r="M1736" s="790">
        <v>57</v>
      </c>
      <c r="O1736" s="790" t="s">
        <v>11153</v>
      </c>
      <c r="P1736" s="790" t="s">
        <v>10244</v>
      </c>
      <c r="R1736" s="30"/>
    </row>
    <row r="1737" spans="2:18">
      <c r="B1737" s="5" t="s">
        <v>11996</v>
      </c>
      <c r="C1737" s="1038">
        <v>33</v>
      </c>
      <c r="D1737" s="803">
        <f>Page4!H41</f>
        <v>0</v>
      </c>
      <c r="E1737" s="803">
        <f>Page4!J41</f>
        <v>6</v>
      </c>
      <c r="F1737" t="str">
        <f t="shared" si="80"/>
        <v>06-00-33-EXPNS-CURR</v>
      </c>
      <c r="G1737" t="s">
        <v>127</v>
      </c>
      <c r="H1737" t="s">
        <v>10287</v>
      </c>
      <c r="I1737" t="s">
        <v>10253</v>
      </c>
      <c r="K1737" s="1073" t="s">
        <v>10284</v>
      </c>
      <c r="L1737" s="789" t="s">
        <v>10241</v>
      </c>
      <c r="M1737" s="790">
        <v>33</v>
      </c>
      <c r="O1737" s="790" t="s">
        <v>11153</v>
      </c>
      <c r="P1737" s="790" t="s">
        <v>10244</v>
      </c>
      <c r="R1737" s="30"/>
    </row>
    <row r="1738" spans="2:18">
      <c r="B1738" s="5" t="s">
        <v>11997</v>
      </c>
      <c r="C1738" s="1038">
        <v>77</v>
      </c>
      <c r="D1738" s="803">
        <f>Page4!H42</f>
        <v>1932</v>
      </c>
      <c r="E1738" s="803">
        <f>Page4!J42</f>
        <v>4936</v>
      </c>
      <c r="F1738" t="str">
        <f t="shared" si="80"/>
        <v>06-00-77-EXPNS-CURR</v>
      </c>
      <c r="G1738" t="s">
        <v>127</v>
      </c>
      <c r="H1738" t="s">
        <v>10287</v>
      </c>
      <c r="I1738" t="s">
        <v>10253</v>
      </c>
      <c r="K1738" s="1073" t="s">
        <v>10284</v>
      </c>
      <c r="L1738" s="789" t="s">
        <v>10241</v>
      </c>
      <c r="M1738" s="790" t="s">
        <v>11455</v>
      </c>
      <c r="O1738" s="790" t="s">
        <v>11153</v>
      </c>
      <c r="P1738" s="790" t="s">
        <v>10244</v>
      </c>
      <c r="R1738" s="30"/>
    </row>
    <row r="1739" spans="2:18">
      <c r="B1739" s="51" t="s">
        <v>11998</v>
      </c>
      <c r="C1739" s="1042"/>
      <c r="D1739" s="803">
        <f>Page4!H43</f>
        <v>15458</v>
      </c>
      <c r="E1739" s="803">
        <f>Page4!J43</f>
        <v>29094</v>
      </c>
      <c r="F1739" t="str">
        <f t="shared" si="80"/>
        <v>06-00-SEMIFIXD-EXPNS-CURR</v>
      </c>
      <c r="G1739" t="s">
        <v>127</v>
      </c>
      <c r="H1739" t="s">
        <v>10287</v>
      </c>
      <c r="I1739" t="s">
        <v>10253</v>
      </c>
      <c r="J1739" t="s">
        <v>10268</v>
      </c>
      <c r="K1739" s="1073" t="s">
        <v>10284</v>
      </c>
      <c r="L1739" s="789" t="s">
        <v>10241</v>
      </c>
      <c r="M1739" s="790" t="s">
        <v>11457</v>
      </c>
      <c r="O1739" s="790" t="s">
        <v>11153</v>
      </c>
      <c r="P1739" s="790" t="s">
        <v>10244</v>
      </c>
      <c r="Q1739" s="791" t="s">
        <v>773</v>
      </c>
    </row>
    <row r="1740" spans="2:18">
      <c r="B1740" s="5" t="s">
        <v>11999</v>
      </c>
      <c r="C1740" s="1038">
        <v>80</v>
      </c>
      <c r="D1740" s="803">
        <f>Page4!H44</f>
        <v>4740</v>
      </c>
      <c r="E1740" s="803">
        <f>Page4!J44</f>
        <v>18510</v>
      </c>
      <c r="F1740" t="str">
        <f t="shared" si="80"/>
        <v>06-00-80-EXPNS-CURR</v>
      </c>
      <c r="G1740" t="s">
        <v>127</v>
      </c>
      <c r="H1740" t="s">
        <v>10287</v>
      </c>
      <c r="I1740" t="s">
        <v>10253</v>
      </c>
      <c r="K1740" s="1073" t="s">
        <v>10284</v>
      </c>
      <c r="L1740" s="789" t="s">
        <v>10241</v>
      </c>
      <c r="M1740" s="790" t="s">
        <v>11459</v>
      </c>
      <c r="O1740" s="790" t="s">
        <v>11153</v>
      </c>
      <c r="P1740" s="790" t="s">
        <v>10244</v>
      </c>
      <c r="R1740" s="30"/>
    </row>
    <row r="1741" spans="2:18">
      <c r="B1741" s="5" t="s">
        <v>12000</v>
      </c>
      <c r="C1741" s="1038">
        <v>81</v>
      </c>
      <c r="D1741" s="803">
        <f>Page4!H45</f>
        <v>0</v>
      </c>
      <c r="E1741" s="803">
        <f>Page4!J45</f>
        <v>0</v>
      </c>
      <c r="F1741" t="str">
        <f t="shared" si="80"/>
        <v>06-00-81-EXPNS-CURR</v>
      </c>
      <c r="G1741" t="s">
        <v>127</v>
      </c>
      <c r="H1741" t="s">
        <v>10287</v>
      </c>
      <c r="I1741" t="s">
        <v>10253</v>
      </c>
      <c r="K1741" s="1073" t="s">
        <v>10284</v>
      </c>
      <c r="L1741" s="789" t="s">
        <v>10241</v>
      </c>
      <c r="M1741" s="790" t="s">
        <v>11461</v>
      </c>
      <c r="O1741" s="790" t="s">
        <v>11153</v>
      </c>
      <c r="P1741" s="790" t="s">
        <v>10244</v>
      </c>
      <c r="R1741" s="30"/>
    </row>
    <row r="1742" spans="2:18">
      <c r="B1742" s="5" t="s">
        <v>12001</v>
      </c>
      <c r="C1742" s="1038">
        <v>82</v>
      </c>
      <c r="D1742" s="803">
        <f>Page4!H46</f>
        <v>973</v>
      </c>
      <c r="E1742" s="803">
        <f>Page4!J46</f>
        <v>6530</v>
      </c>
      <c r="F1742" t="str">
        <f t="shared" si="80"/>
        <v>06-00-82-EXPNS-CURR</v>
      </c>
      <c r="G1742" t="s">
        <v>127</v>
      </c>
      <c r="H1742" t="s">
        <v>10287</v>
      </c>
      <c r="I1742" t="s">
        <v>10253</v>
      </c>
      <c r="K1742" s="1073" t="s">
        <v>10284</v>
      </c>
      <c r="L1742" s="789" t="s">
        <v>10241</v>
      </c>
      <c r="M1742" s="790" t="s">
        <v>11463</v>
      </c>
      <c r="O1742" s="790" t="s">
        <v>11153</v>
      </c>
      <c r="P1742" s="790" t="s">
        <v>10244</v>
      </c>
      <c r="R1742" s="30"/>
    </row>
    <row r="1743" spans="2:18">
      <c r="B1743" s="5" t="s">
        <v>12002</v>
      </c>
      <c r="C1743" s="1038">
        <v>83</v>
      </c>
      <c r="D1743" s="803">
        <f>Page4!H47</f>
        <v>8</v>
      </c>
      <c r="E1743" s="803">
        <f>Page4!J47</f>
        <v>31</v>
      </c>
      <c r="F1743" t="str">
        <f t="shared" si="80"/>
        <v>06-00-83-EXPNS-CURR</v>
      </c>
      <c r="G1743" t="s">
        <v>127</v>
      </c>
      <c r="H1743" t="s">
        <v>10287</v>
      </c>
      <c r="I1743" t="s">
        <v>10253</v>
      </c>
      <c r="K1743" s="1073" t="s">
        <v>10284</v>
      </c>
      <c r="L1743" s="789" t="s">
        <v>10241</v>
      </c>
      <c r="M1743" s="790" t="s">
        <v>11465</v>
      </c>
      <c r="O1743" s="790" t="s">
        <v>11153</v>
      </c>
      <c r="P1743" s="790" t="s">
        <v>10244</v>
      </c>
      <c r="R1743" s="30"/>
    </row>
    <row r="1744" spans="2:18">
      <c r="B1744" s="5" t="s">
        <v>12003</v>
      </c>
      <c r="C1744" s="1038">
        <v>84</v>
      </c>
      <c r="D1744" s="803">
        <f>Page4!H48</f>
        <v>600</v>
      </c>
      <c r="E1744" s="803">
        <f>Page4!J48</f>
        <v>2400</v>
      </c>
      <c r="F1744" t="str">
        <f t="shared" si="80"/>
        <v>06-00-84-EXPNS-CURR</v>
      </c>
      <c r="G1744" t="s">
        <v>127</v>
      </c>
      <c r="H1744" t="s">
        <v>10287</v>
      </c>
      <c r="I1744" t="s">
        <v>10253</v>
      </c>
      <c r="K1744" s="1073" t="s">
        <v>10284</v>
      </c>
      <c r="L1744" s="789" t="s">
        <v>10241</v>
      </c>
      <c r="M1744" s="790" t="s">
        <v>11467</v>
      </c>
      <c r="O1744" s="790" t="s">
        <v>11153</v>
      </c>
      <c r="P1744" s="790" t="s">
        <v>10244</v>
      </c>
      <c r="R1744" s="30"/>
    </row>
    <row r="1745" spans="2:18">
      <c r="B1745" s="5" t="s">
        <v>12004</v>
      </c>
      <c r="C1745" s="1038">
        <v>85</v>
      </c>
      <c r="D1745" s="803">
        <f>Page4!H49</f>
        <v>408</v>
      </c>
      <c r="E1745" s="803">
        <f>Page4!J49</f>
        <v>1632</v>
      </c>
      <c r="F1745" t="str">
        <f t="shared" si="80"/>
        <v>06-00-85-EXPNS-CURR</v>
      </c>
      <c r="G1745" t="s">
        <v>127</v>
      </c>
      <c r="H1745" t="s">
        <v>10287</v>
      </c>
      <c r="I1745" t="s">
        <v>10253</v>
      </c>
      <c r="K1745" s="1073" t="s">
        <v>10284</v>
      </c>
      <c r="L1745" s="789" t="s">
        <v>10241</v>
      </c>
      <c r="M1745" s="790" t="s">
        <v>11469</v>
      </c>
      <c r="O1745" s="790" t="s">
        <v>11153</v>
      </c>
      <c r="P1745" s="790" t="s">
        <v>10244</v>
      </c>
      <c r="R1745" s="30"/>
    </row>
    <row r="1746" spans="2:18">
      <c r="B1746" s="5" t="s">
        <v>12005</v>
      </c>
      <c r="C1746" s="1038">
        <v>86</v>
      </c>
      <c r="D1746" s="803">
        <f>Page4!H50</f>
        <v>0</v>
      </c>
      <c r="E1746" s="803">
        <f>Page4!J50</f>
        <v>0</v>
      </c>
      <c r="F1746" t="str">
        <f t="shared" si="80"/>
        <v>06-00-86-EXPNS-CURR</v>
      </c>
      <c r="G1746" t="s">
        <v>127</v>
      </c>
      <c r="H1746" t="s">
        <v>10287</v>
      </c>
      <c r="I1746" t="s">
        <v>10253</v>
      </c>
      <c r="K1746" s="1073" t="s">
        <v>10284</v>
      </c>
      <c r="L1746" s="789" t="s">
        <v>10241</v>
      </c>
      <c r="M1746" s="790" t="s">
        <v>11471</v>
      </c>
      <c r="O1746" s="790" t="s">
        <v>11153</v>
      </c>
      <c r="P1746" s="790" t="s">
        <v>10244</v>
      </c>
      <c r="R1746" s="30"/>
    </row>
    <row r="1747" spans="2:18">
      <c r="B1747" s="5" t="s">
        <v>12006</v>
      </c>
      <c r="C1747" s="1038">
        <v>87</v>
      </c>
      <c r="D1747" s="803">
        <f>Page4!H51</f>
        <v>998</v>
      </c>
      <c r="E1747" s="803">
        <f>Page4!J51</f>
        <v>3942</v>
      </c>
      <c r="F1747" t="str">
        <f>TEXT(K1747,"00")&amp;"-"&amp;L1747&amp;IF(M1747="","","-"&amp;M1747)&amp;IF(N1747="","","-"&amp;N1747)&amp;IF(OR(O1747="",O1747=0),"","-"&amp;O1747)&amp;IF(P1747="","","-"&amp;P1747)</f>
        <v>06-00-87-EXPNS-CURR</v>
      </c>
      <c r="G1747" t="s">
        <v>127</v>
      </c>
      <c r="H1747" t="s">
        <v>10287</v>
      </c>
      <c r="I1747" t="s">
        <v>10253</v>
      </c>
      <c r="K1747" s="1073" t="s">
        <v>10284</v>
      </c>
      <c r="L1747" s="789" t="s">
        <v>10241</v>
      </c>
      <c r="M1747" s="790" t="s">
        <v>11473</v>
      </c>
      <c r="O1747" s="790" t="s">
        <v>11153</v>
      </c>
      <c r="P1747" s="790" t="s">
        <v>10244</v>
      </c>
      <c r="R1747" s="30"/>
    </row>
    <row r="1748" spans="2:18">
      <c r="B1748" s="27" t="s">
        <v>12007</v>
      </c>
      <c r="C1748" s="1042"/>
      <c r="D1748" s="803">
        <f>Page4!H52</f>
        <v>7727</v>
      </c>
      <c r="E1748" s="803">
        <f>Page4!J52</f>
        <v>33045</v>
      </c>
      <c r="F1748" t="str">
        <f t="shared" si="80"/>
        <v>06-00-RENTEQUV-EXPNS-CURR</v>
      </c>
      <c r="G1748" t="s">
        <v>127</v>
      </c>
      <c r="H1748" t="s">
        <v>10287</v>
      </c>
      <c r="I1748" t="s">
        <v>10253</v>
      </c>
      <c r="J1748" t="s">
        <v>10268</v>
      </c>
      <c r="K1748" s="1073" t="s">
        <v>10284</v>
      </c>
      <c r="L1748" s="789" t="s">
        <v>10241</v>
      </c>
      <c r="M1748" s="790" t="s">
        <v>11475</v>
      </c>
      <c r="O1748" s="790" t="s">
        <v>11153</v>
      </c>
      <c r="P1748" s="790" t="s">
        <v>10244</v>
      </c>
      <c r="Q1748" s="791" t="s">
        <v>773</v>
      </c>
    </row>
    <row r="1749" spans="2:18">
      <c r="B1749" s="5" t="s">
        <v>12008</v>
      </c>
      <c r="C1749" s="1038">
        <v>88</v>
      </c>
      <c r="D1749" s="803">
        <f>Page4!H53</f>
        <v>0</v>
      </c>
      <c r="E1749" s="803">
        <f>Page4!J53</f>
        <v>0</v>
      </c>
      <c r="F1749" t="str">
        <f t="shared" si="80"/>
        <v>06-00-88-EXPNS-CURR</v>
      </c>
      <c r="G1749" t="s">
        <v>127</v>
      </c>
      <c r="H1749" t="s">
        <v>10287</v>
      </c>
      <c r="I1749" t="s">
        <v>10253</v>
      </c>
      <c r="K1749" s="1073" t="s">
        <v>10284</v>
      </c>
      <c r="L1749" s="789" t="s">
        <v>10241</v>
      </c>
      <c r="M1749" s="790" t="s">
        <v>11477</v>
      </c>
      <c r="O1749" s="790" t="s">
        <v>11153</v>
      </c>
      <c r="P1749" s="790" t="s">
        <v>10244</v>
      </c>
      <c r="R1749" s="30"/>
    </row>
    <row r="1750" spans="2:18">
      <c r="B1750" s="5" t="s">
        <v>12009</v>
      </c>
      <c r="C1750" s="1038">
        <v>89</v>
      </c>
      <c r="D1750" s="803">
        <f>Page4!H54</f>
        <v>0</v>
      </c>
      <c r="E1750" s="803">
        <f>Page4!J54</f>
        <v>0</v>
      </c>
      <c r="F1750" t="str">
        <f t="shared" si="80"/>
        <v>06-00-89-EXPNS-CURR</v>
      </c>
      <c r="G1750" t="s">
        <v>127</v>
      </c>
      <c r="H1750" t="s">
        <v>10287</v>
      </c>
      <c r="I1750" t="s">
        <v>10253</v>
      </c>
      <c r="K1750" s="1073" t="s">
        <v>10284</v>
      </c>
      <c r="L1750" s="789" t="s">
        <v>10241</v>
      </c>
      <c r="M1750" s="790" t="s">
        <v>11479</v>
      </c>
      <c r="O1750" s="790" t="s">
        <v>11153</v>
      </c>
      <c r="P1750" s="790" t="s">
        <v>10244</v>
      </c>
      <c r="R1750" s="30"/>
    </row>
    <row r="1751" spans="2:18">
      <c r="B1751" s="5" t="s">
        <v>12010</v>
      </c>
      <c r="C1751" s="1038">
        <v>90</v>
      </c>
      <c r="D1751" s="803">
        <f>Page4!H55</f>
        <v>0</v>
      </c>
      <c r="E1751" s="803">
        <f>Page4!J55</f>
        <v>1544</v>
      </c>
      <c r="F1751" t="str">
        <f t="shared" si="80"/>
        <v>06-00-90-EXPNS-CURR</v>
      </c>
      <c r="G1751" t="s">
        <v>127</v>
      </c>
      <c r="H1751" t="s">
        <v>10287</v>
      </c>
      <c r="I1751" t="s">
        <v>10253</v>
      </c>
      <c r="K1751" s="1073" t="s">
        <v>10284</v>
      </c>
      <c r="L1751" s="789" t="s">
        <v>10241</v>
      </c>
      <c r="M1751" s="790" t="s">
        <v>11481</v>
      </c>
      <c r="O1751" s="790" t="s">
        <v>11153</v>
      </c>
      <c r="P1751" s="790" t="s">
        <v>10244</v>
      </c>
      <c r="R1751" s="30"/>
    </row>
    <row r="1752" spans="2:18">
      <c r="B1752" s="5" t="s">
        <v>12011</v>
      </c>
      <c r="C1752" s="1038">
        <v>91</v>
      </c>
      <c r="D1752" s="803">
        <f>Page4!H56</f>
        <v>1351</v>
      </c>
      <c r="E1752" s="803">
        <f>Page4!J56</f>
        <v>5404</v>
      </c>
      <c r="F1752" t="str">
        <f t="shared" si="80"/>
        <v>06-00-91-EXPNS-CURR</v>
      </c>
      <c r="G1752" t="s">
        <v>127</v>
      </c>
      <c r="H1752" t="s">
        <v>10287</v>
      </c>
      <c r="I1752" t="s">
        <v>10253</v>
      </c>
      <c r="K1752" s="1073" t="s">
        <v>10284</v>
      </c>
      <c r="L1752" s="789" t="s">
        <v>10241</v>
      </c>
      <c r="M1752" s="790" t="s">
        <v>11483</v>
      </c>
      <c r="O1752" s="790" t="s">
        <v>11153</v>
      </c>
      <c r="P1752" s="790" t="s">
        <v>10244</v>
      </c>
      <c r="R1752" s="30"/>
    </row>
    <row r="1753" spans="2:18">
      <c r="B1753" s="5" t="s">
        <v>12012</v>
      </c>
      <c r="C1753" s="1055">
        <v>92</v>
      </c>
      <c r="D1753" s="803">
        <f>Page4!H57</f>
        <v>0</v>
      </c>
      <c r="E1753" s="803">
        <f>Page4!J57</f>
        <v>0</v>
      </c>
      <c r="F1753" t="str">
        <f t="shared" si="80"/>
        <v>06-00-92-EXPNS-CURR</v>
      </c>
      <c r="G1753" t="s">
        <v>127</v>
      </c>
      <c r="H1753" t="s">
        <v>10287</v>
      </c>
      <c r="I1753" t="s">
        <v>10253</v>
      </c>
      <c r="K1753" s="1073" t="s">
        <v>10284</v>
      </c>
      <c r="L1753" s="789" t="s">
        <v>10241</v>
      </c>
      <c r="M1753" s="790" t="s">
        <v>11485</v>
      </c>
      <c r="O1753" s="790" t="s">
        <v>11153</v>
      </c>
      <c r="P1753" s="790" t="s">
        <v>10244</v>
      </c>
      <c r="R1753" s="30"/>
    </row>
    <row r="1754" spans="2:18">
      <c r="B1754" s="51" t="s">
        <v>12013</v>
      </c>
      <c r="C1754" s="1042"/>
      <c r="D1754" s="803">
        <f>Page4!H58</f>
        <v>9078</v>
      </c>
      <c r="E1754" s="803">
        <f>Page4!J58</f>
        <v>39993</v>
      </c>
      <c r="F1754" t="str">
        <f t="shared" si="80"/>
        <v>06-00-FIXEDEXP-EXPNS-CURR</v>
      </c>
      <c r="G1754" t="s">
        <v>127</v>
      </c>
      <c r="H1754" t="s">
        <v>10287</v>
      </c>
      <c r="I1754" t="s">
        <v>10253</v>
      </c>
      <c r="J1754" t="s">
        <v>10268</v>
      </c>
      <c r="K1754" s="1073" t="s">
        <v>10284</v>
      </c>
      <c r="L1754" s="789" t="s">
        <v>10241</v>
      </c>
      <c r="M1754" s="790" t="s">
        <v>11487</v>
      </c>
      <c r="O1754" s="790" t="s">
        <v>11153</v>
      </c>
      <c r="P1754" s="790" t="s">
        <v>10244</v>
      </c>
      <c r="Q1754" s="791" t="s">
        <v>773</v>
      </c>
    </row>
    <row r="1755" spans="2:18">
      <c r="B1755" s="51" t="s">
        <v>12014</v>
      </c>
      <c r="C1755" s="1042"/>
      <c r="D1755" s="803">
        <f>Page4!H59</f>
        <v>45058</v>
      </c>
      <c r="E1755" s="803">
        <f>Page4!J59</f>
        <v>166002</v>
      </c>
      <c r="F1755" t="str">
        <f t="shared" si="80"/>
        <v>06-00-FIXOVERH-EXPNS-CURR</v>
      </c>
      <c r="G1755" t="s">
        <v>127</v>
      </c>
      <c r="H1755" t="s">
        <v>10287</v>
      </c>
      <c r="I1755" t="s">
        <v>10253</v>
      </c>
      <c r="J1755" t="s">
        <v>10268</v>
      </c>
      <c r="K1755" s="1073" t="s">
        <v>10284</v>
      </c>
      <c r="L1755" s="789" t="s">
        <v>10241</v>
      </c>
      <c r="M1755" s="790" t="s">
        <v>11489</v>
      </c>
      <c r="O1755" s="790" t="s">
        <v>11153</v>
      </c>
      <c r="P1755" s="790" t="s">
        <v>10244</v>
      </c>
      <c r="Q1755" s="791" t="s">
        <v>773</v>
      </c>
    </row>
    <row r="1756" spans="2:18">
      <c r="B1756" s="51" t="s">
        <v>12015</v>
      </c>
      <c r="C1756" s="1042"/>
      <c r="D1756" s="803">
        <f>Page4!H60</f>
        <v>45058</v>
      </c>
      <c r="E1756" s="803">
        <f>Page4!J60</f>
        <v>166002</v>
      </c>
      <c r="F1756" t="str">
        <f t="shared" si="80"/>
        <v>06-00-TOTALEXP-EXPNS-CURR</v>
      </c>
      <c r="G1756" t="s">
        <v>127</v>
      </c>
      <c r="H1756" t="s">
        <v>10287</v>
      </c>
      <c r="I1756" t="s">
        <v>10253</v>
      </c>
      <c r="J1756" t="s">
        <v>10268</v>
      </c>
      <c r="K1756" s="1073" t="s">
        <v>10284</v>
      </c>
      <c r="L1756" s="789" t="s">
        <v>10241</v>
      </c>
      <c r="M1756" s="790" t="s">
        <v>11491</v>
      </c>
      <c r="O1756" s="790" t="s">
        <v>11153</v>
      </c>
      <c r="P1756" s="790" t="s">
        <v>10244</v>
      </c>
      <c r="Q1756" s="791" t="s">
        <v>773</v>
      </c>
    </row>
    <row r="1757" spans="2:18">
      <c r="B1757" s="51" t="s">
        <v>12016</v>
      </c>
      <c r="C1757" s="1042"/>
      <c r="D1757" s="803">
        <f>Page4!H61</f>
        <v>2705</v>
      </c>
      <c r="E1757" s="803">
        <f>Page4!J61</f>
        <v>8273</v>
      </c>
      <c r="F1757" t="str">
        <f t="shared" si="80"/>
        <v>06-00-P&amp;LDEPT-AMT-CURR</v>
      </c>
      <c r="G1757" t="s">
        <v>127</v>
      </c>
      <c r="H1757" t="s">
        <v>10287</v>
      </c>
      <c r="I1757" t="s">
        <v>10253</v>
      </c>
      <c r="J1757" t="s">
        <v>10268</v>
      </c>
      <c r="K1757" s="1073" t="s">
        <v>10284</v>
      </c>
      <c r="L1757" s="789" t="s">
        <v>10241</v>
      </c>
      <c r="M1757" s="790" t="s">
        <v>11774</v>
      </c>
      <c r="O1757" s="790" t="s">
        <v>10263</v>
      </c>
      <c r="P1757" s="790" t="s">
        <v>10244</v>
      </c>
      <c r="Q1757" s="791" t="s">
        <v>773</v>
      </c>
    </row>
    <row r="1758" spans="2:18">
      <c r="B1758" s="40" t="s">
        <v>12017</v>
      </c>
      <c r="C1758" s="1042"/>
      <c r="D1758" s="803">
        <f>Page4!H62</f>
        <v>0</v>
      </c>
      <c r="E1758" s="803">
        <f>Page4!J62</f>
        <v>0</v>
      </c>
      <c r="F1758" t="str">
        <f t="shared" si="80"/>
        <v>06-00-P&amp;A INCM-TRANSFER-CURR</v>
      </c>
      <c r="G1758" t="s">
        <v>127</v>
      </c>
      <c r="H1758" t="s">
        <v>10287</v>
      </c>
      <c r="I1758" t="s">
        <v>10253</v>
      </c>
      <c r="J1758" t="s">
        <v>10268</v>
      </c>
      <c r="K1758" s="1073" t="s">
        <v>10284</v>
      </c>
      <c r="L1758" s="789" t="s">
        <v>10241</v>
      </c>
      <c r="M1758" s="790" t="s">
        <v>11964</v>
      </c>
      <c r="O1758" s="790" t="s">
        <v>11777</v>
      </c>
      <c r="P1758" s="790" t="s">
        <v>10244</v>
      </c>
      <c r="Q1758" s="791" t="s">
        <v>773</v>
      </c>
    </row>
    <row r="1759" spans="2:18">
      <c r="B1759" s="40" t="s">
        <v>12018</v>
      </c>
      <c r="C1759" s="1059"/>
      <c r="D1759" s="803">
        <f>Page4!H63</f>
        <v>0</v>
      </c>
      <c r="E1759" s="803">
        <f>Page4!J63</f>
        <v>0</v>
      </c>
      <c r="F1759" t="str">
        <f t="shared" si="80"/>
        <v>06-00-G&amp;APRO-AMT-CURR</v>
      </c>
      <c r="G1759" t="s">
        <v>127</v>
      </c>
      <c r="H1759" t="s">
        <v>10287</v>
      </c>
      <c r="I1759" t="s">
        <v>10253</v>
      </c>
      <c r="K1759" s="1073" t="s">
        <v>10284</v>
      </c>
      <c r="L1759" s="789" t="s">
        <v>10241</v>
      </c>
      <c r="M1759" s="790" t="s">
        <v>11779</v>
      </c>
      <c r="O1759" s="790" t="s">
        <v>10263</v>
      </c>
      <c r="P1759" s="790" t="s">
        <v>10244</v>
      </c>
    </row>
    <row r="1760" spans="2:18">
      <c r="B1760" s="51" t="s">
        <v>12019</v>
      </c>
      <c r="C1760" s="1042"/>
      <c r="D1760" s="803">
        <f>Page4!H64</f>
        <v>2705</v>
      </c>
      <c r="E1760" s="803">
        <f>Page4!J64</f>
        <v>8273</v>
      </c>
      <c r="F1760" t="str">
        <f t="shared" si="80"/>
        <v>06-00-P&amp;LDEPT-AFTERPRO-CURR</v>
      </c>
      <c r="G1760" t="s">
        <v>127</v>
      </c>
      <c r="H1760" t="s">
        <v>10287</v>
      </c>
      <c r="I1760" t="s">
        <v>10253</v>
      </c>
      <c r="J1760" t="s">
        <v>10268</v>
      </c>
      <c r="K1760" s="1073" t="s">
        <v>10284</v>
      </c>
      <c r="L1760" s="789" t="s">
        <v>10241</v>
      </c>
      <c r="M1760" s="790" t="s">
        <v>11774</v>
      </c>
      <c r="O1760" s="790" t="s">
        <v>11781</v>
      </c>
      <c r="P1760" s="790" t="s">
        <v>10244</v>
      </c>
      <c r="Q1760" s="791" t="s">
        <v>773</v>
      </c>
    </row>
    <row r="1761" spans="2:18">
      <c r="B1761" s="51" t="s">
        <v>12020</v>
      </c>
      <c r="C1761" s="1042"/>
      <c r="D1761" s="803">
        <f>Page4!L4</f>
        <v>164865</v>
      </c>
      <c r="E1761" s="803">
        <f>Page4!N4</f>
        <v>657456</v>
      </c>
      <c r="F1761" t="str">
        <f t="shared" si="80"/>
        <v>07-00-P&amp;ADEPT-SALES-CURR</v>
      </c>
      <c r="G1761" t="s">
        <v>127</v>
      </c>
      <c r="H1761" t="s">
        <v>10287</v>
      </c>
      <c r="I1761" t="s">
        <v>10253</v>
      </c>
      <c r="J1761" t="s">
        <v>10268</v>
      </c>
      <c r="K1761" s="1073" t="s">
        <v>11018</v>
      </c>
      <c r="L1761" s="789" t="s">
        <v>10241</v>
      </c>
      <c r="M1761" s="790" t="s">
        <v>12021</v>
      </c>
      <c r="O1761" s="790" t="s">
        <v>9883</v>
      </c>
      <c r="P1761" s="790" t="s">
        <v>10244</v>
      </c>
      <c r="Q1761" s="791" t="s">
        <v>773</v>
      </c>
    </row>
    <row r="1762" spans="2:18">
      <c r="B1762" s="51" t="s">
        <v>12022</v>
      </c>
      <c r="C1762" s="1042"/>
      <c r="D1762" s="803">
        <f>Page4!L5</f>
        <v>49656</v>
      </c>
      <c r="E1762" s="803">
        <f>Page4!N5</f>
        <v>207673</v>
      </c>
      <c r="F1762" t="str">
        <f t="shared" si="80"/>
        <v>07-00-P&amp;ADEPT-GRSPFT-CURR</v>
      </c>
      <c r="G1762" t="s">
        <v>127</v>
      </c>
      <c r="H1762" t="s">
        <v>10287</v>
      </c>
      <c r="I1762" t="s">
        <v>10253</v>
      </c>
      <c r="J1762" t="s">
        <v>10268</v>
      </c>
      <c r="K1762" s="1073" t="s">
        <v>11018</v>
      </c>
      <c r="L1762" s="789" t="s">
        <v>10241</v>
      </c>
      <c r="M1762" s="790" t="s">
        <v>12021</v>
      </c>
      <c r="O1762" s="790" t="s">
        <v>10467</v>
      </c>
      <c r="P1762" s="790" t="s">
        <v>10244</v>
      </c>
      <c r="Q1762" s="791" t="s">
        <v>773</v>
      </c>
    </row>
    <row r="1763" spans="2:18">
      <c r="B1763" s="5" t="s">
        <v>12023</v>
      </c>
      <c r="C1763" s="1038">
        <v>20</v>
      </c>
      <c r="D1763" s="803">
        <f>Page4!L11</f>
        <v>3385</v>
      </c>
      <c r="E1763" s="803">
        <f>Page4!N11</f>
        <v>13351</v>
      </c>
      <c r="F1763" t="str">
        <f t="shared" si="80"/>
        <v>07-00-20-EXPNS-CURR</v>
      </c>
      <c r="G1763" t="s">
        <v>127</v>
      </c>
      <c r="H1763" t="s">
        <v>10287</v>
      </c>
      <c r="I1763" t="s">
        <v>10253</v>
      </c>
      <c r="K1763" s="1073" t="s">
        <v>11018</v>
      </c>
      <c r="L1763" s="789" t="s">
        <v>10241</v>
      </c>
      <c r="M1763" s="790" t="s">
        <v>11400</v>
      </c>
      <c r="O1763" s="790" t="s">
        <v>11153</v>
      </c>
      <c r="P1763" s="790" t="s">
        <v>10244</v>
      </c>
      <c r="R1763" s="30"/>
    </row>
    <row r="1764" spans="2:18">
      <c r="B1764" s="5" t="s">
        <v>12024</v>
      </c>
      <c r="C1764" s="1038">
        <v>21</v>
      </c>
      <c r="D1764" s="803">
        <f>Page4!L12</f>
        <v>-760</v>
      </c>
      <c r="E1764" s="803">
        <f>Page4!N12</f>
        <v>7633</v>
      </c>
      <c r="F1764" t="str">
        <f t="shared" si="80"/>
        <v>07-00-21-EXPNS-CURR</v>
      </c>
      <c r="G1764" t="s">
        <v>127</v>
      </c>
      <c r="H1764" t="s">
        <v>10287</v>
      </c>
      <c r="I1764" t="s">
        <v>10253</v>
      </c>
      <c r="K1764" s="1073" t="s">
        <v>11018</v>
      </c>
      <c r="L1764" s="789" t="s">
        <v>10241</v>
      </c>
      <c r="M1764" s="790" t="s">
        <v>11402</v>
      </c>
      <c r="O1764" s="790" t="s">
        <v>11153</v>
      </c>
      <c r="P1764" s="790" t="s">
        <v>10244</v>
      </c>
      <c r="R1764" s="30"/>
    </row>
    <row r="1765" spans="2:18">
      <c r="B1765" s="40" t="s">
        <v>12025</v>
      </c>
      <c r="C1765" s="1038">
        <v>22</v>
      </c>
      <c r="D1765" s="803">
        <f>Page4!L13</f>
        <v>53</v>
      </c>
      <c r="E1765" s="803">
        <f>Page4!N13</f>
        <v>763</v>
      </c>
      <c r="F1765" t="str">
        <f t="shared" si="80"/>
        <v>07-00-22-EXPNS-CURR</v>
      </c>
      <c r="G1765" t="s">
        <v>127</v>
      </c>
      <c r="H1765" t="s">
        <v>10287</v>
      </c>
      <c r="I1765" t="s">
        <v>10253</v>
      </c>
      <c r="K1765" s="1073" t="s">
        <v>11018</v>
      </c>
      <c r="L1765" s="789" t="s">
        <v>10241</v>
      </c>
      <c r="M1765" s="790" t="s">
        <v>11404</v>
      </c>
      <c r="O1765" s="790" t="s">
        <v>11153</v>
      </c>
      <c r="P1765" s="790" t="s">
        <v>10244</v>
      </c>
      <c r="R1765" s="30"/>
    </row>
    <row r="1766" spans="2:18">
      <c r="B1766" s="5" t="s">
        <v>12026</v>
      </c>
      <c r="C1766" s="1038">
        <v>23</v>
      </c>
      <c r="D1766" s="803">
        <f>Page4!L14</f>
        <v>8280</v>
      </c>
      <c r="E1766" s="803">
        <f>Page4!N14</f>
        <v>34120</v>
      </c>
      <c r="F1766" t="str">
        <f t="shared" si="80"/>
        <v>07-00-23-EXPNS-CURR</v>
      </c>
      <c r="G1766" t="s">
        <v>127</v>
      </c>
      <c r="H1766" t="s">
        <v>10287</v>
      </c>
      <c r="I1766" t="s">
        <v>10253</v>
      </c>
      <c r="K1766" s="1073" t="s">
        <v>11018</v>
      </c>
      <c r="L1766" s="789" t="s">
        <v>10241</v>
      </c>
      <c r="M1766" s="790" t="s">
        <v>11406</v>
      </c>
      <c r="O1766" s="790" t="s">
        <v>11153</v>
      </c>
      <c r="P1766" s="790" t="s">
        <v>10244</v>
      </c>
      <c r="R1766" s="30"/>
    </row>
    <row r="1767" spans="2:18">
      <c r="B1767" s="5" t="s">
        <v>12027</v>
      </c>
      <c r="C1767" s="1038">
        <v>24</v>
      </c>
      <c r="D1767" s="803">
        <f>Page4!L15</f>
        <v>1071</v>
      </c>
      <c r="E1767" s="803">
        <f>Page4!N15</f>
        <v>3849</v>
      </c>
      <c r="F1767" t="str">
        <f t="shared" si="80"/>
        <v>07-00-24-EXPNS-CURR</v>
      </c>
      <c r="G1767" t="s">
        <v>127</v>
      </c>
      <c r="H1767" t="s">
        <v>10287</v>
      </c>
      <c r="I1767" t="s">
        <v>10253</v>
      </c>
      <c r="K1767" s="1073" t="s">
        <v>11018</v>
      </c>
      <c r="L1767" s="789" t="s">
        <v>10241</v>
      </c>
      <c r="M1767" s="790" t="s">
        <v>11408</v>
      </c>
      <c r="O1767" s="790" t="s">
        <v>11153</v>
      </c>
      <c r="P1767" s="790" t="s">
        <v>10244</v>
      </c>
      <c r="R1767" s="30"/>
    </row>
    <row r="1768" spans="2:18">
      <c r="B1768" s="5" t="s">
        <v>12028</v>
      </c>
      <c r="C1768" s="1038">
        <v>26</v>
      </c>
      <c r="D1768" s="803">
        <f>Page4!L16</f>
        <v>0</v>
      </c>
      <c r="E1768" s="803">
        <f>Page4!N16</f>
        <v>0</v>
      </c>
      <c r="F1768" t="str">
        <f t="shared" si="80"/>
        <v>07-00-26-EXPNS-CURR</v>
      </c>
      <c r="G1768" t="s">
        <v>127</v>
      </c>
      <c r="H1768" t="s">
        <v>10287</v>
      </c>
      <c r="I1768" t="s">
        <v>10253</v>
      </c>
      <c r="K1768" s="1073" t="s">
        <v>11018</v>
      </c>
      <c r="L1768" s="789" t="s">
        <v>10241</v>
      </c>
      <c r="M1768" s="790">
        <v>26</v>
      </c>
      <c r="O1768" s="790" t="s">
        <v>11153</v>
      </c>
      <c r="P1768" s="790" t="s">
        <v>10244</v>
      </c>
      <c r="R1768" s="30"/>
    </row>
    <row r="1769" spans="2:18">
      <c r="B1769" s="5" t="s">
        <v>12029</v>
      </c>
      <c r="C1769" s="1038">
        <v>25</v>
      </c>
      <c r="D1769" s="803">
        <f>Page4!L17</f>
        <v>369</v>
      </c>
      <c r="E1769" s="803">
        <f>Page4!N17</f>
        <v>2426</v>
      </c>
      <c r="F1769" t="str">
        <f t="shared" si="80"/>
        <v>07-00-25-EXPNS-CURR</v>
      </c>
      <c r="G1769" t="s">
        <v>127</v>
      </c>
      <c r="H1769" t="s">
        <v>10287</v>
      </c>
      <c r="I1769" t="s">
        <v>10253</v>
      </c>
      <c r="K1769" s="1073" t="s">
        <v>11018</v>
      </c>
      <c r="L1769" s="789" t="s">
        <v>10241</v>
      </c>
      <c r="M1769" s="790" t="s">
        <v>11411</v>
      </c>
      <c r="O1769" s="790" t="s">
        <v>11153</v>
      </c>
      <c r="P1769" s="790" t="s">
        <v>10244</v>
      </c>
      <c r="R1769" s="30"/>
    </row>
    <row r="1770" spans="2:18">
      <c r="B1770" s="5" t="s">
        <v>12030</v>
      </c>
      <c r="C1770" s="1038">
        <v>27</v>
      </c>
      <c r="D1770" s="803">
        <f>Page4!L18</f>
        <v>2166</v>
      </c>
      <c r="E1770" s="803">
        <f>Page4!N18</f>
        <v>7278</v>
      </c>
      <c r="F1770" t="str">
        <f t="shared" si="80"/>
        <v>07-00-27-EXPNS-CURR</v>
      </c>
      <c r="G1770" t="s">
        <v>127</v>
      </c>
      <c r="H1770" t="s">
        <v>10287</v>
      </c>
      <c r="I1770" t="s">
        <v>10253</v>
      </c>
      <c r="K1770" s="1073" t="s">
        <v>11018</v>
      </c>
      <c r="L1770" s="789" t="s">
        <v>10241</v>
      </c>
      <c r="M1770" s="790" t="s">
        <v>11413</v>
      </c>
      <c r="O1770" s="790" t="s">
        <v>11153</v>
      </c>
      <c r="P1770" s="790" t="s">
        <v>10244</v>
      </c>
      <c r="R1770" s="30"/>
    </row>
    <row r="1771" spans="2:18">
      <c r="B1771" s="5" t="s">
        <v>12031</v>
      </c>
      <c r="C1771" s="1038">
        <v>29</v>
      </c>
      <c r="D1771" s="803">
        <f>Page4!L19</f>
        <v>0</v>
      </c>
      <c r="E1771" s="803">
        <f>Page4!N19</f>
        <v>0</v>
      </c>
      <c r="F1771" t="str">
        <f t="shared" si="80"/>
        <v>07-00-29-EXPNS-CURR</v>
      </c>
      <c r="G1771" t="s">
        <v>127</v>
      </c>
      <c r="H1771" t="s">
        <v>10287</v>
      </c>
      <c r="I1771" t="s">
        <v>10253</v>
      </c>
      <c r="K1771" s="1073" t="s">
        <v>11018</v>
      </c>
      <c r="L1771" s="789" t="s">
        <v>10241</v>
      </c>
      <c r="M1771" s="790" t="s">
        <v>11415</v>
      </c>
      <c r="O1771" s="790" t="s">
        <v>11153</v>
      </c>
      <c r="P1771" s="790" t="s">
        <v>10244</v>
      </c>
      <c r="R1771" s="30"/>
    </row>
    <row r="1772" spans="2:18">
      <c r="B1772" s="27" t="s">
        <v>12032</v>
      </c>
      <c r="C1772" s="1042"/>
      <c r="D1772" s="803">
        <f>Page4!L20</f>
        <v>14564</v>
      </c>
      <c r="E1772" s="803">
        <f>Page4!N20</f>
        <v>69420</v>
      </c>
      <c r="F1772" t="str">
        <f t="shared" si="80"/>
        <v>07-00-PERSONNL-EXPNS-CURR</v>
      </c>
      <c r="G1772" t="s">
        <v>127</v>
      </c>
      <c r="H1772" t="s">
        <v>10287</v>
      </c>
      <c r="I1772" t="s">
        <v>10253</v>
      </c>
      <c r="J1772" t="s">
        <v>10268</v>
      </c>
      <c r="K1772" s="1073" t="s">
        <v>11018</v>
      </c>
      <c r="L1772" s="789" t="s">
        <v>10241</v>
      </c>
      <c r="M1772" s="790" t="s">
        <v>10956</v>
      </c>
      <c r="O1772" s="790" t="s">
        <v>11153</v>
      </c>
      <c r="P1772" s="790" t="s">
        <v>10244</v>
      </c>
      <c r="Q1772" s="791" t="s">
        <v>773</v>
      </c>
    </row>
    <row r="1773" spans="2:18">
      <c r="B1773" s="5" t="s">
        <v>12033</v>
      </c>
      <c r="C1773" s="1038">
        <v>51</v>
      </c>
      <c r="D1773" s="803">
        <f>Page4!L21</f>
        <v>4654</v>
      </c>
      <c r="E1773" s="803">
        <f>Page4!N21</f>
        <v>14213</v>
      </c>
      <c r="F1773" t="str">
        <f t="shared" si="80"/>
        <v>07-00-51-EXPNS-CURR</v>
      </c>
      <c r="G1773" t="s">
        <v>127</v>
      </c>
      <c r="H1773" t="s">
        <v>10287</v>
      </c>
      <c r="I1773" t="s">
        <v>10253</v>
      </c>
      <c r="K1773" s="1073" t="s">
        <v>11018</v>
      </c>
      <c r="L1773" s="789" t="s">
        <v>10241</v>
      </c>
      <c r="M1773" s="790" t="s">
        <v>11418</v>
      </c>
      <c r="O1773" s="790" t="s">
        <v>11153</v>
      </c>
      <c r="P1773" s="790" t="s">
        <v>10244</v>
      </c>
      <c r="R1773" s="30"/>
    </row>
    <row r="1774" spans="2:18">
      <c r="B1774" s="5" t="s">
        <v>12034</v>
      </c>
      <c r="C1774" s="1038">
        <v>60</v>
      </c>
      <c r="D1774" s="803">
        <f>Page4!L22</f>
        <v>158</v>
      </c>
      <c r="E1774" s="803">
        <f>Page4!N22</f>
        <v>953</v>
      </c>
      <c r="F1774" t="str">
        <f t="shared" si="80"/>
        <v>07-00-60-EXPNS-CURR</v>
      </c>
      <c r="G1774" t="s">
        <v>127</v>
      </c>
      <c r="H1774" t="s">
        <v>10287</v>
      </c>
      <c r="I1774" t="s">
        <v>10253</v>
      </c>
      <c r="K1774" s="1073" t="s">
        <v>11018</v>
      </c>
      <c r="L1774" s="789" t="s">
        <v>10241</v>
      </c>
      <c r="M1774" s="790" t="s">
        <v>11420</v>
      </c>
      <c r="O1774" s="790" t="s">
        <v>11153</v>
      </c>
      <c r="P1774" s="790" t="s">
        <v>10244</v>
      </c>
      <c r="R1774" s="30"/>
    </row>
    <row r="1775" spans="2:18">
      <c r="B1775" s="5" t="s">
        <v>12035</v>
      </c>
      <c r="C1775" s="1038">
        <v>61</v>
      </c>
      <c r="D1775" s="803">
        <f>Page4!L23</f>
        <v>475</v>
      </c>
      <c r="E1775" s="803">
        <f>Page4!N23</f>
        <v>2189</v>
      </c>
      <c r="F1775" t="str">
        <f t="shared" si="80"/>
        <v>07-00-61-EXPNS-CURR</v>
      </c>
      <c r="G1775" t="s">
        <v>127</v>
      </c>
      <c r="H1775" t="s">
        <v>10287</v>
      </c>
      <c r="I1775" t="s">
        <v>10253</v>
      </c>
      <c r="K1775" s="1073" t="s">
        <v>11018</v>
      </c>
      <c r="L1775" s="789" t="s">
        <v>10241</v>
      </c>
      <c r="M1775" s="790" t="s">
        <v>11422</v>
      </c>
      <c r="O1775" s="790" t="s">
        <v>11153</v>
      </c>
      <c r="P1775" s="790" t="s">
        <v>10244</v>
      </c>
      <c r="R1775" s="30"/>
    </row>
    <row r="1776" spans="2:18">
      <c r="B1776" s="5" t="s">
        <v>12036</v>
      </c>
      <c r="C1776" s="1038">
        <v>63</v>
      </c>
      <c r="D1776" s="803">
        <f>Page4!L24</f>
        <v>0</v>
      </c>
      <c r="E1776" s="803">
        <f>Page4!N24</f>
        <v>0</v>
      </c>
      <c r="F1776" t="str">
        <f t="shared" si="80"/>
        <v>07-00-63-EXPNS-CURR</v>
      </c>
      <c r="G1776" t="s">
        <v>127</v>
      </c>
      <c r="H1776" t="s">
        <v>10287</v>
      </c>
      <c r="I1776" t="s">
        <v>10253</v>
      </c>
      <c r="K1776" s="1073" t="s">
        <v>11018</v>
      </c>
      <c r="L1776" s="789" t="s">
        <v>10241</v>
      </c>
      <c r="M1776" s="790">
        <v>63</v>
      </c>
      <c r="O1776" s="790" t="s">
        <v>11153</v>
      </c>
      <c r="P1776" s="790" t="s">
        <v>10244</v>
      </c>
      <c r="R1776" s="30"/>
    </row>
    <row r="1777" spans="2:18">
      <c r="B1777" s="5" t="s">
        <v>12037</v>
      </c>
      <c r="C1777" s="1038">
        <v>65</v>
      </c>
      <c r="D1777" s="803">
        <f>Page4!L25</f>
        <v>638</v>
      </c>
      <c r="E1777" s="803">
        <f>Page4!N25</f>
        <v>2905</v>
      </c>
      <c r="F1777" t="str">
        <f t="shared" si="80"/>
        <v>07-00-65-EXPNS-CURR</v>
      </c>
      <c r="G1777" t="s">
        <v>127</v>
      </c>
      <c r="H1777" t="s">
        <v>10287</v>
      </c>
      <c r="I1777" t="s">
        <v>10253</v>
      </c>
      <c r="K1777" s="1073" t="s">
        <v>11018</v>
      </c>
      <c r="L1777" s="789" t="s">
        <v>10241</v>
      </c>
      <c r="M1777" s="790" t="s">
        <v>11425</v>
      </c>
      <c r="O1777" s="790" t="s">
        <v>11153</v>
      </c>
      <c r="P1777" s="790" t="s">
        <v>10244</v>
      </c>
      <c r="R1777" s="30"/>
    </row>
    <row r="1778" spans="2:18">
      <c r="B1778" s="5" t="s">
        <v>12038</v>
      </c>
      <c r="C1778" s="1038">
        <v>64</v>
      </c>
      <c r="D1778" s="803">
        <f>Page4!L26</f>
        <v>0</v>
      </c>
      <c r="E1778" s="803">
        <f>Page4!N26</f>
        <v>0</v>
      </c>
      <c r="F1778" t="str">
        <f t="shared" si="80"/>
        <v>07-00-64-EXPNS-CURR</v>
      </c>
      <c r="G1778" t="s">
        <v>127</v>
      </c>
      <c r="H1778" t="s">
        <v>10287</v>
      </c>
      <c r="I1778" t="s">
        <v>10253</v>
      </c>
      <c r="K1778" s="1073" t="s">
        <v>11018</v>
      </c>
      <c r="L1778" s="789" t="s">
        <v>10241</v>
      </c>
      <c r="M1778" s="790">
        <v>64</v>
      </c>
      <c r="O1778" s="790" t="s">
        <v>11153</v>
      </c>
      <c r="P1778" s="790" t="s">
        <v>10244</v>
      </c>
      <c r="R1778" s="30"/>
    </row>
    <row r="1779" spans="2:18">
      <c r="B1779" s="5" t="s">
        <v>12039</v>
      </c>
      <c r="C1779" s="1038">
        <v>66</v>
      </c>
      <c r="D1779" s="803">
        <f>Page4!L27</f>
        <v>50</v>
      </c>
      <c r="E1779" s="803">
        <f>Page4!N27</f>
        <v>50</v>
      </c>
      <c r="F1779" t="str">
        <f t="shared" si="80"/>
        <v>07-00-66-EXPNS-CURR</v>
      </c>
      <c r="G1779" t="s">
        <v>127</v>
      </c>
      <c r="H1779" t="s">
        <v>10287</v>
      </c>
      <c r="I1779" t="s">
        <v>10253</v>
      </c>
      <c r="K1779" s="1073" t="s">
        <v>11018</v>
      </c>
      <c r="L1779" s="789" t="s">
        <v>10241</v>
      </c>
      <c r="M1779" s="790" t="s">
        <v>11428</v>
      </c>
      <c r="O1779" s="790" t="s">
        <v>11153</v>
      </c>
      <c r="P1779" s="790" t="s">
        <v>10244</v>
      </c>
      <c r="R1779" s="30"/>
    </row>
    <row r="1780" spans="2:18">
      <c r="B1780" s="5" t="s">
        <v>12040</v>
      </c>
      <c r="C1780" s="1038">
        <v>67</v>
      </c>
      <c r="D1780" s="803">
        <f>Page4!L28</f>
        <v>-299</v>
      </c>
      <c r="E1780" s="803">
        <f>Page4!N28</f>
        <v>915</v>
      </c>
      <c r="F1780" t="str">
        <f t="shared" si="80"/>
        <v>07-00-67-EXPNS-CURR</v>
      </c>
      <c r="G1780" t="s">
        <v>127</v>
      </c>
      <c r="H1780" t="s">
        <v>10287</v>
      </c>
      <c r="I1780" t="s">
        <v>10253</v>
      </c>
      <c r="K1780" s="1073" t="s">
        <v>11018</v>
      </c>
      <c r="L1780" s="789" t="s">
        <v>10241</v>
      </c>
      <c r="M1780" s="790" t="s">
        <v>11430</v>
      </c>
      <c r="O1780" s="790" t="s">
        <v>11153</v>
      </c>
      <c r="P1780" s="790" t="s">
        <v>10244</v>
      </c>
      <c r="R1780" s="30"/>
    </row>
    <row r="1781" spans="2:18">
      <c r="B1781" s="5" t="s">
        <v>12041</v>
      </c>
      <c r="C1781" s="1038">
        <v>68</v>
      </c>
      <c r="D1781" s="803">
        <f>Page4!L29</f>
        <v>2395</v>
      </c>
      <c r="E1781" s="803">
        <f>Page4!N29</f>
        <v>9358</v>
      </c>
      <c r="F1781" t="str">
        <f t="shared" si="80"/>
        <v>07-00-68-EXPNS-CURR</v>
      </c>
      <c r="G1781" t="s">
        <v>127</v>
      </c>
      <c r="H1781" t="s">
        <v>10287</v>
      </c>
      <c r="I1781" t="s">
        <v>10253</v>
      </c>
      <c r="K1781" s="1073" t="s">
        <v>11018</v>
      </c>
      <c r="L1781" s="789" t="s">
        <v>10241</v>
      </c>
      <c r="M1781" s="790" t="s">
        <v>11432</v>
      </c>
      <c r="O1781" s="790" t="s">
        <v>11153</v>
      </c>
      <c r="P1781" s="790" t="s">
        <v>10244</v>
      </c>
      <c r="R1781" s="30"/>
    </row>
    <row r="1782" spans="2:18">
      <c r="B1782" s="5" t="s">
        <v>12042</v>
      </c>
      <c r="C1782" s="1038">
        <v>69</v>
      </c>
      <c r="D1782" s="803">
        <f>Page4!L30</f>
        <v>1069</v>
      </c>
      <c r="E1782" s="803">
        <f>Page4!N30</f>
        <v>1798</v>
      </c>
      <c r="F1782" t="str">
        <f t="shared" ref="F1782:F1845" si="81">TEXT(K1782,"00")&amp;"-"&amp;L1782&amp;IF(M1782="","","-"&amp;M1782)&amp;IF(N1782="","","-"&amp;N1782)&amp;IF(OR(O1782="",O1782=0),"","-"&amp;O1782)&amp;IF(P1782="","","-"&amp;P1782)</f>
        <v>07-00-69-EXPNS-CURR</v>
      </c>
      <c r="G1782" t="s">
        <v>127</v>
      </c>
      <c r="H1782" t="s">
        <v>10287</v>
      </c>
      <c r="I1782" t="s">
        <v>10253</v>
      </c>
      <c r="K1782" s="1073" t="s">
        <v>11018</v>
      </c>
      <c r="L1782" s="789" t="s">
        <v>10241</v>
      </c>
      <c r="M1782" s="790" t="s">
        <v>11434</v>
      </c>
      <c r="O1782" s="790" t="s">
        <v>11153</v>
      </c>
      <c r="P1782" s="790" t="s">
        <v>10244</v>
      </c>
      <c r="R1782" s="30"/>
    </row>
    <row r="1783" spans="2:18">
      <c r="B1783" s="5" t="s">
        <v>12043</v>
      </c>
      <c r="C1783" s="1038">
        <v>70</v>
      </c>
      <c r="D1783" s="803">
        <f>Page4!L31</f>
        <v>238</v>
      </c>
      <c r="E1783" s="803">
        <f>Page4!N31</f>
        <v>659</v>
      </c>
      <c r="F1783" t="str">
        <f t="shared" si="81"/>
        <v>07-00-70-EXPNS-CURR</v>
      </c>
      <c r="G1783" t="s">
        <v>127</v>
      </c>
      <c r="H1783" t="s">
        <v>10287</v>
      </c>
      <c r="I1783" t="s">
        <v>10253</v>
      </c>
      <c r="K1783" s="1073" t="s">
        <v>11018</v>
      </c>
      <c r="L1783" s="789" t="s">
        <v>10241</v>
      </c>
      <c r="M1783" s="790" t="s">
        <v>11436</v>
      </c>
      <c r="O1783" s="790" t="s">
        <v>11153</v>
      </c>
      <c r="P1783" s="790" t="s">
        <v>10244</v>
      </c>
      <c r="R1783" s="30"/>
    </row>
    <row r="1784" spans="2:18">
      <c r="B1784" s="5" t="s">
        <v>12044</v>
      </c>
      <c r="C1784" s="1038">
        <v>71</v>
      </c>
      <c r="D1784" s="803">
        <f>Page4!L32</f>
        <v>15</v>
      </c>
      <c r="E1784" s="803">
        <f>Page4!N32</f>
        <v>27</v>
      </c>
      <c r="F1784" t="str">
        <f t="shared" si="81"/>
        <v>07-00-71-EXPNS-CURR</v>
      </c>
      <c r="G1784" t="s">
        <v>127</v>
      </c>
      <c r="H1784" t="s">
        <v>10287</v>
      </c>
      <c r="I1784" t="s">
        <v>10253</v>
      </c>
      <c r="K1784" s="1073" t="s">
        <v>11018</v>
      </c>
      <c r="L1784" s="789" t="s">
        <v>10241</v>
      </c>
      <c r="M1784" s="790" t="s">
        <v>11438</v>
      </c>
      <c r="O1784" s="790" t="s">
        <v>11153</v>
      </c>
      <c r="P1784" s="790" t="s">
        <v>10244</v>
      </c>
      <c r="R1784" s="30"/>
    </row>
    <row r="1785" spans="2:18">
      <c r="B1785" s="5" t="s">
        <v>12045</v>
      </c>
      <c r="C1785" s="1038">
        <v>72</v>
      </c>
      <c r="D1785" s="803">
        <f>Page4!L33</f>
        <v>200</v>
      </c>
      <c r="E1785" s="803">
        <f>Page4!N33</f>
        <v>300</v>
      </c>
      <c r="F1785" t="str">
        <f t="shared" si="81"/>
        <v>07-00-72-EXPNS-CURR</v>
      </c>
      <c r="G1785" t="s">
        <v>127</v>
      </c>
      <c r="H1785" t="s">
        <v>10287</v>
      </c>
      <c r="I1785" t="s">
        <v>10253</v>
      </c>
      <c r="K1785" s="1073" t="s">
        <v>11018</v>
      </c>
      <c r="L1785" s="789" t="s">
        <v>10241</v>
      </c>
      <c r="M1785" s="790" t="s">
        <v>11440</v>
      </c>
      <c r="O1785" s="790" t="s">
        <v>11153</v>
      </c>
      <c r="P1785" s="790" t="s">
        <v>10244</v>
      </c>
      <c r="R1785" s="30"/>
    </row>
    <row r="1786" spans="2:18">
      <c r="B1786" s="40" t="s">
        <v>12046</v>
      </c>
      <c r="C1786" s="1038">
        <v>74</v>
      </c>
      <c r="D1786" s="803">
        <f>Page4!L34</f>
        <v>95</v>
      </c>
      <c r="E1786" s="803">
        <f>Page4!N34</f>
        <v>251</v>
      </c>
      <c r="F1786" t="str">
        <f t="shared" si="81"/>
        <v>07-00-74-EXPNS-CURR</v>
      </c>
      <c r="G1786" t="s">
        <v>127</v>
      </c>
      <c r="H1786" t="s">
        <v>10287</v>
      </c>
      <c r="I1786" t="s">
        <v>10253</v>
      </c>
      <c r="K1786" s="1073" t="s">
        <v>11018</v>
      </c>
      <c r="L1786" s="789" t="s">
        <v>10241</v>
      </c>
      <c r="M1786" s="790" t="s">
        <v>11442</v>
      </c>
      <c r="O1786" s="790" t="s">
        <v>11153</v>
      </c>
      <c r="P1786" s="790" t="s">
        <v>10244</v>
      </c>
      <c r="R1786" s="30"/>
    </row>
    <row r="1787" spans="2:18">
      <c r="B1787" s="5" t="s">
        <v>12047</v>
      </c>
      <c r="C1787" s="1038">
        <v>75</v>
      </c>
      <c r="D1787" s="803">
        <f>Page4!L35</f>
        <v>1943</v>
      </c>
      <c r="E1787" s="803">
        <f>Page4!N35</f>
        <v>2186</v>
      </c>
      <c r="F1787" t="str">
        <f t="shared" si="81"/>
        <v>07-00-75-EXPNS-CURR</v>
      </c>
      <c r="G1787" t="s">
        <v>127</v>
      </c>
      <c r="H1787" t="s">
        <v>10287</v>
      </c>
      <c r="I1787" t="s">
        <v>10253</v>
      </c>
      <c r="K1787" s="1073" t="s">
        <v>11018</v>
      </c>
      <c r="L1787" s="789" t="s">
        <v>10241</v>
      </c>
      <c r="M1787" s="790" t="s">
        <v>11444</v>
      </c>
      <c r="O1787" s="790" t="s">
        <v>11153</v>
      </c>
      <c r="P1787" s="790" t="s">
        <v>10244</v>
      </c>
      <c r="R1787" s="30"/>
    </row>
    <row r="1788" spans="2:18">
      <c r="B1788" s="5" t="s">
        <v>12048</v>
      </c>
      <c r="C1788" s="1038">
        <v>79</v>
      </c>
      <c r="D1788" s="803">
        <f>Page4!L38</f>
        <v>378</v>
      </c>
      <c r="E1788" s="803">
        <f>Page4!N38</f>
        <v>1290</v>
      </c>
      <c r="F1788" t="str">
        <f t="shared" si="81"/>
        <v>07-00-79-EXPNS-CURR</v>
      </c>
      <c r="G1788" t="s">
        <v>127</v>
      </c>
      <c r="H1788" t="s">
        <v>10287</v>
      </c>
      <c r="I1788" t="s">
        <v>10253</v>
      </c>
      <c r="K1788" s="1073" t="s">
        <v>11018</v>
      </c>
      <c r="L1788" s="789" t="s">
        <v>10241</v>
      </c>
      <c r="M1788" s="790" t="s">
        <v>11878</v>
      </c>
      <c r="O1788" s="790" t="s">
        <v>11153</v>
      </c>
      <c r="P1788" s="790" t="s">
        <v>10244</v>
      </c>
      <c r="R1788" s="30"/>
    </row>
    <row r="1789" spans="2:18">
      <c r="B1789" s="5" t="s">
        <v>12049</v>
      </c>
      <c r="C1789" s="1038">
        <v>57</v>
      </c>
      <c r="D1789" s="803">
        <f>Page4!L40</f>
        <v>0</v>
      </c>
      <c r="E1789" s="803">
        <f>Page4!N40</f>
        <v>0</v>
      </c>
      <c r="F1789" t="str">
        <f t="shared" si="81"/>
        <v>07-00-57-EXPNS-CURR</v>
      </c>
      <c r="G1789" t="s">
        <v>127</v>
      </c>
      <c r="H1789" t="s">
        <v>10287</v>
      </c>
      <c r="I1789" t="s">
        <v>10253</v>
      </c>
      <c r="K1789" s="1073" t="s">
        <v>11018</v>
      </c>
      <c r="L1789" s="789" t="s">
        <v>10241</v>
      </c>
      <c r="M1789" s="790">
        <v>57</v>
      </c>
      <c r="O1789" s="790" t="s">
        <v>11153</v>
      </c>
      <c r="P1789" s="790" t="s">
        <v>10244</v>
      </c>
      <c r="R1789" s="30"/>
    </row>
    <row r="1790" spans="2:18">
      <c r="B1790" s="5" t="s">
        <v>12050</v>
      </c>
      <c r="C1790" s="1038">
        <v>33</v>
      </c>
      <c r="D1790" s="803">
        <f>Page4!L41</f>
        <v>55</v>
      </c>
      <c r="E1790" s="803">
        <f>Page4!N41</f>
        <v>331</v>
      </c>
      <c r="F1790" t="str">
        <f t="shared" si="81"/>
        <v>07-00-33-EXPNS-CURR</v>
      </c>
      <c r="G1790" t="s">
        <v>127</v>
      </c>
      <c r="H1790" t="s">
        <v>10287</v>
      </c>
      <c r="I1790" t="s">
        <v>10253</v>
      </c>
      <c r="K1790" s="1073" t="s">
        <v>11018</v>
      </c>
      <c r="L1790" s="789" t="s">
        <v>10241</v>
      </c>
      <c r="M1790" s="790">
        <v>33</v>
      </c>
      <c r="O1790" s="790" t="s">
        <v>11153</v>
      </c>
      <c r="P1790" s="790" t="s">
        <v>10244</v>
      </c>
      <c r="R1790" s="30"/>
    </row>
    <row r="1791" spans="2:18">
      <c r="B1791" s="5" t="s">
        <v>12051</v>
      </c>
      <c r="C1791" s="1038">
        <v>77</v>
      </c>
      <c r="D1791" s="803">
        <f>Page4!L42</f>
        <v>0</v>
      </c>
      <c r="E1791" s="803">
        <f>Page4!N42</f>
        <v>78</v>
      </c>
      <c r="F1791" t="str">
        <f t="shared" si="81"/>
        <v>07-00-77-EXPNS-CURR</v>
      </c>
      <c r="G1791" t="s">
        <v>127</v>
      </c>
      <c r="H1791" t="s">
        <v>10287</v>
      </c>
      <c r="I1791" t="s">
        <v>10253</v>
      </c>
      <c r="K1791" s="1073" t="s">
        <v>11018</v>
      </c>
      <c r="L1791" s="789" t="s">
        <v>10241</v>
      </c>
      <c r="M1791" s="790" t="s">
        <v>11455</v>
      </c>
      <c r="O1791" s="790" t="s">
        <v>11153</v>
      </c>
      <c r="P1791" s="790" t="s">
        <v>10244</v>
      </c>
      <c r="R1791" s="30"/>
    </row>
    <row r="1792" spans="2:18">
      <c r="B1792" s="51" t="s">
        <v>12052</v>
      </c>
      <c r="C1792" s="1042"/>
      <c r="D1792" s="803">
        <f>Page4!L43</f>
        <v>12064</v>
      </c>
      <c r="E1792" s="803">
        <f>Page4!N43</f>
        <v>37503</v>
      </c>
      <c r="F1792" t="str">
        <f t="shared" si="81"/>
        <v>07-00-SEMIFIXD-EXPNS-CURR</v>
      </c>
      <c r="G1792" t="s">
        <v>127</v>
      </c>
      <c r="H1792" t="s">
        <v>10287</v>
      </c>
      <c r="I1792" t="s">
        <v>10253</v>
      </c>
      <c r="J1792" t="s">
        <v>10268</v>
      </c>
      <c r="K1792" s="1073" t="s">
        <v>11018</v>
      </c>
      <c r="L1792" s="789" t="s">
        <v>10241</v>
      </c>
      <c r="M1792" s="790" t="s">
        <v>11457</v>
      </c>
      <c r="O1792" s="790" t="s">
        <v>11153</v>
      </c>
      <c r="P1792" s="790" t="s">
        <v>10244</v>
      </c>
      <c r="Q1792" s="791" t="s">
        <v>773</v>
      </c>
    </row>
    <row r="1793" spans="2:18">
      <c r="B1793" s="5" t="s">
        <v>12053</v>
      </c>
      <c r="C1793" s="1038">
        <v>80</v>
      </c>
      <c r="D1793" s="803">
        <f>Page4!L44</f>
        <v>4740</v>
      </c>
      <c r="E1793" s="803">
        <f>Page4!N44</f>
        <v>18510</v>
      </c>
      <c r="F1793" t="str">
        <f t="shared" si="81"/>
        <v>07-00-80-EXPNS-CURR</v>
      </c>
      <c r="G1793" t="s">
        <v>127</v>
      </c>
      <c r="H1793" t="s">
        <v>10287</v>
      </c>
      <c r="I1793" t="s">
        <v>10253</v>
      </c>
      <c r="K1793" s="1073" t="s">
        <v>11018</v>
      </c>
      <c r="L1793" s="789" t="s">
        <v>10241</v>
      </c>
      <c r="M1793" s="790" t="s">
        <v>11459</v>
      </c>
      <c r="O1793" s="790" t="s">
        <v>11153</v>
      </c>
      <c r="P1793" s="790" t="s">
        <v>10244</v>
      </c>
      <c r="R1793" s="30"/>
    </row>
    <row r="1794" spans="2:18">
      <c r="B1794" s="5" t="s">
        <v>12054</v>
      </c>
      <c r="C1794" s="1038">
        <v>81</v>
      </c>
      <c r="D1794" s="803">
        <f>Page4!L45</f>
        <v>0</v>
      </c>
      <c r="E1794" s="803">
        <f>Page4!N45</f>
        <v>0</v>
      </c>
      <c r="F1794" t="str">
        <f t="shared" si="81"/>
        <v>07-00-81-EXPNS-CURR</v>
      </c>
      <c r="G1794" t="s">
        <v>127</v>
      </c>
      <c r="H1794" t="s">
        <v>10287</v>
      </c>
      <c r="I1794" t="s">
        <v>10253</v>
      </c>
      <c r="K1794" s="1073" t="s">
        <v>11018</v>
      </c>
      <c r="L1794" s="789" t="s">
        <v>10241</v>
      </c>
      <c r="M1794" s="790" t="s">
        <v>11461</v>
      </c>
      <c r="O1794" s="790" t="s">
        <v>11153</v>
      </c>
      <c r="P1794" s="790" t="s">
        <v>10244</v>
      </c>
      <c r="R1794" s="30"/>
    </row>
    <row r="1795" spans="2:18">
      <c r="B1795" s="5" t="s">
        <v>12055</v>
      </c>
      <c r="C1795" s="1038">
        <v>82</v>
      </c>
      <c r="D1795" s="803">
        <f>Page4!L46</f>
        <v>283</v>
      </c>
      <c r="E1795" s="803">
        <f>Page4!N46</f>
        <v>3000</v>
      </c>
      <c r="F1795" t="str">
        <f t="shared" si="81"/>
        <v>07-00-82-EXPNS-CURR</v>
      </c>
      <c r="G1795" t="s">
        <v>127</v>
      </c>
      <c r="H1795" t="s">
        <v>10287</v>
      </c>
      <c r="I1795" t="s">
        <v>10253</v>
      </c>
      <c r="K1795" s="1073" t="s">
        <v>11018</v>
      </c>
      <c r="L1795" s="789" t="s">
        <v>10241</v>
      </c>
      <c r="M1795" s="790" t="s">
        <v>11463</v>
      </c>
      <c r="O1795" s="790" t="s">
        <v>11153</v>
      </c>
      <c r="P1795" s="790" t="s">
        <v>10244</v>
      </c>
      <c r="R1795" s="30"/>
    </row>
    <row r="1796" spans="2:18">
      <c r="B1796" s="5" t="s">
        <v>12056</v>
      </c>
      <c r="C1796" s="1038">
        <v>83</v>
      </c>
      <c r="D1796" s="803">
        <f>Page4!L47</f>
        <v>8</v>
      </c>
      <c r="E1796" s="803">
        <f>Page4!N47</f>
        <v>31</v>
      </c>
      <c r="F1796" t="str">
        <f t="shared" si="81"/>
        <v>07-00-83-EXPNS-CURR</v>
      </c>
      <c r="G1796" t="s">
        <v>127</v>
      </c>
      <c r="H1796" t="s">
        <v>10287</v>
      </c>
      <c r="I1796" t="s">
        <v>10253</v>
      </c>
      <c r="K1796" s="1073" t="s">
        <v>11018</v>
      </c>
      <c r="L1796" s="789" t="s">
        <v>10241</v>
      </c>
      <c r="M1796" s="790" t="s">
        <v>11465</v>
      </c>
      <c r="O1796" s="790" t="s">
        <v>11153</v>
      </c>
      <c r="P1796" s="790" t="s">
        <v>10244</v>
      </c>
      <c r="R1796" s="30"/>
    </row>
    <row r="1797" spans="2:18">
      <c r="B1797" s="5" t="s">
        <v>12057</v>
      </c>
      <c r="C1797" s="1038">
        <v>84</v>
      </c>
      <c r="D1797" s="803">
        <f>Page4!L48</f>
        <v>600</v>
      </c>
      <c r="E1797" s="803">
        <f>Page4!N48</f>
        <v>2400</v>
      </c>
      <c r="F1797" t="str">
        <f t="shared" si="81"/>
        <v>07-00-84-EXPNS-CURR</v>
      </c>
      <c r="G1797" t="s">
        <v>127</v>
      </c>
      <c r="H1797" t="s">
        <v>10287</v>
      </c>
      <c r="I1797" t="s">
        <v>10253</v>
      </c>
      <c r="K1797" s="1073" t="s">
        <v>11018</v>
      </c>
      <c r="L1797" s="789" t="s">
        <v>10241</v>
      </c>
      <c r="M1797" s="790" t="s">
        <v>11467</v>
      </c>
      <c r="O1797" s="790" t="s">
        <v>11153</v>
      </c>
      <c r="P1797" s="790" t="s">
        <v>10244</v>
      </c>
      <c r="R1797" s="30"/>
    </row>
    <row r="1798" spans="2:18">
      <c r="B1798" s="5" t="s">
        <v>12058</v>
      </c>
      <c r="C1798" s="1038">
        <v>85</v>
      </c>
      <c r="D1798" s="803">
        <f>Page4!L49</f>
        <v>408</v>
      </c>
      <c r="E1798" s="803">
        <f>Page4!N49</f>
        <v>1632</v>
      </c>
      <c r="F1798" t="str">
        <f t="shared" si="81"/>
        <v>07-00-85-EXPNS-CURR</v>
      </c>
      <c r="G1798" t="s">
        <v>127</v>
      </c>
      <c r="H1798" t="s">
        <v>10287</v>
      </c>
      <c r="I1798" t="s">
        <v>10253</v>
      </c>
      <c r="K1798" s="1073" t="s">
        <v>11018</v>
      </c>
      <c r="L1798" s="789" t="s">
        <v>10241</v>
      </c>
      <c r="M1798" s="790" t="s">
        <v>11469</v>
      </c>
      <c r="O1798" s="790" t="s">
        <v>11153</v>
      </c>
      <c r="P1798" s="790" t="s">
        <v>10244</v>
      </c>
      <c r="R1798" s="30"/>
    </row>
    <row r="1799" spans="2:18">
      <c r="B1799" s="5" t="s">
        <v>12059</v>
      </c>
      <c r="C1799" s="1038">
        <v>86</v>
      </c>
      <c r="D1799" s="803">
        <f>Page4!L50</f>
        <v>0</v>
      </c>
      <c r="E1799" s="803">
        <f>Page4!N50</f>
        <v>0</v>
      </c>
      <c r="F1799" t="str">
        <f t="shared" si="81"/>
        <v>07-00-86-EXPNS-CURR</v>
      </c>
      <c r="G1799" t="s">
        <v>127</v>
      </c>
      <c r="H1799" t="s">
        <v>10287</v>
      </c>
      <c r="I1799" t="s">
        <v>10253</v>
      </c>
      <c r="K1799" s="1073" t="s">
        <v>11018</v>
      </c>
      <c r="L1799" s="789" t="s">
        <v>10241</v>
      </c>
      <c r="M1799" s="790" t="s">
        <v>11471</v>
      </c>
      <c r="O1799" s="790" t="s">
        <v>11153</v>
      </c>
      <c r="P1799" s="790" t="s">
        <v>10244</v>
      </c>
      <c r="R1799" s="30"/>
    </row>
    <row r="1800" spans="2:18">
      <c r="B1800" s="5" t="s">
        <v>12060</v>
      </c>
      <c r="C1800" s="1038">
        <v>87</v>
      </c>
      <c r="D1800" s="803">
        <f>Page4!L51</f>
        <v>998</v>
      </c>
      <c r="E1800" s="803">
        <f>Page4!N51</f>
        <v>3942</v>
      </c>
      <c r="F1800" t="str">
        <f>TEXT(K1800,"00")&amp;"-"&amp;L1800&amp;IF(M1800="","","-"&amp;M1800)&amp;IF(N1800="","","-"&amp;N1800)&amp;IF(OR(O1800="",O1800=0),"","-"&amp;O1800)&amp;IF(P1800="","","-"&amp;P1800)</f>
        <v>07-00-87-EXPNS-CURR</v>
      </c>
      <c r="G1800" t="s">
        <v>127</v>
      </c>
      <c r="H1800" t="s">
        <v>10287</v>
      </c>
      <c r="I1800" t="s">
        <v>10253</v>
      </c>
      <c r="K1800" s="1073" t="s">
        <v>11018</v>
      </c>
      <c r="L1800" s="789" t="s">
        <v>10241</v>
      </c>
      <c r="M1800" s="790" t="s">
        <v>11473</v>
      </c>
      <c r="O1800" s="790" t="s">
        <v>11153</v>
      </c>
      <c r="P1800" s="790" t="s">
        <v>10244</v>
      </c>
      <c r="R1800" s="30"/>
    </row>
    <row r="1801" spans="2:18">
      <c r="B1801" s="27" t="s">
        <v>12061</v>
      </c>
      <c r="C1801" s="1042"/>
      <c r="D1801" s="803">
        <f>Page4!L52</f>
        <v>7037</v>
      </c>
      <c r="E1801" s="803">
        <f>Page4!N52</f>
        <v>29515</v>
      </c>
      <c r="F1801" t="str">
        <f t="shared" si="81"/>
        <v>07-00-RENTEQUV-EXPNS-CURR</v>
      </c>
      <c r="G1801" t="s">
        <v>127</v>
      </c>
      <c r="H1801" t="s">
        <v>10287</v>
      </c>
      <c r="I1801" t="s">
        <v>10253</v>
      </c>
      <c r="J1801" t="s">
        <v>10268</v>
      </c>
      <c r="K1801" s="1073" t="s">
        <v>11018</v>
      </c>
      <c r="L1801" s="789" t="s">
        <v>10241</v>
      </c>
      <c r="M1801" s="790" t="s">
        <v>11475</v>
      </c>
      <c r="O1801" s="790" t="s">
        <v>11153</v>
      </c>
      <c r="P1801" s="790" t="s">
        <v>10244</v>
      </c>
      <c r="Q1801" s="791" t="s">
        <v>773</v>
      </c>
    </row>
    <row r="1802" spans="2:18">
      <c r="B1802" s="5" t="s">
        <v>12062</v>
      </c>
      <c r="C1802" s="1038">
        <v>88</v>
      </c>
      <c r="D1802" s="803">
        <f>Page4!L53</f>
        <v>0</v>
      </c>
      <c r="E1802" s="803">
        <f>Page4!N53</f>
        <v>0</v>
      </c>
      <c r="F1802" t="str">
        <f t="shared" si="81"/>
        <v>07-00-88-EXPNS-CURR</v>
      </c>
      <c r="G1802" t="s">
        <v>127</v>
      </c>
      <c r="H1802" t="s">
        <v>10287</v>
      </c>
      <c r="I1802" t="s">
        <v>10253</v>
      </c>
      <c r="K1802" s="1073" t="s">
        <v>11018</v>
      </c>
      <c r="L1802" s="789" t="s">
        <v>10241</v>
      </c>
      <c r="M1802" s="790" t="s">
        <v>11477</v>
      </c>
      <c r="O1802" s="790" t="s">
        <v>11153</v>
      </c>
      <c r="P1802" s="790" t="s">
        <v>10244</v>
      </c>
      <c r="R1802" s="30"/>
    </row>
    <row r="1803" spans="2:18">
      <c r="B1803" s="5" t="s">
        <v>12063</v>
      </c>
      <c r="C1803" s="1038">
        <v>89</v>
      </c>
      <c r="D1803" s="803">
        <f>Page4!L54</f>
        <v>0</v>
      </c>
      <c r="E1803" s="803">
        <f>Page4!N54</f>
        <v>0</v>
      </c>
      <c r="F1803" t="str">
        <f t="shared" si="81"/>
        <v>07-00-89-EXPNS-CURR</v>
      </c>
      <c r="G1803" t="s">
        <v>127</v>
      </c>
      <c r="H1803" t="s">
        <v>10287</v>
      </c>
      <c r="I1803" t="s">
        <v>10253</v>
      </c>
      <c r="K1803" s="1073" t="s">
        <v>11018</v>
      </c>
      <c r="L1803" s="789" t="s">
        <v>10241</v>
      </c>
      <c r="M1803" s="790" t="s">
        <v>11479</v>
      </c>
      <c r="O1803" s="790" t="s">
        <v>11153</v>
      </c>
      <c r="P1803" s="790" t="s">
        <v>10244</v>
      </c>
      <c r="R1803" s="30"/>
    </row>
    <row r="1804" spans="2:18">
      <c r="B1804" s="5" t="s">
        <v>12064</v>
      </c>
      <c r="C1804" s="1038">
        <v>90</v>
      </c>
      <c r="D1804" s="803">
        <f>Page4!L55</f>
        <v>0</v>
      </c>
      <c r="E1804" s="803">
        <f>Page4!N55</f>
        <v>147</v>
      </c>
      <c r="F1804" t="str">
        <f t="shared" si="81"/>
        <v>07-00-90-EXPNS-CURR</v>
      </c>
      <c r="G1804" t="s">
        <v>127</v>
      </c>
      <c r="H1804" t="s">
        <v>10287</v>
      </c>
      <c r="I1804" t="s">
        <v>10253</v>
      </c>
      <c r="K1804" s="1073" t="s">
        <v>11018</v>
      </c>
      <c r="L1804" s="789" t="s">
        <v>10241</v>
      </c>
      <c r="M1804" s="790" t="s">
        <v>11481</v>
      </c>
      <c r="O1804" s="790" t="s">
        <v>11153</v>
      </c>
      <c r="P1804" s="790" t="s">
        <v>10244</v>
      </c>
      <c r="R1804" s="30"/>
    </row>
    <row r="1805" spans="2:18">
      <c r="B1805" s="5" t="s">
        <v>12065</v>
      </c>
      <c r="C1805" s="1038">
        <v>91</v>
      </c>
      <c r="D1805" s="803">
        <f>Page4!L56</f>
        <v>1351</v>
      </c>
      <c r="E1805" s="803">
        <f>Page4!N56</f>
        <v>5404</v>
      </c>
      <c r="F1805" t="str">
        <f t="shared" si="81"/>
        <v>07-00-91-EXPNS-CURR</v>
      </c>
      <c r="G1805" t="s">
        <v>127</v>
      </c>
      <c r="H1805" t="s">
        <v>10287</v>
      </c>
      <c r="I1805" t="s">
        <v>10253</v>
      </c>
      <c r="K1805" s="1073" t="s">
        <v>11018</v>
      </c>
      <c r="L1805" s="789" t="s">
        <v>10241</v>
      </c>
      <c r="M1805" s="790" t="s">
        <v>11483</v>
      </c>
      <c r="O1805" s="790" t="s">
        <v>11153</v>
      </c>
      <c r="P1805" s="790" t="s">
        <v>10244</v>
      </c>
      <c r="R1805" s="30"/>
    </row>
    <row r="1806" spans="2:18">
      <c r="B1806" s="5" t="s">
        <v>12066</v>
      </c>
      <c r="C1806" s="1055">
        <v>92</v>
      </c>
      <c r="D1806" s="803">
        <f>Page4!L57</f>
        <v>0</v>
      </c>
      <c r="E1806" s="803">
        <f>Page4!N57</f>
        <v>0</v>
      </c>
      <c r="F1806" t="str">
        <f t="shared" si="81"/>
        <v>07-00-92-EXPNS-CURR</v>
      </c>
      <c r="G1806" t="s">
        <v>127</v>
      </c>
      <c r="H1806" t="s">
        <v>10287</v>
      </c>
      <c r="I1806" t="s">
        <v>10253</v>
      </c>
      <c r="K1806" s="1073" t="s">
        <v>11018</v>
      </c>
      <c r="L1806" s="789" t="s">
        <v>10241</v>
      </c>
      <c r="M1806" s="790" t="s">
        <v>11485</v>
      </c>
      <c r="O1806" s="790" t="s">
        <v>11153</v>
      </c>
      <c r="P1806" s="790" t="s">
        <v>10244</v>
      </c>
      <c r="R1806" s="30"/>
    </row>
    <row r="1807" spans="2:18">
      <c r="B1807" s="40" t="s">
        <v>12067</v>
      </c>
      <c r="C1807" s="1042"/>
      <c r="D1807" s="803">
        <f>Page4!L58</f>
        <v>8388</v>
      </c>
      <c r="E1807" s="803">
        <f>Page4!N58</f>
        <v>35066</v>
      </c>
      <c r="F1807" t="str">
        <f t="shared" si="81"/>
        <v>07-00-FIXEDEXP-EXPNS-CURR</v>
      </c>
      <c r="G1807" t="s">
        <v>127</v>
      </c>
      <c r="H1807" t="s">
        <v>10287</v>
      </c>
      <c r="I1807" t="s">
        <v>10253</v>
      </c>
      <c r="J1807" t="s">
        <v>10268</v>
      </c>
      <c r="K1807" s="1073" t="s">
        <v>11018</v>
      </c>
      <c r="L1807" s="789" t="s">
        <v>10241</v>
      </c>
      <c r="M1807" s="790" t="s">
        <v>11487</v>
      </c>
      <c r="O1807" s="790" t="s">
        <v>11153</v>
      </c>
      <c r="P1807" s="790" t="s">
        <v>10244</v>
      </c>
      <c r="Q1807" s="791" t="s">
        <v>773</v>
      </c>
    </row>
    <row r="1808" spans="2:18">
      <c r="B1808" s="40" t="s">
        <v>12068</v>
      </c>
      <c r="C1808" s="1042"/>
      <c r="D1808" s="803">
        <f>Page4!L59</f>
        <v>35016</v>
      </c>
      <c r="E1808" s="803">
        <f>Page4!N59</f>
        <v>141989</v>
      </c>
      <c r="F1808" t="str">
        <f t="shared" si="81"/>
        <v>07-00-FIXOVERH-EXPNS-CURR</v>
      </c>
      <c r="G1808" t="s">
        <v>127</v>
      </c>
      <c r="H1808" t="s">
        <v>10287</v>
      </c>
      <c r="I1808" t="s">
        <v>10253</v>
      </c>
      <c r="J1808" t="s">
        <v>10268</v>
      </c>
      <c r="K1808" s="1073" t="s">
        <v>11018</v>
      </c>
      <c r="L1808" s="789" t="s">
        <v>10241</v>
      </c>
      <c r="M1808" s="790" t="s">
        <v>11489</v>
      </c>
      <c r="O1808" s="790" t="s">
        <v>11153</v>
      </c>
      <c r="P1808" s="790" t="s">
        <v>10244</v>
      </c>
      <c r="Q1808" s="791" t="s">
        <v>773</v>
      </c>
    </row>
    <row r="1809" spans="2:18">
      <c r="B1809" s="40" t="s">
        <v>12069</v>
      </c>
      <c r="C1809" s="1042"/>
      <c r="D1809" s="803">
        <f>Page4!L60</f>
        <v>35016</v>
      </c>
      <c r="E1809" s="803">
        <f>Page4!N60</f>
        <v>141989</v>
      </c>
      <c r="F1809" t="str">
        <f t="shared" si="81"/>
        <v>07-00-TOTALEXP-EXPNS-CURR</v>
      </c>
      <c r="G1809" t="s">
        <v>127</v>
      </c>
      <c r="H1809" t="s">
        <v>10287</v>
      </c>
      <c r="I1809" t="s">
        <v>10253</v>
      </c>
      <c r="J1809" t="s">
        <v>10268</v>
      </c>
      <c r="K1809" s="1073" t="s">
        <v>11018</v>
      </c>
      <c r="L1809" s="789" t="s">
        <v>10241</v>
      </c>
      <c r="M1809" s="790" t="s">
        <v>11491</v>
      </c>
      <c r="O1809" s="790" t="s">
        <v>11153</v>
      </c>
      <c r="P1809" s="790" t="s">
        <v>10244</v>
      </c>
      <c r="Q1809" s="791" t="s">
        <v>773</v>
      </c>
    </row>
    <row r="1810" spans="2:18">
      <c r="B1810" s="40" t="s">
        <v>12070</v>
      </c>
      <c r="C1810" s="1042"/>
      <c r="D1810" s="803">
        <f>Page4!L61</f>
        <v>14640</v>
      </c>
      <c r="E1810" s="803">
        <f>Page4!N61</f>
        <v>65684</v>
      </c>
      <c r="F1810" t="str">
        <f t="shared" si="81"/>
        <v>07-00-P&amp;LDEPT-AMT-CURR</v>
      </c>
      <c r="G1810" t="s">
        <v>127</v>
      </c>
      <c r="H1810" t="s">
        <v>10287</v>
      </c>
      <c r="I1810" t="s">
        <v>10253</v>
      </c>
      <c r="J1810" t="s">
        <v>10268</v>
      </c>
      <c r="K1810" s="1073" t="s">
        <v>11018</v>
      </c>
      <c r="L1810" s="789" t="s">
        <v>10241</v>
      </c>
      <c r="M1810" s="790" t="s">
        <v>11774</v>
      </c>
      <c r="O1810" s="790" t="s">
        <v>10263</v>
      </c>
      <c r="P1810" s="790" t="s">
        <v>10244</v>
      </c>
      <c r="Q1810" s="791" t="s">
        <v>773</v>
      </c>
    </row>
    <row r="1811" spans="2:18">
      <c r="B1811" s="40" t="s">
        <v>12071</v>
      </c>
      <c r="C1811" s="1042"/>
      <c r="D1811" s="803">
        <f>Page4!L62</f>
        <v>-7312</v>
      </c>
      <c r="E1811" s="803">
        <f>Page4!N62</f>
        <v>-25957</v>
      </c>
      <c r="F1811" t="str">
        <f t="shared" si="81"/>
        <v>07-00-P&amp;A INCM-TRANSFER-CURR</v>
      </c>
      <c r="G1811" t="s">
        <v>127</v>
      </c>
      <c r="H1811" t="s">
        <v>10287</v>
      </c>
      <c r="I1811" t="s">
        <v>10253</v>
      </c>
      <c r="J1811" t="s">
        <v>10268</v>
      </c>
      <c r="K1811" s="1073" t="s">
        <v>11018</v>
      </c>
      <c r="L1811" s="789" t="s">
        <v>10241</v>
      </c>
      <c r="M1811" s="790" t="s">
        <v>11964</v>
      </c>
      <c r="O1811" s="790" t="s">
        <v>11777</v>
      </c>
      <c r="P1811" s="790" t="s">
        <v>10244</v>
      </c>
      <c r="Q1811" s="791" t="s">
        <v>773</v>
      </c>
    </row>
    <row r="1812" spans="2:18">
      <c r="B1812" s="40" t="s">
        <v>12072</v>
      </c>
      <c r="C1812" s="1059"/>
      <c r="D1812" s="803">
        <f>Page4!L63</f>
        <v>0</v>
      </c>
      <c r="E1812" s="803">
        <f>Page4!N63</f>
        <v>0</v>
      </c>
      <c r="F1812" t="str">
        <f t="shared" si="81"/>
        <v>07-00-G&amp;APRO-AMT-CURR</v>
      </c>
      <c r="G1812" t="s">
        <v>127</v>
      </c>
      <c r="H1812" t="s">
        <v>10287</v>
      </c>
      <c r="I1812" t="s">
        <v>10253</v>
      </c>
      <c r="K1812" s="1073" t="s">
        <v>11018</v>
      </c>
      <c r="L1812" s="789" t="s">
        <v>10241</v>
      </c>
      <c r="M1812" s="790" t="s">
        <v>11779</v>
      </c>
      <c r="O1812" s="790" t="s">
        <v>10263</v>
      </c>
      <c r="P1812" s="790" t="s">
        <v>10244</v>
      </c>
    </row>
    <row r="1813" spans="2:18">
      <c r="B1813" s="40" t="s">
        <v>12073</v>
      </c>
      <c r="C1813" s="1042"/>
      <c r="D1813" s="803">
        <f>Page4!L64</f>
        <v>7328</v>
      </c>
      <c r="E1813" s="803">
        <f>Page4!N64</f>
        <v>39727</v>
      </c>
      <c r="F1813" t="str">
        <f t="shared" si="81"/>
        <v>07-00-P&amp;LDEPT-AFTERPRO-CURR</v>
      </c>
      <c r="G1813" t="s">
        <v>127</v>
      </c>
      <c r="H1813" t="s">
        <v>10287</v>
      </c>
      <c r="I1813" t="s">
        <v>10253</v>
      </c>
      <c r="J1813" t="s">
        <v>10268</v>
      </c>
      <c r="K1813" s="1073" t="s">
        <v>11018</v>
      </c>
      <c r="L1813" s="789" t="s">
        <v>10241</v>
      </c>
      <c r="M1813" s="790" t="s">
        <v>11774</v>
      </c>
      <c r="O1813" s="790" t="s">
        <v>11781</v>
      </c>
      <c r="P1813" s="790" t="s">
        <v>10244</v>
      </c>
      <c r="Q1813" s="791" t="s">
        <v>773</v>
      </c>
    </row>
    <row r="1814" spans="2:18">
      <c r="B1814" s="5" t="s">
        <v>12074</v>
      </c>
      <c r="C1814" s="1038">
        <v>20</v>
      </c>
      <c r="D1814" s="803">
        <f>Page4!P11</f>
        <v>0</v>
      </c>
      <c r="E1814" s="803">
        <f>Page4!R11</f>
        <v>0</v>
      </c>
      <c r="F1814" t="str">
        <f t="shared" si="81"/>
        <v>09-00-20-EXPNS-CURR</v>
      </c>
      <c r="G1814" t="s">
        <v>127</v>
      </c>
      <c r="H1814" t="s">
        <v>10287</v>
      </c>
      <c r="I1814" t="s">
        <v>10253</v>
      </c>
      <c r="K1814" s="1073" t="s">
        <v>11028</v>
      </c>
      <c r="L1814" s="789" t="s">
        <v>10241</v>
      </c>
      <c r="M1814" s="790" t="s">
        <v>11400</v>
      </c>
      <c r="O1814" s="790" t="s">
        <v>11153</v>
      </c>
      <c r="P1814" s="790" t="s">
        <v>10244</v>
      </c>
      <c r="R1814" s="30"/>
    </row>
    <row r="1815" spans="2:18">
      <c r="B1815" s="5" t="s">
        <v>12075</v>
      </c>
      <c r="C1815" s="1038">
        <v>21</v>
      </c>
      <c r="D1815" s="803">
        <f>Page4!P12</f>
        <v>0</v>
      </c>
      <c r="E1815" s="803">
        <f>Page4!R12</f>
        <v>0</v>
      </c>
      <c r="F1815" t="str">
        <f t="shared" si="81"/>
        <v>09-00-21-EXPNS-CURR</v>
      </c>
      <c r="G1815" t="s">
        <v>127</v>
      </c>
      <c r="H1815" t="s">
        <v>10287</v>
      </c>
      <c r="I1815" t="s">
        <v>10253</v>
      </c>
      <c r="K1815" s="1073" t="s">
        <v>11028</v>
      </c>
      <c r="L1815" s="789" t="s">
        <v>10241</v>
      </c>
      <c r="M1815" s="790">
        <v>21</v>
      </c>
      <c r="O1815" s="790" t="s">
        <v>11153</v>
      </c>
      <c r="P1815" s="790" t="s">
        <v>10244</v>
      </c>
      <c r="R1815" s="30"/>
    </row>
    <row r="1816" spans="2:18">
      <c r="B1816" s="40" t="s">
        <v>12076</v>
      </c>
      <c r="C1816" s="1038">
        <v>22</v>
      </c>
      <c r="D1816" s="803">
        <f>Page4!P13</f>
        <v>0</v>
      </c>
      <c r="E1816" s="803">
        <f>Page4!R13</f>
        <v>0</v>
      </c>
      <c r="F1816" t="str">
        <f t="shared" si="81"/>
        <v>09-00-22-EXPNS-CURR</v>
      </c>
      <c r="G1816" t="s">
        <v>127</v>
      </c>
      <c r="H1816" t="s">
        <v>10287</v>
      </c>
      <c r="I1816" t="s">
        <v>10253</v>
      </c>
      <c r="K1816" s="1073" t="s">
        <v>11028</v>
      </c>
      <c r="L1816" s="789" t="s">
        <v>10241</v>
      </c>
      <c r="M1816" s="790">
        <v>22</v>
      </c>
      <c r="O1816" s="790" t="s">
        <v>11153</v>
      </c>
      <c r="P1816" s="790" t="s">
        <v>10244</v>
      </c>
      <c r="R1816" s="30"/>
    </row>
    <row r="1817" spans="2:18">
      <c r="B1817" s="5" t="s">
        <v>12077</v>
      </c>
      <c r="C1817" s="1038">
        <v>23</v>
      </c>
      <c r="D1817" s="803">
        <f>Page4!P14</f>
        <v>0</v>
      </c>
      <c r="E1817" s="803">
        <f>Page4!R14</f>
        <v>0</v>
      </c>
      <c r="F1817" t="str">
        <f t="shared" si="81"/>
        <v>09-00-23-EXPNS-CURR</v>
      </c>
      <c r="G1817" t="s">
        <v>127</v>
      </c>
      <c r="H1817" t="s">
        <v>10287</v>
      </c>
      <c r="I1817" t="s">
        <v>10253</v>
      </c>
      <c r="K1817" s="1073" t="s">
        <v>11028</v>
      </c>
      <c r="L1817" s="789" t="s">
        <v>10241</v>
      </c>
      <c r="M1817" s="790">
        <v>23</v>
      </c>
      <c r="O1817" s="790" t="s">
        <v>11153</v>
      </c>
      <c r="P1817" s="790" t="s">
        <v>10244</v>
      </c>
      <c r="R1817" s="30"/>
    </row>
    <row r="1818" spans="2:18">
      <c r="B1818" s="5" t="s">
        <v>12078</v>
      </c>
      <c r="C1818" s="1038">
        <v>24</v>
      </c>
      <c r="D1818" s="803">
        <f>Page4!P15</f>
        <v>0</v>
      </c>
      <c r="E1818" s="803">
        <f>Page4!R15</f>
        <v>0</v>
      </c>
      <c r="F1818" t="str">
        <f t="shared" si="81"/>
        <v>09-00-24-EXPNS-CURR</v>
      </c>
      <c r="G1818" t="s">
        <v>127</v>
      </c>
      <c r="H1818" t="s">
        <v>10287</v>
      </c>
      <c r="I1818" t="s">
        <v>10253</v>
      </c>
      <c r="K1818" s="1073" t="s">
        <v>11028</v>
      </c>
      <c r="L1818" s="789" t="s">
        <v>10241</v>
      </c>
      <c r="M1818" s="790">
        <v>24</v>
      </c>
      <c r="O1818" s="790" t="s">
        <v>11153</v>
      </c>
      <c r="P1818" s="790" t="s">
        <v>10244</v>
      </c>
      <c r="R1818" s="30"/>
    </row>
    <row r="1819" spans="2:18">
      <c r="B1819" s="5" t="s">
        <v>12079</v>
      </c>
      <c r="C1819" s="1038">
        <v>26</v>
      </c>
      <c r="D1819" s="803">
        <f>Page4!P16</f>
        <v>0</v>
      </c>
      <c r="E1819" s="803">
        <f>Page4!R16</f>
        <v>0</v>
      </c>
      <c r="F1819" t="str">
        <f t="shared" si="81"/>
        <v>09-00-26-EXPNS-CURR</v>
      </c>
      <c r="G1819" t="s">
        <v>127</v>
      </c>
      <c r="H1819" t="s">
        <v>10287</v>
      </c>
      <c r="I1819" t="s">
        <v>10253</v>
      </c>
      <c r="K1819" s="1073" t="s">
        <v>11028</v>
      </c>
      <c r="L1819" s="789" t="s">
        <v>10241</v>
      </c>
      <c r="M1819" s="799">
        <v>26</v>
      </c>
      <c r="O1819" s="799" t="s">
        <v>11153</v>
      </c>
      <c r="P1819" s="799" t="s">
        <v>10244</v>
      </c>
      <c r="R1819" s="30"/>
    </row>
    <row r="1820" spans="2:18">
      <c r="B1820" s="5" t="s">
        <v>12080</v>
      </c>
      <c r="C1820" s="1038">
        <v>25</v>
      </c>
      <c r="D1820" s="803">
        <f>Page4!P17</f>
        <v>0</v>
      </c>
      <c r="E1820" s="803">
        <f>Page4!R17</f>
        <v>0</v>
      </c>
      <c r="F1820" t="str">
        <f t="shared" si="81"/>
        <v>09-00-25-EXPNS-CURR</v>
      </c>
      <c r="G1820" t="s">
        <v>127</v>
      </c>
      <c r="H1820" t="s">
        <v>10287</v>
      </c>
      <c r="I1820" t="s">
        <v>10253</v>
      </c>
      <c r="K1820" s="1073" t="s">
        <v>11028</v>
      </c>
      <c r="L1820" s="789" t="s">
        <v>10241</v>
      </c>
      <c r="M1820" s="790">
        <v>25</v>
      </c>
      <c r="O1820" s="790" t="s">
        <v>11153</v>
      </c>
      <c r="P1820" s="790" t="s">
        <v>10244</v>
      </c>
      <c r="R1820" s="30"/>
    </row>
    <row r="1821" spans="2:18">
      <c r="B1821" s="5" t="s">
        <v>12081</v>
      </c>
      <c r="C1821" s="1038">
        <v>27</v>
      </c>
      <c r="D1821" s="803">
        <f>Page4!P18</f>
        <v>0</v>
      </c>
      <c r="E1821" s="803">
        <f>Page4!R18</f>
        <v>0</v>
      </c>
      <c r="F1821" t="str">
        <f t="shared" si="81"/>
        <v>09-00-27-EXPNS-CURR</v>
      </c>
      <c r="G1821" t="s">
        <v>127</v>
      </c>
      <c r="H1821" t="s">
        <v>10287</v>
      </c>
      <c r="I1821" t="s">
        <v>10253</v>
      </c>
      <c r="K1821" s="1073" t="s">
        <v>11028</v>
      </c>
      <c r="L1821" s="789" t="s">
        <v>10241</v>
      </c>
      <c r="M1821" s="790">
        <v>27</v>
      </c>
      <c r="O1821" s="790" t="s">
        <v>11153</v>
      </c>
      <c r="P1821" s="790" t="s">
        <v>10244</v>
      </c>
      <c r="R1821" s="30"/>
    </row>
    <row r="1822" spans="2:18">
      <c r="B1822" s="5" t="s">
        <v>12082</v>
      </c>
      <c r="C1822" s="1038">
        <v>29</v>
      </c>
      <c r="D1822" s="803">
        <f>Page4!P19</f>
        <v>0</v>
      </c>
      <c r="E1822" s="803">
        <f>Page4!R19</f>
        <v>0</v>
      </c>
      <c r="F1822" t="str">
        <f t="shared" si="81"/>
        <v>09-00-29-EXPNS-CURR</v>
      </c>
      <c r="G1822" t="s">
        <v>127</v>
      </c>
      <c r="H1822" t="s">
        <v>10287</v>
      </c>
      <c r="I1822" t="s">
        <v>10253</v>
      </c>
      <c r="K1822" s="1073" t="s">
        <v>11028</v>
      </c>
      <c r="L1822" s="789" t="s">
        <v>10241</v>
      </c>
      <c r="M1822" s="790">
        <v>29</v>
      </c>
      <c r="O1822" s="790" t="s">
        <v>11153</v>
      </c>
      <c r="P1822" s="790" t="s">
        <v>10244</v>
      </c>
      <c r="R1822" s="30"/>
    </row>
    <row r="1823" spans="2:18" ht="13">
      <c r="B1823" s="27" t="s">
        <v>12083</v>
      </c>
      <c r="C1823" s="1042"/>
      <c r="D1823" s="803">
        <f>Page4!P20</f>
        <v>0</v>
      </c>
      <c r="E1823" s="803">
        <f>Page4!R20</f>
        <v>0</v>
      </c>
      <c r="F1823" t="str">
        <f t="shared" si="81"/>
        <v>09-00-PERSONNL-EXPNS-CURR</v>
      </c>
      <c r="G1823" t="s">
        <v>127</v>
      </c>
      <c r="H1823" t="s">
        <v>10287</v>
      </c>
      <c r="I1823" t="s">
        <v>10253</v>
      </c>
      <c r="J1823" t="s">
        <v>10268</v>
      </c>
      <c r="K1823" s="1073" t="s">
        <v>11028</v>
      </c>
      <c r="L1823" s="789" t="s">
        <v>10241</v>
      </c>
      <c r="M1823" s="807" t="s">
        <v>10956</v>
      </c>
      <c r="O1823" s="790" t="s">
        <v>11153</v>
      </c>
      <c r="P1823" s="790" t="s">
        <v>10244</v>
      </c>
      <c r="Q1823" s="791" t="s">
        <v>773</v>
      </c>
    </row>
    <row r="1824" spans="2:18">
      <c r="B1824" s="5" t="s">
        <v>12084</v>
      </c>
      <c r="C1824" s="1038">
        <v>51</v>
      </c>
      <c r="D1824" s="803">
        <f>Page4!P21</f>
        <v>0</v>
      </c>
      <c r="E1824" s="803">
        <f>Page4!R21</f>
        <v>0</v>
      </c>
      <c r="F1824" t="str">
        <f t="shared" si="81"/>
        <v>09-00-51-EXPNS-CURR</v>
      </c>
      <c r="G1824" t="s">
        <v>127</v>
      </c>
      <c r="H1824" t="s">
        <v>10287</v>
      </c>
      <c r="I1824" t="s">
        <v>10253</v>
      </c>
      <c r="K1824" s="1073" t="s">
        <v>11028</v>
      </c>
      <c r="L1824" s="789" t="s">
        <v>10241</v>
      </c>
      <c r="M1824" s="790">
        <v>51</v>
      </c>
      <c r="O1824" s="790" t="s">
        <v>11153</v>
      </c>
      <c r="P1824" s="790" t="s">
        <v>10244</v>
      </c>
      <c r="R1824" s="30"/>
    </row>
    <row r="1825" spans="2:18">
      <c r="B1825" s="5" t="s">
        <v>12085</v>
      </c>
      <c r="C1825" s="1038">
        <v>60</v>
      </c>
      <c r="D1825" s="803">
        <f>Page4!P22</f>
        <v>0</v>
      </c>
      <c r="E1825" s="803">
        <f>Page4!R22</f>
        <v>0</v>
      </c>
      <c r="F1825" t="str">
        <f t="shared" si="81"/>
        <v>09-00-60-EXPNS-CURR</v>
      </c>
      <c r="G1825" t="s">
        <v>127</v>
      </c>
      <c r="H1825" t="s">
        <v>10287</v>
      </c>
      <c r="I1825" t="s">
        <v>10253</v>
      </c>
      <c r="K1825" s="1073" t="s">
        <v>11028</v>
      </c>
      <c r="L1825" s="789" t="s">
        <v>10241</v>
      </c>
      <c r="M1825" s="790">
        <v>60</v>
      </c>
      <c r="O1825" s="790" t="s">
        <v>11153</v>
      </c>
      <c r="P1825" s="790" t="s">
        <v>10244</v>
      </c>
      <c r="R1825" s="30"/>
    </row>
    <row r="1826" spans="2:18">
      <c r="B1826" s="5" t="s">
        <v>12086</v>
      </c>
      <c r="C1826" s="1038">
        <v>61</v>
      </c>
      <c r="D1826" s="803">
        <f>Page4!P23</f>
        <v>0</v>
      </c>
      <c r="E1826" s="803">
        <f>Page4!R23</f>
        <v>0</v>
      </c>
      <c r="F1826" t="str">
        <f t="shared" si="81"/>
        <v>09-00-61-EXPNS-CURR</v>
      </c>
      <c r="G1826" t="s">
        <v>127</v>
      </c>
      <c r="H1826" t="s">
        <v>10287</v>
      </c>
      <c r="I1826" t="s">
        <v>10253</v>
      </c>
      <c r="K1826" s="1073" t="s">
        <v>11028</v>
      </c>
      <c r="L1826" s="789" t="s">
        <v>10241</v>
      </c>
      <c r="M1826" s="790">
        <v>61</v>
      </c>
      <c r="O1826" s="790" t="s">
        <v>11153</v>
      </c>
      <c r="P1826" s="790" t="s">
        <v>10244</v>
      </c>
      <c r="R1826" s="30"/>
    </row>
    <row r="1827" spans="2:18">
      <c r="B1827" s="5" t="s">
        <v>12087</v>
      </c>
      <c r="C1827" s="1038">
        <v>63</v>
      </c>
      <c r="D1827" s="803">
        <f>Page4!P24</f>
        <v>0</v>
      </c>
      <c r="E1827" s="803">
        <f>Page4!R24</f>
        <v>0</v>
      </c>
      <c r="F1827" t="str">
        <f t="shared" si="81"/>
        <v>09-00-63-EXPNS-CURR</v>
      </c>
      <c r="G1827" t="s">
        <v>127</v>
      </c>
      <c r="H1827" t="s">
        <v>10287</v>
      </c>
      <c r="I1827" t="s">
        <v>10253</v>
      </c>
      <c r="K1827" s="1073" t="s">
        <v>11028</v>
      </c>
      <c r="L1827" s="789" t="s">
        <v>10241</v>
      </c>
      <c r="M1827" s="790">
        <v>63</v>
      </c>
      <c r="O1827" s="790" t="s">
        <v>11153</v>
      </c>
      <c r="P1827" s="790" t="s">
        <v>10244</v>
      </c>
      <c r="R1827" s="30"/>
    </row>
    <row r="1828" spans="2:18">
      <c r="B1828" s="5" t="s">
        <v>12088</v>
      </c>
      <c r="C1828" s="1038">
        <v>65</v>
      </c>
      <c r="D1828" s="803">
        <f>Page4!P25</f>
        <v>0</v>
      </c>
      <c r="E1828" s="803">
        <f>Page4!R25</f>
        <v>0</v>
      </c>
      <c r="F1828" t="str">
        <f t="shared" si="81"/>
        <v>09-00-65-EXPNS-CURR</v>
      </c>
      <c r="G1828" t="s">
        <v>127</v>
      </c>
      <c r="H1828" t="s">
        <v>10287</v>
      </c>
      <c r="I1828" t="s">
        <v>10253</v>
      </c>
      <c r="K1828" s="1073" t="s">
        <v>11028</v>
      </c>
      <c r="L1828" s="789" t="s">
        <v>10241</v>
      </c>
      <c r="M1828" s="790">
        <v>65</v>
      </c>
      <c r="O1828" s="790" t="s">
        <v>11153</v>
      </c>
      <c r="P1828" s="790" t="s">
        <v>10244</v>
      </c>
      <c r="R1828" s="30"/>
    </row>
    <row r="1829" spans="2:18">
      <c r="B1829" s="5" t="s">
        <v>12089</v>
      </c>
      <c r="C1829" s="1038">
        <v>64</v>
      </c>
      <c r="D1829" s="803">
        <f>Page4!P26</f>
        <v>0</v>
      </c>
      <c r="E1829" s="803">
        <f>Page4!R26</f>
        <v>0</v>
      </c>
      <c r="F1829" t="str">
        <f t="shared" si="81"/>
        <v>09-00-64-EXPNS-CURR</v>
      </c>
      <c r="G1829" t="s">
        <v>127</v>
      </c>
      <c r="H1829" t="s">
        <v>10287</v>
      </c>
      <c r="I1829" t="s">
        <v>10253</v>
      </c>
      <c r="K1829" s="1073" t="s">
        <v>11028</v>
      </c>
      <c r="L1829" s="789" t="s">
        <v>10241</v>
      </c>
      <c r="M1829" s="790">
        <v>64</v>
      </c>
      <c r="O1829" s="790" t="s">
        <v>11153</v>
      </c>
      <c r="P1829" s="790" t="s">
        <v>10244</v>
      </c>
      <c r="R1829" s="30"/>
    </row>
    <row r="1830" spans="2:18">
      <c r="B1830" s="5" t="s">
        <v>12090</v>
      </c>
      <c r="C1830" s="1038">
        <v>66</v>
      </c>
      <c r="D1830" s="803">
        <f>Page4!P27</f>
        <v>0</v>
      </c>
      <c r="E1830" s="803">
        <f>Page4!R27</f>
        <v>0</v>
      </c>
      <c r="F1830" t="str">
        <f t="shared" si="81"/>
        <v>09-00-66-EXPNS-CURR</v>
      </c>
      <c r="G1830" t="s">
        <v>127</v>
      </c>
      <c r="H1830" t="s">
        <v>10287</v>
      </c>
      <c r="I1830" t="s">
        <v>10253</v>
      </c>
      <c r="K1830" s="1073" t="s">
        <v>11028</v>
      </c>
      <c r="L1830" s="789" t="s">
        <v>10241</v>
      </c>
      <c r="M1830" s="790">
        <v>66</v>
      </c>
      <c r="O1830" s="790" t="s">
        <v>11153</v>
      </c>
      <c r="P1830" s="790" t="s">
        <v>10244</v>
      </c>
      <c r="R1830" s="30"/>
    </row>
    <row r="1831" spans="2:18">
      <c r="B1831" s="5" t="s">
        <v>12091</v>
      </c>
      <c r="C1831" s="1038">
        <v>68</v>
      </c>
      <c r="D1831" s="803">
        <f>Page4!P29</f>
        <v>0</v>
      </c>
      <c r="E1831" s="803">
        <f>Page4!R29</f>
        <v>0</v>
      </c>
      <c r="F1831" t="str">
        <f t="shared" si="81"/>
        <v>09-00-68-EXPNS-CURR</v>
      </c>
      <c r="G1831" t="s">
        <v>127</v>
      </c>
      <c r="H1831" t="s">
        <v>10287</v>
      </c>
      <c r="I1831" t="s">
        <v>10253</v>
      </c>
      <c r="K1831" s="1073" t="s">
        <v>11028</v>
      </c>
      <c r="L1831" s="789" t="s">
        <v>10241</v>
      </c>
      <c r="M1831" s="790">
        <v>68</v>
      </c>
      <c r="O1831" s="790" t="s">
        <v>11153</v>
      </c>
      <c r="P1831" s="790" t="s">
        <v>10244</v>
      </c>
      <c r="R1831" s="30"/>
    </row>
    <row r="1832" spans="2:18">
      <c r="B1832" s="5" t="s">
        <v>12092</v>
      </c>
      <c r="C1832" s="1038">
        <v>69</v>
      </c>
      <c r="D1832" s="803">
        <f>Page4!P30</f>
        <v>0</v>
      </c>
      <c r="E1832" s="803">
        <f>Page4!R30</f>
        <v>0</v>
      </c>
      <c r="F1832" t="str">
        <f t="shared" si="81"/>
        <v>09-00-69-EXPNS-CURR</v>
      </c>
      <c r="G1832" t="s">
        <v>127</v>
      </c>
      <c r="H1832" t="s">
        <v>10287</v>
      </c>
      <c r="I1832" t="s">
        <v>10253</v>
      </c>
      <c r="K1832" s="1073" t="s">
        <v>11028</v>
      </c>
      <c r="L1832" s="789" t="s">
        <v>10241</v>
      </c>
      <c r="M1832" s="790">
        <v>69</v>
      </c>
      <c r="O1832" s="790" t="s">
        <v>11153</v>
      </c>
      <c r="P1832" s="790" t="s">
        <v>10244</v>
      </c>
      <c r="R1832" s="30"/>
    </row>
    <row r="1833" spans="2:18">
      <c r="B1833" s="5" t="s">
        <v>12093</v>
      </c>
      <c r="C1833" s="1038">
        <v>70</v>
      </c>
      <c r="D1833" s="803">
        <f>Page4!P31</f>
        <v>0</v>
      </c>
      <c r="E1833" s="803">
        <f>Page4!R31</f>
        <v>0</v>
      </c>
      <c r="F1833" t="str">
        <f t="shared" si="81"/>
        <v>09-00-70-EXPNS-CURR</v>
      </c>
      <c r="G1833" t="s">
        <v>127</v>
      </c>
      <c r="H1833" t="s">
        <v>10287</v>
      </c>
      <c r="I1833" t="s">
        <v>10253</v>
      </c>
      <c r="K1833" s="1073" t="s">
        <v>11028</v>
      </c>
      <c r="L1833" s="789" t="s">
        <v>10241</v>
      </c>
      <c r="M1833" s="790">
        <v>70</v>
      </c>
      <c r="O1833" s="790" t="s">
        <v>11153</v>
      </c>
      <c r="P1833" s="790" t="s">
        <v>10244</v>
      </c>
      <c r="R1833" s="30"/>
    </row>
    <row r="1834" spans="2:18">
      <c r="B1834" s="5" t="s">
        <v>12094</v>
      </c>
      <c r="C1834" s="1038">
        <v>71</v>
      </c>
      <c r="D1834" s="803">
        <f>Page4!P32</f>
        <v>0</v>
      </c>
      <c r="E1834" s="803">
        <f>Page4!R32</f>
        <v>0</v>
      </c>
      <c r="F1834" t="str">
        <f t="shared" si="81"/>
        <v>09-00-71-EXPNS-CURR</v>
      </c>
      <c r="G1834" t="s">
        <v>127</v>
      </c>
      <c r="H1834" t="s">
        <v>10287</v>
      </c>
      <c r="I1834" t="s">
        <v>10253</v>
      </c>
      <c r="K1834" s="1073" t="s">
        <v>11028</v>
      </c>
      <c r="L1834" s="789" t="s">
        <v>10241</v>
      </c>
      <c r="M1834" s="790">
        <v>71</v>
      </c>
      <c r="O1834" s="790" t="s">
        <v>11153</v>
      </c>
      <c r="P1834" s="790" t="s">
        <v>10244</v>
      </c>
      <c r="R1834" s="30"/>
    </row>
    <row r="1835" spans="2:18">
      <c r="B1835" s="5" t="s">
        <v>12095</v>
      </c>
      <c r="C1835" s="1038">
        <v>72</v>
      </c>
      <c r="D1835" s="803">
        <f>Page4!P33</f>
        <v>0</v>
      </c>
      <c r="E1835" s="803">
        <f>Page4!R33</f>
        <v>0</v>
      </c>
      <c r="F1835" t="str">
        <f t="shared" si="81"/>
        <v>09-00-72-EXPNS-CURR</v>
      </c>
      <c r="G1835" t="s">
        <v>127</v>
      </c>
      <c r="H1835" t="s">
        <v>10287</v>
      </c>
      <c r="I1835" t="s">
        <v>10253</v>
      </c>
      <c r="K1835" s="1073" t="s">
        <v>11028</v>
      </c>
      <c r="L1835" s="789" t="s">
        <v>10241</v>
      </c>
      <c r="M1835" s="790">
        <v>72</v>
      </c>
      <c r="O1835" s="790" t="s">
        <v>11153</v>
      </c>
      <c r="P1835" s="790" t="s">
        <v>10244</v>
      </c>
      <c r="R1835" s="30"/>
    </row>
    <row r="1836" spans="2:18">
      <c r="B1836" s="40" t="s">
        <v>12096</v>
      </c>
      <c r="C1836" s="1038">
        <v>74</v>
      </c>
      <c r="D1836" s="803">
        <f>Page4!P34</f>
        <v>0</v>
      </c>
      <c r="E1836" s="803">
        <f>Page4!R34</f>
        <v>0</v>
      </c>
      <c r="F1836" t="str">
        <f t="shared" si="81"/>
        <v>09-00-74-EXPNS-CURR</v>
      </c>
      <c r="G1836" t="s">
        <v>127</v>
      </c>
      <c r="H1836" t="s">
        <v>10287</v>
      </c>
      <c r="I1836" t="s">
        <v>10253</v>
      </c>
      <c r="K1836" s="1073" t="s">
        <v>11028</v>
      </c>
      <c r="L1836" s="789" t="s">
        <v>10241</v>
      </c>
      <c r="M1836" s="790">
        <v>74</v>
      </c>
      <c r="O1836" s="790" t="s">
        <v>11153</v>
      </c>
      <c r="P1836" s="790" t="s">
        <v>10244</v>
      </c>
      <c r="R1836" s="30"/>
    </row>
    <row r="1837" spans="2:18">
      <c r="B1837" s="5" t="s">
        <v>12097</v>
      </c>
      <c r="C1837" s="1038">
        <v>75</v>
      </c>
      <c r="D1837" s="803">
        <f>Page4!P35</f>
        <v>0</v>
      </c>
      <c r="E1837" s="803">
        <f>Page4!R35</f>
        <v>0</v>
      </c>
      <c r="F1837" t="str">
        <f t="shared" si="81"/>
        <v>09-00-75-EXPNS-CURR</v>
      </c>
      <c r="G1837" t="s">
        <v>127</v>
      </c>
      <c r="H1837" t="s">
        <v>10287</v>
      </c>
      <c r="I1837" t="s">
        <v>10253</v>
      </c>
      <c r="K1837" s="1073" t="s">
        <v>11028</v>
      </c>
      <c r="L1837" s="789" t="s">
        <v>10241</v>
      </c>
      <c r="M1837" s="790">
        <v>75</v>
      </c>
      <c r="O1837" s="790" t="s">
        <v>11153</v>
      </c>
      <c r="P1837" s="790" t="s">
        <v>10244</v>
      </c>
      <c r="R1837" s="30"/>
    </row>
    <row r="1838" spans="2:18">
      <c r="B1838" s="5" t="s">
        <v>12098</v>
      </c>
      <c r="C1838" s="1038">
        <v>79</v>
      </c>
      <c r="D1838" s="803">
        <f>Page4!P38</f>
        <v>0</v>
      </c>
      <c r="E1838" s="803">
        <f>Page4!R38</f>
        <v>0</v>
      </c>
      <c r="F1838" t="str">
        <f t="shared" si="81"/>
        <v>09-00-79-EXPNS-CURR</v>
      </c>
      <c r="G1838" t="s">
        <v>127</v>
      </c>
      <c r="H1838" t="s">
        <v>10287</v>
      </c>
      <c r="I1838" t="s">
        <v>10253</v>
      </c>
      <c r="K1838" s="1073" t="s">
        <v>11028</v>
      </c>
      <c r="L1838" s="789" t="s">
        <v>10241</v>
      </c>
      <c r="M1838" s="790">
        <v>79</v>
      </c>
      <c r="O1838" s="790" t="s">
        <v>11153</v>
      </c>
      <c r="P1838" s="790" t="s">
        <v>10244</v>
      </c>
      <c r="R1838" s="30"/>
    </row>
    <row r="1839" spans="2:18">
      <c r="B1839" s="5" t="s">
        <v>12099</v>
      </c>
      <c r="C1839" s="1038">
        <v>57</v>
      </c>
      <c r="D1839" s="803">
        <f>Page4!P40</f>
        <v>0</v>
      </c>
      <c r="E1839" s="803">
        <f>Page4!R40</f>
        <v>0</v>
      </c>
      <c r="F1839" t="str">
        <f t="shared" si="81"/>
        <v>09-00-57-EXPNS-CURR</v>
      </c>
      <c r="G1839" t="s">
        <v>127</v>
      </c>
      <c r="H1839" t="s">
        <v>10287</v>
      </c>
      <c r="I1839" t="s">
        <v>10253</v>
      </c>
      <c r="K1839" s="1073" t="s">
        <v>11028</v>
      </c>
      <c r="L1839" s="789" t="s">
        <v>10241</v>
      </c>
      <c r="M1839" s="790">
        <v>57</v>
      </c>
      <c r="O1839" s="790" t="s">
        <v>11153</v>
      </c>
      <c r="P1839" s="790" t="s">
        <v>10244</v>
      </c>
      <c r="R1839" s="30"/>
    </row>
    <row r="1840" spans="2:18">
      <c r="B1840" s="5" t="s">
        <v>12100</v>
      </c>
      <c r="C1840" s="1038">
        <v>33</v>
      </c>
      <c r="D1840" s="803">
        <f>Page4!P41</f>
        <v>0</v>
      </c>
      <c r="E1840" s="803">
        <f>Page4!R41</f>
        <v>0</v>
      </c>
      <c r="F1840" t="str">
        <f t="shared" si="81"/>
        <v>09-00-33-EXPNS-CURR</v>
      </c>
      <c r="G1840" t="s">
        <v>127</v>
      </c>
      <c r="H1840" t="s">
        <v>10287</v>
      </c>
      <c r="I1840" t="s">
        <v>10253</v>
      </c>
      <c r="K1840" s="1073" t="s">
        <v>11028</v>
      </c>
      <c r="L1840" s="789" t="s">
        <v>10241</v>
      </c>
      <c r="M1840" s="790">
        <v>33</v>
      </c>
      <c r="O1840" s="790" t="s">
        <v>11153</v>
      </c>
      <c r="P1840" s="790" t="s">
        <v>10244</v>
      </c>
      <c r="R1840" s="30"/>
    </row>
    <row r="1841" spans="2:18">
      <c r="B1841" s="5" t="s">
        <v>12101</v>
      </c>
      <c r="C1841" s="1038">
        <v>77</v>
      </c>
      <c r="D1841" s="803">
        <f>Page4!P42</f>
        <v>0</v>
      </c>
      <c r="E1841" s="803">
        <f>Page4!R42</f>
        <v>0</v>
      </c>
      <c r="F1841" t="str">
        <f t="shared" si="81"/>
        <v>09-00-77-EXPNS-CURR</v>
      </c>
      <c r="G1841" t="s">
        <v>127</v>
      </c>
      <c r="H1841" t="s">
        <v>10287</v>
      </c>
      <c r="I1841" t="s">
        <v>10253</v>
      </c>
      <c r="K1841" s="1073" t="s">
        <v>11028</v>
      </c>
      <c r="L1841" s="789" t="s">
        <v>10241</v>
      </c>
      <c r="M1841" s="790">
        <v>77</v>
      </c>
      <c r="O1841" s="790" t="s">
        <v>11153</v>
      </c>
      <c r="P1841" s="790" t="s">
        <v>10244</v>
      </c>
      <c r="R1841" s="30"/>
    </row>
    <row r="1842" spans="2:18" ht="13">
      <c r="B1842" s="51" t="s">
        <v>12102</v>
      </c>
      <c r="C1842" s="1042"/>
      <c r="D1842" s="803">
        <f>Page4!P43</f>
        <v>0</v>
      </c>
      <c r="E1842" s="803">
        <f>Page4!R43</f>
        <v>0</v>
      </c>
      <c r="F1842" t="str">
        <f t="shared" si="81"/>
        <v>09-00-SEMIFIXD-EXPNS-CURR</v>
      </c>
      <c r="G1842" t="s">
        <v>127</v>
      </c>
      <c r="H1842" t="s">
        <v>10287</v>
      </c>
      <c r="I1842" t="s">
        <v>10253</v>
      </c>
      <c r="J1842" t="s">
        <v>10268</v>
      </c>
      <c r="K1842" s="1073" t="s">
        <v>11028</v>
      </c>
      <c r="L1842" s="789" t="s">
        <v>10241</v>
      </c>
      <c r="M1842" s="807" t="s">
        <v>11457</v>
      </c>
      <c r="O1842" s="790" t="s">
        <v>11153</v>
      </c>
      <c r="P1842" s="790" t="s">
        <v>10244</v>
      </c>
      <c r="Q1842" s="791" t="s">
        <v>773</v>
      </c>
    </row>
    <row r="1843" spans="2:18">
      <c r="B1843" s="5" t="s">
        <v>12103</v>
      </c>
      <c r="C1843" s="1038">
        <v>80</v>
      </c>
      <c r="D1843" s="803">
        <f>Page4!P44</f>
        <v>0</v>
      </c>
      <c r="E1843" s="803">
        <f>Page4!R44</f>
        <v>0</v>
      </c>
      <c r="F1843" t="str">
        <f t="shared" si="81"/>
        <v>09-00-80-EXPNS-CURR</v>
      </c>
      <c r="G1843" t="s">
        <v>127</v>
      </c>
      <c r="H1843" t="s">
        <v>10287</v>
      </c>
      <c r="I1843" t="s">
        <v>10253</v>
      </c>
      <c r="K1843" s="1073" t="s">
        <v>11028</v>
      </c>
      <c r="L1843" s="789" t="s">
        <v>10241</v>
      </c>
      <c r="M1843" s="790">
        <v>80</v>
      </c>
      <c r="O1843" s="790" t="s">
        <v>11153</v>
      </c>
      <c r="P1843" s="790" t="s">
        <v>10244</v>
      </c>
      <c r="R1843" s="30"/>
    </row>
    <row r="1844" spans="2:18">
      <c r="B1844" s="5" t="s">
        <v>12104</v>
      </c>
      <c r="C1844" s="1038">
        <v>81</v>
      </c>
      <c r="D1844" s="803">
        <f>Page4!P45</f>
        <v>0</v>
      </c>
      <c r="E1844" s="803">
        <f>Page4!R45</f>
        <v>0</v>
      </c>
      <c r="F1844" t="str">
        <f t="shared" si="81"/>
        <v>09-00-81-EXPNS-CURR</v>
      </c>
      <c r="G1844" t="s">
        <v>127</v>
      </c>
      <c r="H1844" t="s">
        <v>10287</v>
      </c>
      <c r="I1844" t="s">
        <v>10253</v>
      </c>
      <c r="K1844" s="1073" t="s">
        <v>11028</v>
      </c>
      <c r="L1844" s="789" t="s">
        <v>10241</v>
      </c>
      <c r="M1844" s="790">
        <v>81</v>
      </c>
      <c r="O1844" s="790" t="s">
        <v>11153</v>
      </c>
      <c r="P1844" s="790" t="s">
        <v>10244</v>
      </c>
      <c r="R1844" s="30"/>
    </row>
    <row r="1845" spans="2:18">
      <c r="B1845" s="5" t="s">
        <v>12105</v>
      </c>
      <c r="C1845" s="1038">
        <v>82</v>
      </c>
      <c r="D1845" s="803">
        <f>Page4!P46</f>
        <v>0</v>
      </c>
      <c r="E1845" s="803">
        <f>Page4!R46</f>
        <v>0</v>
      </c>
      <c r="F1845" t="str">
        <f t="shared" si="81"/>
        <v>09-00-82-EXPNS-CURR</v>
      </c>
      <c r="G1845" t="s">
        <v>127</v>
      </c>
      <c r="H1845" t="s">
        <v>10287</v>
      </c>
      <c r="I1845" t="s">
        <v>10253</v>
      </c>
      <c r="K1845" s="1073" t="s">
        <v>11028</v>
      </c>
      <c r="L1845" s="789" t="s">
        <v>10241</v>
      </c>
      <c r="M1845" s="790">
        <v>82</v>
      </c>
      <c r="O1845" s="790" t="s">
        <v>11153</v>
      </c>
      <c r="P1845" s="790" t="s">
        <v>10244</v>
      </c>
      <c r="R1845" s="30"/>
    </row>
    <row r="1846" spans="2:18">
      <c r="B1846" s="5" t="s">
        <v>12106</v>
      </c>
      <c r="C1846" s="1038">
        <v>83</v>
      </c>
      <c r="D1846" s="803">
        <f>Page4!P47</f>
        <v>0</v>
      </c>
      <c r="E1846" s="803">
        <f>Page4!R47</f>
        <v>0</v>
      </c>
      <c r="F1846" t="str">
        <f t="shared" ref="F1846:F1909" si="82">TEXT(K1846,"00")&amp;"-"&amp;L1846&amp;IF(M1846="","","-"&amp;M1846)&amp;IF(N1846="","","-"&amp;N1846)&amp;IF(OR(O1846="",O1846=0),"","-"&amp;O1846)&amp;IF(P1846="","","-"&amp;P1846)</f>
        <v>09-00-83-EXPNS-CURR</v>
      </c>
      <c r="G1846" t="s">
        <v>127</v>
      </c>
      <c r="H1846" t="s">
        <v>10287</v>
      </c>
      <c r="I1846" t="s">
        <v>10253</v>
      </c>
      <c r="K1846" s="1073" t="s">
        <v>11028</v>
      </c>
      <c r="L1846" s="789" t="s">
        <v>10241</v>
      </c>
      <c r="M1846" s="790">
        <v>83</v>
      </c>
      <c r="O1846" s="790" t="s">
        <v>11153</v>
      </c>
      <c r="P1846" s="790" t="s">
        <v>10244</v>
      </c>
      <c r="R1846" s="30"/>
    </row>
    <row r="1847" spans="2:18">
      <c r="B1847" s="5" t="s">
        <v>12107</v>
      </c>
      <c r="C1847" s="1038">
        <v>84</v>
      </c>
      <c r="D1847" s="803">
        <f>Page4!P48</f>
        <v>0</v>
      </c>
      <c r="E1847" s="803">
        <f>Page4!R48</f>
        <v>0</v>
      </c>
      <c r="F1847" t="str">
        <f t="shared" si="82"/>
        <v>09-00-84-EXPNS-CURR</v>
      </c>
      <c r="G1847" t="s">
        <v>127</v>
      </c>
      <c r="H1847" t="s">
        <v>10287</v>
      </c>
      <c r="I1847" t="s">
        <v>10253</v>
      </c>
      <c r="K1847" s="1073" t="s">
        <v>11028</v>
      </c>
      <c r="L1847" s="789" t="s">
        <v>10241</v>
      </c>
      <c r="M1847" s="790">
        <v>84</v>
      </c>
      <c r="O1847" s="790" t="s">
        <v>11153</v>
      </c>
      <c r="P1847" s="790" t="s">
        <v>10244</v>
      </c>
      <c r="R1847" s="30"/>
    </row>
    <row r="1848" spans="2:18">
      <c r="B1848" s="5" t="s">
        <v>12108</v>
      </c>
      <c r="C1848" s="1038">
        <v>85</v>
      </c>
      <c r="D1848" s="803">
        <f>Page4!P49</f>
        <v>0</v>
      </c>
      <c r="E1848" s="803">
        <f>Page4!R49</f>
        <v>0</v>
      </c>
      <c r="F1848" t="str">
        <f t="shared" si="82"/>
        <v>09-00-85-EXPNS-CURR</v>
      </c>
      <c r="G1848" t="s">
        <v>127</v>
      </c>
      <c r="H1848" t="s">
        <v>10287</v>
      </c>
      <c r="I1848" t="s">
        <v>10253</v>
      </c>
      <c r="K1848" s="1073" t="s">
        <v>11028</v>
      </c>
      <c r="L1848" s="789" t="s">
        <v>10241</v>
      </c>
      <c r="M1848" s="790">
        <v>85</v>
      </c>
      <c r="O1848" s="790" t="s">
        <v>11153</v>
      </c>
      <c r="P1848" s="790" t="s">
        <v>10244</v>
      </c>
      <c r="R1848" s="30"/>
    </row>
    <row r="1849" spans="2:18">
      <c r="B1849" s="5" t="s">
        <v>12109</v>
      </c>
      <c r="C1849" s="1038">
        <v>86</v>
      </c>
      <c r="D1849" s="803">
        <f>Page4!P50</f>
        <v>0</v>
      </c>
      <c r="E1849" s="803">
        <f>Page4!R50</f>
        <v>0</v>
      </c>
      <c r="F1849" t="str">
        <f t="shared" si="82"/>
        <v>09-00-86-EXPNS-CURR</v>
      </c>
      <c r="G1849" t="s">
        <v>127</v>
      </c>
      <c r="H1849" t="s">
        <v>10287</v>
      </c>
      <c r="I1849" t="s">
        <v>10253</v>
      </c>
      <c r="K1849" s="1073" t="s">
        <v>11028</v>
      </c>
      <c r="L1849" s="789" t="s">
        <v>10241</v>
      </c>
      <c r="M1849" s="790">
        <v>86</v>
      </c>
      <c r="O1849" s="790" t="s">
        <v>11153</v>
      </c>
      <c r="P1849" s="790" t="s">
        <v>10244</v>
      </c>
      <c r="R1849" s="30"/>
    </row>
    <row r="1850" spans="2:18">
      <c r="B1850" s="5" t="s">
        <v>12110</v>
      </c>
      <c r="C1850" s="1038">
        <v>87</v>
      </c>
      <c r="D1850" s="803">
        <f>Page4!P51</f>
        <v>0</v>
      </c>
      <c r="E1850" s="803">
        <f>Page4!R51</f>
        <v>0</v>
      </c>
      <c r="F1850" t="str">
        <f>TEXT(K1850,"00")&amp;"-"&amp;L1850&amp;IF(M1850="","","-"&amp;M1850)&amp;IF(N1850="","","-"&amp;N1850)&amp;IF(OR(O1850="",O1850=0),"","-"&amp;O1850)&amp;IF(P1850="","","-"&amp;P1850)</f>
        <v>09-00-87-EXPNS-CURR</v>
      </c>
      <c r="G1850" t="s">
        <v>127</v>
      </c>
      <c r="H1850" t="s">
        <v>10287</v>
      </c>
      <c r="I1850" t="s">
        <v>10253</v>
      </c>
      <c r="K1850" s="1073" t="s">
        <v>11028</v>
      </c>
      <c r="L1850" s="789" t="s">
        <v>10241</v>
      </c>
      <c r="M1850" s="790">
        <v>87</v>
      </c>
      <c r="O1850" s="790" t="s">
        <v>11153</v>
      </c>
      <c r="P1850" s="790" t="s">
        <v>10244</v>
      </c>
      <c r="R1850" s="30"/>
    </row>
    <row r="1851" spans="2:18" ht="13">
      <c r="B1851" s="27" t="s">
        <v>12111</v>
      </c>
      <c r="C1851" s="1042"/>
      <c r="D1851" s="803">
        <f>Page4!P52</f>
        <v>0</v>
      </c>
      <c r="E1851" s="803">
        <f>Page4!R52</f>
        <v>0</v>
      </c>
      <c r="F1851" t="str">
        <f t="shared" si="82"/>
        <v>09-00-RENTEQUV-EXPNS-CURR</v>
      </c>
      <c r="G1851" t="s">
        <v>127</v>
      </c>
      <c r="H1851" t="s">
        <v>10287</v>
      </c>
      <c r="I1851" t="s">
        <v>10253</v>
      </c>
      <c r="K1851" s="1073" t="s">
        <v>11028</v>
      </c>
      <c r="L1851" s="789" t="s">
        <v>10241</v>
      </c>
      <c r="M1851" s="807" t="s">
        <v>11475</v>
      </c>
      <c r="O1851" s="790" t="s">
        <v>11153</v>
      </c>
      <c r="P1851" s="790" t="s">
        <v>10244</v>
      </c>
      <c r="Q1851" s="791" t="s">
        <v>773</v>
      </c>
    </row>
    <row r="1852" spans="2:18">
      <c r="B1852" s="5" t="s">
        <v>12112</v>
      </c>
      <c r="C1852" s="1038">
        <v>88</v>
      </c>
      <c r="D1852" s="803">
        <f>Page4!P53</f>
        <v>0</v>
      </c>
      <c r="E1852" s="803">
        <f>Page4!R53</f>
        <v>0</v>
      </c>
      <c r="F1852" t="str">
        <f t="shared" si="82"/>
        <v>09-00-88-EXPNS-CURR</v>
      </c>
      <c r="G1852" t="s">
        <v>127</v>
      </c>
      <c r="H1852" t="s">
        <v>10287</v>
      </c>
      <c r="I1852" t="s">
        <v>10253</v>
      </c>
      <c r="K1852" s="1073" t="s">
        <v>11028</v>
      </c>
      <c r="L1852" s="789" t="s">
        <v>10241</v>
      </c>
      <c r="M1852" s="790">
        <v>88</v>
      </c>
      <c r="O1852" s="790" t="s">
        <v>11153</v>
      </c>
      <c r="P1852" s="790" t="s">
        <v>10244</v>
      </c>
      <c r="R1852" s="30"/>
    </row>
    <row r="1853" spans="2:18">
      <c r="B1853" s="5" t="s">
        <v>12113</v>
      </c>
      <c r="C1853" s="1038">
        <v>89</v>
      </c>
      <c r="D1853" s="803">
        <f>Page4!P54</f>
        <v>0</v>
      </c>
      <c r="E1853" s="803">
        <f>Page4!R54</f>
        <v>0</v>
      </c>
      <c r="F1853" t="str">
        <f t="shared" si="82"/>
        <v>09-00-89-EXPNS-CURR</v>
      </c>
      <c r="G1853" t="s">
        <v>127</v>
      </c>
      <c r="H1853" t="s">
        <v>10287</v>
      </c>
      <c r="I1853" t="s">
        <v>10253</v>
      </c>
      <c r="K1853" s="1073" t="s">
        <v>11028</v>
      </c>
      <c r="L1853" s="789" t="s">
        <v>10241</v>
      </c>
      <c r="M1853" s="790">
        <v>89</v>
      </c>
      <c r="O1853" s="790" t="s">
        <v>11153</v>
      </c>
      <c r="P1853" s="790" t="s">
        <v>10244</v>
      </c>
      <c r="R1853" s="30"/>
    </row>
    <row r="1854" spans="2:18">
      <c r="B1854" s="5" t="s">
        <v>12114</v>
      </c>
      <c r="C1854" s="1038">
        <v>90</v>
      </c>
      <c r="D1854" s="803">
        <f>Page4!P55</f>
        <v>0</v>
      </c>
      <c r="E1854" s="803">
        <f>Page4!R55</f>
        <v>0</v>
      </c>
      <c r="F1854" t="str">
        <f t="shared" si="82"/>
        <v>09-00-90-EXPNS-CURR</v>
      </c>
      <c r="G1854" t="s">
        <v>127</v>
      </c>
      <c r="H1854" t="s">
        <v>10287</v>
      </c>
      <c r="I1854" t="s">
        <v>10253</v>
      </c>
      <c r="K1854" s="1073" t="s">
        <v>11028</v>
      </c>
      <c r="L1854" s="789" t="s">
        <v>10241</v>
      </c>
      <c r="M1854" s="790">
        <v>90</v>
      </c>
      <c r="O1854" s="790" t="s">
        <v>11153</v>
      </c>
      <c r="P1854" s="790" t="s">
        <v>10244</v>
      </c>
      <c r="R1854" s="30"/>
    </row>
    <row r="1855" spans="2:18">
      <c r="B1855" s="5" t="s">
        <v>12115</v>
      </c>
      <c r="C1855" s="1038">
        <v>91</v>
      </c>
      <c r="D1855" s="803">
        <f>Page4!P56</f>
        <v>0</v>
      </c>
      <c r="E1855" s="803">
        <f>Page4!R56</f>
        <v>0</v>
      </c>
      <c r="F1855" t="str">
        <f t="shared" si="82"/>
        <v>09-00-91-EXPNS-CURR</v>
      </c>
      <c r="G1855" t="s">
        <v>127</v>
      </c>
      <c r="H1855" t="s">
        <v>10287</v>
      </c>
      <c r="I1855" t="s">
        <v>10253</v>
      </c>
      <c r="K1855" s="1073" t="s">
        <v>11028</v>
      </c>
      <c r="L1855" s="789" t="s">
        <v>10241</v>
      </c>
      <c r="M1855" s="790">
        <v>91</v>
      </c>
      <c r="O1855" s="790" t="s">
        <v>11153</v>
      </c>
      <c r="P1855" s="790" t="s">
        <v>10244</v>
      </c>
      <c r="R1855" s="30"/>
    </row>
    <row r="1856" spans="2:18">
      <c r="B1856" s="5" t="s">
        <v>12116</v>
      </c>
      <c r="C1856" s="1055">
        <v>92</v>
      </c>
      <c r="D1856" s="803">
        <f>Page4!P57</f>
        <v>0</v>
      </c>
      <c r="E1856" s="803">
        <f>Page4!R57</f>
        <v>0</v>
      </c>
      <c r="F1856" t="str">
        <f t="shared" si="82"/>
        <v>09-00-92-EXPNS-CURR</v>
      </c>
      <c r="G1856" t="s">
        <v>127</v>
      </c>
      <c r="H1856" t="s">
        <v>10287</v>
      </c>
      <c r="I1856" t="s">
        <v>10253</v>
      </c>
      <c r="K1856" s="1073" t="s">
        <v>11028</v>
      </c>
      <c r="L1856" s="789" t="s">
        <v>10241</v>
      </c>
      <c r="M1856" s="790">
        <v>92</v>
      </c>
      <c r="O1856" s="790" t="s">
        <v>11153</v>
      </c>
      <c r="P1856" s="790" t="s">
        <v>10244</v>
      </c>
      <c r="R1856" s="30"/>
    </row>
    <row r="1857" spans="1:18" ht="13">
      <c r="B1857" s="51" t="s">
        <v>12117</v>
      </c>
      <c r="C1857" s="1042"/>
      <c r="D1857" s="803">
        <f>Page4!P58</f>
        <v>0</v>
      </c>
      <c r="E1857" s="803">
        <f>Page4!R58</f>
        <v>0</v>
      </c>
      <c r="F1857" t="str">
        <f t="shared" si="82"/>
        <v>09-00-FIXEDEXP-EXPNS-CURR</v>
      </c>
      <c r="G1857" t="s">
        <v>127</v>
      </c>
      <c r="H1857" t="s">
        <v>10287</v>
      </c>
      <c r="I1857" t="s">
        <v>10253</v>
      </c>
      <c r="J1857" t="s">
        <v>10268</v>
      </c>
      <c r="K1857" s="1073" t="s">
        <v>11028</v>
      </c>
      <c r="L1857" s="789" t="s">
        <v>10241</v>
      </c>
      <c r="M1857" s="807" t="s">
        <v>11487</v>
      </c>
      <c r="O1857" s="790" t="s">
        <v>11153</v>
      </c>
      <c r="P1857" s="790" t="s">
        <v>10244</v>
      </c>
      <c r="Q1857" s="791" t="s">
        <v>773</v>
      </c>
    </row>
    <row r="1858" spans="1:18" ht="13">
      <c r="B1858" s="51" t="s">
        <v>12118</v>
      </c>
      <c r="C1858" s="1042"/>
      <c r="D1858" s="803">
        <f>Page4!P59</f>
        <v>0</v>
      </c>
      <c r="E1858" s="803">
        <f>Page4!R59</f>
        <v>0</v>
      </c>
      <c r="F1858" t="str">
        <f t="shared" si="82"/>
        <v>09-00-FIXOVERH-EXPNS-CURR</v>
      </c>
      <c r="G1858" t="s">
        <v>127</v>
      </c>
      <c r="H1858" t="s">
        <v>10287</v>
      </c>
      <c r="I1858" t="s">
        <v>10253</v>
      </c>
      <c r="J1858" t="s">
        <v>10268</v>
      </c>
      <c r="K1858" s="1073" t="s">
        <v>11028</v>
      </c>
      <c r="L1858" s="789" t="s">
        <v>10241</v>
      </c>
      <c r="M1858" s="807" t="s">
        <v>11489</v>
      </c>
      <c r="O1858" s="790" t="s">
        <v>11153</v>
      </c>
      <c r="P1858" s="790" t="s">
        <v>10244</v>
      </c>
      <c r="Q1858" s="791" t="s">
        <v>773</v>
      </c>
    </row>
    <row r="1859" spans="1:18" ht="13">
      <c r="B1859" s="51" t="s">
        <v>12119</v>
      </c>
      <c r="C1859" s="1042"/>
      <c r="D1859" s="803">
        <f>Page4!P60</f>
        <v>0</v>
      </c>
      <c r="E1859" s="803">
        <f>Page4!R60</f>
        <v>0</v>
      </c>
      <c r="F1859" t="str">
        <f t="shared" si="82"/>
        <v>09-00-TOTALEXP-EXPNS-CURR</v>
      </c>
      <c r="G1859" t="s">
        <v>127</v>
      </c>
      <c r="H1859" t="s">
        <v>10287</v>
      </c>
      <c r="I1859" t="s">
        <v>10253</v>
      </c>
      <c r="J1859" t="s">
        <v>10268</v>
      </c>
      <c r="K1859" s="1073" t="s">
        <v>11028</v>
      </c>
      <c r="L1859" s="789" t="s">
        <v>10241</v>
      </c>
      <c r="M1859" s="807" t="s">
        <v>11491</v>
      </c>
      <c r="O1859" s="790" t="s">
        <v>11153</v>
      </c>
      <c r="P1859" s="790" t="s">
        <v>10244</v>
      </c>
      <c r="Q1859" s="791" t="s">
        <v>773</v>
      </c>
    </row>
    <row r="1860" spans="1:18">
      <c r="B1860" s="40" t="s">
        <v>12120</v>
      </c>
      <c r="C1860" s="1042"/>
      <c r="D1860" s="803">
        <f>Page4!P63</f>
        <v>0</v>
      </c>
      <c r="E1860" s="803">
        <f>Page4!R63</f>
        <v>0</v>
      </c>
      <c r="F1860" t="str">
        <f t="shared" si="82"/>
        <v>09-00-G&amp;APRO-AMT-CURR</v>
      </c>
      <c r="G1860" t="s">
        <v>127</v>
      </c>
      <c r="H1860" t="s">
        <v>10287</v>
      </c>
      <c r="I1860" t="s">
        <v>10253</v>
      </c>
      <c r="J1860" t="s">
        <v>10268</v>
      </c>
      <c r="K1860" s="1073" t="s">
        <v>11028</v>
      </c>
      <c r="L1860" s="789" t="s">
        <v>10241</v>
      </c>
      <c r="M1860" s="790" t="s">
        <v>11779</v>
      </c>
      <c r="O1860" s="790" t="s">
        <v>10263</v>
      </c>
      <c r="P1860" s="790" t="s">
        <v>10244</v>
      </c>
      <c r="Q1860" s="791" t="s">
        <v>773</v>
      </c>
    </row>
    <row r="1861" spans="1:18">
      <c r="B1861" s="5" t="s">
        <v>6473</v>
      </c>
      <c r="C1861" s="1038">
        <v>902</v>
      </c>
      <c r="D1861" s="803">
        <f>Page3!D66</f>
        <v>0</v>
      </c>
      <c r="E1861" s="803">
        <f>Page3!F66</f>
        <v>0</v>
      </c>
      <c r="F1861" t="str">
        <f t="shared" si="82"/>
        <v>00-00-902-AMT-CURR</v>
      </c>
      <c r="G1861" t="s">
        <v>127</v>
      </c>
      <c r="H1861" t="s">
        <v>10287</v>
      </c>
      <c r="I1861" t="s">
        <v>10253</v>
      </c>
      <c r="K1861" s="1073" t="s">
        <v>10241</v>
      </c>
      <c r="L1861" s="789" t="s">
        <v>10241</v>
      </c>
      <c r="M1861" s="790" t="s">
        <v>12121</v>
      </c>
      <c r="O1861" s="790" t="s">
        <v>10263</v>
      </c>
      <c r="P1861" s="790" t="s">
        <v>10244</v>
      </c>
      <c r="R1861" s="30"/>
    </row>
    <row r="1862" spans="1:18">
      <c r="B1862" s="5" t="s">
        <v>6475</v>
      </c>
      <c r="C1862" s="1038">
        <v>903</v>
      </c>
      <c r="D1862" s="803">
        <f>Page3!D67</f>
        <v>0</v>
      </c>
      <c r="E1862" s="803">
        <f>Page3!F67</f>
        <v>0</v>
      </c>
      <c r="F1862" t="str">
        <f t="shared" si="82"/>
        <v>00-00-903-AMT-CURR</v>
      </c>
      <c r="G1862" t="s">
        <v>127</v>
      </c>
      <c r="H1862" t="s">
        <v>10287</v>
      </c>
      <c r="I1862" t="s">
        <v>10253</v>
      </c>
      <c r="K1862" s="1073" t="s">
        <v>10241</v>
      </c>
      <c r="L1862" s="789" t="s">
        <v>10241</v>
      </c>
      <c r="M1862" s="790">
        <v>903</v>
      </c>
      <c r="O1862" s="790" t="s">
        <v>10263</v>
      </c>
      <c r="P1862" s="790" t="s">
        <v>10244</v>
      </c>
      <c r="R1862" s="30"/>
    </row>
    <row r="1863" spans="1:18">
      <c r="B1863" s="5" t="s">
        <v>6477</v>
      </c>
      <c r="C1863" s="1038">
        <v>905</v>
      </c>
      <c r="D1863" s="803">
        <f>Page3!D68</f>
        <v>51923</v>
      </c>
      <c r="E1863" s="803">
        <f>Page3!F68</f>
        <v>55961</v>
      </c>
      <c r="F1863" t="str">
        <f t="shared" si="82"/>
        <v>00-00-905-AMT-CURR</v>
      </c>
      <c r="G1863" t="s">
        <v>127</v>
      </c>
      <c r="H1863" t="s">
        <v>10287</v>
      </c>
      <c r="I1863" t="s">
        <v>10253</v>
      </c>
      <c r="K1863" s="1073" t="s">
        <v>10241</v>
      </c>
      <c r="L1863" s="789" t="s">
        <v>10241</v>
      </c>
      <c r="M1863" s="790" t="s">
        <v>12122</v>
      </c>
      <c r="O1863" s="790" t="s">
        <v>10263</v>
      </c>
      <c r="P1863" s="790" t="s">
        <v>10244</v>
      </c>
      <c r="R1863" s="30"/>
    </row>
    <row r="1864" spans="1:18">
      <c r="B1864" s="5" t="s">
        <v>12123</v>
      </c>
      <c r="C1864" s="1038">
        <v>909</v>
      </c>
      <c r="D1864" s="803">
        <f>Page3!D69</f>
        <v>1346</v>
      </c>
      <c r="E1864" s="803">
        <f>Page3!F69</f>
        <v>228767</v>
      </c>
      <c r="F1864" t="str">
        <f>TEXT(K1864,"00")&amp;"-"&amp;L1864&amp;IF(M1864="","","-"&amp;M1864)&amp;IF(N1864="","","-"&amp;N1864)&amp;IF(OR(O1864="",O1864=0),"","-"&amp;O1864)&amp;IF(P1864="","","-"&amp;P1864)</f>
        <v>00-00-909-AMT-CURR</v>
      </c>
      <c r="G1864" t="s">
        <v>127</v>
      </c>
      <c r="K1864" s="2173" t="s">
        <v>10241</v>
      </c>
      <c r="L1864" s="2174" t="s">
        <v>10241</v>
      </c>
      <c r="M1864" s="790">
        <v>909</v>
      </c>
      <c r="O1864" s="2175" t="s">
        <v>10263</v>
      </c>
      <c r="P1864" s="2175" t="s">
        <v>10244</v>
      </c>
      <c r="R1864" s="30"/>
    </row>
    <row r="1865" spans="1:18">
      <c r="B1865" s="5" t="s">
        <v>6482</v>
      </c>
      <c r="C1865" s="1060"/>
      <c r="D1865" s="803">
        <f>Page3!D70</f>
        <v>0</v>
      </c>
      <c r="E1865" s="803">
        <f>Page3!F70</f>
        <v>2</v>
      </c>
      <c r="F1865" t="str">
        <f t="shared" si="82"/>
        <v>00-00-AMTTOBAL-AMT-CURR</v>
      </c>
      <c r="G1865" t="s">
        <v>127</v>
      </c>
      <c r="H1865" t="s">
        <v>10287</v>
      </c>
      <c r="I1865" t="s">
        <v>10253</v>
      </c>
      <c r="J1865" t="s">
        <v>10268</v>
      </c>
      <c r="K1865" s="1073" t="s">
        <v>10241</v>
      </c>
      <c r="L1865" s="789" t="s">
        <v>10241</v>
      </c>
      <c r="M1865" s="790" t="s">
        <v>6483</v>
      </c>
      <c r="O1865" s="790" t="s">
        <v>10263</v>
      </c>
      <c r="P1865" s="790" t="s">
        <v>10244</v>
      </c>
      <c r="R1865" s="791" t="s">
        <v>773</v>
      </c>
    </row>
    <row r="1866" spans="1:18">
      <c r="B1866" s="46" t="s">
        <v>6485</v>
      </c>
      <c r="C1866" s="1061">
        <v>953</v>
      </c>
      <c r="D1866" s="803">
        <f>Page3!L67</f>
        <v>0</v>
      </c>
      <c r="E1866" s="803">
        <f>Page3!N67</f>
        <v>0</v>
      </c>
      <c r="F1866" t="str">
        <f t="shared" si="82"/>
        <v>00-00-953-AMT-CURR</v>
      </c>
      <c r="G1866" t="s">
        <v>127</v>
      </c>
      <c r="H1866" t="s">
        <v>10287</v>
      </c>
      <c r="I1866" t="s">
        <v>10253</v>
      </c>
      <c r="K1866" s="1073" t="s">
        <v>10241</v>
      </c>
      <c r="L1866" s="789" t="s">
        <v>10241</v>
      </c>
      <c r="M1866" s="790">
        <v>953</v>
      </c>
      <c r="O1866" s="790" t="s">
        <v>10263</v>
      </c>
      <c r="P1866" s="790" t="s">
        <v>10244</v>
      </c>
      <c r="R1866" s="30"/>
    </row>
    <row r="1867" spans="1:18">
      <c r="B1867" s="46" t="s">
        <v>6487</v>
      </c>
      <c r="C1867" s="1061">
        <v>955</v>
      </c>
      <c r="D1867" s="803">
        <f>Page3!L68</f>
        <v>18</v>
      </c>
      <c r="E1867" s="803">
        <f>Page3!N68</f>
        <v>42</v>
      </c>
      <c r="F1867" t="str">
        <f t="shared" si="82"/>
        <v>00-00-955-AMT-CURR</v>
      </c>
      <c r="G1867" t="s">
        <v>127</v>
      </c>
      <c r="H1867" t="s">
        <v>10287</v>
      </c>
      <c r="I1867" t="s">
        <v>10253</v>
      </c>
      <c r="K1867" s="1073" t="s">
        <v>10241</v>
      </c>
      <c r="L1867" s="789" t="s">
        <v>10241</v>
      </c>
      <c r="M1867" s="790" t="s">
        <v>12124</v>
      </c>
      <c r="O1867" s="790" t="s">
        <v>10263</v>
      </c>
      <c r="P1867" s="790" t="s">
        <v>10244</v>
      </c>
      <c r="R1867" s="30"/>
    </row>
    <row r="1868" spans="1:18">
      <c r="B1868" s="40" t="s">
        <v>6489</v>
      </c>
      <c r="C1868" s="1042"/>
      <c r="D1868" s="803">
        <f>Page3!L71</f>
        <v>53251</v>
      </c>
      <c r="E1868" s="803">
        <f>Page3!N71</f>
        <v>284688</v>
      </c>
      <c r="F1868" t="str">
        <f t="shared" si="82"/>
        <v>00-00-ADDDED-AMT-CURR</v>
      </c>
      <c r="G1868" t="s">
        <v>127</v>
      </c>
      <c r="H1868" t="s">
        <v>10287</v>
      </c>
      <c r="I1868" t="s">
        <v>10253</v>
      </c>
      <c r="J1868" t="s">
        <v>10268</v>
      </c>
      <c r="K1868" s="1073" t="s">
        <v>10241</v>
      </c>
      <c r="L1868" s="789" t="s">
        <v>10241</v>
      </c>
      <c r="M1868" s="790" t="s">
        <v>11495</v>
      </c>
      <c r="O1868" s="790" t="s">
        <v>10263</v>
      </c>
      <c r="P1868" s="790" t="s">
        <v>10244</v>
      </c>
      <c r="Q1868" s="791" t="s">
        <v>773</v>
      </c>
    </row>
    <row r="1869" spans="1:18">
      <c r="A1869" s="805" t="s">
        <v>10286</v>
      </c>
      <c r="B1869" s="5" t="str">
        <f>Page5_CHV_MCI!C4</f>
        <v>VOLT</v>
      </c>
      <c r="C1869" s="1038" t="str">
        <f>OR_VEH!D3</f>
        <v>400-001</v>
      </c>
      <c r="D1869" s="803">
        <f>Page5_CHV_MCI!G4</f>
        <v>0</v>
      </c>
      <c r="E1869" s="803">
        <f>Page5_CHV_MCI!L4</f>
        <v>0</v>
      </c>
      <c r="F1869" t="str">
        <f t="shared" si="82"/>
        <v>01-00-400-001-SALES-CURR</v>
      </c>
      <c r="G1869" t="s">
        <v>127</v>
      </c>
      <c r="H1869" t="s">
        <v>10287</v>
      </c>
      <c r="I1869" t="s">
        <v>10253</v>
      </c>
      <c r="K1869" s="1073" t="s">
        <v>10288</v>
      </c>
      <c r="L1869" s="789" t="s">
        <v>10241</v>
      </c>
      <c r="M1869" s="790" t="str">
        <f>LEFT(C1869,3)</f>
        <v>400</v>
      </c>
      <c r="N1869" s="790" t="str">
        <f>RIGHT(C1869,3)</f>
        <v>001</v>
      </c>
      <c r="O1869" s="799" t="s">
        <v>9883</v>
      </c>
      <c r="P1869" s="799" t="s">
        <v>10244</v>
      </c>
      <c r="R1869" s="30"/>
    </row>
    <row r="1870" spans="1:18">
      <c r="B1870" s="5" t="str">
        <f>Page5_CHV_MCI!C5</f>
        <v>MALIBU</v>
      </c>
      <c r="C1870" s="1038" t="str">
        <f>OR_VEH!D4</f>
        <v>401-001</v>
      </c>
      <c r="D1870" s="803">
        <f>Page5_CHV_MCI!G5</f>
        <v>0</v>
      </c>
      <c r="E1870" s="803">
        <f>Page5_CHV_MCI!L5</f>
        <v>33144</v>
      </c>
      <c r="F1870" t="str">
        <f t="shared" si="82"/>
        <v>01-00-401-001-SALES-CURR</v>
      </c>
      <c r="G1870" t="s">
        <v>127</v>
      </c>
      <c r="H1870" t="s">
        <v>10287</v>
      </c>
      <c r="I1870" t="s">
        <v>10253</v>
      </c>
      <c r="K1870" s="1073" t="s">
        <v>10288</v>
      </c>
      <c r="L1870" s="789" t="s">
        <v>10241</v>
      </c>
      <c r="M1870" s="790" t="str">
        <f t="shared" ref="M1870:M1887" si="83">LEFT(C1870,3)</f>
        <v>401</v>
      </c>
      <c r="N1870" s="790" t="str">
        <f t="shared" ref="N1870:N1887" si="84">RIGHT(C1870,3)</f>
        <v>001</v>
      </c>
      <c r="O1870" s="799" t="s">
        <v>9883</v>
      </c>
      <c r="P1870" s="799" t="s">
        <v>10244</v>
      </c>
      <c r="R1870" s="30"/>
    </row>
    <row r="1871" spans="1:18">
      <c r="B1871" s="5" t="str">
        <f>Page5_CHV_MCI!C6</f>
        <v>SONIC</v>
      </c>
      <c r="C1871" s="1038" t="str">
        <f>OR_VEH!D5</f>
        <v>402-001</v>
      </c>
      <c r="D1871" s="803">
        <f>Page5_CHV_MCI!G6</f>
        <v>0</v>
      </c>
      <c r="E1871" s="803">
        <f>Page5_CHV_MCI!L6</f>
        <v>0</v>
      </c>
      <c r="F1871" t="str">
        <f t="shared" si="82"/>
        <v>01-00-402-001-SALES-CURR</v>
      </c>
      <c r="G1871" t="s">
        <v>127</v>
      </c>
      <c r="H1871" t="s">
        <v>10287</v>
      </c>
      <c r="I1871" t="s">
        <v>10253</v>
      </c>
      <c r="K1871" s="1073" t="s">
        <v>10288</v>
      </c>
      <c r="L1871" s="789" t="s">
        <v>10241</v>
      </c>
      <c r="M1871" s="790" t="str">
        <f t="shared" si="83"/>
        <v>402</v>
      </c>
      <c r="N1871" s="790" t="str">
        <f t="shared" si="84"/>
        <v>001</v>
      </c>
      <c r="O1871" s="799" t="s">
        <v>9883</v>
      </c>
      <c r="P1871" s="799" t="s">
        <v>10244</v>
      </c>
      <c r="R1871" s="30"/>
    </row>
    <row r="1872" spans="1:18">
      <c r="B1872" s="5" t="str">
        <f>Page5_CHV_MCI!C7</f>
        <v>IMPALA</v>
      </c>
      <c r="C1872" s="1038" t="str">
        <f>OR_VEH!D6</f>
        <v>403-001</v>
      </c>
      <c r="D1872" s="803">
        <f>Page5_CHV_MCI!G7</f>
        <v>0</v>
      </c>
      <c r="E1872" s="803">
        <f>Page5_CHV_MCI!L7</f>
        <v>0</v>
      </c>
      <c r="F1872" t="str">
        <f t="shared" si="82"/>
        <v>01-00-403-001-SALES-CURR</v>
      </c>
      <c r="G1872" t="s">
        <v>127</v>
      </c>
      <c r="H1872" t="s">
        <v>10287</v>
      </c>
      <c r="I1872" t="s">
        <v>10253</v>
      </c>
      <c r="K1872" s="1073" t="s">
        <v>10288</v>
      </c>
      <c r="L1872" s="789" t="s">
        <v>10241</v>
      </c>
      <c r="M1872" s="790" t="str">
        <f t="shared" si="83"/>
        <v>403</v>
      </c>
      <c r="N1872" s="790" t="str">
        <f t="shared" si="84"/>
        <v>001</v>
      </c>
      <c r="O1872" s="799" t="s">
        <v>9883</v>
      </c>
      <c r="P1872" s="799" t="s">
        <v>10244</v>
      </c>
      <c r="R1872" s="30"/>
    </row>
    <row r="1873" spans="2:18">
      <c r="B1873" s="5" t="str">
        <f>Page5_CHV_MCI!C8</f>
        <v>SPARK</v>
      </c>
      <c r="C1873" s="1038" t="str">
        <f>OR_VEH!D7</f>
        <v>404-001</v>
      </c>
      <c r="D1873" s="803">
        <f>Page5_CHV_MCI!G8</f>
        <v>0</v>
      </c>
      <c r="E1873" s="803">
        <f>Page5_CHV_MCI!L8</f>
        <v>0</v>
      </c>
      <c r="F1873" t="str">
        <f t="shared" si="82"/>
        <v>01-00-404-001-SALES-CURR</v>
      </c>
      <c r="G1873" t="s">
        <v>127</v>
      </c>
      <c r="H1873" t="s">
        <v>10287</v>
      </c>
      <c r="I1873" t="s">
        <v>10253</v>
      </c>
      <c r="K1873" s="1073" t="s">
        <v>10288</v>
      </c>
      <c r="L1873" s="789" t="s">
        <v>10241</v>
      </c>
      <c r="M1873" s="790" t="str">
        <f t="shared" si="83"/>
        <v>404</v>
      </c>
      <c r="N1873" s="790" t="str">
        <f t="shared" si="84"/>
        <v>001</v>
      </c>
      <c r="O1873" s="799" t="s">
        <v>9883</v>
      </c>
      <c r="P1873" s="799" t="s">
        <v>10244</v>
      </c>
      <c r="R1873" s="30"/>
    </row>
    <row r="1874" spans="2:18">
      <c r="B1874" s="5" t="str">
        <f>Page5_CHV_MCI!C9</f>
        <v>CORVETTE</v>
      </c>
      <c r="C1874" s="1038" t="str">
        <f>OR_VEH!D8</f>
        <v>405-001</v>
      </c>
      <c r="D1874" s="803">
        <f>Page5_CHV_MCI!G9</f>
        <v>0</v>
      </c>
      <c r="E1874" s="803">
        <f>Page5_CHV_MCI!L9</f>
        <v>0</v>
      </c>
      <c r="F1874" t="str">
        <f t="shared" si="82"/>
        <v>01-00-405-001-SALES-CURR</v>
      </c>
      <c r="G1874" t="s">
        <v>127</v>
      </c>
      <c r="H1874" t="s">
        <v>10287</v>
      </c>
      <c r="I1874" t="s">
        <v>10253</v>
      </c>
      <c r="K1874" s="1073" t="s">
        <v>10288</v>
      </c>
      <c r="L1874" s="789" t="s">
        <v>10241</v>
      </c>
      <c r="M1874" s="790" t="str">
        <f t="shared" si="83"/>
        <v>405</v>
      </c>
      <c r="N1874" s="790" t="str">
        <f t="shared" si="84"/>
        <v>001</v>
      </c>
      <c r="O1874" s="799" t="s">
        <v>9883</v>
      </c>
      <c r="P1874" s="799" t="s">
        <v>10244</v>
      </c>
      <c r="R1874" s="30"/>
    </row>
    <row r="1875" spans="2:18">
      <c r="B1875" s="5" t="str">
        <f>Page5_CHV_MCI!C10</f>
        <v>CORVETTE E-RAY</v>
      </c>
      <c r="C1875" s="1038" t="str">
        <f>OR_VEH!D9</f>
        <v>406-001</v>
      </c>
      <c r="D1875" s="803">
        <f>Page5_CHV_MCI!G10</f>
        <v>0</v>
      </c>
      <c r="E1875" s="803">
        <f>Page5_CHV_MCI!L10</f>
        <v>0</v>
      </c>
      <c r="F1875" t="str">
        <f t="shared" si="82"/>
        <v>01-00-406-001-SALES-CURR</v>
      </c>
      <c r="G1875" t="s">
        <v>127</v>
      </c>
      <c r="H1875" t="s">
        <v>10287</v>
      </c>
      <c r="I1875" t="s">
        <v>10253</v>
      </c>
      <c r="K1875" s="1073" t="s">
        <v>10288</v>
      </c>
      <c r="L1875" s="789" t="s">
        <v>10241</v>
      </c>
      <c r="M1875" s="790" t="str">
        <f t="shared" si="83"/>
        <v>406</v>
      </c>
      <c r="N1875" s="790" t="str">
        <f t="shared" si="84"/>
        <v>001</v>
      </c>
      <c r="O1875" s="799" t="s">
        <v>9883</v>
      </c>
      <c r="P1875" s="799" t="s">
        <v>10244</v>
      </c>
      <c r="R1875" s="30"/>
    </row>
    <row r="1876" spans="2:18">
      <c r="B1876" s="5" t="str">
        <f>Page5_CHV_MCI!C11</f>
        <v>NE PAS UTILISER</v>
      </c>
      <c r="C1876" s="1038" t="str">
        <f>OR_VEH!D10</f>
        <v>407-001</v>
      </c>
      <c r="D1876" s="803">
        <f>Page5_CHV_MCI!G11</f>
        <v>0</v>
      </c>
      <c r="E1876" s="803">
        <f>Page5_CHV_MCI!L11</f>
        <v>0</v>
      </c>
      <c r="F1876" t="str">
        <f t="shared" si="82"/>
        <v>01-00-407-001-SALES-CURR</v>
      </c>
      <c r="G1876" t="s">
        <v>127</v>
      </c>
      <c r="H1876" t="s">
        <v>10287</v>
      </c>
      <c r="I1876" t="s">
        <v>10253</v>
      </c>
      <c r="K1876" s="1073" t="s">
        <v>10288</v>
      </c>
      <c r="L1876" s="789" t="s">
        <v>10241</v>
      </c>
      <c r="M1876" s="790" t="str">
        <f t="shared" si="83"/>
        <v>407</v>
      </c>
      <c r="N1876" s="790" t="str">
        <f t="shared" si="84"/>
        <v>001</v>
      </c>
      <c r="O1876" s="799" t="s">
        <v>9883</v>
      </c>
      <c r="P1876" s="799" t="s">
        <v>10244</v>
      </c>
      <c r="R1876" s="30"/>
    </row>
    <row r="1877" spans="2:18">
      <c r="B1877" s="5" t="str">
        <f>Page5_CHV_MCI!C12</f>
        <v>NE PAS UTILISER</v>
      </c>
      <c r="C1877" s="1038" t="str">
        <f>OR_VEH!D11</f>
        <v>408-001</v>
      </c>
      <c r="D1877" s="803">
        <f>Page5_CHV_MCI!G12</f>
        <v>0</v>
      </c>
      <c r="E1877" s="803">
        <f>Page5_CHV_MCI!L12</f>
        <v>0</v>
      </c>
      <c r="F1877" t="str">
        <f t="shared" si="82"/>
        <v>01-00-408-001-SALES-CURR</v>
      </c>
      <c r="G1877" t="s">
        <v>127</v>
      </c>
      <c r="H1877" t="s">
        <v>10287</v>
      </c>
      <c r="I1877" t="s">
        <v>10253</v>
      </c>
      <c r="K1877" s="1073" t="s">
        <v>10288</v>
      </c>
      <c r="L1877" s="789" t="s">
        <v>10241</v>
      </c>
      <c r="M1877" s="790" t="str">
        <f t="shared" si="83"/>
        <v>408</v>
      </c>
      <c r="N1877" s="790" t="str">
        <f t="shared" si="84"/>
        <v>001</v>
      </c>
      <c r="O1877" s="799" t="s">
        <v>9883</v>
      </c>
      <c r="P1877" s="799" t="s">
        <v>10244</v>
      </c>
      <c r="R1877" s="30"/>
    </row>
    <row r="1878" spans="2:18">
      <c r="B1878" s="5" t="str">
        <f>Page5_CHV_MCI!C13</f>
        <v>NE PAS UTILISER</v>
      </c>
      <c r="C1878" s="1038" t="str">
        <f>OR_VEH!D12</f>
        <v>409-001</v>
      </c>
      <c r="D1878" s="803">
        <f>Page5_CHV_MCI!G13</f>
        <v>0</v>
      </c>
      <c r="E1878" s="803">
        <f>Page5_CHV_MCI!L13</f>
        <v>0</v>
      </c>
      <c r="F1878" t="str">
        <f t="shared" si="82"/>
        <v>01-00-409-001-SALES-CURR</v>
      </c>
      <c r="G1878" t="s">
        <v>127</v>
      </c>
      <c r="H1878" t="s">
        <v>10287</v>
      </c>
      <c r="I1878" t="s">
        <v>10253</v>
      </c>
      <c r="K1878" s="1073" t="s">
        <v>10288</v>
      </c>
      <c r="L1878" s="789" t="s">
        <v>10241</v>
      </c>
      <c r="M1878" s="790" t="str">
        <f t="shared" si="83"/>
        <v>409</v>
      </c>
      <c r="N1878" s="790" t="str">
        <f t="shared" si="84"/>
        <v>001</v>
      </c>
      <c r="O1878" s="799" t="s">
        <v>9883</v>
      </c>
      <c r="P1878" s="799" t="s">
        <v>10244</v>
      </c>
      <c r="R1878" s="30"/>
    </row>
    <row r="1879" spans="2:18">
      <c r="B1879" s="5" t="str">
        <f>Page5_CHV_MCI!C14</f>
        <v>CAMARO</v>
      </c>
      <c r="C1879" s="1038" t="str">
        <f>OR_VEH!D13</f>
        <v>410-001</v>
      </c>
      <c r="D1879" s="803">
        <f>Page5_CHV_MCI!G14</f>
        <v>0</v>
      </c>
      <c r="E1879" s="803">
        <f>Page5_CHV_MCI!L14</f>
        <v>0</v>
      </c>
      <c r="F1879" t="str">
        <f t="shared" si="82"/>
        <v>01-00-410-001-SALES-CURR</v>
      </c>
      <c r="G1879" t="s">
        <v>127</v>
      </c>
      <c r="H1879" t="s">
        <v>10287</v>
      </c>
      <c r="I1879" t="s">
        <v>10253</v>
      </c>
      <c r="K1879" s="1073" t="s">
        <v>10288</v>
      </c>
      <c r="L1879" s="789" t="s">
        <v>10241</v>
      </c>
      <c r="M1879" s="790" t="str">
        <f t="shared" si="83"/>
        <v>410</v>
      </c>
      <c r="N1879" s="790" t="str">
        <f t="shared" si="84"/>
        <v>001</v>
      </c>
      <c r="O1879" s="790" t="s">
        <v>9883</v>
      </c>
      <c r="P1879" s="790" t="s">
        <v>10244</v>
      </c>
      <c r="R1879" s="30"/>
    </row>
    <row r="1880" spans="2:18">
      <c r="B1880" s="5" t="str">
        <f>Page5_CHV_MCI!C15</f>
        <v>CRUZE</v>
      </c>
      <c r="C1880" s="1038" t="str">
        <f>OR_VEH!D14</f>
        <v>411-001</v>
      </c>
      <c r="D1880" s="803">
        <f>Page5_CHV_MCI!G15</f>
        <v>0</v>
      </c>
      <c r="E1880" s="803">
        <f>Page5_CHV_MCI!L15</f>
        <v>0</v>
      </c>
      <c r="F1880" t="str">
        <f t="shared" si="82"/>
        <v>01-00-411-001-SALES-CURR</v>
      </c>
      <c r="G1880" t="s">
        <v>127</v>
      </c>
      <c r="H1880" t="s">
        <v>10287</v>
      </c>
      <c r="I1880" t="s">
        <v>10253</v>
      </c>
      <c r="K1880" s="1073" t="s">
        <v>10288</v>
      </c>
      <c r="L1880" s="789" t="s">
        <v>10241</v>
      </c>
      <c r="M1880" s="790" t="str">
        <f t="shared" si="83"/>
        <v>411</v>
      </c>
      <c r="N1880" s="790" t="str">
        <f t="shared" si="84"/>
        <v>001</v>
      </c>
      <c r="O1880" s="790" t="s">
        <v>9883</v>
      </c>
      <c r="P1880" s="790" t="s">
        <v>10244</v>
      </c>
      <c r="R1880" s="30"/>
    </row>
    <row r="1881" spans="2:18">
      <c r="B1881" s="5" t="str">
        <f>Page5_CHV_MCI!C16</f>
        <v>NE PAS UTILISER</v>
      </c>
      <c r="C1881" s="1038" t="str">
        <f>OR_VEH!D15</f>
        <v>412-001</v>
      </c>
      <c r="D1881" s="803">
        <f>Page5_CHV_MCI!G16</f>
        <v>0</v>
      </c>
      <c r="E1881" s="803">
        <f>Page5_CHV_MCI!L16</f>
        <v>0</v>
      </c>
      <c r="F1881" t="str">
        <f t="shared" si="82"/>
        <v>01-00-412-001-SALES-CURR</v>
      </c>
      <c r="G1881" t="s">
        <v>127</v>
      </c>
      <c r="H1881" t="s">
        <v>10287</v>
      </c>
      <c r="I1881" t="s">
        <v>10253</v>
      </c>
      <c r="K1881" s="1073" t="s">
        <v>10288</v>
      </c>
      <c r="L1881" s="789" t="s">
        <v>10241</v>
      </c>
      <c r="M1881" s="790" t="str">
        <f t="shared" si="83"/>
        <v>412</v>
      </c>
      <c r="N1881" s="790" t="str">
        <f t="shared" si="84"/>
        <v>001</v>
      </c>
      <c r="O1881" s="790" t="s">
        <v>9883</v>
      </c>
      <c r="P1881" s="790" t="s">
        <v>10244</v>
      </c>
      <c r="R1881" s="30"/>
    </row>
    <row r="1882" spans="2:18">
      <c r="B1882" s="5" t="str">
        <f>Page5_CHV_MCI!C17</f>
        <v>NE PAS UTILISER</v>
      </c>
      <c r="C1882" s="1038" t="str">
        <f>OR_VEH!D16</f>
        <v>413-001</v>
      </c>
      <c r="D1882" s="803">
        <f>Page5_CHV_MCI!G17</f>
        <v>0</v>
      </c>
      <c r="E1882" s="803">
        <f>Page5_CHV_MCI!L17</f>
        <v>0</v>
      </c>
      <c r="F1882" t="str">
        <f t="shared" si="82"/>
        <v>01-00-413-001-SALES-CURR</v>
      </c>
      <c r="G1882" t="s">
        <v>127</v>
      </c>
      <c r="H1882" t="s">
        <v>10287</v>
      </c>
      <c r="I1882" t="s">
        <v>10253</v>
      </c>
      <c r="K1882" s="1073" t="s">
        <v>10288</v>
      </c>
      <c r="L1882" s="789" t="s">
        <v>10241</v>
      </c>
      <c r="M1882" s="790" t="str">
        <f t="shared" si="83"/>
        <v>413</v>
      </c>
      <c r="N1882" s="790" t="str">
        <f t="shared" si="84"/>
        <v>001</v>
      </c>
      <c r="O1882" s="790" t="s">
        <v>9883</v>
      </c>
      <c r="P1882" s="790" t="s">
        <v>10244</v>
      </c>
      <c r="R1882" s="30"/>
    </row>
    <row r="1883" spans="2:18">
      <c r="B1883" s="5" t="str">
        <f>Page5_CHV_MCI!C18</f>
        <v>NE PAS UTILISER</v>
      </c>
      <c r="C1883" s="1038" t="str">
        <f>OR_VEH!D17</f>
        <v>414-001</v>
      </c>
      <c r="D1883" s="803">
        <f>Page5_CHV_MCI!G18</f>
        <v>0</v>
      </c>
      <c r="E1883" s="803">
        <f>Page5_CHV_MCI!L18</f>
        <v>0</v>
      </c>
      <c r="F1883" t="str">
        <f t="shared" si="82"/>
        <v>01-00-414-001-SALES-CURR</v>
      </c>
      <c r="G1883" t="s">
        <v>127</v>
      </c>
      <c r="H1883" t="s">
        <v>10287</v>
      </c>
      <c r="I1883" t="s">
        <v>10253</v>
      </c>
      <c r="K1883" s="1073" t="s">
        <v>10288</v>
      </c>
      <c r="L1883" s="789" t="s">
        <v>10241</v>
      </c>
      <c r="M1883" s="790" t="str">
        <f t="shared" si="83"/>
        <v>414</v>
      </c>
      <c r="N1883" s="790" t="str">
        <f t="shared" si="84"/>
        <v>001</v>
      </c>
      <c r="O1883" s="790" t="s">
        <v>9883</v>
      </c>
      <c r="P1883" s="790" t="s">
        <v>10244</v>
      </c>
      <c r="R1883" s="30"/>
    </row>
    <row r="1884" spans="2:18">
      <c r="B1884" s="5" t="str">
        <f>Page5_CHV_MCI!C19</f>
        <v>NE PAS UTILISER</v>
      </c>
      <c r="C1884" s="1038" t="str">
        <f>OR_VEH!D18</f>
        <v>415-001</v>
      </c>
      <c r="D1884" s="803">
        <f>Page5_CHV_MCI!G19</f>
        <v>0</v>
      </c>
      <c r="E1884" s="803">
        <f>Page5_CHV_MCI!L19</f>
        <v>0</v>
      </c>
      <c r="F1884" t="str">
        <f t="shared" si="82"/>
        <v>01-00-415-001-SALES-CURR</v>
      </c>
      <c r="G1884" t="s">
        <v>127</v>
      </c>
      <c r="H1884" t="s">
        <v>10287</v>
      </c>
      <c r="I1884" t="s">
        <v>10253</v>
      </c>
      <c r="K1884" s="1073" t="s">
        <v>10288</v>
      </c>
      <c r="L1884" s="789" t="s">
        <v>10241</v>
      </c>
      <c r="M1884" s="790" t="str">
        <f t="shared" si="83"/>
        <v>415</v>
      </c>
      <c r="N1884" s="790" t="str">
        <f t="shared" si="84"/>
        <v>001</v>
      </c>
      <c r="O1884" s="790" t="s">
        <v>9883</v>
      </c>
      <c r="P1884" s="790" t="s">
        <v>10244</v>
      </c>
      <c r="R1884" s="30"/>
    </row>
    <row r="1885" spans="2:18">
      <c r="B1885" s="5" t="str">
        <f>Page5_CHV_MCI!C20</f>
        <v>POUR USAGE FUTUR</v>
      </c>
      <c r="C1885" s="1038" t="str">
        <f>OR_VEH!D19</f>
        <v>416-001</v>
      </c>
      <c r="D1885" s="803">
        <f>Page5_CHV_MCI!G20</f>
        <v>0</v>
      </c>
      <c r="E1885" s="803">
        <f>Page5_CHV_MCI!L20</f>
        <v>0</v>
      </c>
      <c r="F1885" t="str">
        <f t="shared" si="82"/>
        <v>01-00-416-001-SALES-CURR</v>
      </c>
      <c r="G1885" t="s">
        <v>127</v>
      </c>
      <c r="H1885" t="s">
        <v>10287</v>
      </c>
      <c r="I1885" t="s">
        <v>10253</v>
      </c>
      <c r="K1885" s="1073" t="s">
        <v>10288</v>
      </c>
      <c r="L1885" s="789" t="s">
        <v>10241</v>
      </c>
      <c r="M1885" s="790" t="str">
        <f t="shared" si="83"/>
        <v>416</v>
      </c>
      <c r="N1885" s="790" t="str">
        <f t="shared" si="84"/>
        <v>001</v>
      </c>
      <c r="O1885" s="790" t="s">
        <v>9883</v>
      </c>
      <c r="P1885" s="790" t="s">
        <v>10244</v>
      </c>
      <c r="R1885" s="30"/>
    </row>
    <row r="1886" spans="2:18">
      <c r="B1886" s="5" t="str">
        <f>Page5_CHV_MCI!C21</f>
        <v>NE PAS UTILISER</v>
      </c>
      <c r="C1886" s="1038" t="str">
        <f>OR_VEH!D20</f>
        <v>417-001</v>
      </c>
      <c r="D1886" s="803">
        <f>Page5_CHV_MCI!G21</f>
        <v>0</v>
      </c>
      <c r="E1886" s="803">
        <f>Page5_CHV_MCI!L21</f>
        <v>0</v>
      </c>
      <c r="F1886" t="str">
        <f t="shared" si="82"/>
        <v>01-00-417-001-SALES-CURR</v>
      </c>
      <c r="G1886" t="s">
        <v>127</v>
      </c>
      <c r="H1886" t="s">
        <v>10287</v>
      </c>
      <c r="I1886" t="s">
        <v>10253</v>
      </c>
      <c r="K1886" s="1073" t="s">
        <v>10288</v>
      </c>
      <c r="L1886" s="789" t="s">
        <v>10241</v>
      </c>
      <c r="M1886" s="790" t="str">
        <f t="shared" si="83"/>
        <v>417</v>
      </c>
      <c r="N1886" s="790" t="str">
        <f t="shared" si="84"/>
        <v>001</v>
      </c>
      <c r="O1886" s="790" t="s">
        <v>9883</v>
      </c>
      <c r="P1886" s="790" t="s">
        <v>10244</v>
      </c>
      <c r="R1886" s="30"/>
    </row>
    <row r="1887" spans="2:18">
      <c r="B1887" s="5" t="str">
        <f>Page5_CHV_MCI!C22</f>
        <v>AUTRES CHEVROLET</v>
      </c>
      <c r="C1887" s="1038" t="str">
        <f>OR_VEH!D21</f>
        <v>418-001</v>
      </c>
      <c r="D1887" s="803">
        <f>Page5_CHV_MCI!G22</f>
        <v>0</v>
      </c>
      <c r="E1887" s="803">
        <f>Page5_CHV_MCI!L22</f>
        <v>0</v>
      </c>
      <c r="F1887" t="str">
        <f t="shared" si="82"/>
        <v>01-00-418-001-SALES-CURR</v>
      </c>
      <c r="G1887" t="s">
        <v>127</v>
      </c>
      <c r="H1887" t="s">
        <v>10287</v>
      </c>
      <c r="I1887" t="s">
        <v>10253</v>
      </c>
      <c r="K1887" s="1073" t="s">
        <v>10288</v>
      </c>
      <c r="L1887" s="789" t="s">
        <v>10241</v>
      </c>
      <c r="M1887" s="790" t="str">
        <f t="shared" si="83"/>
        <v>418</v>
      </c>
      <c r="N1887" s="790" t="str">
        <f t="shared" si="84"/>
        <v>001</v>
      </c>
      <c r="O1887" s="799" t="s">
        <v>9883</v>
      </c>
      <c r="P1887" s="799" t="s">
        <v>10244</v>
      </c>
      <c r="R1887" s="30"/>
    </row>
    <row r="1888" spans="2:18">
      <c r="B1888" s="27" t="s">
        <v>12125</v>
      </c>
      <c r="C1888" s="1042"/>
      <c r="D1888" s="803">
        <f>Page5_CHV_MCI!G23</f>
        <v>0</v>
      </c>
      <c r="E1888" s="803">
        <f>Page5_CHV_MCI!L23</f>
        <v>33144</v>
      </c>
      <c r="F1888" t="str">
        <f t="shared" si="82"/>
        <v>01-00-RTLCAR5A-SALES-CURR</v>
      </c>
      <c r="G1888" t="s">
        <v>127</v>
      </c>
      <c r="H1888" t="s">
        <v>10287</v>
      </c>
      <c r="I1888" t="s">
        <v>10253</v>
      </c>
      <c r="J1888" t="s">
        <v>10268</v>
      </c>
      <c r="K1888" s="1073" t="s">
        <v>10288</v>
      </c>
      <c r="L1888" s="789" t="s">
        <v>10241</v>
      </c>
      <c r="M1888" s="790" t="s">
        <v>10290</v>
      </c>
      <c r="O1888" s="790" t="s">
        <v>9883</v>
      </c>
      <c r="P1888" s="790" t="s">
        <v>10244</v>
      </c>
      <c r="Q1888" s="791" t="s">
        <v>773</v>
      </c>
    </row>
    <row r="1889" spans="2:18">
      <c r="B1889" s="5" t="str">
        <f>Page5_CHV_MCI!C24</f>
        <v>MÉMO* VENTES INTERNET VOITURES</v>
      </c>
      <c r="C1889" s="1038" t="str">
        <f>OR_VEH!D23</f>
        <v>419P5A</v>
      </c>
      <c r="D1889" s="803">
        <f>Page5_CHV_MCI!G24</f>
        <v>0</v>
      </c>
      <c r="E1889" s="803">
        <f>Page5_CHV_MCI!L24</f>
        <v>0</v>
      </c>
      <c r="F1889" t="str">
        <f t="shared" si="82"/>
        <v>01-00-419P5A-SALES-CURR</v>
      </c>
      <c r="G1889" t="s">
        <v>127</v>
      </c>
      <c r="H1889" t="s">
        <v>10287</v>
      </c>
      <c r="I1889" t="s">
        <v>10253</v>
      </c>
      <c r="K1889" s="1073" t="s">
        <v>10288</v>
      </c>
      <c r="L1889" s="789" t="s">
        <v>10241</v>
      </c>
      <c r="M1889" s="855" t="str">
        <f>C1889</f>
        <v>419P5A</v>
      </c>
      <c r="N1889" s="855"/>
      <c r="O1889" s="790" t="s">
        <v>9883</v>
      </c>
      <c r="P1889" s="790" t="s">
        <v>10244</v>
      </c>
      <c r="R1889" s="30"/>
    </row>
    <row r="1890" spans="2:18">
      <c r="B1890" s="5" t="str">
        <f>Page5_CHV_MCI!C25</f>
        <v>TOTAL PARCS - VOITURES</v>
      </c>
      <c r="C1890" s="1038" t="str">
        <f>OR_VEH!D24</f>
        <v>420P5A</v>
      </c>
      <c r="D1890" s="803">
        <f>Page5_CHV_MCI!G25</f>
        <v>0</v>
      </c>
      <c r="E1890" s="803">
        <f>Page5_CHV_MCI!L25</f>
        <v>0</v>
      </c>
      <c r="F1890" t="str">
        <f t="shared" si="82"/>
        <v>01-00-420P5A-SALES-CURR</v>
      </c>
      <c r="G1890" t="s">
        <v>127</v>
      </c>
      <c r="H1890" t="s">
        <v>10287</v>
      </c>
      <c r="I1890" t="s">
        <v>10253</v>
      </c>
      <c r="K1890" s="1073" t="s">
        <v>10288</v>
      </c>
      <c r="L1890" s="789" t="s">
        <v>10241</v>
      </c>
      <c r="M1890" s="855" t="str">
        <f>C1890</f>
        <v>420P5A</v>
      </c>
      <c r="N1890" s="855"/>
      <c r="O1890" s="799" t="s">
        <v>9883</v>
      </c>
      <c r="P1890" s="799" t="s">
        <v>10244</v>
      </c>
      <c r="R1890" s="30"/>
    </row>
    <row r="1891" spans="2:18">
      <c r="B1891" s="5" t="str">
        <f>Page5_CHV_MCI!C26</f>
        <v>TOTAL INTERNE - VOITURES</v>
      </c>
      <c r="C1891" s="1038" t="str">
        <f>OR_VEH!D25</f>
        <v>421P5A</v>
      </c>
      <c r="D1891" s="803">
        <f>Page5_CHV_MCI!G26</f>
        <v>0</v>
      </c>
      <c r="E1891" s="803">
        <f>Page5_CHV_MCI!L26</f>
        <v>0</v>
      </c>
      <c r="F1891" t="str">
        <f t="shared" si="82"/>
        <v>01-00-421P5A-SALES-CURR</v>
      </c>
      <c r="G1891" t="s">
        <v>127</v>
      </c>
      <c r="H1891" t="s">
        <v>10287</v>
      </c>
      <c r="I1891" t="s">
        <v>10253</v>
      </c>
      <c r="K1891" s="1073" t="s">
        <v>10288</v>
      </c>
      <c r="L1891" s="789" t="s">
        <v>10241</v>
      </c>
      <c r="M1891" s="855" t="str">
        <f>C1891</f>
        <v>421P5A</v>
      </c>
      <c r="N1891" s="855"/>
      <c r="O1891" s="799" t="s">
        <v>9883</v>
      </c>
      <c r="P1891" s="799" t="s">
        <v>10244</v>
      </c>
      <c r="R1891" s="30"/>
    </row>
    <row r="1892" spans="2:18">
      <c r="B1892" s="27" t="s">
        <v>12126</v>
      </c>
      <c r="C1892" s="1042"/>
      <c r="D1892" s="803">
        <f>Page5_CHV_MCI!G27</f>
        <v>0</v>
      </c>
      <c r="E1892" s="803">
        <f>Page5_CHV_MCI!L27</f>
        <v>33144</v>
      </c>
      <c r="F1892" t="str">
        <f t="shared" si="82"/>
        <v>01-00-TOTCAR5A-SALES-CURR</v>
      </c>
      <c r="G1892" t="s">
        <v>127</v>
      </c>
      <c r="H1892" t="s">
        <v>10287</v>
      </c>
      <c r="I1892" t="s">
        <v>10253</v>
      </c>
      <c r="J1892" t="s">
        <v>10268</v>
      </c>
      <c r="K1892" s="1073" t="s">
        <v>10288</v>
      </c>
      <c r="L1892" s="789" t="s">
        <v>10241</v>
      </c>
      <c r="M1892" s="790" t="s">
        <v>10292</v>
      </c>
      <c r="O1892" s="790" t="s">
        <v>9883</v>
      </c>
      <c r="P1892" s="790" t="s">
        <v>10244</v>
      </c>
      <c r="Q1892" s="791" t="s">
        <v>773</v>
      </c>
    </row>
    <row r="1893" spans="2:18">
      <c r="B1893" s="5" t="str">
        <f>Page5_CHV_MCI!C28</f>
        <v>NE PAS UTILISER</v>
      </c>
      <c r="C1893" s="1038" t="str">
        <f>OR_VEH!D27</f>
        <v>423-001</v>
      </c>
      <c r="D1893" s="803">
        <f>Page5_CHV_MCI!G28</f>
        <v>0</v>
      </c>
      <c r="E1893" s="803">
        <f>Page5_CHV_MCI!L28</f>
        <v>0</v>
      </c>
      <c r="F1893" t="str">
        <f t="shared" si="82"/>
        <v>01-00-423-001-SALES-CURR</v>
      </c>
      <c r="G1893" t="s">
        <v>127</v>
      </c>
      <c r="H1893" t="s">
        <v>10287</v>
      </c>
      <c r="I1893" t="s">
        <v>10253</v>
      </c>
      <c r="K1893" s="1073" t="s">
        <v>10288</v>
      </c>
      <c r="L1893" s="789" t="s">
        <v>10241</v>
      </c>
      <c r="M1893" s="790" t="str">
        <f t="shared" ref="M1893:M1908" si="85">LEFT(C1893,3)</f>
        <v>423</v>
      </c>
      <c r="N1893" s="790" t="str">
        <f t="shared" ref="N1893:N1908" si="86">RIGHT(C1893,3)</f>
        <v>001</v>
      </c>
      <c r="O1893" s="799" t="s">
        <v>9883</v>
      </c>
      <c r="P1893" s="799" t="s">
        <v>10244</v>
      </c>
      <c r="R1893" s="30"/>
    </row>
    <row r="1894" spans="2:18">
      <c r="B1894" s="5" t="str">
        <f>Page5_CHV_MCI!C29</f>
        <v>NE PAS UTILISER</v>
      </c>
      <c r="C1894" s="1038" t="str">
        <f>OR_VEH!D28</f>
        <v>424-001</v>
      </c>
      <c r="D1894" s="803">
        <f>Page5_CHV_MCI!G29</f>
        <v>0</v>
      </c>
      <c r="E1894" s="803">
        <f>Page5_CHV_MCI!L29</f>
        <v>0</v>
      </c>
      <c r="F1894" t="str">
        <f t="shared" si="82"/>
        <v>01-00-424-001-SALES-CURR</v>
      </c>
      <c r="G1894" t="s">
        <v>127</v>
      </c>
      <c r="H1894" t="s">
        <v>10287</v>
      </c>
      <c r="I1894" t="s">
        <v>10253</v>
      </c>
      <c r="K1894" s="1073" t="s">
        <v>10288</v>
      </c>
      <c r="L1894" s="789" t="s">
        <v>10241</v>
      </c>
      <c r="M1894" s="790" t="str">
        <f t="shared" si="85"/>
        <v>424</v>
      </c>
      <c r="N1894" s="790" t="str">
        <f t="shared" si="86"/>
        <v>001</v>
      </c>
      <c r="O1894" s="799" t="s">
        <v>9883</v>
      </c>
      <c r="P1894" s="799" t="s">
        <v>10244</v>
      </c>
      <c r="R1894" s="30"/>
    </row>
    <row r="1895" spans="2:18">
      <c r="B1895" s="5" t="str">
        <f>Page5_CHV_MCI!C30</f>
        <v>EXPRESS</v>
      </c>
      <c r="C1895" s="1038" t="str">
        <f>OR_VEH!D29</f>
        <v>425-001</v>
      </c>
      <c r="D1895" s="803">
        <f>Page5_CHV_MCI!G30</f>
        <v>65544</v>
      </c>
      <c r="E1895" s="803">
        <f>Page5_CHV_MCI!L30</f>
        <v>65544</v>
      </c>
      <c r="F1895" t="str">
        <f t="shared" si="82"/>
        <v>01-00-425-001-SALES-CURR</v>
      </c>
      <c r="G1895" t="s">
        <v>127</v>
      </c>
      <c r="H1895" t="s">
        <v>10287</v>
      </c>
      <c r="I1895" t="s">
        <v>10253</v>
      </c>
      <c r="K1895" s="1073" t="s">
        <v>10288</v>
      </c>
      <c r="L1895" s="789" t="s">
        <v>10241</v>
      </c>
      <c r="M1895" s="790" t="str">
        <f t="shared" si="85"/>
        <v>425</v>
      </c>
      <c r="N1895" s="790" t="str">
        <f t="shared" si="86"/>
        <v>001</v>
      </c>
      <c r="O1895" s="799" t="s">
        <v>9883</v>
      </c>
      <c r="P1895" s="799" t="s">
        <v>10244</v>
      </c>
      <c r="R1895" s="30"/>
    </row>
    <row r="1896" spans="2:18">
      <c r="B1896" s="5" t="str">
        <f>Page5_CHV_MCI!C31</f>
        <v>COLORADO</v>
      </c>
      <c r="C1896" s="1038" t="str">
        <f>OR_VEH!D30</f>
        <v>426-001</v>
      </c>
      <c r="D1896" s="803">
        <f>Page5_CHV_MCI!G31</f>
        <v>53297</v>
      </c>
      <c r="E1896" s="803">
        <f>Page5_CHV_MCI!L31</f>
        <v>53297</v>
      </c>
      <c r="F1896" t="str">
        <f t="shared" si="82"/>
        <v>01-00-426-001-SALES-CURR</v>
      </c>
      <c r="G1896" t="s">
        <v>127</v>
      </c>
      <c r="H1896" t="s">
        <v>10287</v>
      </c>
      <c r="I1896" t="s">
        <v>10253</v>
      </c>
      <c r="K1896" s="1073" t="s">
        <v>10288</v>
      </c>
      <c r="L1896" s="789" t="s">
        <v>10241</v>
      </c>
      <c r="M1896" s="790" t="str">
        <f t="shared" si="85"/>
        <v>426</v>
      </c>
      <c r="N1896" s="790" t="str">
        <f t="shared" si="86"/>
        <v>001</v>
      </c>
      <c r="O1896" s="799" t="s">
        <v>9883</v>
      </c>
      <c r="P1896" s="799" t="s">
        <v>10244</v>
      </c>
      <c r="R1896" s="30"/>
    </row>
    <row r="1897" spans="2:18">
      <c r="B1897" s="5" t="str">
        <f>Page5_CHV_MCI!C32</f>
        <v>TRAVERSE</v>
      </c>
      <c r="C1897" s="1038" t="str">
        <f>OR_VEH!D31</f>
        <v>427-001</v>
      </c>
      <c r="D1897" s="803">
        <f>Page5_CHV_MCI!G32</f>
        <v>0</v>
      </c>
      <c r="E1897" s="803">
        <f>Page5_CHV_MCI!L32</f>
        <v>127215</v>
      </c>
      <c r="F1897" t="str">
        <f t="shared" si="82"/>
        <v>01-00-427-001-SALES-CURR</v>
      </c>
      <c r="G1897" t="s">
        <v>127</v>
      </c>
      <c r="H1897" t="s">
        <v>10287</v>
      </c>
      <c r="I1897" t="s">
        <v>10253</v>
      </c>
      <c r="K1897" s="1073" t="s">
        <v>10288</v>
      </c>
      <c r="L1897" s="789" t="s">
        <v>10241</v>
      </c>
      <c r="M1897" s="790" t="str">
        <f t="shared" si="85"/>
        <v>427</v>
      </c>
      <c r="N1897" s="790" t="str">
        <f t="shared" si="86"/>
        <v>001</v>
      </c>
      <c r="O1897" s="799" t="s">
        <v>9883</v>
      </c>
      <c r="P1897" s="799" t="s">
        <v>10244</v>
      </c>
      <c r="R1897" s="30"/>
    </row>
    <row r="1898" spans="2:18">
      <c r="B1898" s="5" t="str">
        <f>Page5_CHV_MCI!C33</f>
        <v>TRAX</v>
      </c>
      <c r="C1898" s="1038" t="str">
        <f>OR_VEH!D32</f>
        <v>428-001</v>
      </c>
      <c r="D1898" s="803">
        <f>Page5_CHV_MCI!G33</f>
        <v>149894</v>
      </c>
      <c r="E1898" s="803">
        <f>Page5_CHV_MCI!L33</f>
        <v>302344</v>
      </c>
      <c r="F1898" t="str">
        <f t="shared" si="82"/>
        <v>01-00-428-001-SALES-CURR</v>
      </c>
      <c r="G1898" t="s">
        <v>127</v>
      </c>
      <c r="H1898" t="s">
        <v>10287</v>
      </c>
      <c r="I1898" t="s">
        <v>10253</v>
      </c>
      <c r="K1898" s="1073" t="s">
        <v>10288</v>
      </c>
      <c r="L1898" s="789" t="s">
        <v>10241</v>
      </c>
      <c r="M1898" s="790" t="str">
        <f t="shared" si="85"/>
        <v>428</v>
      </c>
      <c r="N1898" s="790" t="str">
        <f t="shared" si="86"/>
        <v>001</v>
      </c>
      <c r="O1898" s="799" t="s">
        <v>9883</v>
      </c>
      <c r="P1898" s="799" t="s">
        <v>10244</v>
      </c>
      <c r="R1898" s="30"/>
    </row>
    <row r="1899" spans="2:18">
      <c r="B1899" s="5" t="str">
        <f>Page5_CHV_MCI!C34</f>
        <v>TAHOE/SUBURBAN</v>
      </c>
      <c r="C1899" s="1038" t="str">
        <f>OR_VEH!D33</f>
        <v>429-001</v>
      </c>
      <c r="D1899" s="803">
        <f>Page5_CHV_MCI!G34</f>
        <v>80285</v>
      </c>
      <c r="E1899" s="803">
        <f>Page5_CHV_MCI!L34</f>
        <v>363744</v>
      </c>
      <c r="F1899" t="str">
        <f t="shared" si="82"/>
        <v>01-00-429-001-SALES-CURR</v>
      </c>
      <c r="G1899" t="s">
        <v>127</v>
      </c>
      <c r="H1899" t="s">
        <v>10287</v>
      </c>
      <c r="I1899" t="s">
        <v>10253</v>
      </c>
      <c r="K1899" s="1073" t="s">
        <v>10288</v>
      </c>
      <c r="L1899" s="789" t="s">
        <v>10241</v>
      </c>
      <c r="M1899" s="790" t="str">
        <f t="shared" si="85"/>
        <v>429</v>
      </c>
      <c r="N1899" s="790" t="str">
        <f t="shared" si="86"/>
        <v>001</v>
      </c>
      <c r="O1899" s="799" t="s">
        <v>9883</v>
      </c>
      <c r="P1899" s="799" t="s">
        <v>10244</v>
      </c>
      <c r="R1899" s="30"/>
    </row>
    <row r="1900" spans="2:18">
      <c r="B1900" s="5" t="str">
        <f>Page5_CHV_MCI!C35</f>
        <v>CL 1500 SILVERADO</v>
      </c>
      <c r="C1900" s="1038" t="str">
        <f>OR_VEH!D34</f>
        <v>430-001</v>
      </c>
      <c r="D1900" s="803">
        <f>Page5_CHV_MCI!G35</f>
        <v>656805</v>
      </c>
      <c r="E1900" s="803">
        <f>Page5_CHV_MCI!L35</f>
        <v>1726108</v>
      </c>
      <c r="F1900" t="str">
        <f t="shared" si="82"/>
        <v>01-00-430-001-SALES-CURR</v>
      </c>
      <c r="G1900" t="s">
        <v>127</v>
      </c>
      <c r="H1900" t="s">
        <v>10287</v>
      </c>
      <c r="I1900" t="s">
        <v>10253</v>
      </c>
      <c r="K1900" s="1073" t="s">
        <v>10288</v>
      </c>
      <c r="L1900" s="789" t="s">
        <v>10241</v>
      </c>
      <c r="M1900" s="790" t="str">
        <f t="shared" si="85"/>
        <v>430</v>
      </c>
      <c r="N1900" s="790" t="str">
        <f t="shared" si="86"/>
        <v>001</v>
      </c>
      <c r="O1900" s="799" t="s">
        <v>9883</v>
      </c>
      <c r="P1900" s="799" t="s">
        <v>10244</v>
      </c>
      <c r="R1900" s="30"/>
    </row>
    <row r="1901" spans="2:18">
      <c r="B1901" s="5" t="str">
        <f>Page5_CHV_MCI!C36</f>
        <v>CL 2500 SILVERADO</v>
      </c>
      <c r="C1901" s="1038" t="str">
        <f>OR_VEH!D35</f>
        <v>431-001</v>
      </c>
      <c r="D1901" s="803">
        <f>Page5_CHV_MCI!G36</f>
        <v>0</v>
      </c>
      <c r="E1901" s="803">
        <f>Page5_CHV_MCI!L36</f>
        <v>155399</v>
      </c>
      <c r="F1901" t="str">
        <f t="shared" si="82"/>
        <v>01-00-431-001-SALES-CURR</v>
      </c>
      <c r="G1901" t="s">
        <v>127</v>
      </c>
      <c r="H1901" t="s">
        <v>10287</v>
      </c>
      <c r="I1901" t="s">
        <v>10253</v>
      </c>
      <c r="K1901" s="1073" t="s">
        <v>10288</v>
      </c>
      <c r="L1901" s="789" t="s">
        <v>10241</v>
      </c>
      <c r="M1901" s="790" t="str">
        <f t="shared" si="85"/>
        <v>431</v>
      </c>
      <c r="N1901" s="790" t="str">
        <f t="shared" si="86"/>
        <v>001</v>
      </c>
      <c r="O1901" s="799" t="s">
        <v>9883</v>
      </c>
      <c r="P1901" s="799" t="s">
        <v>10244</v>
      </c>
      <c r="R1901" s="30"/>
    </row>
    <row r="1902" spans="2:18">
      <c r="B1902" s="5" t="str">
        <f>Page5_CHV_MCI!C37</f>
        <v>CL 3500 SILVERADO</v>
      </c>
      <c r="C1902" s="1038" t="str">
        <f>OR_VEH!D36</f>
        <v>432-001</v>
      </c>
      <c r="D1902" s="803">
        <f>Page5_CHV_MCI!G37</f>
        <v>0</v>
      </c>
      <c r="E1902" s="803">
        <f>Page5_CHV_MCI!L37</f>
        <v>0</v>
      </c>
      <c r="F1902" t="str">
        <f t="shared" si="82"/>
        <v>01-00-432-001-SALES-CURR</v>
      </c>
      <c r="G1902" t="s">
        <v>127</v>
      </c>
      <c r="H1902" t="s">
        <v>10287</v>
      </c>
      <c r="I1902" t="s">
        <v>10253</v>
      </c>
      <c r="K1902" s="1073" t="s">
        <v>10288</v>
      </c>
      <c r="L1902" s="789" t="s">
        <v>10241</v>
      </c>
      <c r="M1902" s="790" t="str">
        <f t="shared" si="85"/>
        <v>432</v>
      </c>
      <c r="N1902" s="790" t="str">
        <f t="shared" si="86"/>
        <v>001</v>
      </c>
      <c r="O1902" s="799" t="s">
        <v>9883</v>
      </c>
      <c r="P1902" s="799" t="s">
        <v>10244</v>
      </c>
      <c r="R1902" s="30"/>
    </row>
    <row r="1903" spans="2:18">
      <c r="B1903" s="5" t="str">
        <f>Page5_CHV_MCI!C38</f>
        <v>BLAZER</v>
      </c>
      <c r="C1903" s="1038" t="str">
        <f>OR_VEH!D37</f>
        <v>433-001</v>
      </c>
      <c r="D1903" s="803">
        <f>Page5_CHV_MCI!G38</f>
        <v>0</v>
      </c>
      <c r="E1903" s="803">
        <f>Page5_CHV_MCI!L38</f>
        <v>140466</v>
      </c>
      <c r="F1903" t="str">
        <f t="shared" si="82"/>
        <v>01-00-433-001-SALES-CURR</v>
      </c>
      <c r="G1903" t="s">
        <v>127</v>
      </c>
      <c r="H1903" t="s">
        <v>10287</v>
      </c>
      <c r="I1903" t="s">
        <v>10253</v>
      </c>
      <c r="K1903" s="1073" t="s">
        <v>10288</v>
      </c>
      <c r="L1903" s="789" t="s">
        <v>10241</v>
      </c>
      <c r="M1903" s="790" t="str">
        <f t="shared" si="85"/>
        <v>433</v>
      </c>
      <c r="N1903" s="790" t="str">
        <f t="shared" si="86"/>
        <v>001</v>
      </c>
      <c r="O1903" s="799" t="s">
        <v>9883</v>
      </c>
      <c r="P1903" s="799" t="s">
        <v>10244</v>
      </c>
      <c r="R1903" s="30"/>
    </row>
    <row r="1904" spans="2:18">
      <c r="B1904" s="5" t="str">
        <f>Page5_CHV_MCI!C39</f>
        <v>EQUINOX</v>
      </c>
      <c r="C1904" s="1038" t="str">
        <f>OR_VEH!D38</f>
        <v>434-001</v>
      </c>
      <c r="D1904" s="803">
        <f>Page5_CHV_MCI!G39</f>
        <v>0</v>
      </c>
      <c r="E1904" s="803">
        <f>Page5_CHV_MCI!L39</f>
        <v>0</v>
      </c>
      <c r="F1904" t="str">
        <f t="shared" si="82"/>
        <v>01-00-434-001-SALES-CURR</v>
      </c>
      <c r="G1904" t="s">
        <v>127</v>
      </c>
      <c r="H1904" t="s">
        <v>10287</v>
      </c>
      <c r="I1904" t="s">
        <v>10253</v>
      </c>
      <c r="K1904" s="1073" t="s">
        <v>10288</v>
      </c>
      <c r="L1904" s="789" t="s">
        <v>10241</v>
      </c>
      <c r="M1904" s="790" t="str">
        <f t="shared" si="85"/>
        <v>434</v>
      </c>
      <c r="N1904" s="790" t="str">
        <f t="shared" si="86"/>
        <v>001</v>
      </c>
      <c r="O1904" s="799" t="s">
        <v>9883</v>
      </c>
      <c r="P1904" s="799" t="s">
        <v>10244</v>
      </c>
      <c r="R1904" s="30"/>
    </row>
    <row r="1905" spans="2:18">
      <c r="B1905" s="5" t="str">
        <f>Page5_CHV_MCI!C40</f>
        <v>CITY EXPRESS</v>
      </c>
      <c r="C1905" s="1038" t="str">
        <f>OR_VEH!D39</f>
        <v>435-001</v>
      </c>
      <c r="D1905" s="803">
        <f>Page5_CHV_MCI!G40</f>
        <v>0</v>
      </c>
      <c r="E1905" s="803">
        <f>Page5_CHV_MCI!L40</f>
        <v>0</v>
      </c>
      <c r="F1905" t="str">
        <f t="shared" si="82"/>
        <v>01-00-435-001-SALES-CURR</v>
      </c>
      <c r="G1905" t="s">
        <v>127</v>
      </c>
      <c r="H1905" t="s">
        <v>10287</v>
      </c>
      <c r="I1905" t="s">
        <v>10253</v>
      </c>
      <c r="K1905" s="1073" t="s">
        <v>10288</v>
      </c>
      <c r="L1905" s="789" t="s">
        <v>10241</v>
      </c>
      <c r="M1905" s="790" t="str">
        <f t="shared" si="85"/>
        <v>435</v>
      </c>
      <c r="N1905" s="790" t="str">
        <f t="shared" si="86"/>
        <v>001</v>
      </c>
      <c r="O1905" s="799" t="s">
        <v>9883</v>
      </c>
      <c r="P1905" s="799" t="s">
        <v>10244</v>
      </c>
      <c r="R1905" s="30"/>
    </row>
    <row r="1906" spans="2:18">
      <c r="B1906" s="5" t="str">
        <f>Page5_CHV_MCI!C41</f>
        <v>TRAILBLAZER</v>
      </c>
      <c r="C1906" s="1038" t="str">
        <f>OR_VEH!D40</f>
        <v>436-001</v>
      </c>
      <c r="D1906" s="803">
        <f>Page5_CHV_MCI!G41</f>
        <v>35664</v>
      </c>
      <c r="E1906" s="803">
        <f>Page5_CHV_MCI!L41</f>
        <v>35664</v>
      </c>
      <c r="F1906" t="str">
        <f t="shared" si="82"/>
        <v>01-00-436-001-SALES-CURR</v>
      </c>
      <c r="G1906" t="s">
        <v>127</v>
      </c>
      <c r="H1906" t="s">
        <v>10287</v>
      </c>
      <c r="I1906" t="s">
        <v>10253</v>
      </c>
      <c r="K1906" s="1073" t="s">
        <v>10288</v>
      </c>
      <c r="L1906" s="789" t="s">
        <v>10241</v>
      </c>
      <c r="M1906" s="790" t="str">
        <f t="shared" si="85"/>
        <v>436</v>
      </c>
      <c r="N1906" s="790" t="str">
        <f t="shared" si="86"/>
        <v>001</v>
      </c>
      <c r="O1906" s="790" t="s">
        <v>9883</v>
      </c>
      <c r="P1906" s="799" t="s">
        <v>10244</v>
      </c>
      <c r="R1906" s="30"/>
    </row>
    <row r="1907" spans="2:18">
      <c r="B1907" s="5" t="str">
        <f>Page5_CHV_MCI!C42</f>
        <v>POUR USAGE FUTUR</v>
      </c>
      <c r="C1907" s="1038" t="str">
        <f>OR_VEH!D41</f>
        <v>437-001</v>
      </c>
      <c r="D1907" s="803">
        <f>Page5_CHV_MCI!G42</f>
        <v>0</v>
      </c>
      <c r="E1907" s="803">
        <f>Page5_CHV_MCI!L42</f>
        <v>0</v>
      </c>
      <c r="F1907" t="str">
        <f t="shared" si="82"/>
        <v>01-00-437-001-SALES-CURR</v>
      </c>
      <c r="G1907" t="s">
        <v>127</v>
      </c>
      <c r="H1907" t="s">
        <v>10287</v>
      </c>
      <c r="I1907" t="s">
        <v>10253</v>
      </c>
      <c r="K1907" s="1073" t="s">
        <v>10288</v>
      </c>
      <c r="L1907" s="789" t="s">
        <v>10241</v>
      </c>
      <c r="M1907" s="790" t="str">
        <f t="shared" si="85"/>
        <v>437</v>
      </c>
      <c r="N1907" s="790" t="str">
        <f t="shared" si="86"/>
        <v>001</v>
      </c>
      <c r="O1907" s="790" t="s">
        <v>9883</v>
      </c>
      <c r="P1907" s="799" t="s">
        <v>10244</v>
      </c>
      <c r="R1907" s="30"/>
    </row>
    <row r="1908" spans="2:18">
      <c r="B1908" s="5" t="str">
        <f>Page5_CHV_MCI!C43</f>
        <v>AUTRES CHEVROLET</v>
      </c>
      <c r="C1908" s="1038" t="str">
        <f>OR_VEH!D42</f>
        <v>438-001</v>
      </c>
      <c r="D1908" s="803">
        <f>Page5_CHV_MCI!G43</f>
        <v>0</v>
      </c>
      <c r="E1908" s="803">
        <f>Page5_CHV_MCI!L43</f>
        <v>0</v>
      </c>
      <c r="F1908" t="str">
        <f t="shared" si="82"/>
        <v>01-00-438-001-SALES-CURR</v>
      </c>
      <c r="G1908" t="s">
        <v>127</v>
      </c>
      <c r="H1908" t="s">
        <v>10287</v>
      </c>
      <c r="I1908" t="s">
        <v>10253</v>
      </c>
      <c r="K1908" s="1073" t="s">
        <v>10288</v>
      </c>
      <c r="L1908" s="789" t="s">
        <v>10241</v>
      </c>
      <c r="M1908" s="790" t="str">
        <f t="shared" si="85"/>
        <v>438</v>
      </c>
      <c r="N1908" s="790" t="str">
        <f t="shared" si="86"/>
        <v>001</v>
      </c>
      <c r="O1908" s="790" t="s">
        <v>9883</v>
      </c>
      <c r="P1908" s="799" t="s">
        <v>10244</v>
      </c>
      <c r="R1908" s="30"/>
    </row>
    <row r="1909" spans="2:18">
      <c r="B1909" s="51" t="s">
        <v>12127</v>
      </c>
      <c r="C1909" s="1042"/>
      <c r="D1909" s="803">
        <f>Page5_CHV_MCI!G44</f>
        <v>1041489</v>
      </c>
      <c r="E1909" s="803">
        <f>Page5_CHV_MCI!L44</f>
        <v>2969781</v>
      </c>
      <c r="F1909" t="str">
        <f t="shared" si="82"/>
        <v>01-00-RTLTRK5A-SALES-CURR</v>
      </c>
      <c r="G1909" t="s">
        <v>127</v>
      </c>
      <c r="H1909" t="s">
        <v>10287</v>
      </c>
      <c r="I1909" t="s">
        <v>10253</v>
      </c>
      <c r="J1909" t="s">
        <v>10268</v>
      </c>
      <c r="K1909" s="1073" t="s">
        <v>10288</v>
      </c>
      <c r="L1909" s="789" t="s">
        <v>10241</v>
      </c>
      <c r="M1909" s="790" t="s">
        <v>10294</v>
      </c>
      <c r="O1909" s="790" t="s">
        <v>9883</v>
      </c>
      <c r="P1909" s="790" t="s">
        <v>10244</v>
      </c>
      <c r="Q1909" s="791" t="s">
        <v>773</v>
      </c>
    </row>
    <row r="1910" spans="2:18">
      <c r="B1910" s="5" t="str">
        <f>Page5_CHV_MCI!C45</f>
        <v>MÉMO* VENTES INTERNET CAMIONS</v>
      </c>
      <c r="C1910" s="1038" t="str">
        <f>OR_VEH!D44</f>
        <v>439P5A</v>
      </c>
      <c r="D1910" s="803">
        <f>Page5_CHV_MCI!G45</f>
        <v>0</v>
      </c>
      <c r="E1910" s="803">
        <f>Page5_CHV_MCI!L45</f>
        <v>0</v>
      </c>
      <c r="F1910" t="str">
        <f t="shared" ref="F1910:F1973" si="87">TEXT(K1910,"00")&amp;"-"&amp;L1910&amp;IF(M1910="","","-"&amp;M1910)&amp;IF(N1910="","","-"&amp;N1910)&amp;IF(OR(O1910="",O1910=0),"","-"&amp;O1910)&amp;IF(P1910="","","-"&amp;P1910)</f>
        <v>01-00-439P5A-SALES-CURR</v>
      </c>
      <c r="G1910" t="s">
        <v>127</v>
      </c>
      <c r="H1910" t="s">
        <v>10287</v>
      </c>
      <c r="I1910" t="s">
        <v>10253</v>
      </c>
      <c r="K1910" s="1073" t="s">
        <v>10288</v>
      </c>
      <c r="L1910" s="789" t="s">
        <v>10241</v>
      </c>
      <c r="M1910" s="855" t="str">
        <f>C1910</f>
        <v>439P5A</v>
      </c>
      <c r="N1910" s="855"/>
      <c r="O1910" s="790" t="s">
        <v>9883</v>
      </c>
      <c r="P1910" s="799" t="s">
        <v>10244</v>
      </c>
      <c r="R1910" s="30"/>
    </row>
    <row r="1911" spans="2:18">
      <c r="B1911" s="5" t="str">
        <f>Page5_CHV_MCI!C46</f>
        <v>TOTAL PARCS - CAMIONS</v>
      </c>
      <c r="C1911" s="1038" t="str">
        <f>OR_VEH!D45</f>
        <v>440P5A</v>
      </c>
      <c r="D1911" s="803">
        <f>Page5_CHV_MCI!G46</f>
        <v>619285</v>
      </c>
      <c r="E1911" s="803">
        <f>Page5_CHV_MCI!L46</f>
        <v>2326463</v>
      </c>
      <c r="F1911" t="str">
        <f t="shared" si="87"/>
        <v>01-00-440P5A-SALES-CURR</v>
      </c>
      <c r="G1911" t="s">
        <v>127</v>
      </c>
      <c r="H1911" t="s">
        <v>10287</v>
      </c>
      <c r="I1911" t="s">
        <v>10253</v>
      </c>
      <c r="K1911" s="1073" t="s">
        <v>10288</v>
      </c>
      <c r="L1911" s="789" t="s">
        <v>10241</v>
      </c>
      <c r="M1911" s="855" t="str">
        <f>C1911</f>
        <v>440P5A</v>
      </c>
      <c r="N1911" s="855"/>
      <c r="O1911" s="799" t="s">
        <v>9883</v>
      </c>
      <c r="P1911" s="799" t="s">
        <v>10244</v>
      </c>
      <c r="R1911" s="30"/>
    </row>
    <row r="1912" spans="2:18">
      <c r="B1912" s="5" t="str">
        <f>Page5_CHV_MCI!C47</f>
        <v xml:space="preserve">TOTAL IINTERNE - CAMIONS </v>
      </c>
      <c r="C1912" s="1038" t="str">
        <f>OR_VEH!D46</f>
        <v>441P5A</v>
      </c>
      <c r="D1912" s="803">
        <f>Page5_CHV_MCI!G47</f>
        <v>0</v>
      </c>
      <c r="E1912" s="803">
        <f>Page5_CHV_MCI!L47</f>
        <v>0</v>
      </c>
      <c r="F1912" t="str">
        <f t="shared" si="87"/>
        <v>01-00-441P5A-SALES-CURR</v>
      </c>
      <c r="G1912" t="s">
        <v>127</v>
      </c>
      <c r="H1912" t="s">
        <v>10287</v>
      </c>
      <c r="I1912" t="s">
        <v>10253</v>
      </c>
      <c r="K1912" s="1073" t="s">
        <v>10288</v>
      </c>
      <c r="L1912" s="789" t="s">
        <v>10241</v>
      </c>
      <c r="M1912" s="855" t="str">
        <f>C1912</f>
        <v>441P5A</v>
      </c>
      <c r="N1912" s="855"/>
      <c r="O1912" s="799" t="s">
        <v>9883</v>
      </c>
      <c r="P1912" s="799" t="s">
        <v>10244</v>
      </c>
      <c r="R1912" s="30"/>
    </row>
    <row r="1913" spans="2:18">
      <c r="B1913" s="27" t="s">
        <v>12128</v>
      </c>
      <c r="C1913" s="1042"/>
      <c r="D1913" s="803">
        <f>Page5_CHV_MCI!G48</f>
        <v>1660774</v>
      </c>
      <c r="E1913" s="803">
        <f>Page5_CHV_MCI!L48</f>
        <v>5296244</v>
      </c>
      <c r="F1913" t="str">
        <f t="shared" si="87"/>
        <v>01-00-TOTTRK5A-SALES-CURR</v>
      </c>
      <c r="G1913" t="s">
        <v>127</v>
      </c>
      <c r="H1913" t="s">
        <v>10287</v>
      </c>
      <c r="I1913" t="s">
        <v>10253</v>
      </c>
      <c r="J1913" t="s">
        <v>10268</v>
      </c>
      <c r="K1913" s="1073" t="s">
        <v>10288</v>
      </c>
      <c r="L1913" s="789" t="s">
        <v>10241</v>
      </c>
      <c r="M1913" s="790" t="s">
        <v>10296</v>
      </c>
      <c r="O1913" s="790" t="s">
        <v>9883</v>
      </c>
      <c r="P1913" s="790" t="s">
        <v>10244</v>
      </c>
      <c r="Q1913" s="791" t="s">
        <v>773</v>
      </c>
    </row>
    <row r="1914" spans="2:18">
      <c r="B1914" s="5" t="str">
        <f>Page5_CHV_MCI!C50</f>
        <v>ACCESSOIRES</v>
      </c>
      <c r="C1914" s="1038" t="str">
        <f>OR_VEH!D49</f>
        <v>457P5A</v>
      </c>
      <c r="D1914" s="803">
        <f>Page5_CHV_MCI!G50</f>
        <v>0</v>
      </c>
      <c r="E1914" s="803">
        <f>Page5_CHV_MCI!L50</f>
        <v>0</v>
      </c>
      <c r="F1914" t="str">
        <f t="shared" si="87"/>
        <v>01-00-457P5A-SALES-CURR</v>
      </c>
      <c r="G1914" t="s">
        <v>127</v>
      </c>
      <c r="H1914" t="s">
        <v>10287</v>
      </c>
      <c r="I1914" t="s">
        <v>10253</v>
      </c>
      <c r="K1914" s="1073" t="s">
        <v>10288</v>
      </c>
      <c r="L1914" s="789" t="s">
        <v>10241</v>
      </c>
      <c r="M1914" s="855" t="str">
        <f>C1914</f>
        <v>457P5A</v>
      </c>
      <c r="N1914" s="855"/>
      <c r="O1914" s="790" t="s">
        <v>9883</v>
      </c>
      <c r="P1914" s="799" t="s">
        <v>10244</v>
      </c>
      <c r="R1914" s="30"/>
    </row>
    <row r="1915" spans="2:18">
      <c r="B1915" s="27" t="s">
        <v>12129</v>
      </c>
      <c r="C1915" s="1042"/>
      <c r="D1915" s="803">
        <f>Page5_CHV_MCI!G51</f>
        <v>1660774</v>
      </c>
      <c r="E1915" s="803">
        <f>Page5_CHV_MCI!L51</f>
        <v>5329388</v>
      </c>
      <c r="F1915" t="str">
        <f t="shared" si="87"/>
        <v>01-00-TOTVEH5A-SALES-CURR</v>
      </c>
      <c r="G1915" t="s">
        <v>127</v>
      </c>
      <c r="H1915" t="s">
        <v>10287</v>
      </c>
      <c r="I1915" t="s">
        <v>10253</v>
      </c>
      <c r="J1915" t="s">
        <v>10268</v>
      </c>
      <c r="K1915" s="1073" t="s">
        <v>10288</v>
      </c>
      <c r="L1915" s="789" t="s">
        <v>10241</v>
      </c>
      <c r="M1915" s="790" t="s">
        <v>10298</v>
      </c>
      <c r="O1915" s="790" t="s">
        <v>9883</v>
      </c>
      <c r="P1915" s="790" t="s">
        <v>10244</v>
      </c>
      <c r="Q1915" s="791" t="s">
        <v>773</v>
      </c>
    </row>
    <row r="1916" spans="2:18">
      <c r="B1916" s="5" t="str">
        <f>Page5_CHV_MCI!C4</f>
        <v>VOLT</v>
      </c>
      <c r="C1916" s="1038" t="str">
        <f>OR_VEH!D3</f>
        <v>400-001</v>
      </c>
      <c r="D1916" s="803">
        <f>Page5_CHV_MCI!I4</f>
        <v>0</v>
      </c>
      <c r="E1916" s="803">
        <f>Page5_CHV_MCI!N4</f>
        <v>0</v>
      </c>
      <c r="F1916" t="str">
        <f t="shared" si="87"/>
        <v>01-00-400-001-GRSPFT-CURR</v>
      </c>
      <c r="G1916" t="s">
        <v>127</v>
      </c>
      <c r="H1916" t="s">
        <v>10287</v>
      </c>
      <c r="I1916" t="s">
        <v>10253</v>
      </c>
      <c r="K1916" s="1073" t="s">
        <v>10288</v>
      </c>
      <c r="L1916" s="789" t="s">
        <v>10241</v>
      </c>
      <c r="M1916" s="790" t="str">
        <f t="shared" ref="M1916:M1934" si="88">LEFT(C1916,3)</f>
        <v>400</v>
      </c>
      <c r="N1916" s="790" t="str">
        <f t="shared" ref="N1916:N1934" si="89">RIGHT(C1916,3)</f>
        <v>001</v>
      </c>
      <c r="O1916" s="799" t="s">
        <v>10467</v>
      </c>
      <c r="P1916" s="799" t="s">
        <v>10244</v>
      </c>
      <c r="R1916" s="30"/>
    </row>
    <row r="1917" spans="2:18">
      <c r="B1917" s="5" t="str">
        <f>Page5_CHV_MCI!C5</f>
        <v>MALIBU</v>
      </c>
      <c r="C1917" s="1038" t="str">
        <f>OR_VEH!D4</f>
        <v>401-001</v>
      </c>
      <c r="D1917" s="803">
        <f>Page5_CHV_MCI!I5</f>
        <v>0</v>
      </c>
      <c r="E1917" s="803">
        <f>Page5_CHV_MCI!N5</f>
        <v>-1856</v>
      </c>
      <c r="F1917" t="str">
        <f t="shared" si="87"/>
        <v>01-00-401-001-GRSPFT-CURR</v>
      </c>
      <c r="G1917" t="s">
        <v>127</v>
      </c>
      <c r="H1917" t="s">
        <v>10287</v>
      </c>
      <c r="I1917" t="s">
        <v>10253</v>
      </c>
      <c r="K1917" s="1073" t="s">
        <v>10288</v>
      </c>
      <c r="L1917" s="789" t="s">
        <v>10241</v>
      </c>
      <c r="M1917" s="790" t="str">
        <f t="shared" si="88"/>
        <v>401</v>
      </c>
      <c r="N1917" s="790" t="str">
        <f t="shared" si="89"/>
        <v>001</v>
      </c>
      <c r="O1917" s="799" t="s">
        <v>10467</v>
      </c>
      <c r="P1917" s="799" t="s">
        <v>10244</v>
      </c>
      <c r="R1917" s="30"/>
    </row>
    <row r="1918" spans="2:18">
      <c r="B1918" s="5" t="str">
        <f>Page5_CHV_MCI!C6</f>
        <v>SONIC</v>
      </c>
      <c r="C1918" s="1038" t="str">
        <f>OR_VEH!D5</f>
        <v>402-001</v>
      </c>
      <c r="D1918" s="803">
        <f>Page5_CHV_MCI!I6</f>
        <v>0</v>
      </c>
      <c r="E1918" s="803">
        <f>Page5_CHV_MCI!N6</f>
        <v>0</v>
      </c>
      <c r="F1918" t="str">
        <f t="shared" si="87"/>
        <v>01-00-402-001-GRSPFT-CURR</v>
      </c>
      <c r="G1918" t="s">
        <v>127</v>
      </c>
      <c r="H1918" t="s">
        <v>10287</v>
      </c>
      <c r="I1918" t="s">
        <v>10253</v>
      </c>
      <c r="K1918" s="1073" t="s">
        <v>10288</v>
      </c>
      <c r="L1918" s="789" t="s">
        <v>10241</v>
      </c>
      <c r="M1918" s="790" t="str">
        <f t="shared" si="88"/>
        <v>402</v>
      </c>
      <c r="N1918" s="790" t="str">
        <f t="shared" si="89"/>
        <v>001</v>
      </c>
      <c r="O1918" s="799" t="s">
        <v>10467</v>
      </c>
      <c r="P1918" s="799" t="s">
        <v>10244</v>
      </c>
      <c r="R1918" s="30"/>
    </row>
    <row r="1919" spans="2:18">
      <c r="B1919" s="5" t="str">
        <f>Page5_CHV_MCI!C7</f>
        <v>IMPALA</v>
      </c>
      <c r="C1919" s="1038" t="str">
        <f>OR_VEH!D6</f>
        <v>403-001</v>
      </c>
      <c r="D1919" s="803">
        <f>Page5_CHV_MCI!I7</f>
        <v>0</v>
      </c>
      <c r="E1919" s="803">
        <f>Page5_CHV_MCI!N7</f>
        <v>0</v>
      </c>
      <c r="F1919" t="str">
        <f t="shared" si="87"/>
        <v>01-00-403-001-GRSPFT-CURR</v>
      </c>
      <c r="G1919" t="s">
        <v>127</v>
      </c>
      <c r="H1919" t="s">
        <v>10287</v>
      </c>
      <c r="I1919" t="s">
        <v>10253</v>
      </c>
      <c r="K1919" s="1073" t="s">
        <v>10288</v>
      </c>
      <c r="L1919" s="789" t="s">
        <v>10241</v>
      </c>
      <c r="M1919" s="790" t="str">
        <f t="shared" si="88"/>
        <v>403</v>
      </c>
      <c r="N1919" s="790" t="str">
        <f t="shared" si="89"/>
        <v>001</v>
      </c>
      <c r="O1919" s="799" t="s">
        <v>10467</v>
      </c>
      <c r="P1919" s="799" t="s">
        <v>10244</v>
      </c>
      <c r="R1919" s="30"/>
    </row>
    <row r="1920" spans="2:18">
      <c r="B1920" s="5" t="str">
        <f>Page5_CHV_MCI!C8</f>
        <v>SPARK</v>
      </c>
      <c r="C1920" s="1038" t="str">
        <f>OR_VEH!D7</f>
        <v>404-001</v>
      </c>
      <c r="D1920" s="803">
        <f>Page5_CHV_MCI!I8</f>
        <v>0</v>
      </c>
      <c r="E1920" s="803">
        <f>Page5_CHV_MCI!N8</f>
        <v>0</v>
      </c>
      <c r="F1920" t="str">
        <f t="shared" si="87"/>
        <v>01-00-404-001-GRSPFT-CURR</v>
      </c>
      <c r="G1920" t="s">
        <v>127</v>
      </c>
      <c r="H1920" t="s">
        <v>10287</v>
      </c>
      <c r="I1920" t="s">
        <v>10253</v>
      </c>
      <c r="K1920" s="1073" t="s">
        <v>10288</v>
      </c>
      <c r="L1920" s="789" t="s">
        <v>10241</v>
      </c>
      <c r="M1920" s="790" t="str">
        <f t="shared" si="88"/>
        <v>404</v>
      </c>
      <c r="N1920" s="790" t="str">
        <f t="shared" si="89"/>
        <v>001</v>
      </c>
      <c r="O1920" s="799" t="s">
        <v>10467</v>
      </c>
      <c r="P1920" s="799" t="s">
        <v>10244</v>
      </c>
      <c r="R1920" s="30"/>
    </row>
    <row r="1921" spans="2:18">
      <c r="B1921" s="5" t="str">
        <f>Page5_CHV_MCI!C9</f>
        <v>CORVETTE</v>
      </c>
      <c r="C1921" s="1038" t="str">
        <f>OR_VEH!D8</f>
        <v>405-001</v>
      </c>
      <c r="D1921" s="803">
        <f>Page5_CHV_MCI!I9</f>
        <v>0</v>
      </c>
      <c r="E1921" s="803">
        <f>Page5_CHV_MCI!N9</f>
        <v>0</v>
      </c>
      <c r="F1921" t="str">
        <f t="shared" si="87"/>
        <v>01-00-405-001-GRSPFT-CURR</v>
      </c>
      <c r="G1921" t="s">
        <v>127</v>
      </c>
      <c r="H1921" t="s">
        <v>10287</v>
      </c>
      <c r="I1921" t="s">
        <v>10253</v>
      </c>
      <c r="K1921" s="1073" t="s">
        <v>10288</v>
      </c>
      <c r="L1921" s="789" t="s">
        <v>10241</v>
      </c>
      <c r="M1921" s="790" t="str">
        <f t="shared" si="88"/>
        <v>405</v>
      </c>
      <c r="N1921" s="790" t="str">
        <f t="shared" si="89"/>
        <v>001</v>
      </c>
      <c r="O1921" s="799" t="s">
        <v>10467</v>
      </c>
      <c r="P1921" s="799" t="s">
        <v>10244</v>
      </c>
      <c r="R1921" s="30"/>
    </row>
    <row r="1922" spans="2:18">
      <c r="B1922" s="5" t="str">
        <f>Page5_CHV_MCI!C10</f>
        <v>CORVETTE E-RAY</v>
      </c>
      <c r="C1922" s="1038" t="str">
        <f>OR_VEH!D9</f>
        <v>406-001</v>
      </c>
      <c r="D1922" s="803">
        <f>Page5_CHV_MCI!I10</f>
        <v>0</v>
      </c>
      <c r="E1922" s="803">
        <f>Page5_CHV_MCI!N10</f>
        <v>0</v>
      </c>
      <c r="F1922" t="str">
        <f t="shared" si="87"/>
        <v>01-00-406-001-GRSPFT-CURR</v>
      </c>
      <c r="G1922" t="s">
        <v>127</v>
      </c>
      <c r="H1922" t="s">
        <v>10287</v>
      </c>
      <c r="I1922" t="s">
        <v>10253</v>
      </c>
      <c r="K1922" s="1073" t="s">
        <v>10288</v>
      </c>
      <c r="L1922" s="789" t="s">
        <v>10241</v>
      </c>
      <c r="M1922" s="790" t="str">
        <f t="shared" si="88"/>
        <v>406</v>
      </c>
      <c r="N1922" s="790" t="str">
        <f t="shared" si="89"/>
        <v>001</v>
      </c>
      <c r="O1922" s="799" t="s">
        <v>10467</v>
      </c>
      <c r="P1922" s="799" t="s">
        <v>10244</v>
      </c>
      <c r="R1922" s="30"/>
    </row>
    <row r="1923" spans="2:18">
      <c r="B1923" s="5" t="str">
        <f>Page5_CHV_MCI!C11</f>
        <v>NE PAS UTILISER</v>
      </c>
      <c r="C1923" s="1038" t="str">
        <f>OR_VEH!D10</f>
        <v>407-001</v>
      </c>
      <c r="D1923" s="803">
        <f>Page5_CHV_MCI!I11</f>
        <v>0</v>
      </c>
      <c r="E1923" s="803">
        <f>Page5_CHV_MCI!N11</f>
        <v>0</v>
      </c>
      <c r="F1923" t="str">
        <f t="shared" si="87"/>
        <v>01-00-407-001-GRSPFT-CURR</v>
      </c>
      <c r="G1923" t="s">
        <v>127</v>
      </c>
      <c r="H1923" t="s">
        <v>10287</v>
      </c>
      <c r="I1923" t="s">
        <v>10253</v>
      </c>
      <c r="K1923" s="1073" t="s">
        <v>10288</v>
      </c>
      <c r="L1923" s="789" t="s">
        <v>10241</v>
      </c>
      <c r="M1923" s="790" t="str">
        <f t="shared" si="88"/>
        <v>407</v>
      </c>
      <c r="N1923" s="790" t="str">
        <f t="shared" si="89"/>
        <v>001</v>
      </c>
      <c r="O1923" s="799" t="s">
        <v>10467</v>
      </c>
      <c r="P1923" s="799" t="s">
        <v>10244</v>
      </c>
      <c r="R1923" s="30"/>
    </row>
    <row r="1924" spans="2:18">
      <c r="B1924" s="5" t="str">
        <f>Page5_CHV_MCI!C12</f>
        <v>NE PAS UTILISER</v>
      </c>
      <c r="C1924" s="1038" t="str">
        <f>OR_VEH!D11</f>
        <v>408-001</v>
      </c>
      <c r="D1924" s="803">
        <f>Page5_CHV_MCI!I12</f>
        <v>0</v>
      </c>
      <c r="E1924" s="803">
        <f>Page5_CHV_MCI!N12</f>
        <v>0</v>
      </c>
      <c r="F1924" t="str">
        <f t="shared" si="87"/>
        <v>01-00-408-001-GRSPFT-CURR</v>
      </c>
      <c r="G1924" t="s">
        <v>127</v>
      </c>
      <c r="H1924" t="s">
        <v>10287</v>
      </c>
      <c r="I1924" t="s">
        <v>10253</v>
      </c>
      <c r="K1924" s="1073" t="s">
        <v>10288</v>
      </c>
      <c r="L1924" s="789" t="s">
        <v>10241</v>
      </c>
      <c r="M1924" s="790" t="str">
        <f t="shared" si="88"/>
        <v>408</v>
      </c>
      <c r="N1924" s="790" t="str">
        <f t="shared" si="89"/>
        <v>001</v>
      </c>
      <c r="O1924" s="799" t="s">
        <v>10467</v>
      </c>
      <c r="P1924" s="799" t="s">
        <v>10244</v>
      </c>
      <c r="R1924" s="30"/>
    </row>
    <row r="1925" spans="2:18">
      <c r="B1925" s="5" t="str">
        <f>Page5_CHV_MCI!C13</f>
        <v>NE PAS UTILISER</v>
      </c>
      <c r="C1925" s="1038" t="str">
        <f>OR_VEH!D12</f>
        <v>409-001</v>
      </c>
      <c r="D1925" s="803">
        <f>Page5_CHV_MCI!I13</f>
        <v>0</v>
      </c>
      <c r="E1925" s="803">
        <f>Page5_CHV_MCI!N13</f>
        <v>0</v>
      </c>
      <c r="F1925" t="str">
        <f t="shared" si="87"/>
        <v>01-00-409-001-GRSPFT-CURR</v>
      </c>
      <c r="G1925" t="s">
        <v>127</v>
      </c>
      <c r="H1925" t="s">
        <v>10287</v>
      </c>
      <c r="I1925" t="s">
        <v>10253</v>
      </c>
      <c r="K1925" s="1073" t="s">
        <v>10288</v>
      </c>
      <c r="L1925" s="789" t="s">
        <v>10241</v>
      </c>
      <c r="M1925" s="790" t="str">
        <f t="shared" si="88"/>
        <v>409</v>
      </c>
      <c r="N1925" s="790" t="str">
        <f t="shared" si="89"/>
        <v>001</v>
      </c>
      <c r="O1925" s="799" t="s">
        <v>10467</v>
      </c>
      <c r="P1925" s="799" t="s">
        <v>10244</v>
      </c>
      <c r="R1925" s="30"/>
    </row>
    <row r="1926" spans="2:18">
      <c r="B1926" s="5" t="str">
        <f>Page5_CHV_MCI!C14</f>
        <v>CAMARO</v>
      </c>
      <c r="C1926" s="1038" t="str">
        <f>OR_VEH!D13</f>
        <v>410-001</v>
      </c>
      <c r="D1926" s="803">
        <f>Page5_CHV_MCI!I14</f>
        <v>0</v>
      </c>
      <c r="E1926" s="803">
        <f>Page5_CHV_MCI!N14</f>
        <v>0</v>
      </c>
      <c r="F1926" t="str">
        <f t="shared" si="87"/>
        <v>01-00-410-001-GRSPFT-CURR</v>
      </c>
      <c r="G1926" t="s">
        <v>127</v>
      </c>
      <c r="H1926" t="s">
        <v>10287</v>
      </c>
      <c r="I1926" t="s">
        <v>10253</v>
      </c>
      <c r="K1926" s="1073" t="s">
        <v>10288</v>
      </c>
      <c r="L1926" s="789" t="s">
        <v>10241</v>
      </c>
      <c r="M1926" s="790" t="str">
        <f t="shared" si="88"/>
        <v>410</v>
      </c>
      <c r="N1926" s="790" t="str">
        <f t="shared" si="89"/>
        <v>001</v>
      </c>
      <c r="O1926" s="790" t="s">
        <v>10467</v>
      </c>
      <c r="P1926" s="790" t="s">
        <v>10244</v>
      </c>
      <c r="R1926" s="30"/>
    </row>
    <row r="1927" spans="2:18">
      <c r="B1927" s="5" t="str">
        <f>Page5_CHV_MCI!C15</f>
        <v>CRUZE</v>
      </c>
      <c r="C1927" s="1038" t="str">
        <f>OR_VEH!D14</f>
        <v>411-001</v>
      </c>
      <c r="D1927" s="803">
        <f>Page5_CHV_MCI!I15</f>
        <v>0</v>
      </c>
      <c r="E1927" s="803">
        <f>Page5_CHV_MCI!N15</f>
        <v>0</v>
      </c>
      <c r="F1927" t="str">
        <f t="shared" si="87"/>
        <v>01-00-411-001-GRSPFT-CURR</v>
      </c>
      <c r="G1927" t="s">
        <v>127</v>
      </c>
      <c r="H1927" t="s">
        <v>10287</v>
      </c>
      <c r="I1927" t="s">
        <v>10253</v>
      </c>
      <c r="K1927" s="1073" t="s">
        <v>10288</v>
      </c>
      <c r="L1927" s="789" t="s">
        <v>10241</v>
      </c>
      <c r="M1927" s="790" t="str">
        <f t="shared" si="88"/>
        <v>411</v>
      </c>
      <c r="N1927" s="790" t="str">
        <f t="shared" si="89"/>
        <v>001</v>
      </c>
      <c r="O1927" s="790" t="s">
        <v>10467</v>
      </c>
      <c r="P1927" s="790" t="s">
        <v>10244</v>
      </c>
      <c r="R1927" s="30"/>
    </row>
    <row r="1928" spans="2:18">
      <c r="B1928" s="5" t="str">
        <f>Page5_CHV_MCI!C16</f>
        <v>NE PAS UTILISER</v>
      </c>
      <c r="C1928" s="1038" t="str">
        <f>OR_VEH!D15</f>
        <v>412-001</v>
      </c>
      <c r="D1928" s="803">
        <f>Page5_CHV_MCI!I16</f>
        <v>0</v>
      </c>
      <c r="E1928" s="803">
        <f>Page5_CHV_MCI!N16</f>
        <v>0</v>
      </c>
      <c r="F1928" t="str">
        <f t="shared" si="87"/>
        <v>01-00-412-001-GRSPFT-CURR</v>
      </c>
      <c r="G1928" t="s">
        <v>127</v>
      </c>
      <c r="H1928" t="s">
        <v>10287</v>
      </c>
      <c r="I1928" t="s">
        <v>10253</v>
      </c>
      <c r="K1928" s="1073" t="s">
        <v>10288</v>
      </c>
      <c r="L1928" s="789" t="s">
        <v>10241</v>
      </c>
      <c r="M1928" s="790" t="str">
        <f t="shared" si="88"/>
        <v>412</v>
      </c>
      <c r="N1928" s="790" t="str">
        <f t="shared" si="89"/>
        <v>001</v>
      </c>
      <c r="O1928" s="790" t="s">
        <v>10467</v>
      </c>
      <c r="P1928" s="790" t="s">
        <v>10244</v>
      </c>
      <c r="R1928" s="30"/>
    </row>
    <row r="1929" spans="2:18">
      <c r="B1929" s="5" t="str">
        <f>Page5_CHV_MCI!C17</f>
        <v>NE PAS UTILISER</v>
      </c>
      <c r="C1929" s="1038" t="str">
        <f>OR_VEH!D16</f>
        <v>413-001</v>
      </c>
      <c r="D1929" s="803">
        <f>Page5_CHV_MCI!I17</f>
        <v>0</v>
      </c>
      <c r="E1929" s="803">
        <f>Page5_CHV_MCI!N17</f>
        <v>0</v>
      </c>
      <c r="F1929" t="str">
        <f t="shared" si="87"/>
        <v>01-00-413-001-GRSPFT-CURR</v>
      </c>
      <c r="G1929" t="s">
        <v>127</v>
      </c>
      <c r="H1929" t="s">
        <v>10287</v>
      </c>
      <c r="I1929" t="s">
        <v>10253</v>
      </c>
      <c r="K1929" s="1073" t="s">
        <v>10288</v>
      </c>
      <c r="L1929" s="789" t="s">
        <v>10241</v>
      </c>
      <c r="M1929" s="790" t="str">
        <f t="shared" si="88"/>
        <v>413</v>
      </c>
      <c r="N1929" s="790" t="str">
        <f t="shared" si="89"/>
        <v>001</v>
      </c>
      <c r="O1929" s="790" t="s">
        <v>10467</v>
      </c>
      <c r="P1929" s="790" t="s">
        <v>10244</v>
      </c>
      <c r="R1929" s="30"/>
    </row>
    <row r="1930" spans="2:18">
      <c r="B1930" s="5" t="str">
        <f>Page5_CHV_MCI!C18</f>
        <v>NE PAS UTILISER</v>
      </c>
      <c r="C1930" s="1038" t="str">
        <f>OR_VEH!D17</f>
        <v>414-001</v>
      </c>
      <c r="D1930" s="803">
        <f>Page5_CHV_MCI!I18</f>
        <v>0</v>
      </c>
      <c r="E1930" s="803">
        <f>Page5_CHV_MCI!N18</f>
        <v>0</v>
      </c>
      <c r="F1930" t="str">
        <f t="shared" si="87"/>
        <v>01-00-414-001-GRSPFT-CURR</v>
      </c>
      <c r="G1930" t="s">
        <v>127</v>
      </c>
      <c r="H1930" t="s">
        <v>10287</v>
      </c>
      <c r="I1930" t="s">
        <v>10253</v>
      </c>
      <c r="K1930" s="1073" t="s">
        <v>10288</v>
      </c>
      <c r="L1930" s="789" t="s">
        <v>10241</v>
      </c>
      <c r="M1930" s="790" t="str">
        <f t="shared" si="88"/>
        <v>414</v>
      </c>
      <c r="N1930" s="790" t="str">
        <f t="shared" si="89"/>
        <v>001</v>
      </c>
      <c r="O1930" s="790" t="s">
        <v>10467</v>
      </c>
      <c r="P1930" s="790" t="s">
        <v>10244</v>
      </c>
      <c r="R1930" s="30"/>
    </row>
    <row r="1931" spans="2:18">
      <c r="B1931" s="5" t="str">
        <f>Page5_CHV_MCI!C19</f>
        <v>NE PAS UTILISER</v>
      </c>
      <c r="C1931" s="1038" t="str">
        <f>OR_VEH!D18</f>
        <v>415-001</v>
      </c>
      <c r="D1931" s="803">
        <f>Page5_CHV_MCI!I19</f>
        <v>0</v>
      </c>
      <c r="E1931" s="803">
        <f>Page5_CHV_MCI!N19</f>
        <v>0</v>
      </c>
      <c r="F1931" t="str">
        <f t="shared" si="87"/>
        <v>01-00-415-001-GRSPFT-CURR</v>
      </c>
      <c r="G1931" t="s">
        <v>127</v>
      </c>
      <c r="H1931" t="s">
        <v>10287</v>
      </c>
      <c r="I1931" t="s">
        <v>10253</v>
      </c>
      <c r="K1931" s="1073" t="s">
        <v>10288</v>
      </c>
      <c r="L1931" s="789" t="s">
        <v>10241</v>
      </c>
      <c r="M1931" s="790" t="str">
        <f t="shared" si="88"/>
        <v>415</v>
      </c>
      <c r="N1931" s="790" t="str">
        <f t="shared" si="89"/>
        <v>001</v>
      </c>
      <c r="O1931" s="790" t="s">
        <v>10467</v>
      </c>
      <c r="P1931" s="790" t="s">
        <v>10244</v>
      </c>
      <c r="R1931" s="30"/>
    </row>
    <row r="1932" spans="2:18">
      <c r="B1932" s="5" t="str">
        <f>Page5_CHV_MCI!C20</f>
        <v>POUR USAGE FUTUR</v>
      </c>
      <c r="C1932" s="1038" t="str">
        <f>OR_VEH!D19</f>
        <v>416-001</v>
      </c>
      <c r="D1932" s="803">
        <f>Page5_CHV_MCI!I20</f>
        <v>0</v>
      </c>
      <c r="E1932" s="803">
        <f>Page5_CHV_MCI!N20</f>
        <v>0</v>
      </c>
      <c r="F1932" t="str">
        <f t="shared" si="87"/>
        <v>01-00-416-001-GRSPFT-CURR</v>
      </c>
      <c r="G1932" t="s">
        <v>127</v>
      </c>
      <c r="H1932" t="s">
        <v>10287</v>
      </c>
      <c r="I1932" t="s">
        <v>10253</v>
      </c>
      <c r="K1932" s="1073" t="s">
        <v>10288</v>
      </c>
      <c r="L1932" s="789" t="s">
        <v>10241</v>
      </c>
      <c r="M1932" s="790" t="str">
        <f t="shared" si="88"/>
        <v>416</v>
      </c>
      <c r="N1932" s="790" t="str">
        <f t="shared" si="89"/>
        <v>001</v>
      </c>
      <c r="O1932" s="790" t="s">
        <v>10467</v>
      </c>
      <c r="P1932" s="790" t="s">
        <v>10244</v>
      </c>
      <c r="R1932" s="30"/>
    </row>
    <row r="1933" spans="2:18">
      <c r="B1933" s="5" t="str">
        <f>Page5_CHV_MCI!C21</f>
        <v>NE PAS UTILISER</v>
      </c>
      <c r="C1933" s="1038" t="str">
        <f>OR_VEH!D20</f>
        <v>417-001</v>
      </c>
      <c r="D1933" s="803">
        <f>Page5_CHV_MCI!I21</f>
        <v>0</v>
      </c>
      <c r="E1933" s="803">
        <f>Page5_CHV_MCI!N21</f>
        <v>0</v>
      </c>
      <c r="F1933" t="str">
        <f t="shared" si="87"/>
        <v>01-00-417-001-GRSPFT-CURR</v>
      </c>
      <c r="G1933" t="s">
        <v>127</v>
      </c>
      <c r="H1933" t="s">
        <v>10287</v>
      </c>
      <c r="I1933" t="s">
        <v>10253</v>
      </c>
      <c r="K1933" s="1073" t="s">
        <v>10288</v>
      </c>
      <c r="L1933" s="789" t="s">
        <v>10241</v>
      </c>
      <c r="M1933" s="790" t="str">
        <f t="shared" si="88"/>
        <v>417</v>
      </c>
      <c r="N1933" s="790" t="str">
        <f t="shared" si="89"/>
        <v>001</v>
      </c>
      <c r="O1933" s="790" t="s">
        <v>10467</v>
      </c>
      <c r="P1933" s="790" t="s">
        <v>10244</v>
      </c>
      <c r="R1933" s="30"/>
    </row>
    <row r="1934" spans="2:18">
      <c r="B1934" s="5" t="str">
        <f>Page5_CHV_MCI!C22</f>
        <v>AUTRES CHEVROLET</v>
      </c>
      <c r="C1934" s="1038" t="str">
        <f>OR_VEH!D21</f>
        <v>418-001</v>
      </c>
      <c r="D1934" s="803">
        <f>Page5_CHV_MCI!I22</f>
        <v>0</v>
      </c>
      <c r="E1934" s="803">
        <f>Page5_CHV_MCI!N22</f>
        <v>0</v>
      </c>
      <c r="F1934" t="str">
        <f t="shared" si="87"/>
        <v>01-00-418-001-GRSPFT-CURR</v>
      </c>
      <c r="G1934" t="s">
        <v>127</v>
      </c>
      <c r="H1934" t="s">
        <v>10287</v>
      </c>
      <c r="I1934" t="s">
        <v>10253</v>
      </c>
      <c r="K1934" s="1073" t="s">
        <v>10288</v>
      </c>
      <c r="L1934" s="789" t="s">
        <v>10241</v>
      </c>
      <c r="M1934" s="790" t="str">
        <f t="shared" si="88"/>
        <v>418</v>
      </c>
      <c r="N1934" s="790" t="str">
        <f t="shared" si="89"/>
        <v>001</v>
      </c>
      <c r="O1934" s="799" t="s">
        <v>10467</v>
      </c>
      <c r="P1934" s="799" t="s">
        <v>10244</v>
      </c>
      <c r="R1934" s="30"/>
    </row>
    <row r="1935" spans="2:18">
      <c r="B1935" s="27" t="s">
        <v>12130</v>
      </c>
      <c r="C1935" s="1042"/>
      <c r="D1935" s="803">
        <f>Page5_CHV_MCI!I23</f>
        <v>0</v>
      </c>
      <c r="E1935" s="803">
        <f>Page5_CHV_MCI!N23</f>
        <v>-1856</v>
      </c>
      <c r="F1935" t="str">
        <f t="shared" si="87"/>
        <v>01-00-RTLCAR5A-GRSPFT-CURR</v>
      </c>
      <c r="G1935" t="s">
        <v>127</v>
      </c>
      <c r="H1935" t="s">
        <v>10287</v>
      </c>
      <c r="I1935" t="s">
        <v>10253</v>
      </c>
      <c r="J1935" t="s">
        <v>10268</v>
      </c>
      <c r="K1935" s="1073" t="s">
        <v>10288</v>
      </c>
      <c r="L1935" s="789" t="s">
        <v>10241</v>
      </c>
      <c r="M1935" s="790" t="s">
        <v>10290</v>
      </c>
      <c r="O1935" s="790" t="s">
        <v>10467</v>
      </c>
      <c r="P1935" s="790" t="s">
        <v>10244</v>
      </c>
      <c r="Q1935" s="791" t="s">
        <v>773</v>
      </c>
    </row>
    <row r="1936" spans="2:18">
      <c r="B1936" s="5" t="str">
        <f>Page5_CHV_MCI!C24</f>
        <v>MÉMO* VENTES INTERNET VOITURES</v>
      </c>
      <c r="C1936" s="1038" t="str">
        <f>OR_VEH!D23</f>
        <v>419P5A</v>
      </c>
      <c r="D1936" s="803">
        <f>Page5_CHV_MCI!I24</f>
        <v>0</v>
      </c>
      <c r="E1936" s="803">
        <f>Page5_CHV_MCI!N24</f>
        <v>0</v>
      </c>
      <c r="F1936" t="str">
        <f t="shared" si="87"/>
        <v>01-00-419P5A-GRSPFT-CURR</v>
      </c>
      <c r="G1936" t="s">
        <v>127</v>
      </c>
      <c r="H1936" t="s">
        <v>10287</v>
      </c>
      <c r="I1936" t="s">
        <v>10253</v>
      </c>
      <c r="K1936" s="1073" t="s">
        <v>10288</v>
      </c>
      <c r="L1936" s="789" t="s">
        <v>10241</v>
      </c>
      <c r="M1936" s="855" t="str">
        <f>C1936</f>
        <v>419P5A</v>
      </c>
      <c r="N1936" s="855"/>
      <c r="O1936" s="790" t="s">
        <v>10467</v>
      </c>
      <c r="P1936" s="790" t="s">
        <v>10244</v>
      </c>
      <c r="R1936" s="30"/>
    </row>
    <row r="1937" spans="2:18">
      <c r="B1937" s="5" t="str">
        <f>Page5_CHV_MCI!C25</f>
        <v>TOTAL PARCS - VOITURES</v>
      </c>
      <c r="C1937" s="1038" t="str">
        <f>OR_VEH!D24</f>
        <v>420P5A</v>
      </c>
      <c r="D1937" s="803">
        <f>Page5_CHV_MCI!I25</f>
        <v>0</v>
      </c>
      <c r="E1937" s="803">
        <f>Page5_CHV_MCI!N25</f>
        <v>0</v>
      </c>
      <c r="F1937" t="str">
        <f t="shared" si="87"/>
        <v>01-00-420P5A-GRSPFT-CURR</v>
      </c>
      <c r="G1937" t="s">
        <v>127</v>
      </c>
      <c r="H1937" t="s">
        <v>10287</v>
      </c>
      <c r="I1937" t="s">
        <v>10253</v>
      </c>
      <c r="K1937" s="1073" t="s">
        <v>10288</v>
      </c>
      <c r="L1937" s="789" t="s">
        <v>10241</v>
      </c>
      <c r="M1937" s="855" t="str">
        <f>C1937</f>
        <v>420P5A</v>
      </c>
      <c r="N1937" s="855"/>
      <c r="O1937" s="799" t="s">
        <v>10467</v>
      </c>
      <c r="P1937" s="799" t="s">
        <v>10244</v>
      </c>
      <c r="R1937" s="30"/>
    </row>
    <row r="1938" spans="2:18">
      <c r="B1938" s="5" t="str">
        <f>Page5_CHV_MCI!C26</f>
        <v>TOTAL INTERNE - VOITURES</v>
      </c>
      <c r="C1938" s="1038" t="str">
        <f>OR_VEH!D25</f>
        <v>421P5A</v>
      </c>
      <c r="D1938" s="803">
        <f>Page5_CHV_MCI!I26</f>
        <v>0</v>
      </c>
      <c r="E1938" s="803">
        <f>Page5_CHV_MCI!N26</f>
        <v>0</v>
      </c>
      <c r="F1938" t="str">
        <f t="shared" si="87"/>
        <v>01-00-421P5A-GRSPFT-CURR</v>
      </c>
      <c r="G1938" t="s">
        <v>127</v>
      </c>
      <c r="H1938" t="s">
        <v>10287</v>
      </c>
      <c r="I1938" t="s">
        <v>10253</v>
      </c>
      <c r="K1938" s="1073" t="s">
        <v>10288</v>
      </c>
      <c r="L1938" s="789" t="s">
        <v>10241</v>
      </c>
      <c r="M1938" s="855" t="str">
        <f>C1938</f>
        <v>421P5A</v>
      </c>
      <c r="N1938" s="855"/>
      <c r="O1938" s="799" t="s">
        <v>10467</v>
      </c>
      <c r="P1938" s="799" t="s">
        <v>10244</v>
      </c>
      <c r="R1938" s="30"/>
    </row>
    <row r="1939" spans="2:18">
      <c r="B1939" s="27" t="s">
        <v>12131</v>
      </c>
      <c r="C1939" s="1042"/>
      <c r="D1939" s="803">
        <f>Page5_CHV_MCI!I27</f>
        <v>0</v>
      </c>
      <c r="E1939" s="803">
        <f>Page5_CHV_MCI!N27</f>
        <v>-1856</v>
      </c>
      <c r="F1939" t="str">
        <f t="shared" si="87"/>
        <v>01-00-TOTCAR5A-GRSPFT-CURR</v>
      </c>
      <c r="G1939" t="s">
        <v>127</v>
      </c>
      <c r="H1939" t="s">
        <v>10287</v>
      </c>
      <c r="I1939" t="s">
        <v>10253</v>
      </c>
      <c r="J1939" t="s">
        <v>10268</v>
      </c>
      <c r="K1939" s="1073" t="s">
        <v>10288</v>
      </c>
      <c r="L1939" s="789" t="s">
        <v>10241</v>
      </c>
      <c r="M1939" s="790" t="s">
        <v>10292</v>
      </c>
      <c r="O1939" s="790" t="s">
        <v>10467</v>
      </c>
      <c r="P1939" s="790" t="s">
        <v>10244</v>
      </c>
      <c r="Q1939" s="791" t="s">
        <v>773</v>
      </c>
    </row>
    <row r="1940" spans="2:18">
      <c r="B1940" s="5" t="str">
        <f>Page5_CHV_MCI!C28</f>
        <v>NE PAS UTILISER</v>
      </c>
      <c r="C1940" s="1038" t="str">
        <f>OR_VEH!D27</f>
        <v>423-001</v>
      </c>
      <c r="D1940" s="803">
        <f>Page5_CHV_MCI!I28</f>
        <v>0</v>
      </c>
      <c r="E1940" s="803">
        <f>Page5_CHV_MCI!N28</f>
        <v>0</v>
      </c>
      <c r="F1940" t="str">
        <f t="shared" si="87"/>
        <v>01-00-423-001-GRSPFT-CURR</v>
      </c>
      <c r="G1940" t="s">
        <v>127</v>
      </c>
      <c r="H1940" t="s">
        <v>10287</v>
      </c>
      <c r="I1940" t="s">
        <v>10253</v>
      </c>
      <c r="K1940" s="1073" t="s">
        <v>10288</v>
      </c>
      <c r="L1940" s="789" t="s">
        <v>10241</v>
      </c>
      <c r="M1940" s="790" t="str">
        <f t="shared" ref="M1940:M1955" si="90">LEFT(C1940,3)</f>
        <v>423</v>
      </c>
      <c r="N1940" s="790" t="str">
        <f t="shared" ref="N1940:N1955" si="91">RIGHT(C1940,3)</f>
        <v>001</v>
      </c>
      <c r="O1940" s="799" t="s">
        <v>10467</v>
      </c>
      <c r="P1940" s="799" t="s">
        <v>10244</v>
      </c>
      <c r="R1940" s="30"/>
    </row>
    <row r="1941" spans="2:18">
      <c r="B1941" s="5" t="str">
        <f>Page5_CHV_MCI!C29</f>
        <v>NE PAS UTILISER</v>
      </c>
      <c r="C1941" s="1038" t="str">
        <f>OR_VEH!D28</f>
        <v>424-001</v>
      </c>
      <c r="D1941" s="803">
        <f>Page5_CHV_MCI!I29</f>
        <v>0</v>
      </c>
      <c r="E1941" s="803">
        <f>Page5_CHV_MCI!N29</f>
        <v>0</v>
      </c>
      <c r="F1941" t="str">
        <f t="shared" si="87"/>
        <v>01-00-424-001-GRSPFT-CURR</v>
      </c>
      <c r="G1941" t="s">
        <v>127</v>
      </c>
      <c r="H1941" t="s">
        <v>10287</v>
      </c>
      <c r="I1941" t="s">
        <v>10253</v>
      </c>
      <c r="K1941" s="1073" t="s">
        <v>10288</v>
      </c>
      <c r="L1941" s="789" t="s">
        <v>10241</v>
      </c>
      <c r="M1941" s="790" t="str">
        <f t="shared" si="90"/>
        <v>424</v>
      </c>
      <c r="N1941" s="790" t="str">
        <f t="shared" si="91"/>
        <v>001</v>
      </c>
      <c r="O1941" s="799" t="s">
        <v>10467</v>
      </c>
      <c r="P1941" s="799" t="s">
        <v>10244</v>
      </c>
      <c r="R1941" s="30"/>
    </row>
    <row r="1942" spans="2:18">
      <c r="B1942" s="5" t="str">
        <f>Page5_CHV_MCI!C30</f>
        <v>EXPRESS</v>
      </c>
      <c r="C1942" s="1038" t="str">
        <f>OR_VEH!D29</f>
        <v>425-001</v>
      </c>
      <c r="D1942" s="803">
        <f>Page5_CHV_MCI!I30</f>
        <v>5322</v>
      </c>
      <c r="E1942" s="803">
        <f>Page5_CHV_MCI!N30</f>
        <v>5322</v>
      </c>
      <c r="F1942" t="str">
        <f t="shared" si="87"/>
        <v>01-00-425-001-GRSPFT-CURR</v>
      </c>
      <c r="G1942" t="s">
        <v>127</v>
      </c>
      <c r="H1942" t="s">
        <v>10287</v>
      </c>
      <c r="I1942" t="s">
        <v>10253</v>
      </c>
      <c r="K1942" s="1073" t="s">
        <v>10288</v>
      </c>
      <c r="L1942" s="789" t="s">
        <v>10241</v>
      </c>
      <c r="M1942" s="790" t="str">
        <f t="shared" si="90"/>
        <v>425</v>
      </c>
      <c r="N1942" s="790" t="str">
        <f t="shared" si="91"/>
        <v>001</v>
      </c>
      <c r="O1942" s="799" t="s">
        <v>10467</v>
      </c>
      <c r="P1942" s="799" t="s">
        <v>10244</v>
      </c>
      <c r="R1942" s="30"/>
    </row>
    <row r="1943" spans="2:18">
      <c r="B1943" s="5" t="str">
        <f>Page5_CHV_MCI!C31</f>
        <v>COLORADO</v>
      </c>
      <c r="C1943" s="1038" t="str">
        <f>OR_VEH!D30</f>
        <v>426-001</v>
      </c>
      <c r="D1943" s="803">
        <f>Page5_CHV_MCI!I31</f>
        <v>2250</v>
      </c>
      <c r="E1943" s="803">
        <f>Page5_CHV_MCI!N31</f>
        <v>2250</v>
      </c>
      <c r="F1943" t="str">
        <f t="shared" si="87"/>
        <v>01-00-426-001-GRSPFT-CURR</v>
      </c>
      <c r="G1943" t="s">
        <v>127</v>
      </c>
      <c r="H1943" t="s">
        <v>10287</v>
      </c>
      <c r="I1943" t="s">
        <v>10253</v>
      </c>
      <c r="K1943" s="1073" t="s">
        <v>10288</v>
      </c>
      <c r="L1943" s="789" t="s">
        <v>10241</v>
      </c>
      <c r="M1943" s="790" t="str">
        <f t="shared" si="90"/>
        <v>426</v>
      </c>
      <c r="N1943" s="790" t="str">
        <f t="shared" si="91"/>
        <v>001</v>
      </c>
      <c r="O1943" s="799" t="s">
        <v>10467</v>
      </c>
      <c r="P1943" s="799" t="s">
        <v>10244</v>
      </c>
      <c r="R1943" s="30"/>
    </row>
    <row r="1944" spans="2:18">
      <c r="B1944" s="5" t="str">
        <f>Page5_CHV_MCI!C32</f>
        <v>TRAVERSE</v>
      </c>
      <c r="C1944" s="1038" t="str">
        <f>OR_VEH!D31</f>
        <v>427-001</v>
      </c>
      <c r="D1944" s="803">
        <f>Page5_CHV_MCI!I32</f>
        <v>0</v>
      </c>
      <c r="E1944" s="803">
        <f>Page5_CHV_MCI!N32</f>
        <v>4953</v>
      </c>
      <c r="F1944" t="str">
        <f t="shared" si="87"/>
        <v>01-00-427-001-GRSPFT-CURR</v>
      </c>
      <c r="G1944" t="s">
        <v>127</v>
      </c>
      <c r="H1944" t="s">
        <v>10287</v>
      </c>
      <c r="I1944" t="s">
        <v>10253</v>
      </c>
      <c r="K1944" s="1073" t="s">
        <v>10288</v>
      </c>
      <c r="L1944" s="789" t="s">
        <v>10241</v>
      </c>
      <c r="M1944" s="790" t="str">
        <f t="shared" si="90"/>
        <v>427</v>
      </c>
      <c r="N1944" s="790" t="str">
        <f t="shared" si="91"/>
        <v>001</v>
      </c>
      <c r="O1944" s="799" t="s">
        <v>10467</v>
      </c>
      <c r="P1944" s="799" t="s">
        <v>10244</v>
      </c>
      <c r="R1944" s="30"/>
    </row>
    <row r="1945" spans="2:18">
      <c r="B1945" s="5" t="str">
        <f>Page5_CHV_MCI!C33</f>
        <v>TRAX</v>
      </c>
      <c r="C1945" s="1038" t="str">
        <f>OR_VEH!D32</f>
        <v>428-001</v>
      </c>
      <c r="D1945" s="803">
        <f>Page5_CHV_MCI!I33</f>
        <v>5936</v>
      </c>
      <c r="E1945" s="803">
        <f>Page5_CHV_MCI!N33</f>
        <v>9543</v>
      </c>
      <c r="F1945" t="str">
        <f t="shared" si="87"/>
        <v>01-00-428-001-GRSPFT-CURR</v>
      </c>
      <c r="G1945" t="s">
        <v>127</v>
      </c>
      <c r="H1945" t="s">
        <v>10287</v>
      </c>
      <c r="I1945" t="s">
        <v>10253</v>
      </c>
      <c r="K1945" s="1073" t="s">
        <v>10288</v>
      </c>
      <c r="L1945" s="789" t="s">
        <v>10241</v>
      </c>
      <c r="M1945" s="790" t="str">
        <f t="shared" si="90"/>
        <v>428</v>
      </c>
      <c r="N1945" s="790" t="str">
        <f t="shared" si="91"/>
        <v>001</v>
      </c>
      <c r="O1945" s="799" t="s">
        <v>10467</v>
      </c>
      <c r="P1945" s="799" t="s">
        <v>10244</v>
      </c>
      <c r="R1945" s="30"/>
    </row>
    <row r="1946" spans="2:18">
      <c r="B1946" s="5" t="str">
        <f>Page5_CHV_MCI!C34</f>
        <v>TAHOE/SUBURBAN</v>
      </c>
      <c r="C1946" s="1038" t="str">
        <f>OR_VEH!D33</f>
        <v>429-001</v>
      </c>
      <c r="D1946" s="803">
        <f>Page5_CHV_MCI!I34</f>
        <v>2617</v>
      </c>
      <c r="E1946" s="803">
        <f>Page5_CHV_MCI!N34</f>
        <v>12479</v>
      </c>
      <c r="F1946" t="str">
        <f t="shared" si="87"/>
        <v>01-00-429-001-GRSPFT-CURR</v>
      </c>
      <c r="G1946" t="s">
        <v>127</v>
      </c>
      <c r="H1946" t="s">
        <v>10287</v>
      </c>
      <c r="I1946" t="s">
        <v>10253</v>
      </c>
      <c r="K1946" s="1073" t="s">
        <v>10288</v>
      </c>
      <c r="L1946" s="789" t="s">
        <v>10241</v>
      </c>
      <c r="M1946" s="790" t="str">
        <f t="shared" si="90"/>
        <v>429</v>
      </c>
      <c r="N1946" s="790" t="str">
        <f t="shared" si="91"/>
        <v>001</v>
      </c>
      <c r="O1946" s="799" t="s">
        <v>10467</v>
      </c>
      <c r="P1946" s="799" t="s">
        <v>10244</v>
      </c>
      <c r="R1946" s="30"/>
    </row>
    <row r="1947" spans="2:18">
      <c r="B1947" s="5" t="str">
        <f>Page5_CHV_MCI!C35</f>
        <v>CL 1500 SILVERADO</v>
      </c>
      <c r="C1947" s="1038" t="str">
        <f>OR_VEH!D34</f>
        <v>430-001</v>
      </c>
      <c r="D1947" s="803">
        <f>Page5_CHV_MCI!I35</f>
        <v>35062</v>
      </c>
      <c r="E1947" s="803">
        <f>Page5_CHV_MCI!N35</f>
        <v>81855</v>
      </c>
      <c r="F1947" t="str">
        <f t="shared" si="87"/>
        <v>01-00-430-001-GRSPFT-CURR</v>
      </c>
      <c r="G1947" t="s">
        <v>127</v>
      </c>
      <c r="H1947" t="s">
        <v>10287</v>
      </c>
      <c r="I1947" t="s">
        <v>10253</v>
      </c>
      <c r="K1947" s="1073" t="s">
        <v>10288</v>
      </c>
      <c r="L1947" s="789" t="s">
        <v>10241</v>
      </c>
      <c r="M1947" s="790" t="str">
        <f t="shared" si="90"/>
        <v>430</v>
      </c>
      <c r="N1947" s="790" t="str">
        <f t="shared" si="91"/>
        <v>001</v>
      </c>
      <c r="O1947" s="799" t="s">
        <v>10467</v>
      </c>
      <c r="P1947" s="799" t="s">
        <v>10244</v>
      </c>
      <c r="R1947" s="30"/>
    </row>
    <row r="1948" spans="2:18">
      <c r="B1948" s="5" t="str">
        <f>Page5_CHV_MCI!C36</f>
        <v>CL 2500 SILVERADO</v>
      </c>
      <c r="C1948" s="1038" t="str">
        <f>OR_VEH!D35</f>
        <v>431-001</v>
      </c>
      <c r="D1948" s="803">
        <f>Page5_CHV_MCI!I36</f>
        <v>-4</v>
      </c>
      <c r="E1948" s="803">
        <f>Page5_CHV_MCI!N36</f>
        <v>5747</v>
      </c>
      <c r="F1948" t="str">
        <f t="shared" si="87"/>
        <v>01-00-431-001-GRSPFT-CURR</v>
      </c>
      <c r="G1948" t="s">
        <v>127</v>
      </c>
      <c r="H1948" t="s">
        <v>10287</v>
      </c>
      <c r="I1948" t="s">
        <v>10253</v>
      </c>
      <c r="K1948" s="1073" t="s">
        <v>10288</v>
      </c>
      <c r="L1948" s="789" t="s">
        <v>10241</v>
      </c>
      <c r="M1948" s="790" t="str">
        <f t="shared" si="90"/>
        <v>431</v>
      </c>
      <c r="N1948" s="790" t="str">
        <f t="shared" si="91"/>
        <v>001</v>
      </c>
      <c r="O1948" s="799" t="s">
        <v>10467</v>
      </c>
      <c r="P1948" s="799" t="s">
        <v>10244</v>
      </c>
      <c r="R1948" s="30"/>
    </row>
    <row r="1949" spans="2:18">
      <c r="B1949" s="5" t="str">
        <f>Page5_CHV_MCI!C37</f>
        <v>CL 3500 SILVERADO</v>
      </c>
      <c r="C1949" s="1038" t="str">
        <f>OR_VEH!D36</f>
        <v>432-001</v>
      </c>
      <c r="D1949" s="803">
        <f>Page5_CHV_MCI!I37</f>
        <v>0</v>
      </c>
      <c r="E1949" s="803">
        <f>Page5_CHV_MCI!N37</f>
        <v>0</v>
      </c>
      <c r="F1949" t="str">
        <f t="shared" si="87"/>
        <v>01-00-432-001-GRSPFT-CURR</v>
      </c>
      <c r="G1949" t="s">
        <v>127</v>
      </c>
      <c r="H1949" t="s">
        <v>10287</v>
      </c>
      <c r="I1949" t="s">
        <v>10253</v>
      </c>
      <c r="K1949" s="1073" t="s">
        <v>10288</v>
      </c>
      <c r="L1949" s="789" t="s">
        <v>10241</v>
      </c>
      <c r="M1949" s="790" t="str">
        <f t="shared" si="90"/>
        <v>432</v>
      </c>
      <c r="N1949" s="790" t="str">
        <f t="shared" si="91"/>
        <v>001</v>
      </c>
      <c r="O1949" s="799" t="s">
        <v>10467</v>
      </c>
      <c r="P1949" s="799" t="s">
        <v>10244</v>
      </c>
      <c r="R1949" s="30"/>
    </row>
    <row r="1950" spans="2:18">
      <c r="B1950" s="5" t="str">
        <f>Page5_CHV_MCI!C38</f>
        <v>BLAZER</v>
      </c>
      <c r="C1950" s="1038" t="str">
        <f>OR_VEH!D37</f>
        <v>433-001</v>
      </c>
      <c r="D1950" s="803">
        <f>Page5_CHV_MCI!I38</f>
        <v>0</v>
      </c>
      <c r="E1950" s="803">
        <f>Page5_CHV_MCI!N38</f>
        <v>4749</v>
      </c>
      <c r="F1950" t="str">
        <f t="shared" si="87"/>
        <v>01-00-433-001-GRSPFT-CURR</v>
      </c>
      <c r="G1950" t="s">
        <v>127</v>
      </c>
      <c r="H1950" t="s">
        <v>10287</v>
      </c>
      <c r="I1950" t="s">
        <v>10253</v>
      </c>
      <c r="K1950" s="1073" t="s">
        <v>10288</v>
      </c>
      <c r="L1950" s="789" t="s">
        <v>10241</v>
      </c>
      <c r="M1950" s="790" t="str">
        <f t="shared" si="90"/>
        <v>433</v>
      </c>
      <c r="N1950" s="790" t="str">
        <f t="shared" si="91"/>
        <v>001</v>
      </c>
      <c r="O1950" s="799" t="s">
        <v>10467</v>
      </c>
      <c r="P1950" s="799" t="s">
        <v>10244</v>
      </c>
      <c r="R1950" s="30"/>
    </row>
    <row r="1951" spans="2:18">
      <c r="B1951" s="5" t="str">
        <f>Page5_CHV_MCI!C39</f>
        <v>EQUINOX</v>
      </c>
      <c r="C1951" s="1038" t="str">
        <f>OR_VEH!D38</f>
        <v>434-001</v>
      </c>
      <c r="D1951" s="803">
        <f>Page5_CHV_MCI!I39</f>
        <v>0</v>
      </c>
      <c r="E1951" s="803">
        <f>Page5_CHV_MCI!N39</f>
        <v>0</v>
      </c>
      <c r="F1951" t="str">
        <f t="shared" si="87"/>
        <v>01-00-434-001-GRSPFT-CURR</v>
      </c>
      <c r="G1951" t="s">
        <v>127</v>
      </c>
      <c r="H1951" t="s">
        <v>10287</v>
      </c>
      <c r="I1951" t="s">
        <v>10253</v>
      </c>
      <c r="K1951" s="1073" t="s">
        <v>10288</v>
      </c>
      <c r="L1951" s="789" t="s">
        <v>10241</v>
      </c>
      <c r="M1951" s="790" t="str">
        <f t="shared" si="90"/>
        <v>434</v>
      </c>
      <c r="N1951" s="790" t="str">
        <f t="shared" si="91"/>
        <v>001</v>
      </c>
      <c r="O1951" s="799" t="s">
        <v>10467</v>
      </c>
      <c r="P1951" s="799" t="s">
        <v>10244</v>
      </c>
      <c r="R1951" s="30"/>
    </row>
    <row r="1952" spans="2:18">
      <c r="B1952" s="5" t="str">
        <f>Page5_CHV_MCI!C40</f>
        <v>CITY EXPRESS</v>
      </c>
      <c r="C1952" s="1038" t="str">
        <f>OR_VEH!D39</f>
        <v>435-001</v>
      </c>
      <c r="D1952" s="803">
        <f>Page5_CHV_MCI!I40</f>
        <v>0</v>
      </c>
      <c r="E1952" s="803">
        <f>Page5_CHV_MCI!N40</f>
        <v>0</v>
      </c>
      <c r="F1952" t="str">
        <f t="shared" si="87"/>
        <v>01-00-435-001-GRSPFT-CURR</v>
      </c>
      <c r="G1952" t="s">
        <v>127</v>
      </c>
      <c r="H1952" t="s">
        <v>10287</v>
      </c>
      <c r="I1952" t="s">
        <v>10253</v>
      </c>
      <c r="K1952" s="1073" t="s">
        <v>10288</v>
      </c>
      <c r="L1952" s="789" t="s">
        <v>10241</v>
      </c>
      <c r="M1952" s="790" t="str">
        <f t="shared" si="90"/>
        <v>435</v>
      </c>
      <c r="N1952" s="790" t="str">
        <f t="shared" si="91"/>
        <v>001</v>
      </c>
      <c r="O1952" s="799" t="s">
        <v>10467</v>
      </c>
      <c r="P1952" s="799" t="s">
        <v>10244</v>
      </c>
      <c r="R1952" s="30"/>
    </row>
    <row r="1953" spans="1:18">
      <c r="B1953" s="5" t="str">
        <f>Page5_CHV_MCI!C41</f>
        <v>TRAILBLAZER</v>
      </c>
      <c r="C1953" s="1038" t="str">
        <f>OR_VEH!D40</f>
        <v>436-001</v>
      </c>
      <c r="D1953" s="803">
        <f>Page5_CHV_MCI!I41</f>
        <v>473</v>
      </c>
      <c r="E1953" s="803">
        <f>Page5_CHV_MCI!N41</f>
        <v>473</v>
      </c>
      <c r="F1953" t="str">
        <f t="shared" si="87"/>
        <v>01-00-436-001-GRSPFT-CURR</v>
      </c>
      <c r="G1953" t="s">
        <v>127</v>
      </c>
      <c r="H1953" t="s">
        <v>10287</v>
      </c>
      <c r="I1953" t="s">
        <v>10253</v>
      </c>
      <c r="K1953" s="1073" t="s">
        <v>10288</v>
      </c>
      <c r="L1953" s="789" t="s">
        <v>10241</v>
      </c>
      <c r="M1953" s="790" t="str">
        <f t="shared" si="90"/>
        <v>436</v>
      </c>
      <c r="N1953" s="790" t="str">
        <f t="shared" si="91"/>
        <v>001</v>
      </c>
      <c r="O1953" s="790" t="s">
        <v>10467</v>
      </c>
      <c r="P1953" s="790" t="s">
        <v>10244</v>
      </c>
      <c r="R1953" s="30"/>
    </row>
    <row r="1954" spans="1:18">
      <c r="B1954" s="5" t="str">
        <f>Page5_CHV_MCI!C42</f>
        <v>POUR USAGE FUTUR</v>
      </c>
      <c r="C1954" s="1038" t="str">
        <f>OR_VEH!D41</f>
        <v>437-001</v>
      </c>
      <c r="D1954" s="803">
        <f>Page5_CHV_MCI!I42</f>
        <v>0</v>
      </c>
      <c r="E1954" s="803">
        <f>Page5_CHV_MCI!N42</f>
        <v>0</v>
      </c>
      <c r="F1954" t="str">
        <f t="shared" si="87"/>
        <v>01-00-437-001-GRSPFT-CURR</v>
      </c>
      <c r="G1954" t="s">
        <v>127</v>
      </c>
      <c r="H1954" t="s">
        <v>10287</v>
      </c>
      <c r="I1954" t="s">
        <v>10253</v>
      </c>
      <c r="K1954" s="1073" t="s">
        <v>10288</v>
      </c>
      <c r="L1954" s="789" t="s">
        <v>10241</v>
      </c>
      <c r="M1954" s="790" t="str">
        <f t="shared" si="90"/>
        <v>437</v>
      </c>
      <c r="N1954" s="790" t="str">
        <f t="shared" si="91"/>
        <v>001</v>
      </c>
      <c r="O1954" s="790" t="s">
        <v>10467</v>
      </c>
      <c r="P1954" s="790" t="s">
        <v>10244</v>
      </c>
      <c r="R1954" s="30"/>
    </row>
    <row r="1955" spans="1:18">
      <c r="B1955" s="5" t="str">
        <f>Page5_CHV_MCI!C43</f>
        <v>AUTRES CHEVROLET</v>
      </c>
      <c r="C1955" s="1038" t="str">
        <f>OR_VEH!D42</f>
        <v>438-001</v>
      </c>
      <c r="D1955" s="803">
        <f>Page5_CHV_MCI!I43</f>
        <v>0</v>
      </c>
      <c r="E1955" s="803">
        <f>Page5_CHV_MCI!N43</f>
        <v>0</v>
      </c>
      <c r="F1955" t="str">
        <f t="shared" si="87"/>
        <v>01-00-438-001-GRSPFT-CURR</v>
      </c>
      <c r="G1955" t="s">
        <v>127</v>
      </c>
      <c r="H1955" t="s">
        <v>10287</v>
      </c>
      <c r="I1955" t="s">
        <v>10253</v>
      </c>
      <c r="K1955" s="1073" t="s">
        <v>10288</v>
      </c>
      <c r="L1955" s="789" t="s">
        <v>10241</v>
      </c>
      <c r="M1955" s="790" t="str">
        <f t="shared" si="90"/>
        <v>438</v>
      </c>
      <c r="N1955" s="790" t="str">
        <f t="shared" si="91"/>
        <v>001</v>
      </c>
      <c r="O1955" s="790" t="s">
        <v>10467</v>
      </c>
      <c r="P1955" s="790" t="s">
        <v>10244</v>
      </c>
      <c r="R1955" s="30"/>
    </row>
    <row r="1956" spans="1:18">
      <c r="B1956" s="51" t="s">
        <v>12132</v>
      </c>
      <c r="C1956" s="1042"/>
      <c r="D1956" s="803">
        <f>Page5_CHV_MCI!I44</f>
        <v>51656</v>
      </c>
      <c r="E1956" s="803">
        <f>Page5_CHV_MCI!N44</f>
        <v>127371</v>
      </c>
      <c r="F1956" t="str">
        <f t="shared" si="87"/>
        <v>01-00-RTLTRK5A-GRSPFT-CURR</v>
      </c>
      <c r="G1956" t="s">
        <v>127</v>
      </c>
      <c r="H1956" t="s">
        <v>10287</v>
      </c>
      <c r="I1956" t="s">
        <v>10253</v>
      </c>
      <c r="J1956" t="s">
        <v>10268</v>
      </c>
      <c r="K1956" s="1073" t="s">
        <v>10288</v>
      </c>
      <c r="L1956" s="789" t="s">
        <v>10241</v>
      </c>
      <c r="M1956" s="790" t="s">
        <v>10294</v>
      </c>
      <c r="O1956" s="790" t="s">
        <v>10467</v>
      </c>
      <c r="P1956" s="790" t="s">
        <v>10244</v>
      </c>
      <c r="Q1956" s="791" t="s">
        <v>773</v>
      </c>
    </row>
    <row r="1957" spans="1:18">
      <c r="B1957" s="5" t="str">
        <f>Page5_CHV_MCI!C45</f>
        <v>MÉMO* VENTES INTERNET CAMIONS</v>
      </c>
      <c r="C1957" s="1038" t="str">
        <f>OR_VEH!D44</f>
        <v>439P5A</v>
      </c>
      <c r="D1957" s="803">
        <f>Page5_CHV_MCI!I45</f>
        <v>0</v>
      </c>
      <c r="E1957" s="803">
        <f>Page5_CHV_MCI!N45</f>
        <v>0</v>
      </c>
      <c r="F1957" t="str">
        <f t="shared" si="87"/>
        <v>01-00-439P5A-GRSPFT-CURR</v>
      </c>
      <c r="G1957" t="s">
        <v>127</v>
      </c>
      <c r="H1957" t="s">
        <v>10287</v>
      </c>
      <c r="I1957" t="s">
        <v>10253</v>
      </c>
      <c r="K1957" s="1073" t="s">
        <v>10288</v>
      </c>
      <c r="L1957" s="789" t="s">
        <v>10241</v>
      </c>
      <c r="M1957" s="855" t="str">
        <f>C1957</f>
        <v>439P5A</v>
      </c>
      <c r="N1957" s="855"/>
      <c r="O1957" s="790" t="s">
        <v>10467</v>
      </c>
      <c r="P1957" s="790" t="s">
        <v>10244</v>
      </c>
      <c r="R1957" s="30"/>
    </row>
    <row r="1958" spans="1:18">
      <c r="B1958" s="5" t="str">
        <f>Page5_CHV_MCI!C46</f>
        <v>TOTAL PARCS - CAMIONS</v>
      </c>
      <c r="C1958" s="1038" t="str">
        <f>OR_VEH!D45</f>
        <v>440P5A</v>
      </c>
      <c r="D1958" s="803">
        <f>Page5_CHV_MCI!I46</f>
        <v>8149</v>
      </c>
      <c r="E1958" s="803">
        <f>Page5_CHV_MCI!N46</f>
        <v>16153</v>
      </c>
      <c r="F1958" t="str">
        <f t="shared" si="87"/>
        <v>01-00-440P5A-GRSPFT-CURR</v>
      </c>
      <c r="G1958" t="s">
        <v>127</v>
      </c>
      <c r="H1958" t="s">
        <v>10287</v>
      </c>
      <c r="I1958" t="s">
        <v>10253</v>
      </c>
      <c r="K1958" s="1073" t="s">
        <v>10288</v>
      </c>
      <c r="L1958" s="789" t="s">
        <v>10241</v>
      </c>
      <c r="M1958" s="855" t="str">
        <f>C1958</f>
        <v>440P5A</v>
      </c>
      <c r="N1958" s="855"/>
      <c r="O1958" s="799" t="s">
        <v>10467</v>
      </c>
      <c r="P1958" s="799" t="s">
        <v>10244</v>
      </c>
      <c r="R1958" s="30"/>
    </row>
    <row r="1959" spans="1:18">
      <c r="B1959" s="5" t="str">
        <f>Page5_CHV_MCI!C47</f>
        <v xml:space="preserve">TOTAL IINTERNE - CAMIONS </v>
      </c>
      <c r="C1959" s="1038" t="str">
        <f>OR_VEH!D46</f>
        <v>441P5A</v>
      </c>
      <c r="D1959" s="803">
        <f>Page5_CHV_MCI!I47</f>
        <v>0</v>
      </c>
      <c r="E1959" s="803">
        <f>Page5_CHV_MCI!N47</f>
        <v>0</v>
      </c>
      <c r="F1959" t="str">
        <f t="shared" si="87"/>
        <v>01-00-441P5A-GRSPFT-CURR</v>
      </c>
      <c r="G1959" t="s">
        <v>127</v>
      </c>
      <c r="H1959" t="s">
        <v>10287</v>
      </c>
      <c r="I1959" t="s">
        <v>10253</v>
      </c>
      <c r="K1959" s="1073" t="s">
        <v>10288</v>
      </c>
      <c r="L1959" s="789" t="s">
        <v>10241</v>
      </c>
      <c r="M1959" s="855" t="str">
        <f>C1959</f>
        <v>441P5A</v>
      </c>
      <c r="N1959" s="855"/>
      <c r="O1959" s="799" t="s">
        <v>10467</v>
      </c>
      <c r="P1959" s="799" t="s">
        <v>10244</v>
      </c>
      <c r="R1959" s="30"/>
    </row>
    <row r="1960" spans="1:18">
      <c r="B1960" s="27" t="s">
        <v>12133</v>
      </c>
      <c r="C1960" s="1042"/>
      <c r="D1960" s="803">
        <f>Page5_CHV_MCI!I48</f>
        <v>59805</v>
      </c>
      <c r="E1960" s="803">
        <f>Page5_CHV_MCI!N48</f>
        <v>143524</v>
      </c>
      <c r="F1960" t="str">
        <f t="shared" si="87"/>
        <v>01-00-TOTTRK5A-GRSPFT-CURR</v>
      </c>
      <c r="G1960" t="s">
        <v>127</v>
      </c>
      <c r="H1960" t="s">
        <v>10287</v>
      </c>
      <c r="I1960" t="s">
        <v>10253</v>
      </c>
      <c r="J1960" t="s">
        <v>10268</v>
      </c>
      <c r="K1960" s="1073" t="s">
        <v>10288</v>
      </c>
      <c r="L1960" s="789" t="s">
        <v>10241</v>
      </c>
      <c r="M1960" s="790" t="s">
        <v>10296</v>
      </c>
      <c r="O1960" s="790" t="s">
        <v>10467</v>
      </c>
      <c r="P1960" s="790" t="s">
        <v>10244</v>
      </c>
      <c r="Q1960" s="791" t="s">
        <v>773</v>
      </c>
    </row>
    <row r="1961" spans="1:18">
      <c r="B1961" s="5" t="str">
        <f>Page5_CHV_MCI!C50</f>
        <v>ACCESSOIRES</v>
      </c>
      <c r="C1961" s="1038" t="str">
        <f>OR_VEH!D49</f>
        <v>457P5A</v>
      </c>
      <c r="D1961" s="803">
        <f>Page5_CHV_MCI!I50</f>
        <v>0</v>
      </c>
      <c r="E1961" s="803">
        <f>Page5_CHV_MCI!N50</f>
        <v>0</v>
      </c>
      <c r="F1961" t="str">
        <f t="shared" si="87"/>
        <v>01-00-457P5A-GRSPFT-CURR</v>
      </c>
      <c r="G1961" t="s">
        <v>127</v>
      </c>
      <c r="H1961" t="s">
        <v>10287</v>
      </c>
      <c r="I1961" t="s">
        <v>10253</v>
      </c>
      <c r="K1961" s="1073" t="s">
        <v>10288</v>
      </c>
      <c r="L1961" s="789" t="s">
        <v>10241</v>
      </c>
      <c r="M1961" s="855" t="str">
        <f>C1961</f>
        <v>457P5A</v>
      </c>
      <c r="N1961" s="855"/>
      <c r="O1961" s="790" t="s">
        <v>10467</v>
      </c>
      <c r="P1961" s="790" t="s">
        <v>10244</v>
      </c>
      <c r="R1961" s="30"/>
    </row>
    <row r="1962" spans="1:18">
      <c r="B1962" s="27" t="s">
        <v>12134</v>
      </c>
      <c r="C1962" s="1042"/>
      <c r="D1962" s="803">
        <f>Page5_CHV_MCI!I51</f>
        <v>59805</v>
      </c>
      <c r="E1962" s="803">
        <f>Page5_CHV_MCI!N51</f>
        <v>141668</v>
      </c>
      <c r="F1962" t="str">
        <f t="shared" si="87"/>
        <v>01-00-TOTVEH5A-GRSPFT-CURR</v>
      </c>
      <c r="G1962" t="s">
        <v>127</v>
      </c>
      <c r="H1962" t="s">
        <v>10287</v>
      </c>
      <c r="I1962" t="s">
        <v>10253</v>
      </c>
      <c r="J1962" t="s">
        <v>10268</v>
      </c>
      <c r="K1962" s="1073" t="s">
        <v>10288</v>
      </c>
      <c r="L1962" s="789" t="s">
        <v>10241</v>
      </c>
      <c r="M1962" s="790" t="s">
        <v>10298</v>
      </c>
      <c r="O1962" s="790" t="s">
        <v>10467</v>
      </c>
      <c r="P1962" s="790" t="s">
        <v>10244</v>
      </c>
      <c r="Q1962" s="791" t="s">
        <v>773</v>
      </c>
    </row>
    <row r="1963" spans="1:18">
      <c r="A1963" s="805" t="s">
        <v>10299</v>
      </c>
      <c r="B1963" s="5" t="str">
        <f>Page5_CHV_VE!C4</f>
        <v>NE PAS UTILISER</v>
      </c>
      <c r="C1963" s="1038" t="str">
        <f>OR_VEH!D53</f>
        <v>400-002</v>
      </c>
      <c r="D1963" s="803">
        <f>Page5_CHV_VE!G4</f>
        <v>0</v>
      </c>
      <c r="E1963" s="803">
        <f>Page5_CHV_VE!L4</f>
        <v>0</v>
      </c>
      <c r="F1963" t="str">
        <f t="shared" si="87"/>
        <v>01-00-400-002-SALES-CURR</v>
      </c>
      <c r="G1963" t="s">
        <v>127</v>
      </c>
      <c r="H1963" t="s">
        <v>10287</v>
      </c>
      <c r="I1963" t="s">
        <v>10253</v>
      </c>
      <c r="K1963" s="1073" t="s">
        <v>10288</v>
      </c>
      <c r="L1963" s="789" t="s">
        <v>10241</v>
      </c>
      <c r="M1963" s="790" t="str">
        <f>LEFT(C1963,3)</f>
        <v>400</v>
      </c>
      <c r="N1963" s="790" t="str">
        <f>RIGHT(C1963,3)</f>
        <v>002</v>
      </c>
      <c r="O1963" s="799" t="s">
        <v>9883</v>
      </c>
      <c r="P1963" s="799" t="s">
        <v>10244</v>
      </c>
      <c r="R1963" s="30"/>
    </row>
    <row r="1964" spans="1:18">
      <c r="B1964" s="5" t="str">
        <f>Page5_CHV_VE!C5</f>
        <v>NE PAS UTILISER</v>
      </c>
      <c r="C1964" s="1038" t="str">
        <f>OR_VEH!D54</f>
        <v>401-002</v>
      </c>
      <c r="D1964" s="803">
        <f>Page5_CHV_VE!G5</f>
        <v>0</v>
      </c>
      <c r="E1964" s="803">
        <f>Page5_CHV_VE!L5</f>
        <v>0</v>
      </c>
      <c r="F1964" t="str">
        <f t="shared" si="87"/>
        <v>01-00-401-002-SALES-CURR</v>
      </c>
      <c r="G1964" t="s">
        <v>127</v>
      </c>
      <c r="H1964" t="s">
        <v>10287</v>
      </c>
      <c r="I1964" t="s">
        <v>10253</v>
      </c>
      <c r="K1964" s="1073" t="s">
        <v>10288</v>
      </c>
      <c r="L1964" s="789" t="s">
        <v>10241</v>
      </c>
      <c r="M1964" s="790" t="str">
        <f t="shared" ref="M1964:M1981" si="92">LEFT(C1964,3)</f>
        <v>401</v>
      </c>
      <c r="N1964" s="790" t="str">
        <f t="shared" ref="N1964:N1981" si="93">RIGHT(C1964,3)</f>
        <v>002</v>
      </c>
      <c r="O1964" s="799" t="s">
        <v>9883</v>
      </c>
      <c r="P1964" s="799" t="s">
        <v>10244</v>
      </c>
      <c r="R1964" s="30"/>
    </row>
    <row r="1965" spans="1:18">
      <c r="B1965" s="5" t="str">
        <f>Page5_CHV_VE!C6</f>
        <v>NE PAS UTILISER</v>
      </c>
      <c r="C1965" s="1038" t="str">
        <f>OR_VEH!D55</f>
        <v>402-002</v>
      </c>
      <c r="D1965" s="803">
        <f>Page5_CHV_VE!G6</f>
        <v>0</v>
      </c>
      <c r="E1965" s="803">
        <f>Page5_CHV_VE!L6</f>
        <v>0</v>
      </c>
      <c r="F1965" t="str">
        <f t="shared" si="87"/>
        <v>01-00-402-002-SALES-CURR</v>
      </c>
      <c r="G1965" t="s">
        <v>127</v>
      </c>
      <c r="H1965" t="s">
        <v>10287</v>
      </c>
      <c r="I1965" t="s">
        <v>10253</v>
      </c>
      <c r="K1965" s="1073" t="s">
        <v>10288</v>
      </c>
      <c r="L1965" s="789" t="s">
        <v>10241</v>
      </c>
      <c r="M1965" s="790" t="str">
        <f t="shared" si="92"/>
        <v>402</v>
      </c>
      <c r="N1965" s="790" t="str">
        <f t="shared" si="93"/>
        <v>002</v>
      </c>
      <c r="O1965" s="799" t="s">
        <v>9883</v>
      </c>
      <c r="P1965" s="799" t="s">
        <v>10244</v>
      </c>
      <c r="R1965" s="30"/>
    </row>
    <row r="1966" spans="1:18">
      <c r="B1966" s="5" t="str">
        <f>Page5_CHV_VE!C7</f>
        <v>NE PAS UTILISER</v>
      </c>
      <c r="C1966" s="1038" t="str">
        <f>OR_VEH!D56</f>
        <v>403-002</v>
      </c>
      <c r="D1966" s="803">
        <f>Page5_CHV_VE!G7</f>
        <v>0</v>
      </c>
      <c r="E1966" s="803">
        <f>Page5_CHV_VE!L7</f>
        <v>0</v>
      </c>
      <c r="F1966" t="str">
        <f t="shared" si="87"/>
        <v>01-00-403-002-SALES-CURR</v>
      </c>
      <c r="G1966" t="s">
        <v>127</v>
      </c>
      <c r="H1966" t="s">
        <v>10287</v>
      </c>
      <c r="I1966" t="s">
        <v>10253</v>
      </c>
      <c r="K1966" s="1073" t="s">
        <v>10288</v>
      </c>
      <c r="L1966" s="789" t="s">
        <v>10241</v>
      </c>
      <c r="M1966" s="790" t="str">
        <f t="shared" si="92"/>
        <v>403</v>
      </c>
      <c r="N1966" s="790" t="str">
        <f t="shared" si="93"/>
        <v>002</v>
      </c>
      <c r="O1966" s="799" t="s">
        <v>9883</v>
      </c>
      <c r="P1966" s="799" t="s">
        <v>10244</v>
      </c>
      <c r="R1966" s="30"/>
    </row>
    <row r="1967" spans="1:18">
      <c r="B1967" s="5" t="str">
        <f>Page5_CHV_VE!C8</f>
        <v>NE PAS UTILISER</v>
      </c>
      <c r="C1967" s="1038" t="str">
        <f>OR_VEH!D57</f>
        <v>404-002</v>
      </c>
      <c r="D1967" s="803">
        <f>Page5_CHV_VE!G8</f>
        <v>0</v>
      </c>
      <c r="E1967" s="803">
        <f>Page5_CHV_VE!L8</f>
        <v>0</v>
      </c>
      <c r="F1967" t="str">
        <f t="shared" si="87"/>
        <v>01-00-404-002-SALES-CURR</v>
      </c>
      <c r="G1967" t="s">
        <v>127</v>
      </c>
      <c r="H1967" t="s">
        <v>10287</v>
      </c>
      <c r="I1967" t="s">
        <v>10253</v>
      </c>
      <c r="K1967" s="1073" t="s">
        <v>10288</v>
      </c>
      <c r="L1967" s="789" t="s">
        <v>10241</v>
      </c>
      <c r="M1967" s="790" t="str">
        <f t="shared" si="92"/>
        <v>404</v>
      </c>
      <c r="N1967" s="790" t="str">
        <f t="shared" si="93"/>
        <v>002</v>
      </c>
      <c r="O1967" s="799" t="s">
        <v>9883</v>
      </c>
      <c r="P1967" s="799" t="s">
        <v>10244</v>
      </c>
      <c r="R1967" s="30"/>
    </row>
    <row r="1968" spans="1:18">
      <c r="B1968" s="5" t="str">
        <f>Page5_CHV_VE!C9</f>
        <v>NE PAS UTILISER</v>
      </c>
      <c r="C1968" s="1038" t="str">
        <f>OR_VEH!D58</f>
        <v>405-002</v>
      </c>
      <c r="D1968" s="803">
        <f>Page5_CHV_VE!G9</f>
        <v>0</v>
      </c>
      <c r="E1968" s="803">
        <f>Page5_CHV_VE!L9</f>
        <v>0</v>
      </c>
      <c r="F1968" t="str">
        <f t="shared" si="87"/>
        <v>01-00-405-002-SALES-CURR</v>
      </c>
      <c r="G1968" t="s">
        <v>127</v>
      </c>
      <c r="H1968" t="s">
        <v>10287</v>
      </c>
      <c r="I1968" t="s">
        <v>10253</v>
      </c>
      <c r="K1968" s="1073" t="s">
        <v>10288</v>
      </c>
      <c r="L1968" s="789" t="s">
        <v>10241</v>
      </c>
      <c r="M1968" s="790" t="str">
        <f t="shared" si="92"/>
        <v>405</v>
      </c>
      <c r="N1968" s="790" t="str">
        <f t="shared" si="93"/>
        <v>002</v>
      </c>
      <c r="O1968" s="799" t="s">
        <v>9883</v>
      </c>
      <c r="P1968" s="799" t="s">
        <v>10244</v>
      </c>
      <c r="R1968" s="30"/>
    </row>
    <row r="1969" spans="2:18">
      <c r="B1969" s="5" t="str">
        <f>Page5_CHV_VE!C10</f>
        <v>NE PAS UTILISER</v>
      </c>
      <c r="C1969" s="1038" t="str">
        <f>OR_VEH!D59</f>
        <v>406-002</v>
      </c>
      <c r="D1969" s="803">
        <f>Page5_CHV_VE!G10</f>
        <v>0</v>
      </c>
      <c r="E1969" s="803">
        <f>Page5_CHV_VE!L10</f>
        <v>0</v>
      </c>
      <c r="F1969" t="str">
        <f t="shared" si="87"/>
        <v>01-00-406-002-SALES-CURR</v>
      </c>
      <c r="G1969" t="s">
        <v>127</v>
      </c>
      <c r="H1969" t="s">
        <v>10287</v>
      </c>
      <c r="I1969" t="s">
        <v>10253</v>
      </c>
      <c r="K1969" s="1073" t="s">
        <v>10288</v>
      </c>
      <c r="L1969" s="789" t="s">
        <v>10241</v>
      </c>
      <c r="M1969" s="790" t="str">
        <f t="shared" si="92"/>
        <v>406</v>
      </c>
      <c r="N1969" s="790" t="str">
        <f t="shared" si="93"/>
        <v>002</v>
      </c>
      <c r="O1969" s="799" t="s">
        <v>9883</v>
      </c>
      <c r="P1969" s="799" t="s">
        <v>10244</v>
      </c>
      <c r="R1969" s="30"/>
    </row>
    <row r="1970" spans="2:18">
      <c r="B1970" s="5" t="str">
        <f>Page5_CHV_VE!C11</f>
        <v>NE PAS UTILISER</v>
      </c>
      <c r="C1970" s="1038" t="str">
        <f>OR_VEH!D60</f>
        <v>407-002</v>
      </c>
      <c r="D1970" s="803">
        <f>Page5_CHV_VE!G11</f>
        <v>0</v>
      </c>
      <c r="E1970" s="803">
        <f>Page5_CHV_VE!L11</f>
        <v>0</v>
      </c>
      <c r="F1970" t="str">
        <f t="shared" si="87"/>
        <v>01-00-407-002-SALES-CURR</v>
      </c>
      <c r="G1970" t="s">
        <v>127</v>
      </c>
      <c r="H1970" t="s">
        <v>10287</v>
      </c>
      <c r="I1970" t="s">
        <v>10253</v>
      </c>
      <c r="K1970" s="1073" t="s">
        <v>10288</v>
      </c>
      <c r="L1970" s="789" t="s">
        <v>10241</v>
      </c>
      <c r="M1970" s="790" t="str">
        <f t="shared" si="92"/>
        <v>407</v>
      </c>
      <c r="N1970" s="790" t="str">
        <f t="shared" si="93"/>
        <v>002</v>
      </c>
      <c r="O1970" s="799" t="s">
        <v>9883</v>
      </c>
      <c r="P1970" s="799" t="s">
        <v>10244</v>
      </c>
      <c r="R1970" s="30"/>
    </row>
    <row r="1971" spans="2:18">
      <c r="B1971" s="5" t="str">
        <f>Page5_CHV_VE!C12</f>
        <v>NE PAS UTILISER</v>
      </c>
      <c r="C1971" s="1038" t="str">
        <f>OR_VEH!D61</f>
        <v>408-002</v>
      </c>
      <c r="D1971" s="803">
        <f>Page5_CHV_VE!G12</f>
        <v>0</v>
      </c>
      <c r="E1971" s="803">
        <f>Page5_CHV_VE!L12</f>
        <v>0</v>
      </c>
      <c r="F1971" t="str">
        <f t="shared" si="87"/>
        <v>01-00-408-002-SALES-CURR</v>
      </c>
      <c r="G1971" t="s">
        <v>127</v>
      </c>
      <c r="H1971" t="s">
        <v>10287</v>
      </c>
      <c r="I1971" t="s">
        <v>10253</v>
      </c>
      <c r="K1971" s="1073" t="s">
        <v>10288</v>
      </c>
      <c r="L1971" s="789" t="s">
        <v>10241</v>
      </c>
      <c r="M1971" s="790" t="str">
        <f t="shared" si="92"/>
        <v>408</v>
      </c>
      <c r="N1971" s="790" t="str">
        <f t="shared" si="93"/>
        <v>002</v>
      </c>
      <c r="O1971" s="799" t="s">
        <v>9883</v>
      </c>
      <c r="P1971" s="799" t="s">
        <v>10244</v>
      </c>
      <c r="R1971" s="30"/>
    </row>
    <row r="1972" spans="2:18">
      <c r="B1972" s="5" t="str">
        <f>Page5_CHV_VE!C13</f>
        <v>NE PAS UTILISER</v>
      </c>
      <c r="C1972" s="1038" t="str">
        <f>OR_VEH!D62</f>
        <v>409-002</v>
      </c>
      <c r="D1972" s="803">
        <f>Page5_CHV_VE!G13</f>
        <v>0</v>
      </c>
      <c r="E1972" s="803">
        <f>Page5_CHV_VE!L13</f>
        <v>0</v>
      </c>
      <c r="F1972" t="str">
        <f t="shared" si="87"/>
        <v>01-00-409-002-SALES-CURR</v>
      </c>
      <c r="G1972" t="s">
        <v>127</v>
      </c>
      <c r="H1972" t="s">
        <v>10287</v>
      </c>
      <c r="I1972" t="s">
        <v>10253</v>
      </c>
      <c r="K1972" s="1073" t="s">
        <v>10288</v>
      </c>
      <c r="L1972" s="789" t="s">
        <v>10241</v>
      </c>
      <c r="M1972" s="790" t="str">
        <f t="shared" si="92"/>
        <v>409</v>
      </c>
      <c r="N1972" s="790" t="str">
        <f t="shared" si="93"/>
        <v>002</v>
      </c>
      <c r="O1972" s="799" t="s">
        <v>9883</v>
      </c>
      <c r="P1972" s="799" t="s">
        <v>10244</v>
      </c>
      <c r="R1972" s="30"/>
    </row>
    <row r="1973" spans="2:18">
      <c r="B1973" s="5" t="str">
        <f>Page5_CHV_VE!C14</f>
        <v>NE PAS UTILISER</v>
      </c>
      <c r="C1973" s="1038" t="str">
        <f>OR_VEH!D63</f>
        <v>410-002</v>
      </c>
      <c r="D1973" s="803">
        <f>Page5_CHV_VE!G14</f>
        <v>0</v>
      </c>
      <c r="E1973" s="803">
        <f>Page5_CHV_VE!L14</f>
        <v>0</v>
      </c>
      <c r="F1973" t="str">
        <f t="shared" si="87"/>
        <v>01-00-410-002-SALES-CURR</v>
      </c>
      <c r="G1973" t="s">
        <v>127</v>
      </c>
      <c r="H1973" t="s">
        <v>10287</v>
      </c>
      <c r="I1973" t="s">
        <v>10253</v>
      </c>
      <c r="K1973" s="1073" t="s">
        <v>10288</v>
      </c>
      <c r="L1973" s="789" t="s">
        <v>10241</v>
      </c>
      <c r="M1973" s="790" t="str">
        <f t="shared" si="92"/>
        <v>410</v>
      </c>
      <c r="N1973" s="790" t="str">
        <f t="shared" si="93"/>
        <v>002</v>
      </c>
      <c r="O1973" s="799" t="s">
        <v>9883</v>
      </c>
      <c r="P1973" s="799" t="s">
        <v>10244</v>
      </c>
      <c r="R1973" s="30"/>
    </row>
    <row r="1974" spans="2:18">
      <c r="B1974" s="5" t="str">
        <f>Page5_CHV_VE!C15</f>
        <v>NE PAS UTILISER</v>
      </c>
      <c r="C1974" s="1038" t="str">
        <f>OR_VEH!D64</f>
        <v>411-002</v>
      </c>
      <c r="D1974" s="803">
        <f>Page5_CHV_VE!G15</f>
        <v>0</v>
      </c>
      <c r="E1974" s="803">
        <f>Page5_CHV_VE!L15</f>
        <v>0</v>
      </c>
      <c r="F1974" t="str">
        <f t="shared" ref="F1974:F2037" si="94">TEXT(K1974,"00")&amp;"-"&amp;L1974&amp;IF(M1974="","","-"&amp;M1974)&amp;IF(N1974="","","-"&amp;N1974)&amp;IF(OR(O1974="",O1974=0),"","-"&amp;O1974)&amp;IF(P1974="","","-"&amp;P1974)</f>
        <v>01-00-411-002-SALES-CURR</v>
      </c>
      <c r="G1974" t="s">
        <v>127</v>
      </c>
      <c r="H1974" t="s">
        <v>10287</v>
      </c>
      <c r="I1974" t="s">
        <v>10253</v>
      </c>
      <c r="K1974" s="1073" t="s">
        <v>10288</v>
      </c>
      <c r="L1974" s="789" t="s">
        <v>10241</v>
      </c>
      <c r="M1974" s="790" t="str">
        <f t="shared" si="92"/>
        <v>411</v>
      </c>
      <c r="N1974" s="790" t="str">
        <f t="shared" si="93"/>
        <v>002</v>
      </c>
      <c r="O1974" s="790" t="s">
        <v>9883</v>
      </c>
      <c r="P1974" s="790" t="s">
        <v>10244</v>
      </c>
      <c r="R1974" s="30"/>
    </row>
    <row r="1975" spans="2:18">
      <c r="B1975" s="5" t="str">
        <f>Page5_CHV_VE!C16</f>
        <v>NE PAS UTILISER</v>
      </c>
      <c r="C1975" s="1038" t="str">
        <f>OR_VEH!D65</f>
        <v>412-002</v>
      </c>
      <c r="D1975" s="803">
        <f>Page5_CHV_VE!G16</f>
        <v>0</v>
      </c>
      <c r="E1975" s="803">
        <f>Page5_CHV_VE!L16</f>
        <v>0</v>
      </c>
      <c r="F1975" t="str">
        <f t="shared" si="94"/>
        <v>01-00-412-002-SALES-CURR</v>
      </c>
      <c r="G1975" t="s">
        <v>127</v>
      </c>
      <c r="H1975" t="s">
        <v>10287</v>
      </c>
      <c r="I1975" t="s">
        <v>10253</v>
      </c>
      <c r="K1975" s="1073" t="s">
        <v>10288</v>
      </c>
      <c r="L1975" s="789" t="s">
        <v>10241</v>
      </c>
      <c r="M1975" s="790" t="str">
        <f t="shared" si="92"/>
        <v>412</v>
      </c>
      <c r="N1975" s="790" t="str">
        <f t="shared" si="93"/>
        <v>002</v>
      </c>
      <c r="O1975" s="790" t="s">
        <v>9883</v>
      </c>
      <c r="P1975" s="790" t="s">
        <v>10244</v>
      </c>
      <c r="R1975" s="30"/>
    </row>
    <row r="1976" spans="2:18">
      <c r="B1976" s="5" t="str">
        <f>Page5_CHV_VE!C17</f>
        <v>NE PAS UTILISER</v>
      </c>
      <c r="C1976" s="1038" t="str">
        <f>OR_VEH!D66</f>
        <v>413-002</v>
      </c>
      <c r="D1976" s="803">
        <f>Page5_CHV_VE!G17</f>
        <v>0</v>
      </c>
      <c r="E1976" s="803">
        <f>Page5_CHV_VE!L17</f>
        <v>0</v>
      </c>
      <c r="F1976" t="str">
        <f t="shared" si="94"/>
        <v>01-00-413-002-SALES-CURR</v>
      </c>
      <c r="G1976" t="s">
        <v>127</v>
      </c>
      <c r="H1976" t="s">
        <v>10287</v>
      </c>
      <c r="I1976" t="s">
        <v>10253</v>
      </c>
      <c r="K1976" s="1073" t="s">
        <v>10288</v>
      </c>
      <c r="L1976" s="789" t="s">
        <v>10241</v>
      </c>
      <c r="M1976" s="790" t="str">
        <f t="shared" si="92"/>
        <v>413</v>
      </c>
      <c r="N1976" s="790" t="str">
        <f t="shared" si="93"/>
        <v>002</v>
      </c>
      <c r="O1976" s="790" t="s">
        <v>9883</v>
      </c>
      <c r="P1976" s="790" t="s">
        <v>10244</v>
      </c>
      <c r="R1976" s="30"/>
    </row>
    <row r="1977" spans="2:18">
      <c r="B1977" s="5" t="str">
        <f>Page5_CHV_VE!C18</f>
        <v>NE PAS UTILISER</v>
      </c>
      <c r="C1977" s="1038" t="str">
        <f>OR_VEH!D67</f>
        <v>414-002</v>
      </c>
      <c r="D1977" s="803">
        <f>Page5_CHV_VE!G18</f>
        <v>0</v>
      </c>
      <c r="E1977" s="803">
        <f>Page5_CHV_VE!L18</f>
        <v>0</v>
      </c>
      <c r="F1977" t="str">
        <f t="shared" si="94"/>
        <v>01-00-414-002-SALES-CURR</v>
      </c>
      <c r="G1977" t="s">
        <v>127</v>
      </c>
      <c r="H1977" t="s">
        <v>10287</v>
      </c>
      <c r="I1977" t="s">
        <v>10253</v>
      </c>
      <c r="K1977" s="1073" t="s">
        <v>10288</v>
      </c>
      <c r="L1977" s="789" t="s">
        <v>10241</v>
      </c>
      <c r="M1977" s="790" t="str">
        <f t="shared" si="92"/>
        <v>414</v>
      </c>
      <c r="N1977" s="790" t="str">
        <f t="shared" si="93"/>
        <v>002</v>
      </c>
      <c r="O1977" s="790" t="s">
        <v>9883</v>
      </c>
      <c r="P1977" s="790" t="s">
        <v>10244</v>
      </c>
      <c r="R1977" s="30"/>
    </row>
    <row r="1978" spans="2:18">
      <c r="B1978" s="5" t="str">
        <f>Page5_CHV_VE!C19</f>
        <v>NE PAS UTILISER</v>
      </c>
      <c r="C1978" s="1038" t="str">
        <f>OR_VEH!D68</f>
        <v>415-002</v>
      </c>
      <c r="D1978" s="803">
        <f>Page5_CHV_VE!G19</f>
        <v>0</v>
      </c>
      <c r="E1978" s="803">
        <f>Page5_CHV_VE!L19</f>
        <v>0</v>
      </c>
      <c r="F1978" t="str">
        <f t="shared" si="94"/>
        <v>01-00-415-002-SALES-CURR</v>
      </c>
      <c r="G1978" t="s">
        <v>127</v>
      </c>
      <c r="H1978" t="s">
        <v>10287</v>
      </c>
      <c r="I1978" t="s">
        <v>10253</v>
      </c>
      <c r="K1978" s="1073" t="s">
        <v>10288</v>
      </c>
      <c r="L1978" s="789" t="s">
        <v>10241</v>
      </c>
      <c r="M1978" s="790" t="str">
        <f t="shared" si="92"/>
        <v>415</v>
      </c>
      <c r="N1978" s="790" t="str">
        <f t="shared" si="93"/>
        <v>002</v>
      </c>
      <c r="O1978" s="790" t="s">
        <v>9883</v>
      </c>
      <c r="P1978" s="790" t="s">
        <v>10244</v>
      </c>
      <c r="R1978" s="30"/>
    </row>
    <row r="1979" spans="2:18">
      <c r="B1979" s="5" t="str">
        <f>Page5_CHV_VE!C20</f>
        <v>NE PAS UTILISER</v>
      </c>
      <c r="C1979" s="1038" t="str">
        <f>OR_VEH!D69</f>
        <v>416-002</v>
      </c>
      <c r="D1979" s="803">
        <f>Page5_CHV_VE!G20</f>
        <v>0</v>
      </c>
      <c r="E1979" s="803">
        <f>Page5_CHV_VE!L20</f>
        <v>0</v>
      </c>
      <c r="F1979" t="str">
        <f t="shared" si="94"/>
        <v>01-00-416-002-SALES-CURR</v>
      </c>
      <c r="G1979" t="s">
        <v>127</v>
      </c>
      <c r="H1979" t="s">
        <v>10287</v>
      </c>
      <c r="I1979" t="s">
        <v>10253</v>
      </c>
      <c r="K1979" s="1073" t="s">
        <v>10288</v>
      </c>
      <c r="L1979" s="789" t="s">
        <v>10241</v>
      </c>
      <c r="M1979" s="790" t="str">
        <f t="shared" si="92"/>
        <v>416</v>
      </c>
      <c r="N1979" s="790" t="str">
        <f t="shared" si="93"/>
        <v>002</v>
      </c>
      <c r="O1979" s="790" t="s">
        <v>9883</v>
      </c>
      <c r="P1979" s="790" t="s">
        <v>10244</v>
      </c>
      <c r="R1979" s="30"/>
    </row>
    <row r="1980" spans="2:18">
      <c r="B1980" s="5" t="str">
        <f>Page5_CHV_VE!C21</f>
        <v>NE PAS UTILISER</v>
      </c>
      <c r="C1980" s="1038" t="str">
        <f>OR_VEH!D70</f>
        <v>417-002</v>
      </c>
      <c r="D1980" s="803">
        <f>Page5_CHV_VE!G21</f>
        <v>0</v>
      </c>
      <c r="E1980" s="803">
        <f>Page5_CHV_VE!L21</f>
        <v>0</v>
      </c>
      <c r="F1980" t="str">
        <f t="shared" si="94"/>
        <v>01-00-417-002-SALES-CURR</v>
      </c>
      <c r="G1980" t="s">
        <v>127</v>
      </c>
      <c r="H1980" t="s">
        <v>10287</v>
      </c>
      <c r="I1980" t="s">
        <v>10253</v>
      </c>
      <c r="K1980" s="1073" t="s">
        <v>10288</v>
      </c>
      <c r="L1980" s="789" t="s">
        <v>10241</v>
      </c>
      <c r="M1980" s="790" t="str">
        <f t="shared" si="92"/>
        <v>417</v>
      </c>
      <c r="N1980" s="790" t="str">
        <f t="shared" si="93"/>
        <v>002</v>
      </c>
      <c r="O1980" s="790" t="s">
        <v>9883</v>
      </c>
      <c r="P1980" s="790" t="s">
        <v>10244</v>
      </c>
      <c r="R1980" s="30"/>
    </row>
    <row r="1981" spans="2:18">
      <c r="B1981" s="5" t="str">
        <f>Page5_CHV_VE!C22</f>
        <v>NE PAS UTILISER</v>
      </c>
      <c r="C1981" s="1038" t="str">
        <f>OR_VEH!D71</f>
        <v>418-002</v>
      </c>
      <c r="D1981" s="803">
        <f>Page5_CHV_VE!G22</f>
        <v>0</v>
      </c>
      <c r="E1981" s="803">
        <f>Page5_CHV_VE!L22</f>
        <v>0</v>
      </c>
      <c r="F1981" t="str">
        <f t="shared" si="94"/>
        <v>01-00-418-002-SALES-CURR</v>
      </c>
      <c r="G1981" t="s">
        <v>127</v>
      </c>
      <c r="H1981" t="s">
        <v>10287</v>
      </c>
      <c r="I1981" t="s">
        <v>10253</v>
      </c>
      <c r="K1981" s="1073" t="s">
        <v>10288</v>
      </c>
      <c r="L1981" s="789" t="s">
        <v>10241</v>
      </c>
      <c r="M1981" s="790" t="str">
        <f t="shared" si="92"/>
        <v>418</v>
      </c>
      <c r="N1981" s="790" t="str">
        <f t="shared" si="93"/>
        <v>002</v>
      </c>
      <c r="O1981" s="799" t="s">
        <v>9883</v>
      </c>
      <c r="P1981" s="799" t="s">
        <v>10244</v>
      </c>
      <c r="R1981" s="30"/>
    </row>
    <row r="1982" spans="2:18">
      <c r="B1982" s="27" t="s">
        <v>12135</v>
      </c>
      <c r="C1982" s="1042"/>
      <c r="D1982" s="803">
        <f>Page5_CHV_VE!G23</f>
        <v>0</v>
      </c>
      <c r="E1982" s="803">
        <f>Page5_CHV_VE!L23</f>
        <v>0</v>
      </c>
      <c r="F1982" t="str">
        <f t="shared" si="94"/>
        <v>01-00-RTLCAR5B-SALES-CURR</v>
      </c>
      <c r="G1982" t="s">
        <v>127</v>
      </c>
      <c r="H1982" t="s">
        <v>10287</v>
      </c>
      <c r="I1982" t="s">
        <v>10253</v>
      </c>
      <c r="J1982" t="s">
        <v>10268</v>
      </c>
      <c r="K1982" s="1073" t="s">
        <v>10288</v>
      </c>
      <c r="L1982" s="789" t="s">
        <v>10241</v>
      </c>
      <c r="M1982" s="790" t="s">
        <v>10301</v>
      </c>
      <c r="O1982" s="790" t="s">
        <v>9883</v>
      </c>
      <c r="P1982" s="790" t="s">
        <v>10244</v>
      </c>
      <c r="Q1982" s="791" t="s">
        <v>773</v>
      </c>
    </row>
    <row r="1983" spans="2:18">
      <c r="B1983" s="5" t="str">
        <f>Page5_CHV_VE!C24</f>
        <v>MÉMO* VENTES INTERNET VOITURES</v>
      </c>
      <c r="C1983" s="1038" t="str">
        <f>OR_VEH!D73</f>
        <v>419P5B</v>
      </c>
      <c r="D1983" s="803">
        <f>Page5_CHV_VE!G24</f>
        <v>0</v>
      </c>
      <c r="E1983" s="803">
        <f>Page5_CHV_VE!L24</f>
        <v>0</v>
      </c>
      <c r="F1983" t="str">
        <f t="shared" si="94"/>
        <v>01-00-419P5B-SALES-CURR</v>
      </c>
      <c r="G1983" t="s">
        <v>127</v>
      </c>
      <c r="H1983" t="s">
        <v>10287</v>
      </c>
      <c r="I1983" t="s">
        <v>10253</v>
      </c>
      <c r="K1983" s="1073" t="s">
        <v>10288</v>
      </c>
      <c r="L1983" s="789" t="s">
        <v>10241</v>
      </c>
      <c r="M1983" s="855" t="str">
        <f>C1983</f>
        <v>419P5B</v>
      </c>
      <c r="N1983" s="855"/>
      <c r="O1983" s="790" t="s">
        <v>9883</v>
      </c>
      <c r="P1983" s="790" t="s">
        <v>10244</v>
      </c>
      <c r="R1983" s="30"/>
    </row>
    <row r="1984" spans="2:18">
      <c r="B1984" s="5" t="str">
        <f>Page5_CHV_VE!C25</f>
        <v>TOTAL PARCS - VOITURES</v>
      </c>
      <c r="C1984" s="1038" t="str">
        <f>OR_VEH!D74</f>
        <v>420P5B</v>
      </c>
      <c r="D1984" s="803">
        <f>Page5_CHV_VE!G25</f>
        <v>0</v>
      </c>
      <c r="E1984" s="803">
        <f>Page5_CHV_VE!L25</f>
        <v>0</v>
      </c>
      <c r="F1984" t="str">
        <f t="shared" si="94"/>
        <v>01-00-420P5B-SALES-CURR</v>
      </c>
      <c r="G1984" t="s">
        <v>127</v>
      </c>
      <c r="H1984" t="s">
        <v>10287</v>
      </c>
      <c r="I1984" t="s">
        <v>10253</v>
      </c>
      <c r="K1984" s="1073" t="s">
        <v>10288</v>
      </c>
      <c r="L1984" s="789" t="s">
        <v>10241</v>
      </c>
      <c r="M1984" s="855" t="str">
        <f>C1984</f>
        <v>420P5B</v>
      </c>
      <c r="N1984" s="855"/>
      <c r="O1984" s="799" t="s">
        <v>9883</v>
      </c>
      <c r="P1984" s="799" t="s">
        <v>10244</v>
      </c>
      <c r="R1984" s="30"/>
    </row>
    <row r="1985" spans="2:18">
      <c r="B1985" s="5" t="str">
        <f>Page5_CHV_VE!C26</f>
        <v>TOTAL INTERNE - VOITURES</v>
      </c>
      <c r="C1985" s="1038" t="str">
        <f>OR_VEH!D75</f>
        <v>421P5B</v>
      </c>
      <c r="D1985" s="803">
        <f>Page5_CHV_VE!G26</f>
        <v>0</v>
      </c>
      <c r="E1985" s="803">
        <f>Page5_CHV_VE!L26</f>
        <v>0</v>
      </c>
      <c r="F1985" t="str">
        <f t="shared" si="94"/>
        <v>01-00-421P5B-SALES-CURR</v>
      </c>
      <c r="G1985" t="s">
        <v>127</v>
      </c>
      <c r="H1985" t="s">
        <v>10287</v>
      </c>
      <c r="I1985" t="s">
        <v>10253</v>
      </c>
      <c r="K1985" s="1073" t="s">
        <v>10288</v>
      </c>
      <c r="L1985" s="789" t="s">
        <v>10241</v>
      </c>
      <c r="M1985" s="855" t="str">
        <f>C1985</f>
        <v>421P5B</v>
      </c>
      <c r="N1985" s="855"/>
      <c r="O1985" s="799" t="s">
        <v>9883</v>
      </c>
      <c r="P1985" s="799" t="s">
        <v>10244</v>
      </c>
      <c r="R1985" s="30"/>
    </row>
    <row r="1986" spans="2:18">
      <c r="B1986" s="27" t="s">
        <v>12136</v>
      </c>
      <c r="C1986" s="1042"/>
      <c r="D1986" s="803">
        <f>Page5_CHV_VE!G27</f>
        <v>0</v>
      </c>
      <c r="E1986" s="803">
        <f>Page5_CHV_VE!L27</f>
        <v>0</v>
      </c>
      <c r="F1986" t="str">
        <f t="shared" si="94"/>
        <v>01-00-TOTCAR5B-SALES-CURR</v>
      </c>
      <c r="G1986" t="s">
        <v>127</v>
      </c>
      <c r="H1986" t="s">
        <v>10287</v>
      </c>
      <c r="I1986" t="s">
        <v>10253</v>
      </c>
      <c r="J1986" t="s">
        <v>10268</v>
      </c>
      <c r="K1986" s="1073" t="s">
        <v>10288</v>
      </c>
      <c r="L1986" s="789" t="s">
        <v>10241</v>
      </c>
      <c r="M1986" s="790" t="s">
        <v>10303</v>
      </c>
      <c r="O1986" s="790" t="s">
        <v>9883</v>
      </c>
      <c r="P1986" s="790" t="s">
        <v>10244</v>
      </c>
      <c r="Q1986" s="791" t="s">
        <v>773</v>
      </c>
    </row>
    <row r="1987" spans="2:18">
      <c r="B1987" s="5" t="str">
        <f>Page5_CHV_VE!C28</f>
        <v>BOLT EUV</v>
      </c>
      <c r="C1987" s="1038" t="str">
        <f>OR_VEH!D77</f>
        <v>423-002</v>
      </c>
      <c r="D1987" s="803">
        <f>Page5_CHV_VE!G28</f>
        <v>0</v>
      </c>
      <c r="E1987" s="803">
        <f>Page5_CHV_VE!L28</f>
        <v>0</v>
      </c>
      <c r="F1987" t="str">
        <f t="shared" si="94"/>
        <v>01-00-423-002-SALES-CURR</v>
      </c>
      <c r="G1987" t="s">
        <v>127</v>
      </c>
      <c r="H1987" t="s">
        <v>10287</v>
      </c>
      <c r="I1987" t="s">
        <v>10253</v>
      </c>
      <c r="K1987" s="1073" t="s">
        <v>10288</v>
      </c>
      <c r="L1987" s="789" t="s">
        <v>10241</v>
      </c>
      <c r="M1987" s="790" t="str">
        <f t="shared" ref="M1987:M2002" si="95">LEFT(C1987,3)</f>
        <v>423</v>
      </c>
      <c r="N1987" s="790" t="str">
        <f t="shared" ref="N1987:N2002" si="96">RIGHT(C1987,3)</f>
        <v>002</v>
      </c>
      <c r="O1987" s="799" t="s">
        <v>9883</v>
      </c>
      <c r="P1987" s="799" t="s">
        <v>10244</v>
      </c>
      <c r="R1987" s="30"/>
    </row>
    <row r="1988" spans="2:18">
      <c r="B1988" s="5" t="str">
        <f>Page5_CHV_VE!C29</f>
        <v>BOLT EV</v>
      </c>
      <c r="C1988" s="1038" t="str">
        <f>OR_VEH!D78</f>
        <v>424-002</v>
      </c>
      <c r="D1988" s="803">
        <f>Page5_CHV_VE!G29</f>
        <v>0</v>
      </c>
      <c r="E1988" s="803">
        <f>Page5_CHV_VE!L29</f>
        <v>0</v>
      </c>
      <c r="F1988" t="str">
        <f t="shared" si="94"/>
        <v>01-00-424-002-SALES-CURR</v>
      </c>
      <c r="G1988" t="s">
        <v>127</v>
      </c>
      <c r="H1988" t="s">
        <v>10287</v>
      </c>
      <c r="I1988" t="s">
        <v>10253</v>
      </c>
      <c r="K1988" s="1073" t="s">
        <v>10288</v>
      </c>
      <c r="L1988" s="789" t="s">
        <v>10241</v>
      </c>
      <c r="M1988" s="790" t="str">
        <f t="shared" si="95"/>
        <v>424</v>
      </c>
      <c r="N1988" s="790" t="str">
        <f t="shared" si="96"/>
        <v>002</v>
      </c>
      <c r="O1988" s="799" t="s">
        <v>9883</v>
      </c>
      <c r="P1988" s="799" t="s">
        <v>10244</v>
      </c>
      <c r="R1988" s="30"/>
    </row>
    <row r="1989" spans="2:18">
      <c r="B1989" s="5" t="str">
        <f>Page5_CHV_VE!C30</f>
        <v>BLAZER EV</v>
      </c>
      <c r="C1989" s="1038" t="str">
        <f>OR_VEH!D79</f>
        <v>425-002</v>
      </c>
      <c r="D1989" s="803">
        <f>Page5_CHV_VE!G30</f>
        <v>0</v>
      </c>
      <c r="E1989" s="803">
        <f>Page5_CHV_VE!L30</f>
        <v>64477</v>
      </c>
      <c r="F1989" t="str">
        <f t="shared" si="94"/>
        <v>01-00-425-002-SALES-CURR</v>
      </c>
      <c r="G1989" t="s">
        <v>127</v>
      </c>
      <c r="H1989" t="s">
        <v>10287</v>
      </c>
      <c r="I1989" t="s">
        <v>10253</v>
      </c>
      <c r="K1989" s="1073" t="s">
        <v>10288</v>
      </c>
      <c r="L1989" s="789" t="s">
        <v>10241</v>
      </c>
      <c r="M1989" s="790" t="str">
        <f t="shared" si="95"/>
        <v>425</v>
      </c>
      <c r="N1989" s="790" t="str">
        <f t="shared" si="96"/>
        <v>002</v>
      </c>
      <c r="O1989" s="799" t="s">
        <v>9883</v>
      </c>
      <c r="P1989" s="799" t="s">
        <v>10244</v>
      </c>
      <c r="R1989" s="30"/>
    </row>
    <row r="1990" spans="2:18">
      <c r="B1990" s="5" t="str">
        <f>Page5_CHV_VE!C31</f>
        <v>EQUINOX EV</v>
      </c>
      <c r="C1990" s="1038" t="str">
        <f>OR_VEH!D80</f>
        <v>426-002</v>
      </c>
      <c r="D1990" s="803">
        <f>Page5_CHV_VE!G31</f>
        <v>166774</v>
      </c>
      <c r="E1990" s="803">
        <f>Page5_CHV_VE!L31</f>
        <v>390030</v>
      </c>
      <c r="F1990" t="str">
        <f t="shared" si="94"/>
        <v>01-00-426-002-SALES-CURR</v>
      </c>
      <c r="G1990" t="s">
        <v>127</v>
      </c>
      <c r="H1990" t="s">
        <v>10287</v>
      </c>
      <c r="I1990" t="s">
        <v>10253</v>
      </c>
      <c r="K1990" s="1073" t="s">
        <v>10288</v>
      </c>
      <c r="L1990" s="789" t="s">
        <v>10241</v>
      </c>
      <c r="M1990" s="790" t="str">
        <f t="shared" si="95"/>
        <v>426</v>
      </c>
      <c r="N1990" s="790" t="str">
        <f t="shared" si="96"/>
        <v>002</v>
      </c>
      <c r="O1990" s="799" t="s">
        <v>9883</v>
      </c>
      <c r="P1990" s="799" t="s">
        <v>10244</v>
      </c>
      <c r="R1990" s="30"/>
    </row>
    <row r="1991" spans="2:18">
      <c r="B1991" s="5" t="str">
        <f>Page5_CHV_VE!C32</f>
        <v>SILVERADO EV</v>
      </c>
      <c r="C1991" s="1038" t="str">
        <f>OR_VEH!D81</f>
        <v>427-002</v>
      </c>
      <c r="D1991" s="803">
        <f>Page5_CHV_VE!G32</f>
        <v>0</v>
      </c>
      <c r="E1991" s="803">
        <f>Page5_CHV_VE!L32</f>
        <v>288896</v>
      </c>
      <c r="F1991" t="str">
        <f t="shared" si="94"/>
        <v>01-00-427-002-SALES-CURR</v>
      </c>
      <c r="G1991" t="s">
        <v>127</v>
      </c>
      <c r="H1991" t="s">
        <v>10287</v>
      </c>
      <c r="I1991" t="s">
        <v>10253</v>
      </c>
      <c r="K1991" s="1073" t="s">
        <v>10288</v>
      </c>
      <c r="L1991" s="789" t="s">
        <v>10241</v>
      </c>
      <c r="M1991" s="790" t="str">
        <f t="shared" si="95"/>
        <v>427</v>
      </c>
      <c r="N1991" s="790" t="str">
        <f t="shared" si="96"/>
        <v>002</v>
      </c>
      <c r="O1991" s="799" t="s">
        <v>9883</v>
      </c>
      <c r="P1991" s="799" t="s">
        <v>10244</v>
      </c>
      <c r="R1991" s="30"/>
    </row>
    <row r="1992" spans="2:18">
      <c r="B1992" s="5" t="str">
        <f>Page5_CHV_VE!C33</f>
        <v>ZEVO 400 AWD</v>
      </c>
      <c r="C1992" s="1038" t="str">
        <f>OR_VEH!D82</f>
        <v>428-002</v>
      </c>
      <c r="D1992" s="803">
        <f>Page5_CHV_VE!G33</f>
        <v>0</v>
      </c>
      <c r="E1992" s="803">
        <f>Page5_CHV_VE!L33</f>
        <v>0</v>
      </c>
      <c r="F1992" t="str">
        <f t="shared" si="94"/>
        <v>01-00-428-002-SALES-CURR</v>
      </c>
      <c r="G1992" t="s">
        <v>127</v>
      </c>
      <c r="H1992" t="s">
        <v>10287</v>
      </c>
      <c r="I1992" t="s">
        <v>10253</v>
      </c>
      <c r="K1992" s="1073" t="s">
        <v>10288</v>
      </c>
      <c r="L1992" s="789" t="s">
        <v>10241</v>
      </c>
      <c r="M1992" s="790" t="str">
        <f t="shared" si="95"/>
        <v>428</v>
      </c>
      <c r="N1992" s="790" t="str">
        <f t="shared" si="96"/>
        <v>002</v>
      </c>
      <c r="O1992" s="799" t="s">
        <v>9883</v>
      </c>
      <c r="P1992" s="799" t="s">
        <v>10244</v>
      </c>
      <c r="R1992" s="30"/>
    </row>
    <row r="1993" spans="2:18">
      <c r="B1993" s="5" t="str">
        <f>Page5_CHV_VE!C34</f>
        <v>ZEVO 600 AWD</v>
      </c>
      <c r="C1993" s="1038" t="str">
        <f>OR_VEH!D83</f>
        <v>429-002</v>
      </c>
      <c r="D1993" s="803">
        <f>Page5_CHV_VE!G34</f>
        <v>0</v>
      </c>
      <c r="E1993" s="803">
        <f>Page5_CHV_VE!L34</f>
        <v>0</v>
      </c>
      <c r="F1993" t="str">
        <f t="shared" si="94"/>
        <v>01-00-429-002-SALES-CURR</v>
      </c>
      <c r="G1993" t="s">
        <v>127</v>
      </c>
      <c r="H1993" t="s">
        <v>10287</v>
      </c>
      <c r="I1993" t="s">
        <v>10253</v>
      </c>
      <c r="K1993" s="1073" t="s">
        <v>10288</v>
      </c>
      <c r="L1993" s="789" t="s">
        <v>10241</v>
      </c>
      <c r="M1993" s="790" t="str">
        <f t="shared" si="95"/>
        <v>429</v>
      </c>
      <c r="N1993" s="790" t="str">
        <f t="shared" si="96"/>
        <v>002</v>
      </c>
      <c r="O1993" s="799" t="s">
        <v>9883</v>
      </c>
      <c r="P1993" s="799" t="s">
        <v>10244</v>
      </c>
      <c r="R1993" s="30"/>
    </row>
    <row r="1994" spans="2:18">
      <c r="B1994" s="5" t="str">
        <f>Page5_CHV_VE!C35</f>
        <v>NE PAS UTILISER</v>
      </c>
      <c r="C1994" s="1038" t="str">
        <f>OR_VEH!D84</f>
        <v>430-002</v>
      </c>
      <c r="D1994" s="803">
        <f>Page5_CHV_VE!G35</f>
        <v>0</v>
      </c>
      <c r="E1994" s="803">
        <f>Page5_CHV_VE!L35</f>
        <v>0</v>
      </c>
      <c r="F1994" t="str">
        <f t="shared" si="94"/>
        <v>01-00-430-002-SALES-CURR</v>
      </c>
      <c r="G1994" t="s">
        <v>127</v>
      </c>
      <c r="H1994" t="s">
        <v>10287</v>
      </c>
      <c r="I1994" t="s">
        <v>10253</v>
      </c>
      <c r="K1994" s="1073" t="s">
        <v>10288</v>
      </c>
      <c r="L1994" s="789" t="s">
        <v>10241</v>
      </c>
      <c r="M1994" s="790" t="str">
        <f t="shared" si="95"/>
        <v>430</v>
      </c>
      <c r="N1994" s="790" t="str">
        <f t="shared" si="96"/>
        <v>002</v>
      </c>
      <c r="O1994" s="799" t="s">
        <v>9883</v>
      </c>
      <c r="P1994" s="799" t="s">
        <v>10244</v>
      </c>
      <c r="R1994" s="30"/>
    </row>
    <row r="1995" spans="2:18">
      <c r="B1995" s="5" t="str">
        <f>Page5_CHV_VE!C36</f>
        <v>NE PAS UTILISER</v>
      </c>
      <c r="C1995" s="1038" t="str">
        <f>OR_VEH!D85</f>
        <v>431-002</v>
      </c>
      <c r="D1995" s="803">
        <f>Page5_CHV_VE!G36</f>
        <v>0</v>
      </c>
      <c r="E1995" s="803">
        <f>Page5_CHV_VE!L36</f>
        <v>0</v>
      </c>
      <c r="F1995" t="str">
        <f t="shared" si="94"/>
        <v>01-00-431-002-SALES-CURR</v>
      </c>
      <c r="G1995" t="s">
        <v>127</v>
      </c>
      <c r="H1995" t="s">
        <v>10287</v>
      </c>
      <c r="I1995" t="s">
        <v>10253</v>
      </c>
      <c r="K1995" s="1073" t="s">
        <v>10288</v>
      </c>
      <c r="L1995" s="789" t="s">
        <v>10241</v>
      </c>
      <c r="M1995" s="790" t="str">
        <f t="shared" si="95"/>
        <v>431</v>
      </c>
      <c r="N1995" s="790" t="str">
        <f t="shared" si="96"/>
        <v>002</v>
      </c>
      <c r="O1995" s="799" t="s">
        <v>9883</v>
      </c>
      <c r="P1995" s="799" t="s">
        <v>10244</v>
      </c>
      <c r="R1995" s="30"/>
    </row>
    <row r="1996" spans="2:18">
      <c r="B1996" s="5" t="str">
        <f>Page5_CHV_VE!C37</f>
        <v>NE PAS UTILISER</v>
      </c>
      <c r="C1996" s="1038" t="str">
        <f>OR_VEH!D86</f>
        <v>432-002</v>
      </c>
      <c r="D1996" s="803">
        <f>Page5_CHV_VE!G37</f>
        <v>0</v>
      </c>
      <c r="E1996" s="803">
        <f>Page5_CHV_VE!L37</f>
        <v>0</v>
      </c>
      <c r="F1996" t="str">
        <f t="shared" si="94"/>
        <v>01-00-432-002-SALES-CURR</v>
      </c>
      <c r="G1996" t="s">
        <v>127</v>
      </c>
      <c r="H1996" t="s">
        <v>10287</v>
      </c>
      <c r="I1996" t="s">
        <v>10253</v>
      </c>
      <c r="K1996" s="1073" t="s">
        <v>10288</v>
      </c>
      <c r="L1996" s="789" t="s">
        <v>10241</v>
      </c>
      <c r="M1996" s="790" t="str">
        <f t="shared" si="95"/>
        <v>432</v>
      </c>
      <c r="N1996" s="790" t="str">
        <f t="shared" si="96"/>
        <v>002</v>
      </c>
      <c r="O1996" s="799" t="s">
        <v>9883</v>
      </c>
      <c r="P1996" s="799" t="s">
        <v>10244</v>
      </c>
      <c r="R1996" s="30"/>
    </row>
    <row r="1997" spans="2:18">
      <c r="B1997" s="5" t="str">
        <f>Page5_CHV_VE!C38</f>
        <v>NE PAS UTILISER</v>
      </c>
      <c r="C1997" s="1038" t="str">
        <f>OR_VEH!D87</f>
        <v>433-002</v>
      </c>
      <c r="D1997" s="803">
        <f>Page5_CHV_VE!G38</f>
        <v>0</v>
      </c>
      <c r="E1997" s="803">
        <f>Page5_CHV_VE!L38</f>
        <v>0</v>
      </c>
      <c r="F1997" t="str">
        <f t="shared" si="94"/>
        <v>01-00-433-002-SALES-CURR</v>
      </c>
      <c r="G1997" t="s">
        <v>127</v>
      </c>
      <c r="H1997" t="s">
        <v>10287</v>
      </c>
      <c r="I1997" t="s">
        <v>10253</v>
      </c>
      <c r="K1997" s="1073" t="s">
        <v>10288</v>
      </c>
      <c r="L1997" s="789" t="s">
        <v>10241</v>
      </c>
      <c r="M1997" s="790" t="str">
        <f t="shared" si="95"/>
        <v>433</v>
      </c>
      <c r="N1997" s="790" t="str">
        <f t="shared" si="96"/>
        <v>002</v>
      </c>
      <c r="O1997" s="799" t="s">
        <v>9883</v>
      </c>
      <c r="P1997" s="799" t="s">
        <v>10244</v>
      </c>
      <c r="R1997" s="30"/>
    </row>
    <row r="1998" spans="2:18">
      <c r="B1998" s="5" t="str">
        <f>Page5_CHV_VE!C39</f>
        <v>NE PAS UTILISER</v>
      </c>
      <c r="C1998" s="1038" t="str">
        <f>OR_VEH!D88</f>
        <v>434-002</v>
      </c>
      <c r="D1998" s="803">
        <f>Page5_CHV_VE!G39</f>
        <v>0</v>
      </c>
      <c r="E1998" s="803">
        <f>Page5_CHV_VE!L39</f>
        <v>0</v>
      </c>
      <c r="F1998" t="str">
        <f t="shared" si="94"/>
        <v>01-00-434-002-SALES-CURR</v>
      </c>
      <c r="G1998" t="s">
        <v>127</v>
      </c>
      <c r="H1998" t="s">
        <v>10287</v>
      </c>
      <c r="I1998" t="s">
        <v>10253</v>
      </c>
      <c r="K1998" s="1073" t="s">
        <v>10288</v>
      </c>
      <c r="L1998" s="789" t="s">
        <v>10241</v>
      </c>
      <c r="M1998" s="790" t="str">
        <f t="shared" si="95"/>
        <v>434</v>
      </c>
      <c r="N1998" s="790" t="str">
        <f t="shared" si="96"/>
        <v>002</v>
      </c>
      <c r="O1998" s="799" t="s">
        <v>9883</v>
      </c>
      <c r="P1998" s="799" t="s">
        <v>10244</v>
      </c>
      <c r="R1998" s="30"/>
    </row>
    <row r="1999" spans="2:18">
      <c r="B1999" s="5" t="str">
        <f>Page5_CHV_VE!C40</f>
        <v>NE PAS UTILISER</v>
      </c>
      <c r="C1999" s="1038" t="str">
        <f>OR_VEH!D89</f>
        <v>435-002</v>
      </c>
      <c r="D1999" s="803">
        <f>Page5_CHV_VE!G40</f>
        <v>0</v>
      </c>
      <c r="E1999" s="803">
        <f>Page5_CHV_VE!L40</f>
        <v>0</v>
      </c>
      <c r="F1999" t="str">
        <f t="shared" si="94"/>
        <v>01-00-435-002-SALES-CURR</v>
      </c>
      <c r="G1999" t="s">
        <v>127</v>
      </c>
      <c r="H1999" t="s">
        <v>10287</v>
      </c>
      <c r="I1999" t="s">
        <v>10253</v>
      </c>
      <c r="K1999" s="1073" t="s">
        <v>10288</v>
      </c>
      <c r="L1999" s="789" t="s">
        <v>10241</v>
      </c>
      <c r="M1999" s="790" t="str">
        <f t="shared" si="95"/>
        <v>435</v>
      </c>
      <c r="N1999" s="790" t="str">
        <f t="shared" si="96"/>
        <v>002</v>
      </c>
      <c r="O1999" s="799" t="s">
        <v>9883</v>
      </c>
      <c r="P1999" s="799" t="s">
        <v>10244</v>
      </c>
      <c r="R1999" s="30"/>
    </row>
    <row r="2000" spans="2:18">
      <c r="B2000" s="5" t="str">
        <f>Page5_CHV_VE!C41</f>
        <v>NE PAS UTILISER</v>
      </c>
      <c r="C2000" s="1038" t="str">
        <f>OR_VEH!D90</f>
        <v>436-002</v>
      </c>
      <c r="D2000" s="803">
        <f>Page5_CHV_VE!G41</f>
        <v>0</v>
      </c>
      <c r="E2000" s="803">
        <f>Page5_CHV_VE!L41</f>
        <v>0</v>
      </c>
      <c r="F2000" t="str">
        <f t="shared" si="94"/>
        <v>01-00-436-002-SALES-CURR</v>
      </c>
      <c r="G2000" t="s">
        <v>127</v>
      </c>
      <c r="H2000" t="s">
        <v>10287</v>
      </c>
      <c r="I2000" t="s">
        <v>10253</v>
      </c>
      <c r="K2000" s="1073" t="s">
        <v>10288</v>
      </c>
      <c r="L2000" s="789" t="s">
        <v>10241</v>
      </c>
      <c r="M2000" s="790" t="str">
        <f t="shared" si="95"/>
        <v>436</v>
      </c>
      <c r="N2000" s="790" t="str">
        <f t="shared" si="96"/>
        <v>002</v>
      </c>
      <c r="O2000" s="790" t="s">
        <v>9883</v>
      </c>
      <c r="P2000" s="790" t="s">
        <v>10244</v>
      </c>
      <c r="R2000" s="30"/>
    </row>
    <row r="2001" spans="2:18">
      <c r="B2001" s="5" t="str">
        <f>Page5_CHV_VE!C42</f>
        <v>NE PAS UTILISER</v>
      </c>
      <c r="C2001" s="1038" t="str">
        <f>OR_VEH!D91</f>
        <v>437-002</v>
      </c>
      <c r="D2001" s="803">
        <f>Page5_CHV_VE!G42</f>
        <v>0</v>
      </c>
      <c r="E2001" s="803">
        <f>Page5_CHV_VE!L42</f>
        <v>0</v>
      </c>
      <c r="F2001" t="str">
        <f t="shared" si="94"/>
        <v>01-00-437-002-SALES-CURR</v>
      </c>
      <c r="G2001" t="s">
        <v>127</v>
      </c>
      <c r="H2001" t="s">
        <v>10287</v>
      </c>
      <c r="I2001" t="s">
        <v>10253</v>
      </c>
      <c r="K2001" s="1073" t="s">
        <v>10288</v>
      </c>
      <c r="L2001" s="789" t="s">
        <v>10241</v>
      </c>
      <c r="M2001" s="790" t="str">
        <f t="shared" si="95"/>
        <v>437</v>
      </c>
      <c r="N2001" s="790" t="str">
        <f t="shared" si="96"/>
        <v>002</v>
      </c>
      <c r="O2001" s="790" t="s">
        <v>9883</v>
      </c>
      <c r="P2001" s="790" t="s">
        <v>10244</v>
      </c>
      <c r="R2001" s="30"/>
    </row>
    <row r="2002" spans="2:18">
      <c r="B2002" s="5" t="str">
        <f>Page5_CHV_VE!C43</f>
        <v>NE PAS UTILISER</v>
      </c>
      <c r="C2002" s="1038" t="str">
        <f>OR_VEH!D92</f>
        <v>438-002</v>
      </c>
      <c r="D2002" s="803">
        <f>Page5_CHV_VE!G43</f>
        <v>0</v>
      </c>
      <c r="E2002" s="803">
        <f>Page5_CHV_VE!L43</f>
        <v>0</v>
      </c>
      <c r="F2002" t="str">
        <f t="shared" si="94"/>
        <v>01-00-438-002-SALES-CURR</v>
      </c>
      <c r="G2002" t="s">
        <v>127</v>
      </c>
      <c r="H2002" t="s">
        <v>10287</v>
      </c>
      <c r="I2002" t="s">
        <v>10253</v>
      </c>
      <c r="K2002" s="1073" t="s">
        <v>10288</v>
      </c>
      <c r="L2002" s="789" t="s">
        <v>10241</v>
      </c>
      <c r="M2002" s="790" t="str">
        <f t="shared" si="95"/>
        <v>438</v>
      </c>
      <c r="N2002" s="790" t="str">
        <f t="shared" si="96"/>
        <v>002</v>
      </c>
      <c r="O2002" s="790" t="s">
        <v>9883</v>
      </c>
      <c r="P2002" s="790" t="s">
        <v>10244</v>
      </c>
      <c r="R2002" s="30"/>
    </row>
    <row r="2003" spans="2:18">
      <c r="B2003" s="51" t="s">
        <v>12137</v>
      </c>
      <c r="C2003" s="1042"/>
      <c r="D2003" s="803">
        <f>Page5_CHV_VE!G44</f>
        <v>166774</v>
      </c>
      <c r="E2003" s="803">
        <f>Page5_CHV_VE!L44</f>
        <v>743403</v>
      </c>
      <c r="F2003" t="str">
        <f t="shared" si="94"/>
        <v>01-00-RTLTRK5B-SALES-CURR</v>
      </c>
      <c r="G2003" t="s">
        <v>127</v>
      </c>
      <c r="H2003" t="s">
        <v>10287</v>
      </c>
      <c r="I2003" t="s">
        <v>10253</v>
      </c>
      <c r="J2003" t="s">
        <v>10268</v>
      </c>
      <c r="K2003" s="1073" t="s">
        <v>10288</v>
      </c>
      <c r="L2003" s="789" t="s">
        <v>10241</v>
      </c>
      <c r="M2003" s="790" t="s">
        <v>10305</v>
      </c>
      <c r="O2003" s="790" t="s">
        <v>9883</v>
      </c>
      <c r="P2003" s="790" t="s">
        <v>10244</v>
      </c>
      <c r="Q2003" s="791" t="s">
        <v>773</v>
      </c>
    </row>
    <row r="2004" spans="2:18">
      <c r="B2004" s="5" t="str">
        <f>Page5_CHV_VE!C45</f>
        <v>MÉMO* VENTES INTERNET CAMIONS</v>
      </c>
      <c r="C2004" s="1038" t="str">
        <f>OR_VEH!D94</f>
        <v>439P5B</v>
      </c>
      <c r="D2004" s="803">
        <f>Page5_CHV_VE!G45</f>
        <v>0</v>
      </c>
      <c r="E2004" s="803">
        <f>Page5_CHV_VE!L45</f>
        <v>0</v>
      </c>
      <c r="F2004" t="str">
        <f t="shared" si="94"/>
        <v>01-00-439P5B-SALES-CURR</v>
      </c>
      <c r="G2004" t="s">
        <v>127</v>
      </c>
      <c r="H2004" t="s">
        <v>10287</v>
      </c>
      <c r="I2004" t="s">
        <v>10253</v>
      </c>
      <c r="K2004" s="1073" t="s">
        <v>10288</v>
      </c>
      <c r="L2004" s="789" t="s">
        <v>10241</v>
      </c>
      <c r="M2004" s="855" t="str">
        <f>C2004</f>
        <v>439P5B</v>
      </c>
      <c r="N2004" s="855"/>
      <c r="O2004" s="790" t="s">
        <v>9883</v>
      </c>
      <c r="P2004" s="790" t="s">
        <v>10244</v>
      </c>
      <c r="R2004" s="30"/>
    </row>
    <row r="2005" spans="2:18">
      <c r="B2005" s="5" t="str">
        <f>Page5_CHV_VE!C46</f>
        <v>TOTAL PARCS - CAMIONS</v>
      </c>
      <c r="C2005" s="1038" t="str">
        <f>OR_VEH!D95</f>
        <v>440P5B</v>
      </c>
      <c r="D2005" s="803">
        <f>Page5_CHV_VE!G46</f>
        <v>0</v>
      </c>
      <c r="E2005" s="803">
        <f>Page5_CHV_VE!L46</f>
        <v>0</v>
      </c>
      <c r="F2005" t="str">
        <f t="shared" si="94"/>
        <v>01-00-440P5B-SALES-CURR</v>
      </c>
      <c r="G2005" t="s">
        <v>127</v>
      </c>
      <c r="H2005" t="s">
        <v>10287</v>
      </c>
      <c r="I2005" t="s">
        <v>10253</v>
      </c>
      <c r="K2005" s="1073" t="s">
        <v>10288</v>
      </c>
      <c r="L2005" s="789" t="s">
        <v>10241</v>
      </c>
      <c r="M2005" s="855" t="str">
        <f>C2005</f>
        <v>440P5B</v>
      </c>
      <c r="N2005" s="855"/>
      <c r="O2005" s="790" t="s">
        <v>9883</v>
      </c>
      <c r="P2005" s="790" t="s">
        <v>10244</v>
      </c>
      <c r="R2005" s="30"/>
    </row>
    <row r="2006" spans="2:18">
      <c r="B2006" s="5" t="str">
        <f>Page5_CHV_VE!C47</f>
        <v xml:space="preserve">TOTAL IINTERNE - CAMIONS </v>
      </c>
      <c r="C2006" s="1038" t="str">
        <f>OR_VEH!D96</f>
        <v>441P5B</v>
      </c>
      <c r="D2006" s="803">
        <f>Page5_CHV_VE!G47</f>
        <v>0</v>
      </c>
      <c r="E2006" s="803">
        <f>Page5_CHV_VE!L47</f>
        <v>0</v>
      </c>
      <c r="F2006" t="str">
        <f t="shared" si="94"/>
        <v>01-00-441P5B-SALES-CURR</v>
      </c>
      <c r="G2006" t="s">
        <v>127</v>
      </c>
      <c r="H2006" t="s">
        <v>10287</v>
      </c>
      <c r="I2006" t="s">
        <v>10253</v>
      </c>
      <c r="K2006" s="1073" t="s">
        <v>10288</v>
      </c>
      <c r="L2006" s="789" t="s">
        <v>10241</v>
      </c>
      <c r="M2006" s="855" t="str">
        <f>C2006</f>
        <v>441P5B</v>
      </c>
      <c r="N2006" s="855"/>
      <c r="O2006" s="790" t="s">
        <v>9883</v>
      </c>
      <c r="P2006" s="790" t="s">
        <v>10244</v>
      </c>
      <c r="R2006" s="30"/>
    </row>
    <row r="2007" spans="2:18">
      <c r="B2007" s="27" t="s">
        <v>12138</v>
      </c>
      <c r="C2007" s="1042"/>
      <c r="D2007" s="803">
        <f>Page5_CHV_VE!G48</f>
        <v>166774</v>
      </c>
      <c r="E2007" s="803">
        <f>Page5_CHV_VE!L48</f>
        <v>743403</v>
      </c>
      <c r="F2007" t="str">
        <f t="shared" si="94"/>
        <v>01-00-TOTTRK5B-SALES-CURR</v>
      </c>
      <c r="G2007" t="s">
        <v>127</v>
      </c>
      <c r="H2007" t="s">
        <v>10287</v>
      </c>
      <c r="I2007" t="s">
        <v>10253</v>
      </c>
      <c r="J2007" t="s">
        <v>10268</v>
      </c>
      <c r="K2007" s="1073" t="s">
        <v>10288</v>
      </c>
      <c r="L2007" s="789" t="s">
        <v>10241</v>
      </c>
      <c r="M2007" s="790" t="s">
        <v>10307</v>
      </c>
      <c r="O2007" s="790" t="s">
        <v>9883</v>
      </c>
      <c r="P2007" s="790" t="s">
        <v>10244</v>
      </c>
      <c r="Q2007" s="791" t="s">
        <v>773</v>
      </c>
    </row>
    <row r="2008" spans="2:18">
      <c r="B2008" s="5" t="str">
        <f>Page5_CHV_VE!C50</f>
        <v>ACCESSOIRES</v>
      </c>
      <c r="C2008" s="1038" t="str">
        <f>OR_VEH!D99</f>
        <v>457P5B</v>
      </c>
      <c r="D2008" s="803">
        <f>Page5_CHV_VE!G50</f>
        <v>0</v>
      </c>
      <c r="E2008" s="803">
        <f>Page5_CHV_VE!L50</f>
        <v>0</v>
      </c>
      <c r="F2008" t="str">
        <f t="shared" si="94"/>
        <v>01-00-457P5B-SALES-CURR</v>
      </c>
      <c r="G2008" t="s">
        <v>127</v>
      </c>
      <c r="H2008" t="s">
        <v>10287</v>
      </c>
      <c r="I2008" t="s">
        <v>10253</v>
      </c>
      <c r="K2008" s="1073" t="s">
        <v>10288</v>
      </c>
      <c r="L2008" s="789" t="s">
        <v>10241</v>
      </c>
      <c r="M2008" s="855" t="str">
        <f>C2008</f>
        <v>457P5B</v>
      </c>
      <c r="N2008" s="855"/>
      <c r="O2008" s="790" t="s">
        <v>9883</v>
      </c>
      <c r="P2008" s="790" t="s">
        <v>10244</v>
      </c>
      <c r="R2008" s="30"/>
    </row>
    <row r="2009" spans="2:18">
      <c r="B2009" s="27" t="s">
        <v>12139</v>
      </c>
      <c r="C2009" s="1042"/>
      <c r="D2009" s="803">
        <f>Page5_CHV_VE!G51</f>
        <v>166774</v>
      </c>
      <c r="E2009" s="803">
        <f>Page5_CHV_VE!L51</f>
        <v>743403</v>
      </c>
      <c r="F2009" t="str">
        <f t="shared" si="94"/>
        <v>01-00-TOTVEH5B-SALES-CURR</v>
      </c>
      <c r="G2009" t="s">
        <v>127</v>
      </c>
      <c r="H2009" t="s">
        <v>10287</v>
      </c>
      <c r="I2009" t="s">
        <v>10253</v>
      </c>
      <c r="J2009" t="s">
        <v>10268</v>
      </c>
      <c r="K2009" s="1073" t="s">
        <v>10288</v>
      </c>
      <c r="L2009" s="789" t="s">
        <v>10241</v>
      </c>
      <c r="M2009" s="790" t="s">
        <v>10309</v>
      </c>
      <c r="O2009" s="790" t="s">
        <v>9883</v>
      </c>
      <c r="P2009" s="790" t="s">
        <v>10244</v>
      </c>
      <c r="Q2009" s="791" t="s">
        <v>773</v>
      </c>
    </row>
    <row r="2010" spans="2:18">
      <c r="B2010" s="5" t="str">
        <f>Page5_CHV_VE!C4</f>
        <v>NE PAS UTILISER</v>
      </c>
      <c r="C2010" s="1038" t="str">
        <f>OR_VEH!D53</f>
        <v>400-002</v>
      </c>
      <c r="D2010" s="803">
        <f>Page5_CHV_VE!I4</f>
        <v>0</v>
      </c>
      <c r="E2010" s="803">
        <f>Page5_CHV_VE!N4</f>
        <v>0</v>
      </c>
      <c r="F2010" t="str">
        <f t="shared" si="94"/>
        <v>01-00-400-002-GRSPFT-CURR</v>
      </c>
      <c r="G2010" t="s">
        <v>127</v>
      </c>
      <c r="H2010" t="s">
        <v>10287</v>
      </c>
      <c r="I2010" t="s">
        <v>10253</v>
      </c>
      <c r="K2010" s="1073" t="s">
        <v>10288</v>
      </c>
      <c r="L2010" s="789" t="s">
        <v>10241</v>
      </c>
      <c r="M2010" s="790" t="str">
        <f t="shared" ref="M2010:M2028" si="97">LEFT(C2010,3)</f>
        <v>400</v>
      </c>
      <c r="N2010" s="790" t="str">
        <f t="shared" ref="N2010:N2028" si="98">RIGHT(C2010,3)</f>
        <v>002</v>
      </c>
      <c r="O2010" s="799" t="s">
        <v>10467</v>
      </c>
      <c r="P2010" s="799" t="s">
        <v>10244</v>
      </c>
      <c r="R2010" s="30"/>
    </row>
    <row r="2011" spans="2:18">
      <c r="B2011" s="5" t="str">
        <f>Page5_CHV_VE!C5</f>
        <v>NE PAS UTILISER</v>
      </c>
      <c r="C2011" s="1038" t="str">
        <f>OR_VEH!D54</f>
        <v>401-002</v>
      </c>
      <c r="D2011" s="803">
        <f>Page5_CHV_VE!I5</f>
        <v>0</v>
      </c>
      <c r="E2011" s="803">
        <f>Page5_CHV_VE!N5</f>
        <v>0</v>
      </c>
      <c r="F2011" t="str">
        <f t="shared" si="94"/>
        <v>01-00-401-002-GRSPFT-CURR</v>
      </c>
      <c r="G2011" t="s">
        <v>127</v>
      </c>
      <c r="H2011" t="s">
        <v>10287</v>
      </c>
      <c r="I2011" t="s">
        <v>10253</v>
      </c>
      <c r="K2011" s="1073" t="s">
        <v>10288</v>
      </c>
      <c r="L2011" s="789" t="s">
        <v>10241</v>
      </c>
      <c r="M2011" s="790" t="str">
        <f t="shared" si="97"/>
        <v>401</v>
      </c>
      <c r="N2011" s="790" t="str">
        <f t="shared" si="98"/>
        <v>002</v>
      </c>
      <c r="O2011" s="799" t="s">
        <v>10467</v>
      </c>
      <c r="P2011" s="799" t="s">
        <v>10244</v>
      </c>
      <c r="R2011" s="30"/>
    </row>
    <row r="2012" spans="2:18">
      <c r="B2012" s="5" t="str">
        <f>Page5_CHV_VE!C6</f>
        <v>NE PAS UTILISER</v>
      </c>
      <c r="C2012" s="1038" t="str">
        <f>OR_VEH!D55</f>
        <v>402-002</v>
      </c>
      <c r="D2012" s="803">
        <f>Page5_CHV_VE!I6</f>
        <v>0</v>
      </c>
      <c r="E2012" s="803">
        <f>Page5_CHV_VE!N6</f>
        <v>0</v>
      </c>
      <c r="F2012" t="str">
        <f t="shared" si="94"/>
        <v>01-00-402-002-GRSPFT-CURR</v>
      </c>
      <c r="G2012" t="s">
        <v>127</v>
      </c>
      <c r="H2012" t="s">
        <v>10287</v>
      </c>
      <c r="I2012" t="s">
        <v>10253</v>
      </c>
      <c r="K2012" s="1073" t="s">
        <v>10288</v>
      </c>
      <c r="L2012" s="789" t="s">
        <v>10241</v>
      </c>
      <c r="M2012" s="790" t="str">
        <f t="shared" si="97"/>
        <v>402</v>
      </c>
      <c r="N2012" s="790" t="str">
        <f t="shared" si="98"/>
        <v>002</v>
      </c>
      <c r="O2012" s="799" t="s">
        <v>10467</v>
      </c>
      <c r="P2012" s="799" t="s">
        <v>10244</v>
      </c>
      <c r="R2012" s="30"/>
    </row>
    <row r="2013" spans="2:18">
      <c r="B2013" s="5" t="str">
        <f>Page5_CHV_VE!C7</f>
        <v>NE PAS UTILISER</v>
      </c>
      <c r="C2013" s="1038" t="str">
        <f>OR_VEH!D56</f>
        <v>403-002</v>
      </c>
      <c r="D2013" s="803">
        <f>Page5_CHV_VE!I7</f>
        <v>0</v>
      </c>
      <c r="E2013" s="803">
        <f>Page5_CHV_VE!N7</f>
        <v>0</v>
      </c>
      <c r="F2013" t="str">
        <f t="shared" si="94"/>
        <v>01-00-403-002-GRSPFT-CURR</v>
      </c>
      <c r="G2013" t="s">
        <v>127</v>
      </c>
      <c r="H2013" t="s">
        <v>10287</v>
      </c>
      <c r="I2013" t="s">
        <v>10253</v>
      </c>
      <c r="K2013" s="1073" t="s">
        <v>10288</v>
      </c>
      <c r="L2013" s="789" t="s">
        <v>10241</v>
      </c>
      <c r="M2013" s="790" t="str">
        <f t="shared" si="97"/>
        <v>403</v>
      </c>
      <c r="N2013" s="790" t="str">
        <f t="shared" si="98"/>
        <v>002</v>
      </c>
      <c r="O2013" s="799" t="s">
        <v>10467</v>
      </c>
      <c r="P2013" s="799" t="s">
        <v>10244</v>
      </c>
      <c r="R2013" s="30"/>
    </row>
    <row r="2014" spans="2:18">
      <c r="B2014" s="5" t="str">
        <f>Page5_CHV_VE!C8</f>
        <v>NE PAS UTILISER</v>
      </c>
      <c r="C2014" s="1038" t="str">
        <f>OR_VEH!D57</f>
        <v>404-002</v>
      </c>
      <c r="D2014" s="803">
        <f>Page5_CHV_VE!I8</f>
        <v>0</v>
      </c>
      <c r="E2014" s="803">
        <f>Page5_CHV_VE!N8</f>
        <v>0</v>
      </c>
      <c r="F2014" t="str">
        <f t="shared" si="94"/>
        <v>01-00-404-002-GRSPFT-CURR</v>
      </c>
      <c r="G2014" t="s">
        <v>127</v>
      </c>
      <c r="H2014" t="s">
        <v>10287</v>
      </c>
      <c r="I2014" t="s">
        <v>10253</v>
      </c>
      <c r="K2014" s="1073" t="s">
        <v>10288</v>
      </c>
      <c r="L2014" s="789" t="s">
        <v>10241</v>
      </c>
      <c r="M2014" s="790" t="str">
        <f t="shared" si="97"/>
        <v>404</v>
      </c>
      <c r="N2014" s="790" t="str">
        <f t="shared" si="98"/>
        <v>002</v>
      </c>
      <c r="O2014" s="799" t="s">
        <v>10467</v>
      </c>
      <c r="P2014" s="799" t="s">
        <v>10244</v>
      </c>
      <c r="R2014" s="30"/>
    </row>
    <row r="2015" spans="2:18">
      <c r="B2015" s="5" t="str">
        <f>Page5_CHV_VE!C9</f>
        <v>NE PAS UTILISER</v>
      </c>
      <c r="C2015" s="1038" t="str">
        <f>OR_VEH!D58</f>
        <v>405-002</v>
      </c>
      <c r="D2015" s="803">
        <f>Page5_CHV_VE!I9</f>
        <v>0</v>
      </c>
      <c r="E2015" s="803">
        <f>Page5_CHV_VE!N9</f>
        <v>0</v>
      </c>
      <c r="F2015" t="str">
        <f t="shared" si="94"/>
        <v>01-00-405-002-GRSPFT-CURR</v>
      </c>
      <c r="G2015" t="s">
        <v>127</v>
      </c>
      <c r="H2015" t="s">
        <v>10287</v>
      </c>
      <c r="I2015" t="s">
        <v>10253</v>
      </c>
      <c r="K2015" s="1073" t="s">
        <v>10288</v>
      </c>
      <c r="L2015" s="789" t="s">
        <v>10241</v>
      </c>
      <c r="M2015" s="790" t="str">
        <f t="shared" si="97"/>
        <v>405</v>
      </c>
      <c r="N2015" s="790" t="str">
        <f t="shared" si="98"/>
        <v>002</v>
      </c>
      <c r="O2015" s="799" t="s">
        <v>10467</v>
      </c>
      <c r="P2015" s="799" t="s">
        <v>10244</v>
      </c>
      <c r="R2015" s="30"/>
    </row>
    <row r="2016" spans="2:18">
      <c r="B2016" s="5" t="str">
        <f>Page5_CHV_VE!C10</f>
        <v>NE PAS UTILISER</v>
      </c>
      <c r="C2016" s="1038" t="str">
        <f>OR_VEH!D59</f>
        <v>406-002</v>
      </c>
      <c r="D2016" s="803">
        <f>Page5_CHV_VE!I10</f>
        <v>0</v>
      </c>
      <c r="E2016" s="803">
        <f>Page5_CHV_VE!N10</f>
        <v>0</v>
      </c>
      <c r="F2016" t="str">
        <f t="shared" si="94"/>
        <v>01-00-406-002-GRSPFT-CURR</v>
      </c>
      <c r="G2016" t="s">
        <v>127</v>
      </c>
      <c r="H2016" t="s">
        <v>10287</v>
      </c>
      <c r="I2016" t="s">
        <v>10253</v>
      </c>
      <c r="K2016" s="1073" t="s">
        <v>10288</v>
      </c>
      <c r="L2016" s="789" t="s">
        <v>10241</v>
      </c>
      <c r="M2016" s="790" t="str">
        <f t="shared" si="97"/>
        <v>406</v>
      </c>
      <c r="N2016" s="790" t="str">
        <f t="shared" si="98"/>
        <v>002</v>
      </c>
      <c r="O2016" s="799" t="s">
        <v>10467</v>
      </c>
      <c r="P2016" s="799" t="s">
        <v>10244</v>
      </c>
      <c r="R2016" s="30"/>
    </row>
    <row r="2017" spans="2:18">
      <c r="B2017" s="5" t="str">
        <f>Page5_CHV_VE!C11</f>
        <v>NE PAS UTILISER</v>
      </c>
      <c r="C2017" s="1038" t="str">
        <f>OR_VEH!D60</f>
        <v>407-002</v>
      </c>
      <c r="D2017" s="803">
        <f>Page5_CHV_VE!I11</f>
        <v>0</v>
      </c>
      <c r="E2017" s="803">
        <f>Page5_CHV_VE!N11</f>
        <v>0</v>
      </c>
      <c r="F2017" t="str">
        <f t="shared" si="94"/>
        <v>01-00-407-002-GRSPFT-CURR</v>
      </c>
      <c r="G2017" t="s">
        <v>127</v>
      </c>
      <c r="H2017" t="s">
        <v>10287</v>
      </c>
      <c r="I2017" t="s">
        <v>10253</v>
      </c>
      <c r="K2017" s="1073" t="s">
        <v>10288</v>
      </c>
      <c r="L2017" s="789" t="s">
        <v>10241</v>
      </c>
      <c r="M2017" s="790" t="str">
        <f t="shared" si="97"/>
        <v>407</v>
      </c>
      <c r="N2017" s="790" t="str">
        <f t="shared" si="98"/>
        <v>002</v>
      </c>
      <c r="O2017" s="799" t="s">
        <v>10467</v>
      </c>
      <c r="P2017" s="799" t="s">
        <v>10244</v>
      </c>
      <c r="R2017" s="30"/>
    </row>
    <row r="2018" spans="2:18">
      <c r="B2018" s="5" t="str">
        <f>Page5_CHV_VE!C12</f>
        <v>NE PAS UTILISER</v>
      </c>
      <c r="C2018" s="1038" t="str">
        <f>OR_VEH!D61</f>
        <v>408-002</v>
      </c>
      <c r="D2018" s="803">
        <f>Page5_CHV_VE!I12</f>
        <v>0</v>
      </c>
      <c r="E2018" s="803">
        <f>Page5_CHV_VE!N12</f>
        <v>0</v>
      </c>
      <c r="F2018" t="str">
        <f t="shared" si="94"/>
        <v>01-00-408-002-GRSPFT-CURR</v>
      </c>
      <c r="G2018" t="s">
        <v>127</v>
      </c>
      <c r="H2018" t="s">
        <v>10287</v>
      </c>
      <c r="I2018" t="s">
        <v>10253</v>
      </c>
      <c r="K2018" s="1073" t="s">
        <v>10288</v>
      </c>
      <c r="L2018" s="789" t="s">
        <v>10241</v>
      </c>
      <c r="M2018" s="790" t="str">
        <f t="shared" si="97"/>
        <v>408</v>
      </c>
      <c r="N2018" s="790" t="str">
        <f t="shared" si="98"/>
        <v>002</v>
      </c>
      <c r="O2018" s="799" t="s">
        <v>10467</v>
      </c>
      <c r="P2018" s="799" t="s">
        <v>10244</v>
      </c>
      <c r="R2018" s="30"/>
    </row>
    <row r="2019" spans="2:18">
      <c r="B2019" s="5" t="str">
        <f>Page5_CHV_VE!C13</f>
        <v>NE PAS UTILISER</v>
      </c>
      <c r="C2019" s="1038" t="str">
        <f>OR_VEH!D62</f>
        <v>409-002</v>
      </c>
      <c r="D2019" s="803">
        <f>Page5_CHV_VE!I13</f>
        <v>0</v>
      </c>
      <c r="E2019" s="803">
        <f>Page5_CHV_VE!N13</f>
        <v>0</v>
      </c>
      <c r="F2019" t="str">
        <f t="shared" si="94"/>
        <v>01-00-409-002-GRSPFT-CURR</v>
      </c>
      <c r="G2019" t="s">
        <v>127</v>
      </c>
      <c r="H2019" t="s">
        <v>10287</v>
      </c>
      <c r="I2019" t="s">
        <v>10253</v>
      </c>
      <c r="K2019" s="1073" t="s">
        <v>10288</v>
      </c>
      <c r="L2019" s="789" t="s">
        <v>10241</v>
      </c>
      <c r="M2019" s="790" t="str">
        <f t="shared" si="97"/>
        <v>409</v>
      </c>
      <c r="N2019" s="790" t="str">
        <f t="shared" si="98"/>
        <v>002</v>
      </c>
      <c r="O2019" s="799" t="s">
        <v>10467</v>
      </c>
      <c r="P2019" s="799" t="s">
        <v>10244</v>
      </c>
      <c r="R2019" s="30"/>
    </row>
    <row r="2020" spans="2:18">
      <c r="B2020" s="5" t="str">
        <f>Page5_CHV_VE!C14</f>
        <v>NE PAS UTILISER</v>
      </c>
      <c r="C2020" s="1038" t="str">
        <f>OR_VEH!D63</f>
        <v>410-002</v>
      </c>
      <c r="D2020" s="803">
        <f>Page5_CHV_VE!I14</f>
        <v>0</v>
      </c>
      <c r="E2020" s="803">
        <f>Page5_CHV_VE!N14</f>
        <v>0</v>
      </c>
      <c r="F2020" t="str">
        <f t="shared" si="94"/>
        <v>01-00-410-002-GRSPFT-CURR</v>
      </c>
      <c r="G2020" t="s">
        <v>127</v>
      </c>
      <c r="H2020" t="s">
        <v>10287</v>
      </c>
      <c r="I2020" t="s">
        <v>10253</v>
      </c>
      <c r="K2020" s="1073" t="s">
        <v>10288</v>
      </c>
      <c r="L2020" s="789" t="s">
        <v>10241</v>
      </c>
      <c r="M2020" s="790" t="str">
        <f t="shared" si="97"/>
        <v>410</v>
      </c>
      <c r="N2020" s="790" t="str">
        <f t="shared" si="98"/>
        <v>002</v>
      </c>
      <c r="O2020" s="799" t="s">
        <v>10467</v>
      </c>
      <c r="P2020" s="799" t="s">
        <v>10244</v>
      </c>
      <c r="R2020" s="30"/>
    </row>
    <row r="2021" spans="2:18">
      <c r="B2021" s="5" t="str">
        <f>Page5_CHV_VE!C15</f>
        <v>NE PAS UTILISER</v>
      </c>
      <c r="C2021" s="1038" t="str">
        <f>OR_VEH!D64</f>
        <v>411-002</v>
      </c>
      <c r="D2021" s="803">
        <f>Page5_CHV_VE!I15</f>
        <v>0</v>
      </c>
      <c r="E2021" s="803">
        <f>Page5_CHV_VE!N15</f>
        <v>0</v>
      </c>
      <c r="F2021" t="str">
        <f t="shared" si="94"/>
        <v>01-00-411-002-GRSPFT-CURR</v>
      </c>
      <c r="G2021" t="s">
        <v>127</v>
      </c>
      <c r="H2021" t="s">
        <v>10287</v>
      </c>
      <c r="I2021" t="s">
        <v>10253</v>
      </c>
      <c r="K2021" s="1073" t="s">
        <v>10288</v>
      </c>
      <c r="L2021" s="789" t="s">
        <v>10241</v>
      </c>
      <c r="M2021" s="790" t="str">
        <f t="shared" si="97"/>
        <v>411</v>
      </c>
      <c r="N2021" s="790" t="str">
        <f t="shared" si="98"/>
        <v>002</v>
      </c>
      <c r="O2021" s="790" t="s">
        <v>10467</v>
      </c>
      <c r="P2021" s="790" t="s">
        <v>10244</v>
      </c>
      <c r="R2021" s="30"/>
    </row>
    <row r="2022" spans="2:18">
      <c r="B2022" s="5" t="str">
        <f>Page5_CHV_VE!C16</f>
        <v>NE PAS UTILISER</v>
      </c>
      <c r="C2022" s="1038" t="str">
        <f>OR_VEH!D65</f>
        <v>412-002</v>
      </c>
      <c r="D2022" s="803">
        <f>Page5_CHV_VE!I16</f>
        <v>0</v>
      </c>
      <c r="E2022" s="803">
        <f>Page5_CHV_VE!N16</f>
        <v>0</v>
      </c>
      <c r="F2022" t="str">
        <f t="shared" si="94"/>
        <v>01-00-412-002-GRSPFT-CURR</v>
      </c>
      <c r="G2022" t="s">
        <v>127</v>
      </c>
      <c r="H2022" t="s">
        <v>10287</v>
      </c>
      <c r="I2022" t="s">
        <v>10253</v>
      </c>
      <c r="K2022" s="1073" t="s">
        <v>10288</v>
      </c>
      <c r="L2022" s="789" t="s">
        <v>10241</v>
      </c>
      <c r="M2022" s="790" t="str">
        <f t="shared" si="97"/>
        <v>412</v>
      </c>
      <c r="N2022" s="790" t="str">
        <f t="shared" si="98"/>
        <v>002</v>
      </c>
      <c r="O2022" s="790" t="s">
        <v>10467</v>
      </c>
      <c r="P2022" s="790" t="s">
        <v>10244</v>
      </c>
      <c r="R2022" s="30"/>
    </row>
    <row r="2023" spans="2:18">
      <c r="B2023" s="5" t="str">
        <f>Page5_CHV_VE!C17</f>
        <v>NE PAS UTILISER</v>
      </c>
      <c r="C2023" s="1038" t="str">
        <f>OR_VEH!D66</f>
        <v>413-002</v>
      </c>
      <c r="D2023" s="803">
        <f>Page5_CHV_VE!I17</f>
        <v>0</v>
      </c>
      <c r="E2023" s="803">
        <f>Page5_CHV_VE!N17</f>
        <v>0</v>
      </c>
      <c r="F2023" t="str">
        <f t="shared" si="94"/>
        <v>01-00-413-002-GRSPFT-CURR</v>
      </c>
      <c r="G2023" t="s">
        <v>127</v>
      </c>
      <c r="H2023" t="s">
        <v>10287</v>
      </c>
      <c r="I2023" t="s">
        <v>10253</v>
      </c>
      <c r="K2023" s="1073" t="s">
        <v>10288</v>
      </c>
      <c r="L2023" s="789" t="s">
        <v>10241</v>
      </c>
      <c r="M2023" s="790" t="str">
        <f t="shared" si="97"/>
        <v>413</v>
      </c>
      <c r="N2023" s="790" t="str">
        <f t="shared" si="98"/>
        <v>002</v>
      </c>
      <c r="O2023" s="790" t="s">
        <v>10467</v>
      </c>
      <c r="P2023" s="790" t="s">
        <v>10244</v>
      </c>
      <c r="R2023" s="30"/>
    </row>
    <row r="2024" spans="2:18">
      <c r="B2024" s="5" t="str">
        <f>Page5_CHV_VE!C18</f>
        <v>NE PAS UTILISER</v>
      </c>
      <c r="C2024" s="1038" t="str">
        <f>OR_VEH!D67</f>
        <v>414-002</v>
      </c>
      <c r="D2024" s="803">
        <f>Page5_CHV_VE!I18</f>
        <v>0</v>
      </c>
      <c r="E2024" s="803">
        <f>Page5_CHV_VE!N18</f>
        <v>0</v>
      </c>
      <c r="F2024" t="str">
        <f t="shared" si="94"/>
        <v>01-00-414-002-GRSPFT-CURR</v>
      </c>
      <c r="G2024" t="s">
        <v>127</v>
      </c>
      <c r="H2024" t="s">
        <v>10287</v>
      </c>
      <c r="I2024" t="s">
        <v>10253</v>
      </c>
      <c r="K2024" s="1073" t="s">
        <v>10288</v>
      </c>
      <c r="L2024" s="789" t="s">
        <v>10241</v>
      </c>
      <c r="M2024" s="790" t="str">
        <f t="shared" si="97"/>
        <v>414</v>
      </c>
      <c r="N2024" s="790" t="str">
        <f t="shared" si="98"/>
        <v>002</v>
      </c>
      <c r="O2024" s="790" t="s">
        <v>10467</v>
      </c>
      <c r="P2024" s="790" t="s">
        <v>10244</v>
      </c>
      <c r="R2024" s="30"/>
    </row>
    <row r="2025" spans="2:18">
      <c r="B2025" s="5" t="str">
        <f>Page5_CHV_VE!C19</f>
        <v>NE PAS UTILISER</v>
      </c>
      <c r="C2025" s="1038" t="str">
        <f>OR_VEH!D68</f>
        <v>415-002</v>
      </c>
      <c r="D2025" s="803">
        <f>Page5_CHV_VE!I19</f>
        <v>0</v>
      </c>
      <c r="E2025" s="803">
        <f>Page5_CHV_VE!N19</f>
        <v>0</v>
      </c>
      <c r="F2025" t="str">
        <f t="shared" si="94"/>
        <v>01-00-415-002-GRSPFT-CURR</v>
      </c>
      <c r="G2025" t="s">
        <v>127</v>
      </c>
      <c r="H2025" t="s">
        <v>10287</v>
      </c>
      <c r="I2025" t="s">
        <v>10253</v>
      </c>
      <c r="K2025" s="1073" t="s">
        <v>10288</v>
      </c>
      <c r="L2025" s="789" t="s">
        <v>10241</v>
      </c>
      <c r="M2025" s="790" t="str">
        <f t="shared" si="97"/>
        <v>415</v>
      </c>
      <c r="N2025" s="790" t="str">
        <f t="shared" si="98"/>
        <v>002</v>
      </c>
      <c r="O2025" s="790" t="s">
        <v>10467</v>
      </c>
      <c r="P2025" s="790" t="s">
        <v>10244</v>
      </c>
      <c r="R2025" s="30"/>
    </row>
    <row r="2026" spans="2:18">
      <c r="B2026" s="5" t="str">
        <f>Page5_CHV_VE!C20</f>
        <v>NE PAS UTILISER</v>
      </c>
      <c r="C2026" s="1038" t="str">
        <f>OR_VEH!D69</f>
        <v>416-002</v>
      </c>
      <c r="D2026" s="803">
        <f>Page5_CHV_VE!I20</f>
        <v>0</v>
      </c>
      <c r="E2026" s="803">
        <f>Page5_CHV_VE!N20</f>
        <v>0</v>
      </c>
      <c r="F2026" t="str">
        <f t="shared" si="94"/>
        <v>01-00-416-002-GRSPFT-CURR</v>
      </c>
      <c r="G2026" t="s">
        <v>127</v>
      </c>
      <c r="H2026" t="s">
        <v>10287</v>
      </c>
      <c r="I2026" t="s">
        <v>10253</v>
      </c>
      <c r="K2026" s="1073" t="s">
        <v>10288</v>
      </c>
      <c r="L2026" s="789" t="s">
        <v>10241</v>
      </c>
      <c r="M2026" s="790" t="str">
        <f t="shared" si="97"/>
        <v>416</v>
      </c>
      <c r="N2026" s="790" t="str">
        <f t="shared" si="98"/>
        <v>002</v>
      </c>
      <c r="O2026" s="790" t="s">
        <v>10467</v>
      </c>
      <c r="P2026" s="790" t="s">
        <v>10244</v>
      </c>
      <c r="R2026" s="30"/>
    </row>
    <row r="2027" spans="2:18">
      <c r="B2027" s="5" t="str">
        <f>Page5_CHV_VE!C21</f>
        <v>NE PAS UTILISER</v>
      </c>
      <c r="C2027" s="1038" t="str">
        <f>OR_VEH!D70</f>
        <v>417-002</v>
      </c>
      <c r="D2027" s="803">
        <f>Page5_CHV_VE!I21</f>
        <v>0</v>
      </c>
      <c r="E2027" s="803">
        <f>Page5_CHV_VE!N21</f>
        <v>0</v>
      </c>
      <c r="F2027" t="str">
        <f t="shared" si="94"/>
        <v>01-00-417-002-GRSPFT-CURR</v>
      </c>
      <c r="G2027" t="s">
        <v>127</v>
      </c>
      <c r="H2027" t="s">
        <v>10287</v>
      </c>
      <c r="I2027" t="s">
        <v>10253</v>
      </c>
      <c r="K2027" s="1073" t="s">
        <v>10288</v>
      </c>
      <c r="L2027" s="789" t="s">
        <v>10241</v>
      </c>
      <c r="M2027" s="790" t="str">
        <f t="shared" si="97"/>
        <v>417</v>
      </c>
      <c r="N2027" s="790" t="str">
        <f t="shared" si="98"/>
        <v>002</v>
      </c>
      <c r="O2027" s="790" t="s">
        <v>10467</v>
      </c>
      <c r="P2027" s="790" t="s">
        <v>10244</v>
      </c>
      <c r="R2027" s="30"/>
    </row>
    <row r="2028" spans="2:18">
      <c r="B2028" s="5" t="str">
        <f>Page5_CHV_VE!C22</f>
        <v>NE PAS UTILISER</v>
      </c>
      <c r="C2028" s="1038" t="str">
        <f>OR_VEH!D71</f>
        <v>418-002</v>
      </c>
      <c r="D2028" s="803">
        <f>Page5_CHV_VE!I22</f>
        <v>0</v>
      </c>
      <c r="E2028" s="803">
        <f>Page5_CHV_VE!N22</f>
        <v>0</v>
      </c>
      <c r="F2028" t="str">
        <f t="shared" si="94"/>
        <v>01-00-418-002-GRSPFT-CURR</v>
      </c>
      <c r="G2028" t="s">
        <v>127</v>
      </c>
      <c r="H2028" t="s">
        <v>10287</v>
      </c>
      <c r="I2028" t="s">
        <v>10253</v>
      </c>
      <c r="K2028" s="1073" t="s">
        <v>10288</v>
      </c>
      <c r="L2028" s="789" t="s">
        <v>10241</v>
      </c>
      <c r="M2028" s="790" t="str">
        <f t="shared" si="97"/>
        <v>418</v>
      </c>
      <c r="N2028" s="790" t="str">
        <f t="shared" si="98"/>
        <v>002</v>
      </c>
      <c r="O2028" s="799" t="s">
        <v>10467</v>
      </c>
      <c r="P2028" s="799" t="s">
        <v>10244</v>
      </c>
      <c r="R2028" s="30"/>
    </row>
    <row r="2029" spans="2:18">
      <c r="B2029" s="27" t="s">
        <v>12140</v>
      </c>
      <c r="C2029" s="1042"/>
      <c r="D2029" s="803">
        <f>Page5_CHV_VE!I23</f>
        <v>0</v>
      </c>
      <c r="E2029" s="803">
        <f>Page5_CHV_VE!N23</f>
        <v>0</v>
      </c>
      <c r="F2029" t="str">
        <f t="shared" si="94"/>
        <v>01-00-RTLCAR5B-GRSPFT-CURR</v>
      </c>
      <c r="G2029" t="s">
        <v>127</v>
      </c>
      <c r="H2029" t="s">
        <v>10287</v>
      </c>
      <c r="I2029" t="s">
        <v>10253</v>
      </c>
      <c r="J2029" t="s">
        <v>10268</v>
      </c>
      <c r="K2029" s="1073" t="s">
        <v>10288</v>
      </c>
      <c r="L2029" s="789" t="s">
        <v>10241</v>
      </c>
      <c r="M2029" s="790" t="s">
        <v>10301</v>
      </c>
      <c r="O2029" s="790" t="s">
        <v>10467</v>
      </c>
      <c r="P2029" s="790" t="s">
        <v>10244</v>
      </c>
      <c r="Q2029" s="791" t="s">
        <v>773</v>
      </c>
    </row>
    <row r="2030" spans="2:18">
      <c r="B2030" s="5" t="str">
        <f>Page5_CHV_VE!C24</f>
        <v>MÉMO* VENTES INTERNET VOITURES</v>
      </c>
      <c r="C2030" s="1038" t="str">
        <f>OR_VEH!D73</f>
        <v>419P5B</v>
      </c>
      <c r="D2030" s="803">
        <f>Page5_CHV_VE!I24</f>
        <v>0</v>
      </c>
      <c r="E2030" s="803">
        <f>Page5_CHV_VE!N24</f>
        <v>0</v>
      </c>
      <c r="F2030" t="str">
        <f t="shared" si="94"/>
        <v>01-00-419P5B-GRSPFT-CURR</v>
      </c>
      <c r="G2030" t="s">
        <v>127</v>
      </c>
      <c r="H2030" t="s">
        <v>10287</v>
      </c>
      <c r="I2030" t="s">
        <v>10253</v>
      </c>
      <c r="K2030" s="1073" t="s">
        <v>10288</v>
      </c>
      <c r="L2030" s="789" t="s">
        <v>10241</v>
      </c>
      <c r="M2030" s="855" t="str">
        <f>C2030</f>
        <v>419P5B</v>
      </c>
      <c r="N2030" s="855"/>
      <c r="O2030" s="790" t="s">
        <v>10467</v>
      </c>
      <c r="P2030" s="790" t="s">
        <v>10244</v>
      </c>
      <c r="R2030" s="30"/>
    </row>
    <row r="2031" spans="2:18">
      <c r="B2031" s="5" t="str">
        <f>Page5_CHV_VE!C25</f>
        <v>TOTAL PARCS - VOITURES</v>
      </c>
      <c r="C2031" s="1038" t="str">
        <f>OR_VEH!D74</f>
        <v>420P5B</v>
      </c>
      <c r="D2031" s="803">
        <f>Page5_CHV_VE!I25</f>
        <v>0</v>
      </c>
      <c r="E2031" s="803">
        <f>Page5_CHV_VE!N25</f>
        <v>0</v>
      </c>
      <c r="F2031" t="str">
        <f t="shared" si="94"/>
        <v>01-00-420P5B-GRSPFT-CURR</v>
      </c>
      <c r="G2031" t="s">
        <v>127</v>
      </c>
      <c r="H2031" t="s">
        <v>10287</v>
      </c>
      <c r="I2031" t="s">
        <v>10253</v>
      </c>
      <c r="K2031" s="1073" t="s">
        <v>10288</v>
      </c>
      <c r="L2031" s="789" t="s">
        <v>10241</v>
      </c>
      <c r="M2031" s="855" t="str">
        <f>C2031</f>
        <v>420P5B</v>
      </c>
      <c r="N2031" s="855"/>
      <c r="O2031" s="799" t="s">
        <v>10467</v>
      </c>
      <c r="P2031" s="799" t="s">
        <v>10244</v>
      </c>
      <c r="R2031" s="30"/>
    </row>
    <row r="2032" spans="2:18">
      <c r="B2032" s="5" t="str">
        <f>Page5_CHV_VE!C26</f>
        <v>TOTAL INTERNE - VOITURES</v>
      </c>
      <c r="C2032" s="1038" t="str">
        <f>OR_VEH!D75</f>
        <v>421P5B</v>
      </c>
      <c r="D2032" s="803">
        <f>Page5_CHV_VE!I26</f>
        <v>0</v>
      </c>
      <c r="E2032" s="803">
        <f>Page5_CHV_VE!N26</f>
        <v>0</v>
      </c>
      <c r="F2032" t="str">
        <f t="shared" si="94"/>
        <v>01-00-421P5B-GRSPFT-CURR</v>
      </c>
      <c r="G2032" t="s">
        <v>127</v>
      </c>
      <c r="H2032" t="s">
        <v>10287</v>
      </c>
      <c r="I2032" t="s">
        <v>10253</v>
      </c>
      <c r="K2032" s="1073" t="s">
        <v>10288</v>
      </c>
      <c r="L2032" s="789" t="s">
        <v>10241</v>
      </c>
      <c r="M2032" s="855" t="str">
        <f>C2032</f>
        <v>421P5B</v>
      </c>
      <c r="N2032" s="855"/>
      <c r="O2032" s="799" t="s">
        <v>10467</v>
      </c>
      <c r="P2032" s="799" t="s">
        <v>10244</v>
      </c>
      <c r="R2032" s="30"/>
    </row>
    <row r="2033" spans="2:18">
      <c r="B2033" s="27" t="s">
        <v>12141</v>
      </c>
      <c r="C2033" s="1042"/>
      <c r="D2033" s="803">
        <f>Page5_CHV_VE!I27</f>
        <v>0</v>
      </c>
      <c r="E2033" s="803">
        <f>Page5_CHV_VE!N27</f>
        <v>0</v>
      </c>
      <c r="F2033" t="str">
        <f t="shared" si="94"/>
        <v>01-00-TOTCAR5B-GRSPFT-CURR</v>
      </c>
      <c r="G2033" t="s">
        <v>127</v>
      </c>
      <c r="H2033" t="s">
        <v>10287</v>
      </c>
      <c r="I2033" t="s">
        <v>10253</v>
      </c>
      <c r="J2033" t="s">
        <v>10268</v>
      </c>
      <c r="K2033" s="1073" t="s">
        <v>10288</v>
      </c>
      <c r="L2033" s="789" t="s">
        <v>10241</v>
      </c>
      <c r="M2033" s="790" t="s">
        <v>10303</v>
      </c>
      <c r="O2033" s="790" t="s">
        <v>10467</v>
      </c>
      <c r="P2033" s="790" t="s">
        <v>10244</v>
      </c>
      <c r="Q2033" s="791" t="s">
        <v>773</v>
      </c>
    </row>
    <row r="2034" spans="2:18">
      <c r="B2034" s="5" t="str">
        <f>Page5_CHV_VE!C28</f>
        <v>BOLT EUV</v>
      </c>
      <c r="C2034" s="1038" t="str">
        <f>OR_VEH!D77</f>
        <v>423-002</v>
      </c>
      <c r="D2034" s="803">
        <f>Page5_CHV_VE!I28</f>
        <v>0</v>
      </c>
      <c r="E2034" s="803">
        <f>Page5_CHV_VE!N28</f>
        <v>0</v>
      </c>
      <c r="F2034" t="str">
        <f t="shared" si="94"/>
        <v>01-00-423-002-GRSPFT-CURR</v>
      </c>
      <c r="G2034" t="s">
        <v>127</v>
      </c>
      <c r="H2034" t="s">
        <v>10287</v>
      </c>
      <c r="I2034" t="s">
        <v>10253</v>
      </c>
      <c r="K2034" s="1073" t="s">
        <v>10288</v>
      </c>
      <c r="L2034" s="789" t="s">
        <v>10241</v>
      </c>
      <c r="M2034" s="790" t="str">
        <f t="shared" ref="M2034:M2049" si="99">LEFT(C2034,3)</f>
        <v>423</v>
      </c>
      <c r="N2034" s="790" t="str">
        <f t="shared" ref="N2034:N2049" si="100">RIGHT(C2034,3)</f>
        <v>002</v>
      </c>
      <c r="O2034" s="799" t="s">
        <v>10467</v>
      </c>
      <c r="P2034" s="799" t="s">
        <v>10244</v>
      </c>
      <c r="R2034" s="30"/>
    </row>
    <row r="2035" spans="2:18">
      <c r="B2035" s="5" t="str">
        <f>Page5_CHV_VE!C29</f>
        <v>BOLT EV</v>
      </c>
      <c r="C2035" s="1038" t="str">
        <f>OR_VEH!D78</f>
        <v>424-002</v>
      </c>
      <c r="D2035" s="803">
        <f>Page5_CHV_VE!I29</f>
        <v>0</v>
      </c>
      <c r="E2035" s="803">
        <f>Page5_CHV_VE!N29</f>
        <v>0</v>
      </c>
      <c r="F2035" t="str">
        <f t="shared" si="94"/>
        <v>01-00-424-002-GRSPFT-CURR</v>
      </c>
      <c r="G2035" t="s">
        <v>127</v>
      </c>
      <c r="H2035" t="s">
        <v>10287</v>
      </c>
      <c r="I2035" t="s">
        <v>10253</v>
      </c>
      <c r="K2035" s="1073" t="s">
        <v>10288</v>
      </c>
      <c r="L2035" s="789" t="s">
        <v>10241</v>
      </c>
      <c r="M2035" s="790" t="str">
        <f t="shared" si="99"/>
        <v>424</v>
      </c>
      <c r="N2035" s="790" t="str">
        <f t="shared" si="100"/>
        <v>002</v>
      </c>
      <c r="O2035" s="799" t="s">
        <v>10467</v>
      </c>
      <c r="P2035" s="799" t="s">
        <v>10244</v>
      </c>
      <c r="R2035" s="30"/>
    </row>
    <row r="2036" spans="2:18">
      <c r="B2036" s="5" t="str">
        <f>Page5_CHV_VE!C30</f>
        <v>BLAZER EV</v>
      </c>
      <c r="C2036" s="1038" t="str">
        <f>OR_VEH!D79</f>
        <v>425-002</v>
      </c>
      <c r="D2036" s="803">
        <f>Page5_CHV_VE!I30</f>
        <v>0</v>
      </c>
      <c r="E2036" s="803">
        <f>Page5_CHV_VE!N30</f>
        <v>1146</v>
      </c>
      <c r="F2036" t="str">
        <f t="shared" si="94"/>
        <v>01-00-425-002-GRSPFT-CURR</v>
      </c>
      <c r="G2036" t="s">
        <v>127</v>
      </c>
      <c r="H2036" t="s">
        <v>10287</v>
      </c>
      <c r="I2036" t="s">
        <v>10253</v>
      </c>
      <c r="K2036" s="1073" t="s">
        <v>10288</v>
      </c>
      <c r="L2036" s="789" t="s">
        <v>10241</v>
      </c>
      <c r="M2036" s="790" t="str">
        <f t="shared" si="99"/>
        <v>425</v>
      </c>
      <c r="N2036" s="790" t="str">
        <f t="shared" si="100"/>
        <v>002</v>
      </c>
      <c r="O2036" s="799" t="s">
        <v>10467</v>
      </c>
      <c r="P2036" s="799" t="s">
        <v>10244</v>
      </c>
      <c r="R2036" s="30"/>
    </row>
    <row r="2037" spans="2:18">
      <c r="B2037" s="5" t="str">
        <f>Page5_CHV_VE!C31</f>
        <v>EQUINOX EV</v>
      </c>
      <c r="C2037" s="1038" t="str">
        <f>OR_VEH!D80</f>
        <v>426-002</v>
      </c>
      <c r="D2037" s="803">
        <f>Page5_CHV_VE!I31</f>
        <v>5826</v>
      </c>
      <c r="E2037" s="803">
        <f>Page5_CHV_VE!N31</f>
        <v>9478</v>
      </c>
      <c r="F2037" t="str">
        <f t="shared" si="94"/>
        <v>01-00-426-002-GRSPFT-CURR</v>
      </c>
      <c r="G2037" t="s">
        <v>127</v>
      </c>
      <c r="H2037" t="s">
        <v>10287</v>
      </c>
      <c r="I2037" t="s">
        <v>10253</v>
      </c>
      <c r="K2037" s="1073" t="s">
        <v>10288</v>
      </c>
      <c r="L2037" s="789" t="s">
        <v>10241</v>
      </c>
      <c r="M2037" s="790" t="str">
        <f t="shared" si="99"/>
        <v>426</v>
      </c>
      <c r="N2037" s="790" t="str">
        <f t="shared" si="100"/>
        <v>002</v>
      </c>
      <c r="O2037" s="799" t="s">
        <v>10467</v>
      </c>
      <c r="P2037" s="799" t="s">
        <v>10244</v>
      </c>
      <c r="R2037" s="30"/>
    </row>
    <row r="2038" spans="2:18">
      <c r="B2038" s="5" t="str">
        <f>Page5_CHV_VE!C32</f>
        <v>SILVERADO EV</v>
      </c>
      <c r="C2038" s="1038" t="str">
        <f>OR_VEH!D81</f>
        <v>427-002</v>
      </c>
      <c r="D2038" s="803">
        <f>Page5_CHV_VE!I32</f>
        <v>-746</v>
      </c>
      <c r="E2038" s="803">
        <f>Page5_CHV_VE!N32</f>
        <v>11805</v>
      </c>
      <c r="F2038" t="str">
        <f t="shared" ref="F2038:F2101" si="101">TEXT(K2038,"00")&amp;"-"&amp;L2038&amp;IF(M2038="","","-"&amp;M2038)&amp;IF(N2038="","","-"&amp;N2038)&amp;IF(OR(O2038="",O2038=0),"","-"&amp;O2038)&amp;IF(P2038="","","-"&amp;P2038)</f>
        <v>01-00-427-002-GRSPFT-CURR</v>
      </c>
      <c r="G2038" t="s">
        <v>127</v>
      </c>
      <c r="H2038" t="s">
        <v>10287</v>
      </c>
      <c r="I2038" t="s">
        <v>10253</v>
      </c>
      <c r="K2038" s="1073" t="s">
        <v>10288</v>
      </c>
      <c r="L2038" s="789" t="s">
        <v>10241</v>
      </c>
      <c r="M2038" s="790" t="str">
        <f t="shared" si="99"/>
        <v>427</v>
      </c>
      <c r="N2038" s="790" t="str">
        <f t="shared" si="100"/>
        <v>002</v>
      </c>
      <c r="O2038" s="799" t="s">
        <v>10467</v>
      </c>
      <c r="P2038" s="799" t="s">
        <v>10244</v>
      </c>
      <c r="R2038" s="30"/>
    </row>
    <row r="2039" spans="2:18">
      <c r="B2039" s="5" t="str">
        <f>Page5_CHV_VE!C33</f>
        <v>ZEVO 400 AWD</v>
      </c>
      <c r="C2039" s="1038" t="str">
        <f>OR_VEH!D82</f>
        <v>428-002</v>
      </c>
      <c r="D2039" s="803">
        <f>Page5_CHV_VE!I33</f>
        <v>0</v>
      </c>
      <c r="E2039" s="803">
        <f>Page5_CHV_VE!N33</f>
        <v>0</v>
      </c>
      <c r="F2039" t="str">
        <f t="shared" si="101"/>
        <v>01-00-428-002-GRSPFT-CURR</v>
      </c>
      <c r="G2039" t="s">
        <v>127</v>
      </c>
      <c r="H2039" t="s">
        <v>10287</v>
      </c>
      <c r="I2039" t="s">
        <v>10253</v>
      </c>
      <c r="K2039" s="1073" t="s">
        <v>10288</v>
      </c>
      <c r="L2039" s="789" t="s">
        <v>10241</v>
      </c>
      <c r="M2039" s="790" t="str">
        <f t="shared" si="99"/>
        <v>428</v>
      </c>
      <c r="N2039" s="790" t="str">
        <f t="shared" si="100"/>
        <v>002</v>
      </c>
      <c r="O2039" s="799" t="s">
        <v>10467</v>
      </c>
      <c r="P2039" s="799" t="s">
        <v>10244</v>
      </c>
      <c r="R2039" s="30"/>
    </row>
    <row r="2040" spans="2:18">
      <c r="B2040" s="5" t="str">
        <f>Page5_CHV_VE!C34</f>
        <v>ZEVO 600 AWD</v>
      </c>
      <c r="C2040" s="1038" t="str">
        <f>OR_VEH!D83</f>
        <v>429-002</v>
      </c>
      <c r="D2040" s="803">
        <f>Page5_CHV_VE!I34</f>
        <v>0</v>
      </c>
      <c r="E2040" s="803">
        <f>Page5_CHV_VE!N34</f>
        <v>0</v>
      </c>
      <c r="F2040" t="str">
        <f t="shared" si="101"/>
        <v>01-00-429-002-GRSPFT-CURR</v>
      </c>
      <c r="G2040" t="s">
        <v>127</v>
      </c>
      <c r="H2040" t="s">
        <v>10287</v>
      </c>
      <c r="I2040" t="s">
        <v>10253</v>
      </c>
      <c r="K2040" s="1073" t="s">
        <v>10288</v>
      </c>
      <c r="L2040" s="789" t="s">
        <v>10241</v>
      </c>
      <c r="M2040" s="790" t="str">
        <f t="shared" si="99"/>
        <v>429</v>
      </c>
      <c r="N2040" s="790" t="str">
        <f t="shared" si="100"/>
        <v>002</v>
      </c>
      <c r="O2040" s="799" t="s">
        <v>10467</v>
      </c>
      <c r="P2040" s="799" t="s">
        <v>10244</v>
      </c>
      <c r="R2040" s="30"/>
    </row>
    <row r="2041" spans="2:18">
      <c r="B2041" s="5" t="str">
        <f>Page5_CHV_VE!C35</f>
        <v>NE PAS UTILISER</v>
      </c>
      <c r="C2041" s="1038" t="str">
        <f>OR_VEH!D84</f>
        <v>430-002</v>
      </c>
      <c r="D2041" s="803">
        <f>Page5_CHV_VE!I35</f>
        <v>0</v>
      </c>
      <c r="E2041" s="803">
        <f>Page5_CHV_VE!N35</f>
        <v>0</v>
      </c>
      <c r="F2041" t="str">
        <f t="shared" si="101"/>
        <v>01-00-430-002-GRSPFT-CURR</v>
      </c>
      <c r="G2041" t="s">
        <v>127</v>
      </c>
      <c r="H2041" t="s">
        <v>10287</v>
      </c>
      <c r="I2041" t="s">
        <v>10253</v>
      </c>
      <c r="K2041" s="1073" t="s">
        <v>10288</v>
      </c>
      <c r="L2041" s="789" t="s">
        <v>10241</v>
      </c>
      <c r="M2041" s="790" t="str">
        <f t="shared" si="99"/>
        <v>430</v>
      </c>
      <c r="N2041" s="790" t="str">
        <f t="shared" si="100"/>
        <v>002</v>
      </c>
      <c r="O2041" s="799" t="s">
        <v>10467</v>
      </c>
      <c r="P2041" s="799" t="s">
        <v>10244</v>
      </c>
      <c r="R2041" s="30"/>
    </row>
    <row r="2042" spans="2:18">
      <c r="B2042" s="5" t="str">
        <f>Page5_CHV_VE!C36</f>
        <v>NE PAS UTILISER</v>
      </c>
      <c r="C2042" s="1038" t="str">
        <f>OR_VEH!D85</f>
        <v>431-002</v>
      </c>
      <c r="D2042" s="803">
        <f>Page5_CHV_VE!I36</f>
        <v>0</v>
      </c>
      <c r="E2042" s="803">
        <f>Page5_CHV_VE!N36</f>
        <v>0</v>
      </c>
      <c r="F2042" t="str">
        <f t="shared" si="101"/>
        <v>01-00-431-002-GRSPFT-CURR</v>
      </c>
      <c r="G2042" t="s">
        <v>127</v>
      </c>
      <c r="H2042" t="s">
        <v>10287</v>
      </c>
      <c r="I2042" t="s">
        <v>10253</v>
      </c>
      <c r="K2042" s="1073" t="s">
        <v>10288</v>
      </c>
      <c r="L2042" s="789" t="s">
        <v>10241</v>
      </c>
      <c r="M2042" s="790" t="str">
        <f t="shared" si="99"/>
        <v>431</v>
      </c>
      <c r="N2042" s="790" t="str">
        <f t="shared" si="100"/>
        <v>002</v>
      </c>
      <c r="O2042" s="799" t="s">
        <v>10467</v>
      </c>
      <c r="P2042" s="799" t="s">
        <v>10244</v>
      </c>
      <c r="R2042" s="30"/>
    </row>
    <row r="2043" spans="2:18">
      <c r="B2043" s="5" t="str">
        <f>Page5_CHV_VE!C37</f>
        <v>NE PAS UTILISER</v>
      </c>
      <c r="C2043" s="1038" t="str">
        <f>OR_VEH!D86</f>
        <v>432-002</v>
      </c>
      <c r="D2043" s="803">
        <f>Page5_CHV_VE!I37</f>
        <v>0</v>
      </c>
      <c r="E2043" s="803">
        <f>Page5_CHV_VE!N37</f>
        <v>0</v>
      </c>
      <c r="F2043" t="str">
        <f t="shared" si="101"/>
        <v>01-00-432-002-GRSPFT-CURR</v>
      </c>
      <c r="G2043" t="s">
        <v>127</v>
      </c>
      <c r="H2043" t="s">
        <v>10287</v>
      </c>
      <c r="I2043" t="s">
        <v>10253</v>
      </c>
      <c r="K2043" s="1073" t="s">
        <v>10288</v>
      </c>
      <c r="L2043" s="789" t="s">
        <v>10241</v>
      </c>
      <c r="M2043" s="790" t="str">
        <f t="shared" si="99"/>
        <v>432</v>
      </c>
      <c r="N2043" s="790" t="str">
        <f t="shared" si="100"/>
        <v>002</v>
      </c>
      <c r="O2043" s="799" t="s">
        <v>10467</v>
      </c>
      <c r="P2043" s="799" t="s">
        <v>10244</v>
      </c>
      <c r="R2043" s="30"/>
    </row>
    <row r="2044" spans="2:18">
      <c r="B2044" s="5" t="str">
        <f>Page5_CHV_VE!C38</f>
        <v>NE PAS UTILISER</v>
      </c>
      <c r="C2044" s="1038" t="str">
        <f>OR_VEH!D87</f>
        <v>433-002</v>
      </c>
      <c r="D2044" s="803">
        <f>Page5_CHV_VE!I38</f>
        <v>0</v>
      </c>
      <c r="E2044" s="803">
        <f>Page5_CHV_VE!N38</f>
        <v>0</v>
      </c>
      <c r="F2044" t="str">
        <f t="shared" si="101"/>
        <v>01-00-433-002-GRSPFT-CURR</v>
      </c>
      <c r="G2044" t="s">
        <v>127</v>
      </c>
      <c r="H2044" t="s">
        <v>10287</v>
      </c>
      <c r="I2044" t="s">
        <v>10253</v>
      </c>
      <c r="K2044" s="1073" t="s">
        <v>10288</v>
      </c>
      <c r="L2044" s="789" t="s">
        <v>10241</v>
      </c>
      <c r="M2044" s="790" t="str">
        <f t="shared" si="99"/>
        <v>433</v>
      </c>
      <c r="N2044" s="790" t="str">
        <f t="shared" si="100"/>
        <v>002</v>
      </c>
      <c r="O2044" s="799" t="s">
        <v>10467</v>
      </c>
      <c r="P2044" s="799" t="s">
        <v>10244</v>
      </c>
      <c r="R2044" s="30"/>
    </row>
    <row r="2045" spans="2:18">
      <c r="B2045" s="5" t="str">
        <f>Page5_CHV_VE!C39</f>
        <v>NE PAS UTILISER</v>
      </c>
      <c r="C2045" s="1038" t="str">
        <f>OR_VEH!D88</f>
        <v>434-002</v>
      </c>
      <c r="D2045" s="803">
        <f>Page5_CHV_VE!I39</f>
        <v>0</v>
      </c>
      <c r="E2045" s="803">
        <f>Page5_CHV_VE!N39</f>
        <v>0</v>
      </c>
      <c r="F2045" t="str">
        <f t="shared" si="101"/>
        <v>01-00-434-002-GRSPFT-CURR</v>
      </c>
      <c r="G2045" t="s">
        <v>127</v>
      </c>
      <c r="H2045" t="s">
        <v>10287</v>
      </c>
      <c r="I2045" t="s">
        <v>10253</v>
      </c>
      <c r="K2045" s="1073" t="s">
        <v>10288</v>
      </c>
      <c r="L2045" s="789" t="s">
        <v>10241</v>
      </c>
      <c r="M2045" s="790" t="str">
        <f t="shared" si="99"/>
        <v>434</v>
      </c>
      <c r="N2045" s="790" t="str">
        <f t="shared" si="100"/>
        <v>002</v>
      </c>
      <c r="O2045" s="799" t="s">
        <v>10467</v>
      </c>
      <c r="P2045" s="799" t="s">
        <v>10244</v>
      </c>
      <c r="R2045" s="30"/>
    </row>
    <row r="2046" spans="2:18">
      <c r="B2046" s="5" t="str">
        <f>Page5_CHV_VE!C40</f>
        <v>NE PAS UTILISER</v>
      </c>
      <c r="C2046" s="1038" t="str">
        <f>OR_VEH!D89</f>
        <v>435-002</v>
      </c>
      <c r="D2046" s="803">
        <f>Page5_CHV_VE!I40</f>
        <v>0</v>
      </c>
      <c r="E2046" s="803">
        <f>Page5_CHV_VE!N40</f>
        <v>0</v>
      </c>
      <c r="F2046" t="str">
        <f t="shared" si="101"/>
        <v>01-00-435-002-GRSPFT-CURR</v>
      </c>
      <c r="G2046" t="s">
        <v>127</v>
      </c>
      <c r="H2046" t="s">
        <v>10287</v>
      </c>
      <c r="I2046" t="s">
        <v>10253</v>
      </c>
      <c r="K2046" s="1073" t="s">
        <v>10288</v>
      </c>
      <c r="L2046" s="789" t="s">
        <v>10241</v>
      </c>
      <c r="M2046" s="790" t="str">
        <f t="shared" si="99"/>
        <v>435</v>
      </c>
      <c r="N2046" s="790" t="str">
        <f t="shared" si="100"/>
        <v>002</v>
      </c>
      <c r="O2046" s="799" t="s">
        <v>10467</v>
      </c>
      <c r="P2046" s="799" t="s">
        <v>10244</v>
      </c>
      <c r="R2046" s="30"/>
    </row>
    <row r="2047" spans="2:18">
      <c r="B2047" s="5" t="str">
        <f>Page5_CHV_VE!C41</f>
        <v>NE PAS UTILISER</v>
      </c>
      <c r="C2047" s="1038" t="str">
        <f>OR_VEH!D90</f>
        <v>436-002</v>
      </c>
      <c r="D2047" s="803">
        <f>Page5_CHV_VE!I41</f>
        <v>0</v>
      </c>
      <c r="E2047" s="803">
        <f>Page5_CHV_VE!N41</f>
        <v>0</v>
      </c>
      <c r="F2047" t="str">
        <f t="shared" si="101"/>
        <v>01-00-436-002-GRSPFT-CURR</v>
      </c>
      <c r="G2047" t="s">
        <v>127</v>
      </c>
      <c r="H2047" t="s">
        <v>10287</v>
      </c>
      <c r="I2047" t="s">
        <v>10253</v>
      </c>
      <c r="K2047" s="1073" t="s">
        <v>10288</v>
      </c>
      <c r="L2047" s="789" t="s">
        <v>10241</v>
      </c>
      <c r="M2047" s="790" t="str">
        <f t="shared" si="99"/>
        <v>436</v>
      </c>
      <c r="N2047" s="790" t="str">
        <f t="shared" si="100"/>
        <v>002</v>
      </c>
      <c r="O2047" s="790" t="s">
        <v>10467</v>
      </c>
      <c r="P2047" s="790" t="s">
        <v>10244</v>
      </c>
      <c r="R2047" s="30"/>
    </row>
    <row r="2048" spans="2:18">
      <c r="B2048" s="5" t="str">
        <f>Page5_CHV_VE!C42</f>
        <v>NE PAS UTILISER</v>
      </c>
      <c r="C2048" s="1038" t="str">
        <f>OR_VEH!D91</f>
        <v>437-002</v>
      </c>
      <c r="D2048" s="803">
        <f>Page5_CHV_VE!I42</f>
        <v>0</v>
      </c>
      <c r="E2048" s="803">
        <f>Page5_CHV_VE!N42</f>
        <v>0</v>
      </c>
      <c r="F2048" t="str">
        <f t="shared" si="101"/>
        <v>01-00-437-002-GRSPFT-CURR</v>
      </c>
      <c r="G2048" t="s">
        <v>127</v>
      </c>
      <c r="H2048" t="s">
        <v>10287</v>
      </c>
      <c r="I2048" t="s">
        <v>10253</v>
      </c>
      <c r="K2048" s="1073" t="s">
        <v>10288</v>
      </c>
      <c r="L2048" s="789" t="s">
        <v>10241</v>
      </c>
      <c r="M2048" s="790" t="str">
        <f t="shared" si="99"/>
        <v>437</v>
      </c>
      <c r="N2048" s="790" t="str">
        <f t="shared" si="100"/>
        <v>002</v>
      </c>
      <c r="O2048" s="790" t="s">
        <v>10467</v>
      </c>
      <c r="P2048" s="790" t="s">
        <v>10244</v>
      </c>
      <c r="R2048" s="30"/>
    </row>
    <row r="2049" spans="1:18">
      <c r="B2049" s="5" t="str">
        <f>Page5_CHV_VE!C43</f>
        <v>NE PAS UTILISER</v>
      </c>
      <c r="C2049" s="1038" t="str">
        <f>OR_VEH!D92</f>
        <v>438-002</v>
      </c>
      <c r="D2049" s="803">
        <f>Page5_CHV_VE!I43</f>
        <v>0</v>
      </c>
      <c r="E2049" s="803">
        <f>Page5_CHV_VE!N43</f>
        <v>0</v>
      </c>
      <c r="F2049" t="str">
        <f t="shared" si="101"/>
        <v>01-00-438-002-GRSPFT-CURR</v>
      </c>
      <c r="G2049" t="s">
        <v>127</v>
      </c>
      <c r="H2049" t="s">
        <v>10287</v>
      </c>
      <c r="I2049" t="s">
        <v>10253</v>
      </c>
      <c r="K2049" s="1073" t="s">
        <v>10288</v>
      </c>
      <c r="L2049" s="789" t="s">
        <v>10241</v>
      </c>
      <c r="M2049" s="790" t="str">
        <f t="shared" si="99"/>
        <v>438</v>
      </c>
      <c r="N2049" s="790" t="str">
        <f t="shared" si="100"/>
        <v>002</v>
      </c>
      <c r="O2049" s="790" t="s">
        <v>10467</v>
      </c>
      <c r="P2049" s="790" t="s">
        <v>10244</v>
      </c>
      <c r="R2049" s="30"/>
    </row>
    <row r="2050" spans="1:18">
      <c r="B2050" s="51" t="s">
        <v>12142</v>
      </c>
      <c r="C2050" s="1042"/>
      <c r="D2050" s="803">
        <f>Page5_CHV_VE!I44</f>
        <v>5080</v>
      </c>
      <c r="E2050" s="803">
        <f>Page5_CHV_VE!N44</f>
        <v>22429</v>
      </c>
      <c r="F2050" t="str">
        <f t="shared" si="101"/>
        <v>01-00-RTLTRK5B-GRSPFT-CURR</v>
      </c>
      <c r="G2050" t="s">
        <v>127</v>
      </c>
      <c r="H2050" t="s">
        <v>10287</v>
      </c>
      <c r="I2050" t="s">
        <v>10253</v>
      </c>
      <c r="J2050" t="s">
        <v>10268</v>
      </c>
      <c r="K2050" s="1073" t="s">
        <v>10288</v>
      </c>
      <c r="L2050" s="789" t="s">
        <v>10241</v>
      </c>
      <c r="M2050" s="790" t="s">
        <v>10305</v>
      </c>
      <c r="O2050" s="790" t="s">
        <v>10467</v>
      </c>
      <c r="P2050" s="790" t="s">
        <v>10244</v>
      </c>
      <c r="Q2050" s="791" t="s">
        <v>773</v>
      </c>
    </row>
    <row r="2051" spans="1:18">
      <c r="B2051" s="5" t="str">
        <f>Page5_CHV_VE!C45</f>
        <v>MÉMO* VENTES INTERNET CAMIONS</v>
      </c>
      <c r="C2051" s="1038" t="str">
        <f>OR_VEH!D94</f>
        <v>439P5B</v>
      </c>
      <c r="D2051" s="803">
        <f>Page5_CHV_VE!I45</f>
        <v>0</v>
      </c>
      <c r="E2051" s="803">
        <f>Page5_CHV_VE!N45</f>
        <v>0</v>
      </c>
      <c r="F2051" t="str">
        <f t="shared" si="101"/>
        <v>01-00-439P5B-GRSPFT-CURR</v>
      </c>
      <c r="G2051" t="s">
        <v>127</v>
      </c>
      <c r="H2051" t="s">
        <v>10287</v>
      </c>
      <c r="I2051" t="s">
        <v>10253</v>
      </c>
      <c r="K2051" s="1073" t="s">
        <v>10288</v>
      </c>
      <c r="L2051" s="789" t="s">
        <v>10241</v>
      </c>
      <c r="M2051" s="855" t="str">
        <f>C2051</f>
        <v>439P5B</v>
      </c>
      <c r="N2051" s="855"/>
      <c r="O2051" s="790" t="s">
        <v>10467</v>
      </c>
      <c r="P2051" s="790" t="s">
        <v>10244</v>
      </c>
      <c r="R2051" s="30"/>
    </row>
    <row r="2052" spans="1:18">
      <c r="B2052" s="5" t="str">
        <f>Page5_CHV_VE!C46</f>
        <v>TOTAL PARCS - CAMIONS</v>
      </c>
      <c r="C2052" s="1038" t="str">
        <f>OR_VEH!D95</f>
        <v>440P5B</v>
      </c>
      <c r="D2052" s="803">
        <f>Page5_CHV_VE!I46</f>
        <v>0</v>
      </c>
      <c r="E2052" s="803">
        <f>Page5_CHV_VE!N46</f>
        <v>0</v>
      </c>
      <c r="F2052" t="str">
        <f t="shared" si="101"/>
        <v>01-00-440P5B-GRSPFT-CURR</v>
      </c>
      <c r="G2052" t="s">
        <v>127</v>
      </c>
      <c r="H2052" t="s">
        <v>10287</v>
      </c>
      <c r="I2052" t="s">
        <v>10253</v>
      </c>
      <c r="K2052" s="1073" t="s">
        <v>10288</v>
      </c>
      <c r="L2052" s="789" t="s">
        <v>10241</v>
      </c>
      <c r="M2052" s="855" t="str">
        <f>C2052</f>
        <v>440P5B</v>
      </c>
      <c r="N2052" s="855"/>
      <c r="O2052" s="790" t="s">
        <v>10467</v>
      </c>
      <c r="P2052" s="790" t="s">
        <v>10244</v>
      </c>
      <c r="R2052" s="30"/>
    </row>
    <row r="2053" spans="1:18">
      <c r="B2053" s="5" t="str">
        <f>Page5_CHV_VE!C47</f>
        <v xml:space="preserve">TOTAL IINTERNE - CAMIONS </v>
      </c>
      <c r="C2053" s="1038" t="str">
        <f>OR_VEH!D96</f>
        <v>441P5B</v>
      </c>
      <c r="D2053" s="803">
        <f>Page5_CHV_VE!I47</f>
        <v>0</v>
      </c>
      <c r="E2053" s="803">
        <f>Page5_CHV_VE!N47</f>
        <v>0</v>
      </c>
      <c r="F2053" t="str">
        <f t="shared" si="101"/>
        <v>01-00-441P5B-GRSPFT-CURR</v>
      </c>
      <c r="G2053" t="s">
        <v>127</v>
      </c>
      <c r="H2053" t="s">
        <v>10287</v>
      </c>
      <c r="I2053" t="s">
        <v>10253</v>
      </c>
      <c r="K2053" s="1073" t="s">
        <v>10288</v>
      </c>
      <c r="L2053" s="789" t="s">
        <v>10241</v>
      </c>
      <c r="M2053" s="855" t="str">
        <f>C2053</f>
        <v>441P5B</v>
      </c>
      <c r="N2053" s="855"/>
      <c r="O2053" s="790" t="s">
        <v>10467</v>
      </c>
      <c r="P2053" s="790" t="s">
        <v>10244</v>
      </c>
      <c r="R2053" s="30"/>
    </row>
    <row r="2054" spans="1:18">
      <c r="B2054" s="27" t="s">
        <v>12143</v>
      </c>
      <c r="C2054" s="1042"/>
      <c r="D2054" s="803">
        <f>Page5_CHV_VE!I48</f>
        <v>5080</v>
      </c>
      <c r="E2054" s="803">
        <f>Page5_CHV_VE!N48</f>
        <v>22429</v>
      </c>
      <c r="F2054" t="str">
        <f t="shared" si="101"/>
        <v>01-00-TOTTRK5B-GRSPFT-CURR</v>
      </c>
      <c r="G2054" t="s">
        <v>127</v>
      </c>
      <c r="H2054" t="s">
        <v>10287</v>
      </c>
      <c r="I2054" t="s">
        <v>10253</v>
      </c>
      <c r="J2054" t="s">
        <v>10268</v>
      </c>
      <c r="K2054" s="1073" t="s">
        <v>10288</v>
      </c>
      <c r="L2054" s="789" t="s">
        <v>10241</v>
      </c>
      <c r="M2054" s="790" t="s">
        <v>10307</v>
      </c>
      <c r="O2054" s="790" t="s">
        <v>10467</v>
      </c>
      <c r="P2054" s="790" t="s">
        <v>10244</v>
      </c>
      <c r="Q2054" s="791" t="s">
        <v>773</v>
      </c>
    </row>
    <row r="2055" spans="1:18">
      <c r="B2055" s="5" t="str">
        <f>Page5_CHV_VE!C50</f>
        <v>ACCESSOIRES</v>
      </c>
      <c r="C2055" s="1038" t="str">
        <f>OR_VEH!D99</f>
        <v>457P5B</v>
      </c>
      <c r="D2055" s="803">
        <f>Page5_CHV_VE!I50</f>
        <v>0</v>
      </c>
      <c r="E2055" s="803">
        <f>Page5_CHV_VE!N50</f>
        <v>0</v>
      </c>
      <c r="F2055" t="str">
        <f t="shared" si="101"/>
        <v>01-00-457P5B-GRSPFT-CURR</v>
      </c>
      <c r="G2055" t="s">
        <v>127</v>
      </c>
      <c r="H2055" t="s">
        <v>10287</v>
      </c>
      <c r="I2055" t="s">
        <v>10253</v>
      </c>
      <c r="K2055" s="1073" t="s">
        <v>10288</v>
      </c>
      <c r="L2055" s="789" t="s">
        <v>10241</v>
      </c>
      <c r="M2055" s="855" t="str">
        <f>C2055</f>
        <v>457P5B</v>
      </c>
      <c r="N2055" s="855"/>
      <c r="O2055" s="790" t="s">
        <v>10467</v>
      </c>
      <c r="P2055" s="790" t="s">
        <v>10244</v>
      </c>
      <c r="R2055" s="30"/>
    </row>
    <row r="2056" spans="1:18">
      <c r="B2056" s="27" t="s">
        <v>12144</v>
      </c>
      <c r="C2056" s="1042"/>
      <c r="D2056" s="803">
        <f>Page5_CHV_VE!I51</f>
        <v>5080</v>
      </c>
      <c r="E2056" s="803">
        <f>Page5_CHV_VE!N51</f>
        <v>22429</v>
      </c>
      <c r="F2056" t="str">
        <f t="shared" si="101"/>
        <v>01-00-TOTVEH5B-GRSPFT-CURR</v>
      </c>
      <c r="G2056" t="s">
        <v>127</v>
      </c>
      <c r="H2056" t="s">
        <v>10287</v>
      </c>
      <c r="I2056" t="s">
        <v>10253</v>
      </c>
      <c r="J2056" t="s">
        <v>10268</v>
      </c>
      <c r="K2056" s="1073" t="s">
        <v>10288</v>
      </c>
      <c r="L2056" s="789" t="s">
        <v>10241</v>
      </c>
      <c r="M2056" s="790" t="s">
        <v>10309</v>
      </c>
      <c r="O2056" s="790" t="s">
        <v>10467</v>
      </c>
      <c r="P2056" s="790" t="s">
        <v>10244</v>
      </c>
      <c r="Q2056" s="791" t="s">
        <v>773</v>
      </c>
    </row>
    <row r="2057" spans="1:18">
      <c r="A2057" s="805" t="s">
        <v>10310</v>
      </c>
      <c r="B2057" s="5" t="str">
        <f>Page5_BUI_VE!C4</f>
        <v>NE PAS UTILISER</v>
      </c>
      <c r="C2057" s="1038" t="str">
        <f>OR_VEH!D103</f>
        <v>400-003</v>
      </c>
      <c r="D2057" s="803">
        <f>Page5_BUI_VE!G4</f>
        <v>0</v>
      </c>
      <c r="E2057" s="803">
        <f>Page5_BUI_VE!L4</f>
        <v>0</v>
      </c>
      <c r="F2057" t="str">
        <f t="shared" si="101"/>
        <v>01-00-400-003-SALES-CURR</v>
      </c>
      <c r="G2057" t="s">
        <v>127</v>
      </c>
      <c r="H2057" t="s">
        <v>10287</v>
      </c>
      <c r="I2057" t="s">
        <v>10253</v>
      </c>
      <c r="K2057" s="1073" t="s">
        <v>10288</v>
      </c>
      <c r="L2057" s="789" t="s">
        <v>10241</v>
      </c>
      <c r="M2057" s="790" t="str">
        <f>LEFT(C2057,3)</f>
        <v>400</v>
      </c>
      <c r="N2057" s="790" t="str">
        <f>RIGHT(C2057,3)</f>
        <v>003</v>
      </c>
      <c r="O2057" s="799" t="s">
        <v>9883</v>
      </c>
      <c r="P2057" s="799" t="s">
        <v>10244</v>
      </c>
      <c r="R2057" s="30"/>
    </row>
    <row r="2058" spans="1:18">
      <c r="B2058" s="5" t="str">
        <f>Page5_BUI_VE!C5</f>
        <v>NE PAS UTILISER</v>
      </c>
      <c r="C2058" s="1038" t="str">
        <f>OR_VEH!D104</f>
        <v>401-003</v>
      </c>
      <c r="D2058" s="803">
        <f>Page5_BUI_VE!G5</f>
        <v>0</v>
      </c>
      <c r="E2058" s="803">
        <f>Page5_BUI_VE!L5</f>
        <v>0</v>
      </c>
      <c r="F2058" t="str">
        <f t="shared" si="101"/>
        <v>01-00-401-003-SALES-CURR</v>
      </c>
      <c r="G2058" t="s">
        <v>127</v>
      </c>
      <c r="H2058" t="s">
        <v>10287</v>
      </c>
      <c r="I2058" t="s">
        <v>10253</v>
      </c>
      <c r="K2058" s="1073" t="s">
        <v>10288</v>
      </c>
      <c r="L2058" s="789" t="s">
        <v>10241</v>
      </c>
      <c r="M2058" s="790" t="str">
        <f t="shared" ref="M2058:M2075" si="102">LEFT(C2058,3)</f>
        <v>401</v>
      </c>
      <c r="N2058" s="790" t="str">
        <f t="shared" ref="N2058:N2075" si="103">RIGHT(C2058,3)</f>
        <v>003</v>
      </c>
      <c r="O2058" s="799" t="s">
        <v>9883</v>
      </c>
      <c r="P2058" s="799" t="s">
        <v>10244</v>
      </c>
      <c r="R2058" s="30"/>
    </row>
    <row r="2059" spans="1:18">
      <c r="B2059" s="5" t="str">
        <f>Page5_BUI_VE!C6</f>
        <v>NE PAS UTILISER</v>
      </c>
      <c r="C2059" s="1038" t="str">
        <f>OR_VEH!D105</f>
        <v>402-003</v>
      </c>
      <c r="D2059" s="803">
        <f>Page5_BUI_VE!G6</f>
        <v>0</v>
      </c>
      <c r="E2059" s="803">
        <f>Page5_BUI_VE!L6</f>
        <v>0</v>
      </c>
      <c r="F2059" t="str">
        <f t="shared" si="101"/>
        <v>01-00-402-003-SALES-CURR</v>
      </c>
      <c r="G2059" t="s">
        <v>127</v>
      </c>
      <c r="H2059" t="s">
        <v>10287</v>
      </c>
      <c r="I2059" t="s">
        <v>10253</v>
      </c>
      <c r="K2059" s="1073" t="s">
        <v>10288</v>
      </c>
      <c r="L2059" s="789" t="s">
        <v>10241</v>
      </c>
      <c r="M2059" s="790" t="str">
        <f t="shared" si="102"/>
        <v>402</v>
      </c>
      <c r="N2059" s="790" t="str">
        <f t="shared" si="103"/>
        <v>003</v>
      </c>
      <c r="O2059" s="799" t="s">
        <v>9883</v>
      </c>
      <c r="P2059" s="799" t="s">
        <v>10244</v>
      </c>
      <c r="R2059" s="30"/>
    </row>
    <row r="2060" spans="1:18">
      <c r="B2060" s="5" t="str">
        <f>Page5_BUI_VE!C7</f>
        <v>NE PAS UTILISER</v>
      </c>
      <c r="C2060" s="1038" t="str">
        <f>OR_VEH!D106</f>
        <v>403-003</v>
      </c>
      <c r="D2060" s="803">
        <f>Page5_BUI_VE!G7</f>
        <v>0</v>
      </c>
      <c r="E2060" s="803">
        <f>Page5_BUI_VE!L7</f>
        <v>0</v>
      </c>
      <c r="F2060" t="str">
        <f t="shared" si="101"/>
        <v>01-00-403-003-SALES-CURR</v>
      </c>
      <c r="G2060" t="s">
        <v>127</v>
      </c>
      <c r="H2060" t="s">
        <v>10287</v>
      </c>
      <c r="I2060" t="s">
        <v>10253</v>
      </c>
      <c r="K2060" s="1073" t="s">
        <v>10288</v>
      </c>
      <c r="L2060" s="789" t="s">
        <v>10241</v>
      </c>
      <c r="M2060" s="790" t="str">
        <f t="shared" si="102"/>
        <v>403</v>
      </c>
      <c r="N2060" s="790" t="str">
        <f t="shared" si="103"/>
        <v>003</v>
      </c>
      <c r="O2060" s="799" t="s">
        <v>9883</v>
      </c>
      <c r="P2060" s="799" t="s">
        <v>10244</v>
      </c>
      <c r="R2060" s="30"/>
    </row>
    <row r="2061" spans="1:18">
      <c r="B2061" s="5" t="str">
        <f>Page5_BUI_VE!C8</f>
        <v>NE PAS UTILISER</v>
      </c>
      <c r="C2061" s="1038" t="str">
        <f>OR_VEH!D107</f>
        <v>404-003</v>
      </c>
      <c r="D2061" s="803">
        <f>Page5_BUI_VE!G8</f>
        <v>0</v>
      </c>
      <c r="E2061" s="803">
        <f>Page5_BUI_VE!L8</f>
        <v>0</v>
      </c>
      <c r="F2061" t="str">
        <f t="shared" si="101"/>
        <v>01-00-404-003-SALES-CURR</v>
      </c>
      <c r="G2061" t="s">
        <v>127</v>
      </c>
      <c r="H2061" t="s">
        <v>10287</v>
      </c>
      <c r="I2061" t="s">
        <v>10253</v>
      </c>
      <c r="K2061" s="1073" t="s">
        <v>10288</v>
      </c>
      <c r="L2061" s="789" t="s">
        <v>10241</v>
      </c>
      <c r="M2061" s="790" t="str">
        <f t="shared" si="102"/>
        <v>404</v>
      </c>
      <c r="N2061" s="790" t="str">
        <f t="shared" si="103"/>
        <v>003</v>
      </c>
      <c r="O2061" s="799" t="s">
        <v>9883</v>
      </c>
      <c r="P2061" s="799" t="s">
        <v>10244</v>
      </c>
      <c r="R2061" s="30"/>
    </row>
    <row r="2062" spans="1:18">
      <c r="B2062" s="5" t="str">
        <f>Page5_BUI_VE!C9</f>
        <v>NE PAS UTILISER</v>
      </c>
      <c r="C2062" s="1038" t="str">
        <f>OR_VEH!D108</f>
        <v>405-003</v>
      </c>
      <c r="D2062" s="803">
        <f>Page5_BUI_VE!G9</f>
        <v>0</v>
      </c>
      <c r="E2062" s="803">
        <f>Page5_BUI_VE!L9</f>
        <v>0</v>
      </c>
      <c r="F2062" t="str">
        <f t="shared" si="101"/>
        <v>01-00-405-003-SALES-CURR</v>
      </c>
      <c r="G2062" t="s">
        <v>127</v>
      </c>
      <c r="H2062" t="s">
        <v>10287</v>
      </c>
      <c r="I2062" t="s">
        <v>10253</v>
      </c>
      <c r="K2062" s="1073" t="s">
        <v>10288</v>
      </c>
      <c r="L2062" s="789" t="s">
        <v>10241</v>
      </c>
      <c r="M2062" s="790" t="str">
        <f t="shared" si="102"/>
        <v>405</v>
      </c>
      <c r="N2062" s="790" t="str">
        <f t="shared" si="103"/>
        <v>003</v>
      </c>
      <c r="O2062" s="799" t="s">
        <v>9883</v>
      </c>
      <c r="P2062" s="799" t="s">
        <v>10244</v>
      </c>
      <c r="R2062" s="30"/>
    </row>
    <row r="2063" spans="1:18">
      <c r="B2063" s="5" t="str">
        <f>Page5_BUI_VE!C10</f>
        <v>NE PAS UTILISER</v>
      </c>
      <c r="C2063" s="1038" t="str">
        <f>OR_VEH!D109</f>
        <v>406-003</v>
      </c>
      <c r="D2063" s="803">
        <f>Page5_BUI_VE!G10</f>
        <v>0</v>
      </c>
      <c r="E2063" s="803">
        <f>Page5_BUI_VE!L10</f>
        <v>0</v>
      </c>
      <c r="F2063" t="str">
        <f t="shared" si="101"/>
        <v>01-00-406-003-SALES-CURR</v>
      </c>
      <c r="G2063" t="s">
        <v>127</v>
      </c>
      <c r="H2063" t="s">
        <v>10287</v>
      </c>
      <c r="I2063" t="s">
        <v>10253</v>
      </c>
      <c r="K2063" s="1073" t="s">
        <v>10288</v>
      </c>
      <c r="L2063" s="789" t="s">
        <v>10241</v>
      </c>
      <c r="M2063" s="790" t="str">
        <f t="shared" si="102"/>
        <v>406</v>
      </c>
      <c r="N2063" s="790" t="str">
        <f t="shared" si="103"/>
        <v>003</v>
      </c>
      <c r="O2063" s="799" t="s">
        <v>9883</v>
      </c>
      <c r="P2063" s="799" t="s">
        <v>10244</v>
      </c>
      <c r="R2063" s="30"/>
    </row>
    <row r="2064" spans="1:18">
      <c r="B2064" s="5" t="str">
        <f>Page5_BUI_VE!C11</f>
        <v>NE PAS UTILISER</v>
      </c>
      <c r="C2064" s="1038" t="str">
        <f>OR_VEH!D110</f>
        <v>407-003</v>
      </c>
      <c r="D2064" s="803">
        <f>Page5_BUI_VE!G11</f>
        <v>0</v>
      </c>
      <c r="E2064" s="803">
        <f>Page5_BUI_VE!L11</f>
        <v>0</v>
      </c>
      <c r="F2064" t="str">
        <f t="shared" si="101"/>
        <v>01-00-407-003-SALES-CURR</v>
      </c>
      <c r="G2064" t="s">
        <v>127</v>
      </c>
      <c r="H2064" t="s">
        <v>10287</v>
      </c>
      <c r="I2064" t="s">
        <v>10253</v>
      </c>
      <c r="K2064" s="1073" t="s">
        <v>10288</v>
      </c>
      <c r="L2064" s="789" t="s">
        <v>10241</v>
      </c>
      <c r="M2064" s="790" t="str">
        <f t="shared" si="102"/>
        <v>407</v>
      </c>
      <c r="N2064" s="790" t="str">
        <f t="shared" si="103"/>
        <v>003</v>
      </c>
      <c r="O2064" s="799" t="s">
        <v>9883</v>
      </c>
      <c r="P2064" s="799" t="s">
        <v>10244</v>
      </c>
      <c r="R2064" s="30"/>
    </row>
    <row r="2065" spans="2:18">
      <c r="B2065" s="5" t="str">
        <f>Page5_BUI_VE!C12</f>
        <v>NE PAS UTILISER</v>
      </c>
      <c r="C2065" s="1038" t="str">
        <f>OR_VEH!D111</f>
        <v>408-003</v>
      </c>
      <c r="D2065" s="803">
        <f>Page5_BUI_VE!G12</f>
        <v>0</v>
      </c>
      <c r="E2065" s="803">
        <f>Page5_BUI_VE!L12</f>
        <v>0</v>
      </c>
      <c r="F2065" t="str">
        <f t="shared" si="101"/>
        <v>01-00-408-003-SALES-CURR</v>
      </c>
      <c r="G2065" t="s">
        <v>127</v>
      </c>
      <c r="H2065" t="s">
        <v>10287</v>
      </c>
      <c r="I2065" t="s">
        <v>10253</v>
      </c>
      <c r="K2065" s="1073" t="s">
        <v>10288</v>
      </c>
      <c r="L2065" s="789" t="s">
        <v>10241</v>
      </c>
      <c r="M2065" s="790" t="str">
        <f t="shared" si="102"/>
        <v>408</v>
      </c>
      <c r="N2065" s="790" t="str">
        <f t="shared" si="103"/>
        <v>003</v>
      </c>
      <c r="O2065" s="799" t="s">
        <v>9883</v>
      </c>
      <c r="P2065" s="799" t="s">
        <v>10244</v>
      </c>
      <c r="R2065" s="30"/>
    </row>
    <row r="2066" spans="2:18">
      <c r="B2066" s="5" t="str">
        <f>Page5_BUI_VE!C13</f>
        <v>NE PAS UTILISER</v>
      </c>
      <c r="C2066" s="1038" t="str">
        <f>OR_VEH!D112</f>
        <v>409-003</v>
      </c>
      <c r="D2066" s="803">
        <f>Page5_BUI_VE!G13</f>
        <v>0</v>
      </c>
      <c r="E2066" s="803">
        <f>Page5_BUI_VE!L13</f>
        <v>0</v>
      </c>
      <c r="F2066" t="str">
        <f t="shared" si="101"/>
        <v>01-00-409-003-SALES-CURR</v>
      </c>
      <c r="G2066" t="s">
        <v>127</v>
      </c>
      <c r="H2066" t="s">
        <v>10287</v>
      </c>
      <c r="I2066" t="s">
        <v>10253</v>
      </c>
      <c r="K2066" s="1073" t="s">
        <v>10288</v>
      </c>
      <c r="L2066" s="789" t="s">
        <v>10241</v>
      </c>
      <c r="M2066" s="790" t="str">
        <f t="shared" si="102"/>
        <v>409</v>
      </c>
      <c r="N2066" s="790" t="str">
        <f t="shared" si="103"/>
        <v>003</v>
      </c>
      <c r="O2066" s="799" t="s">
        <v>9883</v>
      </c>
      <c r="P2066" s="799" t="s">
        <v>10244</v>
      </c>
      <c r="R2066" s="30"/>
    </row>
    <row r="2067" spans="2:18">
      <c r="B2067" s="5" t="str">
        <f>Page5_BUI_VE!C14</f>
        <v>NE PAS UTILISER</v>
      </c>
      <c r="C2067" s="1038" t="str">
        <f>OR_VEH!D113</f>
        <v>410-003</v>
      </c>
      <c r="D2067" s="803">
        <f>Page5_BUI_VE!G14</f>
        <v>0</v>
      </c>
      <c r="E2067" s="803">
        <f>Page5_BUI_VE!L14</f>
        <v>0</v>
      </c>
      <c r="F2067" t="str">
        <f t="shared" si="101"/>
        <v>01-00-410-003-SALES-CURR</v>
      </c>
      <c r="G2067" t="s">
        <v>127</v>
      </c>
      <c r="H2067" t="s">
        <v>10287</v>
      </c>
      <c r="I2067" t="s">
        <v>10253</v>
      </c>
      <c r="K2067" s="1073" t="s">
        <v>10288</v>
      </c>
      <c r="L2067" s="789" t="s">
        <v>10241</v>
      </c>
      <c r="M2067" s="790" t="str">
        <f t="shared" si="102"/>
        <v>410</v>
      </c>
      <c r="N2067" s="790" t="str">
        <f t="shared" si="103"/>
        <v>003</v>
      </c>
      <c r="O2067" s="799" t="s">
        <v>9883</v>
      </c>
      <c r="P2067" s="799" t="s">
        <v>10244</v>
      </c>
      <c r="R2067" s="30"/>
    </row>
    <row r="2068" spans="2:18">
      <c r="B2068" s="5" t="str">
        <f>Page5_BUI_VE!C15</f>
        <v>NE PAS UTILISER</v>
      </c>
      <c r="C2068" s="1038" t="str">
        <f>OR_VEH!D114</f>
        <v>411-003</v>
      </c>
      <c r="D2068" s="803">
        <f>Page5_BUI_VE!G15</f>
        <v>0</v>
      </c>
      <c r="E2068" s="803">
        <f>Page5_BUI_VE!L15</f>
        <v>0</v>
      </c>
      <c r="F2068" t="str">
        <f t="shared" si="101"/>
        <v>01-00-411-003-SALES-CURR</v>
      </c>
      <c r="G2068" t="s">
        <v>127</v>
      </c>
      <c r="H2068" t="s">
        <v>10287</v>
      </c>
      <c r="I2068" t="s">
        <v>10253</v>
      </c>
      <c r="K2068" s="1073" t="s">
        <v>10288</v>
      </c>
      <c r="L2068" s="789" t="s">
        <v>10241</v>
      </c>
      <c r="M2068" s="790" t="str">
        <f t="shared" si="102"/>
        <v>411</v>
      </c>
      <c r="N2068" s="790" t="str">
        <f t="shared" si="103"/>
        <v>003</v>
      </c>
      <c r="O2068" s="790" t="s">
        <v>9883</v>
      </c>
      <c r="P2068" s="790" t="s">
        <v>10244</v>
      </c>
      <c r="R2068" s="30"/>
    </row>
    <row r="2069" spans="2:18">
      <c r="B2069" s="5" t="str">
        <f>Page5_BUI_VE!C16</f>
        <v>NE PAS UTILISER</v>
      </c>
      <c r="C2069" s="1038" t="str">
        <f>OR_VEH!D115</f>
        <v>412-003</v>
      </c>
      <c r="D2069" s="803">
        <f>Page5_BUI_VE!G16</f>
        <v>0</v>
      </c>
      <c r="E2069" s="803">
        <f>Page5_BUI_VE!L16</f>
        <v>0</v>
      </c>
      <c r="F2069" t="str">
        <f t="shared" si="101"/>
        <v>01-00-412-003-SALES-CURR</v>
      </c>
      <c r="G2069" t="s">
        <v>127</v>
      </c>
      <c r="H2069" t="s">
        <v>10287</v>
      </c>
      <c r="I2069" t="s">
        <v>10253</v>
      </c>
      <c r="K2069" s="1073" t="s">
        <v>10288</v>
      </c>
      <c r="L2069" s="789" t="s">
        <v>10241</v>
      </c>
      <c r="M2069" s="790" t="str">
        <f t="shared" si="102"/>
        <v>412</v>
      </c>
      <c r="N2069" s="790" t="str">
        <f t="shared" si="103"/>
        <v>003</v>
      </c>
      <c r="O2069" s="790" t="s">
        <v>9883</v>
      </c>
      <c r="P2069" s="790" t="s">
        <v>10244</v>
      </c>
      <c r="R2069" s="30"/>
    </row>
    <row r="2070" spans="2:18">
      <c r="B2070" s="5" t="str">
        <f>Page5_BUI_VE!C17</f>
        <v>NE PAS UTILISER</v>
      </c>
      <c r="C2070" s="1038" t="str">
        <f>OR_VEH!D116</f>
        <v>413-003</v>
      </c>
      <c r="D2070" s="803">
        <f>Page5_BUI_VE!G17</f>
        <v>0</v>
      </c>
      <c r="E2070" s="803">
        <f>Page5_BUI_VE!L17</f>
        <v>0</v>
      </c>
      <c r="F2070" t="str">
        <f t="shared" si="101"/>
        <v>01-00-413-003-SALES-CURR</v>
      </c>
      <c r="G2070" t="s">
        <v>127</v>
      </c>
      <c r="H2070" t="s">
        <v>10287</v>
      </c>
      <c r="I2070" t="s">
        <v>10253</v>
      </c>
      <c r="K2070" s="1073" t="s">
        <v>10288</v>
      </c>
      <c r="L2070" s="789" t="s">
        <v>10241</v>
      </c>
      <c r="M2070" s="790" t="str">
        <f t="shared" si="102"/>
        <v>413</v>
      </c>
      <c r="N2070" s="790" t="str">
        <f t="shared" si="103"/>
        <v>003</v>
      </c>
      <c r="O2070" s="790" t="s">
        <v>9883</v>
      </c>
      <c r="P2070" s="790" t="s">
        <v>10244</v>
      </c>
      <c r="R2070" s="30"/>
    </row>
    <row r="2071" spans="2:18">
      <c r="B2071" s="5" t="str">
        <f>Page5_BUI_VE!C18</f>
        <v>NE PAS UTILISER</v>
      </c>
      <c r="C2071" s="1038" t="str">
        <f>OR_VEH!D117</f>
        <v>414-003</v>
      </c>
      <c r="D2071" s="803">
        <f>Page5_BUI_VE!G18</f>
        <v>0</v>
      </c>
      <c r="E2071" s="803">
        <f>Page5_BUI_VE!L18</f>
        <v>0</v>
      </c>
      <c r="F2071" t="str">
        <f t="shared" si="101"/>
        <v>01-00-414-003-SALES-CURR</v>
      </c>
      <c r="G2071" t="s">
        <v>127</v>
      </c>
      <c r="H2071" t="s">
        <v>10287</v>
      </c>
      <c r="I2071" t="s">
        <v>10253</v>
      </c>
      <c r="K2071" s="1073" t="s">
        <v>10288</v>
      </c>
      <c r="L2071" s="789" t="s">
        <v>10241</v>
      </c>
      <c r="M2071" s="790" t="str">
        <f t="shared" si="102"/>
        <v>414</v>
      </c>
      <c r="N2071" s="790" t="str">
        <f t="shared" si="103"/>
        <v>003</v>
      </c>
      <c r="O2071" s="790" t="s">
        <v>9883</v>
      </c>
      <c r="P2071" s="790" t="s">
        <v>10244</v>
      </c>
      <c r="R2071" s="30"/>
    </row>
    <row r="2072" spans="2:18">
      <c r="B2072" s="5" t="str">
        <f>Page5_BUI_VE!C19</f>
        <v>NE PAS UTILISER</v>
      </c>
      <c r="C2072" s="1038" t="str">
        <f>OR_VEH!D118</f>
        <v>415-003</v>
      </c>
      <c r="D2072" s="803">
        <f>Page5_BUI_VE!G19</f>
        <v>0</v>
      </c>
      <c r="E2072" s="803">
        <f>Page5_BUI_VE!L19</f>
        <v>0</v>
      </c>
      <c r="F2072" t="str">
        <f t="shared" si="101"/>
        <v>01-00-415-003-SALES-CURR</v>
      </c>
      <c r="G2072" t="s">
        <v>127</v>
      </c>
      <c r="H2072" t="s">
        <v>10287</v>
      </c>
      <c r="I2072" t="s">
        <v>10253</v>
      </c>
      <c r="K2072" s="1073" t="s">
        <v>10288</v>
      </c>
      <c r="L2072" s="789" t="s">
        <v>10241</v>
      </c>
      <c r="M2072" s="790" t="str">
        <f t="shared" si="102"/>
        <v>415</v>
      </c>
      <c r="N2072" s="790" t="str">
        <f t="shared" si="103"/>
        <v>003</v>
      </c>
      <c r="O2072" s="790" t="s">
        <v>9883</v>
      </c>
      <c r="P2072" s="790" t="s">
        <v>10244</v>
      </c>
      <c r="R2072" s="30"/>
    </row>
    <row r="2073" spans="2:18">
      <c r="B2073" s="5" t="str">
        <f>Page5_BUI_VE!C20</f>
        <v>NE PAS UTILISER</v>
      </c>
      <c r="C2073" s="1038" t="str">
        <f>OR_VEH!D119</f>
        <v>416-003</v>
      </c>
      <c r="D2073" s="803">
        <f>Page5_BUI_VE!G20</f>
        <v>0</v>
      </c>
      <c r="E2073" s="803">
        <f>Page5_BUI_VE!L20</f>
        <v>0</v>
      </c>
      <c r="F2073" t="str">
        <f t="shared" si="101"/>
        <v>01-00-416-003-SALES-CURR</v>
      </c>
      <c r="G2073" t="s">
        <v>127</v>
      </c>
      <c r="H2073" t="s">
        <v>10287</v>
      </c>
      <c r="I2073" t="s">
        <v>10253</v>
      </c>
      <c r="K2073" s="1073" t="s">
        <v>10288</v>
      </c>
      <c r="L2073" s="789" t="s">
        <v>10241</v>
      </c>
      <c r="M2073" s="790" t="str">
        <f t="shared" si="102"/>
        <v>416</v>
      </c>
      <c r="N2073" s="790" t="str">
        <f t="shared" si="103"/>
        <v>003</v>
      </c>
      <c r="O2073" s="790" t="s">
        <v>9883</v>
      </c>
      <c r="P2073" s="790" t="s">
        <v>10244</v>
      </c>
      <c r="R2073" s="30"/>
    </row>
    <row r="2074" spans="2:18">
      <c r="B2074" s="5" t="str">
        <f>Page5_BUI_VE!C21</f>
        <v>NE PAS UTILISER</v>
      </c>
      <c r="C2074" s="1038" t="str">
        <f>OR_VEH!D120</f>
        <v>417-003</v>
      </c>
      <c r="D2074" s="803">
        <f>Page5_BUI_VE!G21</f>
        <v>0</v>
      </c>
      <c r="E2074" s="803">
        <f>Page5_BUI_VE!L21</f>
        <v>0</v>
      </c>
      <c r="F2074" t="str">
        <f t="shared" si="101"/>
        <v>01-00-417-003-SALES-CURR</v>
      </c>
      <c r="G2074" t="s">
        <v>127</v>
      </c>
      <c r="H2074" t="s">
        <v>10287</v>
      </c>
      <c r="I2074" t="s">
        <v>10253</v>
      </c>
      <c r="K2074" s="1073" t="s">
        <v>10288</v>
      </c>
      <c r="L2074" s="789" t="s">
        <v>10241</v>
      </c>
      <c r="M2074" s="790" t="str">
        <f t="shared" si="102"/>
        <v>417</v>
      </c>
      <c r="N2074" s="790" t="str">
        <f t="shared" si="103"/>
        <v>003</v>
      </c>
      <c r="O2074" s="790" t="s">
        <v>9883</v>
      </c>
      <c r="P2074" s="790" t="s">
        <v>10244</v>
      </c>
      <c r="R2074" s="30"/>
    </row>
    <row r="2075" spans="2:18">
      <c r="B2075" s="5" t="str">
        <f>Page5_BUI_VE!C22</f>
        <v>NE PAS UTILISER</v>
      </c>
      <c r="C2075" s="1038" t="str">
        <f>OR_VEH!D121</f>
        <v>418-003</v>
      </c>
      <c r="D2075" s="803">
        <f>Page5_BUI_VE!G22</f>
        <v>0</v>
      </c>
      <c r="E2075" s="803">
        <f>Page5_BUI_VE!L22</f>
        <v>0</v>
      </c>
      <c r="F2075" t="str">
        <f t="shared" si="101"/>
        <v>01-00-418-003-SALES-CURR</v>
      </c>
      <c r="G2075" t="s">
        <v>127</v>
      </c>
      <c r="H2075" t="s">
        <v>10287</v>
      </c>
      <c r="I2075" t="s">
        <v>10253</v>
      </c>
      <c r="K2075" s="1073" t="s">
        <v>10288</v>
      </c>
      <c r="L2075" s="789" t="s">
        <v>10241</v>
      </c>
      <c r="M2075" s="790" t="str">
        <f t="shared" si="102"/>
        <v>418</v>
      </c>
      <c r="N2075" s="790" t="str">
        <f t="shared" si="103"/>
        <v>003</v>
      </c>
      <c r="O2075" s="799" t="s">
        <v>9883</v>
      </c>
      <c r="P2075" s="799" t="s">
        <v>10244</v>
      </c>
      <c r="R2075" s="30"/>
    </row>
    <row r="2076" spans="2:18">
      <c r="B2076" s="27" t="s">
        <v>12145</v>
      </c>
      <c r="C2076" s="1042"/>
      <c r="D2076" s="803">
        <f>Page5_BUI_VE!G23</f>
        <v>0</v>
      </c>
      <c r="E2076" s="803">
        <f>Page5_BUI_VE!L23</f>
        <v>0</v>
      </c>
      <c r="F2076" t="str">
        <f t="shared" si="101"/>
        <v>01-00-RTLCAR5C-SALES-CURR</v>
      </c>
      <c r="G2076" t="s">
        <v>127</v>
      </c>
      <c r="H2076" t="s">
        <v>10287</v>
      </c>
      <c r="I2076" t="s">
        <v>10253</v>
      </c>
      <c r="J2076" t="s">
        <v>10268</v>
      </c>
      <c r="K2076" s="1073" t="s">
        <v>10288</v>
      </c>
      <c r="L2076" s="789" t="s">
        <v>10241</v>
      </c>
      <c r="M2076" s="790" t="s">
        <v>10312</v>
      </c>
      <c r="O2076" s="790" t="s">
        <v>9883</v>
      </c>
      <c r="P2076" s="790" t="s">
        <v>10244</v>
      </c>
      <c r="Q2076" s="791" t="s">
        <v>773</v>
      </c>
    </row>
    <row r="2077" spans="2:18">
      <c r="B2077" s="5" t="str">
        <f>Page5_BUI_VE!C24</f>
        <v>MÉMO* VENTES INTERNET VOITURES</v>
      </c>
      <c r="C2077" s="1038" t="str">
        <f>OR_VEH!D123</f>
        <v>419P5C</v>
      </c>
      <c r="D2077" s="803">
        <f>Page5_BUI_VE!G24</f>
        <v>0</v>
      </c>
      <c r="E2077" s="803">
        <f>Page5_BUI_VE!L24</f>
        <v>0</v>
      </c>
      <c r="F2077" t="str">
        <f t="shared" si="101"/>
        <v>01-00-419P5C-SALES-CURR</v>
      </c>
      <c r="G2077" t="s">
        <v>127</v>
      </c>
      <c r="H2077" t="s">
        <v>10287</v>
      </c>
      <c r="I2077" t="s">
        <v>10253</v>
      </c>
      <c r="K2077" s="1073" t="s">
        <v>10288</v>
      </c>
      <c r="L2077" s="789" t="s">
        <v>10241</v>
      </c>
      <c r="M2077" s="855" t="str">
        <f>C2077</f>
        <v>419P5C</v>
      </c>
      <c r="N2077" s="855"/>
      <c r="O2077" s="790" t="s">
        <v>9883</v>
      </c>
      <c r="P2077" s="790" t="s">
        <v>10244</v>
      </c>
      <c r="R2077" s="30"/>
    </row>
    <row r="2078" spans="2:18">
      <c r="B2078" s="5" t="str">
        <f>Page5_BUI_VE!C25</f>
        <v>TOTAL PARCS - VOITURES</v>
      </c>
      <c r="C2078" s="1038" t="str">
        <f>OR_VEH!D124</f>
        <v>420P5C</v>
      </c>
      <c r="D2078" s="803">
        <f>Page5_BUI_VE!G25</f>
        <v>0</v>
      </c>
      <c r="E2078" s="803">
        <f>Page5_BUI_VE!L25</f>
        <v>0</v>
      </c>
      <c r="F2078" t="str">
        <f t="shared" si="101"/>
        <v>01-00-420P5C-SALES-CURR</v>
      </c>
      <c r="G2078" t="s">
        <v>127</v>
      </c>
      <c r="H2078" t="s">
        <v>10287</v>
      </c>
      <c r="I2078" t="s">
        <v>10253</v>
      </c>
      <c r="K2078" s="1073" t="s">
        <v>10288</v>
      </c>
      <c r="L2078" s="789" t="s">
        <v>10241</v>
      </c>
      <c r="M2078" s="855" t="str">
        <f>C2078</f>
        <v>420P5C</v>
      </c>
      <c r="N2078" s="855"/>
      <c r="O2078" s="799" t="s">
        <v>9883</v>
      </c>
      <c r="P2078" s="799" t="s">
        <v>10244</v>
      </c>
      <c r="R2078" s="30"/>
    </row>
    <row r="2079" spans="2:18">
      <c r="B2079" s="5" t="str">
        <f>Page5_BUI_VE!C26</f>
        <v>TOTAL INTERNE - VOITURES</v>
      </c>
      <c r="C2079" s="1038" t="str">
        <f>OR_VEH!D125</f>
        <v>421P5C</v>
      </c>
      <c r="D2079" s="803">
        <f>Page5_BUI_VE!G26</f>
        <v>0</v>
      </c>
      <c r="E2079" s="803">
        <f>Page5_BUI_VE!L26</f>
        <v>0</v>
      </c>
      <c r="F2079" t="str">
        <f t="shared" si="101"/>
        <v>01-00-421P5C-SALES-CURR</v>
      </c>
      <c r="G2079" t="s">
        <v>127</v>
      </c>
      <c r="H2079" t="s">
        <v>10287</v>
      </c>
      <c r="I2079" t="s">
        <v>10253</v>
      </c>
      <c r="K2079" s="1073" t="s">
        <v>10288</v>
      </c>
      <c r="L2079" s="789" t="s">
        <v>10241</v>
      </c>
      <c r="M2079" s="855" t="str">
        <f>C2079</f>
        <v>421P5C</v>
      </c>
      <c r="N2079" s="855"/>
      <c r="O2079" s="799" t="s">
        <v>9883</v>
      </c>
      <c r="P2079" s="799" t="s">
        <v>10244</v>
      </c>
      <c r="R2079" s="30"/>
    </row>
    <row r="2080" spans="2:18">
      <c r="B2080" s="27" t="s">
        <v>12146</v>
      </c>
      <c r="C2080" s="1042"/>
      <c r="D2080" s="803">
        <f>Page5_BUI_VE!G27</f>
        <v>0</v>
      </c>
      <c r="E2080" s="803">
        <f>Page5_BUI_VE!L27</f>
        <v>0</v>
      </c>
      <c r="F2080" t="str">
        <f t="shared" si="101"/>
        <v>01-00-TOTCAR5C-SALES-CURR</v>
      </c>
      <c r="G2080" t="s">
        <v>127</v>
      </c>
      <c r="H2080" t="s">
        <v>10287</v>
      </c>
      <c r="I2080" t="s">
        <v>10253</v>
      </c>
      <c r="J2080" t="s">
        <v>10268</v>
      </c>
      <c r="K2080" s="1073" t="s">
        <v>10288</v>
      </c>
      <c r="L2080" s="789" t="s">
        <v>10241</v>
      </c>
      <c r="M2080" s="790" t="s">
        <v>10314</v>
      </c>
      <c r="O2080" s="790" t="s">
        <v>9883</v>
      </c>
      <c r="P2080" s="790" t="s">
        <v>10244</v>
      </c>
      <c r="Q2080" s="791" t="s">
        <v>773</v>
      </c>
    </row>
    <row r="2081" spans="2:18">
      <c r="B2081" s="5" t="str">
        <f>Page5_BUI_VE!C28</f>
        <v>NE PAS UTILISER</v>
      </c>
      <c r="C2081" s="1038" t="str">
        <f>OR_VEH!D127</f>
        <v>423-003</v>
      </c>
      <c r="D2081" s="803">
        <f>Page5_BUI_VE!G28</f>
        <v>0</v>
      </c>
      <c r="E2081" s="803">
        <f>Page5_BUI_VE!L28</f>
        <v>0</v>
      </c>
      <c r="F2081" t="str">
        <f t="shared" si="101"/>
        <v>01-00-423-003-SALES-CURR</v>
      </c>
      <c r="G2081" t="s">
        <v>127</v>
      </c>
      <c r="H2081" t="s">
        <v>10287</v>
      </c>
      <c r="I2081" t="s">
        <v>10253</v>
      </c>
      <c r="K2081" s="1073" t="s">
        <v>10288</v>
      </c>
      <c r="L2081" s="789" t="s">
        <v>10241</v>
      </c>
      <c r="M2081" s="790" t="str">
        <f t="shared" ref="M2081:M2096" si="104">LEFT(C2081,3)</f>
        <v>423</v>
      </c>
      <c r="N2081" s="790" t="str">
        <f t="shared" ref="N2081:N2096" si="105">RIGHT(C2081,3)</f>
        <v>003</v>
      </c>
      <c r="O2081" s="790" t="s">
        <v>9883</v>
      </c>
      <c r="P2081" s="790" t="s">
        <v>10244</v>
      </c>
      <c r="R2081" s="30"/>
    </row>
    <row r="2082" spans="2:18">
      <c r="B2082" s="5" t="str">
        <f>Page5_BUI_VE!C29</f>
        <v>NE PAS UTILISER</v>
      </c>
      <c r="C2082" s="1038" t="str">
        <f>OR_VEH!D128</f>
        <v>424-003</v>
      </c>
      <c r="D2082" s="803">
        <f>Page5_BUI_VE!G29</f>
        <v>0</v>
      </c>
      <c r="E2082" s="803">
        <f>Page5_BUI_VE!L29</f>
        <v>0</v>
      </c>
      <c r="F2082" t="str">
        <f t="shared" si="101"/>
        <v>01-00-424-003-SALES-CURR</v>
      </c>
      <c r="G2082" t="s">
        <v>127</v>
      </c>
      <c r="H2082" t="s">
        <v>10287</v>
      </c>
      <c r="I2082" t="s">
        <v>10253</v>
      </c>
      <c r="K2082" s="1073" t="s">
        <v>10288</v>
      </c>
      <c r="L2082" s="789" t="s">
        <v>10241</v>
      </c>
      <c r="M2082" s="790" t="str">
        <f t="shared" si="104"/>
        <v>424</v>
      </c>
      <c r="N2082" s="790" t="str">
        <f t="shared" si="105"/>
        <v>003</v>
      </c>
      <c r="O2082" s="790" t="s">
        <v>9883</v>
      </c>
      <c r="P2082" s="790" t="s">
        <v>10244</v>
      </c>
      <c r="R2082" s="30"/>
    </row>
    <row r="2083" spans="2:18">
      <c r="B2083" s="5" t="str">
        <f>Page5_BUI_VE!C30</f>
        <v>NE PAS UTILISER</v>
      </c>
      <c r="C2083" s="1038" t="str">
        <f>OR_VEH!D129</f>
        <v>425-003</v>
      </c>
      <c r="D2083" s="803">
        <f>Page5_BUI_VE!G30</f>
        <v>0</v>
      </c>
      <c r="E2083" s="803">
        <f>Page5_BUI_VE!L30</f>
        <v>0</v>
      </c>
      <c r="F2083" t="str">
        <f t="shared" si="101"/>
        <v>01-00-425-003-SALES-CURR</v>
      </c>
      <c r="G2083" t="s">
        <v>127</v>
      </c>
      <c r="H2083" t="s">
        <v>10287</v>
      </c>
      <c r="I2083" t="s">
        <v>10253</v>
      </c>
      <c r="K2083" s="1073" t="s">
        <v>10288</v>
      </c>
      <c r="L2083" s="789" t="s">
        <v>10241</v>
      </c>
      <c r="M2083" s="790" t="str">
        <f t="shared" si="104"/>
        <v>425</v>
      </c>
      <c r="N2083" s="790" t="str">
        <f t="shared" si="105"/>
        <v>003</v>
      </c>
      <c r="O2083" s="790" t="s">
        <v>9883</v>
      </c>
      <c r="P2083" s="790" t="s">
        <v>10244</v>
      </c>
      <c r="R2083" s="30"/>
    </row>
    <row r="2084" spans="2:18">
      <c r="B2084" s="5" t="str">
        <f>Page5_BUI_VE!C31</f>
        <v>NE PAS UTILISER</v>
      </c>
      <c r="C2084" s="1038" t="str">
        <f>OR_VEH!D130</f>
        <v>426-003</v>
      </c>
      <c r="D2084" s="803">
        <f>Page5_BUI_VE!G31</f>
        <v>0</v>
      </c>
      <c r="E2084" s="803">
        <f>Page5_BUI_VE!L31</f>
        <v>0</v>
      </c>
      <c r="F2084" t="str">
        <f t="shared" si="101"/>
        <v>01-00-426-003-SALES-CURR</v>
      </c>
      <c r="G2084" t="s">
        <v>127</v>
      </c>
      <c r="H2084" t="s">
        <v>10287</v>
      </c>
      <c r="I2084" t="s">
        <v>10253</v>
      </c>
      <c r="K2084" s="1073" t="s">
        <v>10288</v>
      </c>
      <c r="L2084" s="789" t="s">
        <v>10241</v>
      </c>
      <c r="M2084" s="790" t="str">
        <f t="shared" si="104"/>
        <v>426</v>
      </c>
      <c r="N2084" s="790" t="str">
        <f t="shared" si="105"/>
        <v>003</v>
      </c>
      <c r="O2084" s="790" t="s">
        <v>9883</v>
      </c>
      <c r="P2084" s="790" t="s">
        <v>10244</v>
      </c>
      <c r="R2084" s="30"/>
    </row>
    <row r="2085" spans="2:18">
      <c r="B2085" s="5" t="str">
        <f>Page5_BUI_VE!C32</f>
        <v>NE PAS UTILISER</v>
      </c>
      <c r="C2085" s="1038" t="str">
        <f>OR_VEH!D131</f>
        <v>427-003</v>
      </c>
      <c r="D2085" s="803">
        <f>Page5_BUI_VE!G32</f>
        <v>0</v>
      </c>
      <c r="E2085" s="803">
        <f>Page5_BUI_VE!L32</f>
        <v>0</v>
      </c>
      <c r="F2085" t="str">
        <f t="shared" si="101"/>
        <v>01-00-427-003-SALES-CURR</v>
      </c>
      <c r="G2085" t="s">
        <v>127</v>
      </c>
      <c r="H2085" t="s">
        <v>10287</v>
      </c>
      <c r="I2085" t="s">
        <v>10253</v>
      </c>
      <c r="K2085" s="1073" t="s">
        <v>10288</v>
      </c>
      <c r="L2085" s="789" t="s">
        <v>10241</v>
      </c>
      <c r="M2085" s="790" t="str">
        <f t="shared" si="104"/>
        <v>427</v>
      </c>
      <c r="N2085" s="790" t="str">
        <f t="shared" si="105"/>
        <v>003</v>
      </c>
      <c r="O2085" s="790" t="s">
        <v>9883</v>
      </c>
      <c r="P2085" s="790" t="s">
        <v>10244</v>
      </c>
      <c r="R2085" s="30"/>
    </row>
    <row r="2086" spans="2:18">
      <c r="B2086" s="5" t="str">
        <f>Page5_BUI_VE!C33</f>
        <v>NE PAS UTILISER</v>
      </c>
      <c r="C2086" s="1038" t="str">
        <f>OR_VEH!D132</f>
        <v>428-003</v>
      </c>
      <c r="D2086" s="803">
        <f>Page5_BUI_VE!G33</f>
        <v>0</v>
      </c>
      <c r="E2086" s="803">
        <f>Page5_BUI_VE!L33</f>
        <v>0</v>
      </c>
      <c r="F2086" t="str">
        <f t="shared" si="101"/>
        <v>01-00-428-003-SALES-CURR</v>
      </c>
      <c r="G2086" t="s">
        <v>127</v>
      </c>
      <c r="H2086" t="s">
        <v>10287</v>
      </c>
      <c r="I2086" t="s">
        <v>10253</v>
      </c>
      <c r="K2086" s="1073" t="s">
        <v>10288</v>
      </c>
      <c r="L2086" s="789" t="s">
        <v>10241</v>
      </c>
      <c r="M2086" s="790" t="str">
        <f t="shared" si="104"/>
        <v>428</v>
      </c>
      <c r="N2086" s="790" t="str">
        <f t="shared" si="105"/>
        <v>003</v>
      </c>
      <c r="O2086" s="790" t="s">
        <v>9883</v>
      </c>
      <c r="P2086" s="790" t="s">
        <v>10244</v>
      </c>
      <c r="R2086" s="30"/>
    </row>
    <row r="2087" spans="2:18">
      <c r="B2087" s="5" t="str">
        <f>Page5_BUI_VE!C34</f>
        <v>NE PAS UTILISER</v>
      </c>
      <c r="C2087" s="1038" t="str">
        <f>OR_VEH!D133</f>
        <v>429-003</v>
      </c>
      <c r="D2087" s="803">
        <f>Page5_BUI_VE!G34</f>
        <v>0</v>
      </c>
      <c r="E2087" s="803">
        <f>Page5_BUI_VE!L34</f>
        <v>0</v>
      </c>
      <c r="F2087" t="str">
        <f t="shared" si="101"/>
        <v>01-00-429-003-SALES-CURR</v>
      </c>
      <c r="G2087" t="s">
        <v>127</v>
      </c>
      <c r="H2087" t="s">
        <v>10287</v>
      </c>
      <c r="I2087" t="s">
        <v>10253</v>
      </c>
      <c r="K2087" s="1073" t="s">
        <v>10288</v>
      </c>
      <c r="L2087" s="789" t="s">
        <v>10241</v>
      </c>
      <c r="M2087" s="790" t="str">
        <f t="shared" si="104"/>
        <v>429</v>
      </c>
      <c r="N2087" s="790" t="str">
        <f t="shared" si="105"/>
        <v>003</v>
      </c>
      <c r="O2087" s="790" t="s">
        <v>9883</v>
      </c>
      <c r="P2087" s="790" t="s">
        <v>10244</v>
      </c>
      <c r="R2087" s="30"/>
    </row>
    <row r="2088" spans="2:18">
      <c r="B2088" s="5" t="str">
        <f>Page5_BUI_VE!C35</f>
        <v>NE PAS UTILISER</v>
      </c>
      <c r="C2088" s="1038" t="str">
        <f>OR_VEH!D134</f>
        <v>430-003</v>
      </c>
      <c r="D2088" s="803">
        <f>Page5_BUI_VE!G35</f>
        <v>0</v>
      </c>
      <c r="E2088" s="803">
        <f>Page5_BUI_VE!L35</f>
        <v>0</v>
      </c>
      <c r="F2088" t="str">
        <f t="shared" si="101"/>
        <v>01-00-430-003-SALES-CURR</v>
      </c>
      <c r="G2088" t="s">
        <v>127</v>
      </c>
      <c r="H2088" t="s">
        <v>10287</v>
      </c>
      <c r="I2088" t="s">
        <v>10253</v>
      </c>
      <c r="K2088" s="1073" t="s">
        <v>10288</v>
      </c>
      <c r="L2088" s="789" t="s">
        <v>10241</v>
      </c>
      <c r="M2088" s="790" t="str">
        <f t="shared" si="104"/>
        <v>430</v>
      </c>
      <c r="N2088" s="790" t="str">
        <f t="shared" si="105"/>
        <v>003</v>
      </c>
      <c r="O2088" s="790" t="s">
        <v>9883</v>
      </c>
      <c r="P2088" s="790" t="s">
        <v>10244</v>
      </c>
      <c r="R2088" s="30"/>
    </row>
    <row r="2089" spans="2:18">
      <c r="B2089" s="5" t="str">
        <f>Page5_BUI_VE!C36</f>
        <v>NE PAS UTILISER</v>
      </c>
      <c r="C2089" s="1038" t="str">
        <f>OR_VEH!D135</f>
        <v>431-003</v>
      </c>
      <c r="D2089" s="803">
        <f>Page5_BUI_VE!G36</f>
        <v>0</v>
      </c>
      <c r="E2089" s="803">
        <f>Page5_BUI_VE!L36</f>
        <v>0</v>
      </c>
      <c r="F2089" t="str">
        <f t="shared" si="101"/>
        <v>01-00-431-003-SALES-CURR</v>
      </c>
      <c r="G2089" t="s">
        <v>127</v>
      </c>
      <c r="H2089" t="s">
        <v>10287</v>
      </c>
      <c r="I2089" t="s">
        <v>10253</v>
      </c>
      <c r="K2089" s="1073" t="s">
        <v>10288</v>
      </c>
      <c r="L2089" s="789" t="s">
        <v>10241</v>
      </c>
      <c r="M2089" s="790" t="str">
        <f t="shared" si="104"/>
        <v>431</v>
      </c>
      <c r="N2089" s="790" t="str">
        <f t="shared" si="105"/>
        <v>003</v>
      </c>
      <c r="O2089" s="790" t="s">
        <v>9883</v>
      </c>
      <c r="P2089" s="790" t="s">
        <v>10244</v>
      </c>
      <c r="R2089" s="30"/>
    </row>
    <row r="2090" spans="2:18">
      <c r="B2090" s="5" t="str">
        <f>Page5_BUI_VE!C37</f>
        <v>NE PAS UTILISER</v>
      </c>
      <c r="C2090" s="1038" t="str">
        <f>OR_VEH!D136</f>
        <v>432-003</v>
      </c>
      <c r="D2090" s="803">
        <f>Page5_BUI_VE!G37</f>
        <v>0</v>
      </c>
      <c r="E2090" s="803">
        <f>Page5_BUI_VE!L37</f>
        <v>0</v>
      </c>
      <c r="F2090" t="str">
        <f t="shared" si="101"/>
        <v>01-00-432-003-SALES-CURR</v>
      </c>
      <c r="G2090" t="s">
        <v>127</v>
      </c>
      <c r="H2090" t="s">
        <v>10287</v>
      </c>
      <c r="I2090" t="s">
        <v>10253</v>
      </c>
      <c r="K2090" s="1073" t="s">
        <v>10288</v>
      </c>
      <c r="L2090" s="789" t="s">
        <v>10241</v>
      </c>
      <c r="M2090" s="790" t="str">
        <f t="shared" si="104"/>
        <v>432</v>
      </c>
      <c r="N2090" s="790" t="str">
        <f t="shared" si="105"/>
        <v>003</v>
      </c>
      <c r="O2090" s="790" t="s">
        <v>9883</v>
      </c>
      <c r="P2090" s="790" t="s">
        <v>10244</v>
      </c>
      <c r="R2090" s="30"/>
    </row>
    <row r="2091" spans="2:18">
      <c r="B2091" s="5" t="str">
        <f>Page5_BUI_VE!C38</f>
        <v>NE PAS UTILISER</v>
      </c>
      <c r="C2091" s="1038" t="str">
        <f>OR_VEH!D137</f>
        <v>433-003</v>
      </c>
      <c r="D2091" s="803">
        <f>Page5_BUI_VE!G38</f>
        <v>0</v>
      </c>
      <c r="E2091" s="803">
        <f>Page5_BUI_VE!L38</f>
        <v>0</v>
      </c>
      <c r="F2091" t="str">
        <f t="shared" si="101"/>
        <v>01-00-433-003-SALES-CURR</v>
      </c>
      <c r="G2091" t="s">
        <v>127</v>
      </c>
      <c r="H2091" t="s">
        <v>10287</v>
      </c>
      <c r="I2091" t="s">
        <v>10253</v>
      </c>
      <c r="K2091" s="1073" t="s">
        <v>10288</v>
      </c>
      <c r="L2091" s="789" t="s">
        <v>10241</v>
      </c>
      <c r="M2091" s="790" t="str">
        <f t="shared" si="104"/>
        <v>433</v>
      </c>
      <c r="N2091" s="790" t="str">
        <f t="shared" si="105"/>
        <v>003</v>
      </c>
      <c r="O2091" s="790" t="s">
        <v>9883</v>
      </c>
      <c r="P2091" s="790" t="s">
        <v>10244</v>
      </c>
      <c r="R2091" s="30"/>
    </row>
    <row r="2092" spans="2:18">
      <c r="B2092" s="5" t="str">
        <f>Page5_BUI_VE!C39</f>
        <v>NE PAS UTILISER</v>
      </c>
      <c r="C2092" s="1038" t="str">
        <f>OR_VEH!D138</f>
        <v>434-003</v>
      </c>
      <c r="D2092" s="803">
        <f>Page5_BUI_VE!G39</f>
        <v>0</v>
      </c>
      <c r="E2092" s="803">
        <f>Page5_BUI_VE!L39</f>
        <v>0</v>
      </c>
      <c r="F2092" t="str">
        <f t="shared" si="101"/>
        <v>01-00-434-003-SALES-CURR</v>
      </c>
      <c r="G2092" t="s">
        <v>127</v>
      </c>
      <c r="H2092" t="s">
        <v>10287</v>
      </c>
      <c r="I2092" t="s">
        <v>10253</v>
      </c>
      <c r="K2092" s="1073" t="s">
        <v>10288</v>
      </c>
      <c r="L2092" s="789" t="s">
        <v>10241</v>
      </c>
      <c r="M2092" s="790" t="str">
        <f t="shared" si="104"/>
        <v>434</v>
      </c>
      <c r="N2092" s="790" t="str">
        <f t="shared" si="105"/>
        <v>003</v>
      </c>
      <c r="O2092" s="790" t="s">
        <v>9883</v>
      </c>
      <c r="P2092" s="790" t="s">
        <v>10244</v>
      </c>
      <c r="R2092" s="30"/>
    </row>
    <row r="2093" spans="2:18">
      <c r="B2093" s="5" t="str">
        <f>Page5_BUI_VE!C40</f>
        <v>NE PAS UTILISER</v>
      </c>
      <c r="C2093" s="1038" t="str">
        <f>OR_VEH!D139</f>
        <v>435-003</v>
      </c>
      <c r="D2093" s="803">
        <f>Page5_BUI_VE!G40</f>
        <v>0</v>
      </c>
      <c r="E2093" s="803">
        <f>Page5_BUI_VE!L40</f>
        <v>0</v>
      </c>
      <c r="F2093" t="str">
        <f t="shared" si="101"/>
        <v>01-00-435-003-SALES-CURR</v>
      </c>
      <c r="G2093" t="s">
        <v>127</v>
      </c>
      <c r="H2093" t="s">
        <v>10287</v>
      </c>
      <c r="I2093" t="s">
        <v>10253</v>
      </c>
      <c r="K2093" s="1073" t="s">
        <v>10288</v>
      </c>
      <c r="L2093" s="789" t="s">
        <v>10241</v>
      </c>
      <c r="M2093" s="790" t="str">
        <f t="shared" si="104"/>
        <v>435</v>
      </c>
      <c r="N2093" s="790" t="str">
        <f t="shared" si="105"/>
        <v>003</v>
      </c>
      <c r="O2093" s="790" t="s">
        <v>9883</v>
      </c>
      <c r="P2093" s="790" t="s">
        <v>10244</v>
      </c>
      <c r="R2093" s="30"/>
    </row>
    <row r="2094" spans="2:18">
      <c r="B2094" s="5" t="str">
        <f>Page5_BUI_VE!C41</f>
        <v>NE PAS UTILISER</v>
      </c>
      <c r="C2094" s="1038" t="str">
        <f>OR_VEH!D140</f>
        <v>436-003</v>
      </c>
      <c r="D2094" s="803">
        <f>Page5_BUI_VE!G41</f>
        <v>0</v>
      </c>
      <c r="E2094" s="803">
        <f>Page5_BUI_VE!L41</f>
        <v>0</v>
      </c>
      <c r="F2094" t="str">
        <f t="shared" si="101"/>
        <v>01-00-436-003-SALES-CURR</v>
      </c>
      <c r="G2094" t="s">
        <v>127</v>
      </c>
      <c r="H2094" t="s">
        <v>10287</v>
      </c>
      <c r="I2094" t="s">
        <v>10253</v>
      </c>
      <c r="K2094" s="1073" t="s">
        <v>10288</v>
      </c>
      <c r="L2094" s="789" t="s">
        <v>10241</v>
      </c>
      <c r="M2094" s="790" t="str">
        <f t="shared" si="104"/>
        <v>436</v>
      </c>
      <c r="N2094" s="790" t="str">
        <f t="shared" si="105"/>
        <v>003</v>
      </c>
      <c r="O2094" s="790" t="s">
        <v>9883</v>
      </c>
      <c r="P2094" s="790" t="s">
        <v>10244</v>
      </c>
      <c r="R2094" s="30"/>
    </row>
    <row r="2095" spans="2:18">
      <c r="B2095" s="5" t="str">
        <f>Page5_BUI_VE!C42</f>
        <v>NE PAS UTILISER</v>
      </c>
      <c r="C2095" s="1038" t="str">
        <f>OR_VEH!D141</f>
        <v>437-003</v>
      </c>
      <c r="D2095" s="803">
        <f>Page5_BUI_VE!G42</f>
        <v>0</v>
      </c>
      <c r="E2095" s="803">
        <f>Page5_BUI_VE!L42</f>
        <v>0</v>
      </c>
      <c r="F2095" t="str">
        <f t="shared" si="101"/>
        <v>01-00-437-003-SALES-CURR</v>
      </c>
      <c r="G2095" t="s">
        <v>127</v>
      </c>
      <c r="H2095" t="s">
        <v>10287</v>
      </c>
      <c r="I2095" t="s">
        <v>10253</v>
      </c>
      <c r="K2095" s="1073" t="s">
        <v>10288</v>
      </c>
      <c r="L2095" s="789" t="s">
        <v>10241</v>
      </c>
      <c r="M2095" s="790" t="str">
        <f t="shared" si="104"/>
        <v>437</v>
      </c>
      <c r="N2095" s="790" t="str">
        <f t="shared" si="105"/>
        <v>003</v>
      </c>
      <c r="O2095" s="790" t="s">
        <v>9883</v>
      </c>
      <c r="P2095" s="790" t="s">
        <v>10244</v>
      </c>
      <c r="R2095" s="30"/>
    </row>
    <row r="2096" spans="2:18">
      <c r="B2096" s="5" t="str">
        <f>Page5_BUI_VE!C43</f>
        <v>NE PAS UTILISER</v>
      </c>
      <c r="C2096" s="1038" t="str">
        <f>OR_VEH!D142</f>
        <v>438-001</v>
      </c>
      <c r="D2096" s="803">
        <f>Page5_BUI_VE!G43</f>
        <v>0</v>
      </c>
      <c r="E2096" s="803">
        <f>Page5_BUI_VE!L43</f>
        <v>0</v>
      </c>
      <c r="F2096" t="str">
        <f t="shared" si="101"/>
        <v>01-00-438-001-SALES-CURR</v>
      </c>
      <c r="G2096" t="s">
        <v>127</v>
      </c>
      <c r="H2096" t="s">
        <v>10287</v>
      </c>
      <c r="I2096" t="s">
        <v>10253</v>
      </c>
      <c r="K2096" s="1073" t="s">
        <v>10288</v>
      </c>
      <c r="L2096" s="789" t="s">
        <v>10241</v>
      </c>
      <c r="M2096" s="790" t="str">
        <f t="shared" si="104"/>
        <v>438</v>
      </c>
      <c r="N2096" s="790" t="str">
        <f t="shared" si="105"/>
        <v>001</v>
      </c>
      <c r="O2096" s="790" t="s">
        <v>9883</v>
      </c>
      <c r="P2096" s="790" t="s">
        <v>10244</v>
      </c>
      <c r="R2096" s="30"/>
    </row>
    <row r="2097" spans="2:18">
      <c r="B2097" s="51" t="s">
        <v>12147</v>
      </c>
      <c r="C2097" s="1042"/>
      <c r="D2097" s="803">
        <f>Page5_BUI_VE!G44</f>
        <v>0</v>
      </c>
      <c r="E2097" s="803">
        <f>Page5_BUI_VE!L44</f>
        <v>0</v>
      </c>
      <c r="F2097" t="str">
        <f t="shared" si="101"/>
        <v>01-00-RTLTRK5C-SALES-CURR</v>
      </c>
      <c r="G2097" t="s">
        <v>127</v>
      </c>
      <c r="H2097" t="s">
        <v>10287</v>
      </c>
      <c r="I2097" t="s">
        <v>10253</v>
      </c>
      <c r="J2097" t="s">
        <v>10268</v>
      </c>
      <c r="K2097" s="1073" t="s">
        <v>10288</v>
      </c>
      <c r="L2097" s="789" t="s">
        <v>10241</v>
      </c>
      <c r="M2097" s="790" t="s">
        <v>10316</v>
      </c>
      <c r="O2097" s="790" t="s">
        <v>9883</v>
      </c>
      <c r="P2097" s="790" t="s">
        <v>10244</v>
      </c>
      <c r="Q2097" s="791" t="s">
        <v>773</v>
      </c>
    </row>
    <row r="2098" spans="2:18">
      <c r="B2098" s="5" t="str">
        <f>Page5_BUI_VE!C45</f>
        <v>MÉMO* VENTES INTERNET CAMIONS</v>
      </c>
      <c r="C2098" s="1038" t="str">
        <f>OR_VEH!D144</f>
        <v>439P5C</v>
      </c>
      <c r="D2098" s="803">
        <f>Page5_BUI_VE!G45</f>
        <v>0</v>
      </c>
      <c r="E2098" s="803">
        <f>Page5_BUI_VE!L45</f>
        <v>0</v>
      </c>
      <c r="F2098" t="str">
        <f t="shared" si="101"/>
        <v>01-00-439P5C-SALES-CURR</v>
      </c>
      <c r="G2098" t="s">
        <v>127</v>
      </c>
      <c r="H2098" t="s">
        <v>10287</v>
      </c>
      <c r="I2098" t="s">
        <v>10253</v>
      </c>
      <c r="K2098" s="1073" t="s">
        <v>10288</v>
      </c>
      <c r="L2098" s="789" t="s">
        <v>10241</v>
      </c>
      <c r="M2098" s="855" t="str">
        <f>C2098</f>
        <v>439P5C</v>
      </c>
      <c r="N2098" s="855"/>
      <c r="O2098" s="790" t="s">
        <v>9883</v>
      </c>
      <c r="P2098" s="790" t="s">
        <v>10244</v>
      </c>
      <c r="R2098" s="30"/>
    </row>
    <row r="2099" spans="2:18">
      <c r="B2099" s="5" t="str">
        <f>Page5_BUI_VE!C46</f>
        <v>TOTAL PARCS - CAMIONS</v>
      </c>
      <c r="C2099" s="1038" t="str">
        <f>OR_VEH!D145</f>
        <v>440P5C</v>
      </c>
      <c r="D2099" s="803">
        <f>Page5_BUI_VE!G46</f>
        <v>0</v>
      </c>
      <c r="E2099" s="803">
        <f>Page5_BUI_VE!L46</f>
        <v>0</v>
      </c>
      <c r="F2099" t="str">
        <f t="shared" si="101"/>
        <v>01-00-440P5C-SALES-CURR</v>
      </c>
      <c r="G2099" t="s">
        <v>127</v>
      </c>
      <c r="H2099" t="s">
        <v>10287</v>
      </c>
      <c r="I2099" t="s">
        <v>10253</v>
      </c>
      <c r="K2099" s="1073" t="s">
        <v>10288</v>
      </c>
      <c r="L2099" s="789" t="s">
        <v>10241</v>
      </c>
      <c r="M2099" s="855" t="str">
        <f>C2099</f>
        <v>440P5C</v>
      </c>
      <c r="N2099" s="855"/>
      <c r="O2099" s="790" t="s">
        <v>9883</v>
      </c>
      <c r="P2099" s="790" t="s">
        <v>10244</v>
      </c>
      <c r="R2099" s="30"/>
    </row>
    <row r="2100" spans="2:18">
      <c r="B2100" s="5" t="str">
        <f>Page5_BUI_VE!C47</f>
        <v xml:space="preserve">TOTAL IINTERNE - CAMIONS </v>
      </c>
      <c r="C2100" s="1038" t="str">
        <f>OR_VEH!D146</f>
        <v>441P5C</v>
      </c>
      <c r="D2100" s="803">
        <f>Page5_BUI_VE!G47</f>
        <v>0</v>
      </c>
      <c r="E2100" s="803">
        <f>Page5_BUI_VE!L47</f>
        <v>0</v>
      </c>
      <c r="F2100" t="str">
        <f t="shared" si="101"/>
        <v>01-00-441P5C-SALES-CURR</v>
      </c>
      <c r="G2100" t="s">
        <v>127</v>
      </c>
      <c r="H2100" t="s">
        <v>10287</v>
      </c>
      <c r="I2100" t="s">
        <v>10253</v>
      </c>
      <c r="K2100" s="1073" t="s">
        <v>10288</v>
      </c>
      <c r="L2100" s="789" t="s">
        <v>10241</v>
      </c>
      <c r="M2100" s="855" t="str">
        <f>C2100</f>
        <v>441P5C</v>
      </c>
      <c r="N2100" s="855"/>
      <c r="O2100" s="790" t="s">
        <v>9883</v>
      </c>
      <c r="P2100" s="790" t="s">
        <v>10244</v>
      </c>
      <c r="R2100" s="30"/>
    </row>
    <row r="2101" spans="2:18">
      <c r="B2101" s="27" t="s">
        <v>12148</v>
      </c>
      <c r="C2101" s="1042"/>
      <c r="D2101" s="803">
        <f>Page5_BUI_VE!G48</f>
        <v>0</v>
      </c>
      <c r="E2101" s="803">
        <f>Page5_BUI_VE!L48</f>
        <v>0</v>
      </c>
      <c r="F2101" t="str">
        <f t="shared" si="101"/>
        <v>01-00-TOTTRK5C-SALES-CURR</v>
      </c>
      <c r="G2101" t="s">
        <v>127</v>
      </c>
      <c r="H2101" t="s">
        <v>10287</v>
      </c>
      <c r="I2101" t="s">
        <v>10253</v>
      </c>
      <c r="J2101" t="s">
        <v>10268</v>
      </c>
      <c r="K2101" s="1073" t="s">
        <v>10288</v>
      </c>
      <c r="L2101" s="789" t="s">
        <v>10241</v>
      </c>
      <c r="M2101" s="790" t="s">
        <v>10318</v>
      </c>
      <c r="O2101" s="790" t="s">
        <v>9883</v>
      </c>
      <c r="P2101" s="790" t="s">
        <v>10244</v>
      </c>
      <c r="Q2101" s="791" t="s">
        <v>773</v>
      </c>
    </row>
    <row r="2102" spans="2:18">
      <c r="B2102" s="5" t="str">
        <f>Page5_BUI_VE!C50</f>
        <v>ACCESSOIRES</v>
      </c>
      <c r="C2102" s="1038" t="str">
        <f>OR_VEH!D149</f>
        <v>457P5C</v>
      </c>
      <c r="D2102" s="803">
        <f>Page5_BUI_VE!G50</f>
        <v>0</v>
      </c>
      <c r="E2102" s="803">
        <f>Page5_BUI_VE!L50</f>
        <v>0</v>
      </c>
      <c r="F2102" t="str">
        <f t="shared" ref="F2102:F2165" si="106">TEXT(K2102,"00")&amp;"-"&amp;L2102&amp;IF(M2102="","","-"&amp;M2102)&amp;IF(N2102="","","-"&amp;N2102)&amp;IF(OR(O2102="",O2102=0),"","-"&amp;O2102)&amp;IF(P2102="","","-"&amp;P2102)</f>
        <v>01-00-457P5C-SALES-CURR</v>
      </c>
      <c r="G2102" t="s">
        <v>127</v>
      </c>
      <c r="H2102" t="s">
        <v>10287</v>
      </c>
      <c r="I2102" t="s">
        <v>10253</v>
      </c>
      <c r="K2102" s="1073" t="s">
        <v>10288</v>
      </c>
      <c r="L2102" s="789" t="s">
        <v>10241</v>
      </c>
      <c r="M2102" s="855" t="str">
        <f>C2102</f>
        <v>457P5C</v>
      </c>
      <c r="N2102" s="855"/>
      <c r="O2102" s="790" t="s">
        <v>9883</v>
      </c>
      <c r="P2102" s="790" t="s">
        <v>10244</v>
      </c>
      <c r="R2102" s="30"/>
    </row>
    <row r="2103" spans="2:18">
      <c r="B2103" s="27" t="s">
        <v>12149</v>
      </c>
      <c r="C2103" s="1042"/>
      <c r="D2103" s="803">
        <f>Page5_BUI_VE!G51</f>
        <v>0</v>
      </c>
      <c r="E2103" s="803">
        <f>Page5_BUI_VE!L51</f>
        <v>0</v>
      </c>
      <c r="F2103" t="str">
        <f t="shared" si="106"/>
        <v>01-00-TOTVEH5C-SALES-CURR</v>
      </c>
      <c r="G2103" t="s">
        <v>127</v>
      </c>
      <c r="H2103" t="s">
        <v>10287</v>
      </c>
      <c r="I2103" t="s">
        <v>10253</v>
      </c>
      <c r="J2103" t="s">
        <v>10268</v>
      </c>
      <c r="K2103" s="1073" t="s">
        <v>10288</v>
      </c>
      <c r="L2103" s="789" t="s">
        <v>10241</v>
      </c>
      <c r="M2103" s="790" t="s">
        <v>10320</v>
      </c>
      <c r="O2103" s="790" t="s">
        <v>9883</v>
      </c>
      <c r="P2103" s="790" t="s">
        <v>10244</v>
      </c>
      <c r="Q2103" s="791" t="s">
        <v>773</v>
      </c>
    </row>
    <row r="2104" spans="2:18">
      <c r="B2104" s="5" t="str">
        <f>Page5_BUI_VE!C4</f>
        <v>NE PAS UTILISER</v>
      </c>
      <c r="C2104" s="1038" t="str">
        <f>OR_VEH!D103</f>
        <v>400-003</v>
      </c>
      <c r="D2104" s="803">
        <f>Page5_BUI_VE!I4</f>
        <v>0</v>
      </c>
      <c r="E2104" s="803">
        <f>Page5_BUI_VE!N4</f>
        <v>0</v>
      </c>
      <c r="F2104" t="str">
        <f t="shared" si="106"/>
        <v>01-00-400-003-GRSPFT-CURR</v>
      </c>
      <c r="G2104" t="s">
        <v>127</v>
      </c>
      <c r="H2104" t="s">
        <v>10287</v>
      </c>
      <c r="I2104" t="s">
        <v>10253</v>
      </c>
      <c r="K2104" s="1073" t="s">
        <v>10288</v>
      </c>
      <c r="L2104" s="789" t="s">
        <v>10241</v>
      </c>
      <c r="M2104" s="790" t="str">
        <f t="shared" ref="M2104:M2122" si="107">LEFT(C2104,3)</f>
        <v>400</v>
      </c>
      <c r="N2104" s="790" t="str">
        <f t="shared" ref="N2104:N2122" si="108">RIGHT(C2104,3)</f>
        <v>003</v>
      </c>
      <c r="O2104" s="799" t="s">
        <v>10467</v>
      </c>
      <c r="P2104" s="799" t="s">
        <v>10244</v>
      </c>
      <c r="R2104" s="30"/>
    </row>
    <row r="2105" spans="2:18">
      <c r="B2105" s="5" t="str">
        <f>Page5_BUI_VE!C5</f>
        <v>NE PAS UTILISER</v>
      </c>
      <c r="C2105" s="1038" t="str">
        <f>OR_VEH!D104</f>
        <v>401-003</v>
      </c>
      <c r="D2105" s="803">
        <f>Page5_BUI_VE!I5</f>
        <v>0</v>
      </c>
      <c r="E2105" s="803">
        <f>Page5_BUI_VE!N5</f>
        <v>0</v>
      </c>
      <c r="F2105" t="str">
        <f t="shared" si="106"/>
        <v>01-00-401-003-GRSPFT-CURR</v>
      </c>
      <c r="G2105" t="s">
        <v>127</v>
      </c>
      <c r="H2105" t="s">
        <v>10287</v>
      </c>
      <c r="I2105" t="s">
        <v>10253</v>
      </c>
      <c r="K2105" s="1073" t="s">
        <v>10288</v>
      </c>
      <c r="L2105" s="789" t="s">
        <v>10241</v>
      </c>
      <c r="M2105" s="790" t="str">
        <f t="shared" si="107"/>
        <v>401</v>
      </c>
      <c r="N2105" s="790" t="str">
        <f t="shared" si="108"/>
        <v>003</v>
      </c>
      <c r="O2105" s="799" t="s">
        <v>10467</v>
      </c>
      <c r="P2105" s="799" t="s">
        <v>10244</v>
      </c>
      <c r="R2105" s="30"/>
    </row>
    <row r="2106" spans="2:18">
      <c r="B2106" s="5" t="str">
        <f>Page5_BUI_VE!C6</f>
        <v>NE PAS UTILISER</v>
      </c>
      <c r="C2106" s="1038" t="str">
        <f>OR_VEH!D105</f>
        <v>402-003</v>
      </c>
      <c r="D2106" s="803">
        <f>Page5_BUI_VE!I6</f>
        <v>0</v>
      </c>
      <c r="E2106" s="803">
        <f>Page5_BUI_VE!N6</f>
        <v>0</v>
      </c>
      <c r="F2106" t="str">
        <f t="shared" si="106"/>
        <v>01-00-402-003-GRSPFT-CURR</v>
      </c>
      <c r="G2106" t="s">
        <v>127</v>
      </c>
      <c r="H2106" t="s">
        <v>10287</v>
      </c>
      <c r="I2106" t="s">
        <v>10253</v>
      </c>
      <c r="K2106" s="1073" t="s">
        <v>10288</v>
      </c>
      <c r="L2106" s="789" t="s">
        <v>10241</v>
      </c>
      <c r="M2106" s="790" t="str">
        <f t="shared" si="107"/>
        <v>402</v>
      </c>
      <c r="N2106" s="790" t="str">
        <f t="shared" si="108"/>
        <v>003</v>
      </c>
      <c r="O2106" s="799" t="s">
        <v>10467</v>
      </c>
      <c r="P2106" s="799" t="s">
        <v>10244</v>
      </c>
      <c r="R2106" s="30"/>
    </row>
    <row r="2107" spans="2:18">
      <c r="B2107" s="5" t="str">
        <f>Page5_BUI_VE!C7</f>
        <v>NE PAS UTILISER</v>
      </c>
      <c r="C2107" s="1038" t="str">
        <f>OR_VEH!D106</f>
        <v>403-003</v>
      </c>
      <c r="D2107" s="803">
        <f>Page5_BUI_VE!I7</f>
        <v>0</v>
      </c>
      <c r="E2107" s="803">
        <f>Page5_BUI_VE!N7</f>
        <v>0</v>
      </c>
      <c r="F2107" t="str">
        <f t="shared" si="106"/>
        <v>01-00-403-003-GRSPFT-CURR</v>
      </c>
      <c r="G2107" t="s">
        <v>127</v>
      </c>
      <c r="H2107" t="s">
        <v>10287</v>
      </c>
      <c r="I2107" t="s">
        <v>10253</v>
      </c>
      <c r="K2107" s="1073" t="s">
        <v>10288</v>
      </c>
      <c r="L2107" s="789" t="s">
        <v>10241</v>
      </c>
      <c r="M2107" s="790" t="str">
        <f t="shared" si="107"/>
        <v>403</v>
      </c>
      <c r="N2107" s="790" t="str">
        <f t="shared" si="108"/>
        <v>003</v>
      </c>
      <c r="O2107" s="799" t="s">
        <v>10467</v>
      </c>
      <c r="P2107" s="799" t="s">
        <v>10244</v>
      </c>
      <c r="R2107" s="30"/>
    </row>
    <row r="2108" spans="2:18">
      <c r="B2108" s="5" t="str">
        <f>Page5_BUI_VE!C8</f>
        <v>NE PAS UTILISER</v>
      </c>
      <c r="C2108" s="1038" t="str">
        <f>OR_VEH!D107</f>
        <v>404-003</v>
      </c>
      <c r="D2108" s="803">
        <f>Page5_BUI_VE!I8</f>
        <v>0</v>
      </c>
      <c r="E2108" s="803">
        <f>Page5_BUI_VE!N8</f>
        <v>0</v>
      </c>
      <c r="F2108" t="str">
        <f t="shared" si="106"/>
        <v>01-00-404-003-GRSPFT-CURR</v>
      </c>
      <c r="G2108" t="s">
        <v>127</v>
      </c>
      <c r="H2108" t="s">
        <v>10287</v>
      </c>
      <c r="I2108" t="s">
        <v>10253</v>
      </c>
      <c r="K2108" s="1073" t="s">
        <v>10288</v>
      </c>
      <c r="L2108" s="789" t="s">
        <v>10241</v>
      </c>
      <c r="M2108" s="790" t="str">
        <f t="shared" si="107"/>
        <v>404</v>
      </c>
      <c r="N2108" s="790" t="str">
        <f t="shared" si="108"/>
        <v>003</v>
      </c>
      <c r="O2108" s="799" t="s">
        <v>10467</v>
      </c>
      <c r="P2108" s="799" t="s">
        <v>10244</v>
      </c>
      <c r="R2108" s="30"/>
    </row>
    <row r="2109" spans="2:18">
      <c r="B2109" s="5" t="str">
        <f>Page5_BUI_VE!C9</f>
        <v>NE PAS UTILISER</v>
      </c>
      <c r="C2109" s="1038" t="str">
        <f>OR_VEH!D108</f>
        <v>405-003</v>
      </c>
      <c r="D2109" s="803">
        <f>Page5_BUI_VE!I9</f>
        <v>0</v>
      </c>
      <c r="E2109" s="803">
        <f>Page5_BUI_VE!N9</f>
        <v>0</v>
      </c>
      <c r="F2109" t="str">
        <f t="shared" si="106"/>
        <v>01-00-405-003-GRSPFT-CURR</v>
      </c>
      <c r="G2109" t="s">
        <v>127</v>
      </c>
      <c r="H2109" t="s">
        <v>10287</v>
      </c>
      <c r="I2109" t="s">
        <v>10253</v>
      </c>
      <c r="K2109" s="1073" t="s">
        <v>10288</v>
      </c>
      <c r="L2109" s="789" t="s">
        <v>10241</v>
      </c>
      <c r="M2109" s="790" t="str">
        <f t="shared" si="107"/>
        <v>405</v>
      </c>
      <c r="N2109" s="790" t="str">
        <f t="shared" si="108"/>
        <v>003</v>
      </c>
      <c r="O2109" s="799" t="s">
        <v>10467</v>
      </c>
      <c r="P2109" s="799" t="s">
        <v>10244</v>
      </c>
      <c r="R2109" s="30"/>
    </row>
    <row r="2110" spans="2:18">
      <c r="B2110" s="5" t="str">
        <f>Page5_BUI_VE!C10</f>
        <v>NE PAS UTILISER</v>
      </c>
      <c r="C2110" s="1038" t="str">
        <f>OR_VEH!D109</f>
        <v>406-003</v>
      </c>
      <c r="D2110" s="803">
        <f>Page5_BUI_VE!I10</f>
        <v>0</v>
      </c>
      <c r="E2110" s="803">
        <f>Page5_BUI_VE!N10</f>
        <v>0</v>
      </c>
      <c r="F2110" t="str">
        <f t="shared" si="106"/>
        <v>01-00-406-003-GRSPFT-CURR</v>
      </c>
      <c r="G2110" t="s">
        <v>127</v>
      </c>
      <c r="H2110" t="s">
        <v>10287</v>
      </c>
      <c r="I2110" t="s">
        <v>10253</v>
      </c>
      <c r="K2110" s="1073" t="s">
        <v>10288</v>
      </c>
      <c r="L2110" s="789" t="s">
        <v>10241</v>
      </c>
      <c r="M2110" s="790" t="str">
        <f t="shared" si="107"/>
        <v>406</v>
      </c>
      <c r="N2110" s="790" t="str">
        <f t="shared" si="108"/>
        <v>003</v>
      </c>
      <c r="O2110" s="799" t="s">
        <v>10467</v>
      </c>
      <c r="P2110" s="799" t="s">
        <v>10244</v>
      </c>
      <c r="R2110" s="30"/>
    </row>
    <row r="2111" spans="2:18">
      <c r="B2111" s="5" t="str">
        <f>Page5_BUI_VE!C11</f>
        <v>NE PAS UTILISER</v>
      </c>
      <c r="C2111" s="1038" t="str">
        <f>OR_VEH!D110</f>
        <v>407-003</v>
      </c>
      <c r="D2111" s="803">
        <f>Page5_BUI_VE!I11</f>
        <v>0</v>
      </c>
      <c r="E2111" s="803">
        <f>Page5_BUI_VE!N11</f>
        <v>0</v>
      </c>
      <c r="F2111" t="str">
        <f t="shared" si="106"/>
        <v>01-00-407-003-GRSPFT-CURR</v>
      </c>
      <c r="G2111" t="s">
        <v>127</v>
      </c>
      <c r="H2111" t="s">
        <v>10287</v>
      </c>
      <c r="I2111" t="s">
        <v>10253</v>
      </c>
      <c r="K2111" s="1073" t="s">
        <v>10288</v>
      </c>
      <c r="L2111" s="789" t="s">
        <v>10241</v>
      </c>
      <c r="M2111" s="790" t="str">
        <f t="shared" si="107"/>
        <v>407</v>
      </c>
      <c r="N2111" s="790" t="str">
        <f t="shared" si="108"/>
        <v>003</v>
      </c>
      <c r="O2111" s="799" t="s">
        <v>10467</v>
      </c>
      <c r="P2111" s="799" t="s">
        <v>10244</v>
      </c>
      <c r="R2111" s="30"/>
    </row>
    <row r="2112" spans="2:18">
      <c r="B2112" s="5" t="str">
        <f>Page5_BUI_VE!C12</f>
        <v>NE PAS UTILISER</v>
      </c>
      <c r="C2112" s="1038" t="str">
        <f>OR_VEH!D111</f>
        <v>408-003</v>
      </c>
      <c r="D2112" s="803">
        <f>Page5_BUI_VE!I12</f>
        <v>0</v>
      </c>
      <c r="E2112" s="803">
        <f>Page5_BUI_VE!N12</f>
        <v>0</v>
      </c>
      <c r="F2112" t="str">
        <f t="shared" si="106"/>
        <v>01-00-408-003-GRSPFT-CURR</v>
      </c>
      <c r="G2112" t="s">
        <v>127</v>
      </c>
      <c r="H2112" t="s">
        <v>10287</v>
      </c>
      <c r="I2112" t="s">
        <v>10253</v>
      </c>
      <c r="K2112" s="1073" t="s">
        <v>10288</v>
      </c>
      <c r="L2112" s="789" t="s">
        <v>10241</v>
      </c>
      <c r="M2112" s="790" t="str">
        <f t="shared" si="107"/>
        <v>408</v>
      </c>
      <c r="N2112" s="790" t="str">
        <f t="shared" si="108"/>
        <v>003</v>
      </c>
      <c r="O2112" s="799" t="s">
        <v>10467</v>
      </c>
      <c r="P2112" s="799" t="s">
        <v>10244</v>
      </c>
      <c r="R2112" s="30"/>
    </row>
    <row r="2113" spans="2:18">
      <c r="B2113" s="5" t="str">
        <f>Page5_BUI_VE!C13</f>
        <v>NE PAS UTILISER</v>
      </c>
      <c r="C2113" s="1038" t="str">
        <f>OR_VEH!D112</f>
        <v>409-003</v>
      </c>
      <c r="D2113" s="803">
        <f>Page5_BUI_VE!I13</f>
        <v>0</v>
      </c>
      <c r="E2113" s="803">
        <f>Page5_BUI_VE!N13</f>
        <v>0</v>
      </c>
      <c r="F2113" t="str">
        <f t="shared" si="106"/>
        <v>01-00-409-003-GRSPFT-CURR</v>
      </c>
      <c r="G2113" t="s">
        <v>127</v>
      </c>
      <c r="H2113" t="s">
        <v>10287</v>
      </c>
      <c r="I2113" t="s">
        <v>10253</v>
      </c>
      <c r="K2113" s="1073" t="s">
        <v>10288</v>
      </c>
      <c r="L2113" s="789" t="s">
        <v>10241</v>
      </c>
      <c r="M2113" s="790" t="str">
        <f t="shared" si="107"/>
        <v>409</v>
      </c>
      <c r="N2113" s="790" t="str">
        <f t="shared" si="108"/>
        <v>003</v>
      </c>
      <c r="O2113" s="799" t="s">
        <v>10467</v>
      </c>
      <c r="P2113" s="799" t="s">
        <v>10244</v>
      </c>
      <c r="R2113" s="30"/>
    </row>
    <row r="2114" spans="2:18">
      <c r="B2114" s="5" t="str">
        <f>Page5_BUI_VE!C14</f>
        <v>NE PAS UTILISER</v>
      </c>
      <c r="C2114" s="1038" t="str">
        <f>OR_VEH!D113</f>
        <v>410-003</v>
      </c>
      <c r="D2114" s="803">
        <f>Page5_BUI_VE!I14</f>
        <v>0</v>
      </c>
      <c r="E2114" s="803">
        <f>Page5_BUI_VE!N14</f>
        <v>0</v>
      </c>
      <c r="F2114" t="str">
        <f t="shared" si="106"/>
        <v>01-00-410-003-GRSPFT-CURR</v>
      </c>
      <c r="G2114" t="s">
        <v>127</v>
      </c>
      <c r="H2114" t="s">
        <v>10287</v>
      </c>
      <c r="I2114" t="s">
        <v>10253</v>
      </c>
      <c r="K2114" s="1073" t="s">
        <v>10288</v>
      </c>
      <c r="L2114" s="789" t="s">
        <v>10241</v>
      </c>
      <c r="M2114" s="790" t="str">
        <f t="shared" si="107"/>
        <v>410</v>
      </c>
      <c r="N2114" s="790" t="str">
        <f t="shared" si="108"/>
        <v>003</v>
      </c>
      <c r="O2114" s="799" t="s">
        <v>10467</v>
      </c>
      <c r="P2114" s="799" t="s">
        <v>10244</v>
      </c>
      <c r="R2114" s="30"/>
    </row>
    <row r="2115" spans="2:18">
      <c r="B2115" s="5" t="str">
        <f>Page5_BUI_VE!C15</f>
        <v>NE PAS UTILISER</v>
      </c>
      <c r="C2115" s="1038" t="str">
        <f>OR_VEH!D114</f>
        <v>411-003</v>
      </c>
      <c r="D2115" s="803">
        <f>Page5_BUI_VE!I15</f>
        <v>0</v>
      </c>
      <c r="E2115" s="803">
        <f>Page5_BUI_VE!N15</f>
        <v>0</v>
      </c>
      <c r="F2115" t="str">
        <f t="shared" si="106"/>
        <v>01-00-411-003-GRSPFT-CURR</v>
      </c>
      <c r="G2115" t="s">
        <v>127</v>
      </c>
      <c r="H2115" t="s">
        <v>10287</v>
      </c>
      <c r="I2115" t="s">
        <v>10253</v>
      </c>
      <c r="K2115" s="1073" t="s">
        <v>10288</v>
      </c>
      <c r="L2115" s="789" t="s">
        <v>10241</v>
      </c>
      <c r="M2115" s="790" t="str">
        <f t="shared" si="107"/>
        <v>411</v>
      </c>
      <c r="N2115" s="790" t="str">
        <f t="shared" si="108"/>
        <v>003</v>
      </c>
      <c r="O2115" s="790" t="s">
        <v>10467</v>
      </c>
      <c r="P2115" s="790" t="s">
        <v>10244</v>
      </c>
      <c r="R2115" s="30"/>
    </row>
    <row r="2116" spans="2:18">
      <c r="B2116" s="5" t="str">
        <f>Page5_BUI_VE!C16</f>
        <v>NE PAS UTILISER</v>
      </c>
      <c r="C2116" s="1038" t="str">
        <f>OR_VEH!D115</f>
        <v>412-003</v>
      </c>
      <c r="D2116" s="803">
        <f>Page5_BUI_VE!I16</f>
        <v>0</v>
      </c>
      <c r="E2116" s="803">
        <f>Page5_BUI_VE!N16</f>
        <v>0</v>
      </c>
      <c r="F2116" t="str">
        <f t="shared" si="106"/>
        <v>01-00-412-003-GRSPFT-CURR</v>
      </c>
      <c r="G2116" t="s">
        <v>127</v>
      </c>
      <c r="H2116" t="s">
        <v>10287</v>
      </c>
      <c r="I2116" t="s">
        <v>10253</v>
      </c>
      <c r="K2116" s="1073" t="s">
        <v>10288</v>
      </c>
      <c r="L2116" s="789" t="s">
        <v>10241</v>
      </c>
      <c r="M2116" s="790" t="str">
        <f t="shared" si="107"/>
        <v>412</v>
      </c>
      <c r="N2116" s="790" t="str">
        <f t="shared" si="108"/>
        <v>003</v>
      </c>
      <c r="O2116" s="790" t="s">
        <v>10467</v>
      </c>
      <c r="P2116" s="790" t="s">
        <v>10244</v>
      </c>
      <c r="R2116" s="30"/>
    </row>
    <row r="2117" spans="2:18">
      <c r="B2117" s="5" t="str">
        <f>Page5_BUI_VE!C17</f>
        <v>NE PAS UTILISER</v>
      </c>
      <c r="C2117" s="1038" t="str">
        <f>OR_VEH!D116</f>
        <v>413-003</v>
      </c>
      <c r="D2117" s="803">
        <f>Page5_BUI_VE!I17</f>
        <v>0</v>
      </c>
      <c r="E2117" s="803">
        <f>Page5_BUI_VE!N17</f>
        <v>0</v>
      </c>
      <c r="F2117" t="str">
        <f t="shared" si="106"/>
        <v>01-00-413-003-GRSPFT-CURR</v>
      </c>
      <c r="G2117" t="s">
        <v>127</v>
      </c>
      <c r="H2117" t="s">
        <v>10287</v>
      </c>
      <c r="I2117" t="s">
        <v>10253</v>
      </c>
      <c r="K2117" s="1073" t="s">
        <v>10288</v>
      </c>
      <c r="L2117" s="789" t="s">
        <v>10241</v>
      </c>
      <c r="M2117" s="790" t="str">
        <f t="shared" si="107"/>
        <v>413</v>
      </c>
      <c r="N2117" s="790" t="str">
        <f t="shared" si="108"/>
        <v>003</v>
      </c>
      <c r="O2117" s="790" t="s">
        <v>10467</v>
      </c>
      <c r="P2117" s="790" t="s">
        <v>10244</v>
      </c>
      <c r="R2117" s="30"/>
    </row>
    <row r="2118" spans="2:18">
      <c r="B2118" s="5" t="str">
        <f>Page5_BUI_VE!C18</f>
        <v>NE PAS UTILISER</v>
      </c>
      <c r="C2118" s="1038" t="str">
        <f>OR_VEH!D117</f>
        <v>414-003</v>
      </c>
      <c r="D2118" s="803">
        <f>Page5_BUI_VE!I18</f>
        <v>0</v>
      </c>
      <c r="E2118" s="803">
        <f>Page5_BUI_VE!N18</f>
        <v>0</v>
      </c>
      <c r="F2118" t="str">
        <f t="shared" si="106"/>
        <v>01-00-414-003-GRSPFT-CURR</v>
      </c>
      <c r="G2118" t="s">
        <v>127</v>
      </c>
      <c r="H2118" t="s">
        <v>10287</v>
      </c>
      <c r="I2118" t="s">
        <v>10253</v>
      </c>
      <c r="K2118" s="1073" t="s">
        <v>10288</v>
      </c>
      <c r="L2118" s="789" t="s">
        <v>10241</v>
      </c>
      <c r="M2118" s="790" t="str">
        <f t="shared" si="107"/>
        <v>414</v>
      </c>
      <c r="N2118" s="790" t="str">
        <f t="shared" si="108"/>
        <v>003</v>
      </c>
      <c r="O2118" s="790" t="s">
        <v>10467</v>
      </c>
      <c r="P2118" s="790" t="s">
        <v>10244</v>
      </c>
      <c r="R2118" s="30"/>
    </row>
    <row r="2119" spans="2:18">
      <c r="B2119" s="5" t="str">
        <f>Page5_BUI_VE!C19</f>
        <v>NE PAS UTILISER</v>
      </c>
      <c r="C2119" s="1038" t="str">
        <f>OR_VEH!D118</f>
        <v>415-003</v>
      </c>
      <c r="D2119" s="803">
        <f>Page5_BUI_VE!I19</f>
        <v>0</v>
      </c>
      <c r="E2119" s="803">
        <f>Page5_BUI_VE!N19</f>
        <v>0</v>
      </c>
      <c r="F2119" t="str">
        <f t="shared" si="106"/>
        <v>01-00-415-003-GRSPFT-CURR</v>
      </c>
      <c r="G2119" t="s">
        <v>127</v>
      </c>
      <c r="H2119" t="s">
        <v>10287</v>
      </c>
      <c r="I2119" t="s">
        <v>10253</v>
      </c>
      <c r="K2119" s="1073" t="s">
        <v>10288</v>
      </c>
      <c r="L2119" s="789" t="s">
        <v>10241</v>
      </c>
      <c r="M2119" s="790" t="str">
        <f t="shared" si="107"/>
        <v>415</v>
      </c>
      <c r="N2119" s="790" t="str">
        <f t="shared" si="108"/>
        <v>003</v>
      </c>
      <c r="O2119" s="790" t="s">
        <v>10467</v>
      </c>
      <c r="P2119" s="790" t="s">
        <v>10244</v>
      </c>
      <c r="R2119" s="30"/>
    </row>
    <row r="2120" spans="2:18">
      <c r="B2120" s="5" t="str">
        <f>Page5_BUI_VE!C20</f>
        <v>NE PAS UTILISER</v>
      </c>
      <c r="C2120" s="1038" t="str">
        <f>OR_VEH!D119</f>
        <v>416-003</v>
      </c>
      <c r="D2120" s="803">
        <f>Page5_BUI_VE!I20</f>
        <v>0</v>
      </c>
      <c r="E2120" s="803">
        <f>Page5_BUI_VE!N20</f>
        <v>0</v>
      </c>
      <c r="F2120" t="str">
        <f t="shared" si="106"/>
        <v>01-00-416-003-GRSPFT-CURR</v>
      </c>
      <c r="G2120" t="s">
        <v>127</v>
      </c>
      <c r="H2120" t="s">
        <v>10287</v>
      </c>
      <c r="I2120" t="s">
        <v>10253</v>
      </c>
      <c r="K2120" s="1073" t="s">
        <v>10288</v>
      </c>
      <c r="L2120" s="789" t="s">
        <v>10241</v>
      </c>
      <c r="M2120" s="790" t="str">
        <f t="shared" si="107"/>
        <v>416</v>
      </c>
      <c r="N2120" s="790" t="str">
        <f t="shared" si="108"/>
        <v>003</v>
      </c>
      <c r="O2120" s="790" t="s">
        <v>10467</v>
      </c>
      <c r="P2120" s="790" t="s">
        <v>10244</v>
      </c>
      <c r="R2120" s="30"/>
    </row>
    <row r="2121" spans="2:18">
      <c r="B2121" s="5" t="str">
        <f>Page5_BUI_VE!C21</f>
        <v>NE PAS UTILISER</v>
      </c>
      <c r="C2121" s="1038" t="str">
        <f>OR_VEH!D120</f>
        <v>417-003</v>
      </c>
      <c r="D2121" s="803">
        <f>Page5_BUI_VE!I21</f>
        <v>0</v>
      </c>
      <c r="E2121" s="803">
        <f>Page5_BUI_VE!N21</f>
        <v>0</v>
      </c>
      <c r="F2121" t="str">
        <f t="shared" si="106"/>
        <v>01-00-417-003-GRSPFT-CURR</v>
      </c>
      <c r="G2121" t="s">
        <v>127</v>
      </c>
      <c r="H2121" t="s">
        <v>10287</v>
      </c>
      <c r="I2121" t="s">
        <v>10253</v>
      </c>
      <c r="K2121" s="1073" t="s">
        <v>10288</v>
      </c>
      <c r="L2121" s="789" t="s">
        <v>10241</v>
      </c>
      <c r="M2121" s="790" t="str">
        <f t="shared" si="107"/>
        <v>417</v>
      </c>
      <c r="N2121" s="790" t="str">
        <f t="shared" si="108"/>
        <v>003</v>
      </c>
      <c r="O2121" s="790" t="s">
        <v>10467</v>
      </c>
      <c r="P2121" s="790" t="s">
        <v>10244</v>
      </c>
      <c r="R2121" s="30"/>
    </row>
    <row r="2122" spans="2:18">
      <c r="B2122" s="5" t="str">
        <f>Page5_BUI_VE!C22</f>
        <v>NE PAS UTILISER</v>
      </c>
      <c r="C2122" s="1038" t="str">
        <f>OR_VEH!D121</f>
        <v>418-003</v>
      </c>
      <c r="D2122" s="803">
        <f>Page5_BUI_VE!I22</f>
        <v>0</v>
      </c>
      <c r="E2122" s="803">
        <f>Page5_BUI_VE!N22</f>
        <v>0</v>
      </c>
      <c r="F2122" t="str">
        <f t="shared" si="106"/>
        <v>01-00-418-003-GRSPFT-CURR</v>
      </c>
      <c r="G2122" t="s">
        <v>127</v>
      </c>
      <c r="H2122" t="s">
        <v>10287</v>
      </c>
      <c r="I2122" t="s">
        <v>10253</v>
      </c>
      <c r="K2122" s="1073" t="s">
        <v>10288</v>
      </c>
      <c r="L2122" s="789" t="s">
        <v>10241</v>
      </c>
      <c r="M2122" s="790" t="str">
        <f t="shared" si="107"/>
        <v>418</v>
      </c>
      <c r="N2122" s="790" t="str">
        <f t="shared" si="108"/>
        <v>003</v>
      </c>
      <c r="O2122" s="799" t="s">
        <v>10467</v>
      </c>
      <c r="P2122" s="799" t="s">
        <v>10244</v>
      </c>
      <c r="R2122" s="30"/>
    </row>
    <row r="2123" spans="2:18">
      <c r="B2123" s="27" t="s">
        <v>12150</v>
      </c>
      <c r="C2123" s="1042"/>
      <c r="D2123" s="803">
        <f>Page5_BUI_VE!I23</f>
        <v>0</v>
      </c>
      <c r="E2123" s="803">
        <f>Page5_BUI_VE!N23</f>
        <v>0</v>
      </c>
      <c r="F2123" t="str">
        <f t="shared" si="106"/>
        <v>01-00-RTLCAR5C-GRSPFT-CURR</v>
      </c>
      <c r="G2123" t="s">
        <v>127</v>
      </c>
      <c r="H2123" t="s">
        <v>10287</v>
      </c>
      <c r="I2123" t="s">
        <v>10253</v>
      </c>
      <c r="J2123" t="s">
        <v>10268</v>
      </c>
      <c r="K2123" s="1073" t="s">
        <v>10288</v>
      </c>
      <c r="L2123" s="789" t="s">
        <v>10241</v>
      </c>
      <c r="M2123" s="790" t="s">
        <v>10312</v>
      </c>
      <c r="O2123" s="790" t="s">
        <v>10467</v>
      </c>
      <c r="P2123" s="790" t="s">
        <v>10244</v>
      </c>
      <c r="Q2123" s="791" t="s">
        <v>773</v>
      </c>
    </row>
    <row r="2124" spans="2:18">
      <c r="B2124" s="5" t="str">
        <f>Page5_BUI_VE!C24</f>
        <v>MÉMO* VENTES INTERNET VOITURES</v>
      </c>
      <c r="C2124" s="1038" t="str">
        <f>OR_VEH!D123</f>
        <v>419P5C</v>
      </c>
      <c r="D2124" s="803">
        <f>Page5_BUI_VE!I24</f>
        <v>0</v>
      </c>
      <c r="E2124" s="803">
        <f>Page5_BUI_VE!N24</f>
        <v>0</v>
      </c>
      <c r="F2124" t="str">
        <f t="shared" si="106"/>
        <v>01-00-419P5C-GRSPFT-CURR</v>
      </c>
      <c r="G2124" t="s">
        <v>127</v>
      </c>
      <c r="H2124" t="s">
        <v>10287</v>
      </c>
      <c r="I2124" t="s">
        <v>10253</v>
      </c>
      <c r="K2124" s="1073" t="s">
        <v>10288</v>
      </c>
      <c r="L2124" s="789" t="s">
        <v>10241</v>
      </c>
      <c r="M2124" s="855" t="str">
        <f>C2124</f>
        <v>419P5C</v>
      </c>
      <c r="N2124" s="855"/>
      <c r="O2124" s="790" t="s">
        <v>10467</v>
      </c>
      <c r="P2124" s="790" t="s">
        <v>10244</v>
      </c>
      <c r="R2124" s="30"/>
    </row>
    <row r="2125" spans="2:18">
      <c r="B2125" s="5" t="str">
        <f>Page5_BUI_VE!C25</f>
        <v>TOTAL PARCS - VOITURES</v>
      </c>
      <c r="C2125" s="1038" t="str">
        <f>OR_VEH!D124</f>
        <v>420P5C</v>
      </c>
      <c r="D2125" s="803">
        <f>Page5_BUI_VE!I25</f>
        <v>0</v>
      </c>
      <c r="E2125" s="803">
        <f>Page5_BUI_VE!N25</f>
        <v>0</v>
      </c>
      <c r="F2125" t="str">
        <f t="shared" si="106"/>
        <v>01-00-420P5C-GRSPFT-CURR</v>
      </c>
      <c r="G2125" t="s">
        <v>127</v>
      </c>
      <c r="H2125" t="s">
        <v>10287</v>
      </c>
      <c r="I2125" t="s">
        <v>10253</v>
      </c>
      <c r="K2125" s="1073" t="s">
        <v>10288</v>
      </c>
      <c r="L2125" s="789" t="s">
        <v>10241</v>
      </c>
      <c r="M2125" s="855" t="str">
        <f>C2125</f>
        <v>420P5C</v>
      </c>
      <c r="N2125" s="855"/>
      <c r="O2125" s="799" t="s">
        <v>10467</v>
      </c>
      <c r="P2125" s="799" t="s">
        <v>10244</v>
      </c>
      <c r="R2125" s="30"/>
    </row>
    <row r="2126" spans="2:18">
      <c r="B2126" s="5" t="str">
        <f>Page5_BUI_VE!C26</f>
        <v>TOTAL INTERNE - VOITURES</v>
      </c>
      <c r="C2126" s="1038" t="str">
        <f>OR_VEH!D125</f>
        <v>421P5C</v>
      </c>
      <c r="D2126" s="803">
        <f>Page5_BUI_VE!I26</f>
        <v>0</v>
      </c>
      <c r="E2126" s="803">
        <f>Page5_BUI_VE!N26</f>
        <v>0</v>
      </c>
      <c r="F2126" t="str">
        <f t="shared" si="106"/>
        <v>01-00-421P5C-GRSPFT-CURR</v>
      </c>
      <c r="G2126" t="s">
        <v>127</v>
      </c>
      <c r="H2126" t="s">
        <v>10287</v>
      </c>
      <c r="I2126" t="s">
        <v>10253</v>
      </c>
      <c r="K2126" s="1073" t="s">
        <v>10288</v>
      </c>
      <c r="L2126" s="789" t="s">
        <v>10241</v>
      </c>
      <c r="M2126" s="855" t="str">
        <f>C2126</f>
        <v>421P5C</v>
      </c>
      <c r="N2126" s="855"/>
      <c r="O2126" s="799" t="s">
        <v>10467</v>
      </c>
      <c r="P2126" s="799" t="s">
        <v>10244</v>
      </c>
      <c r="R2126" s="30"/>
    </row>
    <row r="2127" spans="2:18">
      <c r="B2127" s="27" t="s">
        <v>12151</v>
      </c>
      <c r="C2127" s="1042"/>
      <c r="D2127" s="803">
        <f>Page5_BUI_VE!I27</f>
        <v>0</v>
      </c>
      <c r="E2127" s="803">
        <f>Page5_BUI_VE!N27</f>
        <v>0</v>
      </c>
      <c r="F2127" t="str">
        <f t="shared" si="106"/>
        <v>01-00-TOTCAR5C-GRSPFT-CURR</v>
      </c>
      <c r="G2127" t="s">
        <v>127</v>
      </c>
      <c r="H2127" t="s">
        <v>10287</v>
      </c>
      <c r="I2127" t="s">
        <v>10253</v>
      </c>
      <c r="J2127" t="s">
        <v>10268</v>
      </c>
      <c r="K2127" s="1073" t="s">
        <v>10288</v>
      </c>
      <c r="L2127" s="789" t="s">
        <v>10241</v>
      </c>
      <c r="M2127" s="790" t="s">
        <v>10314</v>
      </c>
      <c r="O2127" s="790" t="s">
        <v>10467</v>
      </c>
      <c r="P2127" s="790" t="s">
        <v>10244</v>
      </c>
      <c r="Q2127" s="791" t="s">
        <v>773</v>
      </c>
    </row>
    <row r="2128" spans="2:18">
      <c r="B2128" s="5" t="str">
        <f>Page5_BUI_VE!C28</f>
        <v>NE PAS UTILISER</v>
      </c>
      <c r="C2128" s="1038" t="str">
        <f>OR_VEH!D127</f>
        <v>423-003</v>
      </c>
      <c r="D2128" s="803">
        <f>Page5_BUI_VE!I28</f>
        <v>0</v>
      </c>
      <c r="E2128" s="803">
        <f>Page5_BUI_VE!N28</f>
        <v>0</v>
      </c>
      <c r="F2128" t="str">
        <f t="shared" si="106"/>
        <v>01-00-423-003-GRSPFT-CURR</v>
      </c>
      <c r="G2128" t="s">
        <v>127</v>
      </c>
      <c r="H2128" t="s">
        <v>10287</v>
      </c>
      <c r="I2128" t="s">
        <v>10253</v>
      </c>
      <c r="K2128" s="1073" t="s">
        <v>10288</v>
      </c>
      <c r="L2128" s="789" t="s">
        <v>10241</v>
      </c>
      <c r="M2128" s="790" t="str">
        <f t="shared" ref="M2128:M2143" si="109">LEFT(C2128,3)</f>
        <v>423</v>
      </c>
      <c r="N2128" s="790" t="str">
        <f t="shared" ref="N2128:N2143" si="110">RIGHT(C2128,3)</f>
        <v>003</v>
      </c>
      <c r="O2128" s="790" t="s">
        <v>10467</v>
      </c>
      <c r="P2128" s="790" t="s">
        <v>10244</v>
      </c>
      <c r="R2128" s="30"/>
    </row>
    <row r="2129" spans="2:18">
      <c r="B2129" s="5" t="str">
        <f>Page5_BUI_VE!C29</f>
        <v>NE PAS UTILISER</v>
      </c>
      <c r="C2129" s="1038" t="str">
        <f>OR_VEH!D128</f>
        <v>424-003</v>
      </c>
      <c r="D2129" s="803">
        <f>Page5_BUI_VE!I29</f>
        <v>0</v>
      </c>
      <c r="E2129" s="803">
        <f>Page5_BUI_VE!N29</f>
        <v>0</v>
      </c>
      <c r="F2129" t="str">
        <f t="shared" si="106"/>
        <v>01-00-424-003-GRSPFT-CURR</v>
      </c>
      <c r="G2129" t="s">
        <v>127</v>
      </c>
      <c r="H2129" t="s">
        <v>10287</v>
      </c>
      <c r="I2129" t="s">
        <v>10253</v>
      </c>
      <c r="K2129" s="1073" t="s">
        <v>10288</v>
      </c>
      <c r="L2129" s="789" t="s">
        <v>10241</v>
      </c>
      <c r="M2129" s="790" t="str">
        <f t="shared" si="109"/>
        <v>424</v>
      </c>
      <c r="N2129" s="790" t="str">
        <f t="shared" si="110"/>
        <v>003</v>
      </c>
      <c r="O2129" s="790" t="s">
        <v>10467</v>
      </c>
      <c r="P2129" s="790" t="s">
        <v>10244</v>
      </c>
      <c r="R2129" s="30"/>
    </row>
    <row r="2130" spans="2:18">
      <c r="B2130" s="5" t="str">
        <f>Page5_BUI_VE!C30</f>
        <v>NE PAS UTILISER</v>
      </c>
      <c r="C2130" s="1038" t="str">
        <f>OR_VEH!D129</f>
        <v>425-003</v>
      </c>
      <c r="D2130" s="803">
        <f>Page5_BUI_VE!I30</f>
        <v>0</v>
      </c>
      <c r="E2130" s="803">
        <f>Page5_BUI_VE!N30</f>
        <v>0</v>
      </c>
      <c r="F2130" t="str">
        <f t="shared" si="106"/>
        <v>01-00-425-003-GRSPFT-CURR</v>
      </c>
      <c r="G2130" t="s">
        <v>127</v>
      </c>
      <c r="H2130" t="s">
        <v>10287</v>
      </c>
      <c r="I2130" t="s">
        <v>10253</v>
      </c>
      <c r="K2130" s="1073" t="s">
        <v>10288</v>
      </c>
      <c r="L2130" s="789" t="s">
        <v>10241</v>
      </c>
      <c r="M2130" s="790" t="str">
        <f t="shared" si="109"/>
        <v>425</v>
      </c>
      <c r="N2130" s="790" t="str">
        <f t="shared" si="110"/>
        <v>003</v>
      </c>
      <c r="O2130" s="790" t="s">
        <v>10467</v>
      </c>
      <c r="P2130" s="790" t="s">
        <v>10244</v>
      </c>
      <c r="R2130" s="30"/>
    </row>
    <row r="2131" spans="2:18">
      <c r="B2131" s="5" t="str">
        <f>Page5_BUI_VE!C31</f>
        <v>NE PAS UTILISER</v>
      </c>
      <c r="C2131" s="1038" t="str">
        <f>OR_VEH!D130</f>
        <v>426-003</v>
      </c>
      <c r="D2131" s="803">
        <f>Page5_BUI_VE!I31</f>
        <v>0</v>
      </c>
      <c r="E2131" s="803">
        <f>Page5_BUI_VE!N31</f>
        <v>0</v>
      </c>
      <c r="F2131" t="str">
        <f t="shared" si="106"/>
        <v>01-00-426-003-GRSPFT-CURR</v>
      </c>
      <c r="G2131" t="s">
        <v>127</v>
      </c>
      <c r="H2131" t="s">
        <v>10287</v>
      </c>
      <c r="I2131" t="s">
        <v>10253</v>
      </c>
      <c r="K2131" s="1073" t="s">
        <v>10288</v>
      </c>
      <c r="L2131" s="789" t="s">
        <v>10241</v>
      </c>
      <c r="M2131" s="790" t="str">
        <f t="shared" si="109"/>
        <v>426</v>
      </c>
      <c r="N2131" s="790" t="str">
        <f t="shared" si="110"/>
        <v>003</v>
      </c>
      <c r="O2131" s="790" t="s">
        <v>10467</v>
      </c>
      <c r="P2131" s="790" t="s">
        <v>10244</v>
      </c>
      <c r="R2131" s="30"/>
    </row>
    <row r="2132" spans="2:18">
      <c r="B2132" s="5" t="str">
        <f>Page5_BUI_VE!C32</f>
        <v>NE PAS UTILISER</v>
      </c>
      <c r="C2132" s="1038" t="str">
        <f>OR_VEH!D131</f>
        <v>427-003</v>
      </c>
      <c r="D2132" s="803">
        <f>Page5_BUI_VE!I32</f>
        <v>0</v>
      </c>
      <c r="E2132" s="803">
        <f>Page5_BUI_VE!N32</f>
        <v>0</v>
      </c>
      <c r="F2132" t="str">
        <f t="shared" si="106"/>
        <v>01-00-427-003-GRSPFT-CURR</v>
      </c>
      <c r="G2132" t="s">
        <v>127</v>
      </c>
      <c r="H2132" t="s">
        <v>10287</v>
      </c>
      <c r="I2132" t="s">
        <v>10253</v>
      </c>
      <c r="K2132" s="1073" t="s">
        <v>10288</v>
      </c>
      <c r="L2132" s="789" t="s">
        <v>10241</v>
      </c>
      <c r="M2132" s="790" t="str">
        <f t="shared" si="109"/>
        <v>427</v>
      </c>
      <c r="N2132" s="790" t="str">
        <f t="shared" si="110"/>
        <v>003</v>
      </c>
      <c r="O2132" s="790" t="s">
        <v>10467</v>
      </c>
      <c r="P2132" s="790" t="s">
        <v>10244</v>
      </c>
      <c r="R2132" s="30"/>
    </row>
    <row r="2133" spans="2:18">
      <c r="B2133" s="5" t="str">
        <f>Page5_BUI_VE!C33</f>
        <v>NE PAS UTILISER</v>
      </c>
      <c r="C2133" s="1038" t="str">
        <f>OR_VEH!D132</f>
        <v>428-003</v>
      </c>
      <c r="D2133" s="803">
        <f>Page5_BUI_VE!I33</f>
        <v>0</v>
      </c>
      <c r="E2133" s="803">
        <f>Page5_BUI_VE!N33</f>
        <v>0</v>
      </c>
      <c r="F2133" t="str">
        <f t="shared" si="106"/>
        <v>01-00-428-003-GRSPFT-CURR</v>
      </c>
      <c r="G2133" t="s">
        <v>127</v>
      </c>
      <c r="H2133" t="s">
        <v>10287</v>
      </c>
      <c r="I2133" t="s">
        <v>10253</v>
      </c>
      <c r="K2133" s="1073" t="s">
        <v>10288</v>
      </c>
      <c r="L2133" s="789" t="s">
        <v>10241</v>
      </c>
      <c r="M2133" s="790" t="str">
        <f t="shared" si="109"/>
        <v>428</v>
      </c>
      <c r="N2133" s="790" t="str">
        <f t="shared" si="110"/>
        <v>003</v>
      </c>
      <c r="O2133" s="790" t="s">
        <v>10467</v>
      </c>
      <c r="P2133" s="790" t="s">
        <v>10244</v>
      </c>
      <c r="R2133" s="30"/>
    </row>
    <row r="2134" spans="2:18">
      <c r="B2134" s="5" t="str">
        <f>Page5_BUI_VE!C34</f>
        <v>NE PAS UTILISER</v>
      </c>
      <c r="C2134" s="1038" t="str">
        <f>OR_VEH!D133</f>
        <v>429-003</v>
      </c>
      <c r="D2134" s="803">
        <f>Page5_BUI_VE!I34</f>
        <v>0</v>
      </c>
      <c r="E2134" s="803">
        <f>Page5_BUI_VE!N34</f>
        <v>0</v>
      </c>
      <c r="F2134" t="str">
        <f t="shared" si="106"/>
        <v>01-00-429-003-GRSPFT-CURR</v>
      </c>
      <c r="G2134" t="s">
        <v>127</v>
      </c>
      <c r="H2134" t="s">
        <v>10287</v>
      </c>
      <c r="I2134" t="s">
        <v>10253</v>
      </c>
      <c r="K2134" s="1073" t="s">
        <v>10288</v>
      </c>
      <c r="L2134" s="789" t="s">
        <v>10241</v>
      </c>
      <c r="M2134" s="790" t="str">
        <f t="shared" si="109"/>
        <v>429</v>
      </c>
      <c r="N2134" s="790" t="str">
        <f t="shared" si="110"/>
        <v>003</v>
      </c>
      <c r="O2134" s="790" t="s">
        <v>10467</v>
      </c>
      <c r="P2134" s="790" t="s">
        <v>10244</v>
      </c>
      <c r="R2134" s="30"/>
    </row>
    <row r="2135" spans="2:18">
      <c r="B2135" s="5" t="str">
        <f>Page5_BUI_VE!C35</f>
        <v>NE PAS UTILISER</v>
      </c>
      <c r="C2135" s="1038" t="str">
        <f>OR_VEH!D134</f>
        <v>430-003</v>
      </c>
      <c r="D2135" s="803">
        <f>Page5_BUI_VE!I35</f>
        <v>0</v>
      </c>
      <c r="E2135" s="803">
        <f>Page5_BUI_VE!N35</f>
        <v>0</v>
      </c>
      <c r="F2135" t="str">
        <f t="shared" si="106"/>
        <v>01-00-430-003-GRSPFT-CURR</v>
      </c>
      <c r="G2135" t="s">
        <v>127</v>
      </c>
      <c r="H2135" t="s">
        <v>10287</v>
      </c>
      <c r="I2135" t="s">
        <v>10253</v>
      </c>
      <c r="K2135" s="1073" t="s">
        <v>10288</v>
      </c>
      <c r="L2135" s="789" t="s">
        <v>10241</v>
      </c>
      <c r="M2135" s="790" t="str">
        <f t="shared" si="109"/>
        <v>430</v>
      </c>
      <c r="N2135" s="790" t="str">
        <f t="shared" si="110"/>
        <v>003</v>
      </c>
      <c r="O2135" s="790" t="s">
        <v>10467</v>
      </c>
      <c r="P2135" s="790" t="s">
        <v>10244</v>
      </c>
      <c r="R2135" s="30"/>
    </row>
    <row r="2136" spans="2:18">
      <c r="B2136" s="5" t="str">
        <f>Page5_BUI_VE!C36</f>
        <v>NE PAS UTILISER</v>
      </c>
      <c r="C2136" s="1038" t="str">
        <f>OR_VEH!D135</f>
        <v>431-003</v>
      </c>
      <c r="D2136" s="803">
        <f>Page5_BUI_VE!I36</f>
        <v>0</v>
      </c>
      <c r="E2136" s="803">
        <f>Page5_BUI_VE!N36</f>
        <v>0</v>
      </c>
      <c r="F2136" t="str">
        <f t="shared" si="106"/>
        <v>01-00-431-003-GRSPFT-CURR</v>
      </c>
      <c r="G2136" t="s">
        <v>127</v>
      </c>
      <c r="H2136" t="s">
        <v>10287</v>
      </c>
      <c r="I2136" t="s">
        <v>10253</v>
      </c>
      <c r="K2136" s="1073" t="s">
        <v>10288</v>
      </c>
      <c r="L2136" s="789" t="s">
        <v>10241</v>
      </c>
      <c r="M2136" s="790" t="str">
        <f t="shared" si="109"/>
        <v>431</v>
      </c>
      <c r="N2136" s="790" t="str">
        <f t="shared" si="110"/>
        <v>003</v>
      </c>
      <c r="O2136" s="790" t="s">
        <v>10467</v>
      </c>
      <c r="P2136" s="790" t="s">
        <v>10244</v>
      </c>
      <c r="R2136" s="30"/>
    </row>
    <row r="2137" spans="2:18">
      <c r="B2137" s="5" t="str">
        <f>Page5_BUI_VE!C37</f>
        <v>NE PAS UTILISER</v>
      </c>
      <c r="C2137" s="1038" t="str">
        <f>OR_VEH!D136</f>
        <v>432-003</v>
      </c>
      <c r="D2137" s="803">
        <f>Page5_BUI_VE!I37</f>
        <v>0</v>
      </c>
      <c r="E2137" s="803">
        <f>Page5_BUI_VE!N37</f>
        <v>0</v>
      </c>
      <c r="F2137" t="str">
        <f t="shared" si="106"/>
        <v>01-00-432-003-GRSPFT-CURR</v>
      </c>
      <c r="G2137" t="s">
        <v>127</v>
      </c>
      <c r="H2137" t="s">
        <v>10287</v>
      </c>
      <c r="I2137" t="s">
        <v>10253</v>
      </c>
      <c r="K2137" s="1073" t="s">
        <v>10288</v>
      </c>
      <c r="L2137" s="789" t="s">
        <v>10241</v>
      </c>
      <c r="M2137" s="790" t="str">
        <f t="shared" si="109"/>
        <v>432</v>
      </c>
      <c r="N2137" s="790" t="str">
        <f t="shared" si="110"/>
        <v>003</v>
      </c>
      <c r="O2137" s="790" t="s">
        <v>10467</v>
      </c>
      <c r="P2137" s="790" t="s">
        <v>10244</v>
      </c>
      <c r="R2137" s="30"/>
    </row>
    <row r="2138" spans="2:18">
      <c r="B2138" s="5" t="str">
        <f>Page5_BUI_VE!C38</f>
        <v>NE PAS UTILISER</v>
      </c>
      <c r="C2138" s="1038" t="str">
        <f>OR_VEH!D137</f>
        <v>433-003</v>
      </c>
      <c r="D2138" s="803">
        <f>Page5_BUI_VE!I38</f>
        <v>0</v>
      </c>
      <c r="E2138" s="803">
        <f>Page5_BUI_VE!N38</f>
        <v>0</v>
      </c>
      <c r="F2138" t="str">
        <f t="shared" si="106"/>
        <v>01-00-433-003-GRSPFT-CURR</v>
      </c>
      <c r="G2138" t="s">
        <v>127</v>
      </c>
      <c r="H2138" t="s">
        <v>10287</v>
      </c>
      <c r="I2138" t="s">
        <v>10253</v>
      </c>
      <c r="K2138" s="1073" t="s">
        <v>10288</v>
      </c>
      <c r="L2138" s="789" t="s">
        <v>10241</v>
      </c>
      <c r="M2138" s="790" t="str">
        <f t="shared" si="109"/>
        <v>433</v>
      </c>
      <c r="N2138" s="790" t="str">
        <f t="shared" si="110"/>
        <v>003</v>
      </c>
      <c r="O2138" s="790" t="s">
        <v>10467</v>
      </c>
      <c r="P2138" s="790" t="s">
        <v>10244</v>
      </c>
      <c r="R2138" s="30"/>
    </row>
    <row r="2139" spans="2:18">
      <c r="B2139" s="5" t="str">
        <f>Page5_BUI_VE!C39</f>
        <v>NE PAS UTILISER</v>
      </c>
      <c r="C2139" s="1038" t="str">
        <f>OR_VEH!D138</f>
        <v>434-003</v>
      </c>
      <c r="D2139" s="803">
        <f>Page5_BUI_VE!I39</f>
        <v>0</v>
      </c>
      <c r="E2139" s="803">
        <f>Page5_BUI_VE!N39</f>
        <v>0</v>
      </c>
      <c r="F2139" t="str">
        <f t="shared" si="106"/>
        <v>01-00-434-003-GRSPFT-CURR</v>
      </c>
      <c r="G2139" t="s">
        <v>127</v>
      </c>
      <c r="H2139" t="s">
        <v>10287</v>
      </c>
      <c r="I2139" t="s">
        <v>10253</v>
      </c>
      <c r="K2139" s="1073" t="s">
        <v>10288</v>
      </c>
      <c r="L2139" s="789" t="s">
        <v>10241</v>
      </c>
      <c r="M2139" s="790" t="str">
        <f t="shared" si="109"/>
        <v>434</v>
      </c>
      <c r="N2139" s="790" t="str">
        <f t="shared" si="110"/>
        <v>003</v>
      </c>
      <c r="O2139" s="790" t="s">
        <v>10467</v>
      </c>
      <c r="P2139" s="790" t="s">
        <v>10244</v>
      </c>
      <c r="R2139" s="30"/>
    </row>
    <row r="2140" spans="2:18">
      <c r="B2140" s="5" t="str">
        <f>Page5_BUI_VE!C40</f>
        <v>NE PAS UTILISER</v>
      </c>
      <c r="C2140" s="1038" t="str">
        <f>OR_VEH!D139</f>
        <v>435-003</v>
      </c>
      <c r="D2140" s="803">
        <f>Page5_BUI_VE!I40</f>
        <v>0</v>
      </c>
      <c r="E2140" s="803">
        <f>Page5_BUI_VE!N40</f>
        <v>0</v>
      </c>
      <c r="F2140" t="str">
        <f t="shared" si="106"/>
        <v>01-00-435-003-GRSPFT-CURR</v>
      </c>
      <c r="G2140" t="s">
        <v>127</v>
      </c>
      <c r="H2140" t="s">
        <v>10287</v>
      </c>
      <c r="I2140" t="s">
        <v>10253</v>
      </c>
      <c r="K2140" s="1073" t="s">
        <v>10288</v>
      </c>
      <c r="L2140" s="789" t="s">
        <v>10241</v>
      </c>
      <c r="M2140" s="790" t="str">
        <f t="shared" si="109"/>
        <v>435</v>
      </c>
      <c r="N2140" s="790" t="str">
        <f t="shared" si="110"/>
        <v>003</v>
      </c>
      <c r="O2140" s="790" t="s">
        <v>10467</v>
      </c>
      <c r="P2140" s="790" t="s">
        <v>10244</v>
      </c>
      <c r="R2140" s="30"/>
    </row>
    <row r="2141" spans="2:18">
      <c r="B2141" s="5" t="str">
        <f>Page5_BUI_VE!C41</f>
        <v>NE PAS UTILISER</v>
      </c>
      <c r="C2141" s="1038" t="str">
        <f>OR_VEH!D140</f>
        <v>436-003</v>
      </c>
      <c r="D2141" s="803">
        <f>Page5_BUI_VE!I41</f>
        <v>0</v>
      </c>
      <c r="E2141" s="803">
        <f>Page5_BUI_VE!N41</f>
        <v>0</v>
      </c>
      <c r="F2141" t="str">
        <f t="shared" si="106"/>
        <v>01-00-436-003-GRSPFT-CURR</v>
      </c>
      <c r="G2141" t="s">
        <v>127</v>
      </c>
      <c r="H2141" t="s">
        <v>10287</v>
      </c>
      <c r="I2141" t="s">
        <v>10253</v>
      </c>
      <c r="K2141" s="1073" t="s">
        <v>10288</v>
      </c>
      <c r="L2141" s="789" t="s">
        <v>10241</v>
      </c>
      <c r="M2141" s="790" t="str">
        <f t="shared" si="109"/>
        <v>436</v>
      </c>
      <c r="N2141" s="790" t="str">
        <f t="shared" si="110"/>
        <v>003</v>
      </c>
      <c r="O2141" s="790" t="s">
        <v>10467</v>
      </c>
      <c r="P2141" s="790" t="s">
        <v>10244</v>
      </c>
      <c r="R2141" s="30"/>
    </row>
    <row r="2142" spans="2:18">
      <c r="B2142" s="5" t="str">
        <f>Page5_BUI_VE!C42</f>
        <v>NE PAS UTILISER</v>
      </c>
      <c r="C2142" s="1038" t="str">
        <f>OR_VEH!D141</f>
        <v>437-003</v>
      </c>
      <c r="D2142" s="803">
        <f>Page5_BUI_VE!I42</f>
        <v>0</v>
      </c>
      <c r="E2142" s="803">
        <f>Page5_BUI_VE!N42</f>
        <v>0</v>
      </c>
      <c r="F2142" t="str">
        <f t="shared" si="106"/>
        <v>01-00-437-003-GRSPFT-CURR</v>
      </c>
      <c r="G2142" t="s">
        <v>127</v>
      </c>
      <c r="H2142" t="s">
        <v>10287</v>
      </c>
      <c r="I2142" t="s">
        <v>10253</v>
      </c>
      <c r="K2142" s="1073" t="s">
        <v>10288</v>
      </c>
      <c r="L2142" s="789" t="s">
        <v>10241</v>
      </c>
      <c r="M2142" s="790" t="str">
        <f t="shared" si="109"/>
        <v>437</v>
      </c>
      <c r="N2142" s="790" t="str">
        <f t="shared" si="110"/>
        <v>003</v>
      </c>
      <c r="O2142" s="790" t="s">
        <v>10467</v>
      </c>
      <c r="P2142" s="790" t="s">
        <v>10244</v>
      </c>
      <c r="R2142" s="30"/>
    </row>
    <row r="2143" spans="2:18">
      <c r="B2143" s="5" t="str">
        <f>Page5_BUI_VE!C43</f>
        <v>NE PAS UTILISER</v>
      </c>
      <c r="C2143" s="1038" t="str">
        <f>OR_VEH!D142</f>
        <v>438-001</v>
      </c>
      <c r="D2143" s="803">
        <f>Page5_BUI_VE!I43</f>
        <v>0</v>
      </c>
      <c r="E2143" s="803">
        <f>Page5_BUI_VE!N43</f>
        <v>0</v>
      </c>
      <c r="F2143" t="str">
        <f t="shared" si="106"/>
        <v>01-00-438-001-GRSPFT-CURR</v>
      </c>
      <c r="G2143" t="s">
        <v>127</v>
      </c>
      <c r="H2143" t="s">
        <v>10287</v>
      </c>
      <c r="I2143" t="s">
        <v>10253</v>
      </c>
      <c r="K2143" s="1073" t="s">
        <v>10288</v>
      </c>
      <c r="L2143" s="789" t="s">
        <v>10241</v>
      </c>
      <c r="M2143" s="790" t="str">
        <f t="shared" si="109"/>
        <v>438</v>
      </c>
      <c r="N2143" s="790" t="str">
        <f t="shared" si="110"/>
        <v>001</v>
      </c>
      <c r="O2143" s="790" t="s">
        <v>10467</v>
      </c>
      <c r="P2143" s="790" t="s">
        <v>10244</v>
      </c>
      <c r="R2143" s="30"/>
    </row>
    <row r="2144" spans="2:18">
      <c r="B2144" s="51" t="s">
        <v>12152</v>
      </c>
      <c r="C2144" s="1042"/>
      <c r="D2144" s="803">
        <f>Page5_BUI_VE!I44</f>
        <v>0</v>
      </c>
      <c r="E2144" s="803">
        <f>Page5_BUI_VE!N44</f>
        <v>0</v>
      </c>
      <c r="F2144" t="str">
        <f t="shared" si="106"/>
        <v>01-00-RTLTRK5C-GRSPFT-CURR</v>
      </c>
      <c r="G2144" t="s">
        <v>127</v>
      </c>
      <c r="H2144" t="s">
        <v>10287</v>
      </c>
      <c r="I2144" t="s">
        <v>10253</v>
      </c>
      <c r="J2144" t="s">
        <v>10268</v>
      </c>
      <c r="K2144" s="1073" t="s">
        <v>10288</v>
      </c>
      <c r="L2144" s="789" t="s">
        <v>10241</v>
      </c>
      <c r="M2144" s="790" t="s">
        <v>10316</v>
      </c>
      <c r="O2144" s="790" t="s">
        <v>10467</v>
      </c>
      <c r="P2144" s="790" t="s">
        <v>10244</v>
      </c>
      <c r="Q2144" s="791" t="s">
        <v>773</v>
      </c>
    </row>
    <row r="2145" spans="1:18">
      <c r="B2145" s="5" t="str">
        <f>Page5_BUI_VE!C45</f>
        <v>MÉMO* VENTES INTERNET CAMIONS</v>
      </c>
      <c r="C2145" s="1038" t="str">
        <f>OR_VEH!D144</f>
        <v>439P5C</v>
      </c>
      <c r="D2145" s="803">
        <f>Page5_BUI_VE!I45</f>
        <v>0</v>
      </c>
      <c r="E2145" s="803">
        <f>Page5_BUI_VE!N45</f>
        <v>0</v>
      </c>
      <c r="F2145" t="str">
        <f t="shared" si="106"/>
        <v>01-00-439P5C-GRSPFT-CURR</v>
      </c>
      <c r="G2145" t="s">
        <v>127</v>
      </c>
      <c r="H2145" t="s">
        <v>10287</v>
      </c>
      <c r="I2145" t="s">
        <v>10253</v>
      </c>
      <c r="K2145" s="1073" t="s">
        <v>10288</v>
      </c>
      <c r="L2145" s="789" t="s">
        <v>10241</v>
      </c>
      <c r="M2145" s="855" t="str">
        <f>C2145</f>
        <v>439P5C</v>
      </c>
      <c r="N2145" s="855"/>
      <c r="O2145" s="790" t="s">
        <v>10467</v>
      </c>
      <c r="P2145" s="790" t="s">
        <v>10244</v>
      </c>
      <c r="R2145" s="30"/>
    </row>
    <row r="2146" spans="1:18">
      <c r="B2146" s="5" t="str">
        <f>Page5_BUI_VE!C46</f>
        <v>TOTAL PARCS - CAMIONS</v>
      </c>
      <c r="C2146" s="1038" t="str">
        <f>OR_VEH!D145</f>
        <v>440P5C</v>
      </c>
      <c r="D2146" s="803">
        <f>Page5_BUI_VE!I46</f>
        <v>0</v>
      </c>
      <c r="E2146" s="803">
        <f>Page5_BUI_VE!N46</f>
        <v>0</v>
      </c>
      <c r="F2146" t="str">
        <f t="shared" si="106"/>
        <v>01-00-440P5C-GRSPFT-CURR</v>
      </c>
      <c r="G2146" t="s">
        <v>127</v>
      </c>
      <c r="H2146" t="s">
        <v>10287</v>
      </c>
      <c r="I2146" t="s">
        <v>10253</v>
      </c>
      <c r="K2146" s="1073" t="s">
        <v>10288</v>
      </c>
      <c r="L2146" s="789" t="s">
        <v>10241</v>
      </c>
      <c r="M2146" s="855" t="str">
        <f>C2146</f>
        <v>440P5C</v>
      </c>
      <c r="N2146" s="855"/>
      <c r="O2146" s="790" t="s">
        <v>10467</v>
      </c>
      <c r="P2146" s="790" t="s">
        <v>10244</v>
      </c>
      <c r="R2146" s="30"/>
    </row>
    <row r="2147" spans="1:18">
      <c r="B2147" s="5" t="str">
        <f>Page5_BUI_VE!C47</f>
        <v xml:space="preserve">TOTAL IINTERNE - CAMIONS </v>
      </c>
      <c r="C2147" s="1038" t="str">
        <f>OR_VEH!D146</f>
        <v>441P5C</v>
      </c>
      <c r="D2147" s="803">
        <f>Page5_BUI_VE!I47</f>
        <v>0</v>
      </c>
      <c r="E2147" s="803">
        <f>Page5_BUI_VE!N47</f>
        <v>0</v>
      </c>
      <c r="F2147" t="str">
        <f t="shared" si="106"/>
        <v>01-00-441P5C-GRSPFT-CURR</v>
      </c>
      <c r="G2147" t="s">
        <v>127</v>
      </c>
      <c r="H2147" t="s">
        <v>10287</v>
      </c>
      <c r="I2147" t="s">
        <v>10253</v>
      </c>
      <c r="K2147" s="1073" t="s">
        <v>10288</v>
      </c>
      <c r="L2147" s="789" t="s">
        <v>10241</v>
      </c>
      <c r="M2147" s="855" t="str">
        <f>C2147</f>
        <v>441P5C</v>
      </c>
      <c r="N2147" s="855"/>
      <c r="O2147" s="790" t="s">
        <v>10467</v>
      </c>
      <c r="P2147" s="790" t="s">
        <v>10244</v>
      </c>
      <c r="R2147" s="30"/>
    </row>
    <row r="2148" spans="1:18">
      <c r="B2148" s="27" t="s">
        <v>12153</v>
      </c>
      <c r="C2148" s="1042"/>
      <c r="D2148" s="803">
        <f>Page5_BUI_VE!I48</f>
        <v>0</v>
      </c>
      <c r="E2148" s="803">
        <f>Page5_BUI_VE!N48</f>
        <v>0</v>
      </c>
      <c r="F2148" t="str">
        <f t="shared" si="106"/>
        <v>01-00-TOTTRK5C-GRSPFT-CURR</v>
      </c>
      <c r="G2148" t="s">
        <v>127</v>
      </c>
      <c r="H2148" t="s">
        <v>10287</v>
      </c>
      <c r="I2148" t="s">
        <v>10253</v>
      </c>
      <c r="J2148" t="s">
        <v>10268</v>
      </c>
      <c r="K2148" s="1073" t="s">
        <v>10288</v>
      </c>
      <c r="L2148" s="789" t="s">
        <v>10241</v>
      </c>
      <c r="M2148" s="790" t="s">
        <v>10318</v>
      </c>
      <c r="O2148" s="790" t="s">
        <v>10467</v>
      </c>
      <c r="P2148" s="790" t="s">
        <v>10244</v>
      </c>
      <c r="Q2148" s="791" t="s">
        <v>773</v>
      </c>
    </row>
    <row r="2149" spans="1:18">
      <c r="B2149" s="5" t="str">
        <f>Page5_BUI_VE!C50</f>
        <v>ACCESSOIRES</v>
      </c>
      <c r="C2149" s="1038" t="str">
        <f>OR_VEH!D149</f>
        <v>457P5C</v>
      </c>
      <c r="D2149" s="803">
        <f>Page5_BUI_VE!I50</f>
        <v>0</v>
      </c>
      <c r="E2149" s="803">
        <f>Page5_BUI_VE!N50</f>
        <v>0</v>
      </c>
      <c r="F2149" t="str">
        <f t="shared" si="106"/>
        <v>01-00-457P5C-GRSPFT-CURR</v>
      </c>
      <c r="G2149" t="s">
        <v>127</v>
      </c>
      <c r="H2149" t="s">
        <v>10287</v>
      </c>
      <c r="I2149" t="s">
        <v>10253</v>
      </c>
      <c r="K2149" s="1073" t="s">
        <v>10288</v>
      </c>
      <c r="L2149" s="789" t="s">
        <v>10241</v>
      </c>
      <c r="M2149" s="855" t="str">
        <f>C2149</f>
        <v>457P5C</v>
      </c>
      <c r="N2149" s="855"/>
      <c r="O2149" s="790" t="s">
        <v>10467</v>
      </c>
      <c r="P2149" s="790" t="s">
        <v>10244</v>
      </c>
      <c r="R2149" s="30"/>
    </row>
    <row r="2150" spans="1:18">
      <c r="B2150" s="27" t="s">
        <v>12154</v>
      </c>
      <c r="C2150" s="1042"/>
      <c r="D2150" s="803">
        <f>Page5_BUI_VE!I51</f>
        <v>0</v>
      </c>
      <c r="E2150" s="803">
        <f>Page5_BUI_VE!N51</f>
        <v>0</v>
      </c>
      <c r="F2150" t="str">
        <f t="shared" si="106"/>
        <v>01-00-TOTVEH5C-GRSPFT-CURR</v>
      </c>
      <c r="G2150" t="s">
        <v>127</v>
      </c>
      <c r="H2150" t="s">
        <v>10287</v>
      </c>
      <c r="I2150" t="s">
        <v>10253</v>
      </c>
      <c r="J2150" t="s">
        <v>10268</v>
      </c>
      <c r="K2150" s="1073" t="s">
        <v>10288</v>
      </c>
      <c r="L2150" s="789" t="s">
        <v>10241</v>
      </c>
      <c r="M2150" s="790" t="s">
        <v>10320</v>
      </c>
      <c r="O2150" s="790" t="s">
        <v>10467</v>
      </c>
      <c r="P2150" s="790" t="s">
        <v>10244</v>
      </c>
      <c r="Q2150" s="791" t="s">
        <v>773</v>
      </c>
    </row>
    <row r="2151" spans="1:18">
      <c r="A2151" s="805" t="s">
        <v>10321</v>
      </c>
      <c r="B2151" s="5" t="str">
        <f>Page5_BUI_MCI!C4</f>
        <v>REGAL</v>
      </c>
      <c r="C2151" s="1038" t="str">
        <f>OR_VEH!D153</f>
        <v>400-004</v>
      </c>
      <c r="D2151" s="803">
        <f>Page5_BUI_MCI!G4</f>
        <v>0</v>
      </c>
      <c r="E2151" s="803">
        <f>Page5_BUI_MCI!L4</f>
        <v>0</v>
      </c>
      <c r="F2151" t="str">
        <f t="shared" si="106"/>
        <v>01-00-400-004-SALES-CURR</v>
      </c>
      <c r="G2151" t="s">
        <v>127</v>
      </c>
      <c r="H2151" t="s">
        <v>10287</v>
      </c>
      <c r="I2151" t="s">
        <v>10253</v>
      </c>
      <c r="K2151" s="1073" t="s">
        <v>10288</v>
      </c>
      <c r="L2151" s="789" t="s">
        <v>10241</v>
      </c>
      <c r="M2151" s="790" t="str">
        <f>LEFT(C2151,3)</f>
        <v>400</v>
      </c>
      <c r="N2151" s="790" t="str">
        <f>RIGHT(C2151,3)</f>
        <v>004</v>
      </c>
      <c r="O2151" s="799" t="s">
        <v>9883</v>
      </c>
      <c r="P2151" s="799" t="s">
        <v>10244</v>
      </c>
      <c r="R2151" s="30"/>
    </row>
    <row r="2152" spans="1:18">
      <c r="B2152" s="5" t="str">
        <f>Page5_BUI_MCI!C5</f>
        <v>LACROSSE</v>
      </c>
      <c r="C2152" s="1038" t="str">
        <f>OR_VEH!D154</f>
        <v>401-004</v>
      </c>
      <c r="D2152" s="803">
        <f>Page5_BUI_MCI!G5</f>
        <v>0</v>
      </c>
      <c r="E2152" s="803">
        <f>Page5_BUI_MCI!L5</f>
        <v>0</v>
      </c>
      <c r="F2152" t="str">
        <f t="shared" si="106"/>
        <v>01-00-401-004-SALES-CURR</v>
      </c>
      <c r="G2152" t="s">
        <v>127</v>
      </c>
      <c r="H2152" t="s">
        <v>10287</v>
      </c>
      <c r="I2152" t="s">
        <v>10253</v>
      </c>
      <c r="K2152" s="1073" t="s">
        <v>10288</v>
      </c>
      <c r="L2152" s="789" t="s">
        <v>10241</v>
      </c>
      <c r="M2152" s="790" t="str">
        <f t="shared" ref="M2152:M2169" si="111">LEFT(C2152,3)</f>
        <v>401</v>
      </c>
      <c r="N2152" s="790" t="str">
        <f t="shared" ref="N2152:N2169" si="112">RIGHT(C2152,3)</f>
        <v>004</v>
      </c>
      <c r="O2152" s="799" t="s">
        <v>9883</v>
      </c>
      <c r="P2152" s="799" t="s">
        <v>10244</v>
      </c>
      <c r="R2152" s="30"/>
    </row>
    <row r="2153" spans="1:18">
      <c r="B2153" s="5" t="str">
        <f>Page5_BUI_MCI!C6</f>
        <v>VERANO</v>
      </c>
      <c r="C2153" s="1038" t="str">
        <f>OR_VEH!D155</f>
        <v>402-004</v>
      </c>
      <c r="D2153" s="803">
        <f>Page5_BUI_MCI!G6</f>
        <v>0</v>
      </c>
      <c r="E2153" s="803">
        <f>Page5_BUI_MCI!L6</f>
        <v>0</v>
      </c>
      <c r="F2153" t="str">
        <f t="shared" si="106"/>
        <v>01-00-402-004-SALES-CURR</v>
      </c>
      <c r="G2153" t="s">
        <v>127</v>
      </c>
      <c r="H2153" t="s">
        <v>10287</v>
      </c>
      <c r="I2153" t="s">
        <v>10253</v>
      </c>
      <c r="K2153" s="1073" t="s">
        <v>10288</v>
      </c>
      <c r="L2153" s="789" t="s">
        <v>10241</v>
      </c>
      <c r="M2153" s="790" t="str">
        <f t="shared" si="111"/>
        <v>402</v>
      </c>
      <c r="N2153" s="790" t="str">
        <f t="shared" si="112"/>
        <v>004</v>
      </c>
      <c r="O2153" s="799" t="s">
        <v>9883</v>
      </c>
      <c r="P2153" s="799" t="s">
        <v>10244</v>
      </c>
      <c r="R2153" s="30"/>
    </row>
    <row r="2154" spans="1:18">
      <c r="B2154" s="5" t="str">
        <f>Page5_BUI_MCI!C7</f>
        <v>NE PAS UTILISER</v>
      </c>
      <c r="C2154" s="1038" t="str">
        <f>OR_VEH!D156</f>
        <v>403-004</v>
      </c>
      <c r="D2154" s="803">
        <f>Page5_BUI_MCI!G7</f>
        <v>0</v>
      </c>
      <c r="E2154" s="803">
        <f>Page5_BUI_MCI!L7</f>
        <v>0</v>
      </c>
      <c r="F2154" t="str">
        <f t="shared" si="106"/>
        <v>01-00-403-004-SALES-CURR</v>
      </c>
      <c r="G2154" t="s">
        <v>127</v>
      </c>
      <c r="H2154" t="s">
        <v>10287</v>
      </c>
      <c r="I2154" t="s">
        <v>10253</v>
      </c>
      <c r="K2154" s="1073" t="s">
        <v>10288</v>
      </c>
      <c r="L2154" s="789" t="s">
        <v>10241</v>
      </c>
      <c r="M2154" s="790" t="str">
        <f t="shared" si="111"/>
        <v>403</v>
      </c>
      <c r="N2154" s="790" t="str">
        <f t="shared" si="112"/>
        <v>004</v>
      </c>
      <c r="O2154" s="799" t="s">
        <v>9883</v>
      </c>
      <c r="P2154" s="799" t="s">
        <v>10244</v>
      </c>
      <c r="R2154" s="30"/>
    </row>
    <row r="2155" spans="1:18">
      <c r="B2155" s="5" t="str">
        <f>Page5_BUI_MCI!C8</f>
        <v>NE PAS UTILISER</v>
      </c>
      <c r="C2155" s="1038" t="str">
        <f>OR_VEH!D157</f>
        <v>404-004</v>
      </c>
      <c r="D2155" s="803">
        <f>Page5_BUI_MCI!G8</f>
        <v>0</v>
      </c>
      <c r="E2155" s="803">
        <f>Page5_BUI_MCI!L8</f>
        <v>0</v>
      </c>
      <c r="F2155" t="str">
        <f t="shared" si="106"/>
        <v>01-00-404-004-SALES-CURR</v>
      </c>
      <c r="G2155" t="s">
        <v>127</v>
      </c>
      <c r="H2155" t="s">
        <v>10287</v>
      </c>
      <c r="I2155" t="s">
        <v>10253</v>
      </c>
      <c r="K2155" s="1073" t="s">
        <v>10288</v>
      </c>
      <c r="L2155" s="789" t="s">
        <v>10241</v>
      </c>
      <c r="M2155" s="790" t="str">
        <f t="shared" si="111"/>
        <v>404</v>
      </c>
      <c r="N2155" s="790" t="str">
        <f t="shared" si="112"/>
        <v>004</v>
      </c>
      <c r="O2155" s="799" t="s">
        <v>9883</v>
      </c>
      <c r="P2155" s="799" t="s">
        <v>10244</v>
      </c>
      <c r="R2155" s="30"/>
    </row>
    <row r="2156" spans="1:18">
      <c r="B2156" s="5" t="str">
        <f>Page5_BUI_MCI!C9</f>
        <v>NE PAS UTILISER</v>
      </c>
      <c r="C2156" s="1038" t="str">
        <f>OR_VEH!D158</f>
        <v>405-004</v>
      </c>
      <c r="D2156" s="803">
        <f>Page5_BUI_MCI!G9</f>
        <v>0</v>
      </c>
      <c r="E2156" s="803">
        <f>Page5_BUI_MCI!L9</f>
        <v>0</v>
      </c>
      <c r="F2156" t="str">
        <f t="shared" si="106"/>
        <v>01-00-405-004-SALES-CURR</v>
      </c>
      <c r="G2156" t="s">
        <v>127</v>
      </c>
      <c r="H2156" t="s">
        <v>10287</v>
      </c>
      <c r="I2156" t="s">
        <v>10253</v>
      </c>
      <c r="K2156" s="1073" t="s">
        <v>10288</v>
      </c>
      <c r="L2156" s="789" t="s">
        <v>10241</v>
      </c>
      <c r="M2156" s="790" t="str">
        <f t="shared" si="111"/>
        <v>405</v>
      </c>
      <c r="N2156" s="790" t="str">
        <f t="shared" si="112"/>
        <v>004</v>
      </c>
      <c r="O2156" s="799" t="s">
        <v>9883</v>
      </c>
      <c r="P2156" s="799" t="s">
        <v>10244</v>
      </c>
      <c r="R2156" s="30"/>
    </row>
    <row r="2157" spans="1:18">
      <c r="B2157" s="5" t="str">
        <f>Page5_BUI_MCI!C10</f>
        <v>NE PAS UTILISER</v>
      </c>
      <c r="C2157" s="1038" t="str">
        <f>OR_VEH!D159</f>
        <v>406-004</v>
      </c>
      <c r="D2157" s="803">
        <f>Page5_BUI_MCI!G10</f>
        <v>0</v>
      </c>
      <c r="E2157" s="803">
        <f>Page5_BUI_MCI!L10</f>
        <v>0</v>
      </c>
      <c r="F2157" t="str">
        <f t="shared" si="106"/>
        <v>01-00-406-004-SALES-CURR</v>
      </c>
      <c r="G2157" t="s">
        <v>127</v>
      </c>
      <c r="H2157" t="s">
        <v>10287</v>
      </c>
      <c r="I2157" t="s">
        <v>10253</v>
      </c>
      <c r="K2157" s="1073" t="s">
        <v>10288</v>
      </c>
      <c r="L2157" s="789" t="s">
        <v>10241</v>
      </c>
      <c r="M2157" s="790" t="str">
        <f t="shared" si="111"/>
        <v>406</v>
      </c>
      <c r="N2157" s="790" t="str">
        <f t="shared" si="112"/>
        <v>004</v>
      </c>
      <c r="O2157" s="790" t="s">
        <v>9883</v>
      </c>
      <c r="P2157" s="790" t="s">
        <v>10244</v>
      </c>
      <c r="R2157" s="30"/>
    </row>
    <row r="2158" spans="1:18">
      <c r="B2158" s="5" t="str">
        <f>Page5_BUI_MCI!C11</f>
        <v>NE PAS UTILISER</v>
      </c>
      <c r="C2158" s="1038" t="str">
        <f>OR_VEH!D160</f>
        <v>407-004</v>
      </c>
      <c r="D2158" s="803">
        <f>Page5_BUI_MCI!G11</f>
        <v>0</v>
      </c>
      <c r="E2158" s="803">
        <f>Page5_BUI_MCI!L11</f>
        <v>0</v>
      </c>
      <c r="F2158" t="str">
        <f t="shared" si="106"/>
        <v>01-00-407-004-SALES-CURR</v>
      </c>
      <c r="G2158" t="s">
        <v>127</v>
      </c>
      <c r="H2158" t="s">
        <v>10287</v>
      </c>
      <c r="I2158" t="s">
        <v>10253</v>
      </c>
      <c r="K2158" s="1073" t="s">
        <v>10288</v>
      </c>
      <c r="L2158" s="789" t="s">
        <v>10241</v>
      </c>
      <c r="M2158" s="790" t="str">
        <f t="shared" si="111"/>
        <v>407</v>
      </c>
      <c r="N2158" s="790" t="str">
        <f t="shared" si="112"/>
        <v>004</v>
      </c>
      <c r="O2158" s="799" t="s">
        <v>9883</v>
      </c>
      <c r="P2158" s="799" t="s">
        <v>10244</v>
      </c>
      <c r="R2158" s="30"/>
    </row>
    <row r="2159" spans="1:18">
      <c r="B2159" s="5" t="str">
        <f>Page5_BUI_MCI!C12</f>
        <v>NE PAS UTILISER</v>
      </c>
      <c r="C2159" s="1038" t="str">
        <f>OR_VEH!D161</f>
        <v>408-004</v>
      </c>
      <c r="D2159" s="803">
        <f>Page5_BUI_MCI!G12</f>
        <v>0</v>
      </c>
      <c r="E2159" s="803">
        <f>Page5_BUI_MCI!L12</f>
        <v>0</v>
      </c>
      <c r="F2159" t="str">
        <f t="shared" si="106"/>
        <v>01-00-408-004-SALES-CURR</v>
      </c>
      <c r="G2159" t="s">
        <v>127</v>
      </c>
      <c r="H2159" t="s">
        <v>10287</v>
      </c>
      <c r="I2159" t="s">
        <v>10253</v>
      </c>
      <c r="K2159" s="1073" t="s">
        <v>10288</v>
      </c>
      <c r="L2159" s="789" t="s">
        <v>10241</v>
      </c>
      <c r="M2159" s="790" t="str">
        <f t="shared" si="111"/>
        <v>408</v>
      </c>
      <c r="N2159" s="790" t="str">
        <f t="shared" si="112"/>
        <v>004</v>
      </c>
      <c r="O2159" s="799" t="s">
        <v>9883</v>
      </c>
      <c r="P2159" s="799" t="s">
        <v>10244</v>
      </c>
      <c r="R2159" s="30"/>
    </row>
    <row r="2160" spans="1:18">
      <c r="B2160" s="5" t="str">
        <f>Page5_BUI_MCI!C13</f>
        <v>NE PAS UTILISER</v>
      </c>
      <c r="C2160" s="1038" t="str">
        <f>OR_VEH!D162</f>
        <v>409-004</v>
      </c>
      <c r="D2160" s="803">
        <f>Page5_BUI_MCI!G13</f>
        <v>0</v>
      </c>
      <c r="E2160" s="803">
        <f>Page5_BUI_MCI!L13</f>
        <v>0</v>
      </c>
      <c r="F2160" t="str">
        <f t="shared" si="106"/>
        <v>01-00-409-004-SALES-CURR</v>
      </c>
      <c r="G2160" t="s">
        <v>127</v>
      </c>
      <c r="H2160" t="s">
        <v>10287</v>
      </c>
      <c r="I2160" t="s">
        <v>10253</v>
      </c>
      <c r="K2160" s="1073" t="s">
        <v>10288</v>
      </c>
      <c r="L2160" s="789" t="s">
        <v>10241</v>
      </c>
      <c r="M2160" s="790" t="str">
        <f t="shared" si="111"/>
        <v>409</v>
      </c>
      <c r="N2160" s="790" t="str">
        <f t="shared" si="112"/>
        <v>004</v>
      </c>
      <c r="O2160" s="799" t="s">
        <v>9883</v>
      </c>
      <c r="P2160" s="799" t="s">
        <v>10244</v>
      </c>
      <c r="R2160" s="30"/>
    </row>
    <row r="2161" spans="2:18">
      <c r="B2161" s="5" t="str">
        <f>Page5_BUI_MCI!C14</f>
        <v>NE PAS UTILISER</v>
      </c>
      <c r="C2161" s="1038" t="str">
        <f>OR_VEH!D163</f>
        <v>410-004</v>
      </c>
      <c r="D2161" s="803">
        <f>Page5_BUI_MCI!G14</f>
        <v>0</v>
      </c>
      <c r="E2161" s="803">
        <f>Page5_BUI_MCI!L14</f>
        <v>0</v>
      </c>
      <c r="F2161" t="str">
        <f t="shared" si="106"/>
        <v>01-00-410-004-SALES-CURR</v>
      </c>
      <c r="G2161" t="s">
        <v>127</v>
      </c>
      <c r="H2161" t="s">
        <v>10287</v>
      </c>
      <c r="I2161" t="s">
        <v>10253</v>
      </c>
      <c r="K2161" s="1073" t="s">
        <v>10288</v>
      </c>
      <c r="L2161" s="789" t="s">
        <v>10241</v>
      </c>
      <c r="M2161" s="790" t="str">
        <f t="shared" si="111"/>
        <v>410</v>
      </c>
      <c r="N2161" s="790" t="str">
        <f t="shared" si="112"/>
        <v>004</v>
      </c>
      <c r="O2161" s="799" t="s">
        <v>9883</v>
      </c>
      <c r="P2161" s="799" t="s">
        <v>10244</v>
      </c>
      <c r="R2161" s="30"/>
    </row>
    <row r="2162" spans="2:18">
      <c r="B2162" s="5" t="str">
        <f>Page5_BUI_MCI!C15</f>
        <v>NE PAS UTILISER</v>
      </c>
      <c r="C2162" s="1038" t="str">
        <f>OR_VEH!D164</f>
        <v>411-004</v>
      </c>
      <c r="D2162" s="803">
        <f>Page5_BUI_MCI!G15</f>
        <v>0</v>
      </c>
      <c r="E2162" s="803">
        <f>Page5_BUI_MCI!L15</f>
        <v>0</v>
      </c>
      <c r="F2162" t="str">
        <f t="shared" si="106"/>
        <v>01-00-411-004-SALES-CURR</v>
      </c>
      <c r="G2162" t="s">
        <v>127</v>
      </c>
      <c r="H2162" t="s">
        <v>10287</v>
      </c>
      <c r="I2162" t="s">
        <v>10253</v>
      </c>
      <c r="K2162" s="1073" t="s">
        <v>10288</v>
      </c>
      <c r="L2162" s="789" t="s">
        <v>10241</v>
      </c>
      <c r="M2162" s="790" t="str">
        <f t="shared" si="111"/>
        <v>411</v>
      </c>
      <c r="N2162" s="790" t="str">
        <f t="shared" si="112"/>
        <v>004</v>
      </c>
      <c r="O2162" s="790" t="s">
        <v>9883</v>
      </c>
      <c r="P2162" s="790" t="s">
        <v>10244</v>
      </c>
      <c r="R2162" s="30"/>
    </row>
    <row r="2163" spans="2:18">
      <c r="B2163" s="5" t="str">
        <f>Page5_BUI_MCI!C16</f>
        <v>NE PAS UTILISER</v>
      </c>
      <c r="C2163" s="1038" t="str">
        <f>OR_VEH!D165</f>
        <v>412-004</v>
      </c>
      <c r="D2163" s="803">
        <f>Page5_BUI_MCI!G16</f>
        <v>0</v>
      </c>
      <c r="E2163" s="803">
        <f>Page5_BUI_MCI!L16</f>
        <v>0</v>
      </c>
      <c r="F2163" t="str">
        <f t="shared" si="106"/>
        <v>01-00-412-004-SALES-CURR</v>
      </c>
      <c r="G2163" t="s">
        <v>127</v>
      </c>
      <c r="H2163" t="s">
        <v>10287</v>
      </c>
      <c r="I2163" t="s">
        <v>10253</v>
      </c>
      <c r="K2163" s="1073" t="s">
        <v>10288</v>
      </c>
      <c r="L2163" s="789" t="s">
        <v>10241</v>
      </c>
      <c r="M2163" s="790" t="str">
        <f t="shared" si="111"/>
        <v>412</v>
      </c>
      <c r="N2163" s="790" t="str">
        <f t="shared" si="112"/>
        <v>004</v>
      </c>
      <c r="O2163" s="790" t="s">
        <v>9883</v>
      </c>
      <c r="P2163" s="790" t="s">
        <v>10244</v>
      </c>
      <c r="R2163" s="30"/>
    </row>
    <row r="2164" spans="2:18">
      <c r="B2164" s="5" t="str">
        <f>Page5_BUI_MCI!C17</f>
        <v>NE PAS UTILISER</v>
      </c>
      <c r="C2164" s="1038" t="str">
        <f>OR_VEH!D166</f>
        <v>413-004</v>
      </c>
      <c r="D2164" s="803">
        <f>Page5_BUI_MCI!G17</f>
        <v>0</v>
      </c>
      <c r="E2164" s="803">
        <f>Page5_BUI_MCI!L17</f>
        <v>0</v>
      </c>
      <c r="F2164" t="str">
        <f t="shared" si="106"/>
        <v>01-00-413-004-SALES-CURR</v>
      </c>
      <c r="G2164" t="s">
        <v>127</v>
      </c>
      <c r="H2164" t="s">
        <v>10287</v>
      </c>
      <c r="I2164" t="s">
        <v>10253</v>
      </c>
      <c r="K2164" s="1073" t="s">
        <v>10288</v>
      </c>
      <c r="L2164" s="789" t="s">
        <v>10241</v>
      </c>
      <c r="M2164" s="790" t="str">
        <f t="shared" si="111"/>
        <v>413</v>
      </c>
      <c r="N2164" s="790" t="str">
        <f t="shared" si="112"/>
        <v>004</v>
      </c>
      <c r="O2164" s="790" t="s">
        <v>9883</v>
      </c>
      <c r="P2164" s="790" t="s">
        <v>10244</v>
      </c>
      <c r="R2164" s="30"/>
    </row>
    <row r="2165" spans="2:18">
      <c r="B2165" s="5" t="str">
        <f>Page5_BUI_MCI!C18</f>
        <v>NE PAS UTILISER</v>
      </c>
      <c r="C2165" s="1038" t="str">
        <f>OR_VEH!D167</f>
        <v>414-004</v>
      </c>
      <c r="D2165" s="803">
        <f>Page5_BUI_MCI!G18</f>
        <v>0</v>
      </c>
      <c r="E2165" s="803">
        <f>Page5_BUI_MCI!L18</f>
        <v>0</v>
      </c>
      <c r="F2165" t="str">
        <f t="shared" si="106"/>
        <v>01-00-414-004-SALES-CURR</v>
      </c>
      <c r="G2165" t="s">
        <v>127</v>
      </c>
      <c r="H2165" t="s">
        <v>10287</v>
      </c>
      <c r="I2165" t="s">
        <v>10253</v>
      </c>
      <c r="K2165" s="1073" t="s">
        <v>10288</v>
      </c>
      <c r="L2165" s="789" t="s">
        <v>10241</v>
      </c>
      <c r="M2165" s="790" t="str">
        <f t="shared" si="111"/>
        <v>414</v>
      </c>
      <c r="N2165" s="790" t="str">
        <f t="shared" si="112"/>
        <v>004</v>
      </c>
      <c r="O2165" s="790" t="s">
        <v>9883</v>
      </c>
      <c r="P2165" s="790" t="s">
        <v>10244</v>
      </c>
      <c r="R2165" s="30"/>
    </row>
    <row r="2166" spans="2:18">
      <c r="B2166" s="5" t="str">
        <f>Page5_BUI_MCI!C19</f>
        <v>NE PAS UTILISER</v>
      </c>
      <c r="C2166" s="1038" t="str">
        <f>OR_VEH!D168</f>
        <v>415-004</v>
      </c>
      <c r="D2166" s="803">
        <f>Page5_BUI_MCI!G19</f>
        <v>0</v>
      </c>
      <c r="E2166" s="803">
        <f>Page5_BUI_MCI!L19</f>
        <v>0</v>
      </c>
      <c r="F2166" t="str">
        <f t="shared" ref="F2166:F2229" si="113">TEXT(K2166,"00")&amp;"-"&amp;L2166&amp;IF(M2166="","","-"&amp;M2166)&amp;IF(N2166="","","-"&amp;N2166)&amp;IF(OR(O2166="",O2166=0),"","-"&amp;O2166)&amp;IF(P2166="","","-"&amp;P2166)</f>
        <v>01-00-415-004-SALES-CURR</v>
      </c>
      <c r="G2166" t="s">
        <v>127</v>
      </c>
      <c r="H2166" t="s">
        <v>10287</v>
      </c>
      <c r="I2166" t="s">
        <v>10253</v>
      </c>
      <c r="K2166" s="1073" t="s">
        <v>10288</v>
      </c>
      <c r="L2166" s="789" t="s">
        <v>10241</v>
      </c>
      <c r="M2166" s="790" t="str">
        <f t="shared" si="111"/>
        <v>415</v>
      </c>
      <c r="N2166" s="790" t="str">
        <f t="shared" si="112"/>
        <v>004</v>
      </c>
      <c r="O2166" s="790" t="s">
        <v>9883</v>
      </c>
      <c r="P2166" s="790" t="s">
        <v>10244</v>
      </c>
      <c r="R2166" s="30"/>
    </row>
    <row r="2167" spans="2:18">
      <c r="B2167" s="5" t="str">
        <f>Page5_BUI_MCI!C20</f>
        <v>POUR USAGE FUTUR</v>
      </c>
      <c r="C2167" s="1038" t="str">
        <f>OR_VEH!D169</f>
        <v>416-004</v>
      </c>
      <c r="D2167" s="803">
        <f>Page5_BUI_MCI!G20</f>
        <v>0</v>
      </c>
      <c r="E2167" s="803">
        <f>Page5_BUI_MCI!L20</f>
        <v>0</v>
      </c>
      <c r="F2167" t="str">
        <f t="shared" si="113"/>
        <v>01-00-416-004-SALES-CURR</v>
      </c>
      <c r="G2167" t="s">
        <v>127</v>
      </c>
      <c r="H2167" t="s">
        <v>10287</v>
      </c>
      <c r="I2167" t="s">
        <v>10253</v>
      </c>
      <c r="K2167" s="1073" t="s">
        <v>10288</v>
      </c>
      <c r="L2167" s="789" t="s">
        <v>10241</v>
      </c>
      <c r="M2167" s="790" t="str">
        <f t="shared" si="111"/>
        <v>416</v>
      </c>
      <c r="N2167" s="790" t="str">
        <f t="shared" si="112"/>
        <v>004</v>
      </c>
      <c r="O2167" s="790" t="s">
        <v>9883</v>
      </c>
      <c r="P2167" s="790" t="s">
        <v>10244</v>
      </c>
      <c r="R2167" s="30"/>
    </row>
    <row r="2168" spans="2:18">
      <c r="B2168" s="5" t="str">
        <f>Page5_BUI_MCI!C21</f>
        <v>NE PAS UTILISER</v>
      </c>
      <c r="C2168" s="1038" t="str">
        <f>OR_VEH!D170</f>
        <v>417-004</v>
      </c>
      <c r="D2168" s="803">
        <f>Page5_BUI_MCI!G21</f>
        <v>0</v>
      </c>
      <c r="E2168" s="803">
        <f>Page5_BUI_MCI!L21</f>
        <v>0</v>
      </c>
      <c r="F2168" t="str">
        <f t="shared" si="113"/>
        <v>01-00-417-004-SALES-CURR</v>
      </c>
      <c r="G2168" t="s">
        <v>127</v>
      </c>
      <c r="H2168" t="s">
        <v>10287</v>
      </c>
      <c r="I2168" t="s">
        <v>10253</v>
      </c>
      <c r="K2168" s="1073" t="s">
        <v>10288</v>
      </c>
      <c r="L2168" s="789" t="s">
        <v>10241</v>
      </c>
      <c r="M2168" s="790" t="str">
        <f t="shared" si="111"/>
        <v>417</v>
      </c>
      <c r="N2168" s="790" t="str">
        <f t="shared" si="112"/>
        <v>004</v>
      </c>
      <c r="O2168" s="790" t="s">
        <v>9883</v>
      </c>
      <c r="P2168" s="790" t="s">
        <v>10244</v>
      </c>
      <c r="R2168" s="30"/>
    </row>
    <row r="2169" spans="2:18">
      <c r="B2169" s="5" t="str">
        <f>Page5_BUI_MCI!C22</f>
        <v>AUTRES BUICK</v>
      </c>
      <c r="C2169" s="1038" t="str">
        <f>OR_VEH!D171</f>
        <v>418-004</v>
      </c>
      <c r="D2169" s="803">
        <f>Page5_BUI_MCI!G22</f>
        <v>0</v>
      </c>
      <c r="E2169" s="803">
        <f>Page5_BUI_MCI!L22</f>
        <v>0</v>
      </c>
      <c r="F2169" t="str">
        <f t="shared" si="113"/>
        <v>01-00-418-004-SALES-CURR</v>
      </c>
      <c r="G2169" t="s">
        <v>127</v>
      </c>
      <c r="H2169" t="s">
        <v>10287</v>
      </c>
      <c r="I2169" t="s">
        <v>10253</v>
      </c>
      <c r="K2169" s="1073" t="s">
        <v>10288</v>
      </c>
      <c r="L2169" s="789" t="s">
        <v>10241</v>
      </c>
      <c r="M2169" s="790" t="str">
        <f t="shared" si="111"/>
        <v>418</v>
      </c>
      <c r="N2169" s="790" t="str">
        <f t="shared" si="112"/>
        <v>004</v>
      </c>
      <c r="O2169" s="799" t="s">
        <v>9883</v>
      </c>
      <c r="P2169" s="799" t="s">
        <v>10244</v>
      </c>
      <c r="R2169" s="30"/>
    </row>
    <row r="2170" spans="2:18">
      <c r="B2170" s="27" t="s">
        <v>12155</v>
      </c>
      <c r="C2170" s="1042"/>
      <c r="D2170" s="803">
        <f>Page5_BUI_MCI!G23</f>
        <v>0</v>
      </c>
      <c r="E2170" s="803">
        <f>Page5_BUI_MCI!L23</f>
        <v>0</v>
      </c>
      <c r="F2170" t="str">
        <f t="shared" si="113"/>
        <v>01-00-RTLCAR5D-SALES-CURR</v>
      </c>
      <c r="G2170" t="s">
        <v>127</v>
      </c>
      <c r="H2170" t="s">
        <v>10287</v>
      </c>
      <c r="I2170" t="s">
        <v>10253</v>
      </c>
      <c r="J2170" t="s">
        <v>10268</v>
      </c>
      <c r="K2170" s="1073" t="s">
        <v>10288</v>
      </c>
      <c r="L2170" s="789" t="s">
        <v>10241</v>
      </c>
      <c r="M2170" s="790" t="s">
        <v>10323</v>
      </c>
      <c r="O2170" s="790" t="s">
        <v>9883</v>
      </c>
      <c r="P2170" s="790" t="s">
        <v>10244</v>
      </c>
      <c r="Q2170" s="791" t="s">
        <v>773</v>
      </c>
    </row>
    <row r="2171" spans="2:18">
      <c r="B2171" s="5" t="str">
        <f>Page5_BUI_MCI!C24</f>
        <v>MÉMO* VENTES INTERNET VOITURES</v>
      </c>
      <c r="C2171" s="1038" t="str">
        <f>OR_VEH!D173</f>
        <v>419P5D</v>
      </c>
      <c r="D2171" s="803">
        <f>Page5_BUI_MCI!G24</f>
        <v>0</v>
      </c>
      <c r="E2171" s="803">
        <f>Page5_BUI_MCI!L24</f>
        <v>0</v>
      </c>
      <c r="F2171" t="str">
        <f t="shared" si="113"/>
        <v>01-00-419P5D-SALES-CURR</v>
      </c>
      <c r="G2171" t="s">
        <v>127</v>
      </c>
      <c r="H2171" t="s">
        <v>10287</v>
      </c>
      <c r="I2171" t="s">
        <v>10253</v>
      </c>
      <c r="K2171" s="1073" t="s">
        <v>10288</v>
      </c>
      <c r="L2171" s="789" t="s">
        <v>10241</v>
      </c>
      <c r="M2171" s="855" t="str">
        <f>C2171</f>
        <v>419P5D</v>
      </c>
      <c r="N2171" s="855"/>
      <c r="O2171" s="790" t="s">
        <v>9883</v>
      </c>
      <c r="P2171" s="790" t="s">
        <v>10244</v>
      </c>
      <c r="R2171" s="30"/>
    </row>
    <row r="2172" spans="2:18">
      <c r="B2172" s="5" t="str">
        <f>Page5_BUI_MCI!C25</f>
        <v>TOTAL PARCS - VOITURES</v>
      </c>
      <c r="C2172" s="1038" t="str">
        <f>OR_VEH!D174</f>
        <v>420P5D</v>
      </c>
      <c r="D2172" s="803">
        <f>Page5_BUI_MCI!G25</f>
        <v>0</v>
      </c>
      <c r="E2172" s="803">
        <f>Page5_BUI_MCI!L25</f>
        <v>0</v>
      </c>
      <c r="F2172" t="str">
        <f t="shared" si="113"/>
        <v>01-00-420P5D-SALES-CURR</v>
      </c>
      <c r="G2172" t="s">
        <v>127</v>
      </c>
      <c r="H2172" t="s">
        <v>10287</v>
      </c>
      <c r="I2172" t="s">
        <v>10253</v>
      </c>
      <c r="K2172" s="1073" t="s">
        <v>10288</v>
      </c>
      <c r="L2172" s="789" t="s">
        <v>10241</v>
      </c>
      <c r="M2172" s="855" t="str">
        <f>C2172</f>
        <v>420P5D</v>
      </c>
      <c r="N2172" s="855"/>
      <c r="O2172" s="799" t="s">
        <v>9883</v>
      </c>
      <c r="P2172" s="799" t="s">
        <v>10244</v>
      </c>
      <c r="R2172" s="30"/>
    </row>
    <row r="2173" spans="2:18">
      <c r="B2173" s="5" t="str">
        <f>Page5_BUI_MCI!C26</f>
        <v>TOTAL INTERNE - VOITURES</v>
      </c>
      <c r="C2173" s="1038" t="str">
        <f>OR_VEH!D175</f>
        <v>421P5D</v>
      </c>
      <c r="D2173" s="803">
        <f>Page5_BUI_MCI!G26</f>
        <v>0</v>
      </c>
      <c r="E2173" s="803">
        <f>Page5_BUI_MCI!L26</f>
        <v>0</v>
      </c>
      <c r="F2173" t="str">
        <f t="shared" si="113"/>
        <v>01-00-421P5D-SALES-CURR</v>
      </c>
      <c r="G2173" t="s">
        <v>127</v>
      </c>
      <c r="H2173" t="s">
        <v>10287</v>
      </c>
      <c r="I2173" t="s">
        <v>10253</v>
      </c>
      <c r="K2173" s="1073" t="s">
        <v>10288</v>
      </c>
      <c r="L2173" s="789" t="s">
        <v>10241</v>
      </c>
      <c r="M2173" s="855" t="str">
        <f>C2173</f>
        <v>421P5D</v>
      </c>
      <c r="N2173" s="855"/>
      <c r="O2173" s="799" t="s">
        <v>9883</v>
      </c>
      <c r="P2173" s="799" t="s">
        <v>10244</v>
      </c>
      <c r="R2173" s="30"/>
    </row>
    <row r="2174" spans="2:18">
      <c r="B2174" s="27" t="s">
        <v>12156</v>
      </c>
      <c r="C2174" s="1042"/>
      <c r="D2174" s="803">
        <f>Page5_BUI_MCI!G27</f>
        <v>0</v>
      </c>
      <c r="E2174" s="803">
        <f>Page5_BUI_MCI!L27</f>
        <v>0</v>
      </c>
      <c r="F2174" t="str">
        <f t="shared" si="113"/>
        <v>01-00-TOTCAR5D-SALES-CURR</v>
      </c>
      <c r="G2174" t="s">
        <v>127</v>
      </c>
      <c r="H2174" t="s">
        <v>10287</v>
      </c>
      <c r="I2174" t="s">
        <v>10253</v>
      </c>
      <c r="J2174" t="s">
        <v>10268</v>
      </c>
      <c r="K2174" s="1073" t="s">
        <v>10288</v>
      </c>
      <c r="L2174" s="789" t="s">
        <v>10241</v>
      </c>
      <c r="M2174" s="790" t="s">
        <v>10325</v>
      </c>
      <c r="O2174" s="790" t="s">
        <v>9883</v>
      </c>
      <c r="P2174" s="790" t="s">
        <v>10244</v>
      </c>
      <c r="Q2174" s="791" t="s">
        <v>773</v>
      </c>
    </row>
    <row r="2175" spans="2:18">
      <c r="B2175" s="5" t="str">
        <f>Page5_BUI_MCI!C28</f>
        <v>NE PAS UTILISER</v>
      </c>
      <c r="C2175" s="1038" t="str">
        <f>OR_VEH!D177</f>
        <v>423-004</v>
      </c>
      <c r="D2175" s="803">
        <f>Page5_BUI_MCI!G28</f>
        <v>0</v>
      </c>
      <c r="E2175" s="803">
        <f>Page5_BUI_MCI!L28</f>
        <v>0</v>
      </c>
      <c r="F2175" t="str">
        <f t="shared" si="113"/>
        <v>01-00-423-004-SALES-CURR</v>
      </c>
      <c r="G2175" t="s">
        <v>127</v>
      </c>
      <c r="H2175" t="s">
        <v>10287</v>
      </c>
      <c r="I2175" t="s">
        <v>10253</v>
      </c>
      <c r="K2175" s="1073" t="s">
        <v>10288</v>
      </c>
      <c r="L2175" s="789" t="s">
        <v>10241</v>
      </c>
      <c r="M2175" s="790" t="str">
        <f t="shared" ref="M2175:M2190" si="114">LEFT(C2175,3)</f>
        <v>423</v>
      </c>
      <c r="N2175" s="790" t="str">
        <f t="shared" ref="N2175:N2190" si="115">RIGHT(C2175,3)</f>
        <v>004</v>
      </c>
      <c r="O2175" s="790" t="s">
        <v>9883</v>
      </c>
      <c r="P2175" s="790" t="s">
        <v>10244</v>
      </c>
      <c r="R2175" s="30"/>
    </row>
    <row r="2176" spans="2:18">
      <c r="B2176" s="5" t="str">
        <f>Page5_BUI_MCI!C29</f>
        <v>ENVISTA</v>
      </c>
      <c r="C2176" s="1038" t="str">
        <f>OR_VEH!D178</f>
        <v>424-004</v>
      </c>
      <c r="D2176" s="803">
        <f>Page5_BUI_MCI!G29</f>
        <v>165614</v>
      </c>
      <c r="E2176" s="803">
        <f>Page5_BUI_MCI!L29</f>
        <v>197358</v>
      </c>
      <c r="F2176" t="str">
        <f t="shared" si="113"/>
        <v>01-00-424-004-SALES-CURR</v>
      </c>
      <c r="G2176" t="s">
        <v>127</v>
      </c>
      <c r="H2176" t="s">
        <v>10287</v>
      </c>
      <c r="I2176" t="s">
        <v>10253</v>
      </c>
      <c r="K2176" s="1073" t="s">
        <v>10288</v>
      </c>
      <c r="L2176" s="789" t="s">
        <v>10241</v>
      </c>
      <c r="M2176" s="790" t="str">
        <f t="shared" si="114"/>
        <v>424</v>
      </c>
      <c r="N2176" s="790" t="str">
        <f t="shared" si="115"/>
        <v>004</v>
      </c>
      <c r="O2176" s="790" t="s">
        <v>9883</v>
      </c>
      <c r="P2176" s="790" t="s">
        <v>10244</v>
      </c>
      <c r="R2176" s="30"/>
    </row>
    <row r="2177" spans="2:18">
      <c r="B2177" s="5" t="str">
        <f>Page5_BUI_MCI!C30</f>
        <v>NE PAS UTILISER</v>
      </c>
      <c r="C2177" s="1038" t="str">
        <f>OR_VEH!D179</f>
        <v>425-004</v>
      </c>
      <c r="D2177" s="803">
        <f>Page5_BUI_MCI!G30</f>
        <v>0</v>
      </c>
      <c r="E2177" s="803">
        <f>Page5_BUI_MCI!L30</f>
        <v>0</v>
      </c>
      <c r="F2177" t="str">
        <f t="shared" si="113"/>
        <v>01-00-425-004-SALES-CURR</v>
      </c>
      <c r="G2177" t="s">
        <v>127</v>
      </c>
      <c r="H2177" t="s">
        <v>10287</v>
      </c>
      <c r="I2177" t="s">
        <v>10253</v>
      </c>
      <c r="K2177" s="1073" t="s">
        <v>10288</v>
      </c>
      <c r="L2177" s="789" t="s">
        <v>10241</v>
      </c>
      <c r="M2177" s="790" t="str">
        <f t="shared" si="114"/>
        <v>425</v>
      </c>
      <c r="N2177" s="790" t="str">
        <f t="shared" si="115"/>
        <v>004</v>
      </c>
      <c r="O2177" s="790" t="s">
        <v>9883</v>
      </c>
      <c r="P2177" s="790" t="s">
        <v>10244</v>
      </c>
      <c r="R2177" s="30"/>
    </row>
    <row r="2178" spans="2:18">
      <c r="B2178" s="5" t="str">
        <f>Page5_BUI_MCI!C31</f>
        <v>ENCLAVE</v>
      </c>
      <c r="C2178" s="1038" t="str">
        <f>OR_VEH!D180</f>
        <v>426-004</v>
      </c>
      <c r="D2178" s="803">
        <f>Page5_BUI_MCI!G31</f>
        <v>0</v>
      </c>
      <c r="E2178" s="803">
        <f>Page5_BUI_MCI!L31</f>
        <v>59739</v>
      </c>
      <c r="F2178" t="str">
        <f t="shared" si="113"/>
        <v>01-00-426-004-SALES-CURR</v>
      </c>
      <c r="G2178" t="s">
        <v>127</v>
      </c>
      <c r="H2178" t="s">
        <v>10287</v>
      </c>
      <c r="I2178" t="s">
        <v>10253</v>
      </c>
      <c r="K2178" s="1073" t="s">
        <v>10288</v>
      </c>
      <c r="L2178" s="789" t="s">
        <v>10241</v>
      </c>
      <c r="M2178" s="790" t="str">
        <f t="shared" si="114"/>
        <v>426</v>
      </c>
      <c r="N2178" s="790" t="str">
        <f t="shared" si="115"/>
        <v>004</v>
      </c>
      <c r="O2178" s="790" t="s">
        <v>9883</v>
      </c>
      <c r="P2178" s="790" t="s">
        <v>10244</v>
      </c>
      <c r="R2178" s="30"/>
    </row>
    <row r="2179" spans="2:18">
      <c r="B2179" s="5" t="str">
        <f>Page5_BUI_MCI!C32</f>
        <v>ENCORE GX</v>
      </c>
      <c r="C2179" s="1038" t="str">
        <f>OR_VEH!D181</f>
        <v>427-004</v>
      </c>
      <c r="D2179" s="803">
        <f>Page5_BUI_MCI!G32</f>
        <v>0</v>
      </c>
      <c r="E2179" s="803">
        <f>Page5_BUI_MCI!L32</f>
        <v>0</v>
      </c>
      <c r="F2179" t="str">
        <f t="shared" si="113"/>
        <v>01-00-427-004-SALES-CURR</v>
      </c>
      <c r="G2179" t="s">
        <v>127</v>
      </c>
      <c r="H2179" t="s">
        <v>10287</v>
      </c>
      <c r="I2179" t="s">
        <v>10253</v>
      </c>
      <c r="K2179" s="1073" t="s">
        <v>10288</v>
      </c>
      <c r="L2179" s="789" t="s">
        <v>10241</v>
      </c>
      <c r="M2179" s="790" t="str">
        <f t="shared" si="114"/>
        <v>427</v>
      </c>
      <c r="N2179" s="790" t="str">
        <f t="shared" si="115"/>
        <v>004</v>
      </c>
      <c r="O2179" s="790" t="s">
        <v>9883</v>
      </c>
      <c r="P2179" s="790" t="s">
        <v>10244</v>
      </c>
      <c r="R2179" s="30"/>
    </row>
    <row r="2180" spans="2:18">
      <c r="B2180" s="5" t="str">
        <f>Page5_BUI_MCI!C33</f>
        <v>ENCORE</v>
      </c>
      <c r="C2180" s="1038" t="str">
        <f>OR_VEH!D182</f>
        <v>428-004</v>
      </c>
      <c r="D2180" s="803">
        <f>Page5_BUI_MCI!G33</f>
        <v>113627</v>
      </c>
      <c r="E2180" s="803">
        <f>Page5_BUI_MCI!L33</f>
        <v>185859</v>
      </c>
      <c r="F2180" t="str">
        <f t="shared" si="113"/>
        <v>01-00-428-004-SALES-CURR</v>
      </c>
      <c r="G2180" t="s">
        <v>127</v>
      </c>
      <c r="H2180" t="s">
        <v>10287</v>
      </c>
      <c r="I2180" t="s">
        <v>10253</v>
      </c>
      <c r="K2180" s="1073" t="s">
        <v>10288</v>
      </c>
      <c r="L2180" s="789" t="s">
        <v>10241</v>
      </c>
      <c r="M2180" s="790" t="str">
        <f t="shared" si="114"/>
        <v>428</v>
      </c>
      <c r="N2180" s="790" t="str">
        <f t="shared" si="115"/>
        <v>004</v>
      </c>
      <c r="O2180" s="790" t="s">
        <v>9883</v>
      </c>
      <c r="P2180" s="790" t="s">
        <v>10244</v>
      </c>
      <c r="R2180" s="30"/>
    </row>
    <row r="2181" spans="2:18">
      <c r="B2181" s="5" t="str">
        <f>Page5_BUI_MCI!C34</f>
        <v>ENVISION</v>
      </c>
      <c r="C2181" s="1038" t="str">
        <f>OR_VEH!D183</f>
        <v>429-004</v>
      </c>
      <c r="D2181" s="803">
        <f>Page5_BUI_MCI!G34</f>
        <v>91712</v>
      </c>
      <c r="E2181" s="803">
        <f>Page5_BUI_MCI!L34</f>
        <v>364987</v>
      </c>
      <c r="F2181" t="str">
        <f t="shared" si="113"/>
        <v>01-00-429-004-SALES-CURR</v>
      </c>
      <c r="G2181" t="s">
        <v>127</v>
      </c>
      <c r="H2181" t="s">
        <v>10287</v>
      </c>
      <c r="I2181" t="s">
        <v>10253</v>
      </c>
      <c r="K2181" s="1073" t="s">
        <v>10288</v>
      </c>
      <c r="L2181" s="789" t="s">
        <v>10241</v>
      </c>
      <c r="M2181" s="790" t="str">
        <f t="shared" si="114"/>
        <v>429</v>
      </c>
      <c r="N2181" s="790" t="str">
        <f t="shared" si="115"/>
        <v>004</v>
      </c>
      <c r="O2181" s="790" t="s">
        <v>9883</v>
      </c>
      <c r="P2181" s="790" t="s">
        <v>10244</v>
      </c>
      <c r="R2181" s="30"/>
    </row>
    <row r="2182" spans="2:18">
      <c r="B2182" s="5" t="str">
        <f>Page5_BUI_MCI!C35</f>
        <v>NE PAS UTILISER</v>
      </c>
      <c r="C2182" s="1038" t="str">
        <f>OR_VEH!D184</f>
        <v>430-004</v>
      </c>
      <c r="D2182" s="803">
        <f>Page5_BUI_MCI!G35</f>
        <v>0</v>
      </c>
      <c r="E2182" s="803">
        <f>Page5_BUI_MCI!L35</f>
        <v>0</v>
      </c>
      <c r="F2182" t="str">
        <f t="shared" si="113"/>
        <v>01-00-430-004-SALES-CURR</v>
      </c>
      <c r="G2182" t="s">
        <v>127</v>
      </c>
      <c r="H2182" t="s">
        <v>10287</v>
      </c>
      <c r="I2182" t="s">
        <v>10253</v>
      </c>
      <c r="K2182" s="1073" t="s">
        <v>10288</v>
      </c>
      <c r="L2182" s="789" t="s">
        <v>10241</v>
      </c>
      <c r="M2182" s="790" t="str">
        <f t="shared" si="114"/>
        <v>430</v>
      </c>
      <c r="N2182" s="790" t="str">
        <f t="shared" si="115"/>
        <v>004</v>
      </c>
      <c r="O2182" s="790" t="s">
        <v>9883</v>
      </c>
      <c r="P2182" s="790" t="s">
        <v>10244</v>
      </c>
      <c r="R2182" s="30"/>
    </row>
    <row r="2183" spans="2:18">
      <c r="B2183" s="5" t="str">
        <f>Page5_BUI_MCI!C36</f>
        <v>NE PAS UTILISER</v>
      </c>
      <c r="C2183" s="1038" t="str">
        <f>OR_VEH!D185</f>
        <v>431-004</v>
      </c>
      <c r="D2183" s="803">
        <f>Page5_BUI_MCI!G36</f>
        <v>0</v>
      </c>
      <c r="E2183" s="803">
        <f>Page5_BUI_MCI!L36</f>
        <v>0</v>
      </c>
      <c r="F2183" t="str">
        <f t="shared" si="113"/>
        <v>01-00-431-004-SALES-CURR</v>
      </c>
      <c r="G2183" t="s">
        <v>127</v>
      </c>
      <c r="H2183" t="s">
        <v>10287</v>
      </c>
      <c r="I2183" t="s">
        <v>10253</v>
      </c>
      <c r="K2183" s="1073" t="s">
        <v>10288</v>
      </c>
      <c r="L2183" s="789" t="s">
        <v>10241</v>
      </c>
      <c r="M2183" s="790" t="str">
        <f t="shared" si="114"/>
        <v>431</v>
      </c>
      <c r="N2183" s="790" t="str">
        <f t="shared" si="115"/>
        <v>004</v>
      </c>
      <c r="O2183" s="790" t="s">
        <v>9883</v>
      </c>
      <c r="P2183" s="790" t="s">
        <v>10244</v>
      </c>
      <c r="R2183" s="30"/>
    </row>
    <row r="2184" spans="2:18">
      <c r="B2184" s="5" t="str">
        <f>Page5_BUI_MCI!C37</f>
        <v>NE PAS UTILISER</v>
      </c>
      <c r="C2184" s="1038" t="str">
        <f>OR_VEH!D186</f>
        <v>432-004</v>
      </c>
      <c r="D2184" s="803">
        <f>Page5_BUI_MCI!G37</f>
        <v>0</v>
      </c>
      <c r="E2184" s="803">
        <f>Page5_BUI_MCI!L37</f>
        <v>0</v>
      </c>
      <c r="F2184" t="str">
        <f t="shared" si="113"/>
        <v>01-00-432-004-SALES-CURR</v>
      </c>
      <c r="G2184" t="s">
        <v>127</v>
      </c>
      <c r="H2184" t="s">
        <v>10287</v>
      </c>
      <c r="I2184" t="s">
        <v>10253</v>
      </c>
      <c r="K2184" s="1073" t="s">
        <v>10288</v>
      </c>
      <c r="L2184" s="789" t="s">
        <v>10241</v>
      </c>
      <c r="M2184" s="790" t="str">
        <f t="shared" si="114"/>
        <v>432</v>
      </c>
      <c r="N2184" s="790" t="str">
        <f t="shared" si="115"/>
        <v>004</v>
      </c>
      <c r="O2184" s="790" t="s">
        <v>9883</v>
      </c>
      <c r="P2184" s="790" t="s">
        <v>10244</v>
      </c>
      <c r="R2184" s="30"/>
    </row>
    <row r="2185" spans="2:18">
      <c r="B2185" s="5" t="str">
        <f>Page5_BUI_MCI!C38</f>
        <v>NE PAS UTILISER</v>
      </c>
      <c r="C2185" s="1038" t="str">
        <f>OR_VEH!D187</f>
        <v>433-004</v>
      </c>
      <c r="D2185" s="803">
        <f>Page5_BUI_MCI!G38</f>
        <v>0</v>
      </c>
      <c r="E2185" s="803">
        <f>Page5_BUI_MCI!L38</f>
        <v>0</v>
      </c>
      <c r="F2185" t="str">
        <f t="shared" si="113"/>
        <v>01-00-433-004-SALES-CURR</v>
      </c>
      <c r="G2185" t="s">
        <v>127</v>
      </c>
      <c r="H2185" t="s">
        <v>10287</v>
      </c>
      <c r="I2185" t="s">
        <v>10253</v>
      </c>
      <c r="K2185" s="1073" t="s">
        <v>10288</v>
      </c>
      <c r="L2185" s="789" t="s">
        <v>10241</v>
      </c>
      <c r="M2185" s="790" t="str">
        <f t="shared" si="114"/>
        <v>433</v>
      </c>
      <c r="N2185" s="790" t="str">
        <f t="shared" si="115"/>
        <v>004</v>
      </c>
      <c r="O2185" s="790" t="s">
        <v>9883</v>
      </c>
      <c r="P2185" s="790" t="s">
        <v>10244</v>
      </c>
      <c r="R2185" s="30"/>
    </row>
    <row r="2186" spans="2:18">
      <c r="B2186" s="5" t="str">
        <f>Page5_BUI_MCI!C39</f>
        <v>NE PAS UTILISER</v>
      </c>
      <c r="C2186" s="1038" t="str">
        <f>OR_VEH!D188</f>
        <v>434-004</v>
      </c>
      <c r="D2186" s="803">
        <f>Page5_BUI_MCI!G39</f>
        <v>0</v>
      </c>
      <c r="E2186" s="803">
        <f>Page5_BUI_MCI!L39</f>
        <v>0</v>
      </c>
      <c r="F2186" t="str">
        <f t="shared" si="113"/>
        <v>01-00-434-004-SALES-CURR</v>
      </c>
      <c r="G2186" t="s">
        <v>127</v>
      </c>
      <c r="H2186" t="s">
        <v>10287</v>
      </c>
      <c r="I2186" t="s">
        <v>10253</v>
      </c>
      <c r="K2186" s="1073" t="s">
        <v>10288</v>
      </c>
      <c r="L2186" s="789" t="s">
        <v>10241</v>
      </c>
      <c r="M2186" s="790" t="str">
        <f t="shared" si="114"/>
        <v>434</v>
      </c>
      <c r="N2186" s="790" t="str">
        <f t="shared" si="115"/>
        <v>004</v>
      </c>
      <c r="O2186" s="790" t="s">
        <v>9883</v>
      </c>
      <c r="P2186" s="790" t="s">
        <v>10244</v>
      </c>
      <c r="R2186" s="30"/>
    </row>
    <row r="2187" spans="2:18">
      <c r="B2187" s="5" t="str">
        <f>Page5_BUI_MCI!C40</f>
        <v>NE PAS UTILISER</v>
      </c>
      <c r="C2187" s="1038" t="str">
        <f>OR_VEH!D189</f>
        <v>435-004</v>
      </c>
      <c r="D2187" s="803">
        <f>Page5_BUI_MCI!G40</f>
        <v>0</v>
      </c>
      <c r="E2187" s="803">
        <f>Page5_BUI_MCI!L40</f>
        <v>0</v>
      </c>
      <c r="F2187" t="str">
        <f t="shared" si="113"/>
        <v>01-00-435-004-SALES-CURR</v>
      </c>
      <c r="G2187" t="s">
        <v>127</v>
      </c>
      <c r="H2187" t="s">
        <v>10287</v>
      </c>
      <c r="I2187" t="s">
        <v>10253</v>
      </c>
      <c r="K2187" s="1073" t="s">
        <v>10288</v>
      </c>
      <c r="L2187" s="789" t="s">
        <v>10241</v>
      </c>
      <c r="M2187" s="790" t="str">
        <f t="shared" si="114"/>
        <v>435</v>
      </c>
      <c r="N2187" s="790" t="str">
        <f t="shared" si="115"/>
        <v>004</v>
      </c>
      <c r="O2187" s="790" t="s">
        <v>9883</v>
      </c>
      <c r="P2187" s="790" t="s">
        <v>10244</v>
      </c>
      <c r="R2187" s="30"/>
    </row>
    <row r="2188" spans="2:18">
      <c r="B2188" s="5" t="str">
        <f>Page5_BUI_MCI!C41</f>
        <v>NE PAS UTILISER</v>
      </c>
      <c r="C2188" s="1038" t="str">
        <f>OR_VEH!D190</f>
        <v>436-004</v>
      </c>
      <c r="D2188" s="803">
        <f>Page5_BUI_MCI!G41</f>
        <v>0</v>
      </c>
      <c r="E2188" s="803">
        <f>Page5_BUI_MCI!L41</f>
        <v>0</v>
      </c>
      <c r="F2188" t="str">
        <f t="shared" si="113"/>
        <v>01-00-436-004-SALES-CURR</v>
      </c>
      <c r="G2188" t="s">
        <v>127</v>
      </c>
      <c r="H2188" t="s">
        <v>10287</v>
      </c>
      <c r="I2188" t="s">
        <v>10253</v>
      </c>
      <c r="K2188" s="1073" t="s">
        <v>10288</v>
      </c>
      <c r="L2188" s="789" t="s">
        <v>10241</v>
      </c>
      <c r="M2188" s="790" t="str">
        <f t="shared" si="114"/>
        <v>436</v>
      </c>
      <c r="N2188" s="790" t="str">
        <f t="shared" si="115"/>
        <v>004</v>
      </c>
      <c r="O2188" s="790" t="s">
        <v>9883</v>
      </c>
      <c r="P2188" s="790" t="s">
        <v>10244</v>
      </c>
      <c r="R2188" s="30"/>
    </row>
    <row r="2189" spans="2:18">
      <c r="B2189" s="5" t="str">
        <f>Page5_BUI_MCI!C42</f>
        <v>POUR USAGE FUTUR</v>
      </c>
      <c r="C2189" s="1038" t="str">
        <f>OR_VEH!D191</f>
        <v>437-004</v>
      </c>
      <c r="D2189" s="803">
        <f>Page5_BUI_MCI!G42</f>
        <v>0</v>
      </c>
      <c r="E2189" s="803">
        <f>Page5_BUI_MCI!L42</f>
        <v>0</v>
      </c>
      <c r="F2189" t="str">
        <f t="shared" si="113"/>
        <v>01-00-437-004-SALES-CURR</v>
      </c>
      <c r="G2189" t="s">
        <v>127</v>
      </c>
      <c r="H2189" t="s">
        <v>10287</v>
      </c>
      <c r="I2189" t="s">
        <v>10253</v>
      </c>
      <c r="K2189" s="1073" t="s">
        <v>10288</v>
      </c>
      <c r="L2189" s="789" t="s">
        <v>10241</v>
      </c>
      <c r="M2189" s="790" t="str">
        <f t="shared" si="114"/>
        <v>437</v>
      </c>
      <c r="N2189" s="790" t="str">
        <f t="shared" si="115"/>
        <v>004</v>
      </c>
      <c r="O2189" s="790" t="s">
        <v>9883</v>
      </c>
      <c r="P2189" s="790" t="s">
        <v>10244</v>
      </c>
      <c r="R2189" s="30"/>
    </row>
    <row r="2190" spans="2:18">
      <c r="B2190" s="5" t="str">
        <f>Page5_BUI_MCI!C43</f>
        <v>AUTRES CAMIONS GM</v>
      </c>
      <c r="C2190" s="1038" t="str">
        <f>OR_VEH!D192</f>
        <v>438-004</v>
      </c>
      <c r="D2190" s="803">
        <f>Page5_BUI_MCI!G43</f>
        <v>0</v>
      </c>
      <c r="E2190" s="803">
        <f>Page5_BUI_MCI!L43</f>
        <v>0</v>
      </c>
      <c r="F2190" t="str">
        <f t="shared" si="113"/>
        <v>01-00-438-004-SALES-CURR</v>
      </c>
      <c r="G2190" t="s">
        <v>127</v>
      </c>
      <c r="H2190" t="s">
        <v>10287</v>
      </c>
      <c r="I2190" t="s">
        <v>10253</v>
      </c>
      <c r="K2190" s="1073" t="s">
        <v>10288</v>
      </c>
      <c r="L2190" s="789" t="s">
        <v>10241</v>
      </c>
      <c r="M2190" s="790" t="str">
        <f t="shared" si="114"/>
        <v>438</v>
      </c>
      <c r="N2190" s="790" t="str">
        <f t="shared" si="115"/>
        <v>004</v>
      </c>
      <c r="O2190" s="790" t="s">
        <v>9883</v>
      </c>
      <c r="P2190" s="790" t="s">
        <v>10244</v>
      </c>
      <c r="R2190" s="30"/>
    </row>
    <row r="2191" spans="2:18">
      <c r="B2191" s="51" t="s">
        <v>12157</v>
      </c>
      <c r="C2191" s="1042"/>
      <c r="D2191" s="803">
        <f>Page5_BUI_MCI!G44</f>
        <v>370953</v>
      </c>
      <c r="E2191" s="803">
        <f>Page5_BUI_MCI!L44</f>
        <v>807943</v>
      </c>
      <c r="F2191" t="str">
        <f t="shared" si="113"/>
        <v>01-00-RTLTRK5D-SALES-CURR</v>
      </c>
      <c r="G2191" t="s">
        <v>127</v>
      </c>
      <c r="H2191" t="s">
        <v>10287</v>
      </c>
      <c r="I2191" t="s">
        <v>10253</v>
      </c>
      <c r="J2191" t="s">
        <v>10268</v>
      </c>
      <c r="K2191" s="1073" t="s">
        <v>10288</v>
      </c>
      <c r="L2191" s="789" t="s">
        <v>10241</v>
      </c>
      <c r="M2191" s="790" t="s">
        <v>10327</v>
      </c>
      <c r="O2191" s="790" t="s">
        <v>9883</v>
      </c>
      <c r="P2191" s="790" t="s">
        <v>10244</v>
      </c>
      <c r="Q2191" s="791" t="s">
        <v>773</v>
      </c>
    </row>
    <row r="2192" spans="2:18">
      <c r="B2192" s="5" t="str">
        <f>Page5_BUI_MCI!C45</f>
        <v>MÉMO* VENTES INTERNET CAMIONS</v>
      </c>
      <c r="C2192" s="1038" t="str">
        <f>OR_VEH!D194</f>
        <v>439P5D</v>
      </c>
      <c r="D2192" s="803">
        <f>Page5_BUI_MCI!G45</f>
        <v>0</v>
      </c>
      <c r="E2192" s="803">
        <f>Page5_BUI_MCI!L45</f>
        <v>0</v>
      </c>
      <c r="F2192" t="str">
        <f t="shared" si="113"/>
        <v>01-00-439P5D-SALES-CURR</v>
      </c>
      <c r="G2192" t="s">
        <v>127</v>
      </c>
      <c r="H2192" t="s">
        <v>10287</v>
      </c>
      <c r="I2192" t="s">
        <v>10253</v>
      </c>
      <c r="K2192" s="1073" t="s">
        <v>10288</v>
      </c>
      <c r="L2192" s="789" t="s">
        <v>10241</v>
      </c>
      <c r="M2192" s="855" t="str">
        <f>C2192</f>
        <v>439P5D</v>
      </c>
      <c r="N2192" s="855"/>
      <c r="O2192" s="790" t="s">
        <v>9883</v>
      </c>
      <c r="P2192" s="790" t="s">
        <v>10244</v>
      </c>
      <c r="R2192" s="30"/>
    </row>
    <row r="2193" spans="2:18">
      <c r="B2193" s="5" t="str">
        <f>Page5_BUI_MCI!C46</f>
        <v>TOTAL PARCS - CAMIONS</v>
      </c>
      <c r="C2193" s="1038" t="str">
        <f>OR_VEH!D195</f>
        <v>440P5D</v>
      </c>
      <c r="D2193" s="803">
        <f>Page5_BUI_MCI!G46</f>
        <v>0</v>
      </c>
      <c r="E2193" s="803">
        <f>Page5_BUI_MCI!L46</f>
        <v>0</v>
      </c>
      <c r="F2193" t="str">
        <f t="shared" si="113"/>
        <v>01-00-440P5D-SALES-CURR</v>
      </c>
      <c r="G2193" t="s">
        <v>127</v>
      </c>
      <c r="H2193" t="s">
        <v>10287</v>
      </c>
      <c r="I2193" t="s">
        <v>10253</v>
      </c>
      <c r="K2193" s="1073" t="s">
        <v>10288</v>
      </c>
      <c r="L2193" s="789" t="s">
        <v>10241</v>
      </c>
      <c r="M2193" s="855" t="str">
        <f>C2193</f>
        <v>440P5D</v>
      </c>
      <c r="N2193" s="855"/>
      <c r="O2193" s="790" t="s">
        <v>9883</v>
      </c>
      <c r="P2193" s="790" t="s">
        <v>10244</v>
      </c>
      <c r="R2193" s="30"/>
    </row>
    <row r="2194" spans="2:18">
      <c r="B2194" s="5" t="str">
        <f>Page5_BUI_MCI!C47</f>
        <v xml:space="preserve">TOTAL IINTERNE - CAMIONS </v>
      </c>
      <c r="C2194" s="1038" t="str">
        <f>OR_VEH!D196</f>
        <v>441P5D</v>
      </c>
      <c r="D2194" s="803">
        <f>Page5_BUI_MCI!G47</f>
        <v>0</v>
      </c>
      <c r="E2194" s="803">
        <f>Page5_BUI_MCI!L47</f>
        <v>0</v>
      </c>
      <c r="F2194" t="str">
        <f t="shared" si="113"/>
        <v>01-00-441P5D-SALES-CURR</v>
      </c>
      <c r="G2194" t="s">
        <v>127</v>
      </c>
      <c r="H2194" t="s">
        <v>10287</v>
      </c>
      <c r="I2194" t="s">
        <v>10253</v>
      </c>
      <c r="K2194" s="1073" t="s">
        <v>10288</v>
      </c>
      <c r="L2194" s="789" t="s">
        <v>10241</v>
      </c>
      <c r="M2194" s="855" t="str">
        <f>C2194</f>
        <v>441P5D</v>
      </c>
      <c r="N2194" s="855"/>
      <c r="O2194" s="790" t="s">
        <v>9883</v>
      </c>
      <c r="P2194" s="790" t="s">
        <v>10244</v>
      </c>
      <c r="R2194" s="30"/>
    </row>
    <row r="2195" spans="2:18">
      <c r="B2195" s="27" t="s">
        <v>12158</v>
      </c>
      <c r="C2195" s="1042"/>
      <c r="D2195" s="803">
        <f>Page5_BUI_MCI!G48</f>
        <v>370953</v>
      </c>
      <c r="E2195" s="803">
        <f>Page5_BUI_MCI!L48</f>
        <v>807943</v>
      </c>
      <c r="F2195" t="str">
        <f t="shared" si="113"/>
        <v>01-00-TOTTRK5D-SALES-CURR</v>
      </c>
      <c r="G2195" t="s">
        <v>127</v>
      </c>
      <c r="H2195" t="s">
        <v>10287</v>
      </c>
      <c r="I2195" t="s">
        <v>10253</v>
      </c>
      <c r="J2195" t="s">
        <v>10268</v>
      </c>
      <c r="K2195" s="1073" t="s">
        <v>10288</v>
      </c>
      <c r="L2195" s="789" t="s">
        <v>10241</v>
      </c>
      <c r="M2195" s="790" t="s">
        <v>10329</v>
      </c>
      <c r="O2195" s="790" t="s">
        <v>9883</v>
      </c>
      <c r="P2195" s="790" t="s">
        <v>10244</v>
      </c>
      <c r="Q2195" s="791" t="s">
        <v>773</v>
      </c>
    </row>
    <row r="2196" spans="2:18">
      <c r="B2196" s="5" t="str">
        <f>Page5_BUI_MCI!C50</f>
        <v>ACCESSOIRES</v>
      </c>
      <c r="C2196" s="1038" t="str">
        <f>OR_VEH!D199</f>
        <v>457P5D</v>
      </c>
      <c r="D2196" s="803">
        <f>Page5_BUI_MCI!G50</f>
        <v>0</v>
      </c>
      <c r="E2196" s="803">
        <f>Page5_BUI_MCI!L50</f>
        <v>0</v>
      </c>
      <c r="F2196" t="str">
        <f t="shared" si="113"/>
        <v>01-00-457P5D-SALES-CURR</v>
      </c>
      <c r="G2196" t="s">
        <v>127</v>
      </c>
      <c r="H2196" t="s">
        <v>10287</v>
      </c>
      <c r="I2196" t="s">
        <v>10253</v>
      </c>
      <c r="K2196" s="1073" t="s">
        <v>10288</v>
      </c>
      <c r="L2196" s="789" t="s">
        <v>10241</v>
      </c>
      <c r="M2196" s="855" t="str">
        <f>C2196</f>
        <v>457P5D</v>
      </c>
      <c r="N2196" s="855"/>
      <c r="O2196" s="790" t="s">
        <v>9883</v>
      </c>
      <c r="P2196" s="790" t="s">
        <v>10244</v>
      </c>
      <c r="R2196" s="30"/>
    </row>
    <row r="2197" spans="2:18">
      <c r="B2197" s="27" t="s">
        <v>12159</v>
      </c>
      <c r="C2197" s="1042"/>
      <c r="D2197" s="803">
        <f>Page5_BUI_MCI!G51</f>
        <v>370953</v>
      </c>
      <c r="E2197" s="803">
        <f>Page5_BUI_MCI!L51</f>
        <v>807943</v>
      </c>
      <c r="F2197" t="str">
        <f t="shared" si="113"/>
        <v>01-00-TOTVEH5D-SALES-CURR</v>
      </c>
      <c r="G2197" t="s">
        <v>127</v>
      </c>
      <c r="H2197" t="s">
        <v>10287</v>
      </c>
      <c r="I2197" t="s">
        <v>10253</v>
      </c>
      <c r="J2197" t="s">
        <v>10268</v>
      </c>
      <c r="K2197" s="1073" t="s">
        <v>10288</v>
      </c>
      <c r="L2197" s="789" t="s">
        <v>10241</v>
      </c>
      <c r="M2197" s="790" t="s">
        <v>10331</v>
      </c>
      <c r="O2197" s="790" t="s">
        <v>9883</v>
      </c>
      <c r="P2197" s="790" t="s">
        <v>10244</v>
      </c>
      <c r="Q2197" s="791" t="s">
        <v>773</v>
      </c>
    </row>
    <row r="2198" spans="2:18">
      <c r="B2198" s="5" t="str">
        <f>Page5_BUI_MCI!C4</f>
        <v>REGAL</v>
      </c>
      <c r="C2198" s="1038" t="str">
        <f>OR_VEH!D153</f>
        <v>400-004</v>
      </c>
      <c r="D2198" s="803">
        <f>Page5_BUI_MCI!I4</f>
        <v>0</v>
      </c>
      <c r="E2198" s="803">
        <f>Page5_BUI_MCI!N4</f>
        <v>0</v>
      </c>
      <c r="F2198" t="str">
        <f t="shared" si="113"/>
        <v>01-00-400-004-GRSPFT-CURR</v>
      </c>
      <c r="G2198" t="s">
        <v>127</v>
      </c>
      <c r="H2198" t="s">
        <v>10287</v>
      </c>
      <c r="I2198" t="s">
        <v>10253</v>
      </c>
      <c r="K2198" s="1073" t="s">
        <v>10288</v>
      </c>
      <c r="L2198" s="789" t="s">
        <v>10241</v>
      </c>
      <c r="M2198" s="790" t="str">
        <f t="shared" ref="M2198:M2216" si="116">LEFT(C2198,3)</f>
        <v>400</v>
      </c>
      <c r="N2198" s="790" t="str">
        <f t="shared" ref="N2198:N2216" si="117">RIGHT(C2198,3)</f>
        <v>004</v>
      </c>
      <c r="O2198" s="799" t="s">
        <v>10467</v>
      </c>
      <c r="P2198" s="799" t="s">
        <v>10244</v>
      </c>
      <c r="R2198" s="30"/>
    </row>
    <row r="2199" spans="2:18">
      <c r="B2199" s="5" t="str">
        <f>Page5_BUI_MCI!C5</f>
        <v>LACROSSE</v>
      </c>
      <c r="C2199" s="1038" t="str">
        <f>OR_VEH!D154</f>
        <v>401-004</v>
      </c>
      <c r="D2199" s="803">
        <f>Page5_BUI_MCI!I5</f>
        <v>0</v>
      </c>
      <c r="E2199" s="803">
        <f>Page5_BUI_MCI!N5</f>
        <v>0</v>
      </c>
      <c r="F2199" t="str">
        <f t="shared" si="113"/>
        <v>01-00-401-004-GRSPFT-CURR</v>
      </c>
      <c r="G2199" t="s">
        <v>127</v>
      </c>
      <c r="H2199" t="s">
        <v>10287</v>
      </c>
      <c r="I2199" t="s">
        <v>10253</v>
      </c>
      <c r="K2199" s="1073" t="s">
        <v>10288</v>
      </c>
      <c r="L2199" s="789" t="s">
        <v>10241</v>
      </c>
      <c r="M2199" s="790" t="str">
        <f t="shared" si="116"/>
        <v>401</v>
      </c>
      <c r="N2199" s="790" t="str">
        <f t="shared" si="117"/>
        <v>004</v>
      </c>
      <c r="O2199" s="799" t="s">
        <v>10467</v>
      </c>
      <c r="P2199" s="799" t="s">
        <v>10244</v>
      </c>
      <c r="R2199" s="30"/>
    </row>
    <row r="2200" spans="2:18">
      <c r="B2200" s="5" t="str">
        <f>Page5_BUI_MCI!C6</f>
        <v>VERANO</v>
      </c>
      <c r="C2200" s="1038" t="str">
        <f>OR_VEH!D155</f>
        <v>402-004</v>
      </c>
      <c r="D2200" s="803">
        <f>Page5_BUI_MCI!I6</f>
        <v>0</v>
      </c>
      <c r="E2200" s="803">
        <f>Page5_BUI_MCI!N6</f>
        <v>0</v>
      </c>
      <c r="F2200" t="str">
        <f t="shared" si="113"/>
        <v>01-00-402-004-GRSPFT-CURR</v>
      </c>
      <c r="G2200" t="s">
        <v>127</v>
      </c>
      <c r="H2200" t="s">
        <v>10287</v>
      </c>
      <c r="I2200" t="s">
        <v>10253</v>
      </c>
      <c r="K2200" s="1073" t="s">
        <v>10288</v>
      </c>
      <c r="L2200" s="789" t="s">
        <v>10241</v>
      </c>
      <c r="M2200" s="790" t="str">
        <f t="shared" si="116"/>
        <v>402</v>
      </c>
      <c r="N2200" s="790" t="str">
        <f t="shared" si="117"/>
        <v>004</v>
      </c>
      <c r="O2200" s="799" t="s">
        <v>10467</v>
      </c>
      <c r="P2200" s="799" t="s">
        <v>10244</v>
      </c>
      <c r="R2200" s="30"/>
    </row>
    <row r="2201" spans="2:18">
      <c r="B2201" s="5" t="str">
        <f>Page5_BUI_MCI!C7</f>
        <v>NE PAS UTILISER</v>
      </c>
      <c r="C2201" s="1038" t="str">
        <f>OR_VEH!D156</f>
        <v>403-004</v>
      </c>
      <c r="D2201" s="803">
        <f>Page5_BUI_MCI!I7</f>
        <v>0</v>
      </c>
      <c r="E2201" s="803">
        <f>Page5_BUI_MCI!N7</f>
        <v>0</v>
      </c>
      <c r="F2201" t="str">
        <f t="shared" si="113"/>
        <v>01-00-403-004-GRSPFT-CURR</v>
      </c>
      <c r="G2201" t="s">
        <v>127</v>
      </c>
      <c r="H2201" t="s">
        <v>10287</v>
      </c>
      <c r="I2201" t="s">
        <v>10253</v>
      </c>
      <c r="K2201" s="1073" t="s">
        <v>10288</v>
      </c>
      <c r="L2201" s="789" t="s">
        <v>10241</v>
      </c>
      <c r="M2201" s="790" t="str">
        <f t="shared" si="116"/>
        <v>403</v>
      </c>
      <c r="N2201" s="790" t="str">
        <f t="shared" si="117"/>
        <v>004</v>
      </c>
      <c r="O2201" s="799" t="s">
        <v>10467</v>
      </c>
      <c r="P2201" s="799" t="s">
        <v>10244</v>
      </c>
      <c r="R2201" s="30"/>
    </row>
    <row r="2202" spans="2:18">
      <c r="B2202" s="5" t="str">
        <f>Page5_BUI_MCI!C8</f>
        <v>NE PAS UTILISER</v>
      </c>
      <c r="C2202" s="1038" t="str">
        <f>OR_VEH!D157</f>
        <v>404-004</v>
      </c>
      <c r="D2202" s="803">
        <f>Page5_BUI_MCI!I8</f>
        <v>0</v>
      </c>
      <c r="E2202" s="803">
        <f>Page5_BUI_MCI!N8</f>
        <v>0</v>
      </c>
      <c r="F2202" t="str">
        <f t="shared" si="113"/>
        <v>01-00-404-004-GRSPFT-CURR</v>
      </c>
      <c r="G2202" t="s">
        <v>127</v>
      </c>
      <c r="H2202" t="s">
        <v>10287</v>
      </c>
      <c r="I2202" t="s">
        <v>10253</v>
      </c>
      <c r="K2202" s="1073" t="s">
        <v>10288</v>
      </c>
      <c r="L2202" s="789" t="s">
        <v>10241</v>
      </c>
      <c r="M2202" s="790" t="str">
        <f t="shared" si="116"/>
        <v>404</v>
      </c>
      <c r="N2202" s="790" t="str">
        <f t="shared" si="117"/>
        <v>004</v>
      </c>
      <c r="O2202" s="799" t="s">
        <v>10467</v>
      </c>
      <c r="P2202" s="799" t="s">
        <v>10244</v>
      </c>
      <c r="R2202" s="30"/>
    </row>
    <row r="2203" spans="2:18">
      <c r="B2203" s="5" t="str">
        <f>Page5_BUI_MCI!C9</f>
        <v>NE PAS UTILISER</v>
      </c>
      <c r="C2203" s="1038" t="str">
        <f>OR_VEH!D158</f>
        <v>405-004</v>
      </c>
      <c r="D2203" s="803">
        <f>Page5_BUI_MCI!I9</f>
        <v>0</v>
      </c>
      <c r="E2203" s="803">
        <f>Page5_BUI_MCI!N9</f>
        <v>0</v>
      </c>
      <c r="F2203" t="str">
        <f t="shared" si="113"/>
        <v>01-00-405-004-GRSPFT-CURR</v>
      </c>
      <c r="G2203" t="s">
        <v>127</v>
      </c>
      <c r="H2203" t="s">
        <v>10287</v>
      </c>
      <c r="I2203" t="s">
        <v>10253</v>
      </c>
      <c r="K2203" s="1073" t="s">
        <v>10288</v>
      </c>
      <c r="L2203" s="789" t="s">
        <v>10241</v>
      </c>
      <c r="M2203" s="790" t="str">
        <f t="shared" si="116"/>
        <v>405</v>
      </c>
      <c r="N2203" s="790" t="str">
        <f t="shared" si="117"/>
        <v>004</v>
      </c>
      <c r="O2203" s="799" t="s">
        <v>10467</v>
      </c>
      <c r="P2203" s="799" t="s">
        <v>10244</v>
      </c>
      <c r="R2203" s="30"/>
    </row>
    <row r="2204" spans="2:18">
      <c r="B2204" s="5" t="str">
        <f>Page5_BUI_MCI!C10</f>
        <v>NE PAS UTILISER</v>
      </c>
      <c r="C2204" s="1038" t="str">
        <f>OR_VEH!D159</f>
        <v>406-004</v>
      </c>
      <c r="D2204" s="803">
        <f>Page5_BUI_MCI!I10</f>
        <v>0</v>
      </c>
      <c r="E2204" s="803">
        <f>Page5_BUI_MCI!N10</f>
        <v>0</v>
      </c>
      <c r="F2204" t="str">
        <f t="shared" si="113"/>
        <v>01-00-406-004-GRSPFT-CURR</v>
      </c>
      <c r="G2204" t="s">
        <v>127</v>
      </c>
      <c r="H2204" t="s">
        <v>10287</v>
      </c>
      <c r="I2204" t="s">
        <v>10253</v>
      </c>
      <c r="K2204" s="1073" t="s">
        <v>10288</v>
      </c>
      <c r="L2204" s="789" t="s">
        <v>10241</v>
      </c>
      <c r="M2204" s="790" t="str">
        <f t="shared" si="116"/>
        <v>406</v>
      </c>
      <c r="N2204" s="790" t="str">
        <f t="shared" si="117"/>
        <v>004</v>
      </c>
      <c r="O2204" s="790" t="s">
        <v>10467</v>
      </c>
      <c r="P2204" s="790" t="s">
        <v>10244</v>
      </c>
      <c r="R2204" s="30"/>
    </row>
    <row r="2205" spans="2:18">
      <c r="B2205" s="5" t="str">
        <f>Page5_BUI_MCI!C11</f>
        <v>NE PAS UTILISER</v>
      </c>
      <c r="C2205" s="1038" t="str">
        <f>OR_VEH!D160</f>
        <v>407-004</v>
      </c>
      <c r="D2205" s="803">
        <f>Page5_BUI_MCI!I11</f>
        <v>0</v>
      </c>
      <c r="E2205" s="803">
        <f>Page5_BUI_MCI!N11</f>
        <v>0</v>
      </c>
      <c r="F2205" t="str">
        <f t="shared" si="113"/>
        <v>01-00-407-004-GRSPFT-CURR</v>
      </c>
      <c r="G2205" t="s">
        <v>127</v>
      </c>
      <c r="H2205" t="s">
        <v>10287</v>
      </c>
      <c r="I2205" t="s">
        <v>10253</v>
      </c>
      <c r="K2205" s="1073" t="s">
        <v>10288</v>
      </c>
      <c r="L2205" s="789" t="s">
        <v>10241</v>
      </c>
      <c r="M2205" s="790" t="str">
        <f t="shared" si="116"/>
        <v>407</v>
      </c>
      <c r="N2205" s="790" t="str">
        <f t="shared" si="117"/>
        <v>004</v>
      </c>
      <c r="O2205" s="799" t="s">
        <v>10467</v>
      </c>
      <c r="P2205" s="799" t="s">
        <v>10244</v>
      </c>
      <c r="R2205" s="30"/>
    </row>
    <row r="2206" spans="2:18">
      <c r="B2206" s="5" t="str">
        <f>Page5_BUI_MCI!C12</f>
        <v>NE PAS UTILISER</v>
      </c>
      <c r="C2206" s="1038" t="str">
        <f>OR_VEH!D161</f>
        <v>408-004</v>
      </c>
      <c r="D2206" s="803">
        <f>Page5_BUI_MCI!I12</f>
        <v>0</v>
      </c>
      <c r="E2206" s="803">
        <f>Page5_BUI_MCI!N12</f>
        <v>0</v>
      </c>
      <c r="F2206" t="str">
        <f t="shared" si="113"/>
        <v>01-00-408-004-GRSPFT-CURR</v>
      </c>
      <c r="G2206" t="s">
        <v>127</v>
      </c>
      <c r="H2206" t="s">
        <v>10287</v>
      </c>
      <c r="I2206" t="s">
        <v>10253</v>
      </c>
      <c r="K2206" s="1073" t="s">
        <v>10288</v>
      </c>
      <c r="L2206" s="789" t="s">
        <v>10241</v>
      </c>
      <c r="M2206" s="790" t="str">
        <f t="shared" si="116"/>
        <v>408</v>
      </c>
      <c r="N2206" s="790" t="str">
        <f t="shared" si="117"/>
        <v>004</v>
      </c>
      <c r="O2206" s="799" t="s">
        <v>10467</v>
      </c>
      <c r="P2206" s="799" t="s">
        <v>10244</v>
      </c>
      <c r="R2206" s="30"/>
    </row>
    <row r="2207" spans="2:18">
      <c r="B2207" s="5" t="str">
        <f>Page5_BUI_MCI!C13</f>
        <v>NE PAS UTILISER</v>
      </c>
      <c r="C2207" s="1038" t="str">
        <f>OR_VEH!D162</f>
        <v>409-004</v>
      </c>
      <c r="D2207" s="803">
        <f>Page5_BUI_MCI!I13</f>
        <v>0</v>
      </c>
      <c r="E2207" s="803">
        <f>Page5_BUI_MCI!N13</f>
        <v>0</v>
      </c>
      <c r="F2207" t="str">
        <f t="shared" si="113"/>
        <v>01-00-409-004-GRSPFT-CURR</v>
      </c>
      <c r="G2207" t="s">
        <v>127</v>
      </c>
      <c r="H2207" t="s">
        <v>10287</v>
      </c>
      <c r="I2207" t="s">
        <v>10253</v>
      </c>
      <c r="K2207" s="1073" t="s">
        <v>10288</v>
      </c>
      <c r="L2207" s="789" t="s">
        <v>10241</v>
      </c>
      <c r="M2207" s="790" t="str">
        <f t="shared" si="116"/>
        <v>409</v>
      </c>
      <c r="N2207" s="790" t="str">
        <f t="shared" si="117"/>
        <v>004</v>
      </c>
      <c r="O2207" s="799" t="s">
        <v>10467</v>
      </c>
      <c r="P2207" s="799" t="s">
        <v>10244</v>
      </c>
      <c r="R2207" s="30"/>
    </row>
    <row r="2208" spans="2:18">
      <c r="B2208" s="5" t="str">
        <f>Page5_BUI_MCI!C14</f>
        <v>NE PAS UTILISER</v>
      </c>
      <c r="C2208" s="1038" t="str">
        <f>OR_VEH!D163</f>
        <v>410-004</v>
      </c>
      <c r="D2208" s="803">
        <f>Page5_BUI_MCI!I14</f>
        <v>0</v>
      </c>
      <c r="E2208" s="803">
        <f>Page5_BUI_MCI!N14</f>
        <v>0</v>
      </c>
      <c r="F2208" t="str">
        <f t="shared" si="113"/>
        <v>01-00-410-004-GRSPFT-CURR</v>
      </c>
      <c r="G2208" t="s">
        <v>127</v>
      </c>
      <c r="H2208" t="s">
        <v>10287</v>
      </c>
      <c r="I2208" t="s">
        <v>10253</v>
      </c>
      <c r="K2208" s="1073" t="s">
        <v>10288</v>
      </c>
      <c r="L2208" s="789" t="s">
        <v>10241</v>
      </c>
      <c r="M2208" s="790" t="str">
        <f t="shared" si="116"/>
        <v>410</v>
      </c>
      <c r="N2208" s="790" t="str">
        <f t="shared" si="117"/>
        <v>004</v>
      </c>
      <c r="O2208" s="799" t="s">
        <v>10467</v>
      </c>
      <c r="P2208" s="799" t="s">
        <v>10244</v>
      </c>
      <c r="R2208" s="30"/>
    </row>
    <row r="2209" spans="2:18">
      <c r="B2209" s="5" t="str">
        <f>Page5_BUI_MCI!C15</f>
        <v>NE PAS UTILISER</v>
      </c>
      <c r="C2209" s="1038" t="str">
        <f>OR_VEH!D164</f>
        <v>411-004</v>
      </c>
      <c r="D2209" s="803">
        <f>Page5_BUI_MCI!I15</f>
        <v>0</v>
      </c>
      <c r="E2209" s="803">
        <f>Page5_BUI_MCI!N15</f>
        <v>0</v>
      </c>
      <c r="F2209" t="str">
        <f t="shared" si="113"/>
        <v>01-00-411-004-GRSPFT-CURR</v>
      </c>
      <c r="G2209" t="s">
        <v>127</v>
      </c>
      <c r="H2209" t="s">
        <v>10287</v>
      </c>
      <c r="I2209" t="s">
        <v>10253</v>
      </c>
      <c r="K2209" s="1073" t="s">
        <v>10288</v>
      </c>
      <c r="L2209" s="789" t="s">
        <v>10241</v>
      </c>
      <c r="M2209" s="790" t="str">
        <f t="shared" si="116"/>
        <v>411</v>
      </c>
      <c r="N2209" s="790" t="str">
        <f t="shared" si="117"/>
        <v>004</v>
      </c>
      <c r="O2209" s="790" t="s">
        <v>10467</v>
      </c>
      <c r="P2209" s="790" t="s">
        <v>10244</v>
      </c>
      <c r="R2209" s="30"/>
    </row>
    <row r="2210" spans="2:18">
      <c r="B2210" s="5" t="str">
        <f>Page5_BUI_MCI!C16</f>
        <v>NE PAS UTILISER</v>
      </c>
      <c r="C2210" s="1038" t="str">
        <f>OR_VEH!D165</f>
        <v>412-004</v>
      </c>
      <c r="D2210" s="803">
        <f>Page5_BUI_MCI!I16</f>
        <v>0</v>
      </c>
      <c r="E2210" s="803">
        <f>Page5_BUI_MCI!N16</f>
        <v>0</v>
      </c>
      <c r="F2210" t="str">
        <f t="shared" si="113"/>
        <v>01-00-412-004-GRSPFT-CURR</v>
      </c>
      <c r="G2210" t="s">
        <v>127</v>
      </c>
      <c r="H2210" t="s">
        <v>10287</v>
      </c>
      <c r="I2210" t="s">
        <v>10253</v>
      </c>
      <c r="K2210" s="1073" t="s">
        <v>10288</v>
      </c>
      <c r="L2210" s="789" t="s">
        <v>10241</v>
      </c>
      <c r="M2210" s="790" t="str">
        <f t="shared" si="116"/>
        <v>412</v>
      </c>
      <c r="N2210" s="790" t="str">
        <f t="shared" si="117"/>
        <v>004</v>
      </c>
      <c r="O2210" s="790" t="s">
        <v>10467</v>
      </c>
      <c r="P2210" s="790" t="s">
        <v>10244</v>
      </c>
      <c r="R2210" s="30"/>
    </row>
    <row r="2211" spans="2:18">
      <c r="B2211" s="5" t="str">
        <f>Page5_BUI_MCI!C17</f>
        <v>NE PAS UTILISER</v>
      </c>
      <c r="C2211" s="1038" t="str">
        <f>OR_VEH!D166</f>
        <v>413-004</v>
      </c>
      <c r="D2211" s="803">
        <f>Page5_BUI_MCI!I17</f>
        <v>0</v>
      </c>
      <c r="E2211" s="803">
        <f>Page5_BUI_MCI!N17</f>
        <v>0</v>
      </c>
      <c r="F2211" t="str">
        <f t="shared" si="113"/>
        <v>01-00-413-004-GRSPFT-CURR</v>
      </c>
      <c r="G2211" t="s">
        <v>127</v>
      </c>
      <c r="H2211" t="s">
        <v>10287</v>
      </c>
      <c r="I2211" t="s">
        <v>10253</v>
      </c>
      <c r="K2211" s="1073" t="s">
        <v>10288</v>
      </c>
      <c r="L2211" s="789" t="s">
        <v>10241</v>
      </c>
      <c r="M2211" s="790" t="str">
        <f t="shared" si="116"/>
        <v>413</v>
      </c>
      <c r="N2211" s="790" t="str">
        <f t="shared" si="117"/>
        <v>004</v>
      </c>
      <c r="O2211" s="790" t="s">
        <v>10467</v>
      </c>
      <c r="P2211" s="790" t="s">
        <v>10244</v>
      </c>
      <c r="R2211" s="30"/>
    </row>
    <row r="2212" spans="2:18">
      <c r="B2212" s="5" t="str">
        <f>Page5_BUI_MCI!C18</f>
        <v>NE PAS UTILISER</v>
      </c>
      <c r="C2212" s="1038" t="str">
        <f>OR_VEH!D167</f>
        <v>414-004</v>
      </c>
      <c r="D2212" s="803">
        <f>Page5_BUI_MCI!I18</f>
        <v>0</v>
      </c>
      <c r="E2212" s="803">
        <f>Page5_BUI_MCI!N18</f>
        <v>0</v>
      </c>
      <c r="F2212" t="str">
        <f t="shared" si="113"/>
        <v>01-00-414-004-GRSPFT-CURR</v>
      </c>
      <c r="G2212" t="s">
        <v>127</v>
      </c>
      <c r="H2212" t="s">
        <v>10287</v>
      </c>
      <c r="I2212" t="s">
        <v>10253</v>
      </c>
      <c r="K2212" s="1073" t="s">
        <v>10288</v>
      </c>
      <c r="L2212" s="789" t="s">
        <v>10241</v>
      </c>
      <c r="M2212" s="790" t="str">
        <f t="shared" si="116"/>
        <v>414</v>
      </c>
      <c r="N2212" s="790" t="str">
        <f t="shared" si="117"/>
        <v>004</v>
      </c>
      <c r="O2212" s="790" t="s">
        <v>10467</v>
      </c>
      <c r="P2212" s="790" t="s">
        <v>10244</v>
      </c>
      <c r="R2212" s="30"/>
    </row>
    <row r="2213" spans="2:18">
      <c r="B2213" s="5" t="str">
        <f>Page5_BUI_MCI!C19</f>
        <v>NE PAS UTILISER</v>
      </c>
      <c r="C2213" s="1038" t="str">
        <f>OR_VEH!D168</f>
        <v>415-004</v>
      </c>
      <c r="D2213" s="803">
        <f>Page5_BUI_MCI!I19</f>
        <v>0</v>
      </c>
      <c r="E2213" s="803">
        <f>Page5_BUI_MCI!N19</f>
        <v>0</v>
      </c>
      <c r="F2213" t="str">
        <f t="shared" si="113"/>
        <v>01-00-415-004-GRSPFT-CURR</v>
      </c>
      <c r="G2213" t="s">
        <v>127</v>
      </c>
      <c r="H2213" t="s">
        <v>10287</v>
      </c>
      <c r="I2213" t="s">
        <v>10253</v>
      </c>
      <c r="K2213" s="1073" t="s">
        <v>10288</v>
      </c>
      <c r="L2213" s="789" t="s">
        <v>10241</v>
      </c>
      <c r="M2213" s="790" t="str">
        <f t="shared" si="116"/>
        <v>415</v>
      </c>
      <c r="N2213" s="790" t="str">
        <f t="shared" si="117"/>
        <v>004</v>
      </c>
      <c r="O2213" s="790" t="s">
        <v>10467</v>
      </c>
      <c r="P2213" s="790" t="s">
        <v>10244</v>
      </c>
      <c r="R2213" s="30"/>
    </row>
    <row r="2214" spans="2:18">
      <c r="B2214" s="5" t="str">
        <f>Page5_BUI_MCI!C20</f>
        <v>POUR USAGE FUTUR</v>
      </c>
      <c r="C2214" s="1038" t="str">
        <f>OR_VEH!D169</f>
        <v>416-004</v>
      </c>
      <c r="D2214" s="803">
        <f>Page5_BUI_MCI!I20</f>
        <v>0</v>
      </c>
      <c r="E2214" s="803">
        <f>Page5_BUI_MCI!N20</f>
        <v>0</v>
      </c>
      <c r="F2214" t="str">
        <f t="shared" si="113"/>
        <v>01-00-416-004-GRSPFT-CURR</v>
      </c>
      <c r="G2214" t="s">
        <v>127</v>
      </c>
      <c r="H2214" t="s">
        <v>10287</v>
      </c>
      <c r="I2214" t="s">
        <v>10253</v>
      </c>
      <c r="K2214" s="1073" t="s">
        <v>10288</v>
      </c>
      <c r="L2214" s="789" t="s">
        <v>10241</v>
      </c>
      <c r="M2214" s="790" t="str">
        <f t="shared" si="116"/>
        <v>416</v>
      </c>
      <c r="N2214" s="790" t="str">
        <f t="shared" si="117"/>
        <v>004</v>
      </c>
      <c r="O2214" s="790" t="s">
        <v>10467</v>
      </c>
      <c r="P2214" s="790" t="s">
        <v>10244</v>
      </c>
      <c r="R2214" s="30"/>
    </row>
    <row r="2215" spans="2:18">
      <c r="B2215" s="5" t="str">
        <f>Page5_BUI_MCI!C21</f>
        <v>NE PAS UTILISER</v>
      </c>
      <c r="C2215" s="1038" t="str">
        <f>OR_VEH!D170</f>
        <v>417-004</v>
      </c>
      <c r="D2215" s="803">
        <f>Page5_BUI_MCI!I21</f>
        <v>0</v>
      </c>
      <c r="E2215" s="803">
        <f>Page5_BUI_MCI!N21</f>
        <v>0</v>
      </c>
      <c r="F2215" t="str">
        <f t="shared" si="113"/>
        <v>01-00-417-004-GRSPFT-CURR</v>
      </c>
      <c r="G2215" t="s">
        <v>127</v>
      </c>
      <c r="H2215" t="s">
        <v>10287</v>
      </c>
      <c r="I2215" t="s">
        <v>10253</v>
      </c>
      <c r="K2215" s="1073" t="s">
        <v>10288</v>
      </c>
      <c r="L2215" s="789" t="s">
        <v>10241</v>
      </c>
      <c r="M2215" s="790" t="str">
        <f t="shared" si="116"/>
        <v>417</v>
      </c>
      <c r="N2215" s="790" t="str">
        <f t="shared" si="117"/>
        <v>004</v>
      </c>
      <c r="O2215" s="790" t="s">
        <v>10467</v>
      </c>
      <c r="P2215" s="790" t="s">
        <v>10244</v>
      </c>
      <c r="R2215" s="30"/>
    </row>
    <row r="2216" spans="2:18">
      <c r="B2216" s="5" t="str">
        <f>Page5_BUI_MCI!C22</f>
        <v>AUTRES BUICK</v>
      </c>
      <c r="C2216" s="1038" t="str">
        <f>OR_VEH!D171</f>
        <v>418-004</v>
      </c>
      <c r="D2216" s="803">
        <f>Page5_BUI_MCI!I22</f>
        <v>0</v>
      </c>
      <c r="E2216" s="803">
        <f>Page5_BUI_MCI!N22</f>
        <v>0</v>
      </c>
      <c r="F2216" t="str">
        <f t="shared" si="113"/>
        <v>01-00-418-004-GRSPFT-CURR</v>
      </c>
      <c r="G2216" t="s">
        <v>127</v>
      </c>
      <c r="H2216" t="s">
        <v>10287</v>
      </c>
      <c r="I2216" t="s">
        <v>10253</v>
      </c>
      <c r="K2216" s="1073" t="s">
        <v>10288</v>
      </c>
      <c r="L2216" s="789" t="s">
        <v>10241</v>
      </c>
      <c r="M2216" s="790" t="str">
        <f t="shared" si="116"/>
        <v>418</v>
      </c>
      <c r="N2216" s="790" t="str">
        <f t="shared" si="117"/>
        <v>004</v>
      </c>
      <c r="O2216" s="799" t="s">
        <v>10467</v>
      </c>
      <c r="P2216" s="799" t="s">
        <v>10244</v>
      </c>
      <c r="R2216" s="30"/>
    </row>
    <row r="2217" spans="2:18">
      <c r="B2217" s="27" t="s">
        <v>12160</v>
      </c>
      <c r="C2217" s="1042"/>
      <c r="D2217" s="803">
        <f>Page5_BUI_MCI!I23</f>
        <v>0</v>
      </c>
      <c r="E2217" s="803">
        <f>Page5_BUI_MCI!N23</f>
        <v>0</v>
      </c>
      <c r="F2217" t="str">
        <f t="shared" si="113"/>
        <v>01-00-RTLCAR5D-GRSPFT-CURR</v>
      </c>
      <c r="G2217" t="s">
        <v>127</v>
      </c>
      <c r="H2217" t="s">
        <v>10287</v>
      </c>
      <c r="I2217" t="s">
        <v>10253</v>
      </c>
      <c r="J2217" t="s">
        <v>10268</v>
      </c>
      <c r="K2217" s="1073" t="s">
        <v>10288</v>
      </c>
      <c r="L2217" s="789" t="s">
        <v>10241</v>
      </c>
      <c r="M2217" s="790" t="s">
        <v>10323</v>
      </c>
      <c r="O2217" s="790" t="s">
        <v>10467</v>
      </c>
      <c r="P2217" s="790" t="s">
        <v>10244</v>
      </c>
      <c r="Q2217" s="791" t="s">
        <v>773</v>
      </c>
    </row>
    <row r="2218" spans="2:18">
      <c r="B2218" s="5" t="str">
        <f>Page5_BUI_MCI!C24</f>
        <v>MÉMO* VENTES INTERNET VOITURES</v>
      </c>
      <c r="C2218" s="1038" t="str">
        <f>OR_VEH!D173</f>
        <v>419P5D</v>
      </c>
      <c r="D2218" s="803">
        <f>Page5_BUI_MCI!I24</f>
        <v>0</v>
      </c>
      <c r="E2218" s="803">
        <f>Page5_BUI_MCI!N24</f>
        <v>0</v>
      </c>
      <c r="F2218" t="str">
        <f t="shared" si="113"/>
        <v>01-00-419P5D-GRSPFT-CURR</v>
      </c>
      <c r="G2218" t="s">
        <v>127</v>
      </c>
      <c r="H2218" t="s">
        <v>10287</v>
      </c>
      <c r="I2218" t="s">
        <v>10253</v>
      </c>
      <c r="K2218" s="1073" t="s">
        <v>10288</v>
      </c>
      <c r="L2218" s="789" t="s">
        <v>10241</v>
      </c>
      <c r="M2218" s="855" t="str">
        <f>C2218</f>
        <v>419P5D</v>
      </c>
      <c r="N2218" s="855"/>
      <c r="O2218" s="790" t="s">
        <v>10467</v>
      </c>
      <c r="P2218" s="790" t="s">
        <v>10244</v>
      </c>
      <c r="R2218" s="30"/>
    </row>
    <row r="2219" spans="2:18">
      <c r="B2219" s="5" t="str">
        <f>Page5_BUI_MCI!C25</f>
        <v>TOTAL PARCS - VOITURES</v>
      </c>
      <c r="C2219" s="1038" t="str">
        <f>OR_VEH!D174</f>
        <v>420P5D</v>
      </c>
      <c r="D2219" s="803">
        <f>Page5_BUI_MCI!I25</f>
        <v>0</v>
      </c>
      <c r="E2219" s="803">
        <f>Page5_BUI_MCI!N25</f>
        <v>0</v>
      </c>
      <c r="F2219" t="str">
        <f t="shared" si="113"/>
        <v>01-00-420P5D-GRSPFT-CURR</v>
      </c>
      <c r="G2219" t="s">
        <v>127</v>
      </c>
      <c r="H2219" t="s">
        <v>10287</v>
      </c>
      <c r="I2219" t="s">
        <v>10253</v>
      </c>
      <c r="K2219" s="1073" t="s">
        <v>10288</v>
      </c>
      <c r="L2219" s="789" t="s">
        <v>10241</v>
      </c>
      <c r="M2219" s="855" t="str">
        <f>C2219</f>
        <v>420P5D</v>
      </c>
      <c r="N2219" s="855"/>
      <c r="O2219" s="799" t="s">
        <v>10467</v>
      </c>
      <c r="P2219" s="799" t="s">
        <v>10244</v>
      </c>
      <c r="R2219" s="30"/>
    </row>
    <row r="2220" spans="2:18">
      <c r="B2220" s="5" t="str">
        <f>Page5_BUI_MCI!C26</f>
        <v>TOTAL INTERNE - VOITURES</v>
      </c>
      <c r="C2220" s="1038" t="str">
        <f>OR_VEH!D175</f>
        <v>421P5D</v>
      </c>
      <c r="D2220" s="803">
        <f>Page5_BUI_MCI!I26</f>
        <v>0</v>
      </c>
      <c r="E2220" s="803">
        <f>Page5_BUI_MCI!N26</f>
        <v>0</v>
      </c>
      <c r="F2220" t="str">
        <f t="shared" si="113"/>
        <v>01-00-421P5D-GRSPFT-CURR</v>
      </c>
      <c r="G2220" t="s">
        <v>127</v>
      </c>
      <c r="H2220" t="s">
        <v>10287</v>
      </c>
      <c r="I2220" t="s">
        <v>10253</v>
      </c>
      <c r="K2220" s="1073" t="s">
        <v>10288</v>
      </c>
      <c r="L2220" s="789" t="s">
        <v>10241</v>
      </c>
      <c r="M2220" s="855" t="str">
        <f>C2220</f>
        <v>421P5D</v>
      </c>
      <c r="N2220" s="855"/>
      <c r="O2220" s="799" t="s">
        <v>10467</v>
      </c>
      <c r="P2220" s="799" t="s">
        <v>10244</v>
      </c>
      <c r="R2220" s="30"/>
    </row>
    <row r="2221" spans="2:18">
      <c r="B2221" s="27" t="s">
        <v>12161</v>
      </c>
      <c r="C2221" s="1042"/>
      <c r="D2221" s="803">
        <f>Page5_BUI_MCI!I27</f>
        <v>0</v>
      </c>
      <c r="E2221" s="803">
        <f>Page5_BUI_MCI!N27</f>
        <v>0</v>
      </c>
      <c r="F2221" t="str">
        <f t="shared" si="113"/>
        <v>01-00-TOTCAR5D-GRSPFT-CURR</v>
      </c>
      <c r="G2221" t="s">
        <v>127</v>
      </c>
      <c r="H2221" t="s">
        <v>10287</v>
      </c>
      <c r="I2221" t="s">
        <v>10253</v>
      </c>
      <c r="J2221" t="s">
        <v>10268</v>
      </c>
      <c r="K2221" s="1073" t="s">
        <v>10288</v>
      </c>
      <c r="L2221" s="789" t="s">
        <v>10241</v>
      </c>
      <c r="M2221" s="790" t="s">
        <v>10325</v>
      </c>
      <c r="O2221" s="790" t="s">
        <v>10467</v>
      </c>
      <c r="P2221" s="790" t="s">
        <v>10244</v>
      </c>
      <c r="Q2221" s="791" t="s">
        <v>773</v>
      </c>
    </row>
    <row r="2222" spans="2:18">
      <c r="B2222" s="5" t="str">
        <f>Page5_BUI_MCI!C28</f>
        <v>NE PAS UTILISER</v>
      </c>
      <c r="C2222" s="1038" t="str">
        <f>OR_VEH!D177</f>
        <v>423-004</v>
      </c>
      <c r="D2222" s="803">
        <f>Page5_BUI_MCI!I28</f>
        <v>0</v>
      </c>
      <c r="E2222" s="803">
        <f>Page5_BUI_MCI!N28</f>
        <v>0</v>
      </c>
      <c r="F2222" t="str">
        <f t="shared" si="113"/>
        <v>01-00-423-004-GRSPFT-CURR</v>
      </c>
      <c r="G2222" t="s">
        <v>127</v>
      </c>
      <c r="H2222" t="s">
        <v>10287</v>
      </c>
      <c r="I2222" t="s">
        <v>10253</v>
      </c>
      <c r="K2222" s="1073" t="s">
        <v>10288</v>
      </c>
      <c r="L2222" s="789" t="s">
        <v>10241</v>
      </c>
      <c r="M2222" s="790" t="str">
        <f t="shared" ref="M2222:M2237" si="118">LEFT(C2222,3)</f>
        <v>423</v>
      </c>
      <c r="N2222" s="790" t="str">
        <f t="shared" ref="N2222:N2237" si="119">RIGHT(C2222,3)</f>
        <v>004</v>
      </c>
      <c r="O2222" s="790" t="s">
        <v>10467</v>
      </c>
      <c r="P2222" s="790" t="s">
        <v>10244</v>
      </c>
      <c r="R2222" s="30"/>
    </row>
    <row r="2223" spans="2:18">
      <c r="B2223" s="5" t="str">
        <f>Page5_BUI_MCI!C29</f>
        <v>ENVISTA</v>
      </c>
      <c r="C2223" s="1038" t="str">
        <f>OR_VEH!D178</f>
        <v>424-004</v>
      </c>
      <c r="D2223" s="803">
        <f>Page5_BUI_MCI!I29</f>
        <v>5568</v>
      </c>
      <c r="E2223" s="803">
        <f>Page5_BUI_MCI!N29</f>
        <v>6613</v>
      </c>
      <c r="F2223" t="str">
        <f t="shared" si="113"/>
        <v>01-00-424-004-GRSPFT-CURR</v>
      </c>
      <c r="G2223" t="s">
        <v>127</v>
      </c>
      <c r="H2223" t="s">
        <v>10287</v>
      </c>
      <c r="I2223" t="s">
        <v>10253</v>
      </c>
      <c r="K2223" s="1073" t="s">
        <v>10288</v>
      </c>
      <c r="L2223" s="789" t="s">
        <v>10241</v>
      </c>
      <c r="M2223" s="790" t="str">
        <f t="shared" si="118"/>
        <v>424</v>
      </c>
      <c r="N2223" s="790" t="str">
        <f t="shared" si="119"/>
        <v>004</v>
      </c>
      <c r="O2223" s="790" t="s">
        <v>10467</v>
      </c>
      <c r="P2223" s="790" t="s">
        <v>10244</v>
      </c>
      <c r="R2223" s="30"/>
    </row>
    <row r="2224" spans="2:18">
      <c r="B2224" s="5" t="str">
        <f>Page5_BUI_MCI!C30</f>
        <v>NE PAS UTILISER</v>
      </c>
      <c r="C2224" s="1038" t="str">
        <f>OR_VEH!D179</f>
        <v>425-004</v>
      </c>
      <c r="D2224" s="803">
        <f>Page5_BUI_MCI!I30</f>
        <v>0</v>
      </c>
      <c r="E2224" s="803">
        <f>Page5_BUI_MCI!N30</f>
        <v>0</v>
      </c>
      <c r="F2224" t="str">
        <f t="shared" si="113"/>
        <v>01-00-425-004-GRSPFT-CURR</v>
      </c>
      <c r="G2224" t="s">
        <v>127</v>
      </c>
      <c r="H2224" t="s">
        <v>10287</v>
      </c>
      <c r="I2224" t="s">
        <v>10253</v>
      </c>
      <c r="K2224" s="1073" t="s">
        <v>10288</v>
      </c>
      <c r="L2224" s="789" t="s">
        <v>10241</v>
      </c>
      <c r="M2224" s="790" t="str">
        <f t="shared" si="118"/>
        <v>425</v>
      </c>
      <c r="N2224" s="790" t="str">
        <f t="shared" si="119"/>
        <v>004</v>
      </c>
      <c r="O2224" s="790" t="s">
        <v>10467</v>
      </c>
      <c r="P2224" s="790" t="s">
        <v>10244</v>
      </c>
      <c r="R2224" s="30"/>
    </row>
    <row r="2225" spans="2:18">
      <c r="B2225" s="5" t="str">
        <f>Page5_BUI_MCI!C31</f>
        <v>ENCLAVE</v>
      </c>
      <c r="C2225" s="1038" t="str">
        <f>OR_VEH!D180</f>
        <v>426-004</v>
      </c>
      <c r="D2225" s="803">
        <f>Page5_BUI_MCI!I31</f>
        <v>0</v>
      </c>
      <c r="E2225" s="803">
        <f>Page5_BUI_MCI!N31</f>
        <v>687</v>
      </c>
      <c r="F2225" t="str">
        <f t="shared" si="113"/>
        <v>01-00-426-004-GRSPFT-CURR</v>
      </c>
      <c r="G2225" t="s">
        <v>127</v>
      </c>
      <c r="H2225" t="s">
        <v>10287</v>
      </c>
      <c r="I2225" t="s">
        <v>10253</v>
      </c>
      <c r="K2225" s="1073" t="s">
        <v>10288</v>
      </c>
      <c r="L2225" s="789" t="s">
        <v>10241</v>
      </c>
      <c r="M2225" s="790" t="str">
        <f t="shared" si="118"/>
        <v>426</v>
      </c>
      <c r="N2225" s="790" t="str">
        <f t="shared" si="119"/>
        <v>004</v>
      </c>
      <c r="O2225" s="790" t="s">
        <v>10467</v>
      </c>
      <c r="P2225" s="790" t="s">
        <v>10244</v>
      </c>
      <c r="R2225" s="30"/>
    </row>
    <row r="2226" spans="2:18">
      <c r="B2226" s="5" t="str">
        <f>Page5_BUI_MCI!C32</f>
        <v>ENCORE GX</v>
      </c>
      <c r="C2226" s="1038" t="str">
        <f>OR_VEH!D181</f>
        <v>427-004</v>
      </c>
      <c r="D2226" s="803">
        <f>Page5_BUI_MCI!I32</f>
        <v>0</v>
      </c>
      <c r="E2226" s="803">
        <f>Page5_BUI_MCI!N32</f>
        <v>0</v>
      </c>
      <c r="F2226" t="str">
        <f t="shared" si="113"/>
        <v>01-00-427-004-GRSPFT-CURR</v>
      </c>
      <c r="G2226" t="s">
        <v>127</v>
      </c>
      <c r="H2226" t="s">
        <v>10287</v>
      </c>
      <c r="I2226" t="s">
        <v>10253</v>
      </c>
      <c r="K2226" s="1073" t="s">
        <v>10288</v>
      </c>
      <c r="L2226" s="789" t="s">
        <v>10241</v>
      </c>
      <c r="M2226" s="790" t="str">
        <f t="shared" si="118"/>
        <v>427</v>
      </c>
      <c r="N2226" s="790" t="str">
        <f t="shared" si="119"/>
        <v>004</v>
      </c>
      <c r="O2226" s="790" t="s">
        <v>10467</v>
      </c>
      <c r="P2226" s="790" t="s">
        <v>10244</v>
      </c>
      <c r="R2226" s="30"/>
    </row>
    <row r="2227" spans="2:18">
      <c r="B2227" s="5" t="str">
        <f>Page5_BUI_MCI!C33</f>
        <v>ENCORE</v>
      </c>
      <c r="C2227" s="1038" t="str">
        <f>OR_VEH!D182</f>
        <v>428-004</v>
      </c>
      <c r="D2227" s="803">
        <f>Page5_BUI_MCI!I33</f>
        <v>5166</v>
      </c>
      <c r="E2227" s="803">
        <f>Page5_BUI_MCI!N33</f>
        <v>8730</v>
      </c>
      <c r="F2227" t="str">
        <f t="shared" si="113"/>
        <v>01-00-428-004-GRSPFT-CURR</v>
      </c>
      <c r="G2227" t="s">
        <v>127</v>
      </c>
      <c r="H2227" t="s">
        <v>10287</v>
      </c>
      <c r="I2227" t="s">
        <v>10253</v>
      </c>
      <c r="K2227" s="1073" t="s">
        <v>10288</v>
      </c>
      <c r="L2227" s="789" t="s">
        <v>10241</v>
      </c>
      <c r="M2227" s="790" t="str">
        <f t="shared" si="118"/>
        <v>428</v>
      </c>
      <c r="N2227" s="790" t="str">
        <f t="shared" si="119"/>
        <v>004</v>
      </c>
      <c r="O2227" s="790" t="s">
        <v>10467</v>
      </c>
      <c r="P2227" s="790" t="s">
        <v>10244</v>
      </c>
      <c r="R2227" s="30"/>
    </row>
    <row r="2228" spans="2:18">
      <c r="B2228" s="5" t="str">
        <f>Page5_BUI_MCI!C34</f>
        <v>ENVISION</v>
      </c>
      <c r="C2228" s="1038" t="str">
        <f>OR_VEH!D183</f>
        <v>429-004</v>
      </c>
      <c r="D2228" s="803">
        <f>Page5_BUI_MCI!I34</f>
        <v>2897</v>
      </c>
      <c r="E2228" s="803">
        <f>Page5_BUI_MCI!N34</f>
        <v>6348</v>
      </c>
      <c r="F2228" t="str">
        <f t="shared" si="113"/>
        <v>01-00-429-004-GRSPFT-CURR</v>
      </c>
      <c r="G2228" t="s">
        <v>127</v>
      </c>
      <c r="H2228" t="s">
        <v>10287</v>
      </c>
      <c r="I2228" t="s">
        <v>10253</v>
      </c>
      <c r="K2228" s="1073" t="s">
        <v>10288</v>
      </c>
      <c r="L2228" s="789" t="s">
        <v>10241</v>
      </c>
      <c r="M2228" s="790" t="str">
        <f t="shared" si="118"/>
        <v>429</v>
      </c>
      <c r="N2228" s="790" t="str">
        <f t="shared" si="119"/>
        <v>004</v>
      </c>
      <c r="O2228" s="790" t="s">
        <v>10467</v>
      </c>
      <c r="P2228" s="790" t="s">
        <v>10244</v>
      </c>
      <c r="R2228" s="30"/>
    </row>
    <row r="2229" spans="2:18">
      <c r="B2229" s="5" t="str">
        <f>Page5_BUI_MCI!C35</f>
        <v>NE PAS UTILISER</v>
      </c>
      <c r="C2229" s="1038" t="str">
        <f>OR_VEH!D184</f>
        <v>430-004</v>
      </c>
      <c r="D2229" s="803">
        <f>Page5_BUI_MCI!I35</f>
        <v>0</v>
      </c>
      <c r="E2229" s="803">
        <f>Page5_BUI_MCI!N35</f>
        <v>0</v>
      </c>
      <c r="F2229" t="str">
        <f t="shared" si="113"/>
        <v>01-00-430-004-GRSPFT-CURR</v>
      </c>
      <c r="G2229" t="s">
        <v>127</v>
      </c>
      <c r="H2229" t="s">
        <v>10287</v>
      </c>
      <c r="I2229" t="s">
        <v>10253</v>
      </c>
      <c r="K2229" s="1073" t="s">
        <v>10288</v>
      </c>
      <c r="L2229" s="789" t="s">
        <v>10241</v>
      </c>
      <c r="M2229" s="790" t="str">
        <f t="shared" si="118"/>
        <v>430</v>
      </c>
      <c r="N2229" s="790" t="str">
        <f t="shared" si="119"/>
        <v>004</v>
      </c>
      <c r="O2229" s="790" t="s">
        <v>10467</v>
      </c>
      <c r="P2229" s="790" t="s">
        <v>10244</v>
      </c>
      <c r="R2229" s="30"/>
    </row>
    <row r="2230" spans="2:18">
      <c r="B2230" s="5" t="str">
        <f>Page5_BUI_MCI!C36</f>
        <v>NE PAS UTILISER</v>
      </c>
      <c r="C2230" s="1038" t="str">
        <f>OR_VEH!D185</f>
        <v>431-004</v>
      </c>
      <c r="D2230" s="803">
        <f>Page5_BUI_MCI!I36</f>
        <v>0</v>
      </c>
      <c r="E2230" s="803">
        <f>Page5_BUI_MCI!N36</f>
        <v>0</v>
      </c>
      <c r="F2230" t="str">
        <f t="shared" ref="F2230:F2293" si="120">TEXT(K2230,"00")&amp;"-"&amp;L2230&amp;IF(M2230="","","-"&amp;M2230)&amp;IF(N2230="","","-"&amp;N2230)&amp;IF(OR(O2230="",O2230=0),"","-"&amp;O2230)&amp;IF(P2230="","","-"&amp;P2230)</f>
        <v>01-00-431-004-GRSPFT-CURR</v>
      </c>
      <c r="G2230" t="s">
        <v>127</v>
      </c>
      <c r="H2230" t="s">
        <v>10287</v>
      </c>
      <c r="I2230" t="s">
        <v>10253</v>
      </c>
      <c r="K2230" s="1073" t="s">
        <v>10288</v>
      </c>
      <c r="L2230" s="789" t="s">
        <v>10241</v>
      </c>
      <c r="M2230" s="790" t="str">
        <f t="shared" si="118"/>
        <v>431</v>
      </c>
      <c r="N2230" s="790" t="str">
        <f t="shared" si="119"/>
        <v>004</v>
      </c>
      <c r="O2230" s="790" t="s">
        <v>10467</v>
      </c>
      <c r="P2230" s="790" t="s">
        <v>10244</v>
      </c>
      <c r="R2230" s="30"/>
    </row>
    <row r="2231" spans="2:18">
      <c r="B2231" s="5" t="str">
        <f>Page5_BUI_MCI!C37</f>
        <v>NE PAS UTILISER</v>
      </c>
      <c r="C2231" s="1038" t="str">
        <f>OR_VEH!D186</f>
        <v>432-004</v>
      </c>
      <c r="D2231" s="803">
        <f>Page5_BUI_MCI!I37</f>
        <v>0</v>
      </c>
      <c r="E2231" s="803">
        <f>Page5_BUI_MCI!N37</f>
        <v>0</v>
      </c>
      <c r="F2231" t="str">
        <f t="shared" si="120"/>
        <v>01-00-432-004-GRSPFT-CURR</v>
      </c>
      <c r="G2231" t="s">
        <v>127</v>
      </c>
      <c r="H2231" t="s">
        <v>10287</v>
      </c>
      <c r="I2231" t="s">
        <v>10253</v>
      </c>
      <c r="K2231" s="1073" t="s">
        <v>10288</v>
      </c>
      <c r="L2231" s="789" t="s">
        <v>10241</v>
      </c>
      <c r="M2231" s="790" t="str">
        <f t="shared" si="118"/>
        <v>432</v>
      </c>
      <c r="N2231" s="790" t="str">
        <f t="shared" si="119"/>
        <v>004</v>
      </c>
      <c r="O2231" s="790" t="s">
        <v>10467</v>
      </c>
      <c r="P2231" s="790" t="s">
        <v>10244</v>
      </c>
      <c r="R2231" s="30"/>
    </row>
    <row r="2232" spans="2:18">
      <c r="B2232" s="5" t="str">
        <f>Page5_BUI_MCI!C38</f>
        <v>NE PAS UTILISER</v>
      </c>
      <c r="C2232" s="1038" t="str">
        <f>OR_VEH!D187</f>
        <v>433-004</v>
      </c>
      <c r="D2232" s="803">
        <f>Page5_BUI_MCI!I38</f>
        <v>0</v>
      </c>
      <c r="E2232" s="803">
        <f>Page5_BUI_MCI!N38</f>
        <v>0</v>
      </c>
      <c r="F2232" t="str">
        <f t="shared" si="120"/>
        <v>01-00-433-004-GRSPFT-CURR</v>
      </c>
      <c r="G2232" t="s">
        <v>127</v>
      </c>
      <c r="H2232" t="s">
        <v>10287</v>
      </c>
      <c r="I2232" t="s">
        <v>10253</v>
      </c>
      <c r="K2232" s="1073" t="s">
        <v>10288</v>
      </c>
      <c r="L2232" s="789" t="s">
        <v>10241</v>
      </c>
      <c r="M2232" s="790" t="str">
        <f t="shared" si="118"/>
        <v>433</v>
      </c>
      <c r="N2232" s="790" t="str">
        <f t="shared" si="119"/>
        <v>004</v>
      </c>
      <c r="O2232" s="790" t="s">
        <v>10467</v>
      </c>
      <c r="P2232" s="790" t="s">
        <v>10244</v>
      </c>
      <c r="R2232" s="30"/>
    </row>
    <row r="2233" spans="2:18">
      <c r="B2233" s="5" t="str">
        <f>Page5_BUI_MCI!C39</f>
        <v>NE PAS UTILISER</v>
      </c>
      <c r="C2233" s="1038" t="str">
        <f>OR_VEH!D188</f>
        <v>434-004</v>
      </c>
      <c r="D2233" s="803">
        <f>Page5_BUI_MCI!I39</f>
        <v>0</v>
      </c>
      <c r="E2233" s="803">
        <f>Page5_BUI_MCI!N39</f>
        <v>0</v>
      </c>
      <c r="F2233" t="str">
        <f t="shared" si="120"/>
        <v>01-00-434-004-GRSPFT-CURR</v>
      </c>
      <c r="G2233" t="s">
        <v>127</v>
      </c>
      <c r="H2233" t="s">
        <v>10287</v>
      </c>
      <c r="I2233" t="s">
        <v>10253</v>
      </c>
      <c r="K2233" s="1073" t="s">
        <v>10288</v>
      </c>
      <c r="L2233" s="789" t="s">
        <v>10241</v>
      </c>
      <c r="M2233" s="790" t="str">
        <f t="shared" si="118"/>
        <v>434</v>
      </c>
      <c r="N2233" s="790" t="str">
        <f t="shared" si="119"/>
        <v>004</v>
      </c>
      <c r="O2233" s="790" t="s">
        <v>10467</v>
      </c>
      <c r="P2233" s="790" t="s">
        <v>10244</v>
      </c>
      <c r="R2233" s="30"/>
    </row>
    <row r="2234" spans="2:18">
      <c r="B2234" s="5" t="str">
        <f>Page5_BUI_MCI!C40</f>
        <v>NE PAS UTILISER</v>
      </c>
      <c r="C2234" s="1038" t="str">
        <f>OR_VEH!D189</f>
        <v>435-004</v>
      </c>
      <c r="D2234" s="803">
        <f>Page5_BUI_MCI!I40</f>
        <v>0</v>
      </c>
      <c r="E2234" s="803">
        <f>Page5_BUI_MCI!N40</f>
        <v>0</v>
      </c>
      <c r="F2234" t="str">
        <f t="shared" si="120"/>
        <v>01-00-435-004-GRSPFT-CURR</v>
      </c>
      <c r="G2234" t="s">
        <v>127</v>
      </c>
      <c r="H2234" t="s">
        <v>10287</v>
      </c>
      <c r="I2234" t="s">
        <v>10253</v>
      </c>
      <c r="K2234" s="1073" t="s">
        <v>10288</v>
      </c>
      <c r="L2234" s="789" t="s">
        <v>10241</v>
      </c>
      <c r="M2234" s="790" t="str">
        <f t="shared" si="118"/>
        <v>435</v>
      </c>
      <c r="N2234" s="790" t="str">
        <f t="shared" si="119"/>
        <v>004</v>
      </c>
      <c r="O2234" s="790" t="s">
        <v>10467</v>
      </c>
      <c r="P2234" s="790" t="s">
        <v>10244</v>
      </c>
      <c r="R2234" s="30"/>
    </row>
    <row r="2235" spans="2:18">
      <c r="B2235" s="5" t="str">
        <f>Page5_BUI_MCI!C41</f>
        <v>NE PAS UTILISER</v>
      </c>
      <c r="C2235" s="1038" t="str">
        <f>OR_VEH!D190</f>
        <v>436-004</v>
      </c>
      <c r="D2235" s="803">
        <f>Page5_BUI_MCI!I41</f>
        <v>0</v>
      </c>
      <c r="E2235" s="803">
        <f>Page5_BUI_MCI!N41</f>
        <v>0</v>
      </c>
      <c r="F2235" t="str">
        <f t="shared" si="120"/>
        <v>01-00-436-004-GRSPFT-CURR</v>
      </c>
      <c r="G2235" t="s">
        <v>127</v>
      </c>
      <c r="H2235" t="s">
        <v>10287</v>
      </c>
      <c r="I2235" t="s">
        <v>10253</v>
      </c>
      <c r="K2235" s="1073" t="s">
        <v>10288</v>
      </c>
      <c r="L2235" s="789" t="s">
        <v>10241</v>
      </c>
      <c r="M2235" s="790" t="str">
        <f t="shared" si="118"/>
        <v>436</v>
      </c>
      <c r="N2235" s="790" t="str">
        <f t="shared" si="119"/>
        <v>004</v>
      </c>
      <c r="O2235" s="790" t="s">
        <v>10467</v>
      </c>
      <c r="P2235" s="790" t="s">
        <v>10244</v>
      </c>
      <c r="R2235" s="30"/>
    </row>
    <row r="2236" spans="2:18">
      <c r="B2236" s="5" t="str">
        <f>Page5_BUI_MCI!C42</f>
        <v>POUR USAGE FUTUR</v>
      </c>
      <c r="C2236" s="1038" t="str">
        <f>OR_VEH!D191</f>
        <v>437-004</v>
      </c>
      <c r="D2236" s="803">
        <f>Page5_BUI_MCI!I42</f>
        <v>0</v>
      </c>
      <c r="E2236" s="803">
        <f>Page5_BUI_MCI!N42</f>
        <v>0</v>
      </c>
      <c r="F2236" t="str">
        <f t="shared" si="120"/>
        <v>01-00-437-004-GRSPFT-CURR</v>
      </c>
      <c r="G2236" t="s">
        <v>127</v>
      </c>
      <c r="H2236" t="s">
        <v>10287</v>
      </c>
      <c r="I2236" t="s">
        <v>10253</v>
      </c>
      <c r="K2236" s="1073" t="s">
        <v>10288</v>
      </c>
      <c r="L2236" s="789" t="s">
        <v>10241</v>
      </c>
      <c r="M2236" s="790" t="str">
        <f t="shared" si="118"/>
        <v>437</v>
      </c>
      <c r="N2236" s="790" t="str">
        <f t="shared" si="119"/>
        <v>004</v>
      </c>
      <c r="O2236" s="790" t="s">
        <v>10467</v>
      </c>
      <c r="P2236" s="790" t="s">
        <v>10244</v>
      </c>
      <c r="R2236" s="30"/>
    </row>
    <row r="2237" spans="2:18">
      <c r="B2237" s="5" t="str">
        <f>Page5_BUI_MCI!C43</f>
        <v>AUTRES CAMIONS GM</v>
      </c>
      <c r="C2237" s="1038" t="str">
        <f>OR_VEH!D192</f>
        <v>438-004</v>
      </c>
      <c r="D2237" s="803">
        <f>Page5_BUI_MCI!I43</f>
        <v>0</v>
      </c>
      <c r="E2237" s="803">
        <f>Page5_BUI_MCI!N43</f>
        <v>0</v>
      </c>
      <c r="F2237" t="str">
        <f t="shared" si="120"/>
        <v>01-00-438-004-GRSPFT-CURR</v>
      </c>
      <c r="G2237" t="s">
        <v>127</v>
      </c>
      <c r="H2237" t="s">
        <v>10287</v>
      </c>
      <c r="I2237" t="s">
        <v>10253</v>
      </c>
      <c r="K2237" s="1073" t="s">
        <v>10288</v>
      </c>
      <c r="L2237" s="789" t="s">
        <v>10241</v>
      </c>
      <c r="M2237" s="790" t="str">
        <f t="shared" si="118"/>
        <v>438</v>
      </c>
      <c r="N2237" s="790" t="str">
        <f t="shared" si="119"/>
        <v>004</v>
      </c>
      <c r="O2237" s="790" t="s">
        <v>10467</v>
      </c>
      <c r="P2237" s="790" t="s">
        <v>10244</v>
      </c>
      <c r="R2237" s="30"/>
    </row>
    <row r="2238" spans="2:18">
      <c r="B2238" s="51" t="s">
        <v>12162</v>
      </c>
      <c r="C2238" s="1042"/>
      <c r="D2238" s="803">
        <f>Page5_BUI_MCI!I44</f>
        <v>13631</v>
      </c>
      <c r="E2238" s="803">
        <f>Page5_BUI_MCI!N44</f>
        <v>22378</v>
      </c>
      <c r="F2238" t="str">
        <f t="shared" si="120"/>
        <v>01-00-RTLTRK5D-GRSPFT-CURR</v>
      </c>
      <c r="G2238" t="s">
        <v>127</v>
      </c>
      <c r="H2238" t="s">
        <v>10287</v>
      </c>
      <c r="I2238" t="s">
        <v>10253</v>
      </c>
      <c r="J2238" t="s">
        <v>10268</v>
      </c>
      <c r="K2238" s="1073" t="s">
        <v>10288</v>
      </c>
      <c r="L2238" s="789" t="s">
        <v>10241</v>
      </c>
      <c r="M2238" s="790" t="s">
        <v>10327</v>
      </c>
      <c r="O2238" s="790" t="s">
        <v>10467</v>
      </c>
      <c r="P2238" s="790" t="s">
        <v>10244</v>
      </c>
      <c r="Q2238" s="791" t="s">
        <v>773</v>
      </c>
    </row>
    <row r="2239" spans="2:18">
      <c r="B2239" s="5" t="str">
        <f>Page5_BUI_MCI!C45</f>
        <v>MÉMO* VENTES INTERNET CAMIONS</v>
      </c>
      <c r="C2239" s="1038" t="str">
        <f>OR_VEH!D194</f>
        <v>439P5D</v>
      </c>
      <c r="D2239" s="803">
        <f>Page5_BUI_MCI!I45</f>
        <v>0</v>
      </c>
      <c r="E2239" s="803">
        <f>Page5_BUI_MCI!N45</f>
        <v>0</v>
      </c>
      <c r="F2239" t="str">
        <f t="shared" si="120"/>
        <v>01-00-439P5D-GRSPFT-CURR</v>
      </c>
      <c r="G2239" t="s">
        <v>127</v>
      </c>
      <c r="H2239" t="s">
        <v>10287</v>
      </c>
      <c r="I2239" t="s">
        <v>10253</v>
      </c>
      <c r="K2239" s="1073" t="s">
        <v>10288</v>
      </c>
      <c r="L2239" s="789" t="s">
        <v>10241</v>
      </c>
      <c r="M2239" s="855" t="str">
        <f>C2239</f>
        <v>439P5D</v>
      </c>
      <c r="N2239" s="855"/>
      <c r="O2239" s="790" t="s">
        <v>10467</v>
      </c>
      <c r="P2239" s="790" t="s">
        <v>10244</v>
      </c>
      <c r="R2239" s="30"/>
    </row>
    <row r="2240" spans="2:18">
      <c r="B2240" s="5" t="str">
        <f>Page5_BUI_MCI!C46</f>
        <v>TOTAL PARCS - CAMIONS</v>
      </c>
      <c r="C2240" s="1038" t="str">
        <f>OR_VEH!D195</f>
        <v>440P5D</v>
      </c>
      <c r="D2240" s="803">
        <f>Page5_BUI_MCI!I46</f>
        <v>0</v>
      </c>
      <c r="E2240" s="803">
        <f>Page5_BUI_MCI!N46</f>
        <v>0</v>
      </c>
      <c r="F2240" t="str">
        <f t="shared" si="120"/>
        <v>01-00-440P5D-GRSPFT-CURR</v>
      </c>
      <c r="G2240" t="s">
        <v>127</v>
      </c>
      <c r="H2240" t="s">
        <v>10287</v>
      </c>
      <c r="I2240" t="s">
        <v>10253</v>
      </c>
      <c r="K2240" s="1073" t="s">
        <v>10288</v>
      </c>
      <c r="L2240" s="789" t="s">
        <v>10241</v>
      </c>
      <c r="M2240" s="855" t="str">
        <f>C2240</f>
        <v>440P5D</v>
      </c>
      <c r="N2240" s="855"/>
      <c r="O2240" s="790" t="s">
        <v>10467</v>
      </c>
      <c r="P2240" s="790" t="s">
        <v>10244</v>
      </c>
      <c r="R2240" s="30"/>
    </row>
    <row r="2241" spans="1:18">
      <c r="B2241" s="5" t="str">
        <f>Page5_BUI_MCI!C47</f>
        <v xml:space="preserve">TOTAL IINTERNE - CAMIONS </v>
      </c>
      <c r="C2241" s="1038" t="str">
        <f>OR_VEH!D196</f>
        <v>441P5D</v>
      </c>
      <c r="D2241" s="803">
        <f>Page5_BUI_MCI!I47</f>
        <v>0</v>
      </c>
      <c r="E2241" s="803">
        <f>Page5_BUI_MCI!N47</f>
        <v>0</v>
      </c>
      <c r="F2241" t="str">
        <f t="shared" si="120"/>
        <v>01-00-441P5D-GRSPFT-CURR</v>
      </c>
      <c r="G2241" t="s">
        <v>127</v>
      </c>
      <c r="H2241" t="s">
        <v>10287</v>
      </c>
      <c r="I2241" t="s">
        <v>10253</v>
      </c>
      <c r="K2241" s="1073" t="s">
        <v>10288</v>
      </c>
      <c r="L2241" s="789" t="s">
        <v>10241</v>
      </c>
      <c r="M2241" s="855" t="str">
        <f>C2241</f>
        <v>441P5D</v>
      </c>
      <c r="N2241" s="855"/>
      <c r="O2241" s="790" t="s">
        <v>10467</v>
      </c>
      <c r="P2241" s="790" t="s">
        <v>10244</v>
      </c>
      <c r="R2241" s="30"/>
    </row>
    <row r="2242" spans="1:18">
      <c r="B2242" s="27" t="s">
        <v>12163</v>
      </c>
      <c r="C2242" s="1042"/>
      <c r="D2242" s="803">
        <f>Page5_BUI_MCI!I48</f>
        <v>13631</v>
      </c>
      <c r="E2242" s="803">
        <f>Page5_BUI_MCI!N48</f>
        <v>22378</v>
      </c>
      <c r="F2242" t="str">
        <f t="shared" si="120"/>
        <v>01-00-TOTTRK5D-GRSPFT-CURR</v>
      </c>
      <c r="G2242" t="s">
        <v>127</v>
      </c>
      <c r="H2242" t="s">
        <v>10287</v>
      </c>
      <c r="I2242" t="s">
        <v>10253</v>
      </c>
      <c r="J2242" t="s">
        <v>10268</v>
      </c>
      <c r="K2242" s="1073" t="s">
        <v>10288</v>
      </c>
      <c r="L2242" s="789" t="s">
        <v>10241</v>
      </c>
      <c r="M2242" s="790" t="s">
        <v>10329</v>
      </c>
      <c r="O2242" s="790" t="s">
        <v>10467</v>
      </c>
      <c r="P2242" s="790" t="s">
        <v>10244</v>
      </c>
      <c r="Q2242" s="791" t="s">
        <v>773</v>
      </c>
    </row>
    <row r="2243" spans="1:18">
      <c r="B2243" s="5" t="str">
        <f>Page5_BUI_MCI!C50</f>
        <v>ACCESSOIRES</v>
      </c>
      <c r="C2243" s="1038" t="str">
        <f>OR_VEH!D199</f>
        <v>457P5D</v>
      </c>
      <c r="D2243" s="803">
        <f>Page5_BUI_MCI!I50</f>
        <v>0</v>
      </c>
      <c r="E2243" s="803">
        <f>Page5_BUI_MCI!N50</f>
        <v>0</v>
      </c>
      <c r="F2243" t="str">
        <f t="shared" si="120"/>
        <v>01-00-457P5D-GRSPFT-CURR</v>
      </c>
      <c r="G2243" t="s">
        <v>127</v>
      </c>
      <c r="H2243" t="s">
        <v>10287</v>
      </c>
      <c r="I2243" t="s">
        <v>10253</v>
      </c>
      <c r="K2243" s="1073" t="s">
        <v>10288</v>
      </c>
      <c r="L2243" s="789" t="s">
        <v>10241</v>
      </c>
      <c r="M2243" s="855" t="str">
        <f>C2243</f>
        <v>457P5D</v>
      </c>
      <c r="N2243" s="855"/>
      <c r="O2243" s="790" t="s">
        <v>10467</v>
      </c>
      <c r="P2243" s="790" t="s">
        <v>10244</v>
      </c>
      <c r="R2243" s="30"/>
    </row>
    <row r="2244" spans="1:18">
      <c r="B2244" s="27" t="s">
        <v>12164</v>
      </c>
      <c r="C2244" s="1042"/>
      <c r="D2244" s="803">
        <f>Page5_BUI_MCI!I51</f>
        <v>13631</v>
      </c>
      <c r="E2244" s="803">
        <f>Page5_BUI_MCI!N51</f>
        <v>22378</v>
      </c>
      <c r="F2244" t="str">
        <f t="shared" si="120"/>
        <v>01-00-TOTVEH5D-GRSPFT-CURR</v>
      </c>
      <c r="G2244" t="s">
        <v>127</v>
      </c>
      <c r="H2244" t="s">
        <v>10287</v>
      </c>
      <c r="I2244" t="s">
        <v>10253</v>
      </c>
      <c r="J2244" t="s">
        <v>10268</v>
      </c>
      <c r="K2244" s="1073" t="s">
        <v>10288</v>
      </c>
      <c r="L2244" s="789" t="s">
        <v>10241</v>
      </c>
      <c r="M2244" s="790" t="s">
        <v>10331</v>
      </c>
      <c r="O2244" s="790" t="s">
        <v>10467</v>
      </c>
      <c r="P2244" s="790" t="s">
        <v>10244</v>
      </c>
      <c r="Q2244" s="791" t="s">
        <v>773</v>
      </c>
    </row>
    <row r="2245" spans="1:18">
      <c r="A2245" s="805" t="s">
        <v>10332</v>
      </c>
      <c r="B2245" s="5" t="str">
        <f>Page5_CAD_MCI!C4</f>
        <v>NE PAS UTILISER</v>
      </c>
      <c r="C2245" s="1038" t="str">
        <f>OR_VEH!D203</f>
        <v>400-006</v>
      </c>
      <c r="D2245" s="803">
        <f>Page5_CAD_MCI!G4</f>
        <v>0</v>
      </c>
      <c r="E2245" s="803">
        <f>Page5_CAD_MCI!L4</f>
        <v>0</v>
      </c>
      <c r="F2245" t="str">
        <f t="shared" si="120"/>
        <v>01-00-400-006-SALES-CURR</v>
      </c>
      <c r="G2245" t="s">
        <v>127</v>
      </c>
      <c r="H2245" t="s">
        <v>10287</v>
      </c>
      <c r="I2245" t="s">
        <v>10253</v>
      </c>
      <c r="K2245" s="1073" t="s">
        <v>10288</v>
      </c>
      <c r="L2245" s="789" t="s">
        <v>10241</v>
      </c>
      <c r="M2245" s="790" t="str">
        <f>LEFT(C2245,3)</f>
        <v>400</v>
      </c>
      <c r="N2245" s="790" t="str">
        <f>RIGHT(C2245,3)</f>
        <v>006</v>
      </c>
      <c r="O2245" s="799" t="s">
        <v>9883</v>
      </c>
      <c r="P2245" s="799" t="s">
        <v>10244</v>
      </c>
      <c r="R2245" s="30"/>
    </row>
    <row r="2246" spans="1:18">
      <c r="B2246" s="5" t="str">
        <f>Page5_CAD_MCI!C5</f>
        <v>NE PAS UTILISER</v>
      </c>
      <c r="C2246" s="1038" t="str">
        <f>OR_VEH!D204</f>
        <v>401-006</v>
      </c>
      <c r="D2246" s="803">
        <f>Page5_CAD_MCI!G5</f>
        <v>0</v>
      </c>
      <c r="E2246" s="803">
        <f>Page5_CAD_MCI!L5</f>
        <v>0</v>
      </c>
      <c r="F2246" t="str">
        <f t="shared" si="120"/>
        <v>01-00-401-006-SALES-CURR</v>
      </c>
      <c r="G2246" t="s">
        <v>127</v>
      </c>
      <c r="H2246" t="s">
        <v>10287</v>
      </c>
      <c r="I2246" t="s">
        <v>10253</v>
      </c>
      <c r="K2246" s="1073" t="s">
        <v>10288</v>
      </c>
      <c r="L2246" s="789" t="s">
        <v>10241</v>
      </c>
      <c r="M2246" s="790" t="str">
        <f t="shared" ref="M2246:M2263" si="121">LEFT(C2246,3)</f>
        <v>401</v>
      </c>
      <c r="N2246" s="790" t="str">
        <f t="shared" ref="N2246:N2263" si="122">RIGHT(C2246,3)</f>
        <v>006</v>
      </c>
      <c r="O2246" s="799" t="s">
        <v>9883</v>
      </c>
      <c r="P2246" s="799" t="s">
        <v>10244</v>
      </c>
      <c r="R2246" s="30"/>
    </row>
    <row r="2247" spans="1:18">
      <c r="B2247" s="5" t="str">
        <f>Page5_CAD_MCI!C6</f>
        <v xml:space="preserve">CTS </v>
      </c>
      <c r="C2247" s="1038" t="str">
        <f>OR_VEH!D205</f>
        <v>402-006</v>
      </c>
      <c r="D2247" s="803">
        <f>Page5_CAD_MCI!G6</f>
        <v>0</v>
      </c>
      <c r="E2247" s="803">
        <f>Page5_CAD_MCI!L6</f>
        <v>0</v>
      </c>
      <c r="F2247" t="str">
        <f t="shared" si="120"/>
        <v>01-00-402-006-SALES-CURR</v>
      </c>
      <c r="G2247" t="s">
        <v>127</v>
      </c>
      <c r="H2247" t="s">
        <v>10287</v>
      </c>
      <c r="I2247" t="s">
        <v>10253</v>
      </c>
      <c r="K2247" s="1073" t="s">
        <v>10288</v>
      </c>
      <c r="L2247" s="789" t="s">
        <v>10241</v>
      </c>
      <c r="M2247" s="790" t="str">
        <f t="shared" si="121"/>
        <v>402</v>
      </c>
      <c r="N2247" s="790" t="str">
        <f t="shared" si="122"/>
        <v>006</v>
      </c>
      <c r="O2247" s="799" t="s">
        <v>9883</v>
      </c>
      <c r="P2247" s="799" t="s">
        <v>10244</v>
      </c>
      <c r="R2247" s="30"/>
    </row>
    <row r="2248" spans="1:18">
      <c r="B2248" s="5" t="str">
        <f>Page5_CAD_MCI!C7</f>
        <v>CTS-V</v>
      </c>
      <c r="C2248" s="1038" t="str">
        <f>OR_VEH!D206</f>
        <v>403-006</v>
      </c>
      <c r="D2248" s="803">
        <f>Page5_CAD_MCI!G7</f>
        <v>0</v>
      </c>
      <c r="E2248" s="803">
        <f>Page5_CAD_MCI!L7</f>
        <v>0</v>
      </c>
      <c r="F2248" t="str">
        <f t="shared" si="120"/>
        <v>01-00-403-006-SALES-CURR</v>
      </c>
      <c r="G2248" t="s">
        <v>127</v>
      </c>
      <c r="H2248" t="s">
        <v>10287</v>
      </c>
      <c r="I2248" t="s">
        <v>10253</v>
      </c>
      <c r="K2248" s="1073" t="s">
        <v>10288</v>
      </c>
      <c r="L2248" s="789" t="s">
        <v>10241</v>
      </c>
      <c r="M2248" s="790" t="str">
        <f t="shared" si="121"/>
        <v>403</v>
      </c>
      <c r="N2248" s="790" t="str">
        <f t="shared" si="122"/>
        <v>006</v>
      </c>
      <c r="O2248" s="799" t="s">
        <v>9883</v>
      </c>
      <c r="P2248" s="799" t="s">
        <v>10244</v>
      </c>
      <c r="R2248" s="30"/>
    </row>
    <row r="2249" spans="1:18">
      <c r="B2249" s="5" t="str">
        <f>Page5_CAD_MCI!C8</f>
        <v>CT4</v>
      </c>
      <c r="C2249" s="1038" t="str">
        <f>OR_VEH!D207</f>
        <v>404-006</v>
      </c>
      <c r="D2249" s="803">
        <f>Page5_CAD_MCI!G8</f>
        <v>0</v>
      </c>
      <c r="E2249" s="803">
        <f>Page5_CAD_MCI!L8</f>
        <v>0</v>
      </c>
      <c r="F2249" t="str">
        <f t="shared" si="120"/>
        <v>01-00-404-006-SALES-CURR</v>
      </c>
      <c r="G2249" t="s">
        <v>127</v>
      </c>
      <c r="H2249" t="s">
        <v>10287</v>
      </c>
      <c r="I2249" t="s">
        <v>10253</v>
      </c>
      <c r="K2249" s="1073" t="s">
        <v>10288</v>
      </c>
      <c r="L2249" s="789" t="s">
        <v>10241</v>
      </c>
      <c r="M2249" s="790" t="str">
        <f t="shared" si="121"/>
        <v>404</v>
      </c>
      <c r="N2249" s="790" t="str">
        <f t="shared" si="122"/>
        <v>006</v>
      </c>
      <c r="O2249" s="799" t="s">
        <v>9883</v>
      </c>
      <c r="P2249" s="799" t="s">
        <v>10244</v>
      </c>
      <c r="R2249" s="30"/>
    </row>
    <row r="2250" spans="1:18">
      <c r="B2250" s="5" t="str">
        <f>Page5_CAD_MCI!C9</f>
        <v>CT5</v>
      </c>
      <c r="C2250" s="1038" t="str">
        <f>OR_VEH!D208</f>
        <v>405-006</v>
      </c>
      <c r="D2250" s="803">
        <f>Page5_CAD_MCI!G9</f>
        <v>0</v>
      </c>
      <c r="E2250" s="803">
        <f>Page5_CAD_MCI!L9</f>
        <v>0</v>
      </c>
      <c r="F2250" t="str">
        <f t="shared" si="120"/>
        <v>01-00-405-006-SALES-CURR</v>
      </c>
      <c r="G2250" t="s">
        <v>127</v>
      </c>
      <c r="H2250" t="s">
        <v>10287</v>
      </c>
      <c r="I2250" t="s">
        <v>10253</v>
      </c>
      <c r="K2250" s="1073" t="s">
        <v>10288</v>
      </c>
      <c r="L2250" s="789" t="s">
        <v>10241</v>
      </c>
      <c r="M2250" s="790" t="str">
        <f t="shared" si="121"/>
        <v>405</v>
      </c>
      <c r="N2250" s="790" t="str">
        <f t="shared" si="122"/>
        <v>006</v>
      </c>
      <c r="O2250" s="799" t="s">
        <v>9883</v>
      </c>
      <c r="P2250" s="799" t="s">
        <v>10244</v>
      </c>
      <c r="R2250" s="30"/>
    </row>
    <row r="2251" spans="1:18">
      <c r="B2251" s="5" t="str">
        <f>Page5_CAD_MCI!C10</f>
        <v>NE PAS UTILISER</v>
      </c>
      <c r="C2251" s="1038" t="str">
        <f>OR_VEH!D209</f>
        <v>406-006</v>
      </c>
      <c r="D2251" s="803">
        <f>Page5_CAD_MCI!G10</f>
        <v>0</v>
      </c>
      <c r="E2251" s="803">
        <f>Page5_CAD_MCI!L10</f>
        <v>0</v>
      </c>
      <c r="F2251" t="str">
        <f t="shared" si="120"/>
        <v>01-00-406-006-SALES-CURR</v>
      </c>
      <c r="G2251" t="s">
        <v>127</v>
      </c>
      <c r="H2251" t="s">
        <v>10287</v>
      </c>
      <c r="I2251" t="s">
        <v>10253</v>
      </c>
      <c r="K2251" s="1073" t="s">
        <v>10288</v>
      </c>
      <c r="L2251" s="789" t="s">
        <v>10241</v>
      </c>
      <c r="M2251" s="790" t="str">
        <f t="shared" si="121"/>
        <v>406</v>
      </c>
      <c r="N2251" s="790" t="str">
        <f t="shared" si="122"/>
        <v>006</v>
      </c>
      <c r="O2251" s="799" t="s">
        <v>9883</v>
      </c>
      <c r="P2251" s="799" t="s">
        <v>10244</v>
      </c>
      <c r="R2251" s="30"/>
    </row>
    <row r="2252" spans="1:18">
      <c r="B2252" s="5" t="str">
        <f>Page5_CAD_MCI!C11</f>
        <v>NE PAS UTILISER</v>
      </c>
      <c r="C2252" s="1038" t="str">
        <f>OR_VEH!D210</f>
        <v>407-006</v>
      </c>
      <c r="D2252" s="803">
        <f>Page5_CAD_MCI!G11</f>
        <v>0</v>
      </c>
      <c r="E2252" s="803">
        <f>Page5_CAD_MCI!L11</f>
        <v>0</v>
      </c>
      <c r="F2252" t="str">
        <f t="shared" si="120"/>
        <v>01-00-407-006-SALES-CURR</v>
      </c>
      <c r="G2252" t="s">
        <v>127</v>
      </c>
      <c r="H2252" t="s">
        <v>10287</v>
      </c>
      <c r="I2252" t="s">
        <v>10253</v>
      </c>
      <c r="K2252" s="1073" t="s">
        <v>10288</v>
      </c>
      <c r="L2252" s="789" t="s">
        <v>10241</v>
      </c>
      <c r="M2252" s="790" t="str">
        <f t="shared" si="121"/>
        <v>407</v>
      </c>
      <c r="N2252" s="790" t="str">
        <f t="shared" si="122"/>
        <v>006</v>
      </c>
      <c r="O2252" s="799" t="s">
        <v>9883</v>
      </c>
      <c r="P2252" s="799" t="s">
        <v>10244</v>
      </c>
      <c r="R2252" s="30"/>
    </row>
    <row r="2253" spans="1:18">
      <c r="B2253" s="5" t="str">
        <f>Page5_CAD_MCI!C12</f>
        <v>ATS</v>
      </c>
      <c r="C2253" s="1038" t="str">
        <f>OR_VEH!D211</f>
        <v>408-006</v>
      </c>
      <c r="D2253" s="803">
        <f>Page5_CAD_MCI!G12</f>
        <v>0</v>
      </c>
      <c r="E2253" s="803">
        <f>Page5_CAD_MCI!L12</f>
        <v>0</v>
      </c>
      <c r="F2253" t="str">
        <f t="shared" si="120"/>
        <v>01-00-408-006-SALES-CURR</v>
      </c>
      <c r="G2253" t="s">
        <v>127</v>
      </c>
      <c r="H2253" t="s">
        <v>10287</v>
      </c>
      <c r="I2253" t="s">
        <v>10253</v>
      </c>
      <c r="K2253" s="1073" t="s">
        <v>10288</v>
      </c>
      <c r="L2253" s="789" t="s">
        <v>10241</v>
      </c>
      <c r="M2253" s="790" t="str">
        <f t="shared" si="121"/>
        <v>408</v>
      </c>
      <c r="N2253" s="790" t="str">
        <f t="shared" si="122"/>
        <v>006</v>
      </c>
      <c r="O2253" s="799" t="s">
        <v>9883</v>
      </c>
      <c r="P2253" s="799" t="s">
        <v>10244</v>
      </c>
      <c r="R2253" s="30"/>
    </row>
    <row r="2254" spans="1:18">
      <c r="B2254" s="5" t="str">
        <f>Page5_CAD_MCI!C13</f>
        <v>XTS</v>
      </c>
      <c r="C2254" s="1038" t="str">
        <f>OR_VEH!D212</f>
        <v>409-006</v>
      </c>
      <c r="D2254" s="803">
        <f>Page5_CAD_MCI!G13</f>
        <v>0</v>
      </c>
      <c r="E2254" s="803">
        <f>Page5_CAD_MCI!L13</f>
        <v>0</v>
      </c>
      <c r="F2254" t="str">
        <f t="shared" si="120"/>
        <v>01-00-409-006-SALES-CURR</v>
      </c>
      <c r="G2254" t="s">
        <v>127</v>
      </c>
      <c r="H2254" t="s">
        <v>10287</v>
      </c>
      <c r="I2254" t="s">
        <v>10253</v>
      </c>
      <c r="K2254" s="1073" t="s">
        <v>10288</v>
      </c>
      <c r="L2254" s="789" t="s">
        <v>10241</v>
      </c>
      <c r="M2254" s="790" t="str">
        <f t="shared" si="121"/>
        <v>409</v>
      </c>
      <c r="N2254" s="790" t="str">
        <f t="shared" si="122"/>
        <v>006</v>
      </c>
      <c r="O2254" s="790" t="s">
        <v>9883</v>
      </c>
      <c r="P2254" s="790" t="s">
        <v>10244</v>
      </c>
      <c r="R2254" s="30"/>
    </row>
    <row r="2255" spans="1:18">
      <c r="B2255" s="5" t="str">
        <f>Page5_CAD_MCI!C14</f>
        <v>ELR</v>
      </c>
      <c r="C2255" s="1038" t="str">
        <f>OR_VEH!D213</f>
        <v>410-006</v>
      </c>
      <c r="D2255" s="803">
        <f>Page5_CAD_MCI!G14</f>
        <v>0</v>
      </c>
      <c r="E2255" s="803">
        <f>Page5_CAD_MCI!L14</f>
        <v>0</v>
      </c>
      <c r="F2255" t="str">
        <f t="shared" si="120"/>
        <v>01-00-410-006-SALES-CURR</v>
      </c>
      <c r="G2255" t="s">
        <v>127</v>
      </c>
      <c r="H2255" t="s">
        <v>10287</v>
      </c>
      <c r="I2255" t="s">
        <v>10253</v>
      </c>
      <c r="K2255" s="1073" t="s">
        <v>10288</v>
      </c>
      <c r="L2255" s="789" t="s">
        <v>10241</v>
      </c>
      <c r="M2255" s="790" t="str">
        <f t="shared" si="121"/>
        <v>410</v>
      </c>
      <c r="N2255" s="790" t="str">
        <f t="shared" si="122"/>
        <v>006</v>
      </c>
      <c r="O2255" s="790" t="s">
        <v>9883</v>
      </c>
      <c r="P2255" s="790" t="s">
        <v>10244</v>
      </c>
      <c r="R2255" s="30"/>
    </row>
    <row r="2256" spans="1:18">
      <c r="B2256" s="5" t="str">
        <f>Page5_CAD_MCI!C15</f>
        <v>ATS-V</v>
      </c>
      <c r="C2256" s="1038" t="str">
        <f>OR_VEH!D214</f>
        <v>411-006</v>
      </c>
      <c r="D2256" s="803">
        <f>Page5_CAD_MCI!G15</f>
        <v>0</v>
      </c>
      <c r="E2256" s="803">
        <f>Page5_CAD_MCI!L15</f>
        <v>0</v>
      </c>
      <c r="F2256" t="str">
        <f t="shared" si="120"/>
        <v>01-00-411-006-SALES-CURR</v>
      </c>
      <c r="G2256" t="s">
        <v>127</v>
      </c>
      <c r="H2256" t="s">
        <v>10287</v>
      </c>
      <c r="I2256" t="s">
        <v>10253</v>
      </c>
      <c r="K2256" s="1073" t="s">
        <v>10288</v>
      </c>
      <c r="L2256" s="789" t="s">
        <v>10241</v>
      </c>
      <c r="M2256" s="790" t="str">
        <f t="shared" si="121"/>
        <v>411</v>
      </c>
      <c r="N2256" s="790" t="str">
        <f t="shared" si="122"/>
        <v>006</v>
      </c>
      <c r="O2256" s="790" t="s">
        <v>9883</v>
      </c>
      <c r="P2256" s="790" t="s">
        <v>10244</v>
      </c>
      <c r="R2256" s="30"/>
    </row>
    <row r="2257" spans="2:18">
      <c r="B2257" s="5" t="str">
        <f>Page5_CAD_MCI!C16</f>
        <v>CT6</v>
      </c>
      <c r="C2257" s="1038" t="str">
        <f>OR_VEH!D215</f>
        <v>412-006</v>
      </c>
      <c r="D2257" s="803">
        <f>Page5_CAD_MCI!G16</f>
        <v>0</v>
      </c>
      <c r="E2257" s="803">
        <f>Page5_CAD_MCI!L16</f>
        <v>0</v>
      </c>
      <c r="F2257" t="str">
        <f t="shared" si="120"/>
        <v>01-00-412-006-SALES-CURR</v>
      </c>
      <c r="G2257" t="s">
        <v>127</v>
      </c>
      <c r="H2257" t="s">
        <v>10287</v>
      </c>
      <c r="I2257" t="s">
        <v>10253</v>
      </c>
      <c r="K2257" s="1073" t="s">
        <v>10288</v>
      </c>
      <c r="L2257" s="789" t="s">
        <v>10241</v>
      </c>
      <c r="M2257" s="790" t="str">
        <f t="shared" si="121"/>
        <v>412</v>
      </c>
      <c r="N2257" s="790" t="str">
        <f t="shared" si="122"/>
        <v>006</v>
      </c>
      <c r="O2257" s="790" t="s">
        <v>9883</v>
      </c>
      <c r="P2257" s="790" t="s">
        <v>10244</v>
      </c>
      <c r="R2257" s="30"/>
    </row>
    <row r="2258" spans="2:18">
      <c r="B2258" s="5" t="str">
        <f>Page5_CAD_MCI!C17</f>
        <v>NE PAS UTILISER</v>
      </c>
      <c r="C2258" s="1038" t="str">
        <f>OR_VEH!D216</f>
        <v>413-006</v>
      </c>
      <c r="D2258" s="803">
        <f>Page5_CAD_MCI!G17</f>
        <v>0</v>
      </c>
      <c r="E2258" s="803">
        <f>Page5_CAD_MCI!L17</f>
        <v>0</v>
      </c>
      <c r="F2258" t="str">
        <f t="shared" si="120"/>
        <v>01-00-413-006-SALES-CURR</v>
      </c>
      <c r="G2258" t="s">
        <v>127</v>
      </c>
      <c r="H2258" t="s">
        <v>10287</v>
      </c>
      <c r="I2258" t="s">
        <v>10253</v>
      </c>
      <c r="K2258" s="1073" t="s">
        <v>10288</v>
      </c>
      <c r="L2258" s="789" t="s">
        <v>10241</v>
      </c>
      <c r="M2258" s="790" t="str">
        <f t="shared" si="121"/>
        <v>413</v>
      </c>
      <c r="N2258" s="790" t="str">
        <f t="shared" si="122"/>
        <v>006</v>
      </c>
      <c r="O2258" s="790" t="s">
        <v>9883</v>
      </c>
      <c r="P2258" s="790" t="s">
        <v>10244</v>
      </c>
      <c r="R2258" s="30"/>
    </row>
    <row r="2259" spans="2:18">
      <c r="B2259" s="5" t="str">
        <f>Page5_CAD_MCI!C18</f>
        <v>NE PAS UTILISER</v>
      </c>
      <c r="C2259" s="1038" t="str">
        <f>OR_VEH!D217</f>
        <v>414-006</v>
      </c>
      <c r="D2259" s="803">
        <f>Page5_CAD_MCI!G18</f>
        <v>0</v>
      </c>
      <c r="E2259" s="803">
        <f>Page5_CAD_MCI!L18</f>
        <v>0</v>
      </c>
      <c r="F2259" t="str">
        <f t="shared" si="120"/>
        <v>01-00-414-006-SALES-CURR</v>
      </c>
      <c r="G2259" t="s">
        <v>127</v>
      </c>
      <c r="H2259" t="s">
        <v>10287</v>
      </c>
      <c r="I2259" t="s">
        <v>10253</v>
      </c>
      <c r="K2259" s="1073" t="s">
        <v>10288</v>
      </c>
      <c r="L2259" s="789" t="s">
        <v>10241</v>
      </c>
      <c r="M2259" s="790" t="str">
        <f t="shared" si="121"/>
        <v>414</v>
      </c>
      <c r="N2259" s="790" t="str">
        <f t="shared" si="122"/>
        <v>006</v>
      </c>
      <c r="O2259" s="790" t="s">
        <v>9883</v>
      </c>
      <c r="P2259" s="790" t="s">
        <v>10244</v>
      </c>
      <c r="R2259" s="30"/>
    </row>
    <row r="2260" spans="2:18">
      <c r="B2260" s="5" t="str">
        <f>Page5_CAD_MCI!C19</f>
        <v>NE PAS UTILISER</v>
      </c>
      <c r="C2260" s="1038" t="str">
        <f>OR_VEH!D218</f>
        <v>415-006</v>
      </c>
      <c r="D2260" s="803">
        <f>Page5_CAD_MCI!G19</f>
        <v>0</v>
      </c>
      <c r="E2260" s="803">
        <f>Page5_CAD_MCI!L19</f>
        <v>0</v>
      </c>
      <c r="F2260" t="str">
        <f t="shared" si="120"/>
        <v>01-00-415-006-SALES-CURR</v>
      </c>
      <c r="G2260" t="s">
        <v>127</v>
      </c>
      <c r="H2260" t="s">
        <v>10287</v>
      </c>
      <c r="I2260" t="s">
        <v>10253</v>
      </c>
      <c r="K2260" s="1073" t="s">
        <v>10288</v>
      </c>
      <c r="L2260" s="789" t="s">
        <v>10241</v>
      </c>
      <c r="M2260" s="790" t="str">
        <f t="shared" si="121"/>
        <v>415</v>
      </c>
      <c r="N2260" s="790" t="str">
        <f t="shared" si="122"/>
        <v>006</v>
      </c>
      <c r="O2260" s="790" t="s">
        <v>9883</v>
      </c>
      <c r="P2260" s="790" t="s">
        <v>10244</v>
      </c>
      <c r="R2260" s="30"/>
    </row>
    <row r="2261" spans="2:18">
      <c r="B2261" s="5" t="str">
        <f>Page5_CAD_MCI!C20</f>
        <v>POUR USAGE FUTUR</v>
      </c>
      <c r="C2261" s="1038" t="str">
        <f>OR_VEH!D219</f>
        <v>416-006</v>
      </c>
      <c r="D2261" s="803">
        <f>Page5_CAD_MCI!G20</f>
        <v>0</v>
      </c>
      <c r="E2261" s="803">
        <f>Page5_CAD_MCI!L20</f>
        <v>0</v>
      </c>
      <c r="F2261" t="str">
        <f t="shared" si="120"/>
        <v>01-00-416-006-SALES-CURR</v>
      </c>
      <c r="G2261" t="s">
        <v>127</v>
      </c>
      <c r="H2261" t="s">
        <v>10287</v>
      </c>
      <c r="I2261" t="s">
        <v>10253</v>
      </c>
      <c r="K2261" s="1073" t="s">
        <v>10288</v>
      </c>
      <c r="L2261" s="789" t="s">
        <v>10241</v>
      </c>
      <c r="M2261" s="790" t="str">
        <f t="shared" si="121"/>
        <v>416</v>
      </c>
      <c r="N2261" s="790" t="str">
        <f t="shared" si="122"/>
        <v>006</v>
      </c>
      <c r="O2261" s="790" t="s">
        <v>9883</v>
      </c>
      <c r="P2261" s="790" t="s">
        <v>10244</v>
      </c>
      <c r="R2261" s="30"/>
    </row>
    <row r="2262" spans="2:18">
      <c r="B2262" s="5" t="str">
        <f>Page5_CAD_MCI!C21</f>
        <v>NE PAS UTILISER</v>
      </c>
      <c r="C2262" s="1038" t="str">
        <f>OR_VEH!D220</f>
        <v>417-006</v>
      </c>
      <c r="D2262" s="803">
        <f>Page5_CAD_MCI!G21</f>
        <v>0</v>
      </c>
      <c r="E2262" s="803">
        <f>Page5_CAD_MCI!L21</f>
        <v>0</v>
      </c>
      <c r="F2262" t="str">
        <f t="shared" si="120"/>
        <v>01-00-417-006-SALES-CURR</v>
      </c>
      <c r="G2262" t="s">
        <v>127</v>
      </c>
      <c r="H2262" t="s">
        <v>10287</v>
      </c>
      <c r="I2262" t="s">
        <v>10253</v>
      </c>
      <c r="K2262" s="1073" t="s">
        <v>10288</v>
      </c>
      <c r="L2262" s="789" t="s">
        <v>10241</v>
      </c>
      <c r="M2262" s="790" t="str">
        <f t="shared" si="121"/>
        <v>417</v>
      </c>
      <c r="N2262" s="790" t="str">
        <f t="shared" si="122"/>
        <v>006</v>
      </c>
      <c r="O2262" s="790" t="s">
        <v>9883</v>
      </c>
      <c r="P2262" s="790" t="s">
        <v>10244</v>
      </c>
      <c r="R2262" s="30"/>
    </row>
    <row r="2263" spans="2:18">
      <c r="B2263" s="5" t="str">
        <f>Page5_CAD_MCI!C22</f>
        <v>AUTRES CADILLAC</v>
      </c>
      <c r="C2263" s="1038" t="str">
        <f>OR_VEH!D221</f>
        <v>418-006</v>
      </c>
      <c r="D2263" s="803">
        <f>Page5_CAD_MCI!G22</f>
        <v>0</v>
      </c>
      <c r="E2263" s="803">
        <f>Page5_CAD_MCI!L22</f>
        <v>0</v>
      </c>
      <c r="F2263" t="str">
        <f t="shared" si="120"/>
        <v>01-00-418-006-SALES-CURR</v>
      </c>
      <c r="G2263" t="s">
        <v>127</v>
      </c>
      <c r="H2263" t="s">
        <v>10287</v>
      </c>
      <c r="I2263" t="s">
        <v>10253</v>
      </c>
      <c r="K2263" s="1073" t="s">
        <v>10288</v>
      </c>
      <c r="L2263" s="789" t="s">
        <v>10241</v>
      </c>
      <c r="M2263" s="790" t="str">
        <f t="shared" si="121"/>
        <v>418</v>
      </c>
      <c r="N2263" s="790" t="str">
        <f t="shared" si="122"/>
        <v>006</v>
      </c>
      <c r="O2263" s="799" t="s">
        <v>9883</v>
      </c>
      <c r="P2263" s="799" t="s">
        <v>10244</v>
      </c>
      <c r="R2263" s="30"/>
    </row>
    <row r="2264" spans="2:18">
      <c r="B2264" s="27" t="s">
        <v>12165</v>
      </c>
      <c r="C2264" s="1042"/>
      <c r="D2264" s="803">
        <f>Page5_CAD_MCI!G23</f>
        <v>0</v>
      </c>
      <c r="E2264" s="803">
        <f>Page5_CAD_MCI!L23</f>
        <v>0</v>
      </c>
      <c r="F2264" t="str">
        <f t="shared" si="120"/>
        <v>01-00-RTLCAR5E-SALES-CURR</v>
      </c>
      <c r="G2264" t="s">
        <v>127</v>
      </c>
      <c r="H2264" t="s">
        <v>10287</v>
      </c>
      <c r="I2264" t="s">
        <v>10253</v>
      </c>
      <c r="J2264" t="s">
        <v>10268</v>
      </c>
      <c r="K2264" s="1073" t="s">
        <v>10288</v>
      </c>
      <c r="L2264" s="789" t="s">
        <v>10241</v>
      </c>
      <c r="M2264" s="790" t="s">
        <v>10334</v>
      </c>
      <c r="O2264" s="790" t="s">
        <v>9883</v>
      </c>
      <c r="P2264" s="790" t="s">
        <v>10244</v>
      </c>
      <c r="Q2264" s="791" t="s">
        <v>773</v>
      </c>
    </row>
    <row r="2265" spans="2:18">
      <c r="B2265" s="5" t="str">
        <f>Page5_CAD_MCI!C24</f>
        <v>MÉMO* VENTES INTERNET VOITURES</v>
      </c>
      <c r="C2265" s="1038" t="str">
        <f>OR_VEH!D223</f>
        <v>419P5E</v>
      </c>
      <c r="D2265" s="803">
        <f>Page5_CAD_MCI!G24</f>
        <v>0</v>
      </c>
      <c r="E2265" s="803">
        <f>Page5_CAD_MCI!L24</f>
        <v>0</v>
      </c>
      <c r="F2265" t="str">
        <f t="shared" si="120"/>
        <v>01-00-419P5E-SALES-CURR</v>
      </c>
      <c r="G2265" t="s">
        <v>127</v>
      </c>
      <c r="H2265" t="s">
        <v>10287</v>
      </c>
      <c r="I2265" t="s">
        <v>10253</v>
      </c>
      <c r="K2265" s="1073" t="s">
        <v>10288</v>
      </c>
      <c r="L2265" s="789" t="s">
        <v>10241</v>
      </c>
      <c r="M2265" s="855" t="str">
        <f>C2265</f>
        <v>419P5E</v>
      </c>
      <c r="N2265" s="855"/>
      <c r="O2265" s="790" t="s">
        <v>9883</v>
      </c>
      <c r="P2265" s="790" t="s">
        <v>10244</v>
      </c>
      <c r="R2265" s="30"/>
    </row>
    <row r="2266" spans="2:18">
      <c r="B2266" s="5" t="str">
        <f>Page5_CAD_MCI!C25</f>
        <v>TOTAL PARCS - VOITURES</v>
      </c>
      <c r="C2266" s="1038" t="str">
        <f>OR_VEH!D224</f>
        <v>420P5E</v>
      </c>
      <c r="D2266" s="803">
        <f>Page5_CAD_MCI!G25</f>
        <v>0</v>
      </c>
      <c r="E2266" s="803">
        <f>Page5_CAD_MCI!L25</f>
        <v>0</v>
      </c>
      <c r="F2266" t="str">
        <f t="shared" si="120"/>
        <v>01-00-420P5E-SALES-CURR</v>
      </c>
      <c r="G2266" t="s">
        <v>127</v>
      </c>
      <c r="H2266" t="s">
        <v>10287</v>
      </c>
      <c r="I2266" t="s">
        <v>10253</v>
      </c>
      <c r="K2266" s="1073" t="s">
        <v>10288</v>
      </c>
      <c r="L2266" s="789" t="s">
        <v>10241</v>
      </c>
      <c r="M2266" s="855" t="str">
        <f>C2266</f>
        <v>420P5E</v>
      </c>
      <c r="N2266" s="855"/>
      <c r="O2266" s="799" t="s">
        <v>9883</v>
      </c>
      <c r="P2266" s="799" t="s">
        <v>10244</v>
      </c>
      <c r="R2266" s="30"/>
    </row>
    <row r="2267" spans="2:18">
      <c r="B2267" s="5" t="str">
        <f>Page5_CAD_MCI!C26</f>
        <v>TOTAL INTERNE - VOITURES</v>
      </c>
      <c r="C2267" s="1038" t="str">
        <f>OR_VEH!D225</f>
        <v>421P5E</v>
      </c>
      <c r="D2267" s="803">
        <f>Page5_CAD_MCI!G26</f>
        <v>0</v>
      </c>
      <c r="E2267" s="803">
        <f>Page5_CAD_MCI!L26</f>
        <v>0</v>
      </c>
      <c r="F2267" t="str">
        <f t="shared" si="120"/>
        <v>01-00-421P5E-SALES-CURR</v>
      </c>
      <c r="G2267" t="s">
        <v>127</v>
      </c>
      <c r="H2267" t="s">
        <v>10287</v>
      </c>
      <c r="I2267" t="s">
        <v>10253</v>
      </c>
      <c r="K2267" s="1073" t="s">
        <v>10288</v>
      </c>
      <c r="L2267" s="789" t="s">
        <v>10241</v>
      </c>
      <c r="M2267" s="855" t="str">
        <f>C2267</f>
        <v>421P5E</v>
      </c>
      <c r="N2267" s="855"/>
      <c r="O2267" s="799" t="s">
        <v>9883</v>
      </c>
      <c r="P2267" s="799" t="s">
        <v>10244</v>
      </c>
      <c r="R2267" s="30"/>
    </row>
    <row r="2268" spans="2:18">
      <c r="B2268" s="27" t="s">
        <v>12166</v>
      </c>
      <c r="C2268" s="1042"/>
      <c r="D2268" s="803">
        <f>Page5_CAD_MCI!G27</f>
        <v>0</v>
      </c>
      <c r="E2268" s="803">
        <f>Page5_CAD_MCI!L27</f>
        <v>0</v>
      </c>
      <c r="F2268" t="str">
        <f t="shared" si="120"/>
        <v>01-00-TOTCAR5E-SALES-CURR</v>
      </c>
      <c r="G2268" t="s">
        <v>127</v>
      </c>
      <c r="H2268" t="s">
        <v>10287</v>
      </c>
      <c r="I2268" t="s">
        <v>10253</v>
      </c>
      <c r="J2268" t="s">
        <v>10268</v>
      </c>
      <c r="K2268" s="1073" t="s">
        <v>10288</v>
      </c>
      <c r="L2268" s="789" t="s">
        <v>10241</v>
      </c>
      <c r="M2268" s="790" t="s">
        <v>10336</v>
      </c>
      <c r="O2268" s="790" t="s">
        <v>9883</v>
      </c>
      <c r="P2268" s="790" t="s">
        <v>10244</v>
      </c>
      <c r="Q2268" s="791" t="s">
        <v>773</v>
      </c>
    </row>
    <row r="2269" spans="2:18">
      <c r="B2269" s="5" t="str">
        <f>Page5_CAD_MCI!C28</f>
        <v xml:space="preserve">ESCALADE   </v>
      </c>
      <c r="C2269" s="1038" t="str">
        <f>OR_VEH!D227</f>
        <v>423-006</v>
      </c>
      <c r="D2269" s="803">
        <f>Page5_CAD_MCI!G28</f>
        <v>0</v>
      </c>
      <c r="E2269" s="803">
        <f>Page5_CAD_MCI!L28</f>
        <v>0</v>
      </c>
      <c r="F2269" t="str">
        <f t="shared" si="120"/>
        <v>01-00-423-006-SALES-CURR</v>
      </c>
      <c r="G2269" t="s">
        <v>127</v>
      </c>
      <c r="H2269" t="s">
        <v>10287</v>
      </c>
      <c r="I2269" t="s">
        <v>10253</v>
      </c>
      <c r="K2269" s="1073" t="s">
        <v>10288</v>
      </c>
      <c r="L2269" s="789" t="s">
        <v>10241</v>
      </c>
      <c r="M2269" s="790" t="str">
        <f t="shared" ref="M2269:M2284" si="123">LEFT(C2269,3)</f>
        <v>423</v>
      </c>
      <c r="N2269" s="790" t="str">
        <f t="shared" ref="N2269:N2284" si="124">RIGHT(C2269,3)</f>
        <v>006</v>
      </c>
      <c r="O2269" s="799" t="s">
        <v>9883</v>
      </c>
      <c r="P2269" s="799" t="s">
        <v>10244</v>
      </c>
      <c r="R2269" s="30"/>
    </row>
    <row r="2270" spans="2:18">
      <c r="B2270" s="5" t="str">
        <f>Page5_CAD_MCI!C29</f>
        <v>NE PAS UTILISER</v>
      </c>
      <c r="C2270" s="1038" t="str">
        <f>OR_VEH!D228</f>
        <v>424-006</v>
      </c>
      <c r="D2270" s="803">
        <f>Page5_CAD_MCI!G29</f>
        <v>0</v>
      </c>
      <c r="E2270" s="803">
        <f>Page5_CAD_MCI!L29</f>
        <v>0</v>
      </c>
      <c r="F2270" t="str">
        <f t="shared" si="120"/>
        <v>01-00-424-006-SALES-CURR</v>
      </c>
      <c r="G2270" t="s">
        <v>127</v>
      </c>
      <c r="H2270" t="s">
        <v>10287</v>
      </c>
      <c r="I2270" t="s">
        <v>10253</v>
      </c>
      <c r="K2270" s="1073" t="s">
        <v>10288</v>
      </c>
      <c r="L2270" s="789" t="s">
        <v>10241</v>
      </c>
      <c r="M2270" s="790" t="str">
        <f t="shared" si="123"/>
        <v>424</v>
      </c>
      <c r="N2270" s="790" t="str">
        <f t="shared" si="124"/>
        <v>006</v>
      </c>
      <c r="O2270" s="790" t="s">
        <v>9883</v>
      </c>
      <c r="P2270" s="790" t="s">
        <v>10244</v>
      </c>
      <c r="R2270" s="30"/>
    </row>
    <row r="2271" spans="2:18">
      <c r="B2271" s="5" t="str">
        <f>Page5_CAD_MCI!C30</f>
        <v>ESCALADE-ESV</v>
      </c>
      <c r="C2271" s="1038" t="str">
        <f>OR_VEH!D229</f>
        <v>425-006</v>
      </c>
      <c r="D2271" s="803">
        <f>Page5_CAD_MCI!G30</f>
        <v>547993</v>
      </c>
      <c r="E2271" s="803">
        <f>Page5_CAD_MCI!L30</f>
        <v>2486616</v>
      </c>
      <c r="F2271" t="str">
        <f t="shared" si="120"/>
        <v>01-00-425-006-SALES-CURR</v>
      </c>
      <c r="G2271" t="s">
        <v>127</v>
      </c>
      <c r="H2271" t="s">
        <v>10287</v>
      </c>
      <c r="I2271" t="s">
        <v>10253</v>
      </c>
      <c r="K2271" s="1073" t="s">
        <v>10288</v>
      </c>
      <c r="L2271" s="789" t="s">
        <v>10241</v>
      </c>
      <c r="M2271" s="790" t="str">
        <f t="shared" si="123"/>
        <v>425</v>
      </c>
      <c r="N2271" s="790" t="str">
        <f t="shared" si="124"/>
        <v>006</v>
      </c>
      <c r="O2271" s="790" t="s">
        <v>9883</v>
      </c>
      <c r="P2271" s="790" t="s">
        <v>10244</v>
      </c>
      <c r="R2271" s="30"/>
    </row>
    <row r="2272" spans="2:18">
      <c r="B2272" s="5" t="str">
        <f>Page5_CAD_MCI!C31</f>
        <v>SRX</v>
      </c>
      <c r="C2272" s="1038" t="str">
        <f>OR_VEH!D230</f>
        <v>426-006</v>
      </c>
      <c r="D2272" s="803">
        <f>Page5_CAD_MCI!G31</f>
        <v>0</v>
      </c>
      <c r="E2272" s="803">
        <f>Page5_CAD_MCI!L31</f>
        <v>0</v>
      </c>
      <c r="F2272" t="str">
        <f t="shared" si="120"/>
        <v>01-00-426-006-SALES-CURR</v>
      </c>
      <c r="G2272" t="s">
        <v>127</v>
      </c>
      <c r="H2272" t="s">
        <v>10287</v>
      </c>
      <c r="I2272" t="s">
        <v>10253</v>
      </c>
      <c r="K2272" s="1073" t="s">
        <v>10288</v>
      </c>
      <c r="L2272" s="789" t="s">
        <v>10241</v>
      </c>
      <c r="M2272" s="790" t="str">
        <f t="shared" si="123"/>
        <v>426</v>
      </c>
      <c r="N2272" s="790" t="str">
        <f t="shared" si="124"/>
        <v>006</v>
      </c>
      <c r="O2272" s="790" t="s">
        <v>9883</v>
      </c>
      <c r="P2272" s="790" t="s">
        <v>10244</v>
      </c>
      <c r="R2272" s="30"/>
    </row>
    <row r="2273" spans="2:18">
      <c r="B2273" s="5" t="str">
        <f>Page5_CAD_MCI!C32</f>
        <v>NE PAS UTILISER</v>
      </c>
      <c r="C2273" s="1038" t="str">
        <f>OR_VEH!D231</f>
        <v>427-006</v>
      </c>
      <c r="D2273" s="803">
        <f>Page5_CAD_MCI!G32</f>
        <v>0</v>
      </c>
      <c r="E2273" s="803">
        <f>Page5_CAD_MCI!L32</f>
        <v>0</v>
      </c>
      <c r="F2273" t="str">
        <f t="shared" si="120"/>
        <v>01-00-427-006-SALES-CURR</v>
      </c>
      <c r="G2273" t="s">
        <v>127</v>
      </c>
      <c r="H2273" t="s">
        <v>10287</v>
      </c>
      <c r="I2273" t="s">
        <v>10253</v>
      </c>
      <c r="K2273" s="1073" t="s">
        <v>10288</v>
      </c>
      <c r="L2273" s="789" t="s">
        <v>10241</v>
      </c>
      <c r="M2273" s="790" t="str">
        <f t="shared" si="123"/>
        <v>427</v>
      </c>
      <c r="N2273" s="790" t="str">
        <f t="shared" si="124"/>
        <v>006</v>
      </c>
      <c r="O2273" s="790" t="s">
        <v>9883</v>
      </c>
      <c r="P2273" s="790" t="s">
        <v>10244</v>
      </c>
      <c r="R2273" s="30"/>
    </row>
    <row r="2274" spans="2:18">
      <c r="B2274" s="5" t="str">
        <f>Page5_CAD_MCI!C33</f>
        <v>NE PAS UTILISER</v>
      </c>
      <c r="C2274" s="1038" t="str">
        <f>OR_VEH!D232</f>
        <v>428-006</v>
      </c>
      <c r="D2274" s="803">
        <f>Page5_CAD_MCI!G33</f>
        <v>0</v>
      </c>
      <c r="E2274" s="803">
        <f>Page5_CAD_MCI!L33</f>
        <v>0</v>
      </c>
      <c r="F2274" t="str">
        <f t="shared" si="120"/>
        <v>01-00-428-006-SALES-CURR</v>
      </c>
      <c r="G2274" t="s">
        <v>127</v>
      </c>
      <c r="H2274" t="s">
        <v>10287</v>
      </c>
      <c r="I2274" t="s">
        <v>10253</v>
      </c>
      <c r="K2274" s="1073" t="s">
        <v>10288</v>
      </c>
      <c r="L2274" s="789" t="s">
        <v>10241</v>
      </c>
      <c r="M2274" s="790" t="str">
        <f t="shared" si="123"/>
        <v>428</v>
      </c>
      <c r="N2274" s="790" t="str">
        <f t="shared" si="124"/>
        <v>006</v>
      </c>
      <c r="O2274" s="790" t="s">
        <v>9883</v>
      </c>
      <c r="P2274" s="790" t="s">
        <v>10244</v>
      </c>
      <c r="R2274" s="30"/>
    </row>
    <row r="2275" spans="2:18">
      <c r="B2275" s="5" t="str">
        <f>Page5_CAD_MCI!C34</f>
        <v>NE PAS UTILISER</v>
      </c>
      <c r="C2275" s="1038" t="str">
        <f>OR_VEH!D233</f>
        <v>429-006</v>
      </c>
      <c r="D2275" s="803">
        <f>Page5_CAD_MCI!G34</f>
        <v>0</v>
      </c>
      <c r="E2275" s="803">
        <f>Page5_CAD_MCI!L34</f>
        <v>0</v>
      </c>
      <c r="F2275" t="str">
        <f t="shared" si="120"/>
        <v>01-00-429-006-SALES-CURR</v>
      </c>
      <c r="G2275" t="s">
        <v>127</v>
      </c>
      <c r="H2275" t="s">
        <v>10287</v>
      </c>
      <c r="I2275" t="s">
        <v>10253</v>
      </c>
      <c r="K2275" s="1073" t="s">
        <v>10288</v>
      </c>
      <c r="L2275" s="789" t="s">
        <v>10241</v>
      </c>
      <c r="M2275" s="790" t="str">
        <f t="shared" si="123"/>
        <v>429</v>
      </c>
      <c r="N2275" s="790" t="str">
        <f t="shared" si="124"/>
        <v>006</v>
      </c>
      <c r="O2275" s="790" t="s">
        <v>9883</v>
      </c>
      <c r="P2275" s="790" t="s">
        <v>10244</v>
      </c>
      <c r="R2275" s="30"/>
    </row>
    <row r="2276" spans="2:18">
      <c r="B2276" s="5" t="str">
        <f>Page5_CAD_MCI!C35</f>
        <v>XT4</v>
      </c>
      <c r="C2276" s="1038" t="str">
        <f>OR_VEH!D234</f>
        <v>430-006</v>
      </c>
      <c r="D2276" s="803">
        <f>Page5_CAD_MCI!G35</f>
        <v>52454</v>
      </c>
      <c r="E2276" s="803">
        <f>Page5_CAD_MCI!L35</f>
        <v>606276</v>
      </c>
      <c r="F2276" t="str">
        <f t="shared" si="120"/>
        <v>01-00-430-006-SALES-CURR</v>
      </c>
      <c r="G2276" t="s">
        <v>127</v>
      </c>
      <c r="H2276" t="s">
        <v>10287</v>
      </c>
      <c r="I2276" t="s">
        <v>10253</v>
      </c>
      <c r="K2276" s="1073" t="s">
        <v>10288</v>
      </c>
      <c r="L2276" s="789" t="s">
        <v>10241</v>
      </c>
      <c r="M2276" s="790" t="str">
        <f t="shared" si="123"/>
        <v>430</v>
      </c>
      <c r="N2276" s="790" t="str">
        <f t="shared" si="124"/>
        <v>006</v>
      </c>
      <c r="O2276" s="790" t="s">
        <v>9883</v>
      </c>
      <c r="P2276" s="790" t="s">
        <v>10244</v>
      </c>
      <c r="R2276" s="30"/>
    </row>
    <row r="2277" spans="2:18">
      <c r="B2277" s="5" t="str">
        <f>Page5_CAD_MCI!C36</f>
        <v>XT5</v>
      </c>
      <c r="C2277" s="1038" t="str">
        <f>OR_VEH!D235</f>
        <v>431-006</v>
      </c>
      <c r="D2277" s="803">
        <f>Page5_CAD_MCI!G36</f>
        <v>61769</v>
      </c>
      <c r="E2277" s="803">
        <f>Page5_CAD_MCI!L36</f>
        <v>456636</v>
      </c>
      <c r="F2277" t="str">
        <f t="shared" si="120"/>
        <v>01-00-431-006-SALES-CURR</v>
      </c>
      <c r="G2277" t="s">
        <v>127</v>
      </c>
      <c r="H2277" t="s">
        <v>10287</v>
      </c>
      <c r="I2277" t="s">
        <v>10253</v>
      </c>
      <c r="K2277" s="1073" t="s">
        <v>10288</v>
      </c>
      <c r="L2277" s="789" t="s">
        <v>10241</v>
      </c>
      <c r="M2277" s="790" t="str">
        <f t="shared" si="123"/>
        <v>431</v>
      </c>
      <c r="N2277" s="790" t="str">
        <f t="shared" si="124"/>
        <v>006</v>
      </c>
      <c r="O2277" s="790" t="s">
        <v>9883</v>
      </c>
      <c r="P2277" s="790" t="s">
        <v>10244</v>
      </c>
      <c r="R2277" s="30"/>
    </row>
    <row r="2278" spans="2:18">
      <c r="B2278" s="5" t="str">
        <f>Page5_CAD_MCI!C37</f>
        <v>XT6</v>
      </c>
      <c r="C2278" s="1038" t="str">
        <f>OR_VEH!D236</f>
        <v>432-006</v>
      </c>
      <c r="D2278" s="803">
        <f>Page5_CAD_MCI!G37</f>
        <v>0</v>
      </c>
      <c r="E2278" s="803">
        <f>Page5_CAD_MCI!L37</f>
        <v>341001</v>
      </c>
      <c r="F2278" t="str">
        <f t="shared" si="120"/>
        <v>01-00-432-006-SALES-CURR</v>
      </c>
      <c r="G2278" t="s">
        <v>127</v>
      </c>
      <c r="H2278" t="s">
        <v>10287</v>
      </c>
      <c r="I2278" t="s">
        <v>10253</v>
      </c>
      <c r="K2278" s="1073" t="s">
        <v>10288</v>
      </c>
      <c r="L2278" s="789" t="s">
        <v>10241</v>
      </c>
      <c r="M2278" s="790" t="str">
        <f t="shared" si="123"/>
        <v>432</v>
      </c>
      <c r="N2278" s="790" t="str">
        <f t="shared" si="124"/>
        <v>006</v>
      </c>
      <c r="O2278" s="790" t="s">
        <v>9883</v>
      </c>
      <c r="P2278" s="790" t="s">
        <v>10244</v>
      </c>
      <c r="R2278" s="30"/>
    </row>
    <row r="2279" spans="2:18">
      <c r="B2279" s="5" t="str">
        <f>Page5_CAD_MCI!C38</f>
        <v>NE PAS UTILISER</v>
      </c>
      <c r="C2279" s="1038" t="str">
        <f>OR_VEH!D237</f>
        <v>433-006</v>
      </c>
      <c r="D2279" s="803">
        <f>Page5_CAD_MCI!G38</f>
        <v>0</v>
      </c>
      <c r="E2279" s="803">
        <f>Page5_CAD_MCI!L38</f>
        <v>0</v>
      </c>
      <c r="F2279" t="str">
        <f t="shared" si="120"/>
        <v>01-00-433-006-SALES-CURR</v>
      </c>
      <c r="G2279" t="s">
        <v>127</v>
      </c>
      <c r="H2279" t="s">
        <v>10287</v>
      </c>
      <c r="I2279" t="s">
        <v>10253</v>
      </c>
      <c r="K2279" s="1073" t="s">
        <v>10288</v>
      </c>
      <c r="L2279" s="789" t="s">
        <v>10241</v>
      </c>
      <c r="M2279" s="790" t="str">
        <f t="shared" si="123"/>
        <v>433</v>
      </c>
      <c r="N2279" s="790" t="str">
        <f t="shared" si="124"/>
        <v>006</v>
      </c>
      <c r="O2279" s="790" t="s">
        <v>9883</v>
      </c>
      <c r="P2279" s="790" t="s">
        <v>10244</v>
      </c>
      <c r="R2279" s="30"/>
    </row>
    <row r="2280" spans="2:18">
      <c r="B2280" s="5" t="str">
        <f>Page5_CAD_MCI!C39</f>
        <v>ESCALADE V</v>
      </c>
      <c r="C2280" s="1038" t="str">
        <f>OR_VEH!D238</f>
        <v>434-006</v>
      </c>
      <c r="D2280" s="803">
        <f>Page5_CAD_MCI!G39</f>
        <v>0</v>
      </c>
      <c r="E2280" s="803">
        <f>Page5_CAD_MCI!L39</f>
        <v>0</v>
      </c>
      <c r="F2280" t="str">
        <f t="shared" si="120"/>
        <v>01-00-434-006-SALES-CURR</v>
      </c>
      <c r="G2280" t="s">
        <v>127</v>
      </c>
      <c r="H2280" t="s">
        <v>10287</v>
      </c>
      <c r="I2280" t="s">
        <v>10253</v>
      </c>
      <c r="K2280" s="1073" t="s">
        <v>10288</v>
      </c>
      <c r="L2280" s="789" t="s">
        <v>10241</v>
      </c>
      <c r="M2280" s="790" t="str">
        <f t="shared" si="123"/>
        <v>434</v>
      </c>
      <c r="N2280" s="790" t="str">
        <f t="shared" si="124"/>
        <v>006</v>
      </c>
      <c r="O2280" s="790" t="s">
        <v>9883</v>
      </c>
      <c r="P2280" s="790" t="s">
        <v>10244</v>
      </c>
      <c r="R2280" s="30"/>
    </row>
    <row r="2281" spans="2:18">
      <c r="B2281" s="5" t="str">
        <f>Page5_CAD_MCI!C40</f>
        <v>NE PAS UTILISER</v>
      </c>
      <c r="C2281" s="1038" t="str">
        <f>OR_VEH!D239</f>
        <v>435-006</v>
      </c>
      <c r="D2281" s="803">
        <f>Page5_CAD_MCI!G40</f>
        <v>0</v>
      </c>
      <c r="E2281" s="803">
        <f>Page5_CAD_MCI!L40</f>
        <v>0</v>
      </c>
      <c r="F2281" t="str">
        <f t="shared" si="120"/>
        <v>01-00-435-006-SALES-CURR</v>
      </c>
      <c r="G2281" t="s">
        <v>127</v>
      </c>
      <c r="H2281" t="s">
        <v>10287</v>
      </c>
      <c r="I2281" t="s">
        <v>10253</v>
      </c>
      <c r="K2281" s="1073" t="s">
        <v>10288</v>
      </c>
      <c r="L2281" s="789" t="s">
        <v>10241</v>
      </c>
      <c r="M2281" s="790" t="str">
        <f t="shared" si="123"/>
        <v>435</v>
      </c>
      <c r="N2281" s="790" t="str">
        <f t="shared" si="124"/>
        <v>006</v>
      </c>
      <c r="O2281" s="790" t="s">
        <v>9883</v>
      </c>
      <c r="P2281" s="790" t="s">
        <v>10244</v>
      </c>
      <c r="R2281" s="30"/>
    </row>
    <row r="2282" spans="2:18">
      <c r="B2282" s="5" t="str">
        <f>Page5_CAD_MCI!C41</f>
        <v>NE PAS UTILISER</v>
      </c>
      <c r="C2282" s="1038" t="str">
        <f>OR_VEH!D240</f>
        <v>436-006</v>
      </c>
      <c r="D2282" s="803">
        <f>Page5_CAD_MCI!G41</f>
        <v>0</v>
      </c>
      <c r="E2282" s="803">
        <f>Page5_CAD_MCI!L41</f>
        <v>0</v>
      </c>
      <c r="F2282" t="str">
        <f t="shared" si="120"/>
        <v>01-00-436-006-SALES-CURR</v>
      </c>
      <c r="G2282" t="s">
        <v>127</v>
      </c>
      <c r="H2282" t="s">
        <v>10287</v>
      </c>
      <c r="I2282" t="s">
        <v>10253</v>
      </c>
      <c r="K2282" s="1073" t="s">
        <v>10288</v>
      </c>
      <c r="L2282" s="789" t="s">
        <v>10241</v>
      </c>
      <c r="M2282" s="790" t="str">
        <f t="shared" si="123"/>
        <v>436</v>
      </c>
      <c r="N2282" s="790" t="str">
        <f t="shared" si="124"/>
        <v>006</v>
      </c>
      <c r="O2282" s="790" t="s">
        <v>9883</v>
      </c>
      <c r="P2282" s="790" t="s">
        <v>10244</v>
      </c>
      <c r="R2282" s="30"/>
    </row>
    <row r="2283" spans="2:18">
      <c r="B2283" s="5" t="str">
        <f>Page5_CAD_MCI!C42</f>
        <v>POUR USAGE FUTUR</v>
      </c>
      <c r="C2283" s="1038" t="str">
        <f>OR_VEH!D241</f>
        <v>437-006</v>
      </c>
      <c r="D2283" s="803">
        <f>Page5_CAD_MCI!G42</f>
        <v>0</v>
      </c>
      <c r="E2283" s="803">
        <f>Page5_CAD_MCI!L42</f>
        <v>0</v>
      </c>
      <c r="F2283" t="str">
        <f t="shared" si="120"/>
        <v>01-00-437-006-SALES-CURR</v>
      </c>
      <c r="G2283" t="s">
        <v>127</v>
      </c>
      <c r="H2283" t="s">
        <v>10287</v>
      </c>
      <c r="I2283" t="s">
        <v>10253</v>
      </c>
      <c r="K2283" s="1073" t="s">
        <v>10288</v>
      </c>
      <c r="L2283" s="789" t="s">
        <v>10241</v>
      </c>
      <c r="M2283" s="790" t="str">
        <f t="shared" si="123"/>
        <v>437</v>
      </c>
      <c r="N2283" s="790" t="str">
        <f t="shared" si="124"/>
        <v>006</v>
      </c>
      <c r="O2283" s="790" t="s">
        <v>9883</v>
      </c>
      <c r="P2283" s="790" t="s">
        <v>10244</v>
      </c>
      <c r="R2283" s="30"/>
    </row>
    <row r="2284" spans="2:18">
      <c r="B2284" s="5" t="str">
        <f>Page5_CAD_MCI!C43</f>
        <v>AUTRES CAMIONS CADILLAC</v>
      </c>
      <c r="C2284" s="1038" t="str">
        <f>OR_VEH!D242</f>
        <v>438-006</v>
      </c>
      <c r="D2284" s="803">
        <f>Page5_CAD_MCI!G43</f>
        <v>0</v>
      </c>
      <c r="E2284" s="803">
        <f>Page5_CAD_MCI!L43</f>
        <v>0</v>
      </c>
      <c r="F2284" t="str">
        <f t="shared" si="120"/>
        <v>01-00-438-006-SALES-CURR</v>
      </c>
      <c r="G2284" t="s">
        <v>127</v>
      </c>
      <c r="H2284" t="s">
        <v>10287</v>
      </c>
      <c r="I2284" t="s">
        <v>10253</v>
      </c>
      <c r="K2284" s="1073" t="s">
        <v>10288</v>
      </c>
      <c r="L2284" s="789" t="s">
        <v>10241</v>
      </c>
      <c r="M2284" s="790" t="str">
        <f t="shared" si="123"/>
        <v>438</v>
      </c>
      <c r="N2284" s="790" t="str">
        <f t="shared" si="124"/>
        <v>006</v>
      </c>
      <c r="O2284" s="790" t="s">
        <v>9883</v>
      </c>
      <c r="P2284" s="790" t="s">
        <v>10244</v>
      </c>
      <c r="R2284" s="30"/>
    </row>
    <row r="2285" spans="2:18">
      <c r="B2285" s="51" t="s">
        <v>12167</v>
      </c>
      <c r="C2285" s="1042"/>
      <c r="D2285" s="803">
        <f>Page5_CAD_MCI!G44</f>
        <v>662216</v>
      </c>
      <c r="E2285" s="803">
        <f>Page5_CAD_MCI!L44</f>
        <v>3890529</v>
      </c>
      <c r="F2285" t="str">
        <f t="shared" si="120"/>
        <v>01-00-RTLTRK5E-SALES-CURR</v>
      </c>
      <c r="G2285" t="s">
        <v>127</v>
      </c>
      <c r="H2285" t="s">
        <v>10287</v>
      </c>
      <c r="I2285" t="s">
        <v>10253</v>
      </c>
      <c r="J2285" t="s">
        <v>10268</v>
      </c>
      <c r="K2285" s="1073" t="s">
        <v>10288</v>
      </c>
      <c r="L2285" s="789" t="s">
        <v>10241</v>
      </c>
      <c r="M2285" s="790" t="s">
        <v>10338</v>
      </c>
      <c r="O2285" s="790" t="s">
        <v>9883</v>
      </c>
      <c r="P2285" s="790" t="s">
        <v>10244</v>
      </c>
      <c r="Q2285" s="791" t="s">
        <v>773</v>
      </c>
    </row>
    <row r="2286" spans="2:18">
      <c r="B2286" s="5" t="str">
        <f>Page5_CAD_MCI!C45</f>
        <v>MÉMO* VENTES INTERNET CAMIONS</v>
      </c>
      <c r="C2286" s="1038" t="str">
        <f>OR_VEH!D244</f>
        <v>439P5E</v>
      </c>
      <c r="D2286" s="803">
        <f>Page5_CAD_MCI!G45</f>
        <v>0</v>
      </c>
      <c r="E2286" s="803">
        <f>Page5_CAD_MCI!L45</f>
        <v>0</v>
      </c>
      <c r="F2286" t="str">
        <f t="shared" si="120"/>
        <v>01-00-439P5E-SALES-CURR</v>
      </c>
      <c r="G2286" t="s">
        <v>127</v>
      </c>
      <c r="H2286" t="s">
        <v>10287</v>
      </c>
      <c r="I2286" t="s">
        <v>10253</v>
      </c>
      <c r="K2286" s="1073" t="s">
        <v>10288</v>
      </c>
      <c r="L2286" s="789" t="s">
        <v>10241</v>
      </c>
      <c r="M2286" s="855" t="str">
        <f>C2286</f>
        <v>439P5E</v>
      </c>
      <c r="N2286" s="855"/>
      <c r="O2286" s="790" t="s">
        <v>9883</v>
      </c>
      <c r="P2286" s="790" t="s">
        <v>10244</v>
      </c>
      <c r="R2286" s="30"/>
    </row>
    <row r="2287" spans="2:18">
      <c r="B2287" s="5" t="str">
        <f>Page5_CAD_MCI!C46</f>
        <v>TOTAL PARCS - CAMIONS</v>
      </c>
      <c r="C2287" s="1038" t="str">
        <f>OR_VEH!D245</f>
        <v>440P5E</v>
      </c>
      <c r="D2287" s="803">
        <f>Page5_CAD_MCI!G46</f>
        <v>0</v>
      </c>
      <c r="E2287" s="803">
        <f>Page5_CAD_MCI!L46</f>
        <v>0</v>
      </c>
      <c r="F2287" t="str">
        <f t="shared" si="120"/>
        <v>01-00-440P5E-SALES-CURR</v>
      </c>
      <c r="G2287" t="s">
        <v>127</v>
      </c>
      <c r="H2287" t="s">
        <v>10287</v>
      </c>
      <c r="I2287" t="s">
        <v>10253</v>
      </c>
      <c r="K2287" s="1073" t="s">
        <v>10288</v>
      </c>
      <c r="L2287" s="789" t="s">
        <v>10241</v>
      </c>
      <c r="M2287" s="855" t="str">
        <f>C2287</f>
        <v>440P5E</v>
      </c>
      <c r="N2287" s="855"/>
      <c r="O2287" s="790" t="s">
        <v>9883</v>
      </c>
      <c r="P2287" s="790" t="s">
        <v>10244</v>
      </c>
      <c r="R2287" s="30"/>
    </row>
    <row r="2288" spans="2:18">
      <c r="B2288" s="5" t="str">
        <f>Page5_CAD_MCI!C47</f>
        <v xml:space="preserve">TOTAL IINTERNE - CAMIONS </v>
      </c>
      <c r="C2288" s="1038" t="str">
        <f>OR_VEH!D246</f>
        <v>441P5E</v>
      </c>
      <c r="D2288" s="803">
        <f>Page5_CAD_MCI!G47</f>
        <v>0</v>
      </c>
      <c r="E2288" s="803">
        <f>Page5_CAD_MCI!L47</f>
        <v>0</v>
      </c>
      <c r="F2288" t="str">
        <f t="shared" si="120"/>
        <v>01-00-441P5E-SALES-CURR</v>
      </c>
      <c r="G2288" t="s">
        <v>127</v>
      </c>
      <c r="H2288" t="s">
        <v>10287</v>
      </c>
      <c r="I2288" t="s">
        <v>10253</v>
      </c>
      <c r="K2288" s="1073" t="s">
        <v>10288</v>
      </c>
      <c r="L2288" s="789" t="s">
        <v>10241</v>
      </c>
      <c r="M2288" s="855" t="str">
        <f>C2288</f>
        <v>441P5E</v>
      </c>
      <c r="N2288" s="855"/>
      <c r="O2288" s="790" t="s">
        <v>9883</v>
      </c>
      <c r="P2288" s="790" t="s">
        <v>10244</v>
      </c>
      <c r="R2288" s="30"/>
    </row>
    <row r="2289" spans="2:18">
      <c r="B2289" s="27" t="s">
        <v>12168</v>
      </c>
      <c r="C2289" s="1042"/>
      <c r="D2289" s="803">
        <f>Page5_CAD_MCI!G48</f>
        <v>662216</v>
      </c>
      <c r="E2289" s="803">
        <f>Page5_CAD_MCI!L48</f>
        <v>3890529</v>
      </c>
      <c r="F2289" t="str">
        <f t="shared" si="120"/>
        <v>01-00-TOTTRK5E-SALES-CURR</v>
      </c>
      <c r="G2289" t="s">
        <v>127</v>
      </c>
      <c r="H2289" t="s">
        <v>10287</v>
      </c>
      <c r="I2289" t="s">
        <v>10253</v>
      </c>
      <c r="J2289" t="s">
        <v>10268</v>
      </c>
      <c r="K2289" s="1073" t="s">
        <v>10288</v>
      </c>
      <c r="L2289" s="789" t="s">
        <v>10241</v>
      </c>
      <c r="M2289" s="790" t="s">
        <v>10340</v>
      </c>
      <c r="O2289" s="790" t="s">
        <v>9883</v>
      </c>
      <c r="P2289" s="790" t="s">
        <v>10244</v>
      </c>
      <c r="Q2289" s="791" t="s">
        <v>773</v>
      </c>
    </row>
    <row r="2290" spans="2:18">
      <c r="B2290" s="5" t="str">
        <f>Page5_CAD_MCI!C50</f>
        <v>ACCESSOIRES</v>
      </c>
      <c r="C2290" s="1038" t="str">
        <f>OR_VEH!D249</f>
        <v>457P5E</v>
      </c>
      <c r="D2290" s="803">
        <f>Page5_CAD_MCI!G50</f>
        <v>0</v>
      </c>
      <c r="E2290" s="803">
        <f>Page5_CAD_MCI!L50</f>
        <v>0</v>
      </c>
      <c r="F2290" t="str">
        <f t="shared" si="120"/>
        <v>01-00-457P5E-SALES-CURR</v>
      </c>
      <c r="G2290" t="s">
        <v>127</v>
      </c>
      <c r="H2290" t="s">
        <v>10287</v>
      </c>
      <c r="I2290" t="s">
        <v>10253</v>
      </c>
      <c r="K2290" s="1073" t="s">
        <v>10288</v>
      </c>
      <c r="L2290" s="789" t="s">
        <v>10241</v>
      </c>
      <c r="M2290" s="855" t="str">
        <f>C2290</f>
        <v>457P5E</v>
      </c>
      <c r="N2290" s="855"/>
      <c r="O2290" s="790" t="s">
        <v>9883</v>
      </c>
      <c r="P2290" s="790" t="s">
        <v>10244</v>
      </c>
      <c r="R2290" s="30"/>
    </row>
    <row r="2291" spans="2:18">
      <c r="B2291" s="27" t="s">
        <v>12169</v>
      </c>
      <c r="C2291" s="1042"/>
      <c r="D2291" s="803">
        <f>Page5_CAD_MCI!G51</f>
        <v>662216</v>
      </c>
      <c r="E2291" s="803">
        <f>Page5_CAD_MCI!L51</f>
        <v>3890529</v>
      </c>
      <c r="F2291" t="str">
        <f t="shared" si="120"/>
        <v>01-00-TOTVEH5E-SALES-CURR</v>
      </c>
      <c r="G2291" t="s">
        <v>127</v>
      </c>
      <c r="H2291" t="s">
        <v>10287</v>
      </c>
      <c r="I2291" t="s">
        <v>10253</v>
      </c>
      <c r="J2291" t="s">
        <v>10268</v>
      </c>
      <c r="K2291" s="1073" t="s">
        <v>10288</v>
      </c>
      <c r="L2291" s="789" t="s">
        <v>10241</v>
      </c>
      <c r="M2291" s="790" t="s">
        <v>10342</v>
      </c>
      <c r="O2291" s="790" t="s">
        <v>9883</v>
      </c>
      <c r="P2291" s="790" t="s">
        <v>10244</v>
      </c>
      <c r="Q2291" s="791" t="s">
        <v>773</v>
      </c>
    </row>
    <row r="2292" spans="2:18">
      <c r="B2292" s="5" t="str">
        <f>Page5_CAD_MCI!C4</f>
        <v>NE PAS UTILISER</v>
      </c>
      <c r="C2292" s="1038" t="str">
        <f>OR_VEH!D203</f>
        <v>400-006</v>
      </c>
      <c r="D2292" s="803">
        <f>Page5_CAD_MCI!I4</f>
        <v>0</v>
      </c>
      <c r="E2292" s="803">
        <f>Page5_CAD_MCI!N4</f>
        <v>0</v>
      </c>
      <c r="F2292" t="str">
        <f t="shared" si="120"/>
        <v>01-00-400-006-GRSPFT-CURR</v>
      </c>
      <c r="G2292" t="s">
        <v>127</v>
      </c>
      <c r="H2292" t="s">
        <v>10287</v>
      </c>
      <c r="I2292" t="s">
        <v>10253</v>
      </c>
      <c r="K2292" s="1073" t="s">
        <v>10288</v>
      </c>
      <c r="L2292" s="789" t="s">
        <v>10241</v>
      </c>
      <c r="M2292" s="790" t="str">
        <f t="shared" ref="M2292:M2310" si="125">LEFT(C2292,3)</f>
        <v>400</v>
      </c>
      <c r="N2292" s="790" t="str">
        <f t="shared" ref="N2292:N2310" si="126">RIGHT(C2292,3)</f>
        <v>006</v>
      </c>
      <c r="O2292" s="799" t="s">
        <v>10467</v>
      </c>
      <c r="P2292" s="799" t="s">
        <v>10244</v>
      </c>
      <c r="R2292" s="30"/>
    </row>
    <row r="2293" spans="2:18">
      <c r="B2293" s="5" t="str">
        <f>Page5_CAD_MCI!C5</f>
        <v>NE PAS UTILISER</v>
      </c>
      <c r="C2293" s="1038" t="str">
        <f>OR_VEH!D204</f>
        <v>401-006</v>
      </c>
      <c r="D2293" s="803">
        <f>Page5_CAD_MCI!I5</f>
        <v>0</v>
      </c>
      <c r="E2293" s="803">
        <f>Page5_CAD_MCI!N5</f>
        <v>0</v>
      </c>
      <c r="F2293" t="str">
        <f t="shared" si="120"/>
        <v>01-00-401-006-GRSPFT-CURR</v>
      </c>
      <c r="G2293" t="s">
        <v>127</v>
      </c>
      <c r="H2293" t="s">
        <v>10287</v>
      </c>
      <c r="I2293" t="s">
        <v>10253</v>
      </c>
      <c r="K2293" s="1073" t="s">
        <v>10288</v>
      </c>
      <c r="L2293" s="789" t="s">
        <v>10241</v>
      </c>
      <c r="M2293" s="790" t="str">
        <f t="shared" si="125"/>
        <v>401</v>
      </c>
      <c r="N2293" s="790" t="str">
        <f t="shared" si="126"/>
        <v>006</v>
      </c>
      <c r="O2293" s="799" t="s">
        <v>10467</v>
      </c>
      <c r="P2293" s="799" t="s">
        <v>10244</v>
      </c>
      <c r="R2293" s="30"/>
    </row>
    <row r="2294" spans="2:18">
      <c r="B2294" s="5" t="str">
        <f>Page5_CAD_MCI!C6</f>
        <v xml:space="preserve">CTS </v>
      </c>
      <c r="C2294" s="1038" t="str">
        <f>OR_VEH!D205</f>
        <v>402-006</v>
      </c>
      <c r="D2294" s="803">
        <f>Page5_CAD_MCI!I6</f>
        <v>0</v>
      </c>
      <c r="E2294" s="803">
        <f>Page5_CAD_MCI!N6</f>
        <v>0</v>
      </c>
      <c r="F2294" t="str">
        <f t="shared" ref="F2294:F2357" si="127">TEXT(K2294,"00")&amp;"-"&amp;L2294&amp;IF(M2294="","","-"&amp;M2294)&amp;IF(N2294="","","-"&amp;N2294)&amp;IF(OR(O2294="",O2294=0),"","-"&amp;O2294)&amp;IF(P2294="","","-"&amp;P2294)</f>
        <v>01-00-402-006-GRSPFT-CURR</v>
      </c>
      <c r="G2294" t="s">
        <v>127</v>
      </c>
      <c r="H2294" t="s">
        <v>10287</v>
      </c>
      <c r="I2294" t="s">
        <v>10253</v>
      </c>
      <c r="K2294" s="1073" t="s">
        <v>10288</v>
      </c>
      <c r="L2294" s="789" t="s">
        <v>10241</v>
      </c>
      <c r="M2294" s="790" t="str">
        <f t="shared" si="125"/>
        <v>402</v>
      </c>
      <c r="N2294" s="790" t="str">
        <f t="shared" si="126"/>
        <v>006</v>
      </c>
      <c r="O2294" s="799" t="s">
        <v>10467</v>
      </c>
      <c r="P2294" s="799" t="s">
        <v>10244</v>
      </c>
      <c r="R2294" s="30"/>
    </row>
    <row r="2295" spans="2:18">
      <c r="B2295" s="5" t="str">
        <f>Page5_CAD_MCI!C7</f>
        <v>CTS-V</v>
      </c>
      <c r="C2295" s="1038" t="str">
        <f>OR_VEH!D206</f>
        <v>403-006</v>
      </c>
      <c r="D2295" s="803">
        <f>Page5_CAD_MCI!I7</f>
        <v>0</v>
      </c>
      <c r="E2295" s="803">
        <f>Page5_CAD_MCI!N7</f>
        <v>0</v>
      </c>
      <c r="F2295" t="str">
        <f t="shared" si="127"/>
        <v>01-00-403-006-GRSPFT-CURR</v>
      </c>
      <c r="G2295" t="s">
        <v>127</v>
      </c>
      <c r="H2295" t="s">
        <v>10287</v>
      </c>
      <c r="I2295" t="s">
        <v>10253</v>
      </c>
      <c r="K2295" s="1073" t="s">
        <v>10288</v>
      </c>
      <c r="L2295" s="789" t="s">
        <v>10241</v>
      </c>
      <c r="M2295" s="790" t="str">
        <f t="shared" si="125"/>
        <v>403</v>
      </c>
      <c r="N2295" s="790" t="str">
        <f t="shared" si="126"/>
        <v>006</v>
      </c>
      <c r="O2295" s="799" t="s">
        <v>10467</v>
      </c>
      <c r="P2295" s="799" t="s">
        <v>10244</v>
      </c>
      <c r="R2295" s="30"/>
    </row>
    <row r="2296" spans="2:18">
      <c r="B2296" s="5" t="str">
        <f>Page5_CAD_MCI!C8</f>
        <v>CT4</v>
      </c>
      <c r="C2296" s="1038" t="str">
        <f>OR_VEH!D207</f>
        <v>404-006</v>
      </c>
      <c r="D2296" s="803">
        <f>Page5_CAD_MCI!I8</f>
        <v>0</v>
      </c>
      <c r="E2296" s="803">
        <f>Page5_CAD_MCI!N8</f>
        <v>0</v>
      </c>
      <c r="F2296" t="str">
        <f t="shared" si="127"/>
        <v>01-00-404-006-GRSPFT-CURR</v>
      </c>
      <c r="G2296" t="s">
        <v>127</v>
      </c>
      <c r="H2296" t="s">
        <v>10287</v>
      </c>
      <c r="I2296" t="s">
        <v>10253</v>
      </c>
      <c r="K2296" s="1073" t="s">
        <v>10288</v>
      </c>
      <c r="L2296" s="789" t="s">
        <v>10241</v>
      </c>
      <c r="M2296" s="790" t="str">
        <f t="shared" si="125"/>
        <v>404</v>
      </c>
      <c r="N2296" s="790" t="str">
        <f t="shared" si="126"/>
        <v>006</v>
      </c>
      <c r="O2296" s="799" t="s">
        <v>10467</v>
      </c>
      <c r="P2296" s="799" t="s">
        <v>10244</v>
      </c>
      <c r="R2296" s="30"/>
    </row>
    <row r="2297" spans="2:18">
      <c r="B2297" s="5" t="str">
        <f>Page5_CAD_MCI!C9</f>
        <v>CT5</v>
      </c>
      <c r="C2297" s="1038" t="str">
        <f>OR_VEH!D208</f>
        <v>405-006</v>
      </c>
      <c r="D2297" s="803">
        <f>Page5_CAD_MCI!I9</f>
        <v>0</v>
      </c>
      <c r="E2297" s="803">
        <f>Page5_CAD_MCI!N9</f>
        <v>0</v>
      </c>
      <c r="F2297" t="str">
        <f t="shared" si="127"/>
        <v>01-00-405-006-GRSPFT-CURR</v>
      </c>
      <c r="G2297" t="s">
        <v>127</v>
      </c>
      <c r="H2297" t="s">
        <v>10287</v>
      </c>
      <c r="I2297" t="s">
        <v>10253</v>
      </c>
      <c r="K2297" s="1073" t="s">
        <v>10288</v>
      </c>
      <c r="L2297" s="789" t="s">
        <v>10241</v>
      </c>
      <c r="M2297" s="790" t="str">
        <f t="shared" si="125"/>
        <v>405</v>
      </c>
      <c r="N2297" s="790" t="str">
        <f t="shared" si="126"/>
        <v>006</v>
      </c>
      <c r="O2297" s="799" t="s">
        <v>10467</v>
      </c>
      <c r="P2297" s="799" t="s">
        <v>10244</v>
      </c>
      <c r="R2297" s="30"/>
    </row>
    <row r="2298" spans="2:18">
      <c r="B2298" s="5" t="str">
        <f>Page5_CAD_MCI!C10</f>
        <v>NE PAS UTILISER</v>
      </c>
      <c r="C2298" s="1038" t="str">
        <f>OR_VEH!D209</f>
        <v>406-006</v>
      </c>
      <c r="D2298" s="803">
        <f>Page5_CAD_MCI!I10</f>
        <v>0</v>
      </c>
      <c r="E2298" s="803">
        <f>Page5_CAD_MCI!N10</f>
        <v>0</v>
      </c>
      <c r="F2298" t="str">
        <f t="shared" si="127"/>
        <v>01-00-406-006-GRSPFT-CURR</v>
      </c>
      <c r="G2298" t="s">
        <v>127</v>
      </c>
      <c r="H2298" t="s">
        <v>10287</v>
      </c>
      <c r="I2298" t="s">
        <v>10253</v>
      </c>
      <c r="K2298" s="1073" t="s">
        <v>10288</v>
      </c>
      <c r="L2298" s="789" t="s">
        <v>10241</v>
      </c>
      <c r="M2298" s="790" t="str">
        <f t="shared" si="125"/>
        <v>406</v>
      </c>
      <c r="N2298" s="790" t="str">
        <f t="shared" si="126"/>
        <v>006</v>
      </c>
      <c r="O2298" s="799" t="s">
        <v>10467</v>
      </c>
      <c r="P2298" s="799" t="s">
        <v>10244</v>
      </c>
      <c r="R2298" s="30"/>
    </row>
    <row r="2299" spans="2:18">
      <c r="B2299" s="5" t="str">
        <f>Page5_CAD_MCI!C11</f>
        <v>NE PAS UTILISER</v>
      </c>
      <c r="C2299" s="1038" t="str">
        <f>OR_VEH!D210</f>
        <v>407-006</v>
      </c>
      <c r="D2299" s="803">
        <f>Page5_CAD_MCI!I11</f>
        <v>0</v>
      </c>
      <c r="E2299" s="803">
        <f>Page5_CAD_MCI!N11</f>
        <v>0</v>
      </c>
      <c r="F2299" t="str">
        <f t="shared" si="127"/>
        <v>01-00-407-006-GRSPFT-CURR</v>
      </c>
      <c r="G2299" t="s">
        <v>127</v>
      </c>
      <c r="H2299" t="s">
        <v>10287</v>
      </c>
      <c r="I2299" t="s">
        <v>10253</v>
      </c>
      <c r="K2299" s="1073" t="s">
        <v>10288</v>
      </c>
      <c r="L2299" s="789" t="s">
        <v>10241</v>
      </c>
      <c r="M2299" s="790" t="str">
        <f t="shared" si="125"/>
        <v>407</v>
      </c>
      <c r="N2299" s="790" t="str">
        <f t="shared" si="126"/>
        <v>006</v>
      </c>
      <c r="O2299" s="799" t="s">
        <v>10467</v>
      </c>
      <c r="P2299" s="799" t="s">
        <v>10244</v>
      </c>
      <c r="R2299" s="30"/>
    </row>
    <row r="2300" spans="2:18">
      <c r="B2300" s="5" t="str">
        <f>Page5_CAD_MCI!C12</f>
        <v>ATS</v>
      </c>
      <c r="C2300" s="1038" t="str">
        <f>OR_VEH!D211</f>
        <v>408-006</v>
      </c>
      <c r="D2300" s="803">
        <f>Page5_CAD_MCI!I12</f>
        <v>0</v>
      </c>
      <c r="E2300" s="803">
        <f>Page5_CAD_MCI!N12</f>
        <v>0</v>
      </c>
      <c r="F2300" t="str">
        <f t="shared" si="127"/>
        <v>01-00-408-006-GRSPFT-CURR</v>
      </c>
      <c r="G2300" t="s">
        <v>127</v>
      </c>
      <c r="H2300" t="s">
        <v>10287</v>
      </c>
      <c r="I2300" t="s">
        <v>10253</v>
      </c>
      <c r="K2300" s="1073" t="s">
        <v>10288</v>
      </c>
      <c r="L2300" s="789" t="s">
        <v>10241</v>
      </c>
      <c r="M2300" s="790" t="str">
        <f t="shared" si="125"/>
        <v>408</v>
      </c>
      <c r="N2300" s="790" t="str">
        <f t="shared" si="126"/>
        <v>006</v>
      </c>
      <c r="O2300" s="799" t="s">
        <v>10467</v>
      </c>
      <c r="P2300" s="799" t="s">
        <v>10244</v>
      </c>
      <c r="R2300" s="30"/>
    </row>
    <row r="2301" spans="2:18">
      <c r="B2301" s="5" t="str">
        <f>Page5_CAD_MCI!C13</f>
        <v>XTS</v>
      </c>
      <c r="C2301" s="1038" t="str">
        <f>OR_VEH!D212</f>
        <v>409-006</v>
      </c>
      <c r="D2301" s="803">
        <f>Page5_CAD_MCI!I13</f>
        <v>0</v>
      </c>
      <c r="E2301" s="803">
        <f>Page5_CAD_MCI!N13</f>
        <v>0</v>
      </c>
      <c r="F2301" t="str">
        <f t="shared" si="127"/>
        <v>01-00-409-006-GRSPFT-CURR</v>
      </c>
      <c r="G2301" t="s">
        <v>127</v>
      </c>
      <c r="H2301" t="s">
        <v>10287</v>
      </c>
      <c r="I2301" t="s">
        <v>10253</v>
      </c>
      <c r="K2301" s="1073" t="s">
        <v>10288</v>
      </c>
      <c r="L2301" s="789" t="s">
        <v>10241</v>
      </c>
      <c r="M2301" s="790" t="str">
        <f t="shared" si="125"/>
        <v>409</v>
      </c>
      <c r="N2301" s="790" t="str">
        <f t="shared" si="126"/>
        <v>006</v>
      </c>
      <c r="O2301" s="790" t="s">
        <v>10467</v>
      </c>
      <c r="P2301" s="790" t="s">
        <v>10244</v>
      </c>
      <c r="R2301" s="30"/>
    </row>
    <row r="2302" spans="2:18">
      <c r="B2302" s="5" t="str">
        <f>Page5_CAD_MCI!C14</f>
        <v>ELR</v>
      </c>
      <c r="C2302" s="1038" t="str">
        <f>OR_VEH!D213</f>
        <v>410-006</v>
      </c>
      <c r="D2302" s="803">
        <f>Page5_CAD_MCI!I14</f>
        <v>0</v>
      </c>
      <c r="E2302" s="803">
        <f>Page5_CAD_MCI!N14</f>
        <v>0</v>
      </c>
      <c r="F2302" t="str">
        <f t="shared" si="127"/>
        <v>01-00-410-006-GRSPFT-CURR</v>
      </c>
      <c r="G2302" t="s">
        <v>127</v>
      </c>
      <c r="H2302" t="s">
        <v>10287</v>
      </c>
      <c r="I2302" t="s">
        <v>10253</v>
      </c>
      <c r="K2302" s="1073" t="s">
        <v>10288</v>
      </c>
      <c r="L2302" s="789" t="s">
        <v>10241</v>
      </c>
      <c r="M2302" s="790" t="str">
        <f t="shared" si="125"/>
        <v>410</v>
      </c>
      <c r="N2302" s="790" t="str">
        <f t="shared" si="126"/>
        <v>006</v>
      </c>
      <c r="O2302" s="790" t="s">
        <v>10467</v>
      </c>
      <c r="P2302" s="790" t="s">
        <v>10244</v>
      </c>
      <c r="R2302" s="30"/>
    </row>
    <row r="2303" spans="2:18">
      <c r="B2303" s="5" t="str">
        <f>Page5_CAD_MCI!C15</f>
        <v>ATS-V</v>
      </c>
      <c r="C2303" s="1038" t="str">
        <f>OR_VEH!D214</f>
        <v>411-006</v>
      </c>
      <c r="D2303" s="803">
        <f>Page5_CAD_MCI!I15</f>
        <v>0</v>
      </c>
      <c r="E2303" s="803">
        <f>Page5_CAD_MCI!N15</f>
        <v>0</v>
      </c>
      <c r="F2303" t="str">
        <f t="shared" si="127"/>
        <v>01-00-411-006-GRSPFT-CURR</v>
      </c>
      <c r="G2303" t="s">
        <v>127</v>
      </c>
      <c r="H2303" t="s">
        <v>10287</v>
      </c>
      <c r="I2303" t="s">
        <v>10253</v>
      </c>
      <c r="K2303" s="1073" t="s">
        <v>10288</v>
      </c>
      <c r="L2303" s="789" t="s">
        <v>10241</v>
      </c>
      <c r="M2303" s="790" t="str">
        <f t="shared" si="125"/>
        <v>411</v>
      </c>
      <c r="N2303" s="790" t="str">
        <f t="shared" si="126"/>
        <v>006</v>
      </c>
      <c r="O2303" s="790" t="s">
        <v>10467</v>
      </c>
      <c r="P2303" s="790" t="s">
        <v>10244</v>
      </c>
      <c r="R2303" s="30"/>
    </row>
    <row r="2304" spans="2:18">
      <c r="B2304" s="5" t="str">
        <f>Page5_CAD_MCI!C16</f>
        <v>CT6</v>
      </c>
      <c r="C2304" s="1038" t="str">
        <f>OR_VEH!D215</f>
        <v>412-006</v>
      </c>
      <c r="D2304" s="803">
        <f>Page5_CAD_MCI!I16</f>
        <v>0</v>
      </c>
      <c r="E2304" s="803">
        <f>Page5_CAD_MCI!N16</f>
        <v>0</v>
      </c>
      <c r="F2304" t="str">
        <f t="shared" si="127"/>
        <v>01-00-412-006-GRSPFT-CURR</v>
      </c>
      <c r="G2304" t="s">
        <v>127</v>
      </c>
      <c r="H2304" t="s">
        <v>10287</v>
      </c>
      <c r="I2304" t="s">
        <v>10253</v>
      </c>
      <c r="K2304" s="1073" t="s">
        <v>10288</v>
      </c>
      <c r="L2304" s="789" t="s">
        <v>10241</v>
      </c>
      <c r="M2304" s="790" t="str">
        <f t="shared" si="125"/>
        <v>412</v>
      </c>
      <c r="N2304" s="790" t="str">
        <f t="shared" si="126"/>
        <v>006</v>
      </c>
      <c r="O2304" s="790" t="s">
        <v>10467</v>
      </c>
      <c r="P2304" s="790" t="s">
        <v>10244</v>
      </c>
      <c r="R2304" s="30"/>
    </row>
    <row r="2305" spans="2:18">
      <c r="B2305" s="5" t="str">
        <f>Page5_CAD_MCI!C17</f>
        <v>NE PAS UTILISER</v>
      </c>
      <c r="C2305" s="1038" t="str">
        <f>OR_VEH!D216</f>
        <v>413-006</v>
      </c>
      <c r="D2305" s="803">
        <f>Page5_CAD_MCI!I17</f>
        <v>0</v>
      </c>
      <c r="E2305" s="803">
        <f>Page5_CAD_MCI!N17</f>
        <v>0</v>
      </c>
      <c r="F2305" t="str">
        <f t="shared" si="127"/>
        <v>01-00-413-006-GRSPFT-CURR</v>
      </c>
      <c r="G2305" t="s">
        <v>127</v>
      </c>
      <c r="H2305" t="s">
        <v>10287</v>
      </c>
      <c r="I2305" t="s">
        <v>10253</v>
      </c>
      <c r="K2305" s="1073" t="s">
        <v>10288</v>
      </c>
      <c r="L2305" s="789" t="s">
        <v>10241</v>
      </c>
      <c r="M2305" s="790" t="str">
        <f t="shared" si="125"/>
        <v>413</v>
      </c>
      <c r="N2305" s="790" t="str">
        <f t="shared" si="126"/>
        <v>006</v>
      </c>
      <c r="O2305" s="790" t="s">
        <v>10467</v>
      </c>
      <c r="P2305" s="790" t="s">
        <v>10244</v>
      </c>
      <c r="R2305" s="30"/>
    </row>
    <row r="2306" spans="2:18">
      <c r="B2306" s="5" t="str">
        <f>Page5_CAD_MCI!C18</f>
        <v>NE PAS UTILISER</v>
      </c>
      <c r="C2306" s="1038" t="str">
        <f>OR_VEH!D217</f>
        <v>414-006</v>
      </c>
      <c r="D2306" s="803">
        <f>Page5_CAD_MCI!I18</f>
        <v>0</v>
      </c>
      <c r="E2306" s="803">
        <f>Page5_CAD_MCI!N18</f>
        <v>0</v>
      </c>
      <c r="F2306" t="str">
        <f t="shared" si="127"/>
        <v>01-00-414-006-GRSPFT-CURR</v>
      </c>
      <c r="G2306" t="s">
        <v>127</v>
      </c>
      <c r="H2306" t="s">
        <v>10287</v>
      </c>
      <c r="I2306" t="s">
        <v>10253</v>
      </c>
      <c r="K2306" s="1073" t="s">
        <v>10288</v>
      </c>
      <c r="L2306" s="789" t="s">
        <v>10241</v>
      </c>
      <c r="M2306" s="790" t="str">
        <f t="shared" si="125"/>
        <v>414</v>
      </c>
      <c r="N2306" s="790" t="str">
        <f t="shared" si="126"/>
        <v>006</v>
      </c>
      <c r="O2306" s="790" t="s">
        <v>10467</v>
      </c>
      <c r="P2306" s="790" t="s">
        <v>10244</v>
      </c>
      <c r="R2306" s="30"/>
    </row>
    <row r="2307" spans="2:18">
      <c r="B2307" s="5" t="str">
        <f>Page5_CAD_MCI!C19</f>
        <v>NE PAS UTILISER</v>
      </c>
      <c r="C2307" s="1038" t="str">
        <f>OR_VEH!D218</f>
        <v>415-006</v>
      </c>
      <c r="D2307" s="803">
        <f>Page5_CAD_MCI!I19</f>
        <v>0</v>
      </c>
      <c r="E2307" s="803">
        <f>Page5_CAD_MCI!N19</f>
        <v>0</v>
      </c>
      <c r="F2307" t="str">
        <f t="shared" si="127"/>
        <v>01-00-415-006-GRSPFT-CURR</v>
      </c>
      <c r="G2307" t="s">
        <v>127</v>
      </c>
      <c r="H2307" t="s">
        <v>10287</v>
      </c>
      <c r="I2307" t="s">
        <v>10253</v>
      </c>
      <c r="K2307" s="1073" t="s">
        <v>10288</v>
      </c>
      <c r="L2307" s="789" t="s">
        <v>10241</v>
      </c>
      <c r="M2307" s="790" t="str">
        <f t="shared" si="125"/>
        <v>415</v>
      </c>
      <c r="N2307" s="790" t="str">
        <f t="shared" si="126"/>
        <v>006</v>
      </c>
      <c r="O2307" s="790" t="s">
        <v>10467</v>
      </c>
      <c r="P2307" s="790" t="s">
        <v>10244</v>
      </c>
      <c r="R2307" s="30"/>
    </row>
    <row r="2308" spans="2:18">
      <c r="B2308" s="5" t="str">
        <f>Page5_CAD_MCI!C20</f>
        <v>POUR USAGE FUTUR</v>
      </c>
      <c r="C2308" s="1038" t="str">
        <f>OR_VEH!D219</f>
        <v>416-006</v>
      </c>
      <c r="D2308" s="803">
        <f>Page5_CAD_MCI!I20</f>
        <v>0</v>
      </c>
      <c r="E2308" s="803">
        <f>Page5_CAD_MCI!N20</f>
        <v>0</v>
      </c>
      <c r="F2308" t="str">
        <f t="shared" si="127"/>
        <v>01-00-416-006-GRSPFT-CURR</v>
      </c>
      <c r="G2308" t="s">
        <v>127</v>
      </c>
      <c r="H2308" t="s">
        <v>10287</v>
      </c>
      <c r="I2308" t="s">
        <v>10253</v>
      </c>
      <c r="K2308" s="1073" t="s">
        <v>10288</v>
      </c>
      <c r="L2308" s="789" t="s">
        <v>10241</v>
      </c>
      <c r="M2308" s="790" t="str">
        <f t="shared" si="125"/>
        <v>416</v>
      </c>
      <c r="N2308" s="790" t="str">
        <f t="shared" si="126"/>
        <v>006</v>
      </c>
      <c r="O2308" s="790" t="s">
        <v>10467</v>
      </c>
      <c r="P2308" s="790" t="s">
        <v>10244</v>
      </c>
      <c r="R2308" s="30"/>
    </row>
    <row r="2309" spans="2:18">
      <c r="B2309" s="5" t="str">
        <f>Page5_CAD_MCI!C21</f>
        <v>NE PAS UTILISER</v>
      </c>
      <c r="C2309" s="1038" t="str">
        <f>OR_VEH!D220</f>
        <v>417-006</v>
      </c>
      <c r="D2309" s="803">
        <f>Page5_CAD_MCI!I21</f>
        <v>0</v>
      </c>
      <c r="E2309" s="803">
        <f>Page5_CAD_MCI!N21</f>
        <v>0</v>
      </c>
      <c r="F2309" t="str">
        <f t="shared" si="127"/>
        <v>01-00-417-006-GRSPFT-CURR</v>
      </c>
      <c r="G2309" t="s">
        <v>127</v>
      </c>
      <c r="H2309" t="s">
        <v>10287</v>
      </c>
      <c r="I2309" t="s">
        <v>10253</v>
      </c>
      <c r="K2309" s="1073" t="s">
        <v>10288</v>
      </c>
      <c r="L2309" s="789" t="s">
        <v>10241</v>
      </c>
      <c r="M2309" s="790" t="str">
        <f t="shared" si="125"/>
        <v>417</v>
      </c>
      <c r="N2309" s="790" t="str">
        <f t="shared" si="126"/>
        <v>006</v>
      </c>
      <c r="O2309" s="790" t="s">
        <v>10467</v>
      </c>
      <c r="P2309" s="790" t="s">
        <v>10244</v>
      </c>
      <c r="R2309" s="30"/>
    </row>
    <row r="2310" spans="2:18">
      <c r="B2310" s="5" t="str">
        <f>Page5_CAD_MCI!C22</f>
        <v>AUTRES CADILLAC</v>
      </c>
      <c r="C2310" s="1038" t="str">
        <f>OR_VEH!D221</f>
        <v>418-006</v>
      </c>
      <c r="D2310" s="803">
        <f>Page5_CAD_MCI!I22</f>
        <v>0</v>
      </c>
      <c r="E2310" s="803">
        <f>Page5_CAD_MCI!N22</f>
        <v>0</v>
      </c>
      <c r="F2310" t="str">
        <f t="shared" si="127"/>
        <v>01-00-418-006-GRSPFT-CURR</v>
      </c>
      <c r="G2310" t="s">
        <v>127</v>
      </c>
      <c r="H2310" t="s">
        <v>10287</v>
      </c>
      <c r="I2310" t="s">
        <v>10253</v>
      </c>
      <c r="K2310" s="1073" t="s">
        <v>10288</v>
      </c>
      <c r="L2310" s="789" t="s">
        <v>10241</v>
      </c>
      <c r="M2310" s="790" t="str">
        <f t="shared" si="125"/>
        <v>418</v>
      </c>
      <c r="N2310" s="790" t="str">
        <f t="shared" si="126"/>
        <v>006</v>
      </c>
      <c r="O2310" s="799" t="s">
        <v>10467</v>
      </c>
      <c r="P2310" s="799" t="s">
        <v>10244</v>
      </c>
      <c r="R2310" s="30"/>
    </row>
    <row r="2311" spans="2:18">
      <c r="B2311" s="27" t="s">
        <v>12170</v>
      </c>
      <c r="C2311" s="1042"/>
      <c r="D2311" s="803">
        <f>Page5_CAD_MCI!I23</f>
        <v>0</v>
      </c>
      <c r="E2311" s="803">
        <f>Page5_CAD_MCI!N23</f>
        <v>0</v>
      </c>
      <c r="F2311" t="str">
        <f t="shared" si="127"/>
        <v>01-00-RTLCAR5E-GRSPFT-CURR</v>
      </c>
      <c r="G2311" t="s">
        <v>127</v>
      </c>
      <c r="H2311" t="s">
        <v>10287</v>
      </c>
      <c r="I2311" t="s">
        <v>10253</v>
      </c>
      <c r="J2311" t="s">
        <v>10268</v>
      </c>
      <c r="K2311" s="1073" t="s">
        <v>10288</v>
      </c>
      <c r="L2311" s="789" t="s">
        <v>10241</v>
      </c>
      <c r="M2311" s="790" t="s">
        <v>10334</v>
      </c>
      <c r="O2311" s="790" t="s">
        <v>10467</v>
      </c>
      <c r="P2311" s="790" t="s">
        <v>10244</v>
      </c>
      <c r="Q2311" s="791" t="s">
        <v>773</v>
      </c>
    </row>
    <row r="2312" spans="2:18">
      <c r="B2312" s="5" t="str">
        <f>Page5_CAD_MCI!C24</f>
        <v>MÉMO* VENTES INTERNET VOITURES</v>
      </c>
      <c r="C2312" s="1038" t="str">
        <f>OR_VEH!D223</f>
        <v>419P5E</v>
      </c>
      <c r="D2312" s="803">
        <f>Page5_CAD_MCI!I24</f>
        <v>0</v>
      </c>
      <c r="E2312" s="803">
        <f>Page5_CAD_MCI!N24</f>
        <v>0</v>
      </c>
      <c r="F2312" t="str">
        <f t="shared" si="127"/>
        <v>01-00-419P5E-GRSPFT-CURR</v>
      </c>
      <c r="G2312" t="s">
        <v>127</v>
      </c>
      <c r="H2312" t="s">
        <v>10287</v>
      </c>
      <c r="I2312" t="s">
        <v>10253</v>
      </c>
      <c r="K2312" s="1073" t="s">
        <v>10288</v>
      </c>
      <c r="L2312" s="789" t="s">
        <v>10241</v>
      </c>
      <c r="M2312" s="855" t="str">
        <f>C2312</f>
        <v>419P5E</v>
      </c>
      <c r="N2312" s="855"/>
      <c r="O2312" s="790" t="s">
        <v>10467</v>
      </c>
      <c r="P2312" s="790" t="s">
        <v>10244</v>
      </c>
      <c r="R2312" s="30"/>
    </row>
    <row r="2313" spans="2:18">
      <c r="B2313" s="5" t="str">
        <f>Page5_CAD_MCI!C25</f>
        <v>TOTAL PARCS - VOITURES</v>
      </c>
      <c r="C2313" s="1038" t="str">
        <f>OR_VEH!D224</f>
        <v>420P5E</v>
      </c>
      <c r="D2313" s="803">
        <f>Page5_CAD_MCI!I25</f>
        <v>0</v>
      </c>
      <c r="E2313" s="803">
        <f>Page5_CAD_MCI!N25</f>
        <v>0</v>
      </c>
      <c r="F2313" t="str">
        <f t="shared" si="127"/>
        <v>01-00-420P5E-GRSPFT-CURR</v>
      </c>
      <c r="G2313" t="s">
        <v>127</v>
      </c>
      <c r="H2313" t="s">
        <v>10287</v>
      </c>
      <c r="I2313" t="s">
        <v>10253</v>
      </c>
      <c r="K2313" s="1073" t="s">
        <v>10288</v>
      </c>
      <c r="L2313" s="789" t="s">
        <v>10241</v>
      </c>
      <c r="M2313" s="855" t="str">
        <f>C2313</f>
        <v>420P5E</v>
      </c>
      <c r="N2313" s="855"/>
      <c r="O2313" s="799" t="s">
        <v>10467</v>
      </c>
      <c r="P2313" s="799" t="s">
        <v>10244</v>
      </c>
      <c r="R2313" s="30"/>
    </row>
    <row r="2314" spans="2:18">
      <c r="B2314" s="5" t="str">
        <f>Page5_CAD_MCI!C26</f>
        <v>TOTAL INTERNE - VOITURES</v>
      </c>
      <c r="C2314" s="1038" t="str">
        <f>OR_VEH!D225</f>
        <v>421P5E</v>
      </c>
      <c r="D2314" s="803">
        <f>Page5_CAD_MCI!I26</f>
        <v>0</v>
      </c>
      <c r="E2314" s="803">
        <f>Page5_CAD_MCI!N26</f>
        <v>0</v>
      </c>
      <c r="F2314" t="str">
        <f t="shared" si="127"/>
        <v>01-00-421P5E-GRSPFT-CURR</v>
      </c>
      <c r="G2314" t="s">
        <v>127</v>
      </c>
      <c r="H2314" t="s">
        <v>10287</v>
      </c>
      <c r="I2314" t="s">
        <v>10253</v>
      </c>
      <c r="K2314" s="1073" t="s">
        <v>10288</v>
      </c>
      <c r="L2314" s="789" t="s">
        <v>10241</v>
      </c>
      <c r="M2314" s="855" t="str">
        <f>C2314</f>
        <v>421P5E</v>
      </c>
      <c r="N2314" s="855"/>
      <c r="O2314" s="799" t="s">
        <v>10467</v>
      </c>
      <c r="P2314" s="799" t="s">
        <v>10244</v>
      </c>
      <c r="R2314" s="30"/>
    </row>
    <row r="2315" spans="2:18">
      <c r="B2315" s="27" t="s">
        <v>12171</v>
      </c>
      <c r="C2315" s="1042"/>
      <c r="D2315" s="803">
        <f>Page5_CAD_MCI!I27</f>
        <v>0</v>
      </c>
      <c r="E2315" s="803">
        <f>Page5_CAD_MCI!N27</f>
        <v>0</v>
      </c>
      <c r="F2315" t="str">
        <f t="shared" si="127"/>
        <v>01-00-TOTCAR5E-GRSPFT-CURR</v>
      </c>
      <c r="G2315" t="s">
        <v>127</v>
      </c>
      <c r="H2315" t="s">
        <v>10287</v>
      </c>
      <c r="I2315" t="s">
        <v>10253</v>
      </c>
      <c r="J2315" t="s">
        <v>10268</v>
      </c>
      <c r="K2315" s="1073" t="s">
        <v>10288</v>
      </c>
      <c r="L2315" s="789" t="s">
        <v>10241</v>
      </c>
      <c r="M2315" s="790" t="s">
        <v>10336</v>
      </c>
      <c r="O2315" s="790" t="s">
        <v>10467</v>
      </c>
      <c r="P2315" s="790" t="s">
        <v>10244</v>
      </c>
      <c r="Q2315" s="791" t="s">
        <v>773</v>
      </c>
    </row>
    <row r="2316" spans="2:18">
      <c r="B2316" s="5" t="str">
        <f>Page5_CAD_MCI!C28</f>
        <v xml:space="preserve">ESCALADE   </v>
      </c>
      <c r="C2316" s="1038" t="str">
        <f>OR_VEH!D227</f>
        <v>423-006</v>
      </c>
      <c r="D2316" s="803">
        <f>Page5_CAD_MCI!I28</f>
        <v>0</v>
      </c>
      <c r="E2316" s="803">
        <f>Page5_CAD_MCI!N28</f>
        <v>0</v>
      </c>
      <c r="F2316" t="str">
        <f t="shared" si="127"/>
        <v>01-00-423-006-GRSPFT-CURR</v>
      </c>
      <c r="G2316" t="s">
        <v>127</v>
      </c>
      <c r="H2316" t="s">
        <v>10287</v>
      </c>
      <c r="I2316" t="s">
        <v>10253</v>
      </c>
      <c r="K2316" s="1073" t="s">
        <v>10288</v>
      </c>
      <c r="L2316" s="789" t="s">
        <v>10241</v>
      </c>
      <c r="M2316" s="790" t="str">
        <f t="shared" ref="M2316:M2331" si="128">LEFT(C2316,3)</f>
        <v>423</v>
      </c>
      <c r="N2316" s="790" t="str">
        <f t="shared" ref="N2316:N2331" si="129">RIGHT(C2316,3)</f>
        <v>006</v>
      </c>
      <c r="O2316" s="799" t="s">
        <v>10467</v>
      </c>
      <c r="P2316" s="799" t="s">
        <v>10244</v>
      </c>
      <c r="R2316" s="30"/>
    </row>
    <row r="2317" spans="2:18">
      <c r="B2317" s="5" t="str">
        <f>Page5_CAD_MCI!C29</f>
        <v>NE PAS UTILISER</v>
      </c>
      <c r="C2317" s="1038" t="str">
        <f>OR_VEH!D228</f>
        <v>424-006</v>
      </c>
      <c r="D2317" s="803">
        <f>Page5_CAD_MCI!I29</f>
        <v>0</v>
      </c>
      <c r="E2317" s="803">
        <f>Page5_CAD_MCI!N29</f>
        <v>0</v>
      </c>
      <c r="F2317" t="str">
        <f t="shared" si="127"/>
        <v>01-00-424-006-GRSPFT-CURR</v>
      </c>
      <c r="G2317" t="s">
        <v>127</v>
      </c>
      <c r="H2317" t="s">
        <v>10287</v>
      </c>
      <c r="I2317" t="s">
        <v>10253</v>
      </c>
      <c r="K2317" s="1073" t="s">
        <v>10288</v>
      </c>
      <c r="L2317" s="789" t="s">
        <v>10241</v>
      </c>
      <c r="M2317" s="790" t="str">
        <f t="shared" si="128"/>
        <v>424</v>
      </c>
      <c r="N2317" s="790" t="str">
        <f t="shared" si="129"/>
        <v>006</v>
      </c>
      <c r="O2317" s="790" t="s">
        <v>10467</v>
      </c>
      <c r="P2317" s="790" t="s">
        <v>10244</v>
      </c>
      <c r="R2317" s="30"/>
    </row>
    <row r="2318" spans="2:18">
      <c r="B2318" s="5" t="str">
        <f>Page5_CAD_MCI!C30</f>
        <v>ESCALADE-ESV</v>
      </c>
      <c r="C2318" s="1038" t="str">
        <f>OR_VEH!D229</f>
        <v>425-006</v>
      </c>
      <c r="D2318" s="803">
        <f>Page5_CAD_MCI!I30</f>
        <v>11585</v>
      </c>
      <c r="E2318" s="803">
        <f>Page5_CAD_MCI!N30</f>
        <v>93079</v>
      </c>
      <c r="F2318" t="str">
        <f t="shared" si="127"/>
        <v>01-00-425-006-GRSPFT-CURR</v>
      </c>
      <c r="G2318" t="s">
        <v>127</v>
      </c>
      <c r="H2318" t="s">
        <v>10287</v>
      </c>
      <c r="I2318" t="s">
        <v>10253</v>
      </c>
      <c r="K2318" s="1073" t="s">
        <v>10288</v>
      </c>
      <c r="L2318" s="789" t="s">
        <v>10241</v>
      </c>
      <c r="M2318" s="790" t="str">
        <f t="shared" si="128"/>
        <v>425</v>
      </c>
      <c r="N2318" s="790" t="str">
        <f t="shared" si="129"/>
        <v>006</v>
      </c>
      <c r="O2318" s="790" t="s">
        <v>10467</v>
      </c>
      <c r="P2318" s="790" t="s">
        <v>10244</v>
      </c>
      <c r="R2318" s="30"/>
    </row>
    <row r="2319" spans="2:18">
      <c r="B2319" s="5" t="str">
        <f>Page5_CAD_MCI!C31</f>
        <v>SRX</v>
      </c>
      <c r="C2319" s="1038" t="str">
        <f>OR_VEH!D230</f>
        <v>426-006</v>
      </c>
      <c r="D2319" s="803">
        <f>Page5_CAD_MCI!I31</f>
        <v>0</v>
      </c>
      <c r="E2319" s="803">
        <f>Page5_CAD_MCI!N31</f>
        <v>0</v>
      </c>
      <c r="F2319" t="str">
        <f t="shared" si="127"/>
        <v>01-00-426-006-GRSPFT-CURR</v>
      </c>
      <c r="G2319" t="s">
        <v>127</v>
      </c>
      <c r="H2319" t="s">
        <v>10287</v>
      </c>
      <c r="I2319" t="s">
        <v>10253</v>
      </c>
      <c r="K2319" s="1073" t="s">
        <v>10288</v>
      </c>
      <c r="L2319" s="789" t="s">
        <v>10241</v>
      </c>
      <c r="M2319" s="790" t="str">
        <f t="shared" si="128"/>
        <v>426</v>
      </c>
      <c r="N2319" s="790" t="str">
        <f t="shared" si="129"/>
        <v>006</v>
      </c>
      <c r="O2319" s="790" t="s">
        <v>10467</v>
      </c>
      <c r="P2319" s="790" t="s">
        <v>10244</v>
      </c>
      <c r="R2319" s="30"/>
    </row>
    <row r="2320" spans="2:18">
      <c r="B2320" s="5" t="str">
        <f>Page5_CAD_MCI!C32</f>
        <v>NE PAS UTILISER</v>
      </c>
      <c r="C2320" s="1038" t="str">
        <f>OR_VEH!D231</f>
        <v>427-006</v>
      </c>
      <c r="D2320" s="803">
        <f>Page5_CAD_MCI!I32</f>
        <v>0</v>
      </c>
      <c r="E2320" s="803">
        <f>Page5_CAD_MCI!N32</f>
        <v>0</v>
      </c>
      <c r="F2320" t="str">
        <f t="shared" si="127"/>
        <v>01-00-427-006-GRSPFT-CURR</v>
      </c>
      <c r="G2320" t="s">
        <v>127</v>
      </c>
      <c r="H2320" t="s">
        <v>10287</v>
      </c>
      <c r="I2320" t="s">
        <v>10253</v>
      </c>
      <c r="K2320" s="1073" t="s">
        <v>10288</v>
      </c>
      <c r="L2320" s="789" t="s">
        <v>10241</v>
      </c>
      <c r="M2320" s="790" t="str">
        <f t="shared" si="128"/>
        <v>427</v>
      </c>
      <c r="N2320" s="790" t="str">
        <f t="shared" si="129"/>
        <v>006</v>
      </c>
      <c r="O2320" s="790" t="s">
        <v>10467</v>
      </c>
      <c r="P2320" s="790" t="s">
        <v>10244</v>
      </c>
      <c r="R2320" s="30"/>
    </row>
    <row r="2321" spans="2:18">
      <c r="B2321" s="5" t="str">
        <f>Page5_CAD_MCI!C33</f>
        <v>NE PAS UTILISER</v>
      </c>
      <c r="C2321" s="1038" t="str">
        <f>OR_VEH!D232</f>
        <v>428-006</v>
      </c>
      <c r="D2321" s="803">
        <f>Page5_CAD_MCI!I33</f>
        <v>0</v>
      </c>
      <c r="E2321" s="803">
        <f>Page5_CAD_MCI!N33</f>
        <v>0</v>
      </c>
      <c r="F2321" t="str">
        <f t="shared" si="127"/>
        <v>01-00-428-006-GRSPFT-CURR</v>
      </c>
      <c r="G2321" t="s">
        <v>127</v>
      </c>
      <c r="H2321" t="s">
        <v>10287</v>
      </c>
      <c r="I2321" t="s">
        <v>10253</v>
      </c>
      <c r="K2321" s="1073" t="s">
        <v>10288</v>
      </c>
      <c r="L2321" s="789" t="s">
        <v>10241</v>
      </c>
      <c r="M2321" s="790" t="str">
        <f t="shared" si="128"/>
        <v>428</v>
      </c>
      <c r="N2321" s="790" t="str">
        <f t="shared" si="129"/>
        <v>006</v>
      </c>
      <c r="O2321" s="790" t="s">
        <v>10467</v>
      </c>
      <c r="P2321" s="790" t="s">
        <v>10244</v>
      </c>
      <c r="R2321" s="30"/>
    </row>
    <row r="2322" spans="2:18">
      <c r="B2322" s="5" t="str">
        <f>Page5_CAD_MCI!C34</f>
        <v>NE PAS UTILISER</v>
      </c>
      <c r="C2322" s="1038" t="str">
        <f>OR_VEH!D233</f>
        <v>429-006</v>
      </c>
      <c r="D2322" s="803">
        <f>Page5_CAD_MCI!I34</f>
        <v>0</v>
      </c>
      <c r="E2322" s="803">
        <f>Page5_CAD_MCI!N34</f>
        <v>0</v>
      </c>
      <c r="F2322" t="str">
        <f t="shared" si="127"/>
        <v>01-00-429-006-GRSPFT-CURR</v>
      </c>
      <c r="G2322" t="s">
        <v>127</v>
      </c>
      <c r="H2322" t="s">
        <v>10287</v>
      </c>
      <c r="I2322" t="s">
        <v>10253</v>
      </c>
      <c r="K2322" s="1073" t="s">
        <v>10288</v>
      </c>
      <c r="L2322" s="789" t="s">
        <v>10241</v>
      </c>
      <c r="M2322" s="790" t="str">
        <f t="shared" si="128"/>
        <v>429</v>
      </c>
      <c r="N2322" s="790" t="str">
        <f t="shared" si="129"/>
        <v>006</v>
      </c>
      <c r="O2322" s="790" t="s">
        <v>10467</v>
      </c>
      <c r="P2322" s="790" t="s">
        <v>10244</v>
      </c>
      <c r="R2322" s="30"/>
    </row>
    <row r="2323" spans="2:18">
      <c r="B2323" s="5" t="str">
        <f>Page5_CAD_MCI!C35</f>
        <v>XT4</v>
      </c>
      <c r="C2323" s="1038" t="str">
        <f>OR_VEH!D234</f>
        <v>430-006</v>
      </c>
      <c r="D2323" s="803">
        <f>Page5_CAD_MCI!I35</f>
        <v>1635</v>
      </c>
      <c r="E2323" s="803">
        <f>Page5_CAD_MCI!N35</f>
        <v>18872</v>
      </c>
      <c r="F2323" t="str">
        <f t="shared" si="127"/>
        <v>01-00-430-006-GRSPFT-CURR</v>
      </c>
      <c r="G2323" t="s">
        <v>127</v>
      </c>
      <c r="H2323" t="s">
        <v>10287</v>
      </c>
      <c r="I2323" t="s">
        <v>10253</v>
      </c>
      <c r="K2323" s="1073" t="s">
        <v>10288</v>
      </c>
      <c r="L2323" s="789" t="s">
        <v>10241</v>
      </c>
      <c r="M2323" s="790" t="str">
        <f t="shared" si="128"/>
        <v>430</v>
      </c>
      <c r="N2323" s="790" t="str">
        <f t="shared" si="129"/>
        <v>006</v>
      </c>
      <c r="O2323" s="790" t="s">
        <v>10467</v>
      </c>
      <c r="P2323" s="790" t="s">
        <v>10244</v>
      </c>
      <c r="R2323" s="30"/>
    </row>
    <row r="2324" spans="2:18">
      <c r="B2324" s="5" t="str">
        <f>Page5_CAD_MCI!C36</f>
        <v>XT5</v>
      </c>
      <c r="C2324" s="1038" t="str">
        <f>OR_VEH!D235</f>
        <v>431-006</v>
      </c>
      <c r="D2324" s="803">
        <f>Page5_CAD_MCI!I36</f>
        <v>1372</v>
      </c>
      <c r="E2324" s="803">
        <f>Page5_CAD_MCI!N36</f>
        <v>10549</v>
      </c>
      <c r="F2324" t="str">
        <f t="shared" si="127"/>
        <v>01-00-431-006-GRSPFT-CURR</v>
      </c>
      <c r="G2324" t="s">
        <v>127</v>
      </c>
      <c r="H2324" t="s">
        <v>10287</v>
      </c>
      <c r="I2324" t="s">
        <v>10253</v>
      </c>
      <c r="K2324" s="1073" t="s">
        <v>10288</v>
      </c>
      <c r="L2324" s="789" t="s">
        <v>10241</v>
      </c>
      <c r="M2324" s="790" t="str">
        <f t="shared" si="128"/>
        <v>431</v>
      </c>
      <c r="N2324" s="790" t="str">
        <f t="shared" si="129"/>
        <v>006</v>
      </c>
      <c r="O2324" s="790" t="s">
        <v>10467</v>
      </c>
      <c r="P2324" s="790" t="s">
        <v>10244</v>
      </c>
      <c r="R2324" s="30"/>
    </row>
    <row r="2325" spans="2:18">
      <c r="B2325" s="5" t="str">
        <f>Page5_CAD_MCI!C37</f>
        <v>XT6</v>
      </c>
      <c r="C2325" s="1038" t="str">
        <f>OR_VEH!D236</f>
        <v>432-006</v>
      </c>
      <c r="D2325" s="803">
        <f>Page5_CAD_MCI!I37</f>
        <v>0</v>
      </c>
      <c r="E2325" s="803">
        <f>Page5_CAD_MCI!N37</f>
        <v>16947</v>
      </c>
      <c r="F2325" t="str">
        <f t="shared" si="127"/>
        <v>01-00-432-006-GRSPFT-CURR</v>
      </c>
      <c r="G2325" t="s">
        <v>127</v>
      </c>
      <c r="H2325" t="s">
        <v>10287</v>
      </c>
      <c r="I2325" t="s">
        <v>10253</v>
      </c>
      <c r="K2325" s="1073" t="s">
        <v>10288</v>
      </c>
      <c r="L2325" s="789" t="s">
        <v>10241</v>
      </c>
      <c r="M2325" s="790" t="str">
        <f t="shared" si="128"/>
        <v>432</v>
      </c>
      <c r="N2325" s="790" t="str">
        <f t="shared" si="129"/>
        <v>006</v>
      </c>
      <c r="O2325" s="790" t="s">
        <v>10467</v>
      </c>
      <c r="P2325" s="790" t="s">
        <v>10244</v>
      </c>
      <c r="R2325" s="30"/>
    </row>
    <row r="2326" spans="2:18">
      <c r="B2326" s="5" t="str">
        <f>Page5_CAD_MCI!C38</f>
        <v>NE PAS UTILISER</v>
      </c>
      <c r="C2326" s="1038" t="str">
        <f>OR_VEH!D237</f>
        <v>433-006</v>
      </c>
      <c r="D2326" s="803">
        <f>Page5_CAD_MCI!I38</f>
        <v>0</v>
      </c>
      <c r="E2326" s="803">
        <f>Page5_CAD_MCI!N38</f>
        <v>0</v>
      </c>
      <c r="F2326" t="str">
        <f t="shared" si="127"/>
        <v>01-00-433-006-GRSPFT-CURR</v>
      </c>
      <c r="G2326" t="s">
        <v>127</v>
      </c>
      <c r="H2326" t="s">
        <v>10287</v>
      </c>
      <c r="I2326" t="s">
        <v>10253</v>
      </c>
      <c r="K2326" s="1073" t="s">
        <v>10288</v>
      </c>
      <c r="L2326" s="789" t="s">
        <v>10241</v>
      </c>
      <c r="M2326" s="790" t="str">
        <f t="shared" si="128"/>
        <v>433</v>
      </c>
      <c r="N2326" s="790" t="str">
        <f t="shared" si="129"/>
        <v>006</v>
      </c>
      <c r="O2326" s="790" t="s">
        <v>10467</v>
      </c>
      <c r="P2326" s="790" t="s">
        <v>10244</v>
      </c>
      <c r="R2326" s="30"/>
    </row>
    <row r="2327" spans="2:18">
      <c r="B2327" s="5" t="str">
        <f>Page5_CAD_MCI!C39</f>
        <v>ESCALADE V</v>
      </c>
      <c r="C2327" s="1038" t="str">
        <f>OR_VEH!D238</f>
        <v>434-006</v>
      </c>
      <c r="D2327" s="803">
        <f>Page5_CAD_MCI!I39</f>
        <v>0</v>
      </c>
      <c r="E2327" s="803">
        <f>Page5_CAD_MCI!N39</f>
        <v>0</v>
      </c>
      <c r="F2327" t="str">
        <f t="shared" si="127"/>
        <v>01-00-434-006-GRSPFT-CURR</v>
      </c>
      <c r="G2327" t="s">
        <v>127</v>
      </c>
      <c r="H2327" t="s">
        <v>10287</v>
      </c>
      <c r="I2327" t="s">
        <v>10253</v>
      </c>
      <c r="K2327" s="1073" t="s">
        <v>10288</v>
      </c>
      <c r="L2327" s="789" t="s">
        <v>10241</v>
      </c>
      <c r="M2327" s="790" t="str">
        <f t="shared" si="128"/>
        <v>434</v>
      </c>
      <c r="N2327" s="790" t="str">
        <f t="shared" si="129"/>
        <v>006</v>
      </c>
      <c r="O2327" s="790" t="s">
        <v>10467</v>
      </c>
      <c r="P2327" s="790" t="s">
        <v>10244</v>
      </c>
      <c r="R2327" s="30"/>
    </row>
    <row r="2328" spans="2:18">
      <c r="B2328" s="5" t="str">
        <f>Page5_CAD_MCI!C40</f>
        <v>NE PAS UTILISER</v>
      </c>
      <c r="C2328" s="1038" t="str">
        <f>OR_VEH!D239</f>
        <v>435-006</v>
      </c>
      <c r="D2328" s="803">
        <f>Page5_CAD_MCI!I40</f>
        <v>0</v>
      </c>
      <c r="E2328" s="803">
        <f>Page5_CAD_MCI!N40</f>
        <v>0</v>
      </c>
      <c r="F2328" t="str">
        <f t="shared" si="127"/>
        <v>01-00-435-006-GRSPFT-CURR</v>
      </c>
      <c r="G2328" t="s">
        <v>127</v>
      </c>
      <c r="H2328" t="s">
        <v>10287</v>
      </c>
      <c r="I2328" t="s">
        <v>10253</v>
      </c>
      <c r="K2328" s="1073" t="s">
        <v>10288</v>
      </c>
      <c r="L2328" s="789" t="s">
        <v>10241</v>
      </c>
      <c r="M2328" s="790" t="str">
        <f t="shared" si="128"/>
        <v>435</v>
      </c>
      <c r="N2328" s="790" t="str">
        <f t="shared" si="129"/>
        <v>006</v>
      </c>
      <c r="O2328" s="790" t="s">
        <v>10467</v>
      </c>
      <c r="P2328" s="790" t="s">
        <v>10244</v>
      </c>
      <c r="R2328" s="30"/>
    </row>
    <row r="2329" spans="2:18">
      <c r="B2329" s="5" t="str">
        <f>Page5_CAD_MCI!C41</f>
        <v>NE PAS UTILISER</v>
      </c>
      <c r="C2329" s="1038" t="str">
        <f>OR_VEH!D240</f>
        <v>436-006</v>
      </c>
      <c r="D2329" s="803">
        <f>Page5_CAD_MCI!I41</f>
        <v>0</v>
      </c>
      <c r="E2329" s="803">
        <f>Page5_CAD_MCI!N41</f>
        <v>0</v>
      </c>
      <c r="F2329" t="str">
        <f t="shared" si="127"/>
        <v>01-00-436-006-GRSPFT-CURR</v>
      </c>
      <c r="G2329" t="s">
        <v>127</v>
      </c>
      <c r="H2329" t="s">
        <v>10287</v>
      </c>
      <c r="I2329" t="s">
        <v>10253</v>
      </c>
      <c r="K2329" s="1073" t="s">
        <v>10288</v>
      </c>
      <c r="L2329" s="789" t="s">
        <v>10241</v>
      </c>
      <c r="M2329" s="790" t="str">
        <f t="shared" si="128"/>
        <v>436</v>
      </c>
      <c r="N2329" s="790" t="str">
        <f t="shared" si="129"/>
        <v>006</v>
      </c>
      <c r="O2329" s="790" t="s">
        <v>10467</v>
      </c>
      <c r="P2329" s="790" t="s">
        <v>10244</v>
      </c>
      <c r="R2329" s="30"/>
    </row>
    <row r="2330" spans="2:18">
      <c r="B2330" s="5" t="str">
        <f>Page5_CAD_MCI!C42</f>
        <v>POUR USAGE FUTUR</v>
      </c>
      <c r="C2330" s="1038" t="str">
        <f>OR_VEH!D241</f>
        <v>437-006</v>
      </c>
      <c r="D2330" s="803">
        <f>Page5_CAD_MCI!I42</f>
        <v>0</v>
      </c>
      <c r="E2330" s="803">
        <f>Page5_CAD_MCI!N42</f>
        <v>0</v>
      </c>
      <c r="F2330" t="str">
        <f t="shared" si="127"/>
        <v>01-00-437-006-GRSPFT-CURR</v>
      </c>
      <c r="G2330" t="s">
        <v>127</v>
      </c>
      <c r="H2330" t="s">
        <v>10287</v>
      </c>
      <c r="I2330" t="s">
        <v>10253</v>
      </c>
      <c r="K2330" s="1073" t="s">
        <v>10288</v>
      </c>
      <c r="L2330" s="789" t="s">
        <v>10241</v>
      </c>
      <c r="M2330" s="790" t="str">
        <f t="shared" si="128"/>
        <v>437</v>
      </c>
      <c r="N2330" s="790" t="str">
        <f t="shared" si="129"/>
        <v>006</v>
      </c>
      <c r="O2330" s="790" t="s">
        <v>10467</v>
      </c>
      <c r="P2330" s="790" t="s">
        <v>10244</v>
      </c>
      <c r="R2330" s="30"/>
    </row>
    <row r="2331" spans="2:18">
      <c r="B2331" s="5" t="str">
        <f>Page5_CAD_MCI!C43</f>
        <v>AUTRES CAMIONS CADILLAC</v>
      </c>
      <c r="C2331" s="1038" t="str">
        <f>OR_VEH!D242</f>
        <v>438-006</v>
      </c>
      <c r="D2331" s="803">
        <f>Page5_CAD_MCI!I43</f>
        <v>0</v>
      </c>
      <c r="E2331" s="803">
        <f>Page5_CAD_MCI!N43</f>
        <v>0</v>
      </c>
      <c r="F2331" t="str">
        <f t="shared" si="127"/>
        <v>01-00-438-006-GRSPFT-CURR</v>
      </c>
      <c r="G2331" t="s">
        <v>127</v>
      </c>
      <c r="H2331" t="s">
        <v>10287</v>
      </c>
      <c r="I2331" t="s">
        <v>10253</v>
      </c>
      <c r="K2331" s="1073" t="s">
        <v>10288</v>
      </c>
      <c r="L2331" s="789" t="s">
        <v>10241</v>
      </c>
      <c r="M2331" s="790" t="str">
        <f t="shared" si="128"/>
        <v>438</v>
      </c>
      <c r="N2331" s="790" t="str">
        <f t="shared" si="129"/>
        <v>006</v>
      </c>
      <c r="O2331" s="790" t="s">
        <v>10467</v>
      </c>
      <c r="P2331" s="790" t="s">
        <v>10244</v>
      </c>
      <c r="R2331" s="30"/>
    </row>
    <row r="2332" spans="2:18">
      <c r="B2332" s="51" t="s">
        <v>12172</v>
      </c>
      <c r="C2332" s="1042"/>
      <c r="D2332" s="803">
        <f>Page5_CAD_MCI!I44</f>
        <v>14592</v>
      </c>
      <c r="E2332" s="803">
        <f>Page5_CAD_MCI!N44</f>
        <v>139447</v>
      </c>
      <c r="F2332" t="str">
        <f t="shared" si="127"/>
        <v>01-00-RTLTRK5E-GRSPFT-CURR</v>
      </c>
      <c r="G2332" t="s">
        <v>127</v>
      </c>
      <c r="H2332" t="s">
        <v>10287</v>
      </c>
      <c r="I2332" t="s">
        <v>10253</v>
      </c>
      <c r="J2332" t="s">
        <v>10268</v>
      </c>
      <c r="K2332" s="1073" t="s">
        <v>10288</v>
      </c>
      <c r="L2332" s="789" t="s">
        <v>10241</v>
      </c>
      <c r="M2332" s="790" t="s">
        <v>10338</v>
      </c>
      <c r="O2332" s="790" t="s">
        <v>10467</v>
      </c>
      <c r="P2332" s="790" t="s">
        <v>10244</v>
      </c>
      <c r="Q2332" s="791" t="s">
        <v>773</v>
      </c>
    </row>
    <row r="2333" spans="2:18">
      <c r="B2333" s="5" t="str">
        <f>Page5_CAD_MCI!C45</f>
        <v>MÉMO* VENTES INTERNET CAMIONS</v>
      </c>
      <c r="C2333" s="1038" t="str">
        <f>OR_VEH!D244</f>
        <v>439P5E</v>
      </c>
      <c r="D2333" s="803">
        <f>Page5_CAD_MCI!I45</f>
        <v>0</v>
      </c>
      <c r="E2333" s="803">
        <f>Page5_CAD_MCI!N45</f>
        <v>0</v>
      </c>
      <c r="F2333" t="str">
        <f t="shared" si="127"/>
        <v>01-00-439P5E-GRSPFT-CURR</v>
      </c>
      <c r="G2333" t="s">
        <v>127</v>
      </c>
      <c r="H2333" t="s">
        <v>10287</v>
      </c>
      <c r="I2333" t="s">
        <v>10253</v>
      </c>
      <c r="K2333" s="1073" t="s">
        <v>10288</v>
      </c>
      <c r="L2333" s="789" t="s">
        <v>10241</v>
      </c>
      <c r="M2333" s="855" t="str">
        <f>C2333</f>
        <v>439P5E</v>
      </c>
      <c r="N2333" s="855"/>
      <c r="O2333" s="790" t="s">
        <v>10467</v>
      </c>
      <c r="P2333" s="790" t="s">
        <v>10244</v>
      </c>
      <c r="R2333" s="30"/>
    </row>
    <row r="2334" spans="2:18">
      <c r="B2334" s="5" t="str">
        <f>Page5_CAD_MCI!C46</f>
        <v>TOTAL PARCS - CAMIONS</v>
      </c>
      <c r="C2334" s="1038" t="str">
        <f>OR_VEH!D245</f>
        <v>440P5E</v>
      </c>
      <c r="D2334" s="803">
        <f>Page5_CAD_MCI!I46</f>
        <v>0</v>
      </c>
      <c r="E2334" s="803">
        <f>Page5_CAD_MCI!N46</f>
        <v>0</v>
      </c>
      <c r="F2334" t="str">
        <f t="shared" si="127"/>
        <v>01-00-440P5E-GRSPFT-CURR</v>
      </c>
      <c r="G2334" t="s">
        <v>127</v>
      </c>
      <c r="H2334" t="s">
        <v>10287</v>
      </c>
      <c r="I2334" t="s">
        <v>10253</v>
      </c>
      <c r="K2334" s="1073" t="s">
        <v>10288</v>
      </c>
      <c r="L2334" s="789" t="s">
        <v>10241</v>
      </c>
      <c r="M2334" s="855" t="str">
        <f>C2334</f>
        <v>440P5E</v>
      </c>
      <c r="N2334" s="855"/>
      <c r="O2334" s="790" t="s">
        <v>10467</v>
      </c>
      <c r="P2334" s="790" t="s">
        <v>10244</v>
      </c>
      <c r="R2334" s="30"/>
    </row>
    <row r="2335" spans="2:18">
      <c r="B2335" s="5" t="str">
        <f>Page5_CAD_MCI!C47</f>
        <v xml:space="preserve">TOTAL IINTERNE - CAMIONS </v>
      </c>
      <c r="C2335" s="1038" t="str">
        <f>OR_VEH!D246</f>
        <v>441P5E</v>
      </c>
      <c r="D2335" s="803">
        <f>Page5_CAD_MCI!I47</f>
        <v>0</v>
      </c>
      <c r="E2335" s="803">
        <f>Page5_CAD_MCI!N47</f>
        <v>0</v>
      </c>
      <c r="F2335" t="str">
        <f t="shared" si="127"/>
        <v>01-00-441P5E-GRSPFT-CURR</v>
      </c>
      <c r="G2335" t="s">
        <v>127</v>
      </c>
      <c r="H2335" t="s">
        <v>10287</v>
      </c>
      <c r="I2335" t="s">
        <v>10253</v>
      </c>
      <c r="K2335" s="1073" t="s">
        <v>10288</v>
      </c>
      <c r="L2335" s="789" t="s">
        <v>10241</v>
      </c>
      <c r="M2335" s="855" t="str">
        <f>C2335</f>
        <v>441P5E</v>
      </c>
      <c r="N2335" s="855"/>
      <c r="O2335" s="790" t="s">
        <v>10467</v>
      </c>
      <c r="P2335" s="790" t="s">
        <v>10244</v>
      </c>
      <c r="R2335" s="30"/>
    </row>
    <row r="2336" spans="2:18">
      <c r="B2336" s="27" t="s">
        <v>12173</v>
      </c>
      <c r="C2336" s="1042"/>
      <c r="D2336" s="803">
        <f>Page5_CAD_MCI!I48</f>
        <v>14592</v>
      </c>
      <c r="E2336" s="803">
        <f>Page5_CAD_MCI!N48</f>
        <v>139447</v>
      </c>
      <c r="F2336" t="str">
        <f t="shared" si="127"/>
        <v>01-00-TOTTRK5E-GRSPFT-CURR</v>
      </c>
      <c r="G2336" t="s">
        <v>127</v>
      </c>
      <c r="H2336" t="s">
        <v>10287</v>
      </c>
      <c r="I2336" t="s">
        <v>10253</v>
      </c>
      <c r="J2336" t="s">
        <v>10268</v>
      </c>
      <c r="K2336" s="1073" t="s">
        <v>10288</v>
      </c>
      <c r="L2336" s="789" t="s">
        <v>10241</v>
      </c>
      <c r="M2336" s="790" t="s">
        <v>10340</v>
      </c>
      <c r="O2336" s="790" t="s">
        <v>10467</v>
      </c>
      <c r="P2336" s="790" t="s">
        <v>10244</v>
      </c>
      <c r="Q2336" s="791" t="s">
        <v>773</v>
      </c>
    </row>
    <row r="2337" spans="1:18">
      <c r="B2337" s="5" t="str">
        <f>Page5_CAD_MCI!C50</f>
        <v>ACCESSOIRES</v>
      </c>
      <c r="C2337" s="1038" t="str">
        <f>OR_VEH!D249</f>
        <v>457P5E</v>
      </c>
      <c r="D2337" s="803">
        <f>Page5_CAD_MCI!I50</f>
        <v>0</v>
      </c>
      <c r="E2337" s="803">
        <f>Page5_CAD_MCI!N50</f>
        <v>0</v>
      </c>
      <c r="F2337" t="str">
        <f t="shared" si="127"/>
        <v>01-00-457P5E-GRSPFT-CURR</v>
      </c>
      <c r="G2337" t="s">
        <v>127</v>
      </c>
      <c r="H2337" t="s">
        <v>10287</v>
      </c>
      <c r="I2337" t="s">
        <v>10253</v>
      </c>
      <c r="K2337" s="1073" t="s">
        <v>10288</v>
      </c>
      <c r="L2337" s="789" t="s">
        <v>10241</v>
      </c>
      <c r="M2337" s="855" t="str">
        <f>C2337</f>
        <v>457P5E</v>
      </c>
      <c r="N2337" s="855"/>
      <c r="O2337" s="790" t="s">
        <v>10467</v>
      </c>
      <c r="P2337" s="790" t="s">
        <v>10244</v>
      </c>
      <c r="R2337" s="30"/>
    </row>
    <row r="2338" spans="1:18">
      <c r="B2338" s="27" t="s">
        <v>12174</v>
      </c>
      <c r="C2338" s="1042"/>
      <c r="D2338" s="803">
        <f>Page5_CAD_MCI!I51</f>
        <v>14592</v>
      </c>
      <c r="E2338" s="803">
        <f>Page5_CAD_MCI!N51</f>
        <v>139447</v>
      </c>
      <c r="F2338" t="str">
        <f t="shared" si="127"/>
        <v>01-00-TOTVEH5E-GRSPFT-CURR</v>
      </c>
      <c r="G2338" t="s">
        <v>127</v>
      </c>
      <c r="H2338" t="s">
        <v>10287</v>
      </c>
      <c r="I2338" t="s">
        <v>10253</v>
      </c>
      <c r="J2338" t="s">
        <v>10268</v>
      </c>
      <c r="K2338" s="1073" t="s">
        <v>10288</v>
      </c>
      <c r="L2338" s="789" t="s">
        <v>10241</v>
      </c>
      <c r="M2338" s="790" t="s">
        <v>10342</v>
      </c>
      <c r="O2338" s="790" t="s">
        <v>10467</v>
      </c>
      <c r="P2338" s="790" t="s">
        <v>10244</v>
      </c>
      <c r="Q2338" s="791" t="s">
        <v>773</v>
      </c>
    </row>
    <row r="2339" spans="1:18">
      <c r="A2339" s="805" t="s">
        <v>10343</v>
      </c>
      <c r="B2339" s="5" t="str">
        <f>Page5_GMC_MCI!C4</f>
        <v>NE PAS UTILISER</v>
      </c>
      <c r="C2339" s="1038" t="str">
        <f>OR_VEH!D253</f>
        <v>400-012</v>
      </c>
      <c r="D2339" s="803">
        <f>Page5_GMC_MCI!G4</f>
        <v>0</v>
      </c>
      <c r="E2339" s="803">
        <f>Page5_GMC_MCI!L4</f>
        <v>0</v>
      </c>
      <c r="F2339" t="str">
        <f t="shared" si="127"/>
        <v>01-00-400-012-SALES-CURR</v>
      </c>
      <c r="G2339" t="s">
        <v>127</v>
      </c>
      <c r="H2339" t="s">
        <v>10287</v>
      </c>
      <c r="I2339" t="s">
        <v>10253</v>
      </c>
      <c r="K2339" s="1073" t="s">
        <v>10288</v>
      </c>
      <c r="L2339" s="789" t="s">
        <v>10241</v>
      </c>
      <c r="M2339" s="790" t="str">
        <f>LEFT(C2339,3)</f>
        <v>400</v>
      </c>
      <c r="N2339" s="790" t="str">
        <f>RIGHT(C2339,3)</f>
        <v>012</v>
      </c>
      <c r="O2339" s="790" t="s">
        <v>9883</v>
      </c>
      <c r="P2339" s="790" t="s">
        <v>10244</v>
      </c>
      <c r="R2339" s="30"/>
    </row>
    <row r="2340" spans="1:18">
      <c r="B2340" s="5" t="str">
        <f>Page5_GMC_MCI!C5</f>
        <v>NE PAS UTILISER</v>
      </c>
      <c r="C2340" s="1038" t="str">
        <f>OR_VEH!D254</f>
        <v>401-012</v>
      </c>
      <c r="D2340" s="803">
        <f>Page5_GMC_MCI!G5</f>
        <v>0</v>
      </c>
      <c r="E2340" s="803">
        <f>Page5_GMC_MCI!L5</f>
        <v>0</v>
      </c>
      <c r="F2340" t="str">
        <f t="shared" si="127"/>
        <v>01-00-401-012-SALES-CURR</v>
      </c>
      <c r="G2340" t="s">
        <v>127</v>
      </c>
      <c r="H2340" t="s">
        <v>10287</v>
      </c>
      <c r="I2340" t="s">
        <v>10253</v>
      </c>
      <c r="K2340" s="1073" t="s">
        <v>10288</v>
      </c>
      <c r="L2340" s="789" t="s">
        <v>10241</v>
      </c>
      <c r="M2340" s="790" t="str">
        <f t="shared" ref="M2340:M2357" si="130">LEFT(C2340,3)</f>
        <v>401</v>
      </c>
      <c r="N2340" s="790" t="str">
        <f t="shared" ref="N2340:N2357" si="131">RIGHT(C2340,3)</f>
        <v>012</v>
      </c>
      <c r="O2340" s="790" t="s">
        <v>9883</v>
      </c>
      <c r="P2340" s="790" t="s">
        <v>10244</v>
      </c>
      <c r="R2340" s="30"/>
    </row>
    <row r="2341" spans="1:18">
      <c r="B2341" s="5" t="str">
        <f>Page5_GMC_MCI!C6</f>
        <v>NE PAS UTILISER</v>
      </c>
      <c r="C2341" s="1038" t="str">
        <f>OR_VEH!D255</f>
        <v>402-012</v>
      </c>
      <c r="D2341" s="803">
        <f>Page5_GMC_MCI!G6</f>
        <v>0</v>
      </c>
      <c r="E2341" s="803">
        <f>Page5_GMC_MCI!L6</f>
        <v>0</v>
      </c>
      <c r="F2341" t="str">
        <f t="shared" si="127"/>
        <v>01-00-402-012-SALES-CURR</v>
      </c>
      <c r="G2341" t="s">
        <v>127</v>
      </c>
      <c r="H2341" t="s">
        <v>10287</v>
      </c>
      <c r="I2341" t="s">
        <v>10253</v>
      </c>
      <c r="K2341" s="1073" t="s">
        <v>10288</v>
      </c>
      <c r="L2341" s="789" t="s">
        <v>10241</v>
      </c>
      <c r="M2341" s="790" t="str">
        <f t="shared" si="130"/>
        <v>402</v>
      </c>
      <c r="N2341" s="790" t="str">
        <f t="shared" si="131"/>
        <v>012</v>
      </c>
      <c r="O2341" s="790" t="s">
        <v>9883</v>
      </c>
      <c r="P2341" s="790" t="s">
        <v>10244</v>
      </c>
      <c r="R2341" s="30"/>
    </row>
    <row r="2342" spans="1:18">
      <c r="B2342" s="5" t="str">
        <f>Page5_GMC_MCI!C7</f>
        <v>NE PAS UTILISER</v>
      </c>
      <c r="C2342" s="1038" t="str">
        <f>OR_VEH!D256</f>
        <v>403-012</v>
      </c>
      <c r="D2342" s="803">
        <f>Page5_GMC_MCI!G7</f>
        <v>0</v>
      </c>
      <c r="E2342" s="803">
        <f>Page5_GMC_MCI!L7</f>
        <v>0</v>
      </c>
      <c r="F2342" t="str">
        <f t="shared" si="127"/>
        <v>01-00-403-012-SALES-CURR</v>
      </c>
      <c r="G2342" t="s">
        <v>127</v>
      </c>
      <c r="H2342" t="s">
        <v>10287</v>
      </c>
      <c r="I2342" t="s">
        <v>10253</v>
      </c>
      <c r="K2342" s="1073" t="s">
        <v>10288</v>
      </c>
      <c r="L2342" s="789" t="s">
        <v>10241</v>
      </c>
      <c r="M2342" s="790" t="str">
        <f t="shared" si="130"/>
        <v>403</v>
      </c>
      <c r="N2342" s="790" t="str">
        <f t="shared" si="131"/>
        <v>012</v>
      </c>
      <c r="O2342" s="790" t="s">
        <v>9883</v>
      </c>
      <c r="P2342" s="790" t="s">
        <v>10244</v>
      </c>
      <c r="R2342" s="30"/>
    </row>
    <row r="2343" spans="1:18">
      <c r="B2343" s="5" t="str">
        <f>Page5_GMC_MCI!C8</f>
        <v>NE PAS UTILISER</v>
      </c>
      <c r="C2343" s="1038" t="str">
        <f>OR_VEH!D257</f>
        <v>404-012</v>
      </c>
      <c r="D2343" s="803">
        <f>Page5_GMC_MCI!G8</f>
        <v>0</v>
      </c>
      <c r="E2343" s="803">
        <f>Page5_GMC_MCI!L8</f>
        <v>0</v>
      </c>
      <c r="F2343" t="str">
        <f t="shared" si="127"/>
        <v>01-00-404-012-SALES-CURR</v>
      </c>
      <c r="G2343" t="s">
        <v>127</v>
      </c>
      <c r="H2343" t="s">
        <v>10287</v>
      </c>
      <c r="I2343" t="s">
        <v>10253</v>
      </c>
      <c r="K2343" s="1073" t="s">
        <v>10288</v>
      </c>
      <c r="L2343" s="789" t="s">
        <v>10241</v>
      </c>
      <c r="M2343" s="790" t="str">
        <f t="shared" si="130"/>
        <v>404</v>
      </c>
      <c r="N2343" s="790" t="str">
        <f t="shared" si="131"/>
        <v>012</v>
      </c>
      <c r="O2343" s="790" t="s">
        <v>9883</v>
      </c>
      <c r="P2343" s="790" t="s">
        <v>10244</v>
      </c>
      <c r="R2343" s="30"/>
    </row>
    <row r="2344" spans="1:18">
      <c r="B2344" s="5" t="str">
        <f>Page5_GMC_MCI!C9</f>
        <v>NE PAS UTILISER</v>
      </c>
      <c r="C2344" s="1038" t="str">
        <f>OR_VEH!D258</f>
        <v>405-012</v>
      </c>
      <c r="D2344" s="803">
        <f>Page5_GMC_MCI!G9</f>
        <v>0</v>
      </c>
      <c r="E2344" s="803">
        <f>Page5_GMC_MCI!L9</f>
        <v>0</v>
      </c>
      <c r="F2344" t="str">
        <f t="shared" si="127"/>
        <v>01-00-405-012-SALES-CURR</v>
      </c>
      <c r="G2344" t="s">
        <v>127</v>
      </c>
      <c r="H2344" t="s">
        <v>10287</v>
      </c>
      <c r="I2344" t="s">
        <v>10253</v>
      </c>
      <c r="K2344" s="1073" t="s">
        <v>10288</v>
      </c>
      <c r="L2344" s="789" t="s">
        <v>10241</v>
      </c>
      <c r="M2344" s="790" t="str">
        <f t="shared" si="130"/>
        <v>405</v>
      </c>
      <c r="N2344" s="790" t="str">
        <f t="shared" si="131"/>
        <v>012</v>
      </c>
      <c r="O2344" s="790" t="s">
        <v>9883</v>
      </c>
      <c r="P2344" s="790" t="s">
        <v>10244</v>
      </c>
      <c r="R2344" s="30"/>
    </row>
    <row r="2345" spans="1:18">
      <c r="B2345" s="5" t="str">
        <f>Page5_GMC_MCI!C10</f>
        <v>NE PAS UTILISER</v>
      </c>
      <c r="C2345" s="1038" t="str">
        <f>OR_VEH!D259</f>
        <v>406-012</v>
      </c>
      <c r="D2345" s="803">
        <f>Page5_GMC_MCI!G10</f>
        <v>0</v>
      </c>
      <c r="E2345" s="803">
        <f>Page5_GMC_MCI!L10</f>
        <v>0</v>
      </c>
      <c r="F2345" t="str">
        <f t="shared" si="127"/>
        <v>01-00-406-012-SALES-CURR</v>
      </c>
      <c r="G2345" t="s">
        <v>127</v>
      </c>
      <c r="H2345" t="s">
        <v>10287</v>
      </c>
      <c r="I2345" t="s">
        <v>10253</v>
      </c>
      <c r="K2345" s="1073" t="s">
        <v>10288</v>
      </c>
      <c r="L2345" s="789" t="s">
        <v>10241</v>
      </c>
      <c r="M2345" s="790" t="str">
        <f t="shared" si="130"/>
        <v>406</v>
      </c>
      <c r="N2345" s="790" t="str">
        <f t="shared" si="131"/>
        <v>012</v>
      </c>
      <c r="O2345" s="790" t="s">
        <v>9883</v>
      </c>
      <c r="P2345" s="790" t="s">
        <v>10244</v>
      </c>
      <c r="R2345" s="30"/>
    </row>
    <row r="2346" spans="1:18">
      <c r="B2346" s="5" t="str">
        <f>Page5_GMC_MCI!C11</f>
        <v>NE PAS UTILISER</v>
      </c>
      <c r="C2346" s="1038" t="str">
        <f>OR_VEH!D260</f>
        <v>407-012</v>
      </c>
      <c r="D2346" s="803">
        <f>Page5_GMC_MCI!G11</f>
        <v>0</v>
      </c>
      <c r="E2346" s="803">
        <f>Page5_GMC_MCI!L11</f>
        <v>0</v>
      </c>
      <c r="F2346" t="str">
        <f t="shared" si="127"/>
        <v>01-00-407-012-SALES-CURR</v>
      </c>
      <c r="G2346" t="s">
        <v>127</v>
      </c>
      <c r="H2346" t="s">
        <v>10287</v>
      </c>
      <c r="I2346" t="s">
        <v>10253</v>
      </c>
      <c r="K2346" s="1073" t="s">
        <v>10288</v>
      </c>
      <c r="L2346" s="789" t="s">
        <v>10241</v>
      </c>
      <c r="M2346" s="790" t="str">
        <f t="shared" si="130"/>
        <v>407</v>
      </c>
      <c r="N2346" s="790" t="str">
        <f t="shared" si="131"/>
        <v>012</v>
      </c>
      <c r="O2346" s="790" t="s">
        <v>9883</v>
      </c>
      <c r="P2346" s="790" t="s">
        <v>10244</v>
      </c>
      <c r="R2346" s="30"/>
    </row>
    <row r="2347" spans="1:18">
      <c r="B2347" s="5" t="str">
        <f>Page5_GMC_MCI!C12</f>
        <v>NE PAS UTILISER</v>
      </c>
      <c r="C2347" s="1038" t="str">
        <f>OR_VEH!D261</f>
        <v>408-012</v>
      </c>
      <c r="D2347" s="803">
        <f>Page5_GMC_MCI!G12</f>
        <v>0</v>
      </c>
      <c r="E2347" s="803">
        <f>Page5_GMC_MCI!L12</f>
        <v>0</v>
      </c>
      <c r="F2347" t="str">
        <f t="shared" si="127"/>
        <v>01-00-408-012-SALES-CURR</v>
      </c>
      <c r="G2347" t="s">
        <v>127</v>
      </c>
      <c r="H2347" t="s">
        <v>10287</v>
      </c>
      <c r="I2347" t="s">
        <v>10253</v>
      </c>
      <c r="K2347" s="1073" t="s">
        <v>10288</v>
      </c>
      <c r="L2347" s="789" t="s">
        <v>10241</v>
      </c>
      <c r="M2347" s="790" t="str">
        <f t="shared" si="130"/>
        <v>408</v>
      </c>
      <c r="N2347" s="790" t="str">
        <f t="shared" si="131"/>
        <v>012</v>
      </c>
      <c r="O2347" s="790" t="s">
        <v>9883</v>
      </c>
      <c r="P2347" s="790" t="s">
        <v>10244</v>
      </c>
      <c r="R2347" s="30"/>
    </row>
    <row r="2348" spans="1:18">
      <c r="B2348" s="5" t="str">
        <f>Page5_GMC_MCI!C13</f>
        <v>NE PAS UTILISER</v>
      </c>
      <c r="C2348" s="1038" t="str">
        <f>OR_VEH!D262</f>
        <v>409-012</v>
      </c>
      <c r="D2348" s="803">
        <f>Page5_GMC_MCI!G13</f>
        <v>0</v>
      </c>
      <c r="E2348" s="803">
        <f>Page5_GMC_MCI!L13</f>
        <v>0</v>
      </c>
      <c r="F2348" t="str">
        <f t="shared" si="127"/>
        <v>01-00-409-012-SALES-CURR</v>
      </c>
      <c r="G2348" t="s">
        <v>127</v>
      </c>
      <c r="H2348" t="s">
        <v>10287</v>
      </c>
      <c r="I2348" t="s">
        <v>10253</v>
      </c>
      <c r="K2348" s="1073" t="s">
        <v>10288</v>
      </c>
      <c r="L2348" s="789" t="s">
        <v>10241</v>
      </c>
      <c r="M2348" s="790" t="str">
        <f t="shared" si="130"/>
        <v>409</v>
      </c>
      <c r="N2348" s="790" t="str">
        <f t="shared" si="131"/>
        <v>012</v>
      </c>
      <c r="O2348" s="790" t="s">
        <v>9883</v>
      </c>
      <c r="P2348" s="790" t="s">
        <v>10244</v>
      </c>
      <c r="R2348" s="30"/>
    </row>
    <row r="2349" spans="1:18">
      <c r="B2349" s="5" t="str">
        <f>Page5_GMC_MCI!C14</f>
        <v>NE PAS UTILISER</v>
      </c>
      <c r="C2349" s="1038" t="str">
        <f>OR_VEH!D263</f>
        <v>410-012</v>
      </c>
      <c r="D2349" s="803">
        <f>Page5_GMC_MCI!G14</f>
        <v>0</v>
      </c>
      <c r="E2349" s="803">
        <f>Page5_GMC_MCI!L14</f>
        <v>0</v>
      </c>
      <c r="F2349" t="str">
        <f t="shared" si="127"/>
        <v>01-00-410-012-SALES-CURR</v>
      </c>
      <c r="G2349" t="s">
        <v>127</v>
      </c>
      <c r="H2349" t="s">
        <v>10287</v>
      </c>
      <c r="I2349" t="s">
        <v>10253</v>
      </c>
      <c r="K2349" s="1073" t="s">
        <v>10288</v>
      </c>
      <c r="L2349" s="789" t="s">
        <v>10241</v>
      </c>
      <c r="M2349" s="790" t="str">
        <f t="shared" si="130"/>
        <v>410</v>
      </c>
      <c r="N2349" s="790" t="str">
        <f t="shared" si="131"/>
        <v>012</v>
      </c>
      <c r="O2349" s="790" t="s">
        <v>9883</v>
      </c>
      <c r="P2349" s="790" t="s">
        <v>10244</v>
      </c>
      <c r="R2349" s="30"/>
    </row>
    <row r="2350" spans="1:18">
      <c r="B2350" s="5" t="str">
        <f>Page5_GMC_MCI!C15</f>
        <v>NE PAS UTILISER</v>
      </c>
      <c r="C2350" s="1038" t="str">
        <f>OR_VEH!D264</f>
        <v>411-012</v>
      </c>
      <c r="D2350" s="803">
        <f>Page5_GMC_MCI!G15</f>
        <v>0</v>
      </c>
      <c r="E2350" s="803">
        <f>Page5_GMC_MCI!L15</f>
        <v>0</v>
      </c>
      <c r="F2350" t="str">
        <f t="shared" si="127"/>
        <v>01-00-411-012-SALES-CURR</v>
      </c>
      <c r="G2350" t="s">
        <v>127</v>
      </c>
      <c r="H2350" t="s">
        <v>10287</v>
      </c>
      <c r="I2350" t="s">
        <v>10253</v>
      </c>
      <c r="K2350" s="1073" t="s">
        <v>10288</v>
      </c>
      <c r="L2350" s="789" t="s">
        <v>10241</v>
      </c>
      <c r="M2350" s="790" t="str">
        <f t="shared" si="130"/>
        <v>411</v>
      </c>
      <c r="N2350" s="790" t="str">
        <f t="shared" si="131"/>
        <v>012</v>
      </c>
      <c r="O2350" s="790" t="s">
        <v>9883</v>
      </c>
      <c r="P2350" s="790" t="s">
        <v>10244</v>
      </c>
      <c r="R2350" s="30"/>
    </row>
    <row r="2351" spans="1:18">
      <c r="B2351" s="5" t="str">
        <f>Page5_GMC_MCI!C16</f>
        <v>NE PAS UTILISER</v>
      </c>
      <c r="C2351" s="1038" t="str">
        <f>OR_VEH!D265</f>
        <v>412-012</v>
      </c>
      <c r="D2351" s="803">
        <f>Page5_GMC_MCI!G16</f>
        <v>0</v>
      </c>
      <c r="E2351" s="803">
        <f>Page5_GMC_MCI!L16</f>
        <v>0</v>
      </c>
      <c r="F2351" t="str">
        <f t="shared" si="127"/>
        <v>01-00-412-012-SALES-CURR</v>
      </c>
      <c r="G2351" t="s">
        <v>127</v>
      </c>
      <c r="H2351" t="s">
        <v>10287</v>
      </c>
      <c r="I2351" t="s">
        <v>10253</v>
      </c>
      <c r="K2351" s="1073" t="s">
        <v>10288</v>
      </c>
      <c r="L2351" s="789" t="s">
        <v>10241</v>
      </c>
      <c r="M2351" s="790" t="str">
        <f t="shared" si="130"/>
        <v>412</v>
      </c>
      <c r="N2351" s="790" t="str">
        <f t="shared" si="131"/>
        <v>012</v>
      </c>
      <c r="O2351" s="790" t="s">
        <v>9883</v>
      </c>
      <c r="P2351" s="790" t="s">
        <v>10244</v>
      </c>
      <c r="R2351" s="30"/>
    </row>
    <row r="2352" spans="1:18">
      <c r="B2352" s="5" t="str">
        <f>Page5_GMC_MCI!C17</f>
        <v>NE PAS UTILISER</v>
      </c>
      <c r="C2352" s="1038" t="str">
        <f>OR_VEH!D266</f>
        <v>413-012</v>
      </c>
      <c r="D2352" s="803">
        <f>Page5_GMC_MCI!G17</f>
        <v>0</v>
      </c>
      <c r="E2352" s="803">
        <f>Page5_GMC_MCI!L17</f>
        <v>0</v>
      </c>
      <c r="F2352" t="str">
        <f t="shared" si="127"/>
        <v>01-00-413-012-SALES-CURR</v>
      </c>
      <c r="G2352" t="s">
        <v>127</v>
      </c>
      <c r="H2352" t="s">
        <v>10287</v>
      </c>
      <c r="I2352" t="s">
        <v>10253</v>
      </c>
      <c r="K2352" s="1073" t="s">
        <v>10288</v>
      </c>
      <c r="L2352" s="789" t="s">
        <v>10241</v>
      </c>
      <c r="M2352" s="790" t="str">
        <f t="shared" si="130"/>
        <v>413</v>
      </c>
      <c r="N2352" s="790" t="str">
        <f t="shared" si="131"/>
        <v>012</v>
      </c>
      <c r="O2352" s="790" t="s">
        <v>9883</v>
      </c>
      <c r="P2352" s="790" t="s">
        <v>10244</v>
      </c>
      <c r="R2352" s="30"/>
    </row>
    <row r="2353" spans="2:18">
      <c r="B2353" s="5" t="str">
        <f>Page5_GMC_MCI!C18</f>
        <v>NE PAS UTILISER</v>
      </c>
      <c r="C2353" s="1038" t="str">
        <f>OR_VEH!D267</f>
        <v>414-012</v>
      </c>
      <c r="D2353" s="803">
        <f>Page5_GMC_MCI!G18</f>
        <v>0</v>
      </c>
      <c r="E2353" s="803">
        <f>Page5_GMC_MCI!L18</f>
        <v>0</v>
      </c>
      <c r="F2353" t="str">
        <f t="shared" si="127"/>
        <v>01-00-414-012-SALES-CURR</v>
      </c>
      <c r="G2353" t="s">
        <v>127</v>
      </c>
      <c r="H2353" t="s">
        <v>10287</v>
      </c>
      <c r="I2353" t="s">
        <v>10253</v>
      </c>
      <c r="K2353" s="1073" t="s">
        <v>10288</v>
      </c>
      <c r="L2353" s="789" t="s">
        <v>10241</v>
      </c>
      <c r="M2353" s="790" t="str">
        <f t="shared" si="130"/>
        <v>414</v>
      </c>
      <c r="N2353" s="790" t="str">
        <f t="shared" si="131"/>
        <v>012</v>
      </c>
      <c r="O2353" s="790" t="s">
        <v>9883</v>
      </c>
      <c r="P2353" s="790" t="s">
        <v>10244</v>
      </c>
      <c r="R2353" s="30"/>
    </row>
    <row r="2354" spans="2:18">
      <c r="B2354" s="5" t="str">
        <f>Page5_GMC_MCI!C19</f>
        <v>NE PAS UTILISER</v>
      </c>
      <c r="C2354" s="1038" t="str">
        <f>OR_VEH!D268</f>
        <v>415-012</v>
      </c>
      <c r="D2354" s="803">
        <f>Page5_GMC_MCI!G19</f>
        <v>0</v>
      </c>
      <c r="E2354" s="803">
        <f>Page5_GMC_MCI!L19</f>
        <v>0</v>
      </c>
      <c r="F2354" t="str">
        <f t="shared" si="127"/>
        <v>01-00-415-012-SALES-CURR</v>
      </c>
      <c r="G2354" t="s">
        <v>127</v>
      </c>
      <c r="H2354" t="s">
        <v>10287</v>
      </c>
      <c r="I2354" t="s">
        <v>10253</v>
      </c>
      <c r="K2354" s="1073" t="s">
        <v>10288</v>
      </c>
      <c r="L2354" s="789" t="s">
        <v>10241</v>
      </c>
      <c r="M2354" s="790" t="str">
        <f t="shared" si="130"/>
        <v>415</v>
      </c>
      <c r="N2354" s="790" t="str">
        <f t="shared" si="131"/>
        <v>012</v>
      </c>
      <c r="O2354" s="790" t="s">
        <v>9883</v>
      </c>
      <c r="P2354" s="790" t="s">
        <v>10244</v>
      </c>
      <c r="R2354" s="30"/>
    </row>
    <row r="2355" spans="2:18">
      <c r="B2355" s="5" t="str">
        <f>Page5_GMC_MCI!C20</f>
        <v>POUR USAGE FUTUR</v>
      </c>
      <c r="C2355" s="1038" t="str">
        <f>OR_VEH!D269</f>
        <v>416-012</v>
      </c>
      <c r="D2355" s="803">
        <f>Page5_GMC_MCI!G20</f>
        <v>0</v>
      </c>
      <c r="E2355" s="803">
        <f>Page5_GMC_MCI!L20</f>
        <v>0</v>
      </c>
      <c r="F2355" t="str">
        <f t="shared" si="127"/>
        <v>01-00-416-012-SALES-CURR</v>
      </c>
      <c r="G2355" t="s">
        <v>127</v>
      </c>
      <c r="H2355" t="s">
        <v>10287</v>
      </c>
      <c r="I2355" t="s">
        <v>10253</v>
      </c>
      <c r="K2355" s="1073" t="s">
        <v>10288</v>
      </c>
      <c r="L2355" s="789" t="s">
        <v>10241</v>
      </c>
      <c r="M2355" s="790" t="str">
        <f t="shared" si="130"/>
        <v>416</v>
      </c>
      <c r="N2355" s="790" t="str">
        <f t="shared" si="131"/>
        <v>012</v>
      </c>
      <c r="O2355" s="790" t="s">
        <v>9883</v>
      </c>
      <c r="P2355" s="790" t="s">
        <v>10244</v>
      </c>
      <c r="R2355" s="30"/>
    </row>
    <row r="2356" spans="2:18">
      <c r="B2356" s="5" t="str">
        <f>Page5_GMC_MCI!C21</f>
        <v>NE PAS UTILISER</v>
      </c>
      <c r="C2356" s="1038" t="str">
        <f>OR_VEH!D270</f>
        <v>417-012</v>
      </c>
      <c r="D2356" s="803">
        <f>Page5_GMC_MCI!G21</f>
        <v>0</v>
      </c>
      <c r="E2356" s="803">
        <f>Page5_GMC_MCI!L21</f>
        <v>0</v>
      </c>
      <c r="F2356" t="str">
        <f t="shared" si="127"/>
        <v>01-00-417-012-SALES-CURR</v>
      </c>
      <c r="G2356" t="s">
        <v>127</v>
      </c>
      <c r="H2356" t="s">
        <v>10287</v>
      </c>
      <c r="I2356" t="s">
        <v>10253</v>
      </c>
      <c r="K2356" s="1073" t="s">
        <v>10288</v>
      </c>
      <c r="L2356" s="789" t="s">
        <v>10241</v>
      </c>
      <c r="M2356" s="790" t="str">
        <f t="shared" si="130"/>
        <v>417</v>
      </c>
      <c r="N2356" s="790" t="str">
        <f t="shared" si="131"/>
        <v>012</v>
      </c>
      <c r="O2356" s="790" t="s">
        <v>9883</v>
      </c>
      <c r="P2356" s="790" t="s">
        <v>10244</v>
      </c>
      <c r="R2356" s="30"/>
    </row>
    <row r="2357" spans="2:18">
      <c r="B2357" s="5" t="str">
        <f>Page5_GMC_MCI!C22</f>
        <v>AUTRES GMC</v>
      </c>
      <c r="C2357" s="1038" t="str">
        <f>OR_VEH!D271</f>
        <v>418-012</v>
      </c>
      <c r="D2357" s="803">
        <f>Page5_GMC_MCI!G22</f>
        <v>0</v>
      </c>
      <c r="E2357" s="803">
        <f>Page5_GMC_MCI!L22</f>
        <v>0</v>
      </c>
      <c r="F2357" t="str">
        <f t="shared" si="127"/>
        <v>01-00-418-012-SALES-CURR</v>
      </c>
      <c r="G2357" t="s">
        <v>127</v>
      </c>
      <c r="H2357" t="s">
        <v>10287</v>
      </c>
      <c r="I2357" t="s">
        <v>10253</v>
      </c>
      <c r="K2357" s="1073" t="s">
        <v>10288</v>
      </c>
      <c r="L2357" s="789" t="s">
        <v>10241</v>
      </c>
      <c r="M2357" s="790" t="str">
        <f t="shared" si="130"/>
        <v>418</v>
      </c>
      <c r="N2357" s="790" t="str">
        <f t="shared" si="131"/>
        <v>012</v>
      </c>
      <c r="O2357" s="790" t="s">
        <v>9883</v>
      </c>
      <c r="P2357" s="790" t="s">
        <v>10244</v>
      </c>
      <c r="R2357" s="30"/>
    </row>
    <row r="2358" spans="2:18">
      <c r="B2358" s="27" t="s">
        <v>12175</v>
      </c>
      <c r="C2358" s="1042"/>
      <c r="D2358" s="803">
        <f>Page5_GMC_MCI!G23</f>
        <v>0</v>
      </c>
      <c r="E2358" s="803">
        <f>Page5_GMC_MCI!L23</f>
        <v>0</v>
      </c>
      <c r="F2358" t="str">
        <f t="shared" ref="F2358:F2421" si="132">TEXT(K2358,"00")&amp;"-"&amp;L2358&amp;IF(M2358="","","-"&amp;M2358)&amp;IF(N2358="","","-"&amp;N2358)&amp;IF(OR(O2358="",O2358=0),"","-"&amp;O2358)&amp;IF(P2358="","","-"&amp;P2358)</f>
        <v>01-00-RTLCAR5F-SALES-CURR</v>
      </c>
      <c r="G2358" t="s">
        <v>127</v>
      </c>
      <c r="H2358" t="s">
        <v>10287</v>
      </c>
      <c r="I2358" t="s">
        <v>10253</v>
      </c>
      <c r="J2358" t="s">
        <v>10268</v>
      </c>
      <c r="K2358" s="1073" t="s">
        <v>10288</v>
      </c>
      <c r="L2358" s="789" t="s">
        <v>10241</v>
      </c>
      <c r="M2358" s="790" t="s">
        <v>10345</v>
      </c>
      <c r="O2358" s="790" t="s">
        <v>9883</v>
      </c>
      <c r="P2358" s="790" t="s">
        <v>10244</v>
      </c>
      <c r="Q2358" s="791" t="s">
        <v>773</v>
      </c>
    </row>
    <row r="2359" spans="2:18">
      <c r="B2359" s="5" t="str">
        <f>Page5_GMC_MCI!C24</f>
        <v>MÉMO* VENTES INTERNET VOITURES</v>
      </c>
      <c r="C2359" s="1038" t="str">
        <f>OR_VEH!D273</f>
        <v>419P5F</v>
      </c>
      <c r="D2359" s="803">
        <f>Page5_GMC_MCI!G24</f>
        <v>0</v>
      </c>
      <c r="E2359" s="803">
        <f>Page5_GMC_MCI!L24</f>
        <v>0</v>
      </c>
      <c r="F2359" t="str">
        <f t="shared" si="132"/>
        <v>01-00-419P5F-SALES-CURR</v>
      </c>
      <c r="G2359" t="s">
        <v>127</v>
      </c>
      <c r="H2359" t="s">
        <v>10287</v>
      </c>
      <c r="I2359" t="s">
        <v>10253</v>
      </c>
      <c r="K2359" s="1073" t="s">
        <v>10288</v>
      </c>
      <c r="L2359" s="789" t="s">
        <v>10241</v>
      </c>
      <c r="M2359" s="855" t="str">
        <f>C2359</f>
        <v>419P5F</v>
      </c>
      <c r="N2359" s="855"/>
      <c r="O2359" s="790" t="s">
        <v>9883</v>
      </c>
      <c r="P2359" s="790" t="s">
        <v>10244</v>
      </c>
      <c r="R2359" s="30"/>
    </row>
    <row r="2360" spans="2:18">
      <c r="B2360" s="5" t="str">
        <f>Page5_GMC_MCI!C25</f>
        <v>TOTAL PARCS - VOITURES</v>
      </c>
      <c r="C2360" s="1038" t="str">
        <f>OR_VEH!D274</f>
        <v>420P5F</v>
      </c>
      <c r="D2360" s="803">
        <f>Page5_GMC_MCI!G25</f>
        <v>0</v>
      </c>
      <c r="E2360" s="803">
        <f>Page5_GMC_MCI!L25</f>
        <v>0</v>
      </c>
      <c r="F2360" t="str">
        <f t="shared" si="132"/>
        <v>01-00-420P5F-SALES-CURR</v>
      </c>
      <c r="G2360" t="s">
        <v>127</v>
      </c>
      <c r="H2360" t="s">
        <v>10287</v>
      </c>
      <c r="I2360" t="s">
        <v>10253</v>
      </c>
      <c r="K2360" s="1073" t="s">
        <v>10288</v>
      </c>
      <c r="L2360" s="789" t="s">
        <v>10241</v>
      </c>
      <c r="M2360" s="855" t="str">
        <f>C2360</f>
        <v>420P5F</v>
      </c>
      <c r="N2360" s="855"/>
      <c r="O2360" s="790" t="s">
        <v>9883</v>
      </c>
      <c r="P2360" s="790" t="s">
        <v>10244</v>
      </c>
      <c r="R2360" s="30"/>
    </row>
    <row r="2361" spans="2:18">
      <c r="B2361" s="5" t="str">
        <f>Page5_GMC_MCI!C26</f>
        <v>TOTAL INTERNE - VOITURES</v>
      </c>
      <c r="C2361" s="1038" t="str">
        <f>OR_VEH!D275</f>
        <v>421P5F</v>
      </c>
      <c r="D2361" s="803">
        <f>Page5_GMC_MCI!G26</f>
        <v>0</v>
      </c>
      <c r="E2361" s="803">
        <f>Page5_GMC_MCI!L26</f>
        <v>0</v>
      </c>
      <c r="F2361" t="str">
        <f t="shared" si="132"/>
        <v>01-00-421P5F-SALES-CURR</v>
      </c>
      <c r="G2361" t="s">
        <v>127</v>
      </c>
      <c r="H2361" t="s">
        <v>10287</v>
      </c>
      <c r="I2361" t="s">
        <v>10253</v>
      </c>
      <c r="K2361" s="1073" t="s">
        <v>10288</v>
      </c>
      <c r="L2361" s="789" t="s">
        <v>10241</v>
      </c>
      <c r="M2361" s="855" t="str">
        <f>C2361</f>
        <v>421P5F</v>
      </c>
      <c r="N2361" s="855"/>
      <c r="O2361" s="790" t="s">
        <v>9883</v>
      </c>
      <c r="P2361" s="790" t="s">
        <v>10244</v>
      </c>
      <c r="R2361" s="30"/>
    </row>
    <row r="2362" spans="2:18">
      <c r="B2362" s="27" t="s">
        <v>12176</v>
      </c>
      <c r="C2362" s="1042"/>
      <c r="D2362" s="803">
        <f>Page5_GMC_MCI!G27</f>
        <v>0</v>
      </c>
      <c r="E2362" s="803">
        <f>Page5_GMC_MCI!L27</f>
        <v>0</v>
      </c>
      <c r="F2362" t="str">
        <f t="shared" si="132"/>
        <v>01-00-TOTCAR5F-SALES-CURR</v>
      </c>
      <c r="G2362" t="s">
        <v>127</v>
      </c>
      <c r="H2362" t="s">
        <v>10287</v>
      </c>
      <c r="I2362" t="s">
        <v>10253</v>
      </c>
      <c r="J2362" t="s">
        <v>10268</v>
      </c>
      <c r="K2362" s="1073" t="s">
        <v>10288</v>
      </c>
      <c r="L2362" s="789" t="s">
        <v>10241</v>
      </c>
      <c r="M2362" s="790" t="s">
        <v>10347</v>
      </c>
      <c r="O2362" s="790" t="s">
        <v>9883</v>
      </c>
      <c r="P2362" s="790" t="s">
        <v>10244</v>
      </c>
      <c r="Q2362" s="791" t="s">
        <v>773</v>
      </c>
    </row>
    <row r="2363" spans="2:18">
      <c r="B2363" s="5" t="str">
        <f>Page5_GMC_MCI!C28</f>
        <v>NE PAS UTILISER</v>
      </c>
      <c r="C2363" s="1038" t="str">
        <f>OR_VEH!D277</f>
        <v>423-012</v>
      </c>
      <c r="D2363" s="803">
        <f>Page5_GMC_MCI!G28</f>
        <v>0</v>
      </c>
      <c r="E2363" s="803">
        <f>Page5_GMC_MCI!L28</f>
        <v>0</v>
      </c>
      <c r="F2363" t="str">
        <f t="shared" si="132"/>
        <v>01-00-423-012-SALES-CURR</v>
      </c>
      <c r="G2363" t="s">
        <v>127</v>
      </c>
      <c r="H2363" t="s">
        <v>10287</v>
      </c>
      <c r="I2363" t="s">
        <v>10253</v>
      </c>
      <c r="K2363" s="1073" t="s">
        <v>10288</v>
      </c>
      <c r="L2363" s="789" t="s">
        <v>10241</v>
      </c>
      <c r="M2363" s="790" t="str">
        <f t="shared" ref="M2363:M2378" si="133">LEFT(C2363,3)</f>
        <v>423</v>
      </c>
      <c r="N2363" s="790" t="str">
        <f t="shared" ref="N2363:N2378" si="134">RIGHT(C2363,3)</f>
        <v>012</v>
      </c>
      <c r="O2363" s="790" t="s">
        <v>9883</v>
      </c>
      <c r="P2363" s="790" t="s">
        <v>10244</v>
      </c>
      <c r="R2363" s="30"/>
    </row>
    <row r="2364" spans="2:18">
      <c r="B2364" s="5" t="str">
        <f>Page5_GMC_MCI!C29</f>
        <v>TERRAIN</v>
      </c>
      <c r="C2364" s="1038" t="str">
        <f>OR_VEH!D278</f>
        <v>424-012</v>
      </c>
      <c r="D2364" s="803">
        <f>Page5_GMC_MCI!G29</f>
        <v>0</v>
      </c>
      <c r="E2364" s="803">
        <f>Page5_GMC_MCI!L29</f>
        <v>81094</v>
      </c>
      <c r="F2364" t="str">
        <f t="shared" si="132"/>
        <v>01-00-424-012-SALES-CURR</v>
      </c>
      <c r="G2364" t="s">
        <v>127</v>
      </c>
      <c r="H2364" t="s">
        <v>10287</v>
      </c>
      <c r="I2364" t="s">
        <v>10253</v>
      </c>
      <c r="K2364" s="1073" t="s">
        <v>10288</v>
      </c>
      <c r="L2364" s="789" t="s">
        <v>10241</v>
      </c>
      <c r="M2364" s="790" t="str">
        <f t="shared" si="133"/>
        <v>424</v>
      </c>
      <c r="N2364" s="790" t="str">
        <f t="shared" si="134"/>
        <v>012</v>
      </c>
      <c r="O2364" s="790" t="s">
        <v>9883</v>
      </c>
      <c r="P2364" s="790" t="s">
        <v>10244</v>
      </c>
      <c r="R2364" s="30"/>
    </row>
    <row r="2365" spans="2:18">
      <c r="B2365" s="5" t="str">
        <f>Page5_GMC_MCI!C30</f>
        <v>SAVANA</v>
      </c>
      <c r="C2365" s="1038" t="str">
        <f>OR_VEH!D279</f>
        <v>425-012</v>
      </c>
      <c r="D2365" s="803">
        <f>Page5_GMC_MCI!G30</f>
        <v>0</v>
      </c>
      <c r="E2365" s="803">
        <f>Page5_GMC_MCI!L30</f>
        <v>0</v>
      </c>
      <c r="F2365" t="str">
        <f t="shared" si="132"/>
        <v>01-00-425-012-SALES-CURR</v>
      </c>
      <c r="G2365" t="s">
        <v>127</v>
      </c>
      <c r="H2365" t="s">
        <v>10287</v>
      </c>
      <c r="I2365" t="s">
        <v>10253</v>
      </c>
      <c r="K2365" s="1073" t="s">
        <v>10288</v>
      </c>
      <c r="L2365" s="789" t="s">
        <v>10241</v>
      </c>
      <c r="M2365" s="790" t="str">
        <f t="shared" si="133"/>
        <v>425</v>
      </c>
      <c r="N2365" s="790" t="str">
        <f t="shared" si="134"/>
        <v>012</v>
      </c>
      <c r="O2365" s="790" t="s">
        <v>9883</v>
      </c>
      <c r="P2365" s="790" t="s">
        <v>10244</v>
      </c>
      <c r="R2365" s="30"/>
    </row>
    <row r="2366" spans="2:18">
      <c r="B2366" s="5" t="str">
        <f>Page5_GMC_MCI!C31</f>
        <v>CANYON</v>
      </c>
      <c r="C2366" s="1038" t="str">
        <f>OR_VEH!D280</f>
        <v>426-012</v>
      </c>
      <c r="D2366" s="803">
        <f>Page5_GMC_MCI!G31</f>
        <v>0</v>
      </c>
      <c r="E2366" s="803">
        <f>Page5_GMC_MCI!L31</f>
        <v>252288</v>
      </c>
      <c r="F2366" t="str">
        <f t="shared" si="132"/>
        <v>01-00-426-012-SALES-CURR</v>
      </c>
      <c r="G2366" t="s">
        <v>127</v>
      </c>
      <c r="H2366" t="s">
        <v>10287</v>
      </c>
      <c r="I2366" t="s">
        <v>10253</v>
      </c>
      <c r="K2366" s="1073" t="s">
        <v>10288</v>
      </c>
      <c r="L2366" s="789" t="s">
        <v>10241</v>
      </c>
      <c r="M2366" s="790" t="str">
        <f t="shared" si="133"/>
        <v>426</v>
      </c>
      <c r="N2366" s="790" t="str">
        <f t="shared" si="134"/>
        <v>012</v>
      </c>
      <c r="O2366" s="790" t="s">
        <v>9883</v>
      </c>
      <c r="P2366" s="790" t="s">
        <v>10244</v>
      </c>
      <c r="R2366" s="30"/>
    </row>
    <row r="2367" spans="2:18">
      <c r="B2367" s="5" t="str">
        <f>Page5_GMC_MCI!C32</f>
        <v>NE PAS UTILISER</v>
      </c>
      <c r="C2367" s="1038" t="str">
        <f>OR_VEH!D281</f>
        <v>427-012</v>
      </c>
      <c r="D2367" s="803">
        <f>Page5_GMC_MCI!G32</f>
        <v>0</v>
      </c>
      <c r="E2367" s="803">
        <f>Page5_GMC_MCI!L32</f>
        <v>0</v>
      </c>
      <c r="F2367" t="str">
        <f t="shared" si="132"/>
        <v>01-00-427-012-SALES-CURR</v>
      </c>
      <c r="G2367" t="s">
        <v>127</v>
      </c>
      <c r="H2367" t="s">
        <v>10287</v>
      </c>
      <c r="I2367" t="s">
        <v>10253</v>
      </c>
      <c r="K2367" s="1073" t="s">
        <v>10288</v>
      </c>
      <c r="L2367" s="789" t="s">
        <v>10241</v>
      </c>
      <c r="M2367" s="790" t="str">
        <f t="shared" si="133"/>
        <v>427</v>
      </c>
      <c r="N2367" s="790" t="str">
        <f t="shared" si="134"/>
        <v>012</v>
      </c>
      <c r="O2367" s="790" t="s">
        <v>9883</v>
      </c>
      <c r="P2367" s="790" t="s">
        <v>10244</v>
      </c>
      <c r="R2367" s="30"/>
    </row>
    <row r="2368" spans="2:18">
      <c r="B2368" s="5" t="str">
        <f>Page5_GMC_MCI!C33</f>
        <v>NE PAS UTILISER</v>
      </c>
      <c r="C2368" s="1038" t="str">
        <f>OR_VEH!D282</f>
        <v>428-012</v>
      </c>
      <c r="D2368" s="803">
        <f>Page5_GMC_MCI!G33</f>
        <v>0</v>
      </c>
      <c r="E2368" s="803">
        <f>Page5_GMC_MCI!L33</f>
        <v>0</v>
      </c>
      <c r="F2368" t="str">
        <f t="shared" si="132"/>
        <v>01-00-428-012-SALES-CURR</v>
      </c>
      <c r="G2368" t="s">
        <v>127</v>
      </c>
      <c r="H2368" t="s">
        <v>10287</v>
      </c>
      <c r="I2368" t="s">
        <v>10253</v>
      </c>
      <c r="K2368" s="1073" t="s">
        <v>10288</v>
      </c>
      <c r="L2368" s="789" t="s">
        <v>10241</v>
      </c>
      <c r="M2368" s="790" t="str">
        <f t="shared" si="133"/>
        <v>428</v>
      </c>
      <c r="N2368" s="790" t="str">
        <f t="shared" si="134"/>
        <v>012</v>
      </c>
      <c r="O2368" s="790" t="s">
        <v>9883</v>
      </c>
      <c r="P2368" s="790" t="s">
        <v>10244</v>
      </c>
      <c r="R2368" s="30"/>
    </row>
    <row r="2369" spans="2:18">
      <c r="B2369" s="5" t="str">
        <f>Page5_GMC_MCI!C34</f>
        <v>NE PAS UTILISER</v>
      </c>
      <c r="C2369" s="1038" t="str">
        <f>OR_VEH!D283</f>
        <v>429-012</v>
      </c>
      <c r="D2369" s="803">
        <f>Page5_GMC_MCI!G34</f>
        <v>0</v>
      </c>
      <c r="E2369" s="803">
        <f>Page5_GMC_MCI!L34</f>
        <v>0</v>
      </c>
      <c r="F2369" t="str">
        <f t="shared" si="132"/>
        <v>01-00-429-012-SALES-CURR</v>
      </c>
      <c r="G2369" t="s">
        <v>127</v>
      </c>
      <c r="H2369" t="s">
        <v>10287</v>
      </c>
      <c r="I2369" t="s">
        <v>10253</v>
      </c>
      <c r="K2369" s="1073" t="s">
        <v>10288</v>
      </c>
      <c r="L2369" s="789" t="s">
        <v>10241</v>
      </c>
      <c r="M2369" s="790" t="str">
        <f t="shared" si="133"/>
        <v>429</v>
      </c>
      <c r="N2369" s="790" t="str">
        <f t="shared" si="134"/>
        <v>012</v>
      </c>
      <c r="O2369" s="790" t="s">
        <v>9883</v>
      </c>
      <c r="P2369" s="790" t="s">
        <v>10244</v>
      </c>
      <c r="R2369" s="30"/>
    </row>
    <row r="2370" spans="2:18">
      <c r="B2370" s="5" t="str">
        <f>Page5_GMC_MCI!C35</f>
        <v>YUKON/XL</v>
      </c>
      <c r="C2370" s="1038" t="str">
        <f>OR_VEH!D284</f>
        <v>430-012</v>
      </c>
      <c r="D2370" s="803">
        <f>Page5_GMC_MCI!G35</f>
        <v>0</v>
      </c>
      <c r="E2370" s="803">
        <f>Page5_GMC_MCI!L35</f>
        <v>312976</v>
      </c>
      <c r="F2370" t="str">
        <f t="shared" si="132"/>
        <v>01-00-430-012-SALES-CURR</v>
      </c>
      <c r="G2370" t="s">
        <v>127</v>
      </c>
      <c r="H2370" t="s">
        <v>10287</v>
      </c>
      <c r="I2370" t="s">
        <v>10253</v>
      </c>
      <c r="K2370" s="1073" t="s">
        <v>10288</v>
      </c>
      <c r="L2370" s="789" t="s">
        <v>10241</v>
      </c>
      <c r="M2370" s="790" t="str">
        <f t="shared" si="133"/>
        <v>430</v>
      </c>
      <c r="N2370" s="790" t="str">
        <f t="shared" si="134"/>
        <v>012</v>
      </c>
      <c r="O2370" s="790" t="s">
        <v>9883</v>
      </c>
      <c r="P2370" s="790" t="s">
        <v>10244</v>
      </c>
      <c r="R2370" s="30"/>
    </row>
    <row r="2371" spans="2:18">
      <c r="B2371" s="5" t="str">
        <f>Page5_GMC_MCI!C36</f>
        <v>LD 1500 SIERRA</v>
      </c>
      <c r="C2371" s="1038" t="str">
        <f>OR_VEH!D285</f>
        <v>431-012</v>
      </c>
      <c r="D2371" s="803">
        <f>Page5_GMC_MCI!G36</f>
        <v>432171</v>
      </c>
      <c r="E2371" s="803">
        <f>Page5_GMC_MCI!L36</f>
        <v>2196451</v>
      </c>
      <c r="F2371" t="str">
        <f t="shared" si="132"/>
        <v>01-00-431-012-SALES-CURR</v>
      </c>
      <c r="G2371" t="s">
        <v>127</v>
      </c>
      <c r="H2371" t="s">
        <v>10287</v>
      </c>
      <c r="I2371" t="s">
        <v>10253</v>
      </c>
      <c r="K2371" s="1073" t="s">
        <v>10288</v>
      </c>
      <c r="L2371" s="789" t="s">
        <v>10241</v>
      </c>
      <c r="M2371" s="790" t="str">
        <f t="shared" si="133"/>
        <v>431</v>
      </c>
      <c r="N2371" s="790" t="str">
        <f t="shared" si="134"/>
        <v>012</v>
      </c>
      <c r="O2371" s="790" t="s">
        <v>9883</v>
      </c>
      <c r="P2371" s="790" t="s">
        <v>10244</v>
      </c>
      <c r="R2371" s="30"/>
    </row>
    <row r="2372" spans="2:18">
      <c r="B2372" s="5" t="str">
        <f>Page5_GMC_MCI!C37</f>
        <v>LD 2500 SIERRA</v>
      </c>
      <c r="C2372" s="1038" t="str">
        <f>OR_VEH!D286</f>
        <v>432-012</v>
      </c>
      <c r="D2372" s="803">
        <f>Page5_GMC_MCI!G37</f>
        <v>474676</v>
      </c>
      <c r="E2372" s="803">
        <f>Page5_GMC_MCI!L37</f>
        <v>1224277</v>
      </c>
      <c r="F2372" t="str">
        <f t="shared" si="132"/>
        <v>01-00-432-012-SALES-CURR</v>
      </c>
      <c r="G2372" t="s">
        <v>127</v>
      </c>
      <c r="H2372" t="s">
        <v>10287</v>
      </c>
      <c r="I2372" t="s">
        <v>10253</v>
      </c>
      <c r="K2372" s="1073" t="s">
        <v>10288</v>
      </c>
      <c r="L2372" s="789" t="s">
        <v>10241</v>
      </c>
      <c r="M2372" s="790" t="str">
        <f t="shared" si="133"/>
        <v>432</v>
      </c>
      <c r="N2372" s="790" t="str">
        <f t="shared" si="134"/>
        <v>012</v>
      </c>
      <c r="O2372" s="790" t="s">
        <v>9883</v>
      </c>
      <c r="P2372" s="790" t="s">
        <v>10244</v>
      </c>
      <c r="R2372" s="30"/>
    </row>
    <row r="2373" spans="2:18">
      <c r="B2373" s="5" t="str">
        <f>Page5_GMC_MCI!C38</f>
        <v>LD 3500 SIERRA</v>
      </c>
      <c r="C2373" s="1038" t="str">
        <f>OR_VEH!D287</f>
        <v>433-012</v>
      </c>
      <c r="D2373" s="803">
        <f>Page5_GMC_MCI!G38</f>
        <v>0</v>
      </c>
      <c r="E2373" s="803">
        <f>Page5_GMC_MCI!L38</f>
        <v>0</v>
      </c>
      <c r="F2373" t="str">
        <f t="shared" si="132"/>
        <v>01-00-433-012-SALES-CURR</v>
      </c>
      <c r="G2373" t="s">
        <v>127</v>
      </c>
      <c r="H2373" t="s">
        <v>10287</v>
      </c>
      <c r="I2373" t="s">
        <v>10253</v>
      </c>
      <c r="K2373" s="1073" t="s">
        <v>10288</v>
      </c>
      <c r="L2373" s="789" t="s">
        <v>10241</v>
      </c>
      <c r="M2373" s="790" t="str">
        <f t="shared" si="133"/>
        <v>433</v>
      </c>
      <c r="N2373" s="790" t="str">
        <f t="shared" si="134"/>
        <v>012</v>
      </c>
      <c r="O2373" s="790" t="s">
        <v>9883</v>
      </c>
      <c r="P2373" s="790" t="s">
        <v>10244</v>
      </c>
      <c r="R2373" s="30"/>
    </row>
    <row r="2374" spans="2:18">
      <c r="B2374" s="5" t="str">
        <f>Page5_GMC_MCI!C39</f>
        <v>NE PAS UTILISER</v>
      </c>
      <c r="C2374" s="1038" t="str">
        <f>OR_VEH!D288</f>
        <v>434-012</v>
      </c>
      <c r="D2374" s="803">
        <f>Page5_GMC_MCI!G39</f>
        <v>0</v>
      </c>
      <c r="E2374" s="803">
        <f>Page5_GMC_MCI!L39</f>
        <v>0</v>
      </c>
      <c r="F2374" t="str">
        <f t="shared" si="132"/>
        <v>01-00-434-012-SALES-CURR</v>
      </c>
      <c r="G2374" t="s">
        <v>127</v>
      </c>
      <c r="H2374" t="s">
        <v>10287</v>
      </c>
      <c r="I2374" t="s">
        <v>10253</v>
      </c>
      <c r="K2374" s="1073" t="s">
        <v>10288</v>
      </c>
      <c r="L2374" s="789" t="s">
        <v>10241</v>
      </c>
      <c r="M2374" s="790" t="str">
        <f t="shared" si="133"/>
        <v>434</v>
      </c>
      <c r="N2374" s="790" t="str">
        <f t="shared" si="134"/>
        <v>012</v>
      </c>
      <c r="O2374" s="790" t="s">
        <v>9883</v>
      </c>
      <c r="P2374" s="790" t="s">
        <v>10244</v>
      </c>
      <c r="R2374" s="30"/>
    </row>
    <row r="2375" spans="2:18">
      <c r="B2375" s="5" t="str">
        <f>Page5_GMC_MCI!C40</f>
        <v>NE PAS UTILISER</v>
      </c>
      <c r="C2375" s="1038" t="str">
        <f>OR_VEH!D289</f>
        <v>435-012</v>
      </c>
      <c r="D2375" s="803">
        <f>Page5_GMC_MCI!G40</f>
        <v>0</v>
      </c>
      <c r="E2375" s="803">
        <f>Page5_GMC_MCI!L40</f>
        <v>0</v>
      </c>
      <c r="F2375" t="str">
        <f t="shared" si="132"/>
        <v>01-00-435-012-SALES-CURR</v>
      </c>
      <c r="G2375" t="s">
        <v>127</v>
      </c>
      <c r="H2375" t="s">
        <v>10287</v>
      </c>
      <c r="I2375" t="s">
        <v>10253</v>
      </c>
      <c r="K2375" s="1073" t="s">
        <v>10288</v>
      </c>
      <c r="L2375" s="789" t="s">
        <v>10241</v>
      </c>
      <c r="M2375" s="790" t="str">
        <f t="shared" si="133"/>
        <v>435</v>
      </c>
      <c r="N2375" s="790" t="str">
        <f t="shared" si="134"/>
        <v>012</v>
      </c>
      <c r="O2375" s="790" t="s">
        <v>9883</v>
      </c>
      <c r="P2375" s="790" t="s">
        <v>10244</v>
      </c>
      <c r="R2375" s="30"/>
    </row>
    <row r="2376" spans="2:18">
      <c r="B2376" s="5" t="str">
        <f>Page5_GMC_MCI!C41</f>
        <v>ACADIA</v>
      </c>
      <c r="C2376" s="1038" t="str">
        <f>OR_VEH!D290</f>
        <v>436-012</v>
      </c>
      <c r="D2376" s="803">
        <f>Page5_GMC_MCI!G41</f>
        <v>0</v>
      </c>
      <c r="E2376" s="803">
        <f>Page5_GMC_MCI!L41</f>
        <v>53900</v>
      </c>
      <c r="F2376" t="str">
        <f t="shared" si="132"/>
        <v>01-00-436-012-SALES-CURR</v>
      </c>
      <c r="G2376" t="s">
        <v>127</v>
      </c>
      <c r="H2376" t="s">
        <v>10287</v>
      </c>
      <c r="I2376" t="s">
        <v>10253</v>
      </c>
      <c r="K2376" s="1073" t="s">
        <v>10288</v>
      </c>
      <c r="L2376" s="789" t="s">
        <v>10241</v>
      </c>
      <c r="M2376" s="790" t="str">
        <f t="shared" si="133"/>
        <v>436</v>
      </c>
      <c r="N2376" s="790" t="str">
        <f t="shared" si="134"/>
        <v>012</v>
      </c>
      <c r="O2376" s="790" t="s">
        <v>9883</v>
      </c>
      <c r="P2376" s="790" t="s">
        <v>10244</v>
      </c>
      <c r="R2376" s="30"/>
    </row>
    <row r="2377" spans="2:18">
      <c r="B2377" s="5" t="str">
        <f>Page5_GMC_MCI!C42</f>
        <v>POUR USAGE FUTUR</v>
      </c>
      <c r="C2377" s="1038" t="str">
        <f>OR_VEH!D291</f>
        <v>437-012</v>
      </c>
      <c r="D2377" s="803">
        <f>Page5_GMC_MCI!G42</f>
        <v>0</v>
      </c>
      <c r="E2377" s="803">
        <f>Page5_GMC_MCI!L42</f>
        <v>0</v>
      </c>
      <c r="F2377" t="str">
        <f t="shared" si="132"/>
        <v>01-00-437-012-SALES-CURR</v>
      </c>
      <c r="G2377" t="s">
        <v>127</v>
      </c>
      <c r="H2377" t="s">
        <v>10287</v>
      </c>
      <c r="I2377" t="s">
        <v>10253</v>
      </c>
      <c r="K2377" s="1073" t="s">
        <v>10288</v>
      </c>
      <c r="L2377" s="789" t="s">
        <v>10241</v>
      </c>
      <c r="M2377" s="790" t="str">
        <f t="shared" si="133"/>
        <v>437</v>
      </c>
      <c r="N2377" s="790" t="str">
        <f t="shared" si="134"/>
        <v>012</v>
      </c>
      <c r="O2377" s="790" t="s">
        <v>9883</v>
      </c>
      <c r="P2377" s="790" t="s">
        <v>10244</v>
      </c>
      <c r="R2377" s="30"/>
    </row>
    <row r="2378" spans="2:18">
      <c r="B2378" s="5" t="str">
        <f>Page5_GMC_MCI!C43</f>
        <v>AUTRES CAMIONS GMC</v>
      </c>
      <c r="C2378" s="1038" t="str">
        <f>OR_VEH!D292</f>
        <v>438-012</v>
      </c>
      <c r="D2378" s="803">
        <f>Page5_GMC_MCI!G43</f>
        <v>0</v>
      </c>
      <c r="E2378" s="803">
        <f>Page5_GMC_MCI!L43</f>
        <v>0</v>
      </c>
      <c r="F2378" t="str">
        <f t="shared" si="132"/>
        <v>01-00-438-012-SALES-CURR</v>
      </c>
      <c r="G2378" t="s">
        <v>127</v>
      </c>
      <c r="H2378" t="s">
        <v>10287</v>
      </c>
      <c r="I2378" t="s">
        <v>10253</v>
      </c>
      <c r="K2378" s="1073" t="s">
        <v>10288</v>
      </c>
      <c r="L2378" s="789" t="s">
        <v>10241</v>
      </c>
      <c r="M2378" s="790" t="str">
        <f t="shared" si="133"/>
        <v>438</v>
      </c>
      <c r="N2378" s="790" t="str">
        <f t="shared" si="134"/>
        <v>012</v>
      </c>
      <c r="O2378" s="799" t="s">
        <v>9883</v>
      </c>
      <c r="P2378" s="799" t="s">
        <v>10244</v>
      </c>
      <c r="R2378" s="30"/>
    </row>
    <row r="2379" spans="2:18">
      <c r="B2379" s="51" t="s">
        <v>12177</v>
      </c>
      <c r="C2379" s="1042"/>
      <c r="D2379" s="803">
        <f>Page5_GMC_MCI!G44</f>
        <v>906847</v>
      </c>
      <c r="E2379" s="803">
        <f>Page5_GMC_MCI!L44</f>
        <v>4120986</v>
      </c>
      <c r="F2379" t="str">
        <f t="shared" si="132"/>
        <v>01-00-RTLTRK5F-SALES-CURR</v>
      </c>
      <c r="G2379" t="s">
        <v>127</v>
      </c>
      <c r="H2379" t="s">
        <v>10287</v>
      </c>
      <c r="I2379" t="s">
        <v>10253</v>
      </c>
      <c r="J2379" t="s">
        <v>10268</v>
      </c>
      <c r="K2379" s="1073" t="s">
        <v>10288</v>
      </c>
      <c r="L2379" s="789" t="s">
        <v>10241</v>
      </c>
      <c r="M2379" s="790" t="s">
        <v>10349</v>
      </c>
      <c r="O2379" s="790" t="s">
        <v>9883</v>
      </c>
      <c r="P2379" s="790" t="s">
        <v>10244</v>
      </c>
      <c r="Q2379" s="791" t="s">
        <v>773</v>
      </c>
    </row>
    <row r="2380" spans="2:18">
      <c r="B2380" s="5" t="str">
        <f>Page5_GMC_MCI!C45</f>
        <v>MÉMO* VENTES INTERNET CAMIONS</v>
      </c>
      <c r="C2380" s="1038" t="str">
        <f>OR_VEH!D294</f>
        <v>439P5F</v>
      </c>
      <c r="D2380" s="803">
        <f>Page5_GMC_MCI!G45</f>
        <v>0</v>
      </c>
      <c r="E2380" s="803">
        <f>Page5_GMC_MCI!L45</f>
        <v>0</v>
      </c>
      <c r="F2380" t="str">
        <f t="shared" si="132"/>
        <v>01-00-439P5F-SALES-CURR</v>
      </c>
      <c r="G2380" t="s">
        <v>127</v>
      </c>
      <c r="H2380" t="s">
        <v>10287</v>
      </c>
      <c r="I2380" t="s">
        <v>10253</v>
      </c>
      <c r="K2380" s="1073" t="s">
        <v>10288</v>
      </c>
      <c r="L2380" s="789" t="s">
        <v>10241</v>
      </c>
      <c r="M2380" s="855" t="str">
        <f>C2380</f>
        <v>439P5F</v>
      </c>
      <c r="N2380" s="855"/>
      <c r="O2380" s="790" t="s">
        <v>9883</v>
      </c>
      <c r="P2380" s="790" t="s">
        <v>10244</v>
      </c>
      <c r="R2380" s="30"/>
    </row>
    <row r="2381" spans="2:18">
      <c r="B2381" s="5" t="str">
        <f>Page5_GMC_MCI!C46</f>
        <v>TOTAL PARCS - CAMIONS</v>
      </c>
      <c r="C2381" s="1038" t="str">
        <f>OR_VEH!D295</f>
        <v>440P5F</v>
      </c>
      <c r="D2381" s="803">
        <f>Page5_GMC_MCI!G46</f>
        <v>0</v>
      </c>
      <c r="E2381" s="803">
        <f>Page5_GMC_MCI!L46</f>
        <v>0</v>
      </c>
      <c r="F2381" t="str">
        <f t="shared" si="132"/>
        <v>01-00-440P5F-SALES-CURR</v>
      </c>
      <c r="G2381" t="s">
        <v>127</v>
      </c>
      <c r="H2381" t="s">
        <v>10287</v>
      </c>
      <c r="I2381" t="s">
        <v>10253</v>
      </c>
      <c r="K2381" s="1073" t="s">
        <v>10288</v>
      </c>
      <c r="L2381" s="789" t="s">
        <v>10241</v>
      </c>
      <c r="M2381" s="855" t="str">
        <f>C2381</f>
        <v>440P5F</v>
      </c>
      <c r="N2381" s="855"/>
      <c r="O2381" s="799" t="s">
        <v>9883</v>
      </c>
      <c r="P2381" s="799" t="s">
        <v>10244</v>
      </c>
      <c r="R2381" s="30"/>
    </row>
    <row r="2382" spans="2:18">
      <c r="B2382" s="5" t="str">
        <f>Page5_GMC_MCI!C47</f>
        <v xml:space="preserve">TOTAL IINTERNE - CAMIONS </v>
      </c>
      <c r="C2382" s="1038" t="str">
        <f>OR_VEH!D296</f>
        <v>441P5F</v>
      </c>
      <c r="D2382" s="803">
        <f>Page5_GMC_MCI!G47</f>
        <v>0</v>
      </c>
      <c r="E2382" s="803">
        <f>Page5_GMC_MCI!L47</f>
        <v>0</v>
      </c>
      <c r="F2382" t="str">
        <f t="shared" si="132"/>
        <v>01-00-441P5F-SALES-CURR</v>
      </c>
      <c r="G2382" t="s">
        <v>127</v>
      </c>
      <c r="H2382" t="s">
        <v>10287</v>
      </c>
      <c r="I2382" t="s">
        <v>10253</v>
      </c>
      <c r="K2382" s="1073" t="s">
        <v>10288</v>
      </c>
      <c r="L2382" s="789" t="s">
        <v>10241</v>
      </c>
      <c r="M2382" s="855" t="str">
        <f>C2382</f>
        <v>441P5F</v>
      </c>
      <c r="N2382" s="855"/>
      <c r="O2382" s="799" t="s">
        <v>9883</v>
      </c>
      <c r="P2382" s="799" t="s">
        <v>10244</v>
      </c>
      <c r="R2382" s="30"/>
    </row>
    <row r="2383" spans="2:18">
      <c r="B2383" s="27" t="s">
        <v>12178</v>
      </c>
      <c r="C2383" s="1042"/>
      <c r="D2383" s="803">
        <f>Page5_GMC_MCI!G48</f>
        <v>906847</v>
      </c>
      <c r="E2383" s="803">
        <f>Page5_GMC_MCI!L48</f>
        <v>4120986</v>
      </c>
      <c r="F2383" t="str">
        <f t="shared" si="132"/>
        <v>01-00-TOTTRK5F-SALES-CURR</v>
      </c>
      <c r="G2383" t="s">
        <v>127</v>
      </c>
      <c r="H2383" t="s">
        <v>10287</v>
      </c>
      <c r="I2383" t="s">
        <v>10253</v>
      </c>
      <c r="J2383" t="s">
        <v>10268</v>
      </c>
      <c r="K2383" s="1073" t="s">
        <v>10288</v>
      </c>
      <c r="L2383" s="789" t="s">
        <v>10241</v>
      </c>
      <c r="M2383" s="790" t="s">
        <v>10351</v>
      </c>
      <c r="O2383" s="790" t="s">
        <v>9883</v>
      </c>
      <c r="P2383" s="790" t="s">
        <v>10244</v>
      </c>
      <c r="Q2383" s="791" t="s">
        <v>773</v>
      </c>
    </row>
    <row r="2384" spans="2:18">
      <c r="B2384" s="5" t="str">
        <f>Page5_GMC_MCI!C50</f>
        <v>ACCESSOIRES</v>
      </c>
      <c r="C2384" s="1038" t="str">
        <f>OR_VEH!D299</f>
        <v>457P5F</v>
      </c>
      <c r="D2384" s="803">
        <f>Page5_GMC_MCI!G50</f>
        <v>0</v>
      </c>
      <c r="E2384" s="803">
        <f>Page5_GMC_MCI!L50</f>
        <v>0</v>
      </c>
      <c r="F2384" t="str">
        <f t="shared" si="132"/>
        <v>01-00-457P5F-SALES-CURR</v>
      </c>
      <c r="G2384" t="s">
        <v>127</v>
      </c>
      <c r="H2384" t="s">
        <v>10287</v>
      </c>
      <c r="I2384" t="s">
        <v>10253</v>
      </c>
      <c r="K2384" s="1073" t="s">
        <v>10288</v>
      </c>
      <c r="L2384" s="789" t="s">
        <v>10241</v>
      </c>
      <c r="M2384" s="855" t="str">
        <f>C2384</f>
        <v>457P5F</v>
      </c>
      <c r="N2384" s="855"/>
      <c r="O2384" s="790" t="s">
        <v>9883</v>
      </c>
      <c r="P2384" s="790" t="s">
        <v>10244</v>
      </c>
      <c r="R2384" s="30"/>
    </row>
    <row r="2385" spans="2:18">
      <c r="B2385" s="27" t="s">
        <v>12179</v>
      </c>
      <c r="C2385" s="1042"/>
      <c r="D2385" s="803">
        <f>Page5_GMC_MCI!G51</f>
        <v>906847</v>
      </c>
      <c r="E2385" s="803">
        <f>Page5_GMC_MCI!L51</f>
        <v>4120986</v>
      </c>
      <c r="F2385" t="str">
        <f t="shared" si="132"/>
        <v>01-00-TOTVEH5F-SALES-CURR</v>
      </c>
      <c r="G2385" t="s">
        <v>127</v>
      </c>
      <c r="H2385" t="s">
        <v>10287</v>
      </c>
      <c r="I2385" t="s">
        <v>10253</v>
      </c>
      <c r="J2385" t="s">
        <v>10268</v>
      </c>
      <c r="K2385" s="1073" t="s">
        <v>10288</v>
      </c>
      <c r="L2385" s="789" t="s">
        <v>10241</v>
      </c>
      <c r="M2385" s="790" t="s">
        <v>10353</v>
      </c>
      <c r="O2385" s="790" t="s">
        <v>9883</v>
      </c>
      <c r="P2385" s="790" t="s">
        <v>10244</v>
      </c>
      <c r="Q2385" s="791" t="s">
        <v>773</v>
      </c>
    </row>
    <row r="2386" spans="2:18">
      <c r="B2386" s="5" t="str">
        <f>Page5_GMC_MCI!C4</f>
        <v>NE PAS UTILISER</v>
      </c>
      <c r="C2386" s="1038" t="str">
        <f>OR_VEH!D253</f>
        <v>400-012</v>
      </c>
      <c r="D2386" s="803">
        <f>Page5_GMC_MCI!I4</f>
        <v>0</v>
      </c>
      <c r="E2386" s="803">
        <f>Page5_GMC_MCI!N4</f>
        <v>0</v>
      </c>
      <c r="F2386" t="str">
        <f t="shared" si="132"/>
        <v>01-00-400-012-GRSPFT-CURR</v>
      </c>
      <c r="G2386" t="s">
        <v>127</v>
      </c>
      <c r="H2386" t="s">
        <v>10287</v>
      </c>
      <c r="I2386" t="s">
        <v>10253</v>
      </c>
      <c r="K2386" s="1073" t="s">
        <v>10288</v>
      </c>
      <c r="L2386" s="789" t="s">
        <v>10241</v>
      </c>
      <c r="M2386" s="790" t="str">
        <f t="shared" ref="M2386:M2404" si="135">LEFT(C2386,3)</f>
        <v>400</v>
      </c>
      <c r="N2386" s="790" t="str">
        <f t="shared" ref="N2386:N2404" si="136">RIGHT(C2386,3)</f>
        <v>012</v>
      </c>
      <c r="O2386" s="790" t="s">
        <v>10467</v>
      </c>
      <c r="P2386" s="790" t="s">
        <v>10244</v>
      </c>
      <c r="R2386" s="30"/>
    </row>
    <row r="2387" spans="2:18">
      <c r="B2387" s="5" t="str">
        <f>Page5_GMC_MCI!C5</f>
        <v>NE PAS UTILISER</v>
      </c>
      <c r="C2387" s="1038" t="str">
        <f>OR_VEH!D254</f>
        <v>401-012</v>
      </c>
      <c r="D2387" s="803">
        <f>Page5_GMC_MCI!I5</f>
        <v>0</v>
      </c>
      <c r="E2387" s="803">
        <f>Page5_GMC_MCI!N5</f>
        <v>0</v>
      </c>
      <c r="F2387" t="str">
        <f t="shared" si="132"/>
        <v>01-00-401-012-GRSPFT-CURR</v>
      </c>
      <c r="G2387" t="s">
        <v>127</v>
      </c>
      <c r="H2387" t="s">
        <v>10287</v>
      </c>
      <c r="I2387" t="s">
        <v>10253</v>
      </c>
      <c r="K2387" s="1073" t="s">
        <v>10288</v>
      </c>
      <c r="L2387" s="789" t="s">
        <v>10241</v>
      </c>
      <c r="M2387" s="790" t="str">
        <f t="shared" si="135"/>
        <v>401</v>
      </c>
      <c r="N2387" s="790" t="str">
        <f t="shared" si="136"/>
        <v>012</v>
      </c>
      <c r="O2387" s="790" t="s">
        <v>10467</v>
      </c>
      <c r="P2387" s="790" t="s">
        <v>10244</v>
      </c>
      <c r="R2387" s="30"/>
    </row>
    <row r="2388" spans="2:18">
      <c r="B2388" s="5" t="str">
        <f>Page5_GMC_MCI!C6</f>
        <v>NE PAS UTILISER</v>
      </c>
      <c r="C2388" s="1038" t="str">
        <f>OR_VEH!D255</f>
        <v>402-012</v>
      </c>
      <c r="D2388" s="803">
        <f>Page5_GMC_MCI!I6</f>
        <v>0</v>
      </c>
      <c r="E2388" s="803">
        <f>Page5_GMC_MCI!N6</f>
        <v>0</v>
      </c>
      <c r="F2388" t="str">
        <f t="shared" si="132"/>
        <v>01-00-402-012-GRSPFT-CURR</v>
      </c>
      <c r="G2388" t="s">
        <v>127</v>
      </c>
      <c r="H2388" t="s">
        <v>10287</v>
      </c>
      <c r="I2388" t="s">
        <v>10253</v>
      </c>
      <c r="K2388" s="1073" t="s">
        <v>10288</v>
      </c>
      <c r="L2388" s="789" t="s">
        <v>10241</v>
      </c>
      <c r="M2388" s="790" t="str">
        <f t="shared" si="135"/>
        <v>402</v>
      </c>
      <c r="N2388" s="790" t="str">
        <f t="shared" si="136"/>
        <v>012</v>
      </c>
      <c r="O2388" s="790" t="s">
        <v>10467</v>
      </c>
      <c r="P2388" s="790" t="s">
        <v>10244</v>
      </c>
      <c r="R2388" s="30"/>
    </row>
    <row r="2389" spans="2:18">
      <c r="B2389" s="5" t="str">
        <f>Page5_GMC_MCI!C7</f>
        <v>NE PAS UTILISER</v>
      </c>
      <c r="C2389" s="1038" t="str">
        <f>OR_VEH!D256</f>
        <v>403-012</v>
      </c>
      <c r="D2389" s="803">
        <f>Page5_GMC_MCI!I7</f>
        <v>0</v>
      </c>
      <c r="E2389" s="803">
        <f>Page5_GMC_MCI!N7</f>
        <v>0</v>
      </c>
      <c r="F2389" t="str">
        <f t="shared" si="132"/>
        <v>01-00-403-012-GRSPFT-CURR</v>
      </c>
      <c r="G2389" t="s">
        <v>127</v>
      </c>
      <c r="H2389" t="s">
        <v>10287</v>
      </c>
      <c r="I2389" t="s">
        <v>10253</v>
      </c>
      <c r="K2389" s="1073" t="s">
        <v>10288</v>
      </c>
      <c r="L2389" s="789" t="s">
        <v>10241</v>
      </c>
      <c r="M2389" s="790" t="str">
        <f t="shared" si="135"/>
        <v>403</v>
      </c>
      <c r="N2389" s="790" t="str">
        <f t="shared" si="136"/>
        <v>012</v>
      </c>
      <c r="O2389" s="790" t="s">
        <v>10467</v>
      </c>
      <c r="P2389" s="790" t="s">
        <v>10244</v>
      </c>
      <c r="R2389" s="30"/>
    </row>
    <row r="2390" spans="2:18">
      <c r="B2390" s="5" t="str">
        <f>Page5_GMC_MCI!C8</f>
        <v>NE PAS UTILISER</v>
      </c>
      <c r="C2390" s="1038" t="str">
        <f>OR_VEH!D257</f>
        <v>404-012</v>
      </c>
      <c r="D2390" s="803">
        <f>Page5_GMC_MCI!I8</f>
        <v>0</v>
      </c>
      <c r="E2390" s="803">
        <f>Page5_GMC_MCI!N8</f>
        <v>0</v>
      </c>
      <c r="F2390" t="str">
        <f t="shared" si="132"/>
        <v>01-00-404-012-GRSPFT-CURR</v>
      </c>
      <c r="G2390" t="s">
        <v>127</v>
      </c>
      <c r="H2390" t="s">
        <v>10287</v>
      </c>
      <c r="I2390" t="s">
        <v>10253</v>
      </c>
      <c r="K2390" s="1073" t="s">
        <v>10288</v>
      </c>
      <c r="L2390" s="789" t="s">
        <v>10241</v>
      </c>
      <c r="M2390" s="790" t="str">
        <f t="shared" si="135"/>
        <v>404</v>
      </c>
      <c r="N2390" s="790" t="str">
        <f t="shared" si="136"/>
        <v>012</v>
      </c>
      <c r="O2390" s="790" t="s">
        <v>10467</v>
      </c>
      <c r="P2390" s="790" t="s">
        <v>10244</v>
      </c>
      <c r="R2390" s="30"/>
    </row>
    <row r="2391" spans="2:18">
      <c r="B2391" s="5" t="str">
        <f>Page5_GMC_MCI!C9</f>
        <v>NE PAS UTILISER</v>
      </c>
      <c r="C2391" s="1038" t="str">
        <f>OR_VEH!D258</f>
        <v>405-012</v>
      </c>
      <c r="D2391" s="803">
        <f>Page5_GMC_MCI!I9</f>
        <v>0</v>
      </c>
      <c r="E2391" s="803">
        <f>Page5_GMC_MCI!N9</f>
        <v>0</v>
      </c>
      <c r="F2391" t="str">
        <f t="shared" si="132"/>
        <v>01-00-405-012-GRSPFT-CURR</v>
      </c>
      <c r="G2391" t="s">
        <v>127</v>
      </c>
      <c r="H2391" t="s">
        <v>10287</v>
      </c>
      <c r="I2391" t="s">
        <v>10253</v>
      </c>
      <c r="K2391" s="1073" t="s">
        <v>10288</v>
      </c>
      <c r="L2391" s="789" t="s">
        <v>10241</v>
      </c>
      <c r="M2391" s="790" t="str">
        <f t="shared" si="135"/>
        <v>405</v>
      </c>
      <c r="N2391" s="790" t="str">
        <f t="shared" si="136"/>
        <v>012</v>
      </c>
      <c r="O2391" s="790" t="s">
        <v>10467</v>
      </c>
      <c r="P2391" s="790" t="s">
        <v>10244</v>
      </c>
      <c r="R2391" s="30"/>
    </row>
    <row r="2392" spans="2:18">
      <c r="B2392" s="5" t="str">
        <f>Page5_GMC_MCI!C10</f>
        <v>NE PAS UTILISER</v>
      </c>
      <c r="C2392" s="1038" t="str">
        <f>OR_VEH!D259</f>
        <v>406-012</v>
      </c>
      <c r="D2392" s="803">
        <f>Page5_GMC_MCI!I10</f>
        <v>0</v>
      </c>
      <c r="E2392" s="803">
        <f>Page5_GMC_MCI!N10</f>
        <v>0</v>
      </c>
      <c r="F2392" t="str">
        <f t="shared" si="132"/>
        <v>01-00-406-012-GRSPFT-CURR</v>
      </c>
      <c r="G2392" t="s">
        <v>127</v>
      </c>
      <c r="H2392" t="s">
        <v>10287</v>
      </c>
      <c r="I2392" t="s">
        <v>10253</v>
      </c>
      <c r="K2392" s="1073" t="s">
        <v>10288</v>
      </c>
      <c r="L2392" s="789" t="s">
        <v>10241</v>
      </c>
      <c r="M2392" s="790" t="str">
        <f t="shared" si="135"/>
        <v>406</v>
      </c>
      <c r="N2392" s="790" t="str">
        <f t="shared" si="136"/>
        <v>012</v>
      </c>
      <c r="O2392" s="790" t="s">
        <v>10467</v>
      </c>
      <c r="P2392" s="790" t="s">
        <v>10244</v>
      </c>
      <c r="R2392" s="30"/>
    </row>
    <row r="2393" spans="2:18">
      <c r="B2393" s="5" t="str">
        <f>Page5_GMC_MCI!C11</f>
        <v>NE PAS UTILISER</v>
      </c>
      <c r="C2393" s="1038" t="str">
        <f>OR_VEH!D260</f>
        <v>407-012</v>
      </c>
      <c r="D2393" s="803">
        <f>Page5_GMC_MCI!I11</f>
        <v>0</v>
      </c>
      <c r="E2393" s="803">
        <f>Page5_GMC_MCI!N11</f>
        <v>0</v>
      </c>
      <c r="F2393" t="str">
        <f t="shared" si="132"/>
        <v>01-00-407-012-GRSPFT-CURR</v>
      </c>
      <c r="G2393" t="s">
        <v>127</v>
      </c>
      <c r="H2393" t="s">
        <v>10287</v>
      </c>
      <c r="I2393" t="s">
        <v>10253</v>
      </c>
      <c r="K2393" s="1073" t="s">
        <v>10288</v>
      </c>
      <c r="L2393" s="789" t="s">
        <v>10241</v>
      </c>
      <c r="M2393" s="790" t="str">
        <f t="shared" si="135"/>
        <v>407</v>
      </c>
      <c r="N2393" s="790" t="str">
        <f t="shared" si="136"/>
        <v>012</v>
      </c>
      <c r="O2393" s="790" t="s">
        <v>10467</v>
      </c>
      <c r="P2393" s="790" t="s">
        <v>10244</v>
      </c>
      <c r="R2393" s="30"/>
    </row>
    <row r="2394" spans="2:18">
      <c r="B2394" s="5" t="str">
        <f>Page5_GMC_MCI!C12</f>
        <v>NE PAS UTILISER</v>
      </c>
      <c r="C2394" s="1038" t="str">
        <f>OR_VEH!D261</f>
        <v>408-012</v>
      </c>
      <c r="D2394" s="803">
        <f>Page5_GMC_MCI!I12</f>
        <v>0</v>
      </c>
      <c r="E2394" s="803">
        <f>Page5_GMC_MCI!N12</f>
        <v>0</v>
      </c>
      <c r="F2394" t="str">
        <f t="shared" si="132"/>
        <v>01-00-408-012-GRSPFT-CURR</v>
      </c>
      <c r="G2394" t="s">
        <v>127</v>
      </c>
      <c r="H2394" t="s">
        <v>10287</v>
      </c>
      <c r="I2394" t="s">
        <v>10253</v>
      </c>
      <c r="K2394" s="1073" t="s">
        <v>10288</v>
      </c>
      <c r="L2394" s="789" t="s">
        <v>10241</v>
      </c>
      <c r="M2394" s="790" t="str">
        <f t="shared" si="135"/>
        <v>408</v>
      </c>
      <c r="N2394" s="790" t="str">
        <f t="shared" si="136"/>
        <v>012</v>
      </c>
      <c r="O2394" s="790" t="s">
        <v>10467</v>
      </c>
      <c r="P2394" s="790" t="s">
        <v>10244</v>
      </c>
      <c r="R2394" s="30"/>
    </row>
    <row r="2395" spans="2:18">
      <c r="B2395" s="5" t="str">
        <f>Page5_GMC_MCI!C13</f>
        <v>NE PAS UTILISER</v>
      </c>
      <c r="C2395" s="1038" t="str">
        <f>OR_VEH!D262</f>
        <v>409-012</v>
      </c>
      <c r="D2395" s="803">
        <f>Page5_GMC_MCI!I13</f>
        <v>0</v>
      </c>
      <c r="E2395" s="803">
        <f>Page5_GMC_MCI!N13</f>
        <v>0</v>
      </c>
      <c r="F2395" t="str">
        <f t="shared" si="132"/>
        <v>01-00-409-012-GRSPFT-CURR</v>
      </c>
      <c r="G2395" t="s">
        <v>127</v>
      </c>
      <c r="H2395" t="s">
        <v>10287</v>
      </c>
      <c r="I2395" t="s">
        <v>10253</v>
      </c>
      <c r="K2395" s="1073" t="s">
        <v>10288</v>
      </c>
      <c r="L2395" s="789" t="s">
        <v>10241</v>
      </c>
      <c r="M2395" s="790" t="str">
        <f t="shared" si="135"/>
        <v>409</v>
      </c>
      <c r="N2395" s="790" t="str">
        <f t="shared" si="136"/>
        <v>012</v>
      </c>
      <c r="O2395" s="790" t="s">
        <v>10467</v>
      </c>
      <c r="P2395" s="790" t="s">
        <v>10244</v>
      </c>
      <c r="R2395" s="30"/>
    </row>
    <row r="2396" spans="2:18">
      <c r="B2396" s="5" t="str">
        <f>Page5_GMC_MCI!C14</f>
        <v>NE PAS UTILISER</v>
      </c>
      <c r="C2396" s="1038" t="str">
        <f>OR_VEH!D263</f>
        <v>410-012</v>
      </c>
      <c r="D2396" s="803">
        <f>Page5_GMC_MCI!I14</f>
        <v>0</v>
      </c>
      <c r="E2396" s="803">
        <f>Page5_GMC_MCI!N14</f>
        <v>0</v>
      </c>
      <c r="F2396" t="str">
        <f t="shared" si="132"/>
        <v>01-00-410-012-GRSPFT-CURR</v>
      </c>
      <c r="G2396" t="s">
        <v>127</v>
      </c>
      <c r="H2396" t="s">
        <v>10287</v>
      </c>
      <c r="I2396" t="s">
        <v>10253</v>
      </c>
      <c r="K2396" s="1073" t="s">
        <v>10288</v>
      </c>
      <c r="L2396" s="789" t="s">
        <v>10241</v>
      </c>
      <c r="M2396" s="790" t="str">
        <f t="shared" si="135"/>
        <v>410</v>
      </c>
      <c r="N2396" s="790" t="str">
        <f t="shared" si="136"/>
        <v>012</v>
      </c>
      <c r="O2396" s="790" t="s">
        <v>10467</v>
      </c>
      <c r="P2396" s="790" t="s">
        <v>10244</v>
      </c>
      <c r="R2396" s="30"/>
    </row>
    <row r="2397" spans="2:18">
      <c r="B2397" s="5" t="str">
        <f>Page5_GMC_MCI!C15</f>
        <v>NE PAS UTILISER</v>
      </c>
      <c r="C2397" s="1038" t="str">
        <f>OR_VEH!D264</f>
        <v>411-012</v>
      </c>
      <c r="D2397" s="803">
        <f>Page5_GMC_MCI!I15</f>
        <v>0</v>
      </c>
      <c r="E2397" s="803">
        <f>Page5_GMC_MCI!N15</f>
        <v>0</v>
      </c>
      <c r="F2397" t="str">
        <f t="shared" si="132"/>
        <v>01-00-411-012-GRSPFT-CURR</v>
      </c>
      <c r="G2397" t="s">
        <v>127</v>
      </c>
      <c r="H2397" t="s">
        <v>10287</v>
      </c>
      <c r="I2397" t="s">
        <v>10253</v>
      </c>
      <c r="K2397" s="1073" t="s">
        <v>10288</v>
      </c>
      <c r="L2397" s="789" t="s">
        <v>10241</v>
      </c>
      <c r="M2397" s="790" t="str">
        <f t="shared" si="135"/>
        <v>411</v>
      </c>
      <c r="N2397" s="790" t="str">
        <f t="shared" si="136"/>
        <v>012</v>
      </c>
      <c r="O2397" s="790" t="s">
        <v>10467</v>
      </c>
      <c r="P2397" s="790" t="s">
        <v>10244</v>
      </c>
      <c r="R2397" s="30"/>
    </row>
    <row r="2398" spans="2:18">
      <c r="B2398" s="5" t="str">
        <f>Page5_GMC_MCI!C16</f>
        <v>NE PAS UTILISER</v>
      </c>
      <c r="C2398" s="1038" t="str">
        <f>OR_VEH!D265</f>
        <v>412-012</v>
      </c>
      <c r="D2398" s="803">
        <f>Page5_GMC_MCI!I16</f>
        <v>0</v>
      </c>
      <c r="E2398" s="803">
        <f>Page5_GMC_MCI!N16</f>
        <v>0</v>
      </c>
      <c r="F2398" t="str">
        <f t="shared" si="132"/>
        <v>01-00-412-012-GRSPFT-CURR</v>
      </c>
      <c r="G2398" t="s">
        <v>127</v>
      </c>
      <c r="H2398" t="s">
        <v>10287</v>
      </c>
      <c r="I2398" t="s">
        <v>10253</v>
      </c>
      <c r="K2398" s="1073" t="s">
        <v>10288</v>
      </c>
      <c r="L2398" s="789" t="s">
        <v>10241</v>
      </c>
      <c r="M2398" s="790" t="str">
        <f t="shared" si="135"/>
        <v>412</v>
      </c>
      <c r="N2398" s="790" t="str">
        <f t="shared" si="136"/>
        <v>012</v>
      </c>
      <c r="O2398" s="790" t="s">
        <v>10467</v>
      </c>
      <c r="P2398" s="790" t="s">
        <v>10244</v>
      </c>
      <c r="R2398" s="30"/>
    </row>
    <row r="2399" spans="2:18">
      <c r="B2399" s="5" t="str">
        <f>Page5_GMC_MCI!C17</f>
        <v>NE PAS UTILISER</v>
      </c>
      <c r="C2399" s="1038" t="str">
        <f>OR_VEH!D266</f>
        <v>413-012</v>
      </c>
      <c r="D2399" s="803">
        <f>Page5_GMC_MCI!I17</f>
        <v>0</v>
      </c>
      <c r="E2399" s="803">
        <f>Page5_GMC_MCI!N17</f>
        <v>0</v>
      </c>
      <c r="F2399" t="str">
        <f t="shared" si="132"/>
        <v>01-00-413-012-GRSPFT-CURR</v>
      </c>
      <c r="G2399" t="s">
        <v>127</v>
      </c>
      <c r="H2399" t="s">
        <v>10287</v>
      </c>
      <c r="I2399" t="s">
        <v>10253</v>
      </c>
      <c r="K2399" s="1073" t="s">
        <v>10288</v>
      </c>
      <c r="L2399" s="789" t="s">
        <v>10241</v>
      </c>
      <c r="M2399" s="790" t="str">
        <f t="shared" si="135"/>
        <v>413</v>
      </c>
      <c r="N2399" s="790" t="str">
        <f t="shared" si="136"/>
        <v>012</v>
      </c>
      <c r="O2399" s="790" t="s">
        <v>10467</v>
      </c>
      <c r="P2399" s="790" t="s">
        <v>10244</v>
      </c>
      <c r="R2399" s="30"/>
    </row>
    <row r="2400" spans="2:18">
      <c r="B2400" s="5" t="str">
        <f>Page5_GMC_MCI!C18</f>
        <v>NE PAS UTILISER</v>
      </c>
      <c r="C2400" s="1038" t="str">
        <f>OR_VEH!D267</f>
        <v>414-012</v>
      </c>
      <c r="D2400" s="803">
        <f>Page5_GMC_MCI!I18</f>
        <v>0</v>
      </c>
      <c r="E2400" s="803">
        <f>Page5_GMC_MCI!N18</f>
        <v>0</v>
      </c>
      <c r="F2400" t="str">
        <f t="shared" si="132"/>
        <v>01-00-414-012-GRSPFT-CURR</v>
      </c>
      <c r="G2400" t="s">
        <v>127</v>
      </c>
      <c r="H2400" t="s">
        <v>10287</v>
      </c>
      <c r="I2400" t="s">
        <v>10253</v>
      </c>
      <c r="K2400" s="1073" t="s">
        <v>10288</v>
      </c>
      <c r="L2400" s="789" t="s">
        <v>10241</v>
      </c>
      <c r="M2400" s="790" t="str">
        <f t="shared" si="135"/>
        <v>414</v>
      </c>
      <c r="N2400" s="790" t="str">
        <f t="shared" si="136"/>
        <v>012</v>
      </c>
      <c r="O2400" s="790" t="s">
        <v>10467</v>
      </c>
      <c r="P2400" s="790" t="s">
        <v>10244</v>
      </c>
      <c r="R2400" s="30"/>
    </row>
    <row r="2401" spans="2:18">
      <c r="B2401" s="5" t="str">
        <f>Page5_GMC_MCI!C19</f>
        <v>NE PAS UTILISER</v>
      </c>
      <c r="C2401" s="1038" t="str">
        <f>OR_VEH!D268</f>
        <v>415-012</v>
      </c>
      <c r="D2401" s="803">
        <f>Page5_GMC_MCI!I19</f>
        <v>0</v>
      </c>
      <c r="E2401" s="803">
        <f>Page5_GMC_MCI!N19</f>
        <v>0</v>
      </c>
      <c r="F2401" t="str">
        <f t="shared" si="132"/>
        <v>01-00-415-012-GRSPFT-CURR</v>
      </c>
      <c r="G2401" t="s">
        <v>127</v>
      </c>
      <c r="H2401" t="s">
        <v>10287</v>
      </c>
      <c r="I2401" t="s">
        <v>10253</v>
      </c>
      <c r="K2401" s="1073" t="s">
        <v>10288</v>
      </c>
      <c r="L2401" s="789" t="s">
        <v>10241</v>
      </c>
      <c r="M2401" s="790" t="str">
        <f t="shared" si="135"/>
        <v>415</v>
      </c>
      <c r="N2401" s="790" t="str">
        <f t="shared" si="136"/>
        <v>012</v>
      </c>
      <c r="O2401" s="790" t="s">
        <v>10467</v>
      </c>
      <c r="P2401" s="790" t="s">
        <v>10244</v>
      </c>
      <c r="R2401" s="30"/>
    </row>
    <row r="2402" spans="2:18">
      <c r="B2402" s="5" t="str">
        <f>Page5_GMC_MCI!C20</f>
        <v>POUR USAGE FUTUR</v>
      </c>
      <c r="C2402" s="1038" t="str">
        <f>OR_VEH!D269</f>
        <v>416-012</v>
      </c>
      <c r="D2402" s="803">
        <f>Page5_GMC_MCI!I20</f>
        <v>0</v>
      </c>
      <c r="E2402" s="803">
        <f>Page5_GMC_MCI!N20</f>
        <v>0</v>
      </c>
      <c r="F2402" t="str">
        <f t="shared" si="132"/>
        <v>01-00-416-012-GRSPFT-CURR</v>
      </c>
      <c r="G2402" t="s">
        <v>127</v>
      </c>
      <c r="H2402" t="s">
        <v>10287</v>
      </c>
      <c r="I2402" t="s">
        <v>10253</v>
      </c>
      <c r="K2402" s="1073" t="s">
        <v>10288</v>
      </c>
      <c r="L2402" s="789" t="s">
        <v>10241</v>
      </c>
      <c r="M2402" s="790" t="str">
        <f t="shared" si="135"/>
        <v>416</v>
      </c>
      <c r="N2402" s="790" t="str">
        <f t="shared" si="136"/>
        <v>012</v>
      </c>
      <c r="O2402" s="790" t="s">
        <v>10467</v>
      </c>
      <c r="P2402" s="790" t="s">
        <v>10244</v>
      </c>
      <c r="R2402" s="30"/>
    </row>
    <row r="2403" spans="2:18">
      <c r="B2403" s="5" t="str">
        <f>Page5_GMC_MCI!C21</f>
        <v>NE PAS UTILISER</v>
      </c>
      <c r="C2403" s="1038" t="str">
        <f>OR_VEH!D270</f>
        <v>417-012</v>
      </c>
      <c r="D2403" s="803">
        <f>Page5_GMC_MCI!I21</f>
        <v>0</v>
      </c>
      <c r="E2403" s="803">
        <f>Page5_GMC_MCI!N21</f>
        <v>0</v>
      </c>
      <c r="F2403" t="str">
        <f t="shared" si="132"/>
        <v>01-00-417-012-GRSPFT-CURR</v>
      </c>
      <c r="G2403" t="s">
        <v>127</v>
      </c>
      <c r="H2403" t="s">
        <v>10287</v>
      </c>
      <c r="I2403" t="s">
        <v>10253</v>
      </c>
      <c r="K2403" s="1073" t="s">
        <v>10288</v>
      </c>
      <c r="L2403" s="789" t="s">
        <v>10241</v>
      </c>
      <c r="M2403" s="790" t="str">
        <f t="shared" si="135"/>
        <v>417</v>
      </c>
      <c r="N2403" s="790" t="str">
        <f t="shared" si="136"/>
        <v>012</v>
      </c>
      <c r="O2403" s="790" t="s">
        <v>10467</v>
      </c>
      <c r="P2403" s="790" t="s">
        <v>10244</v>
      </c>
      <c r="R2403" s="30"/>
    </row>
    <row r="2404" spans="2:18">
      <c r="B2404" s="5" t="str">
        <f>Page5_GMC_MCI!C22</f>
        <v>AUTRES GMC</v>
      </c>
      <c r="C2404" s="1038" t="str">
        <f>OR_VEH!D271</f>
        <v>418-012</v>
      </c>
      <c r="D2404" s="803">
        <f>Page5_GMC_MCI!I22</f>
        <v>0</v>
      </c>
      <c r="E2404" s="803">
        <f>Page5_GMC_MCI!N22</f>
        <v>0</v>
      </c>
      <c r="F2404" t="str">
        <f t="shared" si="132"/>
        <v>01-00-418-012-GRSPFT-CURR</v>
      </c>
      <c r="G2404" t="s">
        <v>127</v>
      </c>
      <c r="H2404" t="s">
        <v>10287</v>
      </c>
      <c r="I2404" t="s">
        <v>10253</v>
      </c>
      <c r="K2404" s="1073" t="s">
        <v>10288</v>
      </c>
      <c r="L2404" s="789" t="s">
        <v>10241</v>
      </c>
      <c r="M2404" s="790" t="str">
        <f t="shared" si="135"/>
        <v>418</v>
      </c>
      <c r="N2404" s="790" t="str">
        <f t="shared" si="136"/>
        <v>012</v>
      </c>
      <c r="O2404" s="790" t="s">
        <v>10467</v>
      </c>
      <c r="P2404" s="790" t="s">
        <v>10244</v>
      </c>
      <c r="R2404" s="30"/>
    </row>
    <row r="2405" spans="2:18">
      <c r="B2405" s="27" t="s">
        <v>12180</v>
      </c>
      <c r="C2405" s="1042"/>
      <c r="D2405" s="803">
        <f>Page5_GMC_MCI!I23</f>
        <v>0</v>
      </c>
      <c r="E2405" s="803">
        <f>Page5_GMC_MCI!N23</f>
        <v>0</v>
      </c>
      <c r="F2405" t="str">
        <f t="shared" si="132"/>
        <v>01-00-RTLCAR5F-GRSPFT-CURR</v>
      </c>
      <c r="G2405" t="s">
        <v>127</v>
      </c>
      <c r="H2405" t="s">
        <v>10287</v>
      </c>
      <c r="I2405" t="s">
        <v>10253</v>
      </c>
      <c r="J2405" t="s">
        <v>10268</v>
      </c>
      <c r="K2405" s="1073" t="s">
        <v>10288</v>
      </c>
      <c r="L2405" s="789" t="s">
        <v>10241</v>
      </c>
      <c r="M2405" s="790" t="s">
        <v>10345</v>
      </c>
      <c r="O2405" s="790" t="s">
        <v>10467</v>
      </c>
      <c r="P2405" s="790" t="s">
        <v>10244</v>
      </c>
      <c r="Q2405" s="791" t="s">
        <v>773</v>
      </c>
    </row>
    <row r="2406" spans="2:18">
      <c r="B2406" s="5" t="str">
        <f>Page5_GMC_MCI!C24</f>
        <v>MÉMO* VENTES INTERNET VOITURES</v>
      </c>
      <c r="C2406" s="1038" t="str">
        <f>OR_VEH!D273</f>
        <v>419P5F</v>
      </c>
      <c r="D2406" s="803">
        <f>Page5_GMC_MCI!I24</f>
        <v>0</v>
      </c>
      <c r="E2406" s="803">
        <f>Page5_GMC_MCI!N24</f>
        <v>0</v>
      </c>
      <c r="F2406" t="str">
        <f t="shared" si="132"/>
        <v>01-00-419P5F-GRSPFT-CURR</v>
      </c>
      <c r="G2406" t="s">
        <v>127</v>
      </c>
      <c r="H2406" t="s">
        <v>10287</v>
      </c>
      <c r="I2406" t="s">
        <v>10253</v>
      </c>
      <c r="K2406" s="1073" t="s">
        <v>10288</v>
      </c>
      <c r="L2406" s="789" t="s">
        <v>10241</v>
      </c>
      <c r="M2406" s="855" t="str">
        <f>C2406</f>
        <v>419P5F</v>
      </c>
      <c r="N2406" s="855"/>
      <c r="O2406" s="790" t="s">
        <v>10467</v>
      </c>
      <c r="P2406" s="790" t="s">
        <v>10244</v>
      </c>
      <c r="R2406" s="30"/>
    </row>
    <row r="2407" spans="2:18">
      <c r="B2407" s="5" t="str">
        <f>Page5_GMC_MCI!C25</f>
        <v>TOTAL PARCS - VOITURES</v>
      </c>
      <c r="C2407" s="1038" t="str">
        <f>OR_VEH!D274</f>
        <v>420P5F</v>
      </c>
      <c r="D2407" s="803">
        <f>Page5_GMC_MCI!I25</f>
        <v>0</v>
      </c>
      <c r="E2407" s="803">
        <f>Page5_GMC_MCI!N25</f>
        <v>0</v>
      </c>
      <c r="F2407" t="str">
        <f t="shared" si="132"/>
        <v>01-00-420P5F-GRSPFT-CURR</v>
      </c>
      <c r="G2407" t="s">
        <v>127</v>
      </c>
      <c r="H2407" t="s">
        <v>10287</v>
      </c>
      <c r="I2407" t="s">
        <v>10253</v>
      </c>
      <c r="K2407" s="1073" t="s">
        <v>10288</v>
      </c>
      <c r="L2407" s="789" t="s">
        <v>10241</v>
      </c>
      <c r="M2407" s="855" t="str">
        <f>C2407</f>
        <v>420P5F</v>
      </c>
      <c r="N2407" s="855"/>
      <c r="O2407" s="790" t="s">
        <v>10467</v>
      </c>
      <c r="P2407" s="790" t="s">
        <v>10244</v>
      </c>
      <c r="R2407" s="30"/>
    </row>
    <row r="2408" spans="2:18">
      <c r="B2408" s="5" t="str">
        <f>Page5_GMC_MCI!C26</f>
        <v>TOTAL INTERNE - VOITURES</v>
      </c>
      <c r="C2408" s="1038" t="str">
        <f>OR_VEH!D275</f>
        <v>421P5F</v>
      </c>
      <c r="D2408" s="803">
        <f>Page5_GMC_MCI!I26</f>
        <v>0</v>
      </c>
      <c r="E2408" s="803">
        <f>Page5_GMC_MCI!N26</f>
        <v>0</v>
      </c>
      <c r="F2408" t="str">
        <f t="shared" si="132"/>
        <v>01-00-421P5F-GRSPFT-CURR</v>
      </c>
      <c r="G2408" t="s">
        <v>127</v>
      </c>
      <c r="H2408" t="s">
        <v>10287</v>
      </c>
      <c r="I2408" t="s">
        <v>10253</v>
      </c>
      <c r="K2408" s="1073" t="s">
        <v>10288</v>
      </c>
      <c r="L2408" s="789" t="s">
        <v>10241</v>
      </c>
      <c r="M2408" s="855" t="str">
        <f>C2408</f>
        <v>421P5F</v>
      </c>
      <c r="N2408" s="855"/>
      <c r="O2408" s="790" t="s">
        <v>10467</v>
      </c>
      <c r="P2408" s="790" t="s">
        <v>10244</v>
      </c>
      <c r="R2408" s="30"/>
    </row>
    <row r="2409" spans="2:18">
      <c r="B2409" s="27" t="s">
        <v>12181</v>
      </c>
      <c r="C2409" s="1042"/>
      <c r="D2409" s="803">
        <f>Page5_GMC_MCI!I27</f>
        <v>0</v>
      </c>
      <c r="E2409" s="803">
        <f>Page5_GMC_MCI!N27</f>
        <v>0</v>
      </c>
      <c r="F2409" t="str">
        <f t="shared" si="132"/>
        <v>01-00-TOTCAR5F-GRSPFT-CURR</v>
      </c>
      <c r="G2409" t="s">
        <v>127</v>
      </c>
      <c r="H2409" t="s">
        <v>10287</v>
      </c>
      <c r="I2409" t="s">
        <v>10253</v>
      </c>
      <c r="J2409" t="s">
        <v>10268</v>
      </c>
      <c r="K2409" s="1073" t="s">
        <v>10288</v>
      </c>
      <c r="L2409" s="789" t="s">
        <v>10241</v>
      </c>
      <c r="M2409" s="790" t="s">
        <v>10347</v>
      </c>
      <c r="O2409" s="790" t="s">
        <v>10467</v>
      </c>
      <c r="P2409" s="790" t="s">
        <v>10244</v>
      </c>
      <c r="Q2409" s="791" t="s">
        <v>773</v>
      </c>
    </row>
    <row r="2410" spans="2:18">
      <c r="B2410" s="5" t="str">
        <f>Page5_GMC_MCI!C28</f>
        <v>NE PAS UTILISER</v>
      </c>
      <c r="C2410" s="1038" t="str">
        <f>OR_VEH!D277</f>
        <v>423-012</v>
      </c>
      <c r="D2410" s="803">
        <f>Page5_GMC_MCI!I28</f>
        <v>0</v>
      </c>
      <c r="E2410" s="803">
        <f>Page5_GMC_MCI!N28</f>
        <v>0</v>
      </c>
      <c r="F2410" t="str">
        <f t="shared" si="132"/>
        <v>01-00-423-012-GRSPFT-CURR</v>
      </c>
      <c r="G2410" t="s">
        <v>127</v>
      </c>
      <c r="H2410" t="s">
        <v>10287</v>
      </c>
      <c r="I2410" t="s">
        <v>10253</v>
      </c>
      <c r="K2410" s="1073" t="s">
        <v>10288</v>
      </c>
      <c r="L2410" s="789" t="s">
        <v>10241</v>
      </c>
      <c r="M2410" s="790" t="str">
        <f t="shared" ref="M2410:M2425" si="137">LEFT(C2410,3)</f>
        <v>423</v>
      </c>
      <c r="N2410" s="790" t="str">
        <f t="shared" ref="N2410:N2425" si="138">RIGHT(C2410,3)</f>
        <v>012</v>
      </c>
      <c r="O2410" s="790" t="s">
        <v>10467</v>
      </c>
      <c r="P2410" s="790" t="s">
        <v>10244</v>
      </c>
      <c r="R2410" s="30"/>
    </row>
    <row r="2411" spans="2:18">
      <c r="B2411" s="5" t="str">
        <f>Page5_GMC_MCI!C29</f>
        <v>TERRAIN</v>
      </c>
      <c r="C2411" s="1038" t="str">
        <f>OR_VEH!D278</f>
        <v>424-012</v>
      </c>
      <c r="D2411" s="803">
        <f>Page5_GMC_MCI!I29</f>
        <v>0</v>
      </c>
      <c r="E2411" s="803">
        <f>Page5_GMC_MCI!N29</f>
        <v>3029</v>
      </c>
      <c r="F2411" t="str">
        <f t="shared" si="132"/>
        <v>01-00-424-012-GRSPFT-CURR</v>
      </c>
      <c r="G2411" t="s">
        <v>127</v>
      </c>
      <c r="H2411" t="s">
        <v>10287</v>
      </c>
      <c r="I2411" t="s">
        <v>10253</v>
      </c>
      <c r="K2411" s="1073" t="s">
        <v>10288</v>
      </c>
      <c r="L2411" s="789" t="s">
        <v>10241</v>
      </c>
      <c r="M2411" s="790" t="str">
        <f t="shared" si="137"/>
        <v>424</v>
      </c>
      <c r="N2411" s="790" t="str">
        <f t="shared" si="138"/>
        <v>012</v>
      </c>
      <c r="O2411" s="790" t="s">
        <v>10467</v>
      </c>
      <c r="P2411" s="790" t="s">
        <v>10244</v>
      </c>
      <c r="R2411" s="30"/>
    </row>
    <row r="2412" spans="2:18">
      <c r="B2412" s="5" t="str">
        <f>Page5_GMC_MCI!C30</f>
        <v>SAVANA</v>
      </c>
      <c r="C2412" s="1038" t="str">
        <f>OR_VEH!D279</f>
        <v>425-012</v>
      </c>
      <c r="D2412" s="803">
        <f>Page5_GMC_MCI!I30</f>
        <v>0</v>
      </c>
      <c r="E2412" s="803">
        <f>Page5_GMC_MCI!N30</f>
        <v>0</v>
      </c>
      <c r="F2412" t="str">
        <f t="shared" si="132"/>
        <v>01-00-425-012-GRSPFT-CURR</v>
      </c>
      <c r="G2412" t="s">
        <v>127</v>
      </c>
      <c r="H2412" t="s">
        <v>10287</v>
      </c>
      <c r="I2412" t="s">
        <v>10253</v>
      </c>
      <c r="K2412" s="1073" t="s">
        <v>10288</v>
      </c>
      <c r="L2412" s="789" t="s">
        <v>10241</v>
      </c>
      <c r="M2412" s="790" t="str">
        <f t="shared" si="137"/>
        <v>425</v>
      </c>
      <c r="N2412" s="790" t="str">
        <f t="shared" si="138"/>
        <v>012</v>
      </c>
      <c r="O2412" s="790" t="s">
        <v>10467</v>
      </c>
      <c r="P2412" s="790" t="s">
        <v>10244</v>
      </c>
      <c r="R2412" s="30"/>
    </row>
    <row r="2413" spans="2:18">
      <c r="B2413" s="5" t="str">
        <f>Page5_GMC_MCI!C31</f>
        <v>CANYON</v>
      </c>
      <c r="C2413" s="1038" t="str">
        <f>OR_VEH!D280</f>
        <v>426-012</v>
      </c>
      <c r="D2413" s="803">
        <f>Page5_GMC_MCI!I31</f>
        <v>-500</v>
      </c>
      <c r="E2413" s="803">
        <f>Page5_GMC_MCI!N31</f>
        <v>11485</v>
      </c>
      <c r="F2413" t="str">
        <f t="shared" si="132"/>
        <v>01-00-426-012-GRSPFT-CURR</v>
      </c>
      <c r="G2413" t="s">
        <v>127</v>
      </c>
      <c r="H2413" t="s">
        <v>10287</v>
      </c>
      <c r="I2413" t="s">
        <v>10253</v>
      </c>
      <c r="K2413" s="1073" t="s">
        <v>10288</v>
      </c>
      <c r="L2413" s="789" t="s">
        <v>10241</v>
      </c>
      <c r="M2413" s="790" t="str">
        <f t="shared" si="137"/>
        <v>426</v>
      </c>
      <c r="N2413" s="790" t="str">
        <f t="shared" si="138"/>
        <v>012</v>
      </c>
      <c r="O2413" s="790" t="s">
        <v>10467</v>
      </c>
      <c r="P2413" s="790" t="s">
        <v>10244</v>
      </c>
      <c r="R2413" s="30"/>
    </row>
    <row r="2414" spans="2:18">
      <c r="B2414" s="5" t="str">
        <f>Page5_GMC_MCI!C32</f>
        <v>NE PAS UTILISER</v>
      </c>
      <c r="C2414" s="1038" t="str">
        <f>OR_VEH!D281</f>
        <v>427-012</v>
      </c>
      <c r="D2414" s="803">
        <f>Page5_GMC_MCI!I32</f>
        <v>0</v>
      </c>
      <c r="E2414" s="803">
        <f>Page5_GMC_MCI!N32</f>
        <v>0</v>
      </c>
      <c r="F2414" t="str">
        <f t="shared" si="132"/>
        <v>01-00-427-012-GRSPFT-CURR</v>
      </c>
      <c r="G2414" t="s">
        <v>127</v>
      </c>
      <c r="H2414" t="s">
        <v>10287</v>
      </c>
      <c r="I2414" t="s">
        <v>10253</v>
      </c>
      <c r="K2414" s="1073" t="s">
        <v>10288</v>
      </c>
      <c r="L2414" s="789" t="s">
        <v>10241</v>
      </c>
      <c r="M2414" s="790" t="str">
        <f t="shared" si="137"/>
        <v>427</v>
      </c>
      <c r="N2414" s="790" t="str">
        <f t="shared" si="138"/>
        <v>012</v>
      </c>
      <c r="O2414" s="790" t="s">
        <v>10467</v>
      </c>
      <c r="P2414" s="790" t="s">
        <v>10244</v>
      </c>
      <c r="R2414" s="30"/>
    </row>
    <row r="2415" spans="2:18">
      <c r="B2415" s="5" t="str">
        <f>Page5_GMC_MCI!C33</f>
        <v>NE PAS UTILISER</v>
      </c>
      <c r="C2415" s="1038" t="str">
        <f>OR_VEH!D282</f>
        <v>428-012</v>
      </c>
      <c r="D2415" s="803">
        <f>Page5_GMC_MCI!I33</f>
        <v>0</v>
      </c>
      <c r="E2415" s="803">
        <f>Page5_GMC_MCI!N33</f>
        <v>0</v>
      </c>
      <c r="F2415" t="str">
        <f t="shared" si="132"/>
        <v>01-00-428-012-GRSPFT-CURR</v>
      </c>
      <c r="G2415" t="s">
        <v>127</v>
      </c>
      <c r="H2415" t="s">
        <v>10287</v>
      </c>
      <c r="I2415" t="s">
        <v>10253</v>
      </c>
      <c r="K2415" s="1073" t="s">
        <v>10288</v>
      </c>
      <c r="L2415" s="789" t="s">
        <v>10241</v>
      </c>
      <c r="M2415" s="790" t="str">
        <f t="shared" si="137"/>
        <v>428</v>
      </c>
      <c r="N2415" s="790" t="str">
        <f t="shared" si="138"/>
        <v>012</v>
      </c>
      <c r="O2415" s="790" t="s">
        <v>10467</v>
      </c>
      <c r="P2415" s="790" t="s">
        <v>10244</v>
      </c>
      <c r="R2415" s="30"/>
    </row>
    <row r="2416" spans="2:18">
      <c r="B2416" s="5" t="str">
        <f>Page5_GMC_MCI!C34</f>
        <v>NE PAS UTILISER</v>
      </c>
      <c r="C2416" s="1038" t="str">
        <f>OR_VEH!D283</f>
        <v>429-012</v>
      </c>
      <c r="D2416" s="803">
        <f>Page5_GMC_MCI!I34</f>
        <v>0</v>
      </c>
      <c r="E2416" s="803">
        <f>Page5_GMC_MCI!N34</f>
        <v>0</v>
      </c>
      <c r="F2416" t="str">
        <f t="shared" si="132"/>
        <v>01-00-429-012-GRSPFT-CURR</v>
      </c>
      <c r="G2416" t="s">
        <v>127</v>
      </c>
      <c r="H2416" t="s">
        <v>10287</v>
      </c>
      <c r="I2416" t="s">
        <v>10253</v>
      </c>
      <c r="K2416" s="1073" t="s">
        <v>10288</v>
      </c>
      <c r="L2416" s="789" t="s">
        <v>10241</v>
      </c>
      <c r="M2416" s="790" t="str">
        <f t="shared" si="137"/>
        <v>429</v>
      </c>
      <c r="N2416" s="790" t="str">
        <f t="shared" si="138"/>
        <v>012</v>
      </c>
      <c r="O2416" s="790" t="s">
        <v>10467</v>
      </c>
      <c r="P2416" s="790" t="s">
        <v>10244</v>
      </c>
      <c r="R2416" s="30"/>
    </row>
    <row r="2417" spans="2:18">
      <c r="B2417" s="5" t="str">
        <f>Page5_GMC_MCI!C35</f>
        <v>YUKON/XL</v>
      </c>
      <c r="C2417" s="1038" t="str">
        <f>OR_VEH!D284</f>
        <v>430-012</v>
      </c>
      <c r="D2417" s="803">
        <f>Page5_GMC_MCI!I35</f>
        <v>0</v>
      </c>
      <c r="E2417" s="803">
        <f>Page5_GMC_MCI!N35</f>
        <v>7595</v>
      </c>
      <c r="F2417" t="str">
        <f t="shared" si="132"/>
        <v>01-00-430-012-GRSPFT-CURR</v>
      </c>
      <c r="G2417" t="s">
        <v>127</v>
      </c>
      <c r="H2417" t="s">
        <v>10287</v>
      </c>
      <c r="I2417" t="s">
        <v>10253</v>
      </c>
      <c r="K2417" s="1073" t="s">
        <v>10288</v>
      </c>
      <c r="L2417" s="789" t="s">
        <v>10241</v>
      </c>
      <c r="M2417" s="790" t="str">
        <f t="shared" si="137"/>
        <v>430</v>
      </c>
      <c r="N2417" s="790" t="str">
        <f t="shared" si="138"/>
        <v>012</v>
      </c>
      <c r="O2417" s="790" t="s">
        <v>10467</v>
      </c>
      <c r="P2417" s="790" t="s">
        <v>10244</v>
      </c>
      <c r="R2417" s="30"/>
    </row>
    <row r="2418" spans="2:18">
      <c r="B2418" s="5" t="str">
        <f>Page5_GMC_MCI!C36</f>
        <v>LD 1500 SIERRA</v>
      </c>
      <c r="C2418" s="1038" t="str">
        <f>OR_VEH!D285</f>
        <v>431-012</v>
      </c>
      <c r="D2418" s="803">
        <f>Page5_GMC_MCI!I36</f>
        <v>18202</v>
      </c>
      <c r="E2418" s="803">
        <f>Page5_GMC_MCI!N36</f>
        <v>93245</v>
      </c>
      <c r="F2418" t="str">
        <f t="shared" si="132"/>
        <v>01-00-431-012-GRSPFT-CURR</v>
      </c>
      <c r="G2418" t="s">
        <v>127</v>
      </c>
      <c r="H2418" t="s">
        <v>10287</v>
      </c>
      <c r="I2418" t="s">
        <v>10253</v>
      </c>
      <c r="K2418" s="1073" t="s">
        <v>10288</v>
      </c>
      <c r="L2418" s="789" t="s">
        <v>10241</v>
      </c>
      <c r="M2418" s="790" t="str">
        <f t="shared" si="137"/>
        <v>431</v>
      </c>
      <c r="N2418" s="790" t="str">
        <f t="shared" si="138"/>
        <v>012</v>
      </c>
      <c r="O2418" s="790" t="s">
        <v>10467</v>
      </c>
      <c r="P2418" s="790" t="s">
        <v>10244</v>
      </c>
      <c r="R2418" s="30"/>
    </row>
    <row r="2419" spans="2:18">
      <c r="B2419" s="5" t="str">
        <f>Page5_GMC_MCI!C37</f>
        <v>LD 2500 SIERRA</v>
      </c>
      <c r="C2419" s="1038" t="str">
        <f>OR_VEH!D286</f>
        <v>432-012</v>
      </c>
      <c r="D2419" s="803">
        <f>Page5_GMC_MCI!I37</f>
        <v>21596</v>
      </c>
      <c r="E2419" s="803">
        <f>Page5_GMC_MCI!N37</f>
        <v>55219</v>
      </c>
      <c r="F2419" t="str">
        <f t="shared" si="132"/>
        <v>01-00-432-012-GRSPFT-CURR</v>
      </c>
      <c r="G2419" t="s">
        <v>127</v>
      </c>
      <c r="H2419" t="s">
        <v>10287</v>
      </c>
      <c r="I2419" t="s">
        <v>10253</v>
      </c>
      <c r="K2419" s="1073" t="s">
        <v>10288</v>
      </c>
      <c r="L2419" s="789" t="s">
        <v>10241</v>
      </c>
      <c r="M2419" s="790" t="str">
        <f t="shared" si="137"/>
        <v>432</v>
      </c>
      <c r="N2419" s="790" t="str">
        <f t="shared" si="138"/>
        <v>012</v>
      </c>
      <c r="O2419" s="790" t="s">
        <v>10467</v>
      </c>
      <c r="P2419" s="790" t="s">
        <v>10244</v>
      </c>
      <c r="R2419" s="30"/>
    </row>
    <row r="2420" spans="2:18">
      <c r="B2420" s="5" t="str">
        <f>Page5_GMC_MCI!C38</f>
        <v>LD 3500 SIERRA</v>
      </c>
      <c r="C2420" s="1038" t="str">
        <f>OR_VEH!D287</f>
        <v>433-012</v>
      </c>
      <c r="D2420" s="803">
        <f>Page5_GMC_MCI!I38</f>
        <v>0</v>
      </c>
      <c r="E2420" s="803">
        <f>Page5_GMC_MCI!N38</f>
        <v>0</v>
      </c>
      <c r="F2420" t="str">
        <f t="shared" si="132"/>
        <v>01-00-433-012-GRSPFT-CURR</v>
      </c>
      <c r="G2420" t="s">
        <v>127</v>
      </c>
      <c r="H2420" t="s">
        <v>10287</v>
      </c>
      <c r="I2420" t="s">
        <v>10253</v>
      </c>
      <c r="K2420" s="1073" t="s">
        <v>10288</v>
      </c>
      <c r="L2420" s="789" t="s">
        <v>10241</v>
      </c>
      <c r="M2420" s="790" t="str">
        <f t="shared" si="137"/>
        <v>433</v>
      </c>
      <c r="N2420" s="790" t="str">
        <f t="shared" si="138"/>
        <v>012</v>
      </c>
      <c r="O2420" s="790" t="s">
        <v>10467</v>
      </c>
      <c r="P2420" s="790" t="s">
        <v>10244</v>
      </c>
      <c r="R2420" s="30"/>
    </row>
    <row r="2421" spans="2:18">
      <c r="B2421" s="5" t="str">
        <f>Page5_GMC_MCI!C39</f>
        <v>NE PAS UTILISER</v>
      </c>
      <c r="C2421" s="1038" t="str">
        <f>OR_VEH!D288</f>
        <v>434-012</v>
      </c>
      <c r="D2421" s="803">
        <f>Page5_GMC_MCI!I39</f>
        <v>0</v>
      </c>
      <c r="E2421" s="803">
        <f>Page5_GMC_MCI!N39</f>
        <v>0</v>
      </c>
      <c r="F2421" t="str">
        <f t="shared" si="132"/>
        <v>01-00-434-012-GRSPFT-CURR</v>
      </c>
      <c r="G2421" t="s">
        <v>127</v>
      </c>
      <c r="H2421" t="s">
        <v>10287</v>
      </c>
      <c r="I2421" t="s">
        <v>10253</v>
      </c>
      <c r="K2421" s="1073" t="s">
        <v>10288</v>
      </c>
      <c r="L2421" s="789" t="s">
        <v>10241</v>
      </c>
      <c r="M2421" s="790" t="str">
        <f t="shared" si="137"/>
        <v>434</v>
      </c>
      <c r="N2421" s="790" t="str">
        <f t="shared" si="138"/>
        <v>012</v>
      </c>
      <c r="O2421" s="790" t="s">
        <v>10467</v>
      </c>
      <c r="P2421" s="790" t="s">
        <v>10244</v>
      </c>
      <c r="R2421" s="30"/>
    </row>
    <row r="2422" spans="2:18">
      <c r="B2422" s="5" t="str">
        <f>Page5_GMC_MCI!C40</f>
        <v>NE PAS UTILISER</v>
      </c>
      <c r="C2422" s="1038" t="str">
        <f>OR_VEH!D289</f>
        <v>435-012</v>
      </c>
      <c r="D2422" s="803">
        <f>Page5_GMC_MCI!I40</f>
        <v>0</v>
      </c>
      <c r="E2422" s="803">
        <f>Page5_GMC_MCI!N40</f>
        <v>0</v>
      </c>
      <c r="F2422" t="str">
        <f t="shared" ref="F2422:F2485" si="139">TEXT(K2422,"00")&amp;"-"&amp;L2422&amp;IF(M2422="","","-"&amp;M2422)&amp;IF(N2422="","","-"&amp;N2422)&amp;IF(OR(O2422="",O2422=0),"","-"&amp;O2422)&amp;IF(P2422="","","-"&amp;P2422)</f>
        <v>01-00-435-012-GRSPFT-CURR</v>
      </c>
      <c r="G2422" t="s">
        <v>127</v>
      </c>
      <c r="H2422" t="s">
        <v>10287</v>
      </c>
      <c r="I2422" t="s">
        <v>10253</v>
      </c>
      <c r="K2422" s="1073" t="s">
        <v>10288</v>
      </c>
      <c r="L2422" s="789" t="s">
        <v>10241</v>
      </c>
      <c r="M2422" s="790" t="str">
        <f t="shared" si="137"/>
        <v>435</v>
      </c>
      <c r="N2422" s="790" t="str">
        <f t="shared" si="138"/>
        <v>012</v>
      </c>
      <c r="O2422" s="790" t="s">
        <v>10467</v>
      </c>
      <c r="P2422" s="790" t="s">
        <v>10244</v>
      </c>
      <c r="R2422" s="30"/>
    </row>
    <row r="2423" spans="2:18">
      <c r="B2423" s="5" t="str">
        <f>Page5_GMC_MCI!C41</f>
        <v>ACADIA</v>
      </c>
      <c r="C2423" s="1038" t="str">
        <f>OR_VEH!D290</f>
        <v>436-012</v>
      </c>
      <c r="D2423" s="803">
        <f>Page5_GMC_MCI!I41</f>
        <v>996</v>
      </c>
      <c r="E2423" s="803">
        <f>Page5_GMC_MCI!N41</f>
        <v>580</v>
      </c>
      <c r="F2423" t="str">
        <f t="shared" si="139"/>
        <v>01-00-436-012-GRSPFT-CURR</v>
      </c>
      <c r="G2423" t="s">
        <v>127</v>
      </c>
      <c r="H2423" t="s">
        <v>10287</v>
      </c>
      <c r="I2423" t="s">
        <v>10253</v>
      </c>
      <c r="K2423" s="1073" t="s">
        <v>10288</v>
      </c>
      <c r="L2423" s="789" t="s">
        <v>10241</v>
      </c>
      <c r="M2423" s="790" t="str">
        <f t="shared" si="137"/>
        <v>436</v>
      </c>
      <c r="N2423" s="790" t="str">
        <f t="shared" si="138"/>
        <v>012</v>
      </c>
      <c r="O2423" s="790" t="s">
        <v>10467</v>
      </c>
      <c r="P2423" s="790" t="s">
        <v>10244</v>
      </c>
      <c r="R2423" s="30"/>
    </row>
    <row r="2424" spans="2:18">
      <c r="B2424" s="5" t="str">
        <f>Page5_GMC_MCI!C42</f>
        <v>POUR USAGE FUTUR</v>
      </c>
      <c r="C2424" s="1038" t="str">
        <f>OR_VEH!D291</f>
        <v>437-012</v>
      </c>
      <c r="D2424" s="803">
        <f>Page5_GMC_MCI!I42</f>
        <v>0</v>
      </c>
      <c r="E2424" s="803">
        <f>Page5_GMC_MCI!N42</f>
        <v>0</v>
      </c>
      <c r="F2424" t="str">
        <f t="shared" si="139"/>
        <v>01-00-437-012-GRSPFT-CURR</v>
      </c>
      <c r="G2424" t="s">
        <v>127</v>
      </c>
      <c r="H2424" t="s">
        <v>10287</v>
      </c>
      <c r="I2424" t="s">
        <v>10253</v>
      </c>
      <c r="K2424" s="1073" t="s">
        <v>10288</v>
      </c>
      <c r="L2424" s="789" t="s">
        <v>10241</v>
      </c>
      <c r="M2424" s="790" t="str">
        <f t="shared" si="137"/>
        <v>437</v>
      </c>
      <c r="N2424" s="790" t="str">
        <f t="shared" si="138"/>
        <v>012</v>
      </c>
      <c r="O2424" s="790" t="s">
        <v>10467</v>
      </c>
      <c r="P2424" s="790" t="s">
        <v>10244</v>
      </c>
      <c r="R2424" s="30"/>
    </row>
    <row r="2425" spans="2:18">
      <c r="B2425" s="5" t="str">
        <f>Page5_GMC_MCI!C43</f>
        <v>AUTRES CAMIONS GMC</v>
      </c>
      <c r="C2425" s="1038" t="str">
        <f>OR_VEH!D292</f>
        <v>438-012</v>
      </c>
      <c r="D2425" s="803">
        <f>Page5_GMC_MCI!I43</f>
        <v>0</v>
      </c>
      <c r="E2425" s="803">
        <f>Page5_GMC_MCI!N43</f>
        <v>0</v>
      </c>
      <c r="F2425" t="str">
        <f t="shared" si="139"/>
        <v>01-00-438-012-GRSPFT-CURR</v>
      </c>
      <c r="G2425" t="s">
        <v>127</v>
      </c>
      <c r="H2425" t="s">
        <v>10287</v>
      </c>
      <c r="I2425" t="s">
        <v>10253</v>
      </c>
      <c r="K2425" s="1073" t="s">
        <v>10288</v>
      </c>
      <c r="L2425" s="789" t="s">
        <v>10241</v>
      </c>
      <c r="M2425" s="790" t="str">
        <f t="shared" si="137"/>
        <v>438</v>
      </c>
      <c r="N2425" s="790" t="str">
        <f t="shared" si="138"/>
        <v>012</v>
      </c>
      <c r="O2425" s="799" t="s">
        <v>10467</v>
      </c>
      <c r="P2425" s="799" t="s">
        <v>10244</v>
      </c>
      <c r="R2425" s="30"/>
    </row>
    <row r="2426" spans="2:18">
      <c r="B2426" s="51" t="s">
        <v>12182</v>
      </c>
      <c r="C2426" s="1042"/>
      <c r="D2426" s="803">
        <f>Page5_GMC_MCI!I44</f>
        <v>40294</v>
      </c>
      <c r="E2426" s="803">
        <f>Page5_GMC_MCI!N44</f>
        <v>171153</v>
      </c>
      <c r="F2426" t="str">
        <f t="shared" si="139"/>
        <v>01-00-RTLTRK5F-GRSPFT-CURR</v>
      </c>
      <c r="G2426" t="s">
        <v>127</v>
      </c>
      <c r="H2426" t="s">
        <v>10287</v>
      </c>
      <c r="I2426" t="s">
        <v>10253</v>
      </c>
      <c r="J2426" t="s">
        <v>10268</v>
      </c>
      <c r="K2426" s="1073" t="s">
        <v>10288</v>
      </c>
      <c r="L2426" s="789" t="s">
        <v>10241</v>
      </c>
      <c r="M2426" s="790" t="s">
        <v>10349</v>
      </c>
      <c r="O2426" s="790" t="s">
        <v>10467</v>
      </c>
      <c r="P2426" s="790" t="s">
        <v>10244</v>
      </c>
      <c r="Q2426" s="791" t="s">
        <v>773</v>
      </c>
    </row>
    <row r="2427" spans="2:18">
      <c r="B2427" s="5" t="str">
        <f>Page5_GMC_MCI!C45</f>
        <v>MÉMO* VENTES INTERNET CAMIONS</v>
      </c>
      <c r="C2427" s="1038" t="str">
        <f>OR_VEH!D294</f>
        <v>439P5F</v>
      </c>
      <c r="D2427" s="803">
        <f>Page5_GMC_MCI!I45</f>
        <v>0</v>
      </c>
      <c r="E2427" s="803">
        <f>Page5_GMC_MCI!N45</f>
        <v>0</v>
      </c>
      <c r="F2427" t="str">
        <f t="shared" si="139"/>
        <v>01-00-439P5F-GRSPFT-CURR</v>
      </c>
      <c r="G2427" t="s">
        <v>127</v>
      </c>
      <c r="H2427" t="s">
        <v>10287</v>
      </c>
      <c r="I2427" t="s">
        <v>10253</v>
      </c>
      <c r="K2427" s="1073" t="s">
        <v>10288</v>
      </c>
      <c r="L2427" s="789" t="s">
        <v>10241</v>
      </c>
      <c r="M2427" s="855" t="str">
        <f>C2427</f>
        <v>439P5F</v>
      </c>
      <c r="N2427" s="855"/>
      <c r="O2427" s="790" t="s">
        <v>10467</v>
      </c>
      <c r="P2427" s="790" t="s">
        <v>10244</v>
      </c>
      <c r="R2427" s="30"/>
    </row>
    <row r="2428" spans="2:18">
      <c r="B2428" s="5" t="str">
        <f>Page5_GMC_MCI!C46</f>
        <v>TOTAL PARCS - CAMIONS</v>
      </c>
      <c r="C2428" s="1038" t="str">
        <f>OR_VEH!D295</f>
        <v>440P5F</v>
      </c>
      <c r="D2428" s="803">
        <f>Page5_GMC_MCI!I46</f>
        <v>0</v>
      </c>
      <c r="E2428" s="803">
        <f>Page5_GMC_MCI!N46</f>
        <v>0</v>
      </c>
      <c r="F2428" t="str">
        <f t="shared" si="139"/>
        <v>01-00-440P5F-GRSPFT-CURR</v>
      </c>
      <c r="G2428" t="s">
        <v>127</v>
      </c>
      <c r="H2428" t="s">
        <v>10287</v>
      </c>
      <c r="I2428" t="s">
        <v>10253</v>
      </c>
      <c r="K2428" s="1073" t="s">
        <v>10288</v>
      </c>
      <c r="L2428" s="789" t="s">
        <v>10241</v>
      </c>
      <c r="M2428" s="855" t="str">
        <f>C2428</f>
        <v>440P5F</v>
      </c>
      <c r="N2428" s="855"/>
      <c r="O2428" s="799" t="s">
        <v>10467</v>
      </c>
      <c r="P2428" s="799" t="s">
        <v>10244</v>
      </c>
      <c r="R2428" s="30"/>
    </row>
    <row r="2429" spans="2:18">
      <c r="B2429" s="5" t="str">
        <f>Page5_GMC_MCI!C47</f>
        <v xml:space="preserve">TOTAL IINTERNE - CAMIONS </v>
      </c>
      <c r="C2429" s="1038" t="str">
        <f>OR_VEH!D296</f>
        <v>441P5F</v>
      </c>
      <c r="D2429" s="803">
        <f>Page5_GMC_MCI!I47</f>
        <v>0</v>
      </c>
      <c r="E2429" s="803">
        <f>Page5_GMC_MCI!N47</f>
        <v>0</v>
      </c>
      <c r="F2429" t="str">
        <f t="shared" si="139"/>
        <v>01-00-441P5F-GRSPFT-CURR</v>
      </c>
      <c r="G2429" t="s">
        <v>127</v>
      </c>
      <c r="H2429" t="s">
        <v>10287</v>
      </c>
      <c r="I2429" t="s">
        <v>10253</v>
      </c>
      <c r="K2429" s="1073" t="s">
        <v>10288</v>
      </c>
      <c r="L2429" s="789" t="s">
        <v>10241</v>
      </c>
      <c r="M2429" s="855" t="str">
        <f>C2429</f>
        <v>441P5F</v>
      </c>
      <c r="N2429" s="855"/>
      <c r="O2429" s="799" t="s">
        <v>10467</v>
      </c>
      <c r="P2429" s="799" t="s">
        <v>10244</v>
      </c>
      <c r="R2429" s="30"/>
    </row>
    <row r="2430" spans="2:18">
      <c r="B2430" s="27" t="s">
        <v>12183</v>
      </c>
      <c r="C2430" s="1042"/>
      <c r="D2430" s="803">
        <f>Page5_GMC_MCI!I48</f>
        <v>40294</v>
      </c>
      <c r="E2430" s="803">
        <f>Page5_GMC_MCI!N48</f>
        <v>171153</v>
      </c>
      <c r="F2430" t="str">
        <f t="shared" si="139"/>
        <v>01-00-TOTTRK5F-GRSPFT-CURR</v>
      </c>
      <c r="G2430" t="s">
        <v>127</v>
      </c>
      <c r="H2430" t="s">
        <v>10287</v>
      </c>
      <c r="I2430" t="s">
        <v>10253</v>
      </c>
      <c r="J2430" t="s">
        <v>10268</v>
      </c>
      <c r="K2430" s="1073" t="s">
        <v>10288</v>
      </c>
      <c r="L2430" s="789" t="s">
        <v>10241</v>
      </c>
      <c r="M2430" s="790" t="s">
        <v>10351</v>
      </c>
      <c r="O2430" s="790" t="s">
        <v>10467</v>
      </c>
      <c r="P2430" s="790" t="s">
        <v>10244</v>
      </c>
      <c r="Q2430" s="791" t="s">
        <v>773</v>
      </c>
    </row>
    <row r="2431" spans="2:18">
      <c r="B2431" s="5" t="str">
        <f>Page5_GMC_MCI!C50</f>
        <v>ACCESSOIRES</v>
      </c>
      <c r="C2431" s="1038" t="str">
        <f>OR_VEH!D299</f>
        <v>457P5F</v>
      </c>
      <c r="D2431" s="803">
        <f>Page5_GMC_MCI!I50</f>
        <v>0</v>
      </c>
      <c r="E2431" s="803">
        <f>Page5_GMC_MCI!N50</f>
        <v>0</v>
      </c>
      <c r="F2431" t="str">
        <f t="shared" si="139"/>
        <v>01-00-457P5F-GRSPFT-CURR</v>
      </c>
      <c r="G2431" t="s">
        <v>127</v>
      </c>
      <c r="H2431" t="s">
        <v>10287</v>
      </c>
      <c r="I2431" t="s">
        <v>10253</v>
      </c>
      <c r="K2431" s="1073" t="s">
        <v>10288</v>
      </c>
      <c r="L2431" s="789" t="s">
        <v>10241</v>
      </c>
      <c r="M2431" s="855" t="str">
        <f>C2431</f>
        <v>457P5F</v>
      </c>
      <c r="N2431" s="855"/>
      <c r="O2431" s="790" t="s">
        <v>10467</v>
      </c>
      <c r="P2431" s="790" t="s">
        <v>10244</v>
      </c>
      <c r="R2431" s="30"/>
    </row>
    <row r="2432" spans="2:18">
      <c r="B2432" s="27" t="s">
        <v>12184</v>
      </c>
      <c r="C2432" s="1042"/>
      <c r="D2432" s="803">
        <f>Page5_GMC_MCI!I51</f>
        <v>40294</v>
      </c>
      <c r="E2432" s="803">
        <f>Page5_GMC_MCI!N51</f>
        <v>171153</v>
      </c>
      <c r="F2432" t="str">
        <f t="shared" si="139"/>
        <v>01-00-TOTVEH5F-GRSPFT-CURR</v>
      </c>
      <c r="G2432" t="s">
        <v>127</v>
      </c>
      <c r="H2432" t="s">
        <v>10287</v>
      </c>
      <c r="I2432" t="s">
        <v>10253</v>
      </c>
      <c r="J2432" t="s">
        <v>10268</v>
      </c>
      <c r="K2432" s="1073" t="s">
        <v>10288</v>
      </c>
      <c r="L2432" s="789" t="s">
        <v>10241</v>
      </c>
      <c r="M2432" s="790" t="s">
        <v>10353</v>
      </c>
      <c r="O2432" s="790" t="s">
        <v>10467</v>
      </c>
      <c r="P2432" s="790" t="s">
        <v>10244</v>
      </c>
      <c r="Q2432" s="791" t="s">
        <v>773</v>
      </c>
    </row>
    <row r="2433" spans="1:18">
      <c r="A2433" s="805" t="s">
        <v>10354</v>
      </c>
      <c r="B2433" s="5" t="str">
        <f>Page5_CAD_VE!C4</f>
        <v>CELESTIQ</v>
      </c>
      <c r="C2433" s="1038" t="str">
        <f>OR_VEH!D303</f>
        <v>400-007</v>
      </c>
      <c r="D2433" s="803">
        <f>Page5_CAD_VE!G4</f>
        <v>0</v>
      </c>
      <c r="E2433" s="803">
        <f>Page5_CAD_VE!L4</f>
        <v>0</v>
      </c>
      <c r="F2433" t="str">
        <f t="shared" si="139"/>
        <v>01-00-400-007-SALES-CURR</v>
      </c>
      <c r="G2433" t="s">
        <v>127</v>
      </c>
      <c r="H2433" t="s">
        <v>10287</v>
      </c>
      <c r="I2433" t="s">
        <v>10253</v>
      </c>
      <c r="K2433" s="1073" t="s">
        <v>10288</v>
      </c>
      <c r="L2433" s="789" t="s">
        <v>10241</v>
      </c>
      <c r="M2433" s="790" t="str">
        <f>LEFT(C2433,3)</f>
        <v>400</v>
      </c>
      <c r="N2433" s="790" t="str">
        <f>RIGHT(C2433,3)</f>
        <v>007</v>
      </c>
      <c r="O2433" s="799" t="s">
        <v>9883</v>
      </c>
      <c r="P2433" s="799" t="s">
        <v>10244</v>
      </c>
      <c r="R2433" s="30"/>
    </row>
    <row r="2434" spans="1:18">
      <c r="B2434" s="5" t="str">
        <f>Page5_CAD_VE!C5</f>
        <v>NE PAS UTILISER</v>
      </c>
      <c r="C2434" s="1038" t="str">
        <f>OR_VEH!D304</f>
        <v>401-007</v>
      </c>
      <c r="D2434" s="803">
        <f>Page5_CAD_VE!G5</f>
        <v>0</v>
      </c>
      <c r="E2434" s="803">
        <f>Page5_CAD_VE!L5</f>
        <v>0</v>
      </c>
      <c r="F2434" t="str">
        <f t="shared" si="139"/>
        <v>01-00-401-007-SALES-CURR</v>
      </c>
      <c r="G2434" t="s">
        <v>127</v>
      </c>
      <c r="H2434" t="s">
        <v>10287</v>
      </c>
      <c r="I2434" t="s">
        <v>10253</v>
      </c>
      <c r="K2434" s="1073" t="s">
        <v>10288</v>
      </c>
      <c r="L2434" s="789" t="s">
        <v>10241</v>
      </c>
      <c r="M2434" s="790" t="str">
        <f t="shared" ref="M2434:M2451" si="140">LEFT(C2434,3)</f>
        <v>401</v>
      </c>
      <c r="N2434" s="790" t="str">
        <f t="shared" ref="N2434:N2451" si="141">RIGHT(C2434,3)</f>
        <v>007</v>
      </c>
      <c r="O2434" s="799" t="s">
        <v>9883</v>
      </c>
      <c r="P2434" s="799" t="s">
        <v>10244</v>
      </c>
      <c r="R2434" s="30"/>
    </row>
    <row r="2435" spans="1:18">
      <c r="B2435" s="5" t="str">
        <f>Page5_CAD_VE!C6</f>
        <v>NE PAS UTILISER</v>
      </c>
      <c r="C2435" s="1038" t="str">
        <f>OR_VEH!D305</f>
        <v>402-007</v>
      </c>
      <c r="D2435" s="803">
        <f>Page5_CAD_VE!G6</f>
        <v>0</v>
      </c>
      <c r="E2435" s="803">
        <f>Page5_CAD_VE!L6</f>
        <v>0</v>
      </c>
      <c r="F2435" t="str">
        <f t="shared" si="139"/>
        <v>01-00-402-007-SALES-CURR</v>
      </c>
      <c r="G2435" t="s">
        <v>127</v>
      </c>
      <c r="H2435" t="s">
        <v>10287</v>
      </c>
      <c r="I2435" t="s">
        <v>10253</v>
      </c>
      <c r="K2435" s="1073" t="s">
        <v>10288</v>
      </c>
      <c r="L2435" s="789" t="s">
        <v>10241</v>
      </c>
      <c r="M2435" s="790" t="str">
        <f t="shared" si="140"/>
        <v>402</v>
      </c>
      <c r="N2435" s="790" t="str">
        <f t="shared" si="141"/>
        <v>007</v>
      </c>
      <c r="O2435" s="799" t="s">
        <v>9883</v>
      </c>
      <c r="P2435" s="799" t="s">
        <v>10244</v>
      </c>
      <c r="R2435" s="30"/>
    </row>
    <row r="2436" spans="1:18">
      <c r="B2436" s="5" t="str">
        <f>Page5_CAD_VE!C7</f>
        <v>NE PAS UTILISER</v>
      </c>
      <c r="C2436" s="1038" t="str">
        <f>OR_VEH!D306</f>
        <v>403-007</v>
      </c>
      <c r="D2436" s="803">
        <f>Page5_CAD_VE!G7</f>
        <v>0</v>
      </c>
      <c r="E2436" s="803">
        <f>Page5_CAD_VE!L7</f>
        <v>0</v>
      </c>
      <c r="F2436" t="str">
        <f t="shared" si="139"/>
        <v>01-00-403-007-SALES-CURR</v>
      </c>
      <c r="G2436" t="s">
        <v>127</v>
      </c>
      <c r="H2436" t="s">
        <v>10287</v>
      </c>
      <c r="I2436" t="s">
        <v>10253</v>
      </c>
      <c r="K2436" s="1073" t="s">
        <v>10288</v>
      </c>
      <c r="L2436" s="789" t="s">
        <v>10241</v>
      </c>
      <c r="M2436" s="790" t="str">
        <f t="shared" si="140"/>
        <v>403</v>
      </c>
      <c r="N2436" s="790" t="str">
        <f t="shared" si="141"/>
        <v>007</v>
      </c>
      <c r="O2436" s="799" t="s">
        <v>9883</v>
      </c>
      <c r="P2436" s="799" t="s">
        <v>10244</v>
      </c>
      <c r="R2436" s="30"/>
    </row>
    <row r="2437" spans="1:18">
      <c r="B2437" s="5" t="str">
        <f>Page5_CAD_VE!C8</f>
        <v>NE PAS UTILISER</v>
      </c>
      <c r="C2437" s="1038" t="str">
        <f>OR_VEH!D307</f>
        <v>404-007</v>
      </c>
      <c r="D2437" s="803">
        <f>Page5_CAD_VE!G8</f>
        <v>0</v>
      </c>
      <c r="E2437" s="803">
        <f>Page5_CAD_VE!L8</f>
        <v>0</v>
      </c>
      <c r="F2437" t="str">
        <f t="shared" si="139"/>
        <v>01-00-404-007-SALES-CURR</v>
      </c>
      <c r="G2437" t="s">
        <v>127</v>
      </c>
      <c r="H2437" t="s">
        <v>10287</v>
      </c>
      <c r="I2437" t="s">
        <v>10253</v>
      </c>
      <c r="K2437" s="1073" t="s">
        <v>10288</v>
      </c>
      <c r="L2437" s="789" t="s">
        <v>10241</v>
      </c>
      <c r="M2437" s="790" t="str">
        <f t="shared" si="140"/>
        <v>404</v>
      </c>
      <c r="N2437" s="790" t="str">
        <f t="shared" si="141"/>
        <v>007</v>
      </c>
      <c r="O2437" s="799" t="s">
        <v>9883</v>
      </c>
      <c r="P2437" s="799" t="s">
        <v>10244</v>
      </c>
      <c r="R2437" s="30"/>
    </row>
    <row r="2438" spans="1:18">
      <c r="B2438" s="5" t="str">
        <f>Page5_CAD_VE!C9</f>
        <v>NE PAS UTILISER</v>
      </c>
      <c r="C2438" s="1038" t="str">
        <f>OR_VEH!D308</f>
        <v>405-007</v>
      </c>
      <c r="D2438" s="803">
        <f>Page5_CAD_VE!G9</f>
        <v>0</v>
      </c>
      <c r="E2438" s="803">
        <f>Page5_CAD_VE!L9</f>
        <v>0</v>
      </c>
      <c r="F2438" t="str">
        <f t="shared" si="139"/>
        <v>01-00-405-007-SALES-CURR</v>
      </c>
      <c r="G2438" t="s">
        <v>127</v>
      </c>
      <c r="H2438" t="s">
        <v>10287</v>
      </c>
      <c r="I2438" t="s">
        <v>10253</v>
      </c>
      <c r="K2438" s="1073" t="s">
        <v>10288</v>
      </c>
      <c r="L2438" s="789" t="s">
        <v>10241</v>
      </c>
      <c r="M2438" s="790" t="str">
        <f t="shared" si="140"/>
        <v>405</v>
      </c>
      <c r="N2438" s="790" t="str">
        <f t="shared" si="141"/>
        <v>007</v>
      </c>
      <c r="O2438" s="799" t="s">
        <v>9883</v>
      </c>
      <c r="P2438" s="799" t="s">
        <v>10244</v>
      </c>
      <c r="R2438" s="30"/>
    </row>
    <row r="2439" spans="1:18">
      <c r="B2439" s="5" t="str">
        <f>Page5_CAD_VE!C10</f>
        <v>NE PAS UTILISER</v>
      </c>
      <c r="C2439" s="1038" t="str">
        <f>OR_VEH!D309</f>
        <v>406-007</v>
      </c>
      <c r="D2439" s="803">
        <f>Page5_CAD_VE!G10</f>
        <v>0</v>
      </c>
      <c r="E2439" s="803">
        <f>Page5_CAD_VE!L10</f>
        <v>0</v>
      </c>
      <c r="F2439" t="str">
        <f t="shared" si="139"/>
        <v>01-00-406-007-SALES-CURR</v>
      </c>
      <c r="G2439" t="s">
        <v>127</v>
      </c>
      <c r="H2439" t="s">
        <v>10287</v>
      </c>
      <c r="I2439" t="s">
        <v>10253</v>
      </c>
      <c r="K2439" s="1073" t="s">
        <v>10288</v>
      </c>
      <c r="L2439" s="789" t="s">
        <v>10241</v>
      </c>
      <c r="M2439" s="790" t="str">
        <f t="shared" si="140"/>
        <v>406</v>
      </c>
      <c r="N2439" s="790" t="str">
        <f t="shared" si="141"/>
        <v>007</v>
      </c>
      <c r="O2439" s="799" t="s">
        <v>9883</v>
      </c>
      <c r="P2439" s="799" t="s">
        <v>10244</v>
      </c>
      <c r="R2439" s="30"/>
    </row>
    <row r="2440" spans="1:18">
      <c r="B2440" s="5" t="str">
        <f>Page5_CAD_VE!C11</f>
        <v>NE PAS UTILISER</v>
      </c>
      <c r="C2440" s="1038" t="str">
        <f>OR_VEH!D310</f>
        <v>407-007</v>
      </c>
      <c r="D2440" s="803">
        <f>Page5_CAD_VE!G11</f>
        <v>0</v>
      </c>
      <c r="E2440" s="803">
        <f>Page5_CAD_VE!L11</f>
        <v>0</v>
      </c>
      <c r="F2440" t="str">
        <f t="shared" si="139"/>
        <v>01-00-407-007-SALES-CURR</v>
      </c>
      <c r="G2440" t="s">
        <v>127</v>
      </c>
      <c r="H2440" t="s">
        <v>10287</v>
      </c>
      <c r="I2440" t="s">
        <v>10253</v>
      </c>
      <c r="K2440" s="1073" t="s">
        <v>10288</v>
      </c>
      <c r="L2440" s="789" t="s">
        <v>10241</v>
      </c>
      <c r="M2440" s="790" t="str">
        <f t="shared" si="140"/>
        <v>407</v>
      </c>
      <c r="N2440" s="790" t="str">
        <f t="shared" si="141"/>
        <v>007</v>
      </c>
      <c r="O2440" s="799" t="s">
        <v>9883</v>
      </c>
      <c r="P2440" s="799" t="s">
        <v>10244</v>
      </c>
      <c r="R2440" s="30"/>
    </row>
    <row r="2441" spans="1:18">
      <c r="B2441" s="5" t="str">
        <f>Page5_CAD_VE!C12</f>
        <v>NE PAS UTILISER</v>
      </c>
      <c r="C2441" s="1038" t="str">
        <f>OR_VEH!D311</f>
        <v>408-007</v>
      </c>
      <c r="D2441" s="803">
        <f>Page5_CAD_VE!G12</f>
        <v>0</v>
      </c>
      <c r="E2441" s="803">
        <f>Page5_CAD_VE!L12</f>
        <v>0</v>
      </c>
      <c r="F2441" t="str">
        <f t="shared" si="139"/>
        <v>01-00-408-007-SALES-CURR</v>
      </c>
      <c r="G2441" t="s">
        <v>127</v>
      </c>
      <c r="H2441" t="s">
        <v>10287</v>
      </c>
      <c r="I2441" t="s">
        <v>10253</v>
      </c>
      <c r="K2441" s="1073" t="s">
        <v>10288</v>
      </c>
      <c r="L2441" s="789" t="s">
        <v>10241</v>
      </c>
      <c r="M2441" s="790" t="str">
        <f t="shared" si="140"/>
        <v>408</v>
      </c>
      <c r="N2441" s="790" t="str">
        <f t="shared" si="141"/>
        <v>007</v>
      </c>
      <c r="O2441" s="799" t="s">
        <v>9883</v>
      </c>
      <c r="P2441" s="799" t="s">
        <v>10244</v>
      </c>
      <c r="R2441" s="30"/>
    </row>
    <row r="2442" spans="1:18">
      <c r="B2442" s="5" t="str">
        <f>Page5_CAD_VE!C13</f>
        <v>NE PAS UTILISER</v>
      </c>
      <c r="C2442" s="1038" t="str">
        <f>OR_VEH!D312</f>
        <v>409-007</v>
      </c>
      <c r="D2442" s="803">
        <f>Page5_CAD_VE!G13</f>
        <v>0</v>
      </c>
      <c r="E2442" s="803">
        <f>Page5_CAD_VE!L13</f>
        <v>0</v>
      </c>
      <c r="F2442" t="str">
        <f t="shared" si="139"/>
        <v>01-00-409-007-SALES-CURR</v>
      </c>
      <c r="G2442" t="s">
        <v>127</v>
      </c>
      <c r="H2442" t="s">
        <v>10287</v>
      </c>
      <c r="I2442" t="s">
        <v>10253</v>
      </c>
      <c r="K2442" s="1073" t="s">
        <v>10288</v>
      </c>
      <c r="L2442" s="789" t="s">
        <v>10241</v>
      </c>
      <c r="M2442" s="790" t="str">
        <f t="shared" si="140"/>
        <v>409</v>
      </c>
      <c r="N2442" s="790" t="str">
        <f t="shared" si="141"/>
        <v>007</v>
      </c>
      <c r="O2442" s="799" t="s">
        <v>9883</v>
      </c>
      <c r="P2442" s="799" t="s">
        <v>10244</v>
      </c>
      <c r="R2442" s="30"/>
    </row>
    <row r="2443" spans="1:18">
      <c r="B2443" s="5" t="str">
        <f>Page5_CAD_VE!C14</f>
        <v>NE PAS UTILISER</v>
      </c>
      <c r="C2443" s="1038" t="str">
        <f>OR_VEH!D313</f>
        <v>410-007</v>
      </c>
      <c r="D2443" s="803">
        <f>Page5_CAD_VE!G14</f>
        <v>0</v>
      </c>
      <c r="E2443" s="803">
        <f>Page5_CAD_VE!L14</f>
        <v>0</v>
      </c>
      <c r="F2443" t="str">
        <f t="shared" si="139"/>
        <v>01-00-410-007-SALES-CURR</v>
      </c>
      <c r="G2443" t="s">
        <v>127</v>
      </c>
      <c r="H2443" t="s">
        <v>10287</v>
      </c>
      <c r="I2443" t="s">
        <v>10253</v>
      </c>
      <c r="K2443" s="1073" t="s">
        <v>10288</v>
      </c>
      <c r="L2443" s="789" t="s">
        <v>10241</v>
      </c>
      <c r="M2443" s="790" t="str">
        <f t="shared" si="140"/>
        <v>410</v>
      </c>
      <c r="N2443" s="790" t="str">
        <f t="shared" si="141"/>
        <v>007</v>
      </c>
      <c r="O2443" s="799" t="s">
        <v>9883</v>
      </c>
      <c r="P2443" s="799" t="s">
        <v>10244</v>
      </c>
      <c r="R2443" s="30"/>
    </row>
    <row r="2444" spans="1:18">
      <c r="B2444" s="5" t="str">
        <f>Page5_CAD_VE!C15</f>
        <v>NE PAS UTILISER</v>
      </c>
      <c r="C2444" s="1038" t="str">
        <f>OR_VEH!D314</f>
        <v>411-007</v>
      </c>
      <c r="D2444" s="803">
        <f>Page5_CAD_VE!G15</f>
        <v>0</v>
      </c>
      <c r="E2444" s="803">
        <f>Page5_CAD_VE!L15</f>
        <v>0</v>
      </c>
      <c r="F2444" t="str">
        <f t="shared" si="139"/>
        <v>01-00-411-007-SALES-CURR</v>
      </c>
      <c r="G2444" t="s">
        <v>127</v>
      </c>
      <c r="H2444" t="s">
        <v>10287</v>
      </c>
      <c r="I2444" t="s">
        <v>10253</v>
      </c>
      <c r="K2444" s="1073" t="s">
        <v>10288</v>
      </c>
      <c r="L2444" s="789" t="s">
        <v>10241</v>
      </c>
      <c r="M2444" s="790" t="str">
        <f t="shared" si="140"/>
        <v>411</v>
      </c>
      <c r="N2444" s="790" t="str">
        <f t="shared" si="141"/>
        <v>007</v>
      </c>
      <c r="O2444" s="799" t="s">
        <v>9883</v>
      </c>
      <c r="P2444" s="799" t="s">
        <v>10244</v>
      </c>
      <c r="R2444" s="30"/>
    </row>
    <row r="2445" spans="1:18">
      <c r="B2445" s="5" t="str">
        <f>Page5_CAD_VE!C16</f>
        <v>NE PAS UTILISER</v>
      </c>
      <c r="C2445" s="1038" t="str">
        <f>OR_VEH!D315</f>
        <v>412-007</v>
      </c>
      <c r="D2445" s="803">
        <f>Page5_CAD_VE!G16</f>
        <v>0</v>
      </c>
      <c r="E2445" s="803">
        <f>Page5_CAD_VE!L16</f>
        <v>0</v>
      </c>
      <c r="F2445" t="str">
        <f t="shared" si="139"/>
        <v>01-00-412-007-SALES-CURR</v>
      </c>
      <c r="G2445" t="s">
        <v>127</v>
      </c>
      <c r="H2445" t="s">
        <v>10287</v>
      </c>
      <c r="I2445" t="s">
        <v>10253</v>
      </c>
      <c r="K2445" s="1073" t="s">
        <v>10288</v>
      </c>
      <c r="L2445" s="789" t="s">
        <v>10241</v>
      </c>
      <c r="M2445" s="790" t="str">
        <f t="shared" si="140"/>
        <v>412</v>
      </c>
      <c r="N2445" s="790" t="str">
        <f t="shared" si="141"/>
        <v>007</v>
      </c>
      <c r="O2445" s="799" t="s">
        <v>9883</v>
      </c>
      <c r="P2445" s="799" t="s">
        <v>10244</v>
      </c>
      <c r="R2445" s="30"/>
    </row>
    <row r="2446" spans="1:18">
      <c r="B2446" s="5" t="str">
        <f>Page5_CAD_VE!C17</f>
        <v>NE PAS UTILISER</v>
      </c>
      <c r="C2446" s="1038" t="str">
        <f>OR_VEH!D316</f>
        <v>413-007</v>
      </c>
      <c r="D2446" s="803">
        <f>Page5_CAD_VE!G17</f>
        <v>0</v>
      </c>
      <c r="E2446" s="803">
        <f>Page5_CAD_VE!L17</f>
        <v>0</v>
      </c>
      <c r="F2446" t="str">
        <f t="shared" si="139"/>
        <v>01-00-413-007-SALES-CURR</v>
      </c>
      <c r="G2446" t="s">
        <v>127</v>
      </c>
      <c r="H2446" t="s">
        <v>10287</v>
      </c>
      <c r="I2446" t="s">
        <v>10253</v>
      </c>
      <c r="K2446" s="1073" t="s">
        <v>10288</v>
      </c>
      <c r="L2446" s="789" t="s">
        <v>10241</v>
      </c>
      <c r="M2446" s="790" t="str">
        <f t="shared" si="140"/>
        <v>413</v>
      </c>
      <c r="N2446" s="790" t="str">
        <f t="shared" si="141"/>
        <v>007</v>
      </c>
      <c r="O2446" s="799" t="s">
        <v>9883</v>
      </c>
      <c r="P2446" s="799" t="s">
        <v>10244</v>
      </c>
      <c r="R2446" s="30"/>
    </row>
    <row r="2447" spans="1:18">
      <c r="B2447" s="5" t="str">
        <f>Page5_CAD_VE!C18</f>
        <v>NE PAS UTILISER</v>
      </c>
      <c r="C2447" s="1038" t="str">
        <f>OR_VEH!D317</f>
        <v>414-007</v>
      </c>
      <c r="D2447" s="803">
        <f>Page5_CAD_VE!G18</f>
        <v>0</v>
      </c>
      <c r="E2447" s="803">
        <f>Page5_CAD_VE!L18</f>
        <v>0</v>
      </c>
      <c r="F2447" t="str">
        <f t="shared" si="139"/>
        <v>01-00-414-007-SALES-CURR</v>
      </c>
      <c r="G2447" t="s">
        <v>127</v>
      </c>
      <c r="H2447" t="s">
        <v>10287</v>
      </c>
      <c r="I2447" t="s">
        <v>10253</v>
      </c>
      <c r="K2447" s="1073" t="s">
        <v>10288</v>
      </c>
      <c r="L2447" s="789" t="s">
        <v>10241</v>
      </c>
      <c r="M2447" s="790" t="str">
        <f t="shared" si="140"/>
        <v>414</v>
      </c>
      <c r="N2447" s="790" t="str">
        <f t="shared" si="141"/>
        <v>007</v>
      </c>
      <c r="O2447" s="799" t="s">
        <v>9883</v>
      </c>
      <c r="P2447" s="799" t="s">
        <v>10244</v>
      </c>
      <c r="R2447" s="30"/>
    </row>
    <row r="2448" spans="1:18">
      <c r="B2448" s="5" t="str">
        <f>Page5_CAD_VE!C19</f>
        <v>NE PAS UTILISER</v>
      </c>
      <c r="C2448" s="1038" t="str">
        <f>OR_VEH!D318</f>
        <v>415-007</v>
      </c>
      <c r="D2448" s="803">
        <f>Page5_CAD_VE!G19</f>
        <v>0</v>
      </c>
      <c r="E2448" s="803">
        <f>Page5_CAD_VE!L19</f>
        <v>0</v>
      </c>
      <c r="F2448" t="str">
        <f t="shared" si="139"/>
        <v>01-00-415-007-SALES-CURR</v>
      </c>
      <c r="G2448" t="s">
        <v>127</v>
      </c>
      <c r="H2448" t="s">
        <v>10287</v>
      </c>
      <c r="I2448" t="s">
        <v>10253</v>
      </c>
      <c r="K2448" s="1073" t="s">
        <v>10288</v>
      </c>
      <c r="L2448" s="789" t="s">
        <v>10241</v>
      </c>
      <c r="M2448" s="790" t="str">
        <f t="shared" si="140"/>
        <v>415</v>
      </c>
      <c r="N2448" s="790" t="str">
        <f t="shared" si="141"/>
        <v>007</v>
      </c>
      <c r="O2448" s="799" t="s">
        <v>9883</v>
      </c>
      <c r="P2448" s="799" t="s">
        <v>10244</v>
      </c>
      <c r="R2448" s="30"/>
    </row>
    <row r="2449" spans="2:18">
      <c r="B2449" s="5" t="str">
        <f>Page5_CAD_VE!C20</f>
        <v>NE PAS UTILISER</v>
      </c>
      <c r="C2449" s="1038" t="str">
        <f>OR_VEH!D319</f>
        <v>416-007</v>
      </c>
      <c r="D2449" s="803">
        <f>Page5_CAD_VE!G20</f>
        <v>0</v>
      </c>
      <c r="E2449" s="803">
        <f>Page5_CAD_VE!L20</f>
        <v>0</v>
      </c>
      <c r="F2449" t="str">
        <f t="shared" si="139"/>
        <v>01-00-416-007-SALES-CURR</v>
      </c>
      <c r="G2449" t="s">
        <v>127</v>
      </c>
      <c r="H2449" t="s">
        <v>10287</v>
      </c>
      <c r="I2449" t="s">
        <v>10253</v>
      </c>
      <c r="K2449" s="1073" t="s">
        <v>10288</v>
      </c>
      <c r="L2449" s="789" t="s">
        <v>10241</v>
      </c>
      <c r="M2449" s="790" t="str">
        <f t="shared" si="140"/>
        <v>416</v>
      </c>
      <c r="N2449" s="790" t="str">
        <f t="shared" si="141"/>
        <v>007</v>
      </c>
      <c r="O2449" s="799" t="s">
        <v>9883</v>
      </c>
      <c r="P2449" s="799" t="s">
        <v>10244</v>
      </c>
      <c r="R2449" s="30"/>
    </row>
    <row r="2450" spans="2:18">
      <c r="B2450" s="5" t="str">
        <f>Page5_CAD_VE!C21</f>
        <v>NE PAS UTILISER</v>
      </c>
      <c r="C2450" s="1038" t="str">
        <f>OR_VEH!D320</f>
        <v>417-007</v>
      </c>
      <c r="D2450" s="803">
        <f>Page5_CAD_VE!G21</f>
        <v>0</v>
      </c>
      <c r="E2450" s="803">
        <f>Page5_CAD_VE!L21</f>
        <v>0</v>
      </c>
      <c r="F2450" t="str">
        <f t="shared" si="139"/>
        <v>01-00-417-007-SALES-CURR</v>
      </c>
      <c r="G2450" t="s">
        <v>127</v>
      </c>
      <c r="H2450" t="s">
        <v>10287</v>
      </c>
      <c r="I2450" t="s">
        <v>10253</v>
      </c>
      <c r="K2450" s="1073" t="s">
        <v>10288</v>
      </c>
      <c r="L2450" s="789" t="s">
        <v>10241</v>
      </c>
      <c r="M2450" s="790" t="str">
        <f t="shared" si="140"/>
        <v>417</v>
      </c>
      <c r="N2450" s="790" t="str">
        <f t="shared" si="141"/>
        <v>007</v>
      </c>
      <c r="O2450" s="799" t="s">
        <v>9883</v>
      </c>
      <c r="P2450" s="799" t="s">
        <v>10244</v>
      </c>
      <c r="R2450" s="30"/>
    </row>
    <row r="2451" spans="2:18">
      <c r="B2451" s="5" t="str">
        <f>Page5_CAD_VE!C22</f>
        <v>NE PAS UTILISER</v>
      </c>
      <c r="C2451" s="1038" t="str">
        <f>OR_VEH!D321</f>
        <v>418-007</v>
      </c>
      <c r="D2451" s="803">
        <f>Page5_CAD_VE!G22</f>
        <v>0</v>
      </c>
      <c r="E2451" s="803">
        <f>Page5_CAD_VE!L22</f>
        <v>0</v>
      </c>
      <c r="F2451" t="str">
        <f t="shared" si="139"/>
        <v>01-00-418-007-SALES-CURR</v>
      </c>
      <c r="G2451" t="s">
        <v>127</v>
      </c>
      <c r="H2451" t="s">
        <v>10287</v>
      </c>
      <c r="I2451" t="s">
        <v>10253</v>
      </c>
      <c r="K2451" s="1073" t="s">
        <v>10288</v>
      </c>
      <c r="L2451" s="789" t="s">
        <v>10241</v>
      </c>
      <c r="M2451" s="790" t="str">
        <f t="shared" si="140"/>
        <v>418</v>
      </c>
      <c r="N2451" s="790" t="str">
        <f t="shared" si="141"/>
        <v>007</v>
      </c>
      <c r="O2451" s="799" t="s">
        <v>9883</v>
      </c>
      <c r="P2451" s="799" t="s">
        <v>10244</v>
      </c>
      <c r="R2451" s="30"/>
    </row>
    <row r="2452" spans="2:18">
      <c r="B2452" s="27" t="s">
        <v>12185</v>
      </c>
      <c r="C2452" s="1042"/>
      <c r="D2452" s="803">
        <f>Page5_CAD_VE!G23</f>
        <v>0</v>
      </c>
      <c r="E2452" s="803">
        <f>Page5_CAD_VE!L23</f>
        <v>0</v>
      </c>
      <c r="F2452" t="str">
        <f t="shared" si="139"/>
        <v>01-00-RTLCAR5G-SALES-CURR</v>
      </c>
      <c r="G2452" t="s">
        <v>127</v>
      </c>
      <c r="H2452" t="s">
        <v>10287</v>
      </c>
      <c r="I2452" t="s">
        <v>10253</v>
      </c>
      <c r="J2452" t="s">
        <v>10268</v>
      </c>
      <c r="K2452" s="1073" t="s">
        <v>10288</v>
      </c>
      <c r="L2452" s="789" t="s">
        <v>10241</v>
      </c>
      <c r="M2452" s="790" t="s">
        <v>10356</v>
      </c>
      <c r="O2452" s="790" t="s">
        <v>9883</v>
      </c>
      <c r="P2452" s="790" t="s">
        <v>10244</v>
      </c>
      <c r="Q2452" s="791" t="s">
        <v>773</v>
      </c>
    </row>
    <row r="2453" spans="2:18">
      <c r="B2453" s="5" t="str">
        <f>Page5_CAD_VE!C24</f>
        <v>MÉMO* VENTES INTERNET VOITURES</v>
      </c>
      <c r="C2453" s="1038" t="str">
        <f>OR_VEH!D323</f>
        <v>419P5G</v>
      </c>
      <c r="D2453" s="803">
        <f>Page5_CAD_VE!G24</f>
        <v>0</v>
      </c>
      <c r="E2453" s="803">
        <f>Page5_CAD_VE!L24</f>
        <v>0</v>
      </c>
      <c r="F2453" t="str">
        <f t="shared" si="139"/>
        <v>01-00-419P5G-SALES-CURR</v>
      </c>
      <c r="G2453" t="s">
        <v>127</v>
      </c>
      <c r="H2453" t="s">
        <v>10287</v>
      </c>
      <c r="I2453" t="s">
        <v>10253</v>
      </c>
      <c r="K2453" s="1073" t="s">
        <v>10288</v>
      </c>
      <c r="L2453" s="789" t="s">
        <v>10241</v>
      </c>
      <c r="M2453" s="855" t="str">
        <f>C2453</f>
        <v>419P5G</v>
      </c>
      <c r="N2453" s="855"/>
      <c r="O2453" s="790" t="s">
        <v>9883</v>
      </c>
      <c r="P2453" s="790" t="s">
        <v>10244</v>
      </c>
      <c r="R2453" s="30"/>
    </row>
    <row r="2454" spans="2:18">
      <c r="B2454" s="5" t="str">
        <f>Page5_CAD_VE!C25</f>
        <v>TOTAL PARCS - VOITURES</v>
      </c>
      <c r="C2454" s="1038" t="str">
        <f>OR_VEH!D324</f>
        <v>420P5G</v>
      </c>
      <c r="D2454" s="803">
        <f>Page5_CAD_VE!G25</f>
        <v>0</v>
      </c>
      <c r="E2454" s="803">
        <f>Page5_CAD_VE!L25</f>
        <v>0</v>
      </c>
      <c r="F2454" t="str">
        <f t="shared" si="139"/>
        <v>01-00-420P5G-SALES-CURR</v>
      </c>
      <c r="G2454" t="s">
        <v>127</v>
      </c>
      <c r="H2454" t="s">
        <v>10287</v>
      </c>
      <c r="I2454" t="s">
        <v>10253</v>
      </c>
      <c r="K2454" s="1073" t="s">
        <v>10288</v>
      </c>
      <c r="L2454" s="789" t="s">
        <v>10241</v>
      </c>
      <c r="M2454" s="855" t="str">
        <f>C2454</f>
        <v>420P5G</v>
      </c>
      <c r="N2454" s="855"/>
      <c r="O2454" s="799" t="s">
        <v>9883</v>
      </c>
      <c r="P2454" s="799" t="s">
        <v>10244</v>
      </c>
      <c r="R2454" s="30"/>
    </row>
    <row r="2455" spans="2:18">
      <c r="B2455" s="5" t="str">
        <f>Page5_CAD_VE!C26</f>
        <v>TOTAL INTERNE - VOITURES</v>
      </c>
      <c r="C2455" s="1038" t="str">
        <f>OR_VEH!D325</f>
        <v>421P5G</v>
      </c>
      <c r="D2455" s="803">
        <f>Page5_CAD_VE!G26</f>
        <v>0</v>
      </c>
      <c r="E2455" s="803">
        <f>Page5_CAD_VE!L26</f>
        <v>0</v>
      </c>
      <c r="F2455" t="str">
        <f t="shared" si="139"/>
        <v>01-00-421P5G-SALES-CURR</v>
      </c>
      <c r="G2455" t="s">
        <v>127</v>
      </c>
      <c r="H2455" t="s">
        <v>10287</v>
      </c>
      <c r="I2455" t="s">
        <v>10253</v>
      </c>
      <c r="K2455" s="1073" t="s">
        <v>10288</v>
      </c>
      <c r="L2455" s="789" t="s">
        <v>10241</v>
      </c>
      <c r="M2455" s="855" t="str">
        <f>C2455</f>
        <v>421P5G</v>
      </c>
      <c r="N2455" s="855"/>
      <c r="O2455" s="799" t="s">
        <v>9883</v>
      </c>
      <c r="P2455" s="799" t="s">
        <v>10244</v>
      </c>
      <c r="R2455" s="30"/>
    </row>
    <row r="2456" spans="2:18">
      <c r="B2456" s="27" t="s">
        <v>12186</v>
      </c>
      <c r="C2456" s="1042"/>
      <c r="D2456" s="803">
        <f>Page5_CAD_VE!G27</f>
        <v>0</v>
      </c>
      <c r="E2456" s="803">
        <f>Page5_CAD_VE!L27</f>
        <v>0</v>
      </c>
      <c r="F2456" t="str">
        <f t="shared" si="139"/>
        <v>01-00-TOTCAR5G-SALES-CURR</v>
      </c>
      <c r="G2456" t="s">
        <v>127</v>
      </c>
      <c r="H2456" t="s">
        <v>10287</v>
      </c>
      <c r="I2456" t="s">
        <v>10253</v>
      </c>
      <c r="J2456" t="s">
        <v>10268</v>
      </c>
      <c r="K2456" s="1073" t="s">
        <v>10288</v>
      </c>
      <c r="L2456" s="789" t="s">
        <v>10241</v>
      </c>
      <c r="M2456" s="790" t="s">
        <v>10358</v>
      </c>
      <c r="O2456" s="790" t="s">
        <v>9883</v>
      </c>
      <c r="P2456" s="790" t="s">
        <v>10244</v>
      </c>
      <c r="Q2456" s="791" t="s">
        <v>773</v>
      </c>
    </row>
    <row r="2457" spans="2:18">
      <c r="B2457" s="5" t="str">
        <f>Page5_CAD_VE!C28</f>
        <v>LYRIQ</v>
      </c>
      <c r="C2457" s="1038" t="str">
        <f>OR_VEH!D327</f>
        <v>423-007</v>
      </c>
      <c r="D2457" s="803">
        <f>Page5_CAD_VE!G28</f>
        <v>267146</v>
      </c>
      <c r="E2457" s="803">
        <f>Page5_CAD_VE!L28</f>
        <v>409880</v>
      </c>
      <c r="F2457" t="str">
        <f t="shared" si="139"/>
        <v>01-00-423-007-SALES-CURR</v>
      </c>
      <c r="G2457" t="s">
        <v>127</v>
      </c>
      <c r="H2457" t="s">
        <v>10287</v>
      </c>
      <c r="I2457" t="s">
        <v>10253</v>
      </c>
      <c r="K2457" s="1073" t="s">
        <v>10288</v>
      </c>
      <c r="L2457" s="789" t="s">
        <v>10241</v>
      </c>
      <c r="M2457" s="790" t="str">
        <f t="shared" ref="M2457:M2472" si="142">LEFT(C2457,3)</f>
        <v>423</v>
      </c>
      <c r="N2457" s="790" t="str">
        <f t="shared" ref="N2457:N2472" si="143">RIGHT(C2457,3)</f>
        <v>007</v>
      </c>
      <c r="O2457" s="799" t="s">
        <v>9883</v>
      </c>
      <c r="P2457" s="799" t="s">
        <v>10244</v>
      </c>
      <c r="R2457" s="30"/>
    </row>
    <row r="2458" spans="2:18">
      <c r="B2458" s="5" t="str">
        <f>Page5_CAD_VE!C29</f>
        <v>OPTIQ</v>
      </c>
      <c r="C2458" s="1038" t="str">
        <f>OR_VEH!D328</f>
        <v>424-007</v>
      </c>
      <c r="D2458" s="803">
        <f>Page5_CAD_VE!G29</f>
        <v>68172</v>
      </c>
      <c r="E2458" s="803">
        <f>Page5_CAD_VE!L29</f>
        <v>195870</v>
      </c>
      <c r="F2458" t="str">
        <f t="shared" si="139"/>
        <v>01-00-424-007-SALES-CURR</v>
      </c>
      <c r="G2458" t="s">
        <v>127</v>
      </c>
      <c r="H2458" t="s">
        <v>10287</v>
      </c>
      <c r="I2458" t="s">
        <v>10253</v>
      </c>
      <c r="K2458" s="1073" t="s">
        <v>10288</v>
      </c>
      <c r="L2458" s="789" t="s">
        <v>10241</v>
      </c>
      <c r="M2458" s="790" t="str">
        <f t="shared" si="142"/>
        <v>424</v>
      </c>
      <c r="N2458" s="790" t="str">
        <f t="shared" si="143"/>
        <v>007</v>
      </c>
      <c r="O2458" s="799" t="s">
        <v>9883</v>
      </c>
      <c r="P2458" s="799" t="s">
        <v>10244</v>
      </c>
      <c r="R2458" s="30"/>
    </row>
    <row r="2459" spans="2:18">
      <c r="B2459" s="5" t="str">
        <f>Page5_CAD_VE!C30</f>
        <v>ESCALADE IQ</v>
      </c>
      <c r="C2459" s="1038" t="str">
        <f>OR_VEH!D329</f>
        <v>425-007</v>
      </c>
      <c r="D2459" s="803">
        <f>Page5_CAD_VE!G30</f>
        <v>194219</v>
      </c>
      <c r="E2459" s="803">
        <f>Page5_CAD_VE!L30</f>
        <v>355447</v>
      </c>
      <c r="F2459" t="str">
        <f t="shared" si="139"/>
        <v>01-00-425-007-SALES-CURR</v>
      </c>
      <c r="G2459" t="s">
        <v>127</v>
      </c>
      <c r="H2459" t="s">
        <v>10287</v>
      </c>
      <c r="I2459" t="s">
        <v>10253</v>
      </c>
      <c r="K2459" s="1073" t="s">
        <v>10288</v>
      </c>
      <c r="L2459" s="789" t="s">
        <v>10241</v>
      </c>
      <c r="M2459" s="790" t="str">
        <f t="shared" si="142"/>
        <v>425</v>
      </c>
      <c r="N2459" s="790" t="str">
        <f t="shared" si="143"/>
        <v>007</v>
      </c>
      <c r="O2459" s="790" t="s">
        <v>9883</v>
      </c>
      <c r="P2459" s="790" t="s">
        <v>10244</v>
      </c>
      <c r="R2459" s="30"/>
    </row>
    <row r="2460" spans="2:18">
      <c r="B2460" s="5" t="str">
        <f>Page5_CAD_VE!C31</f>
        <v>VISTIQ</v>
      </c>
      <c r="C2460" s="1038" t="str">
        <f>OR_VEH!D330</f>
        <v>426-007</v>
      </c>
      <c r="D2460" s="803">
        <f>Page5_CAD_VE!G31</f>
        <v>0</v>
      </c>
      <c r="E2460" s="803">
        <f>Page5_CAD_VE!L31</f>
        <v>0</v>
      </c>
      <c r="F2460" t="str">
        <f t="shared" si="139"/>
        <v>01-00-426-007-SALES-CURR</v>
      </c>
      <c r="G2460" t="s">
        <v>127</v>
      </c>
      <c r="H2460" t="s">
        <v>10287</v>
      </c>
      <c r="I2460" t="s">
        <v>10253</v>
      </c>
      <c r="K2460" s="1073" t="s">
        <v>10288</v>
      </c>
      <c r="L2460" s="789" t="s">
        <v>10241</v>
      </c>
      <c r="M2460" s="790" t="str">
        <f t="shared" si="142"/>
        <v>426</v>
      </c>
      <c r="N2460" s="790" t="str">
        <f t="shared" si="143"/>
        <v>007</v>
      </c>
      <c r="O2460" s="790" t="s">
        <v>9883</v>
      </c>
      <c r="P2460" s="790" t="s">
        <v>10244</v>
      </c>
      <c r="R2460" s="30"/>
    </row>
    <row r="2461" spans="2:18">
      <c r="B2461" s="5" t="str">
        <f>Page5_CAD_VE!C32</f>
        <v>ESCALADE IQL</v>
      </c>
      <c r="C2461" s="1038" t="str">
        <f>OR_VEH!D331</f>
        <v>427-007</v>
      </c>
      <c r="D2461" s="803">
        <f>Page5_CAD_VE!G32</f>
        <v>0</v>
      </c>
      <c r="E2461" s="803">
        <f>Page5_CAD_VE!L32</f>
        <v>0</v>
      </c>
      <c r="F2461" t="str">
        <f t="shared" si="139"/>
        <v>01-00-427-007-SALES-CURR</v>
      </c>
      <c r="G2461" t="s">
        <v>127</v>
      </c>
      <c r="H2461" t="s">
        <v>10287</v>
      </c>
      <c r="I2461" t="s">
        <v>10253</v>
      </c>
      <c r="K2461" s="1073" t="s">
        <v>10288</v>
      </c>
      <c r="L2461" s="789" t="s">
        <v>10241</v>
      </c>
      <c r="M2461" s="790" t="str">
        <f t="shared" si="142"/>
        <v>427</v>
      </c>
      <c r="N2461" s="790" t="str">
        <f t="shared" si="143"/>
        <v>007</v>
      </c>
      <c r="O2461" s="790" t="s">
        <v>9883</v>
      </c>
      <c r="P2461" s="790" t="s">
        <v>10244</v>
      </c>
      <c r="R2461" s="30"/>
    </row>
    <row r="2462" spans="2:18">
      <c r="B2462" s="5" t="str">
        <f>Page5_CAD_VE!C33</f>
        <v>NE PAS UTILISER</v>
      </c>
      <c r="C2462" s="1038" t="str">
        <f>OR_VEH!D332</f>
        <v>428-007</v>
      </c>
      <c r="D2462" s="803">
        <f>Page5_CAD_VE!G33</f>
        <v>0</v>
      </c>
      <c r="E2462" s="803">
        <f>Page5_CAD_VE!L33</f>
        <v>0</v>
      </c>
      <c r="F2462" t="str">
        <f t="shared" si="139"/>
        <v>01-00-428-007-SALES-CURR</v>
      </c>
      <c r="G2462" t="s">
        <v>127</v>
      </c>
      <c r="H2462" t="s">
        <v>10287</v>
      </c>
      <c r="I2462" t="s">
        <v>10253</v>
      </c>
      <c r="K2462" s="1073" t="s">
        <v>10288</v>
      </c>
      <c r="L2462" s="789" t="s">
        <v>10241</v>
      </c>
      <c r="M2462" s="790" t="str">
        <f t="shared" si="142"/>
        <v>428</v>
      </c>
      <c r="N2462" s="790" t="str">
        <f t="shared" si="143"/>
        <v>007</v>
      </c>
      <c r="O2462" s="790" t="s">
        <v>9883</v>
      </c>
      <c r="P2462" s="790" t="s">
        <v>10244</v>
      </c>
      <c r="R2462" s="30"/>
    </row>
    <row r="2463" spans="2:18">
      <c r="B2463" s="5" t="str">
        <f>Page5_CAD_VE!C34</f>
        <v>NE PAS UTILISER</v>
      </c>
      <c r="C2463" s="1038" t="str">
        <f>OR_VEH!D333</f>
        <v>429-007</v>
      </c>
      <c r="D2463" s="803">
        <f>Page5_CAD_VE!G34</f>
        <v>0</v>
      </c>
      <c r="E2463" s="803">
        <f>Page5_CAD_VE!L34</f>
        <v>0</v>
      </c>
      <c r="F2463" t="str">
        <f t="shared" si="139"/>
        <v>01-00-429-007-SALES-CURR</v>
      </c>
      <c r="G2463" t="s">
        <v>127</v>
      </c>
      <c r="H2463" t="s">
        <v>10287</v>
      </c>
      <c r="I2463" t="s">
        <v>10253</v>
      </c>
      <c r="K2463" s="1073" t="s">
        <v>10288</v>
      </c>
      <c r="L2463" s="789" t="s">
        <v>10241</v>
      </c>
      <c r="M2463" s="790" t="str">
        <f t="shared" si="142"/>
        <v>429</v>
      </c>
      <c r="N2463" s="790" t="str">
        <f t="shared" si="143"/>
        <v>007</v>
      </c>
      <c r="O2463" s="790" t="s">
        <v>9883</v>
      </c>
      <c r="P2463" s="790" t="s">
        <v>10244</v>
      </c>
      <c r="R2463" s="30"/>
    </row>
    <row r="2464" spans="2:18">
      <c r="B2464" s="5" t="str">
        <f>Page5_CAD_VE!C35</f>
        <v>NE PAS UTILISER</v>
      </c>
      <c r="C2464" s="1038" t="str">
        <f>OR_VEH!D334</f>
        <v>430-007</v>
      </c>
      <c r="D2464" s="803">
        <f>Page5_CAD_VE!G35</f>
        <v>0</v>
      </c>
      <c r="E2464" s="803">
        <f>Page5_CAD_VE!L35</f>
        <v>0</v>
      </c>
      <c r="F2464" t="str">
        <f t="shared" si="139"/>
        <v>01-00-430-007-SALES-CURR</v>
      </c>
      <c r="G2464" t="s">
        <v>127</v>
      </c>
      <c r="H2464" t="s">
        <v>10287</v>
      </c>
      <c r="I2464" t="s">
        <v>10253</v>
      </c>
      <c r="K2464" s="1073" t="s">
        <v>10288</v>
      </c>
      <c r="L2464" s="789" t="s">
        <v>10241</v>
      </c>
      <c r="M2464" s="790" t="str">
        <f t="shared" si="142"/>
        <v>430</v>
      </c>
      <c r="N2464" s="790" t="str">
        <f t="shared" si="143"/>
        <v>007</v>
      </c>
      <c r="O2464" s="790" t="s">
        <v>9883</v>
      </c>
      <c r="P2464" s="790" t="s">
        <v>10244</v>
      </c>
      <c r="R2464" s="30"/>
    </row>
    <row r="2465" spans="2:18">
      <c r="B2465" s="5" t="str">
        <f>Page5_CAD_VE!C36</f>
        <v>NE PAS UTILISER</v>
      </c>
      <c r="C2465" s="1038" t="str">
        <f>OR_VEH!D335</f>
        <v>431-007</v>
      </c>
      <c r="D2465" s="803">
        <f>Page5_CAD_VE!G36</f>
        <v>0</v>
      </c>
      <c r="E2465" s="803">
        <f>Page5_CAD_VE!L36</f>
        <v>0</v>
      </c>
      <c r="F2465" t="str">
        <f t="shared" si="139"/>
        <v>01-00-431-007-SALES-CURR</v>
      </c>
      <c r="G2465" t="s">
        <v>127</v>
      </c>
      <c r="H2465" t="s">
        <v>10287</v>
      </c>
      <c r="I2465" t="s">
        <v>10253</v>
      </c>
      <c r="K2465" s="1073" t="s">
        <v>10288</v>
      </c>
      <c r="L2465" s="789" t="s">
        <v>10241</v>
      </c>
      <c r="M2465" s="790" t="str">
        <f t="shared" si="142"/>
        <v>431</v>
      </c>
      <c r="N2465" s="790" t="str">
        <f t="shared" si="143"/>
        <v>007</v>
      </c>
      <c r="O2465" s="790" t="s">
        <v>9883</v>
      </c>
      <c r="P2465" s="790" t="s">
        <v>10244</v>
      </c>
      <c r="R2465" s="30"/>
    </row>
    <row r="2466" spans="2:18">
      <c r="B2466" s="5" t="str">
        <f>Page5_CAD_VE!C37</f>
        <v>NE PAS UTILISER</v>
      </c>
      <c r="C2466" s="1038" t="str">
        <f>OR_VEH!D336</f>
        <v>432-007</v>
      </c>
      <c r="D2466" s="803">
        <f>Page5_CAD_VE!G37</f>
        <v>0</v>
      </c>
      <c r="E2466" s="803">
        <f>Page5_CAD_VE!L37</f>
        <v>0</v>
      </c>
      <c r="F2466" t="str">
        <f t="shared" si="139"/>
        <v>01-00-432-007-SALES-CURR</v>
      </c>
      <c r="G2466" t="s">
        <v>127</v>
      </c>
      <c r="H2466" t="s">
        <v>10287</v>
      </c>
      <c r="I2466" t="s">
        <v>10253</v>
      </c>
      <c r="K2466" s="1073" t="s">
        <v>10288</v>
      </c>
      <c r="L2466" s="789" t="s">
        <v>10241</v>
      </c>
      <c r="M2466" s="790" t="str">
        <f t="shared" si="142"/>
        <v>432</v>
      </c>
      <c r="N2466" s="790" t="str">
        <f t="shared" si="143"/>
        <v>007</v>
      </c>
      <c r="O2466" s="790" t="s">
        <v>9883</v>
      </c>
      <c r="P2466" s="790" t="s">
        <v>10244</v>
      </c>
      <c r="R2466" s="30"/>
    </row>
    <row r="2467" spans="2:18">
      <c r="B2467" s="5" t="str">
        <f>Page5_CAD_VE!C38</f>
        <v>NE PAS UTILISER</v>
      </c>
      <c r="C2467" s="1038" t="str">
        <f>OR_VEH!D337</f>
        <v>433-007</v>
      </c>
      <c r="D2467" s="803">
        <f>Page5_CAD_VE!G38</f>
        <v>0</v>
      </c>
      <c r="E2467" s="803">
        <f>Page5_CAD_VE!L38</f>
        <v>0</v>
      </c>
      <c r="F2467" t="str">
        <f t="shared" si="139"/>
        <v>01-00-433-007-SALES-CURR</v>
      </c>
      <c r="G2467" t="s">
        <v>127</v>
      </c>
      <c r="H2467" t="s">
        <v>10287</v>
      </c>
      <c r="I2467" t="s">
        <v>10253</v>
      </c>
      <c r="K2467" s="1073" t="s">
        <v>10288</v>
      </c>
      <c r="L2467" s="789" t="s">
        <v>10241</v>
      </c>
      <c r="M2467" s="790" t="str">
        <f t="shared" si="142"/>
        <v>433</v>
      </c>
      <c r="N2467" s="790" t="str">
        <f t="shared" si="143"/>
        <v>007</v>
      </c>
      <c r="O2467" s="790" t="s">
        <v>9883</v>
      </c>
      <c r="P2467" s="790" t="s">
        <v>10244</v>
      </c>
      <c r="R2467" s="30"/>
    </row>
    <row r="2468" spans="2:18">
      <c r="B2468" s="5" t="str">
        <f>Page5_CAD_VE!C39</f>
        <v>NE PAS UTILISER</v>
      </c>
      <c r="C2468" s="1038" t="str">
        <f>OR_VEH!D338</f>
        <v>434-007</v>
      </c>
      <c r="D2468" s="803">
        <f>Page5_CAD_VE!G39</f>
        <v>0</v>
      </c>
      <c r="E2468" s="803">
        <f>Page5_CAD_VE!L39</f>
        <v>0</v>
      </c>
      <c r="F2468" t="str">
        <f t="shared" si="139"/>
        <v>01-00-434-007-SALES-CURR</v>
      </c>
      <c r="G2468" t="s">
        <v>127</v>
      </c>
      <c r="H2468" t="s">
        <v>10287</v>
      </c>
      <c r="I2468" t="s">
        <v>10253</v>
      </c>
      <c r="K2468" s="1073" t="s">
        <v>10288</v>
      </c>
      <c r="L2468" s="789" t="s">
        <v>10241</v>
      </c>
      <c r="M2468" s="790" t="str">
        <f t="shared" si="142"/>
        <v>434</v>
      </c>
      <c r="N2468" s="790" t="str">
        <f t="shared" si="143"/>
        <v>007</v>
      </c>
      <c r="O2468" s="790" t="s">
        <v>9883</v>
      </c>
      <c r="P2468" s="790" t="s">
        <v>10244</v>
      </c>
      <c r="R2468" s="30"/>
    </row>
    <row r="2469" spans="2:18">
      <c r="B2469" s="5" t="str">
        <f>Page5_CAD_VE!C40</f>
        <v>NE PAS UTILISER</v>
      </c>
      <c r="C2469" s="1038" t="str">
        <f>OR_VEH!D339</f>
        <v>435-007</v>
      </c>
      <c r="D2469" s="803">
        <f>Page5_CAD_VE!G40</f>
        <v>0</v>
      </c>
      <c r="E2469" s="803">
        <f>Page5_CAD_VE!L40</f>
        <v>0</v>
      </c>
      <c r="F2469" t="str">
        <f t="shared" si="139"/>
        <v>01-00-435-007-SALES-CURR</v>
      </c>
      <c r="G2469" t="s">
        <v>127</v>
      </c>
      <c r="H2469" t="s">
        <v>10287</v>
      </c>
      <c r="I2469" t="s">
        <v>10253</v>
      </c>
      <c r="K2469" s="1073" t="s">
        <v>10288</v>
      </c>
      <c r="L2469" s="789" t="s">
        <v>10241</v>
      </c>
      <c r="M2469" s="790" t="str">
        <f t="shared" si="142"/>
        <v>435</v>
      </c>
      <c r="N2469" s="790" t="str">
        <f t="shared" si="143"/>
        <v>007</v>
      </c>
      <c r="O2469" s="790" t="s">
        <v>9883</v>
      </c>
      <c r="P2469" s="790" t="s">
        <v>10244</v>
      </c>
      <c r="R2469" s="30"/>
    </row>
    <row r="2470" spans="2:18">
      <c r="B2470" s="5" t="str">
        <f>Page5_CAD_VE!C41</f>
        <v>NE PAS UTILISER</v>
      </c>
      <c r="C2470" s="1038" t="str">
        <f>OR_VEH!D340</f>
        <v>436-007</v>
      </c>
      <c r="D2470" s="803">
        <f>Page5_CAD_VE!G41</f>
        <v>0</v>
      </c>
      <c r="E2470" s="803">
        <f>Page5_CAD_VE!L41</f>
        <v>0</v>
      </c>
      <c r="F2470" t="str">
        <f t="shared" si="139"/>
        <v>01-00-436-007-SALES-CURR</v>
      </c>
      <c r="G2470" t="s">
        <v>127</v>
      </c>
      <c r="H2470" t="s">
        <v>10287</v>
      </c>
      <c r="I2470" t="s">
        <v>10253</v>
      </c>
      <c r="K2470" s="1073" t="s">
        <v>10288</v>
      </c>
      <c r="L2470" s="789" t="s">
        <v>10241</v>
      </c>
      <c r="M2470" s="790" t="str">
        <f t="shared" si="142"/>
        <v>436</v>
      </c>
      <c r="N2470" s="790" t="str">
        <f t="shared" si="143"/>
        <v>007</v>
      </c>
      <c r="O2470" s="790" t="s">
        <v>9883</v>
      </c>
      <c r="P2470" s="790" t="s">
        <v>10244</v>
      </c>
      <c r="R2470" s="30"/>
    </row>
    <row r="2471" spans="2:18">
      <c r="B2471" s="5" t="str">
        <f>Page5_CAD_VE!C42</f>
        <v>NE PAS UTILISER</v>
      </c>
      <c r="C2471" s="1038" t="str">
        <f>OR_VEH!D341</f>
        <v>437-007</v>
      </c>
      <c r="D2471" s="803">
        <f>Page5_CAD_VE!G42</f>
        <v>0</v>
      </c>
      <c r="E2471" s="803">
        <f>Page5_CAD_VE!L42</f>
        <v>0</v>
      </c>
      <c r="F2471" t="str">
        <f t="shared" si="139"/>
        <v>01-00-437-007-SALES-CURR</v>
      </c>
      <c r="G2471" t="s">
        <v>127</v>
      </c>
      <c r="H2471" t="s">
        <v>10287</v>
      </c>
      <c r="I2471" t="s">
        <v>10253</v>
      </c>
      <c r="K2471" s="1073" t="s">
        <v>10288</v>
      </c>
      <c r="L2471" s="789" t="s">
        <v>10241</v>
      </c>
      <c r="M2471" s="790" t="str">
        <f t="shared" si="142"/>
        <v>437</v>
      </c>
      <c r="N2471" s="790" t="str">
        <f t="shared" si="143"/>
        <v>007</v>
      </c>
      <c r="O2471" s="790" t="s">
        <v>9883</v>
      </c>
      <c r="P2471" s="790" t="s">
        <v>10244</v>
      </c>
      <c r="R2471" s="30"/>
    </row>
    <row r="2472" spans="2:18">
      <c r="B2472" s="5" t="str">
        <f>Page5_CAD_VE!C43</f>
        <v>NE PAS UTILISER</v>
      </c>
      <c r="C2472" s="1038" t="str">
        <f>OR_VEH!D342</f>
        <v>438-007</v>
      </c>
      <c r="D2472" s="803">
        <f>Page5_CAD_VE!G43</f>
        <v>0</v>
      </c>
      <c r="E2472" s="803">
        <f>Page5_CAD_VE!L43</f>
        <v>0</v>
      </c>
      <c r="F2472" t="str">
        <f t="shared" si="139"/>
        <v>01-00-438-007-SALES-CURR</v>
      </c>
      <c r="G2472" t="s">
        <v>127</v>
      </c>
      <c r="H2472" t="s">
        <v>10287</v>
      </c>
      <c r="I2472" t="s">
        <v>10253</v>
      </c>
      <c r="K2472" s="1073" t="s">
        <v>10288</v>
      </c>
      <c r="L2472" s="789" t="s">
        <v>10241</v>
      </c>
      <c r="M2472" s="790" t="str">
        <f t="shared" si="142"/>
        <v>438</v>
      </c>
      <c r="N2472" s="790" t="str">
        <f t="shared" si="143"/>
        <v>007</v>
      </c>
      <c r="O2472" s="790" t="s">
        <v>9883</v>
      </c>
      <c r="P2472" s="790" t="s">
        <v>10244</v>
      </c>
      <c r="R2472" s="30"/>
    </row>
    <row r="2473" spans="2:18">
      <c r="B2473" s="51" t="s">
        <v>12187</v>
      </c>
      <c r="C2473" s="1042"/>
      <c r="D2473" s="803">
        <f>Page5_CAD_VE!G44</f>
        <v>529537</v>
      </c>
      <c r="E2473" s="803">
        <f>Page5_CAD_VE!L44</f>
        <v>961197</v>
      </c>
      <c r="F2473" t="str">
        <f t="shared" si="139"/>
        <v>01-00-RTLTRK5G-SALES-CURR</v>
      </c>
      <c r="G2473" t="s">
        <v>127</v>
      </c>
      <c r="H2473" t="s">
        <v>10287</v>
      </c>
      <c r="I2473" t="s">
        <v>10253</v>
      </c>
      <c r="J2473" t="s">
        <v>10268</v>
      </c>
      <c r="K2473" s="1073" t="s">
        <v>10288</v>
      </c>
      <c r="L2473" s="789" t="s">
        <v>10241</v>
      </c>
      <c r="M2473" s="790" t="s">
        <v>10360</v>
      </c>
      <c r="O2473" s="790" t="s">
        <v>9883</v>
      </c>
      <c r="P2473" s="790" t="s">
        <v>10244</v>
      </c>
      <c r="Q2473" s="791" t="s">
        <v>773</v>
      </c>
    </row>
    <row r="2474" spans="2:18">
      <c r="B2474" s="5" t="str">
        <f>Page5_CAD_VE!C45</f>
        <v>MÉMO* VENTES INTERNET CAMIONS</v>
      </c>
      <c r="C2474" s="1038" t="str">
        <f>OR_VEH!D344</f>
        <v>439P5G</v>
      </c>
      <c r="D2474" s="803">
        <f>Page5_CAD_VE!G45</f>
        <v>0</v>
      </c>
      <c r="E2474" s="803">
        <f>Page5_CAD_VE!L45</f>
        <v>0</v>
      </c>
      <c r="F2474" t="str">
        <f t="shared" si="139"/>
        <v>01-00-439P5G-SALES-CURR</v>
      </c>
      <c r="G2474" t="s">
        <v>127</v>
      </c>
      <c r="H2474" t="s">
        <v>10287</v>
      </c>
      <c r="I2474" t="s">
        <v>10253</v>
      </c>
      <c r="K2474" s="1073" t="s">
        <v>10288</v>
      </c>
      <c r="L2474" s="789" t="s">
        <v>10241</v>
      </c>
      <c r="M2474" s="855" t="str">
        <f>C2474</f>
        <v>439P5G</v>
      </c>
      <c r="N2474" s="855"/>
      <c r="O2474" s="790" t="s">
        <v>9883</v>
      </c>
      <c r="P2474" s="790" t="s">
        <v>10244</v>
      </c>
      <c r="R2474" s="30"/>
    </row>
    <row r="2475" spans="2:18">
      <c r="B2475" s="5" t="str">
        <f>Page5_CAD_VE!C46</f>
        <v>TOTAL PARCS - CAMIONS</v>
      </c>
      <c r="C2475" s="1038" t="str">
        <f>OR_VEH!D345</f>
        <v>440P5G</v>
      </c>
      <c r="D2475" s="803">
        <f>Page5_CAD_VE!G46</f>
        <v>0</v>
      </c>
      <c r="E2475" s="803">
        <f>Page5_CAD_VE!L46</f>
        <v>0</v>
      </c>
      <c r="F2475" t="str">
        <f t="shared" si="139"/>
        <v>01-00-440P5G-SALES-CURR</v>
      </c>
      <c r="G2475" t="s">
        <v>127</v>
      </c>
      <c r="H2475" t="s">
        <v>10287</v>
      </c>
      <c r="I2475" t="s">
        <v>10253</v>
      </c>
      <c r="K2475" s="1073" t="s">
        <v>10288</v>
      </c>
      <c r="L2475" s="789" t="s">
        <v>10241</v>
      </c>
      <c r="M2475" s="855" t="str">
        <f>C2475</f>
        <v>440P5G</v>
      </c>
      <c r="N2475" s="855"/>
      <c r="O2475" s="790" t="s">
        <v>9883</v>
      </c>
      <c r="P2475" s="790" t="s">
        <v>10244</v>
      </c>
      <c r="R2475" s="30"/>
    </row>
    <row r="2476" spans="2:18">
      <c r="B2476" s="5" t="str">
        <f>Page5_CAD_VE!C47</f>
        <v xml:space="preserve">TOTAL IINTERNE - CAMIONS </v>
      </c>
      <c r="C2476" s="1038" t="str">
        <f>OR_VEH!D346</f>
        <v>441P5G</v>
      </c>
      <c r="D2476" s="803">
        <f>Page5_CAD_VE!G47</f>
        <v>0</v>
      </c>
      <c r="E2476" s="803">
        <f>Page5_CAD_VE!L47</f>
        <v>0</v>
      </c>
      <c r="F2476" t="str">
        <f t="shared" si="139"/>
        <v>01-00-441P5G-SALES-CURR</v>
      </c>
      <c r="G2476" t="s">
        <v>127</v>
      </c>
      <c r="H2476" t="s">
        <v>10287</v>
      </c>
      <c r="I2476" t="s">
        <v>10253</v>
      </c>
      <c r="K2476" s="1073" t="s">
        <v>10288</v>
      </c>
      <c r="L2476" s="789" t="s">
        <v>10241</v>
      </c>
      <c r="M2476" s="855" t="str">
        <f>C2476</f>
        <v>441P5G</v>
      </c>
      <c r="N2476" s="855"/>
      <c r="O2476" s="790" t="s">
        <v>9883</v>
      </c>
      <c r="P2476" s="790" t="s">
        <v>10244</v>
      </c>
      <c r="R2476" s="30"/>
    </row>
    <row r="2477" spans="2:18">
      <c r="B2477" s="27" t="s">
        <v>12188</v>
      </c>
      <c r="C2477" s="1042"/>
      <c r="D2477" s="803">
        <f>Page5_CAD_VE!G48</f>
        <v>529537</v>
      </c>
      <c r="E2477" s="803">
        <f>Page5_CAD_VE!L48</f>
        <v>961197</v>
      </c>
      <c r="F2477" t="str">
        <f t="shared" si="139"/>
        <v>01-00-TOTTRK5G-SALES-CURR</v>
      </c>
      <c r="G2477" t="s">
        <v>127</v>
      </c>
      <c r="H2477" t="s">
        <v>10287</v>
      </c>
      <c r="I2477" t="s">
        <v>10253</v>
      </c>
      <c r="J2477" t="s">
        <v>10268</v>
      </c>
      <c r="K2477" s="1073" t="s">
        <v>10288</v>
      </c>
      <c r="L2477" s="789" t="s">
        <v>10241</v>
      </c>
      <c r="M2477" s="790" t="s">
        <v>10362</v>
      </c>
      <c r="O2477" s="790" t="s">
        <v>9883</v>
      </c>
      <c r="P2477" s="790" t="s">
        <v>10244</v>
      </c>
      <c r="Q2477" s="791" t="s">
        <v>773</v>
      </c>
    </row>
    <row r="2478" spans="2:18">
      <c r="B2478" s="5" t="str">
        <f>Page5_CAD_VE!C50</f>
        <v>ACCESSOIRES</v>
      </c>
      <c r="C2478" s="1038" t="str">
        <f>OR_VEH!D349</f>
        <v>457P5G</v>
      </c>
      <c r="D2478" s="803">
        <f>Page5_CAD_VE!G50</f>
        <v>0</v>
      </c>
      <c r="E2478" s="803">
        <f>Page5_CAD_VE!L50</f>
        <v>0</v>
      </c>
      <c r="F2478" t="str">
        <f t="shared" si="139"/>
        <v>01-00-457P5G-SALES-CURR</v>
      </c>
      <c r="G2478" t="s">
        <v>127</v>
      </c>
      <c r="H2478" t="s">
        <v>10287</v>
      </c>
      <c r="I2478" t="s">
        <v>10253</v>
      </c>
      <c r="K2478" s="1073" t="s">
        <v>10288</v>
      </c>
      <c r="L2478" s="789" t="s">
        <v>10241</v>
      </c>
      <c r="M2478" s="855" t="str">
        <f>C2478</f>
        <v>457P5G</v>
      </c>
      <c r="N2478" s="855"/>
      <c r="O2478" s="790" t="s">
        <v>9883</v>
      </c>
      <c r="P2478" s="790" t="s">
        <v>10244</v>
      </c>
      <c r="R2478" s="30"/>
    </row>
    <row r="2479" spans="2:18">
      <c r="B2479" s="27" t="s">
        <v>12189</v>
      </c>
      <c r="C2479" s="1042"/>
      <c r="D2479" s="803">
        <f>Page5_CAD_VE!G51</f>
        <v>529537</v>
      </c>
      <c r="E2479" s="803">
        <f>Page5_CAD_VE!L51</f>
        <v>961197</v>
      </c>
      <c r="F2479" t="str">
        <f t="shared" si="139"/>
        <v>01-00-TOTVEH5G-SALES-CURR</v>
      </c>
      <c r="G2479" t="s">
        <v>127</v>
      </c>
      <c r="H2479" t="s">
        <v>10287</v>
      </c>
      <c r="I2479" t="s">
        <v>10253</v>
      </c>
      <c r="J2479" t="s">
        <v>10268</v>
      </c>
      <c r="K2479" s="1073" t="s">
        <v>10288</v>
      </c>
      <c r="L2479" s="789" t="s">
        <v>10241</v>
      </c>
      <c r="M2479" s="790" t="s">
        <v>10364</v>
      </c>
      <c r="O2479" s="790" t="s">
        <v>9883</v>
      </c>
      <c r="P2479" s="790" t="s">
        <v>10244</v>
      </c>
      <c r="Q2479" s="791" t="s">
        <v>773</v>
      </c>
    </row>
    <row r="2480" spans="2:18">
      <c r="B2480" s="5" t="str">
        <f>Page5_CAD_VE!C4</f>
        <v>CELESTIQ</v>
      </c>
      <c r="C2480" s="1038" t="str">
        <f>OR_VEH!D303</f>
        <v>400-007</v>
      </c>
      <c r="D2480" s="803">
        <f>Page5_CAD_VE!I4</f>
        <v>0</v>
      </c>
      <c r="E2480" s="803">
        <f>Page5_CAD_VE!N4</f>
        <v>0</v>
      </c>
      <c r="F2480" t="str">
        <f t="shared" si="139"/>
        <v>01-00-400-007-GRSPFT-CURR</v>
      </c>
      <c r="G2480" t="s">
        <v>127</v>
      </c>
      <c r="H2480" t="s">
        <v>10287</v>
      </c>
      <c r="I2480" t="s">
        <v>10253</v>
      </c>
      <c r="K2480" s="1073" t="s">
        <v>10288</v>
      </c>
      <c r="L2480" s="789" t="s">
        <v>10241</v>
      </c>
      <c r="M2480" s="790" t="str">
        <f t="shared" ref="M2480:M2498" si="144">LEFT(C2480,3)</f>
        <v>400</v>
      </c>
      <c r="N2480" s="790" t="str">
        <f t="shared" ref="N2480:N2498" si="145">RIGHT(C2480,3)</f>
        <v>007</v>
      </c>
      <c r="O2480" s="799" t="s">
        <v>10467</v>
      </c>
      <c r="P2480" s="799" t="s">
        <v>10244</v>
      </c>
      <c r="R2480" s="30"/>
    </row>
    <row r="2481" spans="2:18">
      <c r="B2481" s="5" t="str">
        <f>Page5_CAD_VE!C5</f>
        <v>NE PAS UTILISER</v>
      </c>
      <c r="C2481" s="1038" t="str">
        <f>OR_VEH!D304</f>
        <v>401-007</v>
      </c>
      <c r="D2481" s="803">
        <f>Page5_CAD_VE!I5</f>
        <v>0</v>
      </c>
      <c r="E2481" s="803">
        <f>Page5_CAD_VE!N5</f>
        <v>0</v>
      </c>
      <c r="F2481" t="str">
        <f t="shared" si="139"/>
        <v>01-00-401-007-GRSPFT-CURR</v>
      </c>
      <c r="G2481" t="s">
        <v>127</v>
      </c>
      <c r="H2481" t="s">
        <v>10287</v>
      </c>
      <c r="I2481" t="s">
        <v>10253</v>
      </c>
      <c r="K2481" s="1073" t="s">
        <v>10288</v>
      </c>
      <c r="L2481" s="789" t="s">
        <v>10241</v>
      </c>
      <c r="M2481" s="790" t="str">
        <f t="shared" si="144"/>
        <v>401</v>
      </c>
      <c r="N2481" s="790" t="str">
        <f t="shared" si="145"/>
        <v>007</v>
      </c>
      <c r="O2481" s="799" t="s">
        <v>10467</v>
      </c>
      <c r="P2481" s="799" t="s">
        <v>10244</v>
      </c>
      <c r="R2481" s="30"/>
    </row>
    <row r="2482" spans="2:18">
      <c r="B2482" s="5" t="str">
        <f>Page5_CAD_VE!C6</f>
        <v>NE PAS UTILISER</v>
      </c>
      <c r="C2482" s="1038" t="str">
        <f>OR_VEH!D305</f>
        <v>402-007</v>
      </c>
      <c r="D2482" s="803">
        <f>Page5_CAD_VE!I6</f>
        <v>0</v>
      </c>
      <c r="E2482" s="803">
        <f>Page5_CAD_VE!N6</f>
        <v>0</v>
      </c>
      <c r="F2482" t="str">
        <f t="shared" si="139"/>
        <v>01-00-402-007-GRSPFT-CURR</v>
      </c>
      <c r="G2482" t="s">
        <v>127</v>
      </c>
      <c r="H2482" t="s">
        <v>10287</v>
      </c>
      <c r="I2482" t="s">
        <v>10253</v>
      </c>
      <c r="K2482" s="1073" t="s">
        <v>10288</v>
      </c>
      <c r="L2482" s="789" t="s">
        <v>10241</v>
      </c>
      <c r="M2482" s="790" t="str">
        <f t="shared" si="144"/>
        <v>402</v>
      </c>
      <c r="N2482" s="790" t="str">
        <f t="shared" si="145"/>
        <v>007</v>
      </c>
      <c r="O2482" s="799" t="s">
        <v>10467</v>
      </c>
      <c r="P2482" s="799" t="s">
        <v>10244</v>
      </c>
      <c r="R2482" s="30"/>
    </row>
    <row r="2483" spans="2:18">
      <c r="B2483" s="5" t="str">
        <f>Page5_CAD_VE!C7</f>
        <v>NE PAS UTILISER</v>
      </c>
      <c r="C2483" s="1038" t="str">
        <f>OR_VEH!D306</f>
        <v>403-007</v>
      </c>
      <c r="D2483" s="803">
        <f>Page5_CAD_VE!I7</f>
        <v>0</v>
      </c>
      <c r="E2483" s="803">
        <f>Page5_CAD_VE!N7</f>
        <v>0</v>
      </c>
      <c r="F2483" t="str">
        <f t="shared" si="139"/>
        <v>01-00-403-007-GRSPFT-CURR</v>
      </c>
      <c r="G2483" t="s">
        <v>127</v>
      </c>
      <c r="H2483" t="s">
        <v>10287</v>
      </c>
      <c r="I2483" t="s">
        <v>10253</v>
      </c>
      <c r="K2483" s="1073" t="s">
        <v>10288</v>
      </c>
      <c r="L2483" s="789" t="s">
        <v>10241</v>
      </c>
      <c r="M2483" s="790" t="str">
        <f t="shared" si="144"/>
        <v>403</v>
      </c>
      <c r="N2483" s="790" t="str">
        <f t="shared" si="145"/>
        <v>007</v>
      </c>
      <c r="O2483" s="799" t="s">
        <v>10467</v>
      </c>
      <c r="P2483" s="799" t="s">
        <v>10244</v>
      </c>
      <c r="R2483" s="30"/>
    </row>
    <row r="2484" spans="2:18">
      <c r="B2484" s="5" t="str">
        <f>Page5_CAD_VE!C8</f>
        <v>NE PAS UTILISER</v>
      </c>
      <c r="C2484" s="1038" t="str">
        <f>OR_VEH!D307</f>
        <v>404-007</v>
      </c>
      <c r="D2484" s="803">
        <f>Page5_CAD_VE!I8</f>
        <v>0</v>
      </c>
      <c r="E2484" s="803">
        <f>Page5_CAD_VE!N8</f>
        <v>0</v>
      </c>
      <c r="F2484" t="str">
        <f t="shared" si="139"/>
        <v>01-00-404-007-GRSPFT-CURR</v>
      </c>
      <c r="G2484" t="s">
        <v>127</v>
      </c>
      <c r="H2484" t="s">
        <v>10287</v>
      </c>
      <c r="I2484" t="s">
        <v>10253</v>
      </c>
      <c r="K2484" s="1073" t="s">
        <v>10288</v>
      </c>
      <c r="L2484" s="789" t="s">
        <v>10241</v>
      </c>
      <c r="M2484" s="790" t="str">
        <f t="shared" si="144"/>
        <v>404</v>
      </c>
      <c r="N2484" s="790" t="str">
        <f t="shared" si="145"/>
        <v>007</v>
      </c>
      <c r="O2484" s="799" t="s">
        <v>10467</v>
      </c>
      <c r="P2484" s="799" t="s">
        <v>10244</v>
      </c>
      <c r="R2484" s="30"/>
    </row>
    <row r="2485" spans="2:18">
      <c r="B2485" s="5" t="str">
        <f>Page5_CAD_VE!C9</f>
        <v>NE PAS UTILISER</v>
      </c>
      <c r="C2485" s="1038" t="str">
        <f>OR_VEH!D308</f>
        <v>405-007</v>
      </c>
      <c r="D2485" s="803">
        <f>Page5_CAD_VE!I9</f>
        <v>0</v>
      </c>
      <c r="E2485" s="803">
        <f>Page5_CAD_VE!N9</f>
        <v>0</v>
      </c>
      <c r="F2485" t="str">
        <f t="shared" si="139"/>
        <v>01-00-405-007-GRSPFT-CURR</v>
      </c>
      <c r="G2485" t="s">
        <v>127</v>
      </c>
      <c r="H2485" t="s">
        <v>10287</v>
      </c>
      <c r="I2485" t="s">
        <v>10253</v>
      </c>
      <c r="K2485" s="1073" t="s">
        <v>10288</v>
      </c>
      <c r="L2485" s="789" t="s">
        <v>10241</v>
      </c>
      <c r="M2485" s="790" t="str">
        <f t="shared" si="144"/>
        <v>405</v>
      </c>
      <c r="N2485" s="790" t="str">
        <f t="shared" si="145"/>
        <v>007</v>
      </c>
      <c r="O2485" s="799" t="s">
        <v>10467</v>
      </c>
      <c r="P2485" s="799" t="s">
        <v>10244</v>
      </c>
      <c r="R2485" s="30"/>
    </row>
    <row r="2486" spans="2:18">
      <c r="B2486" s="5" t="str">
        <f>Page5_CAD_VE!C10</f>
        <v>NE PAS UTILISER</v>
      </c>
      <c r="C2486" s="1038" t="str">
        <f>OR_VEH!D309</f>
        <v>406-007</v>
      </c>
      <c r="D2486" s="803">
        <f>Page5_CAD_VE!I10</f>
        <v>0</v>
      </c>
      <c r="E2486" s="803">
        <f>Page5_CAD_VE!N10</f>
        <v>0</v>
      </c>
      <c r="F2486" t="str">
        <f t="shared" ref="F2486:F2549" si="146">TEXT(K2486,"00")&amp;"-"&amp;L2486&amp;IF(M2486="","","-"&amp;M2486)&amp;IF(N2486="","","-"&amp;N2486)&amp;IF(OR(O2486="",O2486=0),"","-"&amp;O2486)&amp;IF(P2486="","","-"&amp;P2486)</f>
        <v>01-00-406-007-GRSPFT-CURR</v>
      </c>
      <c r="G2486" t="s">
        <v>127</v>
      </c>
      <c r="H2486" t="s">
        <v>10287</v>
      </c>
      <c r="I2486" t="s">
        <v>10253</v>
      </c>
      <c r="K2486" s="1073" t="s">
        <v>10288</v>
      </c>
      <c r="L2486" s="789" t="s">
        <v>10241</v>
      </c>
      <c r="M2486" s="790" t="str">
        <f t="shared" si="144"/>
        <v>406</v>
      </c>
      <c r="N2486" s="790" t="str">
        <f t="shared" si="145"/>
        <v>007</v>
      </c>
      <c r="O2486" s="799" t="s">
        <v>10467</v>
      </c>
      <c r="P2486" s="799" t="s">
        <v>10244</v>
      </c>
      <c r="R2486" s="30"/>
    </row>
    <row r="2487" spans="2:18">
      <c r="B2487" s="5" t="str">
        <f>Page5_CAD_VE!C11</f>
        <v>NE PAS UTILISER</v>
      </c>
      <c r="C2487" s="1038" t="str">
        <f>OR_VEH!D310</f>
        <v>407-007</v>
      </c>
      <c r="D2487" s="803">
        <f>Page5_CAD_VE!I11</f>
        <v>0</v>
      </c>
      <c r="E2487" s="803">
        <f>Page5_CAD_VE!N11</f>
        <v>0</v>
      </c>
      <c r="F2487" t="str">
        <f t="shared" si="146"/>
        <v>01-00-407-007-GRSPFT-CURR</v>
      </c>
      <c r="G2487" t="s">
        <v>127</v>
      </c>
      <c r="H2487" t="s">
        <v>10287</v>
      </c>
      <c r="I2487" t="s">
        <v>10253</v>
      </c>
      <c r="K2487" s="1073" t="s">
        <v>10288</v>
      </c>
      <c r="L2487" s="789" t="s">
        <v>10241</v>
      </c>
      <c r="M2487" s="790" t="str">
        <f t="shared" si="144"/>
        <v>407</v>
      </c>
      <c r="N2487" s="790" t="str">
        <f t="shared" si="145"/>
        <v>007</v>
      </c>
      <c r="O2487" s="799" t="s">
        <v>10467</v>
      </c>
      <c r="P2487" s="799" t="s">
        <v>10244</v>
      </c>
      <c r="R2487" s="30"/>
    </row>
    <row r="2488" spans="2:18">
      <c r="B2488" s="5" t="str">
        <f>Page5_CAD_VE!C12</f>
        <v>NE PAS UTILISER</v>
      </c>
      <c r="C2488" s="1038" t="str">
        <f>OR_VEH!D311</f>
        <v>408-007</v>
      </c>
      <c r="D2488" s="803">
        <f>Page5_CAD_VE!I12</f>
        <v>0</v>
      </c>
      <c r="E2488" s="803">
        <f>Page5_CAD_VE!N12</f>
        <v>0</v>
      </c>
      <c r="F2488" t="str">
        <f t="shared" si="146"/>
        <v>01-00-408-007-GRSPFT-CURR</v>
      </c>
      <c r="G2488" t="s">
        <v>127</v>
      </c>
      <c r="H2488" t="s">
        <v>10287</v>
      </c>
      <c r="I2488" t="s">
        <v>10253</v>
      </c>
      <c r="K2488" s="1073" t="s">
        <v>10288</v>
      </c>
      <c r="L2488" s="789" t="s">
        <v>10241</v>
      </c>
      <c r="M2488" s="790" t="str">
        <f t="shared" si="144"/>
        <v>408</v>
      </c>
      <c r="N2488" s="790" t="str">
        <f t="shared" si="145"/>
        <v>007</v>
      </c>
      <c r="O2488" s="799" t="s">
        <v>10467</v>
      </c>
      <c r="P2488" s="799" t="s">
        <v>10244</v>
      </c>
      <c r="R2488" s="30"/>
    </row>
    <row r="2489" spans="2:18">
      <c r="B2489" s="5" t="str">
        <f>Page5_CAD_VE!C13</f>
        <v>NE PAS UTILISER</v>
      </c>
      <c r="C2489" s="1038" t="str">
        <f>OR_VEH!D312</f>
        <v>409-007</v>
      </c>
      <c r="D2489" s="803">
        <f>Page5_CAD_VE!I13</f>
        <v>0</v>
      </c>
      <c r="E2489" s="803">
        <f>Page5_CAD_VE!N13</f>
        <v>0</v>
      </c>
      <c r="F2489" t="str">
        <f t="shared" si="146"/>
        <v>01-00-409-007-GRSPFT-CURR</v>
      </c>
      <c r="G2489" t="s">
        <v>127</v>
      </c>
      <c r="H2489" t="s">
        <v>10287</v>
      </c>
      <c r="I2489" t="s">
        <v>10253</v>
      </c>
      <c r="K2489" s="1073" t="s">
        <v>10288</v>
      </c>
      <c r="L2489" s="789" t="s">
        <v>10241</v>
      </c>
      <c r="M2489" s="790" t="str">
        <f t="shared" si="144"/>
        <v>409</v>
      </c>
      <c r="N2489" s="790" t="str">
        <f t="shared" si="145"/>
        <v>007</v>
      </c>
      <c r="O2489" s="799" t="s">
        <v>10467</v>
      </c>
      <c r="P2489" s="799" t="s">
        <v>10244</v>
      </c>
      <c r="R2489" s="30"/>
    </row>
    <row r="2490" spans="2:18">
      <c r="B2490" s="5" t="str">
        <f>Page5_CAD_VE!C14</f>
        <v>NE PAS UTILISER</v>
      </c>
      <c r="C2490" s="1038" t="str">
        <f>OR_VEH!D313</f>
        <v>410-007</v>
      </c>
      <c r="D2490" s="803">
        <f>Page5_CAD_VE!I14</f>
        <v>0</v>
      </c>
      <c r="E2490" s="803">
        <f>Page5_CAD_VE!N14</f>
        <v>0</v>
      </c>
      <c r="F2490" t="str">
        <f t="shared" si="146"/>
        <v>01-00-410-007-GRSPFT-CURR</v>
      </c>
      <c r="G2490" t="s">
        <v>127</v>
      </c>
      <c r="H2490" t="s">
        <v>10287</v>
      </c>
      <c r="I2490" t="s">
        <v>10253</v>
      </c>
      <c r="K2490" s="1073" t="s">
        <v>10288</v>
      </c>
      <c r="L2490" s="789" t="s">
        <v>10241</v>
      </c>
      <c r="M2490" s="790" t="str">
        <f t="shared" si="144"/>
        <v>410</v>
      </c>
      <c r="N2490" s="790" t="str">
        <f t="shared" si="145"/>
        <v>007</v>
      </c>
      <c r="O2490" s="799" t="s">
        <v>10467</v>
      </c>
      <c r="P2490" s="799" t="s">
        <v>10244</v>
      </c>
      <c r="R2490" s="30"/>
    </row>
    <row r="2491" spans="2:18">
      <c r="B2491" s="5" t="str">
        <f>Page5_CAD_VE!C15</f>
        <v>NE PAS UTILISER</v>
      </c>
      <c r="C2491" s="1038" t="str">
        <f>OR_VEH!D314</f>
        <v>411-007</v>
      </c>
      <c r="D2491" s="803">
        <f>Page5_CAD_VE!I15</f>
        <v>0</v>
      </c>
      <c r="E2491" s="803">
        <f>Page5_CAD_VE!N15</f>
        <v>0</v>
      </c>
      <c r="F2491" t="str">
        <f t="shared" si="146"/>
        <v>01-00-411-007-GRSPFT-CURR</v>
      </c>
      <c r="G2491" t="s">
        <v>127</v>
      </c>
      <c r="H2491" t="s">
        <v>10287</v>
      </c>
      <c r="I2491" t="s">
        <v>10253</v>
      </c>
      <c r="K2491" s="1073" t="s">
        <v>10288</v>
      </c>
      <c r="L2491" s="789" t="s">
        <v>10241</v>
      </c>
      <c r="M2491" s="790" t="str">
        <f t="shared" si="144"/>
        <v>411</v>
      </c>
      <c r="N2491" s="790" t="str">
        <f t="shared" si="145"/>
        <v>007</v>
      </c>
      <c r="O2491" s="799" t="s">
        <v>10467</v>
      </c>
      <c r="P2491" s="799" t="s">
        <v>10244</v>
      </c>
      <c r="R2491" s="30"/>
    </row>
    <row r="2492" spans="2:18">
      <c r="B2492" s="5" t="str">
        <f>Page5_CAD_VE!C16</f>
        <v>NE PAS UTILISER</v>
      </c>
      <c r="C2492" s="1038" t="str">
        <f>OR_VEH!D315</f>
        <v>412-007</v>
      </c>
      <c r="D2492" s="803">
        <f>Page5_CAD_VE!I16</f>
        <v>0</v>
      </c>
      <c r="E2492" s="803">
        <f>Page5_CAD_VE!N16</f>
        <v>0</v>
      </c>
      <c r="F2492" t="str">
        <f t="shared" si="146"/>
        <v>01-00-412-007-GRSPFT-CURR</v>
      </c>
      <c r="G2492" t="s">
        <v>127</v>
      </c>
      <c r="H2492" t="s">
        <v>10287</v>
      </c>
      <c r="I2492" t="s">
        <v>10253</v>
      </c>
      <c r="K2492" s="1073" t="s">
        <v>10288</v>
      </c>
      <c r="L2492" s="789" t="s">
        <v>10241</v>
      </c>
      <c r="M2492" s="790" t="str">
        <f t="shared" si="144"/>
        <v>412</v>
      </c>
      <c r="N2492" s="790" t="str">
        <f t="shared" si="145"/>
        <v>007</v>
      </c>
      <c r="O2492" s="799" t="s">
        <v>10467</v>
      </c>
      <c r="P2492" s="799" t="s">
        <v>10244</v>
      </c>
      <c r="R2492" s="30"/>
    </row>
    <row r="2493" spans="2:18">
      <c r="B2493" s="5" t="str">
        <f>Page5_CAD_VE!C17</f>
        <v>NE PAS UTILISER</v>
      </c>
      <c r="C2493" s="1038" t="str">
        <f>OR_VEH!D316</f>
        <v>413-007</v>
      </c>
      <c r="D2493" s="803">
        <f>Page5_CAD_VE!I17</f>
        <v>0</v>
      </c>
      <c r="E2493" s="803">
        <f>Page5_CAD_VE!N17</f>
        <v>0</v>
      </c>
      <c r="F2493" t="str">
        <f t="shared" si="146"/>
        <v>01-00-413-007-GRSPFT-CURR</v>
      </c>
      <c r="G2493" t="s">
        <v>127</v>
      </c>
      <c r="H2493" t="s">
        <v>10287</v>
      </c>
      <c r="I2493" t="s">
        <v>10253</v>
      </c>
      <c r="K2493" s="1073" t="s">
        <v>10288</v>
      </c>
      <c r="L2493" s="789" t="s">
        <v>10241</v>
      </c>
      <c r="M2493" s="790" t="str">
        <f t="shared" si="144"/>
        <v>413</v>
      </c>
      <c r="N2493" s="790" t="str">
        <f t="shared" si="145"/>
        <v>007</v>
      </c>
      <c r="O2493" s="799" t="s">
        <v>10467</v>
      </c>
      <c r="P2493" s="799" t="s">
        <v>10244</v>
      </c>
      <c r="R2493" s="30"/>
    </row>
    <row r="2494" spans="2:18">
      <c r="B2494" s="5" t="str">
        <f>Page5_CAD_VE!C18</f>
        <v>NE PAS UTILISER</v>
      </c>
      <c r="C2494" s="1038" t="str">
        <f>OR_VEH!D317</f>
        <v>414-007</v>
      </c>
      <c r="D2494" s="803">
        <f>Page5_CAD_VE!I18</f>
        <v>0</v>
      </c>
      <c r="E2494" s="803">
        <f>Page5_CAD_VE!N18</f>
        <v>0</v>
      </c>
      <c r="F2494" t="str">
        <f t="shared" si="146"/>
        <v>01-00-414-007-GRSPFT-CURR</v>
      </c>
      <c r="G2494" t="s">
        <v>127</v>
      </c>
      <c r="H2494" t="s">
        <v>10287</v>
      </c>
      <c r="I2494" t="s">
        <v>10253</v>
      </c>
      <c r="K2494" s="1073" t="s">
        <v>10288</v>
      </c>
      <c r="L2494" s="789" t="s">
        <v>10241</v>
      </c>
      <c r="M2494" s="790" t="str">
        <f t="shared" si="144"/>
        <v>414</v>
      </c>
      <c r="N2494" s="790" t="str">
        <f t="shared" si="145"/>
        <v>007</v>
      </c>
      <c r="O2494" s="799" t="s">
        <v>10467</v>
      </c>
      <c r="P2494" s="799" t="s">
        <v>10244</v>
      </c>
      <c r="R2494" s="30"/>
    </row>
    <row r="2495" spans="2:18">
      <c r="B2495" s="5" t="str">
        <f>Page5_CAD_VE!C19</f>
        <v>NE PAS UTILISER</v>
      </c>
      <c r="C2495" s="1038" t="str">
        <f>OR_VEH!D318</f>
        <v>415-007</v>
      </c>
      <c r="D2495" s="803">
        <f>Page5_CAD_VE!I19</f>
        <v>0</v>
      </c>
      <c r="E2495" s="803">
        <f>Page5_CAD_VE!N19</f>
        <v>0</v>
      </c>
      <c r="F2495" t="str">
        <f t="shared" si="146"/>
        <v>01-00-415-007-GRSPFT-CURR</v>
      </c>
      <c r="G2495" t="s">
        <v>127</v>
      </c>
      <c r="H2495" t="s">
        <v>10287</v>
      </c>
      <c r="I2495" t="s">
        <v>10253</v>
      </c>
      <c r="K2495" s="1073" t="s">
        <v>10288</v>
      </c>
      <c r="L2495" s="789" t="s">
        <v>10241</v>
      </c>
      <c r="M2495" s="790" t="str">
        <f t="shared" si="144"/>
        <v>415</v>
      </c>
      <c r="N2495" s="790" t="str">
        <f t="shared" si="145"/>
        <v>007</v>
      </c>
      <c r="O2495" s="799" t="s">
        <v>10467</v>
      </c>
      <c r="P2495" s="799" t="s">
        <v>10244</v>
      </c>
      <c r="R2495" s="30"/>
    </row>
    <row r="2496" spans="2:18">
      <c r="B2496" s="5" t="str">
        <f>Page5_CAD_VE!C20</f>
        <v>NE PAS UTILISER</v>
      </c>
      <c r="C2496" s="1038" t="str">
        <f>OR_VEH!D319</f>
        <v>416-007</v>
      </c>
      <c r="D2496" s="803">
        <f>Page5_CAD_VE!I20</f>
        <v>0</v>
      </c>
      <c r="E2496" s="803">
        <f>Page5_CAD_VE!N20</f>
        <v>0</v>
      </c>
      <c r="F2496" t="str">
        <f t="shared" si="146"/>
        <v>01-00-416-007-GRSPFT-CURR</v>
      </c>
      <c r="G2496" t="s">
        <v>127</v>
      </c>
      <c r="H2496" t="s">
        <v>10287</v>
      </c>
      <c r="I2496" t="s">
        <v>10253</v>
      </c>
      <c r="K2496" s="1073" t="s">
        <v>10288</v>
      </c>
      <c r="L2496" s="789" t="s">
        <v>10241</v>
      </c>
      <c r="M2496" s="790" t="str">
        <f t="shared" si="144"/>
        <v>416</v>
      </c>
      <c r="N2496" s="790" t="str">
        <f t="shared" si="145"/>
        <v>007</v>
      </c>
      <c r="O2496" s="799" t="s">
        <v>10467</v>
      </c>
      <c r="P2496" s="799" t="s">
        <v>10244</v>
      </c>
      <c r="R2496" s="30"/>
    </row>
    <row r="2497" spans="2:18">
      <c r="B2497" s="5" t="str">
        <f>Page5_CAD_VE!C21</f>
        <v>NE PAS UTILISER</v>
      </c>
      <c r="C2497" s="1038" t="str">
        <f>OR_VEH!D320</f>
        <v>417-007</v>
      </c>
      <c r="D2497" s="803">
        <f>Page5_CAD_VE!I21</f>
        <v>0</v>
      </c>
      <c r="E2497" s="803">
        <f>Page5_CAD_VE!N21</f>
        <v>0</v>
      </c>
      <c r="F2497" t="str">
        <f t="shared" si="146"/>
        <v>01-00-417-007-GRSPFT-CURR</v>
      </c>
      <c r="G2497" t="s">
        <v>127</v>
      </c>
      <c r="H2497" t="s">
        <v>10287</v>
      </c>
      <c r="I2497" t="s">
        <v>10253</v>
      </c>
      <c r="K2497" s="1073" t="s">
        <v>10288</v>
      </c>
      <c r="L2497" s="789" t="s">
        <v>10241</v>
      </c>
      <c r="M2497" s="790" t="str">
        <f t="shared" si="144"/>
        <v>417</v>
      </c>
      <c r="N2497" s="790" t="str">
        <f t="shared" si="145"/>
        <v>007</v>
      </c>
      <c r="O2497" s="799" t="s">
        <v>10467</v>
      </c>
      <c r="P2497" s="799" t="s">
        <v>10244</v>
      </c>
      <c r="R2497" s="30"/>
    </row>
    <row r="2498" spans="2:18">
      <c r="B2498" s="5" t="str">
        <f>Page5_CAD_VE!C22</f>
        <v>NE PAS UTILISER</v>
      </c>
      <c r="C2498" s="1038" t="str">
        <f>OR_VEH!D321</f>
        <v>418-007</v>
      </c>
      <c r="D2498" s="803">
        <f>Page5_CAD_VE!I22</f>
        <v>0</v>
      </c>
      <c r="E2498" s="803">
        <f>Page5_CAD_VE!N22</f>
        <v>0</v>
      </c>
      <c r="F2498" t="str">
        <f t="shared" si="146"/>
        <v>01-00-418-007-GRSPFT-CURR</v>
      </c>
      <c r="G2498" t="s">
        <v>127</v>
      </c>
      <c r="H2498" t="s">
        <v>10287</v>
      </c>
      <c r="I2498" t="s">
        <v>10253</v>
      </c>
      <c r="K2498" s="1073" t="s">
        <v>10288</v>
      </c>
      <c r="L2498" s="789" t="s">
        <v>10241</v>
      </c>
      <c r="M2498" s="790" t="str">
        <f t="shared" si="144"/>
        <v>418</v>
      </c>
      <c r="N2498" s="790" t="str">
        <f t="shared" si="145"/>
        <v>007</v>
      </c>
      <c r="O2498" s="799" t="s">
        <v>10467</v>
      </c>
      <c r="P2498" s="799" t="s">
        <v>10244</v>
      </c>
      <c r="R2498" s="30"/>
    </row>
    <row r="2499" spans="2:18">
      <c r="B2499" s="27" t="s">
        <v>12190</v>
      </c>
      <c r="C2499" s="1042"/>
      <c r="D2499" s="803">
        <f>Page5_CAD_VE!I23</f>
        <v>0</v>
      </c>
      <c r="E2499" s="803">
        <f>Page5_CAD_VE!N23</f>
        <v>0</v>
      </c>
      <c r="F2499" t="str">
        <f t="shared" si="146"/>
        <v>01-00-RTLCAR5G-GRSPFT-CURR</v>
      </c>
      <c r="G2499" t="s">
        <v>127</v>
      </c>
      <c r="H2499" t="s">
        <v>10287</v>
      </c>
      <c r="I2499" t="s">
        <v>10253</v>
      </c>
      <c r="J2499" t="s">
        <v>10268</v>
      </c>
      <c r="K2499" s="1073" t="s">
        <v>10288</v>
      </c>
      <c r="L2499" s="789" t="s">
        <v>10241</v>
      </c>
      <c r="M2499" s="790" t="s">
        <v>10356</v>
      </c>
      <c r="O2499" s="790" t="s">
        <v>10467</v>
      </c>
      <c r="P2499" s="790" t="s">
        <v>10244</v>
      </c>
      <c r="Q2499" s="791" t="s">
        <v>773</v>
      </c>
    </row>
    <row r="2500" spans="2:18">
      <c r="B2500" s="5" t="str">
        <f>Page5_CAD_VE!C24</f>
        <v>MÉMO* VENTES INTERNET VOITURES</v>
      </c>
      <c r="C2500" s="1038" t="str">
        <f>OR_VEH!D323</f>
        <v>419P5G</v>
      </c>
      <c r="D2500" s="803">
        <f>Page5_CAD_VE!I24</f>
        <v>0</v>
      </c>
      <c r="E2500" s="803">
        <f>Page5_CAD_VE!N24</f>
        <v>0</v>
      </c>
      <c r="F2500" t="str">
        <f t="shared" si="146"/>
        <v>01-00-419P5G-GRSPFT-CURR</v>
      </c>
      <c r="G2500" t="s">
        <v>127</v>
      </c>
      <c r="H2500" t="s">
        <v>10287</v>
      </c>
      <c r="I2500" t="s">
        <v>10253</v>
      </c>
      <c r="K2500" s="1073" t="s">
        <v>10288</v>
      </c>
      <c r="L2500" s="789" t="s">
        <v>10241</v>
      </c>
      <c r="M2500" s="855" t="str">
        <f>C2500</f>
        <v>419P5G</v>
      </c>
      <c r="N2500" s="855"/>
      <c r="O2500" s="790" t="s">
        <v>10467</v>
      </c>
      <c r="P2500" s="790" t="s">
        <v>10244</v>
      </c>
      <c r="R2500" s="30"/>
    </row>
    <row r="2501" spans="2:18">
      <c r="B2501" s="5" t="str">
        <f>Page5_CAD_VE!C25</f>
        <v>TOTAL PARCS - VOITURES</v>
      </c>
      <c r="C2501" s="1038" t="str">
        <f>OR_VEH!D324</f>
        <v>420P5G</v>
      </c>
      <c r="D2501" s="803">
        <f>Page5_CAD_VE!I25</f>
        <v>0</v>
      </c>
      <c r="E2501" s="803">
        <f>Page5_CAD_VE!N25</f>
        <v>0</v>
      </c>
      <c r="F2501" t="str">
        <f t="shared" si="146"/>
        <v>01-00-420P5G-GRSPFT-CURR</v>
      </c>
      <c r="G2501" t="s">
        <v>127</v>
      </c>
      <c r="H2501" t="s">
        <v>10287</v>
      </c>
      <c r="I2501" t="s">
        <v>10253</v>
      </c>
      <c r="K2501" s="1073" t="s">
        <v>10288</v>
      </c>
      <c r="L2501" s="789" t="s">
        <v>10241</v>
      </c>
      <c r="M2501" s="855" t="str">
        <f>C2501</f>
        <v>420P5G</v>
      </c>
      <c r="N2501" s="855"/>
      <c r="O2501" s="799" t="s">
        <v>10467</v>
      </c>
      <c r="P2501" s="799" t="s">
        <v>10244</v>
      </c>
      <c r="R2501" s="30"/>
    </row>
    <row r="2502" spans="2:18">
      <c r="B2502" s="5" t="str">
        <f>Page5_CAD_VE!C26</f>
        <v>TOTAL INTERNE - VOITURES</v>
      </c>
      <c r="C2502" s="1038" t="str">
        <f>OR_VEH!D325</f>
        <v>421P5G</v>
      </c>
      <c r="D2502" s="803">
        <f>Page5_CAD_VE!I26</f>
        <v>0</v>
      </c>
      <c r="E2502" s="803">
        <f>Page5_CAD_VE!N26</f>
        <v>0</v>
      </c>
      <c r="F2502" t="str">
        <f t="shared" si="146"/>
        <v>01-00-421P5G-GRSPFT-CURR</v>
      </c>
      <c r="G2502" t="s">
        <v>127</v>
      </c>
      <c r="H2502" t="s">
        <v>10287</v>
      </c>
      <c r="I2502" t="s">
        <v>10253</v>
      </c>
      <c r="K2502" s="1073" t="s">
        <v>10288</v>
      </c>
      <c r="L2502" s="789" t="s">
        <v>10241</v>
      </c>
      <c r="M2502" s="855" t="str">
        <f>C2502</f>
        <v>421P5G</v>
      </c>
      <c r="N2502" s="855"/>
      <c r="O2502" s="799" t="s">
        <v>10467</v>
      </c>
      <c r="P2502" s="799" t="s">
        <v>10244</v>
      </c>
      <c r="R2502" s="30"/>
    </row>
    <row r="2503" spans="2:18">
      <c r="B2503" s="27" t="s">
        <v>12191</v>
      </c>
      <c r="C2503" s="1042"/>
      <c r="D2503" s="803">
        <f>Page5_CAD_VE!I27</f>
        <v>0</v>
      </c>
      <c r="E2503" s="803">
        <f>Page5_CAD_VE!N27</f>
        <v>0</v>
      </c>
      <c r="F2503" t="str">
        <f t="shared" si="146"/>
        <v>01-00-TOTCAR5G-GRSPFT-CURR</v>
      </c>
      <c r="G2503" t="s">
        <v>127</v>
      </c>
      <c r="H2503" t="s">
        <v>10287</v>
      </c>
      <c r="I2503" t="s">
        <v>10253</v>
      </c>
      <c r="J2503" t="s">
        <v>10268</v>
      </c>
      <c r="K2503" s="1073" t="s">
        <v>10288</v>
      </c>
      <c r="L2503" s="789" t="s">
        <v>10241</v>
      </c>
      <c r="M2503" s="790" t="s">
        <v>10358</v>
      </c>
      <c r="O2503" s="790" t="s">
        <v>10467</v>
      </c>
      <c r="P2503" s="790" t="s">
        <v>10244</v>
      </c>
      <c r="Q2503" s="791" t="s">
        <v>773</v>
      </c>
    </row>
    <row r="2504" spans="2:18">
      <c r="B2504" s="5" t="str">
        <f>Page5_CAD_VE!C28</f>
        <v>LYRIQ</v>
      </c>
      <c r="C2504" s="1038" t="str">
        <f>OR_VEH!D327</f>
        <v>423-007</v>
      </c>
      <c r="D2504" s="803">
        <f>Page5_CAD_VE!I28</f>
        <v>9145</v>
      </c>
      <c r="E2504" s="803">
        <f>Page5_CAD_VE!N28</f>
        <v>14353</v>
      </c>
      <c r="F2504" t="str">
        <f t="shared" si="146"/>
        <v>01-00-423-007-GRSPFT-CURR</v>
      </c>
      <c r="G2504" t="s">
        <v>127</v>
      </c>
      <c r="H2504" t="s">
        <v>10287</v>
      </c>
      <c r="I2504" t="s">
        <v>10253</v>
      </c>
      <c r="K2504" s="1073" t="s">
        <v>10288</v>
      </c>
      <c r="L2504" s="789" t="s">
        <v>10241</v>
      </c>
      <c r="M2504" s="790" t="str">
        <f t="shared" ref="M2504:M2519" si="147">LEFT(C2504,3)</f>
        <v>423</v>
      </c>
      <c r="N2504" s="790" t="str">
        <f t="shared" ref="N2504:N2519" si="148">RIGHT(C2504,3)</f>
        <v>007</v>
      </c>
      <c r="O2504" s="799" t="s">
        <v>10467</v>
      </c>
      <c r="P2504" s="799" t="s">
        <v>10244</v>
      </c>
      <c r="R2504" s="30"/>
    </row>
    <row r="2505" spans="2:18">
      <c r="B2505" s="5" t="str">
        <f>Page5_CAD_VE!C29</f>
        <v>OPTIQ</v>
      </c>
      <c r="C2505" s="1038" t="str">
        <f>OR_VEH!D328</f>
        <v>424-007</v>
      </c>
      <c r="D2505" s="803">
        <f>Page5_CAD_VE!I29</f>
        <v>2734</v>
      </c>
      <c r="E2505" s="803">
        <f>Page5_CAD_VE!N29</f>
        <v>7627</v>
      </c>
      <c r="F2505" t="str">
        <f t="shared" si="146"/>
        <v>01-00-424-007-GRSPFT-CURR</v>
      </c>
      <c r="G2505" t="s">
        <v>127</v>
      </c>
      <c r="H2505" t="s">
        <v>10287</v>
      </c>
      <c r="I2505" t="s">
        <v>10253</v>
      </c>
      <c r="K2505" s="1073" t="s">
        <v>10288</v>
      </c>
      <c r="L2505" s="789" t="s">
        <v>10241</v>
      </c>
      <c r="M2505" s="790" t="str">
        <f t="shared" si="147"/>
        <v>424</v>
      </c>
      <c r="N2505" s="790" t="str">
        <f t="shared" si="148"/>
        <v>007</v>
      </c>
      <c r="O2505" s="799" t="s">
        <v>10467</v>
      </c>
      <c r="P2505" s="799" t="s">
        <v>10244</v>
      </c>
      <c r="R2505" s="30"/>
    </row>
    <row r="2506" spans="2:18">
      <c r="B2506" s="5" t="str">
        <f>Page5_CAD_VE!C30</f>
        <v>ESCALADE IQ</v>
      </c>
      <c r="C2506" s="1038" t="str">
        <f>OR_VEH!D329</f>
        <v>425-007</v>
      </c>
      <c r="D2506" s="803">
        <f>Page5_CAD_VE!I30</f>
        <v>8611</v>
      </c>
      <c r="E2506" s="803">
        <f>Page5_CAD_VE!N30</f>
        <v>16334</v>
      </c>
      <c r="F2506" t="str">
        <f t="shared" si="146"/>
        <v>01-00-425-007-GRSPFT-CURR</v>
      </c>
      <c r="G2506" t="s">
        <v>127</v>
      </c>
      <c r="H2506" t="s">
        <v>10287</v>
      </c>
      <c r="I2506" t="s">
        <v>10253</v>
      </c>
      <c r="K2506" s="1073" t="s">
        <v>10288</v>
      </c>
      <c r="L2506" s="789" t="s">
        <v>10241</v>
      </c>
      <c r="M2506" s="790" t="str">
        <f t="shared" si="147"/>
        <v>425</v>
      </c>
      <c r="N2506" s="790" t="str">
        <f t="shared" si="148"/>
        <v>007</v>
      </c>
      <c r="O2506" s="790" t="s">
        <v>10467</v>
      </c>
      <c r="P2506" s="790" t="s">
        <v>10244</v>
      </c>
      <c r="R2506" s="30"/>
    </row>
    <row r="2507" spans="2:18">
      <c r="B2507" s="5" t="str">
        <f>Page5_CAD_VE!C31</f>
        <v>VISTIQ</v>
      </c>
      <c r="C2507" s="1038" t="str">
        <f>OR_VEH!D330</f>
        <v>426-007</v>
      </c>
      <c r="D2507" s="803">
        <f>Page5_CAD_VE!I31</f>
        <v>0</v>
      </c>
      <c r="E2507" s="803">
        <f>Page5_CAD_VE!N31</f>
        <v>0</v>
      </c>
      <c r="F2507" t="str">
        <f t="shared" si="146"/>
        <v>01-00-426-007-GRSPFT-CURR</v>
      </c>
      <c r="G2507" t="s">
        <v>127</v>
      </c>
      <c r="H2507" t="s">
        <v>10287</v>
      </c>
      <c r="I2507" t="s">
        <v>10253</v>
      </c>
      <c r="K2507" s="1073" t="s">
        <v>10288</v>
      </c>
      <c r="L2507" s="789" t="s">
        <v>10241</v>
      </c>
      <c r="M2507" s="790" t="str">
        <f t="shared" si="147"/>
        <v>426</v>
      </c>
      <c r="N2507" s="790" t="str">
        <f t="shared" si="148"/>
        <v>007</v>
      </c>
      <c r="O2507" s="790" t="s">
        <v>10467</v>
      </c>
      <c r="P2507" s="790" t="s">
        <v>10244</v>
      </c>
      <c r="R2507" s="30"/>
    </row>
    <row r="2508" spans="2:18">
      <c r="B2508" s="5" t="str">
        <f>Page5_CAD_VE!C32</f>
        <v>ESCALADE IQL</v>
      </c>
      <c r="C2508" s="1038" t="str">
        <f>OR_VEH!D331</f>
        <v>427-007</v>
      </c>
      <c r="D2508" s="803">
        <f>Page5_CAD_VE!I32</f>
        <v>0</v>
      </c>
      <c r="E2508" s="803">
        <f>Page5_CAD_VE!N32</f>
        <v>0</v>
      </c>
      <c r="F2508" t="str">
        <f t="shared" si="146"/>
        <v>01-00-427-007-GRSPFT-CURR</v>
      </c>
      <c r="G2508" t="s">
        <v>127</v>
      </c>
      <c r="H2508" t="s">
        <v>10287</v>
      </c>
      <c r="I2508" t="s">
        <v>10253</v>
      </c>
      <c r="K2508" s="1073" t="s">
        <v>10288</v>
      </c>
      <c r="L2508" s="789" t="s">
        <v>10241</v>
      </c>
      <c r="M2508" s="790" t="str">
        <f t="shared" si="147"/>
        <v>427</v>
      </c>
      <c r="N2508" s="790" t="str">
        <f t="shared" si="148"/>
        <v>007</v>
      </c>
      <c r="O2508" s="790" t="s">
        <v>10467</v>
      </c>
      <c r="P2508" s="790" t="s">
        <v>10244</v>
      </c>
      <c r="R2508" s="30"/>
    </row>
    <row r="2509" spans="2:18">
      <c r="B2509" s="5" t="str">
        <f>Page5_CAD_VE!C33</f>
        <v>NE PAS UTILISER</v>
      </c>
      <c r="C2509" s="1038" t="str">
        <f>OR_VEH!D332</f>
        <v>428-007</v>
      </c>
      <c r="D2509" s="803">
        <f>Page5_CAD_VE!I33</f>
        <v>0</v>
      </c>
      <c r="E2509" s="803">
        <f>Page5_CAD_VE!N33</f>
        <v>0</v>
      </c>
      <c r="F2509" t="str">
        <f t="shared" si="146"/>
        <v>01-00-428-007-GRSPFT-CURR</v>
      </c>
      <c r="G2509" t="s">
        <v>127</v>
      </c>
      <c r="H2509" t="s">
        <v>10287</v>
      </c>
      <c r="I2509" t="s">
        <v>10253</v>
      </c>
      <c r="K2509" s="1073" t="s">
        <v>10288</v>
      </c>
      <c r="L2509" s="789" t="s">
        <v>10241</v>
      </c>
      <c r="M2509" s="790" t="str">
        <f t="shared" si="147"/>
        <v>428</v>
      </c>
      <c r="N2509" s="790" t="str">
        <f t="shared" si="148"/>
        <v>007</v>
      </c>
      <c r="O2509" s="790" t="s">
        <v>10467</v>
      </c>
      <c r="P2509" s="790" t="s">
        <v>10244</v>
      </c>
      <c r="R2509" s="30"/>
    </row>
    <row r="2510" spans="2:18">
      <c r="B2510" s="5" t="str">
        <f>Page5_CAD_VE!C34</f>
        <v>NE PAS UTILISER</v>
      </c>
      <c r="C2510" s="1038" t="str">
        <f>OR_VEH!D333</f>
        <v>429-007</v>
      </c>
      <c r="D2510" s="803">
        <f>Page5_CAD_VE!I34</f>
        <v>0</v>
      </c>
      <c r="E2510" s="803">
        <f>Page5_CAD_VE!N34</f>
        <v>0</v>
      </c>
      <c r="F2510" t="str">
        <f t="shared" si="146"/>
        <v>01-00-429-007-GRSPFT-CURR</v>
      </c>
      <c r="G2510" t="s">
        <v>127</v>
      </c>
      <c r="H2510" t="s">
        <v>10287</v>
      </c>
      <c r="I2510" t="s">
        <v>10253</v>
      </c>
      <c r="K2510" s="1073" t="s">
        <v>10288</v>
      </c>
      <c r="L2510" s="789" t="s">
        <v>10241</v>
      </c>
      <c r="M2510" s="790" t="str">
        <f t="shared" si="147"/>
        <v>429</v>
      </c>
      <c r="N2510" s="790" t="str">
        <f t="shared" si="148"/>
        <v>007</v>
      </c>
      <c r="O2510" s="790" t="s">
        <v>10467</v>
      </c>
      <c r="P2510" s="790" t="s">
        <v>10244</v>
      </c>
      <c r="R2510" s="30"/>
    </row>
    <row r="2511" spans="2:18">
      <c r="B2511" s="5" t="str">
        <f>Page5_CAD_VE!C35</f>
        <v>NE PAS UTILISER</v>
      </c>
      <c r="C2511" s="1038" t="str">
        <f>OR_VEH!D334</f>
        <v>430-007</v>
      </c>
      <c r="D2511" s="803">
        <f>Page5_CAD_VE!I35</f>
        <v>0</v>
      </c>
      <c r="E2511" s="803">
        <f>Page5_CAD_VE!N35</f>
        <v>0</v>
      </c>
      <c r="F2511" t="str">
        <f t="shared" si="146"/>
        <v>01-00-430-007-GRSPFT-CURR</v>
      </c>
      <c r="G2511" t="s">
        <v>127</v>
      </c>
      <c r="H2511" t="s">
        <v>10287</v>
      </c>
      <c r="I2511" t="s">
        <v>10253</v>
      </c>
      <c r="K2511" s="1073" t="s">
        <v>10288</v>
      </c>
      <c r="L2511" s="789" t="s">
        <v>10241</v>
      </c>
      <c r="M2511" s="790" t="str">
        <f t="shared" si="147"/>
        <v>430</v>
      </c>
      <c r="N2511" s="790" t="str">
        <f t="shared" si="148"/>
        <v>007</v>
      </c>
      <c r="O2511" s="790" t="s">
        <v>10467</v>
      </c>
      <c r="P2511" s="790" t="s">
        <v>10244</v>
      </c>
      <c r="R2511" s="30"/>
    </row>
    <row r="2512" spans="2:18">
      <c r="B2512" s="5" t="str">
        <f>Page5_CAD_VE!C36</f>
        <v>NE PAS UTILISER</v>
      </c>
      <c r="C2512" s="1038" t="str">
        <f>OR_VEH!D335</f>
        <v>431-007</v>
      </c>
      <c r="D2512" s="803">
        <f>Page5_CAD_VE!I36</f>
        <v>0</v>
      </c>
      <c r="E2512" s="803">
        <f>Page5_CAD_VE!N36</f>
        <v>0</v>
      </c>
      <c r="F2512" t="str">
        <f t="shared" si="146"/>
        <v>01-00-431-007-GRSPFT-CURR</v>
      </c>
      <c r="G2512" t="s">
        <v>127</v>
      </c>
      <c r="H2512" t="s">
        <v>10287</v>
      </c>
      <c r="I2512" t="s">
        <v>10253</v>
      </c>
      <c r="K2512" s="1073" t="s">
        <v>10288</v>
      </c>
      <c r="L2512" s="789" t="s">
        <v>10241</v>
      </c>
      <c r="M2512" s="790" t="str">
        <f t="shared" si="147"/>
        <v>431</v>
      </c>
      <c r="N2512" s="790" t="str">
        <f t="shared" si="148"/>
        <v>007</v>
      </c>
      <c r="O2512" s="790" t="s">
        <v>10467</v>
      </c>
      <c r="P2512" s="790" t="s">
        <v>10244</v>
      </c>
      <c r="R2512" s="30"/>
    </row>
    <row r="2513" spans="1:18">
      <c r="B2513" s="5" t="str">
        <f>Page5_CAD_VE!C37</f>
        <v>NE PAS UTILISER</v>
      </c>
      <c r="C2513" s="1038" t="str">
        <f>OR_VEH!D336</f>
        <v>432-007</v>
      </c>
      <c r="D2513" s="803">
        <f>Page5_CAD_VE!I37</f>
        <v>0</v>
      </c>
      <c r="E2513" s="803">
        <f>Page5_CAD_VE!N37</f>
        <v>0</v>
      </c>
      <c r="F2513" t="str">
        <f t="shared" si="146"/>
        <v>01-00-432-007-GRSPFT-CURR</v>
      </c>
      <c r="G2513" t="s">
        <v>127</v>
      </c>
      <c r="H2513" t="s">
        <v>10287</v>
      </c>
      <c r="I2513" t="s">
        <v>10253</v>
      </c>
      <c r="K2513" s="1073" t="s">
        <v>10288</v>
      </c>
      <c r="L2513" s="789" t="s">
        <v>10241</v>
      </c>
      <c r="M2513" s="790" t="str">
        <f t="shared" si="147"/>
        <v>432</v>
      </c>
      <c r="N2513" s="790" t="str">
        <f t="shared" si="148"/>
        <v>007</v>
      </c>
      <c r="O2513" s="790" t="s">
        <v>10467</v>
      </c>
      <c r="P2513" s="790" t="s">
        <v>10244</v>
      </c>
      <c r="R2513" s="30"/>
    </row>
    <row r="2514" spans="1:18">
      <c r="B2514" s="5" t="str">
        <f>Page5_CAD_VE!C38</f>
        <v>NE PAS UTILISER</v>
      </c>
      <c r="C2514" s="1038" t="str">
        <f>OR_VEH!D337</f>
        <v>433-007</v>
      </c>
      <c r="D2514" s="803">
        <f>Page5_CAD_VE!I38</f>
        <v>0</v>
      </c>
      <c r="E2514" s="803">
        <f>Page5_CAD_VE!N38</f>
        <v>0</v>
      </c>
      <c r="F2514" t="str">
        <f t="shared" si="146"/>
        <v>01-00-433-007-GRSPFT-CURR</v>
      </c>
      <c r="G2514" t="s">
        <v>127</v>
      </c>
      <c r="H2514" t="s">
        <v>10287</v>
      </c>
      <c r="I2514" t="s">
        <v>10253</v>
      </c>
      <c r="K2514" s="1073" t="s">
        <v>10288</v>
      </c>
      <c r="L2514" s="789" t="s">
        <v>10241</v>
      </c>
      <c r="M2514" s="790" t="str">
        <f t="shared" si="147"/>
        <v>433</v>
      </c>
      <c r="N2514" s="790" t="str">
        <f t="shared" si="148"/>
        <v>007</v>
      </c>
      <c r="O2514" s="790" t="s">
        <v>10467</v>
      </c>
      <c r="P2514" s="790" t="s">
        <v>10244</v>
      </c>
      <c r="R2514" s="30"/>
    </row>
    <row r="2515" spans="1:18">
      <c r="B2515" s="5" t="str">
        <f>Page5_CAD_VE!C39</f>
        <v>NE PAS UTILISER</v>
      </c>
      <c r="C2515" s="1038" t="str">
        <f>OR_VEH!D338</f>
        <v>434-007</v>
      </c>
      <c r="D2515" s="803">
        <f>Page5_CAD_VE!I39</f>
        <v>0</v>
      </c>
      <c r="E2515" s="803">
        <f>Page5_CAD_VE!N39</f>
        <v>0</v>
      </c>
      <c r="F2515" t="str">
        <f t="shared" si="146"/>
        <v>01-00-434-007-GRSPFT-CURR</v>
      </c>
      <c r="G2515" t="s">
        <v>127</v>
      </c>
      <c r="H2515" t="s">
        <v>10287</v>
      </c>
      <c r="I2515" t="s">
        <v>10253</v>
      </c>
      <c r="K2515" s="1073" t="s">
        <v>10288</v>
      </c>
      <c r="L2515" s="789" t="s">
        <v>10241</v>
      </c>
      <c r="M2515" s="790" t="str">
        <f t="shared" si="147"/>
        <v>434</v>
      </c>
      <c r="N2515" s="790" t="str">
        <f t="shared" si="148"/>
        <v>007</v>
      </c>
      <c r="O2515" s="790" t="s">
        <v>10467</v>
      </c>
      <c r="P2515" s="790" t="s">
        <v>10244</v>
      </c>
      <c r="R2515" s="30"/>
    </row>
    <row r="2516" spans="1:18">
      <c r="B2516" s="5" t="str">
        <f>Page5_CAD_VE!C40</f>
        <v>NE PAS UTILISER</v>
      </c>
      <c r="C2516" s="1038" t="str">
        <f>OR_VEH!D339</f>
        <v>435-007</v>
      </c>
      <c r="D2516" s="803">
        <f>Page5_CAD_VE!I40</f>
        <v>0</v>
      </c>
      <c r="E2516" s="803">
        <f>Page5_CAD_VE!N40</f>
        <v>0</v>
      </c>
      <c r="F2516" t="str">
        <f t="shared" si="146"/>
        <v>01-00-435-007-GRSPFT-CURR</v>
      </c>
      <c r="G2516" t="s">
        <v>127</v>
      </c>
      <c r="H2516" t="s">
        <v>10287</v>
      </c>
      <c r="I2516" t="s">
        <v>10253</v>
      </c>
      <c r="K2516" s="1073" t="s">
        <v>10288</v>
      </c>
      <c r="L2516" s="789" t="s">
        <v>10241</v>
      </c>
      <c r="M2516" s="790" t="str">
        <f t="shared" si="147"/>
        <v>435</v>
      </c>
      <c r="N2516" s="790" t="str">
        <f t="shared" si="148"/>
        <v>007</v>
      </c>
      <c r="O2516" s="790" t="s">
        <v>10467</v>
      </c>
      <c r="P2516" s="790" t="s">
        <v>10244</v>
      </c>
      <c r="R2516" s="30"/>
    </row>
    <row r="2517" spans="1:18">
      <c r="B2517" s="5" t="str">
        <f>Page5_CAD_VE!C41</f>
        <v>NE PAS UTILISER</v>
      </c>
      <c r="C2517" s="1038" t="str">
        <f>OR_VEH!D340</f>
        <v>436-007</v>
      </c>
      <c r="D2517" s="803">
        <f>Page5_CAD_VE!I41</f>
        <v>0</v>
      </c>
      <c r="E2517" s="803">
        <f>Page5_CAD_VE!N41</f>
        <v>0</v>
      </c>
      <c r="F2517" t="str">
        <f t="shared" si="146"/>
        <v>01-00-436-007-GRSPFT-CURR</v>
      </c>
      <c r="G2517" t="s">
        <v>127</v>
      </c>
      <c r="H2517" t="s">
        <v>10287</v>
      </c>
      <c r="I2517" t="s">
        <v>10253</v>
      </c>
      <c r="K2517" s="1073" t="s">
        <v>10288</v>
      </c>
      <c r="L2517" s="789" t="s">
        <v>10241</v>
      </c>
      <c r="M2517" s="790" t="str">
        <f t="shared" si="147"/>
        <v>436</v>
      </c>
      <c r="N2517" s="790" t="str">
        <f t="shared" si="148"/>
        <v>007</v>
      </c>
      <c r="O2517" s="790" t="s">
        <v>10467</v>
      </c>
      <c r="P2517" s="790" t="s">
        <v>10244</v>
      </c>
      <c r="R2517" s="30"/>
    </row>
    <row r="2518" spans="1:18">
      <c r="B2518" s="5" t="str">
        <f>Page5_CAD_VE!C42</f>
        <v>NE PAS UTILISER</v>
      </c>
      <c r="C2518" s="1038" t="str">
        <f>OR_VEH!D341</f>
        <v>437-007</v>
      </c>
      <c r="D2518" s="803">
        <f>Page5_CAD_VE!I42</f>
        <v>0</v>
      </c>
      <c r="E2518" s="803">
        <f>Page5_CAD_VE!N42</f>
        <v>0</v>
      </c>
      <c r="F2518" t="str">
        <f t="shared" si="146"/>
        <v>01-00-437-007-GRSPFT-CURR</v>
      </c>
      <c r="G2518" t="s">
        <v>127</v>
      </c>
      <c r="H2518" t="s">
        <v>10287</v>
      </c>
      <c r="I2518" t="s">
        <v>10253</v>
      </c>
      <c r="K2518" s="1073" t="s">
        <v>10288</v>
      </c>
      <c r="L2518" s="789" t="s">
        <v>10241</v>
      </c>
      <c r="M2518" s="790" t="str">
        <f t="shared" si="147"/>
        <v>437</v>
      </c>
      <c r="N2518" s="790" t="str">
        <f t="shared" si="148"/>
        <v>007</v>
      </c>
      <c r="O2518" s="790" t="s">
        <v>10467</v>
      </c>
      <c r="P2518" s="790" t="s">
        <v>10244</v>
      </c>
      <c r="R2518" s="30"/>
    </row>
    <row r="2519" spans="1:18">
      <c r="B2519" s="5" t="str">
        <f>Page5_CAD_VE!C43</f>
        <v>NE PAS UTILISER</v>
      </c>
      <c r="C2519" s="1038" t="str">
        <f>OR_VEH!D342</f>
        <v>438-007</v>
      </c>
      <c r="D2519" s="803">
        <f>Page5_CAD_VE!I43</f>
        <v>0</v>
      </c>
      <c r="E2519" s="803">
        <f>Page5_CAD_VE!N43</f>
        <v>0</v>
      </c>
      <c r="F2519" t="str">
        <f t="shared" si="146"/>
        <v>01-00-438-007-GRSPFT-CURR</v>
      </c>
      <c r="G2519" t="s">
        <v>127</v>
      </c>
      <c r="H2519" t="s">
        <v>10287</v>
      </c>
      <c r="I2519" t="s">
        <v>10253</v>
      </c>
      <c r="K2519" s="1073" t="s">
        <v>10288</v>
      </c>
      <c r="L2519" s="789" t="s">
        <v>10241</v>
      </c>
      <c r="M2519" s="790" t="str">
        <f t="shared" si="147"/>
        <v>438</v>
      </c>
      <c r="N2519" s="790" t="str">
        <f t="shared" si="148"/>
        <v>007</v>
      </c>
      <c r="O2519" s="790" t="s">
        <v>10467</v>
      </c>
      <c r="P2519" s="790" t="s">
        <v>10244</v>
      </c>
      <c r="R2519" s="30"/>
    </row>
    <row r="2520" spans="1:18">
      <c r="B2520" s="51" t="s">
        <v>12192</v>
      </c>
      <c r="C2520" s="1042"/>
      <c r="D2520" s="803">
        <f>Page5_CAD_VE!I44</f>
        <v>20490</v>
      </c>
      <c r="E2520" s="803">
        <f>Page5_CAD_VE!N44</f>
        <v>38314</v>
      </c>
      <c r="F2520" t="str">
        <f t="shared" si="146"/>
        <v>01-00-RTLTRK5G-GRSPFT-CURR</v>
      </c>
      <c r="G2520" t="s">
        <v>127</v>
      </c>
      <c r="H2520" t="s">
        <v>10287</v>
      </c>
      <c r="I2520" t="s">
        <v>10253</v>
      </c>
      <c r="J2520" t="s">
        <v>10268</v>
      </c>
      <c r="K2520" s="1073" t="s">
        <v>10288</v>
      </c>
      <c r="L2520" s="789" t="s">
        <v>10241</v>
      </c>
      <c r="M2520" s="790" t="s">
        <v>10360</v>
      </c>
      <c r="O2520" s="790" t="s">
        <v>10467</v>
      </c>
      <c r="P2520" s="790" t="s">
        <v>10244</v>
      </c>
      <c r="Q2520" s="791" t="s">
        <v>773</v>
      </c>
    </row>
    <row r="2521" spans="1:18">
      <c r="B2521" s="5" t="str">
        <f>Page5_CAD_VE!C45</f>
        <v>MÉMO* VENTES INTERNET CAMIONS</v>
      </c>
      <c r="C2521" s="1038" t="str">
        <f>OR_VEH!D344</f>
        <v>439P5G</v>
      </c>
      <c r="D2521" s="803">
        <f>Page5_CAD_VE!I45</f>
        <v>0</v>
      </c>
      <c r="E2521" s="803">
        <f>Page5_CAD_VE!N45</f>
        <v>0</v>
      </c>
      <c r="F2521" t="str">
        <f t="shared" si="146"/>
        <v>01-00-439P5G-GRSPFT-CURR</v>
      </c>
      <c r="G2521" t="s">
        <v>127</v>
      </c>
      <c r="H2521" t="s">
        <v>10287</v>
      </c>
      <c r="I2521" t="s">
        <v>10253</v>
      </c>
      <c r="K2521" s="1073" t="s">
        <v>10288</v>
      </c>
      <c r="L2521" s="789" t="s">
        <v>10241</v>
      </c>
      <c r="M2521" s="855" t="str">
        <f>C2521</f>
        <v>439P5G</v>
      </c>
      <c r="N2521" s="855"/>
      <c r="O2521" s="790" t="s">
        <v>10467</v>
      </c>
      <c r="P2521" s="790" t="s">
        <v>10244</v>
      </c>
      <c r="R2521" s="30"/>
    </row>
    <row r="2522" spans="1:18">
      <c r="B2522" s="5" t="str">
        <f>Page5_CAD_VE!C46</f>
        <v>TOTAL PARCS - CAMIONS</v>
      </c>
      <c r="C2522" s="1038" t="str">
        <f>OR_VEH!D345</f>
        <v>440P5G</v>
      </c>
      <c r="D2522" s="803">
        <f>Page5_CAD_VE!I46</f>
        <v>0</v>
      </c>
      <c r="E2522" s="803">
        <f>Page5_CAD_VE!N46</f>
        <v>0</v>
      </c>
      <c r="F2522" t="str">
        <f t="shared" si="146"/>
        <v>01-00-440P5G-GRSPFT-CURR</v>
      </c>
      <c r="G2522" t="s">
        <v>127</v>
      </c>
      <c r="H2522" t="s">
        <v>10287</v>
      </c>
      <c r="I2522" t="s">
        <v>10253</v>
      </c>
      <c r="K2522" s="1073" t="s">
        <v>10288</v>
      </c>
      <c r="L2522" s="789" t="s">
        <v>10241</v>
      </c>
      <c r="M2522" s="855" t="str">
        <f>C2522</f>
        <v>440P5G</v>
      </c>
      <c r="N2522" s="855"/>
      <c r="O2522" s="799" t="s">
        <v>10467</v>
      </c>
      <c r="P2522" s="799" t="s">
        <v>10244</v>
      </c>
      <c r="R2522" s="30"/>
    </row>
    <row r="2523" spans="1:18">
      <c r="B2523" s="5" t="str">
        <f>Page5_CAD_VE!C47</f>
        <v xml:space="preserve">TOTAL IINTERNE - CAMIONS </v>
      </c>
      <c r="C2523" s="1038" t="str">
        <f>OR_VEH!D346</f>
        <v>441P5G</v>
      </c>
      <c r="D2523" s="803">
        <f>Page5_CAD_VE!I47</f>
        <v>0</v>
      </c>
      <c r="E2523" s="803">
        <f>Page5_CAD_VE!N47</f>
        <v>0</v>
      </c>
      <c r="F2523" t="str">
        <f t="shared" si="146"/>
        <v>01-00-441P5G-GRSPFT-CURR</v>
      </c>
      <c r="G2523" t="s">
        <v>127</v>
      </c>
      <c r="H2523" t="s">
        <v>10287</v>
      </c>
      <c r="I2523" t="s">
        <v>10253</v>
      </c>
      <c r="K2523" s="1073" t="s">
        <v>10288</v>
      </c>
      <c r="L2523" s="789" t="s">
        <v>10241</v>
      </c>
      <c r="M2523" s="855" t="str">
        <f>C2523</f>
        <v>441P5G</v>
      </c>
      <c r="N2523" s="855"/>
      <c r="O2523" s="799" t="s">
        <v>10467</v>
      </c>
      <c r="P2523" s="799" t="s">
        <v>10244</v>
      </c>
      <c r="R2523" s="30"/>
    </row>
    <row r="2524" spans="1:18">
      <c r="B2524" s="27" t="s">
        <v>12193</v>
      </c>
      <c r="C2524" s="1042"/>
      <c r="D2524" s="803">
        <f>Page5_CAD_VE!I48</f>
        <v>20490</v>
      </c>
      <c r="E2524" s="803">
        <f>Page5_CAD_VE!N48</f>
        <v>38314</v>
      </c>
      <c r="F2524" t="str">
        <f t="shared" si="146"/>
        <v>01-00-TOTTRK5G-GRSPFT-CURR</v>
      </c>
      <c r="G2524" t="s">
        <v>127</v>
      </c>
      <c r="H2524" t="s">
        <v>10287</v>
      </c>
      <c r="I2524" t="s">
        <v>10253</v>
      </c>
      <c r="J2524" t="s">
        <v>10268</v>
      </c>
      <c r="K2524" s="1073" t="s">
        <v>10288</v>
      </c>
      <c r="L2524" s="789" t="s">
        <v>10241</v>
      </c>
      <c r="M2524" s="790" t="s">
        <v>10362</v>
      </c>
      <c r="O2524" s="790" t="s">
        <v>10467</v>
      </c>
      <c r="P2524" s="790" t="s">
        <v>10244</v>
      </c>
      <c r="Q2524" s="791" t="s">
        <v>773</v>
      </c>
    </row>
    <row r="2525" spans="1:18">
      <c r="B2525" s="5" t="str">
        <f>Page5_CAD_VE!C50</f>
        <v>ACCESSOIRES</v>
      </c>
      <c r="C2525" s="1038" t="str">
        <f>OR_VEH!D349</f>
        <v>457P5G</v>
      </c>
      <c r="D2525" s="803">
        <f>Page5_CAD_VE!I50</f>
        <v>0</v>
      </c>
      <c r="E2525" s="803">
        <f>Page5_CAD_VE!N50</f>
        <v>0</v>
      </c>
      <c r="F2525" t="str">
        <f t="shared" si="146"/>
        <v>01-00-457P5G-GRSPFT-CURR</v>
      </c>
      <c r="G2525" t="s">
        <v>127</v>
      </c>
      <c r="H2525" t="s">
        <v>10287</v>
      </c>
      <c r="I2525" t="s">
        <v>10253</v>
      </c>
      <c r="K2525" s="1073" t="s">
        <v>10288</v>
      </c>
      <c r="L2525" s="789" t="s">
        <v>10241</v>
      </c>
      <c r="M2525" s="855" t="str">
        <f>C2525</f>
        <v>457P5G</v>
      </c>
      <c r="N2525" s="855"/>
      <c r="O2525" s="790" t="s">
        <v>10467</v>
      </c>
      <c r="P2525" s="790" t="s">
        <v>10244</v>
      </c>
      <c r="R2525" s="30"/>
    </row>
    <row r="2526" spans="1:18">
      <c r="B2526" s="27" t="s">
        <v>12194</v>
      </c>
      <c r="C2526" s="1042"/>
      <c r="D2526" s="803">
        <f>Page5_CAD_VE!I51</f>
        <v>20490</v>
      </c>
      <c r="E2526" s="803">
        <f>Page5_CAD_VE!N51</f>
        <v>38314</v>
      </c>
      <c r="F2526" t="str">
        <f t="shared" si="146"/>
        <v>01-00-TOTVEH5G-GRSPFT-CURR</v>
      </c>
      <c r="G2526" t="s">
        <v>127</v>
      </c>
      <c r="H2526" t="s">
        <v>10287</v>
      </c>
      <c r="I2526" t="s">
        <v>10253</v>
      </c>
      <c r="J2526" t="s">
        <v>10268</v>
      </c>
      <c r="K2526" s="1073" t="s">
        <v>10288</v>
      </c>
      <c r="L2526" s="789" t="s">
        <v>10241</v>
      </c>
      <c r="M2526" s="790" t="s">
        <v>10364</v>
      </c>
      <c r="O2526" s="790" t="s">
        <v>10467</v>
      </c>
      <c r="P2526" s="790" t="s">
        <v>10244</v>
      </c>
      <c r="Q2526" s="791" t="s">
        <v>773</v>
      </c>
    </row>
    <row r="2527" spans="1:18">
      <c r="A2527" s="805" t="s">
        <v>10365</v>
      </c>
      <c r="B2527" s="5" t="str">
        <f>Page5_GMC_VE!C4</f>
        <v>NE PAS UTILISER</v>
      </c>
      <c r="C2527" s="1038" t="str">
        <f>OR_VEH!D353</f>
        <v>400-008</v>
      </c>
      <c r="D2527" s="803">
        <f>Page5_GMC_VE!G4</f>
        <v>0</v>
      </c>
      <c r="E2527" s="803">
        <f>Page5_GMC_VE!L4</f>
        <v>0</v>
      </c>
      <c r="F2527" t="str">
        <f t="shared" si="146"/>
        <v>01-00-400-008-SALES-CURR</v>
      </c>
      <c r="G2527" t="s">
        <v>127</v>
      </c>
      <c r="H2527" t="s">
        <v>10287</v>
      </c>
      <c r="I2527" t="s">
        <v>10253</v>
      </c>
      <c r="K2527" s="1073" t="s">
        <v>10288</v>
      </c>
      <c r="L2527" s="789" t="s">
        <v>10241</v>
      </c>
      <c r="M2527" s="790" t="str">
        <f>LEFT(C2527,3)</f>
        <v>400</v>
      </c>
      <c r="N2527" s="790" t="str">
        <f>RIGHT(C2527,3)</f>
        <v>008</v>
      </c>
      <c r="O2527" s="799" t="s">
        <v>9883</v>
      </c>
      <c r="P2527" s="799" t="s">
        <v>10244</v>
      </c>
      <c r="R2527" s="30"/>
    </row>
    <row r="2528" spans="1:18">
      <c r="B2528" s="5" t="str">
        <f>Page5_GMC_VE!C5</f>
        <v>NE PAS UTILISER</v>
      </c>
      <c r="C2528" s="1038" t="str">
        <f>OR_VEH!D354</f>
        <v>401-008</v>
      </c>
      <c r="D2528" s="803">
        <f>Page5_GMC_VE!G5</f>
        <v>0</v>
      </c>
      <c r="E2528" s="803">
        <f>Page5_GMC_VE!L5</f>
        <v>0</v>
      </c>
      <c r="F2528" t="str">
        <f t="shared" si="146"/>
        <v>01-00-401-008-SALES-CURR</v>
      </c>
      <c r="G2528" t="s">
        <v>127</v>
      </c>
      <c r="H2528" t="s">
        <v>10287</v>
      </c>
      <c r="I2528" t="s">
        <v>10253</v>
      </c>
      <c r="K2528" s="1073" t="s">
        <v>10288</v>
      </c>
      <c r="L2528" s="789" t="s">
        <v>10241</v>
      </c>
      <c r="M2528" s="790" t="str">
        <f t="shared" ref="M2528:M2545" si="149">LEFT(C2528,3)</f>
        <v>401</v>
      </c>
      <c r="N2528" s="790" t="str">
        <f t="shared" ref="N2528:N2545" si="150">RIGHT(C2528,3)</f>
        <v>008</v>
      </c>
      <c r="O2528" s="799" t="s">
        <v>9883</v>
      </c>
      <c r="P2528" s="799" t="s">
        <v>10244</v>
      </c>
      <c r="R2528" s="30"/>
    </row>
    <row r="2529" spans="2:18">
      <c r="B2529" s="5" t="str">
        <f>Page5_GMC_VE!C6</f>
        <v>NE PAS UTILISER</v>
      </c>
      <c r="C2529" s="1038" t="str">
        <f>OR_VEH!D355</f>
        <v>402-008</v>
      </c>
      <c r="D2529" s="803">
        <f>Page5_GMC_VE!G6</f>
        <v>0</v>
      </c>
      <c r="E2529" s="803">
        <f>Page5_GMC_VE!L6</f>
        <v>0</v>
      </c>
      <c r="F2529" t="str">
        <f t="shared" si="146"/>
        <v>01-00-402-008-SALES-CURR</v>
      </c>
      <c r="G2529" t="s">
        <v>127</v>
      </c>
      <c r="H2529" t="s">
        <v>10287</v>
      </c>
      <c r="I2529" t="s">
        <v>10253</v>
      </c>
      <c r="K2529" s="1073" t="s">
        <v>10288</v>
      </c>
      <c r="L2529" s="789" t="s">
        <v>10241</v>
      </c>
      <c r="M2529" s="790" t="str">
        <f t="shared" si="149"/>
        <v>402</v>
      </c>
      <c r="N2529" s="790" t="str">
        <f t="shared" si="150"/>
        <v>008</v>
      </c>
      <c r="O2529" s="799" t="s">
        <v>9883</v>
      </c>
      <c r="P2529" s="799" t="s">
        <v>10244</v>
      </c>
      <c r="R2529" s="30"/>
    </row>
    <row r="2530" spans="2:18">
      <c r="B2530" s="5" t="str">
        <f>Page5_GMC_VE!C7</f>
        <v>NE PAS UTILISER</v>
      </c>
      <c r="C2530" s="1038" t="str">
        <f>OR_VEH!D356</f>
        <v>403-008</v>
      </c>
      <c r="D2530" s="803">
        <f>Page5_GMC_VE!G7</f>
        <v>0</v>
      </c>
      <c r="E2530" s="803">
        <f>Page5_GMC_VE!L7</f>
        <v>0</v>
      </c>
      <c r="F2530" t="str">
        <f t="shared" si="146"/>
        <v>01-00-403-008-SALES-CURR</v>
      </c>
      <c r="G2530" t="s">
        <v>127</v>
      </c>
      <c r="H2530" t="s">
        <v>10287</v>
      </c>
      <c r="I2530" t="s">
        <v>10253</v>
      </c>
      <c r="K2530" s="1073" t="s">
        <v>10288</v>
      </c>
      <c r="L2530" s="789" t="s">
        <v>10241</v>
      </c>
      <c r="M2530" s="790" t="str">
        <f t="shared" si="149"/>
        <v>403</v>
      </c>
      <c r="N2530" s="790" t="str">
        <f t="shared" si="150"/>
        <v>008</v>
      </c>
      <c r="O2530" s="799" t="s">
        <v>9883</v>
      </c>
      <c r="P2530" s="799" t="s">
        <v>10244</v>
      </c>
      <c r="R2530" s="30"/>
    </row>
    <row r="2531" spans="2:18">
      <c r="B2531" s="5" t="str">
        <f>Page5_GMC_VE!C8</f>
        <v>NE PAS UTILISER</v>
      </c>
      <c r="C2531" s="1038" t="str">
        <f>OR_VEH!D357</f>
        <v>404-008</v>
      </c>
      <c r="D2531" s="803">
        <f>Page5_GMC_VE!G8</f>
        <v>0</v>
      </c>
      <c r="E2531" s="803">
        <f>Page5_GMC_VE!L8</f>
        <v>0</v>
      </c>
      <c r="F2531" t="str">
        <f t="shared" si="146"/>
        <v>01-00-404-008-SALES-CURR</v>
      </c>
      <c r="G2531" t="s">
        <v>127</v>
      </c>
      <c r="H2531" t="s">
        <v>10287</v>
      </c>
      <c r="I2531" t="s">
        <v>10253</v>
      </c>
      <c r="K2531" s="1073" t="s">
        <v>10288</v>
      </c>
      <c r="L2531" s="789" t="s">
        <v>10241</v>
      </c>
      <c r="M2531" s="790" t="str">
        <f t="shared" si="149"/>
        <v>404</v>
      </c>
      <c r="N2531" s="790" t="str">
        <f t="shared" si="150"/>
        <v>008</v>
      </c>
      <c r="O2531" s="799" t="s">
        <v>9883</v>
      </c>
      <c r="P2531" s="799" t="s">
        <v>10244</v>
      </c>
      <c r="R2531" s="30"/>
    </row>
    <row r="2532" spans="2:18">
      <c r="B2532" s="5" t="str">
        <f>Page5_GMC_VE!C9</f>
        <v>NE PAS UTILISER</v>
      </c>
      <c r="C2532" s="1038" t="str">
        <f>OR_VEH!D358</f>
        <v>405-008</v>
      </c>
      <c r="D2532" s="803">
        <f>Page5_GMC_VE!G9</f>
        <v>0</v>
      </c>
      <c r="E2532" s="803">
        <f>Page5_GMC_VE!L9</f>
        <v>0</v>
      </c>
      <c r="F2532" t="str">
        <f t="shared" si="146"/>
        <v>01-00-405-008-SALES-CURR</v>
      </c>
      <c r="G2532" t="s">
        <v>127</v>
      </c>
      <c r="H2532" t="s">
        <v>10287</v>
      </c>
      <c r="I2532" t="s">
        <v>10253</v>
      </c>
      <c r="K2532" s="1073" t="s">
        <v>10288</v>
      </c>
      <c r="L2532" s="789" t="s">
        <v>10241</v>
      </c>
      <c r="M2532" s="790" t="str">
        <f t="shared" si="149"/>
        <v>405</v>
      </c>
      <c r="N2532" s="790" t="str">
        <f t="shared" si="150"/>
        <v>008</v>
      </c>
      <c r="O2532" s="799" t="s">
        <v>9883</v>
      </c>
      <c r="P2532" s="799" t="s">
        <v>10244</v>
      </c>
      <c r="R2532" s="30"/>
    </row>
    <row r="2533" spans="2:18">
      <c r="B2533" s="5" t="str">
        <f>Page5_GMC_VE!C10</f>
        <v>NE PAS UTILISER</v>
      </c>
      <c r="C2533" s="1038" t="str">
        <f>OR_VEH!D359</f>
        <v>406-008</v>
      </c>
      <c r="D2533" s="803">
        <f>Page5_GMC_VE!G10</f>
        <v>0</v>
      </c>
      <c r="E2533" s="803">
        <f>Page5_GMC_VE!L10</f>
        <v>0</v>
      </c>
      <c r="F2533" t="str">
        <f t="shared" si="146"/>
        <v>01-00-406-008-SALES-CURR</v>
      </c>
      <c r="G2533" t="s">
        <v>127</v>
      </c>
      <c r="H2533" t="s">
        <v>10287</v>
      </c>
      <c r="I2533" t="s">
        <v>10253</v>
      </c>
      <c r="K2533" s="1073" t="s">
        <v>10288</v>
      </c>
      <c r="L2533" s="789" t="s">
        <v>10241</v>
      </c>
      <c r="M2533" s="790" t="str">
        <f t="shared" si="149"/>
        <v>406</v>
      </c>
      <c r="N2533" s="790" t="str">
        <f t="shared" si="150"/>
        <v>008</v>
      </c>
      <c r="O2533" s="799" t="s">
        <v>9883</v>
      </c>
      <c r="P2533" s="799" t="s">
        <v>10244</v>
      </c>
      <c r="R2533" s="30"/>
    </row>
    <row r="2534" spans="2:18">
      <c r="B2534" s="5" t="str">
        <f>Page5_GMC_VE!C11</f>
        <v>NE PAS UTILISER</v>
      </c>
      <c r="C2534" s="1038" t="str">
        <f>OR_VEH!D360</f>
        <v>407-008</v>
      </c>
      <c r="D2534" s="803">
        <f>Page5_GMC_VE!G11</f>
        <v>0</v>
      </c>
      <c r="E2534" s="803">
        <f>Page5_GMC_VE!L11</f>
        <v>0</v>
      </c>
      <c r="F2534" t="str">
        <f t="shared" si="146"/>
        <v>01-00-407-008-SALES-CURR</v>
      </c>
      <c r="G2534" t="s">
        <v>127</v>
      </c>
      <c r="H2534" t="s">
        <v>10287</v>
      </c>
      <c r="I2534" t="s">
        <v>10253</v>
      </c>
      <c r="K2534" s="1073" t="s">
        <v>10288</v>
      </c>
      <c r="L2534" s="789" t="s">
        <v>10241</v>
      </c>
      <c r="M2534" s="790" t="str">
        <f t="shared" si="149"/>
        <v>407</v>
      </c>
      <c r="N2534" s="790" t="str">
        <f t="shared" si="150"/>
        <v>008</v>
      </c>
      <c r="O2534" s="799" t="s">
        <v>9883</v>
      </c>
      <c r="P2534" s="799" t="s">
        <v>10244</v>
      </c>
      <c r="R2534" s="30"/>
    </row>
    <row r="2535" spans="2:18">
      <c r="B2535" s="5" t="str">
        <f>Page5_GMC_VE!C12</f>
        <v>NE PAS UTILISER</v>
      </c>
      <c r="C2535" s="1038" t="str">
        <f>OR_VEH!D361</f>
        <v>408-008</v>
      </c>
      <c r="D2535" s="803">
        <f>Page5_GMC_VE!G12</f>
        <v>0</v>
      </c>
      <c r="E2535" s="803">
        <f>Page5_GMC_VE!L12</f>
        <v>0</v>
      </c>
      <c r="F2535" t="str">
        <f t="shared" si="146"/>
        <v>01-00-408-008-SALES-CURR</v>
      </c>
      <c r="G2535" t="s">
        <v>127</v>
      </c>
      <c r="H2535" t="s">
        <v>10287</v>
      </c>
      <c r="I2535" t="s">
        <v>10253</v>
      </c>
      <c r="K2535" s="1073" t="s">
        <v>10288</v>
      </c>
      <c r="L2535" s="789" t="s">
        <v>10241</v>
      </c>
      <c r="M2535" s="790" t="str">
        <f t="shared" si="149"/>
        <v>408</v>
      </c>
      <c r="N2535" s="790" t="str">
        <f t="shared" si="150"/>
        <v>008</v>
      </c>
      <c r="O2535" s="799" t="s">
        <v>9883</v>
      </c>
      <c r="P2535" s="799" t="s">
        <v>10244</v>
      </c>
      <c r="R2535" s="30"/>
    </row>
    <row r="2536" spans="2:18">
      <c r="B2536" s="5" t="str">
        <f>Page5_GMC_VE!C13</f>
        <v>NE PAS UTILISER</v>
      </c>
      <c r="C2536" s="1038" t="str">
        <f>OR_VEH!D362</f>
        <v>409-008</v>
      </c>
      <c r="D2536" s="803">
        <f>Page5_GMC_VE!G13</f>
        <v>0</v>
      </c>
      <c r="E2536" s="803">
        <f>Page5_GMC_VE!L13</f>
        <v>0</v>
      </c>
      <c r="F2536" t="str">
        <f t="shared" si="146"/>
        <v>01-00-409-008-SALES-CURR</v>
      </c>
      <c r="G2536" t="s">
        <v>127</v>
      </c>
      <c r="H2536" t="s">
        <v>10287</v>
      </c>
      <c r="I2536" t="s">
        <v>10253</v>
      </c>
      <c r="K2536" s="1073" t="s">
        <v>10288</v>
      </c>
      <c r="L2536" s="789" t="s">
        <v>10241</v>
      </c>
      <c r="M2536" s="790" t="str">
        <f t="shared" si="149"/>
        <v>409</v>
      </c>
      <c r="N2536" s="790" t="str">
        <f t="shared" si="150"/>
        <v>008</v>
      </c>
      <c r="O2536" s="799" t="s">
        <v>9883</v>
      </c>
      <c r="P2536" s="799" t="s">
        <v>10244</v>
      </c>
      <c r="R2536" s="30"/>
    </row>
    <row r="2537" spans="2:18">
      <c r="B2537" s="5" t="str">
        <f>Page5_GMC_VE!C14</f>
        <v>NE PAS UTILISER</v>
      </c>
      <c r="C2537" s="1038" t="str">
        <f>OR_VEH!D363</f>
        <v>410-008</v>
      </c>
      <c r="D2537" s="803">
        <f>Page5_GMC_VE!G14</f>
        <v>0</v>
      </c>
      <c r="E2537" s="803">
        <f>Page5_GMC_VE!L14</f>
        <v>0</v>
      </c>
      <c r="F2537" t="str">
        <f t="shared" si="146"/>
        <v>01-00-410-008-SALES-CURR</v>
      </c>
      <c r="G2537" t="s">
        <v>127</v>
      </c>
      <c r="H2537" t="s">
        <v>10287</v>
      </c>
      <c r="I2537" t="s">
        <v>10253</v>
      </c>
      <c r="K2537" s="1073" t="s">
        <v>10288</v>
      </c>
      <c r="L2537" s="789" t="s">
        <v>10241</v>
      </c>
      <c r="M2537" s="790" t="str">
        <f t="shared" si="149"/>
        <v>410</v>
      </c>
      <c r="N2537" s="790" t="str">
        <f t="shared" si="150"/>
        <v>008</v>
      </c>
      <c r="O2537" s="799" t="s">
        <v>9883</v>
      </c>
      <c r="P2537" s="799" t="s">
        <v>10244</v>
      </c>
      <c r="R2537" s="30"/>
    </row>
    <row r="2538" spans="2:18">
      <c r="B2538" s="5" t="str">
        <f>Page5_GMC_VE!C15</f>
        <v>NE PAS UTILISER</v>
      </c>
      <c r="C2538" s="1038" t="str">
        <f>OR_VEH!D364</f>
        <v>411-008</v>
      </c>
      <c r="D2538" s="803">
        <f>Page5_GMC_VE!G15</f>
        <v>0</v>
      </c>
      <c r="E2538" s="803">
        <f>Page5_GMC_VE!L15</f>
        <v>0</v>
      </c>
      <c r="F2538" t="str">
        <f t="shared" si="146"/>
        <v>01-00-411-008-SALES-CURR</v>
      </c>
      <c r="G2538" t="s">
        <v>127</v>
      </c>
      <c r="H2538" t="s">
        <v>10287</v>
      </c>
      <c r="I2538" t="s">
        <v>10253</v>
      </c>
      <c r="K2538" s="1073" t="s">
        <v>10288</v>
      </c>
      <c r="L2538" s="789" t="s">
        <v>10241</v>
      </c>
      <c r="M2538" s="790" t="str">
        <f t="shared" si="149"/>
        <v>411</v>
      </c>
      <c r="N2538" s="790" t="str">
        <f t="shared" si="150"/>
        <v>008</v>
      </c>
      <c r="O2538" s="790" t="s">
        <v>9883</v>
      </c>
      <c r="P2538" s="790" t="s">
        <v>10244</v>
      </c>
      <c r="R2538" s="30"/>
    </row>
    <row r="2539" spans="2:18">
      <c r="B2539" s="5" t="str">
        <f>Page5_GMC_VE!C16</f>
        <v>NE PAS UTILISER</v>
      </c>
      <c r="C2539" s="1038" t="str">
        <f>OR_VEH!D365</f>
        <v>412-008</v>
      </c>
      <c r="D2539" s="803">
        <f>Page5_GMC_VE!G16</f>
        <v>0</v>
      </c>
      <c r="E2539" s="803">
        <f>Page5_GMC_VE!L16</f>
        <v>0</v>
      </c>
      <c r="F2539" t="str">
        <f t="shared" si="146"/>
        <v>01-00-412-008-SALES-CURR</v>
      </c>
      <c r="G2539" t="s">
        <v>127</v>
      </c>
      <c r="H2539" t="s">
        <v>10287</v>
      </c>
      <c r="I2539" t="s">
        <v>10253</v>
      </c>
      <c r="K2539" s="1073" t="s">
        <v>10288</v>
      </c>
      <c r="L2539" s="789" t="s">
        <v>10241</v>
      </c>
      <c r="M2539" s="790" t="str">
        <f t="shared" si="149"/>
        <v>412</v>
      </c>
      <c r="N2539" s="790" t="str">
        <f t="shared" si="150"/>
        <v>008</v>
      </c>
      <c r="O2539" s="790" t="s">
        <v>9883</v>
      </c>
      <c r="P2539" s="790" t="s">
        <v>10244</v>
      </c>
      <c r="R2539" s="30"/>
    </row>
    <row r="2540" spans="2:18">
      <c r="B2540" s="5" t="str">
        <f>Page5_GMC_VE!C17</f>
        <v>NE PAS UTILISER</v>
      </c>
      <c r="C2540" s="1038" t="str">
        <f>OR_VEH!D366</f>
        <v>413-008</v>
      </c>
      <c r="D2540" s="803">
        <f>Page5_GMC_VE!G17</f>
        <v>0</v>
      </c>
      <c r="E2540" s="803">
        <f>Page5_GMC_VE!L17</f>
        <v>0</v>
      </c>
      <c r="F2540" t="str">
        <f t="shared" si="146"/>
        <v>01-00-413-008-SALES-CURR</v>
      </c>
      <c r="G2540" t="s">
        <v>127</v>
      </c>
      <c r="H2540" t="s">
        <v>10287</v>
      </c>
      <c r="I2540" t="s">
        <v>10253</v>
      </c>
      <c r="K2540" s="1073" t="s">
        <v>10288</v>
      </c>
      <c r="L2540" s="789" t="s">
        <v>10241</v>
      </c>
      <c r="M2540" s="790" t="str">
        <f t="shared" si="149"/>
        <v>413</v>
      </c>
      <c r="N2540" s="790" t="str">
        <f t="shared" si="150"/>
        <v>008</v>
      </c>
      <c r="O2540" s="790" t="s">
        <v>9883</v>
      </c>
      <c r="P2540" s="790" t="s">
        <v>10244</v>
      </c>
      <c r="R2540" s="30"/>
    </row>
    <row r="2541" spans="2:18">
      <c r="B2541" s="5" t="str">
        <f>Page5_GMC_VE!C18</f>
        <v>NE PAS UTILISER</v>
      </c>
      <c r="C2541" s="1038" t="str">
        <f>OR_VEH!D367</f>
        <v>414-008</v>
      </c>
      <c r="D2541" s="803">
        <f>Page5_GMC_VE!G18</f>
        <v>0</v>
      </c>
      <c r="E2541" s="803">
        <f>Page5_GMC_VE!L18</f>
        <v>0</v>
      </c>
      <c r="F2541" t="str">
        <f t="shared" si="146"/>
        <v>01-00-414-008-SALES-CURR</v>
      </c>
      <c r="G2541" t="s">
        <v>127</v>
      </c>
      <c r="H2541" t="s">
        <v>10287</v>
      </c>
      <c r="I2541" t="s">
        <v>10253</v>
      </c>
      <c r="K2541" s="1073" t="s">
        <v>10288</v>
      </c>
      <c r="L2541" s="789" t="s">
        <v>10241</v>
      </c>
      <c r="M2541" s="790" t="str">
        <f t="shared" si="149"/>
        <v>414</v>
      </c>
      <c r="N2541" s="790" t="str">
        <f t="shared" si="150"/>
        <v>008</v>
      </c>
      <c r="O2541" s="790" t="s">
        <v>9883</v>
      </c>
      <c r="P2541" s="790" t="s">
        <v>10244</v>
      </c>
      <c r="R2541" s="30"/>
    </row>
    <row r="2542" spans="2:18">
      <c r="B2542" s="5" t="str">
        <f>Page5_GMC_VE!C19</f>
        <v>NE PAS UTILISER</v>
      </c>
      <c r="C2542" s="1038" t="str">
        <f>OR_VEH!D368</f>
        <v>415-008</v>
      </c>
      <c r="D2542" s="803">
        <f>Page5_GMC_VE!G19</f>
        <v>0</v>
      </c>
      <c r="E2542" s="803">
        <f>Page5_GMC_VE!L19</f>
        <v>0</v>
      </c>
      <c r="F2542" t="str">
        <f t="shared" si="146"/>
        <v>01-00-415-008-SALES-CURR</v>
      </c>
      <c r="G2542" t="s">
        <v>127</v>
      </c>
      <c r="H2542" t="s">
        <v>10287</v>
      </c>
      <c r="I2542" t="s">
        <v>10253</v>
      </c>
      <c r="K2542" s="1073" t="s">
        <v>10288</v>
      </c>
      <c r="L2542" s="789" t="s">
        <v>10241</v>
      </c>
      <c r="M2542" s="790" t="str">
        <f t="shared" si="149"/>
        <v>415</v>
      </c>
      <c r="N2542" s="790" t="str">
        <f t="shared" si="150"/>
        <v>008</v>
      </c>
      <c r="O2542" s="790" t="s">
        <v>9883</v>
      </c>
      <c r="P2542" s="790" t="s">
        <v>10244</v>
      </c>
      <c r="R2542" s="30"/>
    </row>
    <row r="2543" spans="2:18">
      <c r="B2543" s="5" t="str">
        <f>Page5_GMC_VE!C20</f>
        <v>NE PAS UTILISER</v>
      </c>
      <c r="C2543" s="1038" t="str">
        <f>OR_VEH!D369</f>
        <v>416-008</v>
      </c>
      <c r="D2543" s="803">
        <f>Page5_GMC_VE!G20</f>
        <v>0</v>
      </c>
      <c r="E2543" s="803">
        <f>Page5_GMC_VE!L20</f>
        <v>0</v>
      </c>
      <c r="F2543" t="str">
        <f t="shared" si="146"/>
        <v>01-00-416-008-SALES-CURR</v>
      </c>
      <c r="G2543" t="s">
        <v>127</v>
      </c>
      <c r="H2543" t="s">
        <v>10287</v>
      </c>
      <c r="I2543" t="s">
        <v>10253</v>
      </c>
      <c r="K2543" s="1073" t="s">
        <v>10288</v>
      </c>
      <c r="L2543" s="789" t="s">
        <v>10241</v>
      </c>
      <c r="M2543" s="790" t="str">
        <f t="shared" si="149"/>
        <v>416</v>
      </c>
      <c r="N2543" s="790" t="str">
        <f t="shared" si="150"/>
        <v>008</v>
      </c>
      <c r="O2543" s="790" t="s">
        <v>9883</v>
      </c>
      <c r="P2543" s="790" t="s">
        <v>10244</v>
      </c>
      <c r="R2543" s="30"/>
    </row>
    <row r="2544" spans="2:18">
      <c r="B2544" s="5" t="str">
        <f>Page5_GMC_VE!C21</f>
        <v>NE PAS UTILISER</v>
      </c>
      <c r="C2544" s="1038" t="str">
        <f>OR_VEH!D370</f>
        <v>417-008</v>
      </c>
      <c r="D2544" s="803">
        <f>Page5_GMC_VE!G21</f>
        <v>0</v>
      </c>
      <c r="E2544" s="803">
        <f>Page5_GMC_VE!L21</f>
        <v>0</v>
      </c>
      <c r="F2544" t="str">
        <f t="shared" si="146"/>
        <v>01-00-417-008-SALES-CURR</v>
      </c>
      <c r="G2544" t="s">
        <v>127</v>
      </c>
      <c r="H2544" t="s">
        <v>10287</v>
      </c>
      <c r="I2544" t="s">
        <v>10253</v>
      </c>
      <c r="K2544" s="1073" t="s">
        <v>10288</v>
      </c>
      <c r="L2544" s="789" t="s">
        <v>10241</v>
      </c>
      <c r="M2544" s="790" t="str">
        <f t="shared" si="149"/>
        <v>417</v>
      </c>
      <c r="N2544" s="790" t="str">
        <f t="shared" si="150"/>
        <v>008</v>
      </c>
      <c r="O2544" s="790" t="s">
        <v>9883</v>
      </c>
      <c r="P2544" s="790" t="s">
        <v>10244</v>
      </c>
      <c r="R2544" s="30"/>
    </row>
    <row r="2545" spans="2:18">
      <c r="B2545" s="5" t="str">
        <f>Page5_GMC_VE!C22</f>
        <v>NE PAS UTILISER</v>
      </c>
      <c r="C2545" s="1038" t="str">
        <f>OR_VEH!D371</f>
        <v>418-008</v>
      </c>
      <c r="D2545" s="803">
        <f>Page5_GMC_VE!G22</f>
        <v>0</v>
      </c>
      <c r="E2545" s="803">
        <f>Page5_GMC_VE!L22</f>
        <v>0</v>
      </c>
      <c r="F2545" t="str">
        <f t="shared" si="146"/>
        <v>01-00-418-008-SALES-CURR</v>
      </c>
      <c r="G2545" t="s">
        <v>127</v>
      </c>
      <c r="H2545" t="s">
        <v>10287</v>
      </c>
      <c r="I2545" t="s">
        <v>10253</v>
      </c>
      <c r="K2545" s="1073" t="s">
        <v>10288</v>
      </c>
      <c r="L2545" s="789" t="s">
        <v>10241</v>
      </c>
      <c r="M2545" s="790" t="str">
        <f t="shared" si="149"/>
        <v>418</v>
      </c>
      <c r="N2545" s="790" t="str">
        <f t="shared" si="150"/>
        <v>008</v>
      </c>
      <c r="O2545" s="790" t="s">
        <v>9883</v>
      </c>
      <c r="P2545" s="790" t="s">
        <v>10244</v>
      </c>
      <c r="R2545" s="30"/>
    </row>
    <row r="2546" spans="2:18">
      <c r="B2546" s="27" t="s">
        <v>12195</v>
      </c>
      <c r="C2546" s="1042"/>
      <c r="D2546" s="803">
        <f>Page5_GMC_VE!G23</f>
        <v>0</v>
      </c>
      <c r="E2546" s="803">
        <f>Page5_GMC_VE!L23</f>
        <v>0</v>
      </c>
      <c r="F2546" t="str">
        <f t="shared" si="146"/>
        <v>01-00-RTLCAR5H-SALES-CURR</v>
      </c>
      <c r="G2546" t="s">
        <v>127</v>
      </c>
      <c r="H2546" t="s">
        <v>10287</v>
      </c>
      <c r="I2546" t="s">
        <v>10253</v>
      </c>
      <c r="J2546" t="s">
        <v>10268</v>
      </c>
      <c r="K2546" s="1073" t="s">
        <v>10288</v>
      </c>
      <c r="L2546" s="789" t="s">
        <v>10241</v>
      </c>
      <c r="M2546" s="790" t="s">
        <v>10367</v>
      </c>
      <c r="O2546" s="790" t="s">
        <v>9883</v>
      </c>
      <c r="P2546" s="790" t="s">
        <v>10244</v>
      </c>
      <c r="Q2546" s="791" t="s">
        <v>773</v>
      </c>
    </row>
    <row r="2547" spans="2:18">
      <c r="B2547" s="5" t="str">
        <f>Page5_GMC_VE!C24</f>
        <v>MÉMO* VENTES INTERNET VOITURES</v>
      </c>
      <c r="C2547" s="1038" t="str">
        <f>OR_VEH!D373</f>
        <v>419P5H</v>
      </c>
      <c r="D2547" s="803">
        <f>Page5_GMC_VE!G24</f>
        <v>0</v>
      </c>
      <c r="E2547" s="803">
        <f>Page5_GMC_VE!L24</f>
        <v>0</v>
      </c>
      <c r="F2547" t="str">
        <f t="shared" si="146"/>
        <v>01-00-419P5H-SALES-CURR</v>
      </c>
      <c r="G2547" t="s">
        <v>127</v>
      </c>
      <c r="H2547" t="s">
        <v>10287</v>
      </c>
      <c r="I2547" t="s">
        <v>10253</v>
      </c>
      <c r="K2547" s="1073" t="s">
        <v>10288</v>
      </c>
      <c r="L2547" s="789" t="s">
        <v>10241</v>
      </c>
      <c r="M2547" s="855" t="str">
        <f>C2547</f>
        <v>419P5H</v>
      </c>
      <c r="N2547" s="855"/>
      <c r="O2547" s="790" t="s">
        <v>9883</v>
      </c>
      <c r="P2547" s="790" t="s">
        <v>10244</v>
      </c>
      <c r="R2547" s="30"/>
    </row>
    <row r="2548" spans="2:18">
      <c r="B2548" s="5" t="str">
        <f>Page5_GMC_VE!C25</f>
        <v>TOTAL PARCS - VOITURES</v>
      </c>
      <c r="C2548" s="1038" t="str">
        <f>OR_VEH!D374</f>
        <v>420P5H</v>
      </c>
      <c r="D2548" s="803">
        <f>Page5_GMC_VE!G25</f>
        <v>0</v>
      </c>
      <c r="E2548" s="803">
        <f>Page5_GMC_VE!L25</f>
        <v>0</v>
      </c>
      <c r="F2548" t="str">
        <f t="shared" si="146"/>
        <v>01-00-420P5H-SALES-CURR</v>
      </c>
      <c r="G2548" t="s">
        <v>127</v>
      </c>
      <c r="H2548" t="s">
        <v>10287</v>
      </c>
      <c r="I2548" t="s">
        <v>10253</v>
      </c>
      <c r="K2548" s="1073" t="s">
        <v>10288</v>
      </c>
      <c r="L2548" s="789" t="s">
        <v>10241</v>
      </c>
      <c r="M2548" s="855" t="str">
        <f>C2548</f>
        <v>420P5H</v>
      </c>
      <c r="N2548" s="855"/>
      <c r="O2548" s="790" t="s">
        <v>9883</v>
      </c>
      <c r="P2548" s="790" t="s">
        <v>10244</v>
      </c>
      <c r="R2548" s="30"/>
    </row>
    <row r="2549" spans="2:18">
      <c r="B2549" s="5" t="str">
        <f>Page5_GMC_VE!C26</f>
        <v>TOTAL INTERNE - VOITURES</v>
      </c>
      <c r="C2549" s="1038" t="str">
        <f>OR_VEH!D375</f>
        <v>421P5H</v>
      </c>
      <c r="D2549" s="803">
        <f>Page5_GMC_VE!G26</f>
        <v>0</v>
      </c>
      <c r="E2549" s="803">
        <f>Page5_GMC_VE!L26</f>
        <v>0</v>
      </c>
      <c r="F2549" t="str">
        <f t="shared" si="146"/>
        <v>01-00-421P5H-SALES-CURR</v>
      </c>
      <c r="G2549" t="s">
        <v>127</v>
      </c>
      <c r="H2549" t="s">
        <v>10287</v>
      </c>
      <c r="I2549" t="s">
        <v>10253</v>
      </c>
      <c r="K2549" s="1073" t="s">
        <v>10288</v>
      </c>
      <c r="L2549" s="789" t="s">
        <v>10241</v>
      </c>
      <c r="M2549" s="855" t="str">
        <f>C2549</f>
        <v>421P5H</v>
      </c>
      <c r="N2549" s="855"/>
      <c r="O2549" s="790" t="s">
        <v>9883</v>
      </c>
      <c r="P2549" s="790" t="s">
        <v>10244</v>
      </c>
      <c r="R2549" s="30"/>
    </row>
    <row r="2550" spans="2:18">
      <c r="B2550" s="27" t="s">
        <v>12196</v>
      </c>
      <c r="C2550" s="1042"/>
      <c r="D2550" s="803">
        <f>Page5_GMC_VE!G27</f>
        <v>0</v>
      </c>
      <c r="E2550" s="803">
        <f>Page5_GMC_VE!L27</f>
        <v>0</v>
      </c>
      <c r="F2550" t="str">
        <f t="shared" ref="F2550:F2613" si="151">TEXT(K2550,"00")&amp;"-"&amp;L2550&amp;IF(M2550="","","-"&amp;M2550)&amp;IF(N2550="","","-"&amp;N2550)&amp;IF(OR(O2550="",O2550=0),"","-"&amp;O2550)&amp;IF(P2550="","","-"&amp;P2550)</f>
        <v>01-00-TOTCAR5H-SALES-CURR</v>
      </c>
      <c r="G2550" t="s">
        <v>127</v>
      </c>
      <c r="H2550" t="s">
        <v>10287</v>
      </c>
      <c r="I2550" t="s">
        <v>10253</v>
      </c>
      <c r="J2550" t="s">
        <v>10268</v>
      </c>
      <c r="K2550" s="1073" t="s">
        <v>10288</v>
      </c>
      <c r="L2550" s="789" t="s">
        <v>10241</v>
      </c>
      <c r="M2550" s="790" t="s">
        <v>10369</v>
      </c>
      <c r="O2550" s="790" t="s">
        <v>9883</v>
      </c>
      <c r="P2550" s="790" t="s">
        <v>10244</v>
      </c>
      <c r="Q2550" s="791" t="s">
        <v>773</v>
      </c>
    </row>
    <row r="2551" spans="2:18">
      <c r="B2551" s="5" t="str">
        <f>Page5_GMC_VE!C28</f>
        <v>HUMMER EV SUT</v>
      </c>
      <c r="C2551" s="1038" t="str">
        <f>OR_VEH!D377</f>
        <v>423-008</v>
      </c>
      <c r="D2551" s="803">
        <f>Page5_GMC_VE!G28</f>
        <v>0</v>
      </c>
      <c r="E2551" s="803">
        <f>Page5_GMC_VE!L28</f>
        <v>0</v>
      </c>
      <c r="F2551" t="str">
        <f t="shared" si="151"/>
        <v>01-00-423-008-SALES-CURR</v>
      </c>
      <c r="G2551" t="s">
        <v>127</v>
      </c>
      <c r="H2551" t="s">
        <v>10287</v>
      </c>
      <c r="I2551" t="s">
        <v>10253</v>
      </c>
      <c r="K2551" s="1073" t="s">
        <v>10288</v>
      </c>
      <c r="L2551" s="789" t="s">
        <v>10241</v>
      </c>
      <c r="M2551" s="790" t="str">
        <f t="shared" ref="M2551:M2566" si="152">LEFT(C2551,3)</f>
        <v>423</v>
      </c>
      <c r="N2551" s="790" t="str">
        <f t="shared" ref="N2551:N2566" si="153">RIGHT(C2551,3)</f>
        <v>008</v>
      </c>
      <c r="O2551" s="799" t="s">
        <v>9883</v>
      </c>
      <c r="P2551" s="799" t="s">
        <v>10244</v>
      </c>
      <c r="R2551" s="30"/>
    </row>
    <row r="2552" spans="2:18">
      <c r="B2552" s="5" t="str">
        <f>Page5_GMC_VE!C29</f>
        <v>HUMMER EV SUV</v>
      </c>
      <c r="C2552" s="1038" t="str">
        <f>OR_VEH!D378</f>
        <v>424-008</v>
      </c>
      <c r="D2552" s="803">
        <f>Page5_GMC_VE!G29</f>
        <v>139503</v>
      </c>
      <c r="E2552" s="803">
        <f>Page5_GMC_VE!L29</f>
        <v>752856</v>
      </c>
      <c r="F2552" t="str">
        <f t="shared" si="151"/>
        <v>01-00-424-008-SALES-CURR</v>
      </c>
      <c r="G2552" t="s">
        <v>127</v>
      </c>
      <c r="H2552" t="s">
        <v>10287</v>
      </c>
      <c r="I2552" t="s">
        <v>10253</v>
      </c>
      <c r="K2552" s="1073" t="s">
        <v>10288</v>
      </c>
      <c r="L2552" s="789" t="s">
        <v>10241</v>
      </c>
      <c r="M2552" s="790" t="str">
        <f t="shared" si="152"/>
        <v>424</v>
      </c>
      <c r="N2552" s="790" t="str">
        <f t="shared" si="153"/>
        <v>008</v>
      </c>
      <c r="O2552" s="799" t="s">
        <v>9883</v>
      </c>
      <c r="P2552" s="799" t="s">
        <v>10244</v>
      </c>
      <c r="R2552" s="30"/>
    </row>
    <row r="2553" spans="2:18">
      <c r="B2553" s="5" t="str">
        <f>Page5_GMC_VE!C30</f>
        <v>SIERRA EV</v>
      </c>
      <c r="C2553" s="1038" t="str">
        <f>OR_VEH!D379</f>
        <v>425-008</v>
      </c>
      <c r="D2553" s="803">
        <f>Page5_GMC_VE!G30</f>
        <v>0</v>
      </c>
      <c r="E2553" s="803">
        <f>Page5_GMC_VE!L30</f>
        <v>0</v>
      </c>
      <c r="F2553" t="str">
        <f t="shared" si="151"/>
        <v>01-00-425-008-SALES-CURR</v>
      </c>
      <c r="G2553" t="s">
        <v>127</v>
      </c>
      <c r="H2553" t="s">
        <v>10287</v>
      </c>
      <c r="I2553" t="s">
        <v>10253</v>
      </c>
      <c r="K2553" s="1073" t="s">
        <v>10288</v>
      </c>
      <c r="L2553" s="789" t="s">
        <v>10241</v>
      </c>
      <c r="M2553" s="790" t="str">
        <f t="shared" si="152"/>
        <v>425</v>
      </c>
      <c r="N2553" s="790" t="str">
        <f t="shared" si="153"/>
        <v>008</v>
      </c>
      <c r="O2553" s="799" t="s">
        <v>9883</v>
      </c>
      <c r="P2553" s="799" t="s">
        <v>10244</v>
      </c>
      <c r="R2553" s="30"/>
    </row>
    <row r="2554" spans="2:18">
      <c r="B2554" s="5" t="str">
        <f>Page5_GMC_VE!C31</f>
        <v>NE PAS UTILISER</v>
      </c>
      <c r="C2554" s="1038" t="str">
        <f>OR_VEH!D380</f>
        <v>426-008</v>
      </c>
      <c r="D2554" s="803">
        <f>Page5_GMC_VE!G31</f>
        <v>0</v>
      </c>
      <c r="E2554" s="803">
        <f>Page5_GMC_VE!L31</f>
        <v>0</v>
      </c>
      <c r="F2554" t="str">
        <f t="shared" si="151"/>
        <v>01-00-426-008-SALES-CURR</v>
      </c>
      <c r="G2554" t="s">
        <v>127</v>
      </c>
      <c r="H2554" t="s">
        <v>10287</v>
      </c>
      <c r="I2554" t="s">
        <v>10253</v>
      </c>
      <c r="K2554" s="1073" t="s">
        <v>10288</v>
      </c>
      <c r="L2554" s="789" t="s">
        <v>10241</v>
      </c>
      <c r="M2554" s="790" t="str">
        <f t="shared" si="152"/>
        <v>426</v>
      </c>
      <c r="N2554" s="790" t="str">
        <f t="shared" si="153"/>
        <v>008</v>
      </c>
      <c r="O2554" s="799" t="s">
        <v>9883</v>
      </c>
      <c r="P2554" s="799" t="s">
        <v>10244</v>
      </c>
      <c r="R2554" s="30"/>
    </row>
    <row r="2555" spans="2:18">
      <c r="B2555" s="5" t="str">
        <f>Page5_GMC_VE!C32</f>
        <v>NE PAS UTILISER</v>
      </c>
      <c r="C2555" s="1038" t="str">
        <f>OR_VEH!D381</f>
        <v>427-008</v>
      </c>
      <c r="D2555" s="803">
        <f>Page5_GMC_VE!G32</f>
        <v>0</v>
      </c>
      <c r="E2555" s="803">
        <f>Page5_GMC_VE!L32</f>
        <v>0</v>
      </c>
      <c r="F2555" t="str">
        <f t="shared" si="151"/>
        <v>01-00-427-008-SALES-CURR</v>
      </c>
      <c r="G2555" t="s">
        <v>127</v>
      </c>
      <c r="H2555" t="s">
        <v>10287</v>
      </c>
      <c r="I2555" t="s">
        <v>10253</v>
      </c>
      <c r="K2555" s="1073" t="s">
        <v>10288</v>
      </c>
      <c r="L2555" s="789" t="s">
        <v>10241</v>
      </c>
      <c r="M2555" s="790" t="str">
        <f t="shared" si="152"/>
        <v>427</v>
      </c>
      <c r="N2555" s="790" t="str">
        <f t="shared" si="153"/>
        <v>008</v>
      </c>
      <c r="O2555" s="799" t="s">
        <v>9883</v>
      </c>
      <c r="P2555" s="799" t="s">
        <v>10244</v>
      </c>
      <c r="R2555" s="30"/>
    </row>
    <row r="2556" spans="2:18">
      <c r="B2556" s="5" t="str">
        <f>Page5_GMC_VE!C33</f>
        <v>NE PAS UTILISER</v>
      </c>
      <c r="C2556" s="1038" t="str">
        <f>OR_VEH!D382</f>
        <v>428-008</v>
      </c>
      <c r="D2556" s="803">
        <f>Page5_GMC_VE!G33</f>
        <v>0</v>
      </c>
      <c r="E2556" s="803">
        <f>Page5_GMC_VE!L33</f>
        <v>0</v>
      </c>
      <c r="F2556" t="str">
        <f t="shared" si="151"/>
        <v>01-00-428-008-SALES-CURR</v>
      </c>
      <c r="G2556" t="s">
        <v>127</v>
      </c>
      <c r="H2556" t="s">
        <v>10287</v>
      </c>
      <c r="I2556" t="s">
        <v>10253</v>
      </c>
      <c r="K2556" s="1073" t="s">
        <v>10288</v>
      </c>
      <c r="L2556" s="789" t="s">
        <v>10241</v>
      </c>
      <c r="M2556" s="790" t="str">
        <f t="shared" si="152"/>
        <v>428</v>
      </c>
      <c r="N2556" s="790" t="str">
        <f t="shared" si="153"/>
        <v>008</v>
      </c>
      <c r="O2556" s="799" t="s">
        <v>9883</v>
      </c>
      <c r="P2556" s="799" t="s">
        <v>10244</v>
      </c>
      <c r="R2556" s="30"/>
    </row>
    <row r="2557" spans="2:18">
      <c r="B2557" s="5" t="str">
        <f>Page5_GMC_VE!C34</f>
        <v>NE PAS UTILISER</v>
      </c>
      <c r="C2557" s="1038" t="str">
        <f>OR_VEH!D383</f>
        <v>429-008</v>
      </c>
      <c r="D2557" s="803">
        <f>Page5_GMC_VE!G34</f>
        <v>0</v>
      </c>
      <c r="E2557" s="803">
        <f>Page5_GMC_VE!L34</f>
        <v>0</v>
      </c>
      <c r="F2557" t="str">
        <f t="shared" si="151"/>
        <v>01-00-429-008-SALES-CURR</v>
      </c>
      <c r="G2557" t="s">
        <v>127</v>
      </c>
      <c r="H2557" t="s">
        <v>10287</v>
      </c>
      <c r="I2557" t="s">
        <v>10253</v>
      </c>
      <c r="K2557" s="1073" t="s">
        <v>10288</v>
      </c>
      <c r="L2557" s="789" t="s">
        <v>10241</v>
      </c>
      <c r="M2557" s="790" t="str">
        <f t="shared" si="152"/>
        <v>429</v>
      </c>
      <c r="N2557" s="790" t="str">
        <f t="shared" si="153"/>
        <v>008</v>
      </c>
      <c r="O2557" s="799" t="s">
        <v>9883</v>
      </c>
      <c r="P2557" s="799" t="s">
        <v>10244</v>
      </c>
      <c r="R2557" s="30"/>
    </row>
    <row r="2558" spans="2:18">
      <c r="B2558" s="5" t="str">
        <f>Page5_GMC_VE!C35</f>
        <v>NE PAS UTILISER</v>
      </c>
      <c r="C2558" s="1038" t="str">
        <f>OR_VEH!D384</f>
        <v>430-008</v>
      </c>
      <c r="D2558" s="803">
        <f>Page5_GMC_VE!G35</f>
        <v>0</v>
      </c>
      <c r="E2558" s="803">
        <f>Page5_GMC_VE!L35</f>
        <v>0</v>
      </c>
      <c r="F2558" t="str">
        <f t="shared" si="151"/>
        <v>01-00-430-008-SALES-CURR</v>
      </c>
      <c r="G2558" t="s">
        <v>127</v>
      </c>
      <c r="H2558" t="s">
        <v>10287</v>
      </c>
      <c r="I2558" t="s">
        <v>10253</v>
      </c>
      <c r="K2558" s="1073" t="s">
        <v>10288</v>
      </c>
      <c r="L2558" s="789" t="s">
        <v>10241</v>
      </c>
      <c r="M2558" s="790" t="str">
        <f t="shared" si="152"/>
        <v>430</v>
      </c>
      <c r="N2558" s="790" t="str">
        <f t="shared" si="153"/>
        <v>008</v>
      </c>
      <c r="O2558" s="799" t="s">
        <v>9883</v>
      </c>
      <c r="P2558" s="799" t="s">
        <v>10244</v>
      </c>
      <c r="R2558" s="30"/>
    </row>
    <row r="2559" spans="2:18">
      <c r="B2559" s="5" t="str">
        <f>Page5_GMC_VE!C36</f>
        <v>NE PAS UTILISER</v>
      </c>
      <c r="C2559" s="1038" t="str">
        <f>OR_VEH!D385</f>
        <v>431-008</v>
      </c>
      <c r="D2559" s="803">
        <f>Page5_GMC_VE!G36</f>
        <v>0</v>
      </c>
      <c r="E2559" s="803">
        <f>Page5_GMC_VE!L36</f>
        <v>0</v>
      </c>
      <c r="F2559" t="str">
        <f t="shared" si="151"/>
        <v>01-00-431-008-SALES-CURR</v>
      </c>
      <c r="G2559" t="s">
        <v>127</v>
      </c>
      <c r="H2559" t="s">
        <v>10287</v>
      </c>
      <c r="I2559" t="s">
        <v>10253</v>
      </c>
      <c r="K2559" s="1073" t="s">
        <v>10288</v>
      </c>
      <c r="L2559" s="789" t="s">
        <v>10241</v>
      </c>
      <c r="M2559" s="790" t="str">
        <f t="shared" si="152"/>
        <v>431</v>
      </c>
      <c r="N2559" s="790" t="str">
        <f t="shared" si="153"/>
        <v>008</v>
      </c>
      <c r="O2559" s="799" t="s">
        <v>9883</v>
      </c>
      <c r="P2559" s="799" t="s">
        <v>10244</v>
      </c>
      <c r="R2559" s="30"/>
    </row>
    <row r="2560" spans="2:18">
      <c r="B2560" s="5" t="str">
        <f>Page5_GMC_VE!C37</f>
        <v>NE PAS UTILISER</v>
      </c>
      <c r="C2560" s="1038" t="str">
        <f>OR_VEH!D386</f>
        <v>432-008</v>
      </c>
      <c r="D2560" s="803">
        <f>Page5_GMC_VE!G37</f>
        <v>0</v>
      </c>
      <c r="E2560" s="803">
        <f>Page5_GMC_VE!L37</f>
        <v>0</v>
      </c>
      <c r="F2560" t="str">
        <f t="shared" si="151"/>
        <v>01-00-432-008-SALES-CURR</v>
      </c>
      <c r="G2560" t="s">
        <v>127</v>
      </c>
      <c r="H2560" t="s">
        <v>10287</v>
      </c>
      <c r="I2560" t="s">
        <v>10253</v>
      </c>
      <c r="K2560" s="1073" t="s">
        <v>10288</v>
      </c>
      <c r="L2560" s="789" t="s">
        <v>10241</v>
      </c>
      <c r="M2560" s="790" t="str">
        <f t="shared" si="152"/>
        <v>432</v>
      </c>
      <c r="N2560" s="790" t="str">
        <f t="shared" si="153"/>
        <v>008</v>
      </c>
      <c r="O2560" s="799" t="s">
        <v>9883</v>
      </c>
      <c r="P2560" s="799" t="s">
        <v>10244</v>
      </c>
      <c r="R2560" s="30"/>
    </row>
    <row r="2561" spans="2:18">
      <c r="B2561" s="5" t="str">
        <f>Page5_GMC_VE!C38</f>
        <v>NE PAS UTILISER</v>
      </c>
      <c r="C2561" s="1038" t="str">
        <f>OR_VEH!D387</f>
        <v>433-008</v>
      </c>
      <c r="D2561" s="803">
        <f>Page5_GMC_VE!G38</f>
        <v>0</v>
      </c>
      <c r="E2561" s="803">
        <f>Page5_GMC_VE!L38</f>
        <v>0</v>
      </c>
      <c r="F2561" t="str">
        <f t="shared" si="151"/>
        <v>01-00-433-008-SALES-CURR</v>
      </c>
      <c r="G2561" t="s">
        <v>127</v>
      </c>
      <c r="H2561" t="s">
        <v>10287</v>
      </c>
      <c r="I2561" t="s">
        <v>10253</v>
      </c>
      <c r="K2561" s="1073" t="s">
        <v>10288</v>
      </c>
      <c r="L2561" s="789" t="s">
        <v>10241</v>
      </c>
      <c r="M2561" s="790" t="str">
        <f t="shared" si="152"/>
        <v>433</v>
      </c>
      <c r="N2561" s="790" t="str">
        <f t="shared" si="153"/>
        <v>008</v>
      </c>
      <c r="O2561" s="790" t="s">
        <v>9883</v>
      </c>
      <c r="P2561" s="790" t="s">
        <v>10244</v>
      </c>
      <c r="R2561" s="30"/>
    </row>
    <row r="2562" spans="2:18">
      <c r="B2562" s="5" t="str">
        <f>Page5_GMC_VE!C39</f>
        <v>NE PAS UTILISER</v>
      </c>
      <c r="C2562" s="1038" t="str">
        <f>OR_VEH!D388</f>
        <v>434-008</v>
      </c>
      <c r="D2562" s="803">
        <f>Page5_GMC_VE!G39</f>
        <v>0</v>
      </c>
      <c r="E2562" s="803">
        <f>Page5_GMC_VE!L39</f>
        <v>0</v>
      </c>
      <c r="F2562" t="str">
        <f t="shared" si="151"/>
        <v>01-00-434-008-SALES-CURR</v>
      </c>
      <c r="G2562" t="s">
        <v>127</v>
      </c>
      <c r="H2562" t="s">
        <v>10287</v>
      </c>
      <c r="I2562" t="s">
        <v>10253</v>
      </c>
      <c r="K2562" s="1073" t="s">
        <v>10288</v>
      </c>
      <c r="L2562" s="789" t="s">
        <v>10241</v>
      </c>
      <c r="M2562" s="790" t="str">
        <f t="shared" si="152"/>
        <v>434</v>
      </c>
      <c r="N2562" s="790" t="str">
        <f t="shared" si="153"/>
        <v>008</v>
      </c>
      <c r="O2562" s="790" t="s">
        <v>9883</v>
      </c>
      <c r="P2562" s="790" t="s">
        <v>10244</v>
      </c>
      <c r="R2562" s="30"/>
    </row>
    <row r="2563" spans="2:18">
      <c r="B2563" s="5" t="str">
        <f>Page5_GMC_VE!C40</f>
        <v>NE PAS UTILISER</v>
      </c>
      <c r="C2563" s="1038" t="str">
        <f>OR_VEH!D389</f>
        <v>435-008</v>
      </c>
      <c r="D2563" s="803">
        <f>Page5_GMC_VE!G40</f>
        <v>0</v>
      </c>
      <c r="E2563" s="803">
        <f>Page5_GMC_VE!L40</f>
        <v>0</v>
      </c>
      <c r="F2563" t="str">
        <f t="shared" si="151"/>
        <v>01-00-435-008-SALES-CURR</v>
      </c>
      <c r="G2563" t="s">
        <v>127</v>
      </c>
      <c r="H2563" t="s">
        <v>10287</v>
      </c>
      <c r="I2563" t="s">
        <v>10253</v>
      </c>
      <c r="K2563" s="1073" t="s">
        <v>10288</v>
      </c>
      <c r="L2563" s="789" t="s">
        <v>10241</v>
      </c>
      <c r="M2563" s="790" t="str">
        <f t="shared" si="152"/>
        <v>435</v>
      </c>
      <c r="N2563" s="790" t="str">
        <f t="shared" si="153"/>
        <v>008</v>
      </c>
      <c r="O2563" s="790" t="s">
        <v>9883</v>
      </c>
      <c r="P2563" s="790" t="s">
        <v>10244</v>
      </c>
      <c r="R2563" s="30"/>
    </row>
    <row r="2564" spans="2:18">
      <c r="B2564" s="5" t="str">
        <f>Page5_GMC_VE!C41</f>
        <v>NE PAS UTILISER</v>
      </c>
      <c r="C2564" s="1038" t="str">
        <f>OR_VEH!D390</f>
        <v>436-008</v>
      </c>
      <c r="D2564" s="803">
        <f>Page5_GMC_VE!G41</f>
        <v>0</v>
      </c>
      <c r="E2564" s="803">
        <f>Page5_GMC_VE!L41</f>
        <v>0</v>
      </c>
      <c r="F2564" t="str">
        <f t="shared" si="151"/>
        <v>01-00-436-008-SALES-CURR</v>
      </c>
      <c r="G2564" t="s">
        <v>127</v>
      </c>
      <c r="H2564" t="s">
        <v>10287</v>
      </c>
      <c r="I2564" t="s">
        <v>10253</v>
      </c>
      <c r="K2564" s="1073" t="s">
        <v>10288</v>
      </c>
      <c r="L2564" s="789" t="s">
        <v>10241</v>
      </c>
      <c r="M2564" s="790" t="str">
        <f t="shared" si="152"/>
        <v>436</v>
      </c>
      <c r="N2564" s="790" t="str">
        <f t="shared" si="153"/>
        <v>008</v>
      </c>
      <c r="O2564" s="790" t="s">
        <v>9883</v>
      </c>
      <c r="P2564" s="790" t="s">
        <v>10244</v>
      </c>
      <c r="R2564" s="30"/>
    </row>
    <row r="2565" spans="2:18">
      <c r="B2565" s="5" t="str">
        <f>Page5_GMC_VE!C42</f>
        <v>NE PAS UTILISER</v>
      </c>
      <c r="C2565" s="1038" t="str">
        <f>OR_VEH!D391</f>
        <v>437-008</v>
      </c>
      <c r="D2565" s="803">
        <f>Page5_GMC_VE!G42</f>
        <v>0</v>
      </c>
      <c r="E2565" s="803">
        <f>Page5_GMC_VE!L42</f>
        <v>0</v>
      </c>
      <c r="F2565" t="str">
        <f t="shared" si="151"/>
        <v>01-00-437-008-SALES-CURR</v>
      </c>
      <c r="G2565" t="s">
        <v>127</v>
      </c>
      <c r="H2565" t="s">
        <v>10287</v>
      </c>
      <c r="I2565" t="s">
        <v>10253</v>
      </c>
      <c r="K2565" s="1073" t="s">
        <v>10288</v>
      </c>
      <c r="L2565" s="789" t="s">
        <v>10241</v>
      </c>
      <c r="M2565" s="790" t="str">
        <f t="shared" si="152"/>
        <v>437</v>
      </c>
      <c r="N2565" s="790" t="str">
        <f t="shared" si="153"/>
        <v>008</v>
      </c>
      <c r="O2565" s="790" t="s">
        <v>9883</v>
      </c>
      <c r="P2565" s="790" t="s">
        <v>10244</v>
      </c>
      <c r="R2565" s="30"/>
    </row>
    <row r="2566" spans="2:18">
      <c r="B2566" s="5" t="str">
        <f>Page5_GMC_VE!C43</f>
        <v>NE PAS UTILISER</v>
      </c>
      <c r="C2566" s="1038" t="str">
        <f>OR_VEH!D392</f>
        <v>438-008</v>
      </c>
      <c r="D2566" s="803">
        <f>Page5_GMC_VE!G43</f>
        <v>0</v>
      </c>
      <c r="E2566" s="803">
        <f>Page5_GMC_VE!L43</f>
        <v>0</v>
      </c>
      <c r="F2566" t="str">
        <f t="shared" si="151"/>
        <v>01-00-438-008-SALES-CURR</v>
      </c>
      <c r="G2566" t="s">
        <v>127</v>
      </c>
      <c r="H2566" t="s">
        <v>10287</v>
      </c>
      <c r="I2566" t="s">
        <v>10253</v>
      </c>
      <c r="K2566" s="1073" t="s">
        <v>10288</v>
      </c>
      <c r="L2566" s="789" t="s">
        <v>10241</v>
      </c>
      <c r="M2566" s="790" t="str">
        <f t="shared" si="152"/>
        <v>438</v>
      </c>
      <c r="N2566" s="790" t="str">
        <f t="shared" si="153"/>
        <v>008</v>
      </c>
      <c r="O2566" s="790" t="s">
        <v>9883</v>
      </c>
      <c r="P2566" s="790" t="s">
        <v>10244</v>
      </c>
      <c r="R2566" s="30"/>
    </row>
    <row r="2567" spans="2:18">
      <c r="B2567" s="51" t="s">
        <v>12197</v>
      </c>
      <c r="C2567" s="1042"/>
      <c r="D2567" s="803">
        <f>Page5_GMC_VE!G44</f>
        <v>139503</v>
      </c>
      <c r="E2567" s="803">
        <f>Page5_GMC_VE!L44</f>
        <v>752856</v>
      </c>
      <c r="F2567" t="str">
        <f t="shared" si="151"/>
        <v>01-00-RTLTRK5H-SALES-CURR</v>
      </c>
      <c r="G2567" t="s">
        <v>127</v>
      </c>
      <c r="H2567" t="s">
        <v>10287</v>
      </c>
      <c r="I2567" t="s">
        <v>10253</v>
      </c>
      <c r="J2567" t="s">
        <v>10268</v>
      </c>
      <c r="K2567" s="1073" t="s">
        <v>10288</v>
      </c>
      <c r="L2567" s="789" t="s">
        <v>10241</v>
      </c>
      <c r="M2567" s="790" t="s">
        <v>10371</v>
      </c>
      <c r="O2567" s="790" t="s">
        <v>9883</v>
      </c>
      <c r="P2567" s="790" t="s">
        <v>10244</v>
      </c>
      <c r="Q2567" s="791" t="s">
        <v>773</v>
      </c>
    </row>
    <row r="2568" spans="2:18">
      <c r="B2568" s="5" t="str">
        <f>Page5_GMC_VE!C45</f>
        <v>MÉMO* VENTES INTERNET CAMIONS</v>
      </c>
      <c r="C2568" s="1038" t="str">
        <f>OR_VEH!D394</f>
        <v>439P5H</v>
      </c>
      <c r="D2568" s="803">
        <f>Page5_GMC_VE!G45</f>
        <v>0</v>
      </c>
      <c r="E2568" s="803">
        <f>Page5_GMC_VE!L45</f>
        <v>0</v>
      </c>
      <c r="F2568" t="str">
        <f t="shared" si="151"/>
        <v>01-00-439P5H-SALES-CURR</v>
      </c>
      <c r="G2568" t="s">
        <v>127</v>
      </c>
      <c r="H2568" t="s">
        <v>10287</v>
      </c>
      <c r="I2568" t="s">
        <v>10253</v>
      </c>
      <c r="K2568" s="1073" t="s">
        <v>10288</v>
      </c>
      <c r="L2568" s="789" t="s">
        <v>10241</v>
      </c>
      <c r="M2568" s="855" t="str">
        <f>C2568</f>
        <v>439P5H</v>
      </c>
      <c r="N2568" s="855"/>
      <c r="O2568" s="790" t="s">
        <v>9883</v>
      </c>
      <c r="P2568" s="790" t="s">
        <v>10244</v>
      </c>
      <c r="R2568" s="30"/>
    </row>
    <row r="2569" spans="2:18">
      <c r="B2569" s="5" t="str">
        <f>Page5_GMC_VE!C46</f>
        <v>TOTAL PARCS - CAMIONS</v>
      </c>
      <c r="C2569" s="1038" t="str">
        <f>OR_VEH!D395</f>
        <v>440P5H</v>
      </c>
      <c r="D2569" s="803">
        <f>Page5_GMC_VE!G46</f>
        <v>0</v>
      </c>
      <c r="E2569" s="803">
        <f>Page5_GMC_VE!L46</f>
        <v>0</v>
      </c>
      <c r="F2569" t="str">
        <f t="shared" si="151"/>
        <v>01-00-440P5H-SALES-CURR</v>
      </c>
      <c r="G2569" t="s">
        <v>127</v>
      </c>
      <c r="H2569" t="s">
        <v>10287</v>
      </c>
      <c r="I2569" t="s">
        <v>10253</v>
      </c>
      <c r="K2569" s="1073" t="s">
        <v>10288</v>
      </c>
      <c r="L2569" s="789" t="s">
        <v>10241</v>
      </c>
      <c r="M2569" s="855" t="str">
        <f>C2569</f>
        <v>440P5H</v>
      </c>
      <c r="N2569" s="855"/>
      <c r="O2569" s="799" t="s">
        <v>9883</v>
      </c>
      <c r="P2569" s="799" t="s">
        <v>10244</v>
      </c>
      <c r="R2569" s="30"/>
    </row>
    <row r="2570" spans="2:18">
      <c r="B2570" s="5" t="str">
        <f>Page5_GMC_VE!C47</f>
        <v xml:space="preserve">TOTAL IINTERNE - CAMIONS </v>
      </c>
      <c r="C2570" s="1038" t="str">
        <f>OR_VEH!D396</f>
        <v>441P5H</v>
      </c>
      <c r="D2570" s="803">
        <f>Page5_GMC_VE!G47</f>
        <v>0</v>
      </c>
      <c r="E2570" s="803">
        <f>Page5_GMC_VE!L47</f>
        <v>0</v>
      </c>
      <c r="F2570" t="str">
        <f t="shared" si="151"/>
        <v>01-00-441P5H-SALES-CURR</v>
      </c>
      <c r="G2570" t="s">
        <v>127</v>
      </c>
      <c r="H2570" t="s">
        <v>10287</v>
      </c>
      <c r="I2570" t="s">
        <v>10253</v>
      </c>
      <c r="K2570" s="1073" t="s">
        <v>10288</v>
      </c>
      <c r="L2570" s="789" t="s">
        <v>10241</v>
      </c>
      <c r="M2570" s="855" t="str">
        <f>C2570</f>
        <v>441P5H</v>
      </c>
      <c r="N2570" s="855"/>
      <c r="O2570" s="799" t="s">
        <v>9883</v>
      </c>
      <c r="P2570" s="799" t="s">
        <v>10244</v>
      </c>
      <c r="R2570" s="30"/>
    </row>
    <row r="2571" spans="2:18">
      <c r="B2571" s="27" t="s">
        <v>12198</v>
      </c>
      <c r="C2571" s="1042"/>
      <c r="D2571" s="803">
        <f>Page5_GMC_VE!G48</f>
        <v>139503</v>
      </c>
      <c r="E2571" s="803">
        <f>Page5_GMC_VE!L48</f>
        <v>752856</v>
      </c>
      <c r="F2571" t="str">
        <f t="shared" si="151"/>
        <v>01-00-TOTTRK5H-SALES-CURR</v>
      </c>
      <c r="G2571" t="s">
        <v>127</v>
      </c>
      <c r="H2571" t="s">
        <v>10287</v>
      </c>
      <c r="I2571" t="s">
        <v>10253</v>
      </c>
      <c r="J2571" t="s">
        <v>10268</v>
      </c>
      <c r="K2571" s="1073" t="s">
        <v>10288</v>
      </c>
      <c r="L2571" s="789" t="s">
        <v>10241</v>
      </c>
      <c r="M2571" s="790" t="s">
        <v>10373</v>
      </c>
      <c r="O2571" s="790" t="s">
        <v>9883</v>
      </c>
      <c r="P2571" s="790" t="s">
        <v>10244</v>
      </c>
      <c r="Q2571" s="791" t="s">
        <v>773</v>
      </c>
    </row>
    <row r="2572" spans="2:18">
      <c r="B2572" s="5" t="str">
        <f>Page5_GMC_VE!C50</f>
        <v>ACCESSOIRES</v>
      </c>
      <c r="C2572" s="1038" t="str">
        <f>OR_VEH!D399</f>
        <v>457P5H</v>
      </c>
      <c r="D2572" s="803">
        <f>Page5_GMC_VE!G50</f>
        <v>0</v>
      </c>
      <c r="E2572" s="803">
        <f>Page5_GMC_VE!L50</f>
        <v>0</v>
      </c>
      <c r="F2572" t="str">
        <f t="shared" si="151"/>
        <v>01-00-457P5H-SALES-CURR</v>
      </c>
      <c r="G2572" t="s">
        <v>127</v>
      </c>
      <c r="H2572" t="s">
        <v>10287</v>
      </c>
      <c r="I2572" t="s">
        <v>10253</v>
      </c>
      <c r="K2572" s="1073" t="s">
        <v>10288</v>
      </c>
      <c r="L2572" s="789" t="s">
        <v>10241</v>
      </c>
      <c r="M2572" s="855" t="str">
        <f>C2572</f>
        <v>457P5H</v>
      </c>
      <c r="N2572" s="855"/>
      <c r="O2572" s="790" t="s">
        <v>9883</v>
      </c>
      <c r="P2572" s="790" t="s">
        <v>10244</v>
      </c>
      <c r="R2572" s="30"/>
    </row>
    <row r="2573" spans="2:18">
      <c r="B2573" s="27" t="s">
        <v>12199</v>
      </c>
      <c r="C2573" s="1042"/>
      <c r="D2573" s="803">
        <f>Page5_GMC_VE!G51</f>
        <v>139503</v>
      </c>
      <c r="E2573" s="803">
        <f>Page5_GMC_VE!L51</f>
        <v>752856</v>
      </c>
      <c r="F2573" t="str">
        <f t="shared" si="151"/>
        <v>01-00-TOTVEH5H-SALES-CURR</v>
      </c>
      <c r="G2573" t="s">
        <v>127</v>
      </c>
      <c r="H2573" t="s">
        <v>10287</v>
      </c>
      <c r="I2573" t="s">
        <v>10253</v>
      </c>
      <c r="J2573" t="s">
        <v>10268</v>
      </c>
      <c r="K2573" s="1073" t="s">
        <v>10288</v>
      </c>
      <c r="L2573" s="789" t="s">
        <v>10241</v>
      </c>
      <c r="M2573" s="790" t="s">
        <v>10375</v>
      </c>
      <c r="O2573" s="790" t="s">
        <v>9883</v>
      </c>
      <c r="P2573" s="790" t="s">
        <v>10244</v>
      </c>
      <c r="Q2573" s="791" t="s">
        <v>773</v>
      </c>
    </row>
    <row r="2574" spans="2:18">
      <c r="B2574" s="5" t="str">
        <f>Page5_GMC_VE!C4</f>
        <v>NE PAS UTILISER</v>
      </c>
      <c r="C2574" s="1038" t="str">
        <f>OR_VEH!D353</f>
        <v>400-008</v>
      </c>
      <c r="D2574" s="803">
        <f>Page5_GMC_VE!I4</f>
        <v>0</v>
      </c>
      <c r="E2574" s="803">
        <f>Page5_GMC_VE!N4</f>
        <v>0</v>
      </c>
      <c r="F2574" t="str">
        <f t="shared" si="151"/>
        <v>01-00-400-008-GRSPFT-CURR</v>
      </c>
      <c r="G2574" t="s">
        <v>127</v>
      </c>
      <c r="H2574" t="s">
        <v>10287</v>
      </c>
      <c r="I2574" t="s">
        <v>10253</v>
      </c>
      <c r="K2574" s="1073" t="s">
        <v>10288</v>
      </c>
      <c r="L2574" s="789" t="s">
        <v>10241</v>
      </c>
      <c r="M2574" s="790" t="str">
        <f t="shared" ref="M2574:M2592" si="154">LEFT(C2574,3)</f>
        <v>400</v>
      </c>
      <c r="N2574" s="790" t="str">
        <f t="shared" ref="N2574:N2592" si="155">RIGHT(C2574,3)</f>
        <v>008</v>
      </c>
      <c r="O2574" s="799" t="s">
        <v>10467</v>
      </c>
      <c r="P2574" s="799" t="s">
        <v>10244</v>
      </c>
      <c r="R2574" s="30"/>
    </row>
    <row r="2575" spans="2:18">
      <c r="B2575" s="5" t="str">
        <f>Page5_GMC_VE!C5</f>
        <v>NE PAS UTILISER</v>
      </c>
      <c r="C2575" s="1038" t="str">
        <f>OR_VEH!D354</f>
        <v>401-008</v>
      </c>
      <c r="D2575" s="803">
        <f>Page5_GMC_VE!I5</f>
        <v>0</v>
      </c>
      <c r="E2575" s="803">
        <f>Page5_GMC_VE!N5</f>
        <v>0</v>
      </c>
      <c r="F2575" t="str">
        <f t="shared" si="151"/>
        <v>01-00-401-008-GRSPFT-CURR</v>
      </c>
      <c r="G2575" t="s">
        <v>127</v>
      </c>
      <c r="H2575" t="s">
        <v>10287</v>
      </c>
      <c r="I2575" t="s">
        <v>10253</v>
      </c>
      <c r="K2575" s="1073" t="s">
        <v>10288</v>
      </c>
      <c r="L2575" s="789" t="s">
        <v>10241</v>
      </c>
      <c r="M2575" s="790" t="str">
        <f t="shared" si="154"/>
        <v>401</v>
      </c>
      <c r="N2575" s="790" t="str">
        <f t="shared" si="155"/>
        <v>008</v>
      </c>
      <c r="O2575" s="799" t="s">
        <v>10467</v>
      </c>
      <c r="P2575" s="799" t="s">
        <v>10244</v>
      </c>
      <c r="R2575" s="30"/>
    </row>
    <row r="2576" spans="2:18">
      <c r="B2576" s="5" t="str">
        <f>Page5_GMC_VE!C6</f>
        <v>NE PAS UTILISER</v>
      </c>
      <c r="C2576" s="1038" t="str">
        <f>OR_VEH!D355</f>
        <v>402-008</v>
      </c>
      <c r="D2576" s="803">
        <f>Page5_GMC_VE!I6</f>
        <v>0</v>
      </c>
      <c r="E2576" s="803">
        <f>Page5_GMC_VE!N6</f>
        <v>0</v>
      </c>
      <c r="F2576" t="str">
        <f t="shared" si="151"/>
        <v>01-00-402-008-GRSPFT-CURR</v>
      </c>
      <c r="G2576" t="s">
        <v>127</v>
      </c>
      <c r="H2576" t="s">
        <v>10287</v>
      </c>
      <c r="I2576" t="s">
        <v>10253</v>
      </c>
      <c r="K2576" s="1073" t="s">
        <v>10288</v>
      </c>
      <c r="L2576" s="789" t="s">
        <v>10241</v>
      </c>
      <c r="M2576" s="790" t="str">
        <f t="shared" si="154"/>
        <v>402</v>
      </c>
      <c r="N2576" s="790" t="str">
        <f t="shared" si="155"/>
        <v>008</v>
      </c>
      <c r="O2576" s="799" t="s">
        <v>10467</v>
      </c>
      <c r="P2576" s="799" t="s">
        <v>10244</v>
      </c>
      <c r="R2576" s="30"/>
    </row>
    <row r="2577" spans="2:18">
      <c r="B2577" s="5" t="str">
        <f>Page5_GMC_VE!C7</f>
        <v>NE PAS UTILISER</v>
      </c>
      <c r="C2577" s="1038" t="str">
        <f>OR_VEH!D356</f>
        <v>403-008</v>
      </c>
      <c r="D2577" s="803">
        <f>Page5_GMC_VE!I7</f>
        <v>0</v>
      </c>
      <c r="E2577" s="803">
        <f>Page5_GMC_VE!N7</f>
        <v>0</v>
      </c>
      <c r="F2577" t="str">
        <f t="shared" si="151"/>
        <v>01-00-403-008-GRSPFT-CURR</v>
      </c>
      <c r="G2577" t="s">
        <v>127</v>
      </c>
      <c r="H2577" t="s">
        <v>10287</v>
      </c>
      <c r="I2577" t="s">
        <v>10253</v>
      </c>
      <c r="K2577" s="1073" t="s">
        <v>10288</v>
      </c>
      <c r="L2577" s="789" t="s">
        <v>10241</v>
      </c>
      <c r="M2577" s="790" t="str">
        <f t="shared" si="154"/>
        <v>403</v>
      </c>
      <c r="N2577" s="790" t="str">
        <f t="shared" si="155"/>
        <v>008</v>
      </c>
      <c r="O2577" s="799" t="s">
        <v>10467</v>
      </c>
      <c r="P2577" s="799" t="s">
        <v>10244</v>
      </c>
      <c r="R2577" s="30"/>
    </row>
    <row r="2578" spans="2:18">
      <c r="B2578" s="5" t="str">
        <f>Page5_GMC_VE!C8</f>
        <v>NE PAS UTILISER</v>
      </c>
      <c r="C2578" s="1038" t="str">
        <f>OR_VEH!D357</f>
        <v>404-008</v>
      </c>
      <c r="D2578" s="803">
        <f>Page5_GMC_VE!I8</f>
        <v>0</v>
      </c>
      <c r="E2578" s="803">
        <f>Page5_GMC_VE!N8</f>
        <v>0</v>
      </c>
      <c r="F2578" t="str">
        <f t="shared" si="151"/>
        <v>01-00-404-008-GRSPFT-CURR</v>
      </c>
      <c r="G2578" t="s">
        <v>127</v>
      </c>
      <c r="H2578" t="s">
        <v>10287</v>
      </c>
      <c r="I2578" t="s">
        <v>10253</v>
      </c>
      <c r="K2578" s="1073" t="s">
        <v>10288</v>
      </c>
      <c r="L2578" s="789" t="s">
        <v>10241</v>
      </c>
      <c r="M2578" s="790" t="str">
        <f t="shared" si="154"/>
        <v>404</v>
      </c>
      <c r="N2578" s="790" t="str">
        <f t="shared" si="155"/>
        <v>008</v>
      </c>
      <c r="O2578" s="799" t="s">
        <v>10467</v>
      </c>
      <c r="P2578" s="799" t="s">
        <v>10244</v>
      </c>
      <c r="R2578" s="30"/>
    </row>
    <row r="2579" spans="2:18">
      <c r="B2579" s="5" t="str">
        <f>Page5_GMC_VE!C9</f>
        <v>NE PAS UTILISER</v>
      </c>
      <c r="C2579" s="1038" t="str">
        <f>OR_VEH!D358</f>
        <v>405-008</v>
      </c>
      <c r="D2579" s="803">
        <f>Page5_GMC_VE!I9</f>
        <v>0</v>
      </c>
      <c r="E2579" s="803">
        <f>Page5_GMC_VE!N9</f>
        <v>0</v>
      </c>
      <c r="F2579" t="str">
        <f t="shared" si="151"/>
        <v>01-00-405-008-GRSPFT-CURR</v>
      </c>
      <c r="G2579" t="s">
        <v>127</v>
      </c>
      <c r="H2579" t="s">
        <v>10287</v>
      </c>
      <c r="I2579" t="s">
        <v>10253</v>
      </c>
      <c r="K2579" s="1073" t="s">
        <v>10288</v>
      </c>
      <c r="L2579" s="789" t="s">
        <v>10241</v>
      </c>
      <c r="M2579" s="790" t="str">
        <f t="shared" si="154"/>
        <v>405</v>
      </c>
      <c r="N2579" s="790" t="str">
        <f t="shared" si="155"/>
        <v>008</v>
      </c>
      <c r="O2579" s="799" t="s">
        <v>10467</v>
      </c>
      <c r="P2579" s="799" t="s">
        <v>10244</v>
      </c>
      <c r="R2579" s="30"/>
    </row>
    <row r="2580" spans="2:18">
      <c r="B2580" s="5" t="str">
        <f>Page5_GMC_VE!C10</f>
        <v>NE PAS UTILISER</v>
      </c>
      <c r="C2580" s="1038" t="str">
        <f>OR_VEH!D359</f>
        <v>406-008</v>
      </c>
      <c r="D2580" s="803">
        <f>Page5_GMC_VE!I10</f>
        <v>0</v>
      </c>
      <c r="E2580" s="803">
        <f>Page5_GMC_VE!N10</f>
        <v>0</v>
      </c>
      <c r="F2580" t="str">
        <f t="shared" si="151"/>
        <v>01-00-406-008-GRSPFT-CURR</v>
      </c>
      <c r="G2580" t="s">
        <v>127</v>
      </c>
      <c r="H2580" t="s">
        <v>10287</v>
      </c>
      <c r="I2580" t="s">
        <v>10253</v>
      </c>
      <c r="K2580" s="1073" t="s">
        <v>10288</v>
      </c>
      <c r="L2580" s="789" t="s">
        <v>10241</v>
      </c>
      <c r="M2580" s="790" t="str">
        <f t="shared" si="154"/>
        <v>406</v>
      </c>
      <c r="N2580" s="790" t="str">
        <f t="shared" si="155"/>
        <v>008</v>
      </c>
      <c r="O2580" s="799" t="s">
        <v>10467</v>
      </c>
      <c r="P2580" s="799" t="s">
        <v>10244</v>
      </c>
      <c r="R2580" s="30"/>
    </row>
    <row r="2581" spans="2:18">
      <c r="B2581" s="5" t="str">
        <f>Page5_GMC_VE!C11</f>
        <v>NE PAS UTILISER</v>
      </c>
      <c r="C2581" s="1038" t="str">
        <f>OR_VEH!D360</f>
        <v>407-008</v>
      </c>
      <c r="D2581" s="803">
        <f>Page5_GMC_VE!I11</f>
        <v>0</v>
      </c>
      <c r="E2581" s="803">
        <f>Page5_GMC_VE!N11</f>
        <v>0</v>
      </c>
      <c r="F2581" t="str">
        <f t="shared" si="151"/>
        <v>01-00-407-008-GRSPFT-CURR</v>
      </c>
      <c r="G2581" t="s">
        <v>127</v>
      </c>
      <c r="H2581" t="s">
        <v>10287</v>
      </c>
      <c r="I2581" t="s">
        <v>10253</v>
      </c>
      <c r="K2581" s="1073" t="s">
        <v>10288</v>
      </c>
      <c r="L2581" s="789" t="s">
        <v>10241</v>
      </c>
      <c r="M2581" s="790" t="str">
        <f t="shared" si="154"/>
        <v>407</v>
      </c>
      <c r="N2581" s="790" t="str">
        <f t="shared" si="155"/>
        <v>008</v>
      </c>
      <c r="O2581" s="799" t="s">
        <v>10467</v>
      </c>
      <c r="P2581" s="799" t="s">
        <v>10244</v>
      </c>
      <c r="R2581" s="30"/>
    </row>
    <row r="2582" spans="2:18">
      <c r="B2582" s="5" t="str">
        <f>Page5_GMC_VE!C12</f>
        <v>NE PAS UTILISER</v>
      </c>
      <c r="C2582" s="1038" t="str">
        <f>OR_VEH!D361</f>
        <v>408-008</v>
      </c>
      <c r="D2582" s="803">
        <f>Page5_GMC_VE!I12</f>
        <v>0</v>
      </c>
      <c r="E2582" s="803">
        <f>Page5_GMC_VE!N12</f>
        <v>0</v>
      </c>
      <c r="F2582" t="str">
        <f t="shared" si="151"/>
        <v>01-00-408-008-GRSPFT-CURR</v>
      </c>
      <c r="G2582" t="s">
        <v>127</v>
      </c>
      <c r="H2582" t="s">
        <v>10287</v>
      </c>
      <c r="I2582" t="s">
        <v>10253</v>
      </c>
      <c r="K2582" s="1073" t="s">
        <v>10288</v>
      </c>
      <c r="L2582" s="789" t="s">
        <v>10241</v>
      </c>
      <c r="M2582" s="790" t="str">
        <f t="shared" si="154"/>
        <v>408</v>
      </c>
      <c r="N2582" s="790" t="str">
        <f t="shared" si="155"/>
        <v>008</v>
      </c>
      <c r="O2582" s="799" t="s">
        <v>10467</v>
      </c>
      <c r="P2582" s="799" t="s">
        <v>10244</v>
      </c>
      <c r="R2582" s="30"/>
    </row>
    <row r="2583" spans="2:18">
      <c r="B2583" s="5" t="str">
        <f>Page5_GMC_VE!C13</f>
        <v>NE PAS UTILISER</v>
      </c>
      <c r="C2583" s="1038" t="str">
        <f>OR_VEH!D362</f>
        <v>409-008</v>
      </c>
      <c r="D2583" s="803">
        <f>Page5_GMC_VE!I13</f>
        <v>0</v>
      </c>
      <c r="E2583" s="803">
        <f>Page5_GMC_VE!N13</f>
        <v>0</v>
      </c>
      <c r="F2583" t="str">
        <f t="shared" si="151"/>
        <v>01-00-409-008-GRSPFT-CURR</v>
      </c>
      <c r="G2583" t="s">
        <v>127</v>
      </c>
      <c r="H2583" t="s">
        <v>10287</v>
      </c>
      <c r="I2583" t="s">
        <v>10253</v>
      </c>
      <c r="K2583" s="1073" t="s">
        <v>10288</v>
      </c>
      <c r="L2583" s="789" t="s">
        <v>10241</v>
      </c>
      <c r="M2583" s="790" t="str">
        <f t="shared" si="154"/>
        <v>409</v>
      </c>
      <c r="N2583" s="790" t="str">
        <f t="shared" si="155"/>
        <v>008</v>
      </c>
      <c r="O2583" s="799" t="s">
        <v>10467</v>
      </c>
      <c r="P2583" s="799" t="s">
        <v>10244</v>
      </c>
      <c r="R2583" s="30"/>
    </row>
    <row r="2584" spans="2:18">
      <c r="B2584" s="5" t="str">
        <f>Page5_GMC_VE!C14</f>
        <v>NE PAS UTILISER</v>
      </c>
      <c r="C2584" s="1038" t="str">
        <f>OR_VEH!D363</f>
        <v>410-008</v>
      </c>
      <c r="D2584" s="803">
        <f>Page5_GMC_VE!I14</f>
        <v>0</v>
      </c>
      <c r="E2584" s="803">
        <f>Page5_GMC_VE!N14</f>
        <v>0</v>
      </c>
      <c r="F2584" t="str">
        <f t="shared" si="151"/>
        <v>01-00-410-008-GRSPFT-CURR</v>
      </c>
      <c r="G2584" t="s">
        <v>127</v>
      </c>
      <c r="H2584" t="s">
        <v>10287</v>
      </c>
      <c r="I2584" t="s">
        <v>10253</v>
      </c>
      <c r="K2584" s="1073" t="s">
        <v>10288</v>
      </c>
      <c r="L2584" s="789" t="s">
        <v>10241</v>
      </c>
      <c r="M2584" s="790" t="str">
        <f t="shared" si="154"/>
        <v>410</v>
      </c>
      <c r="N2584" s="790" t="str">
        <f t="shared" si="155"/>
        <v>008</v>
      </c>
      <c r="O2584" s="799" t="s">
        <v>10467</v>
      </c>
      <c r="P2584" s="799" t="s">
        <v>10244</v>
      </c>
      <c r="R2584" s="30"/>
    </row>
    <row r="2585" spans="2:18">
      <c r="B2585" s="5" t="str">
        <f>Page5_GMC_VE!C15</f>
        <v>NE PAS UTILISER</v>
      </c>
      <c r="C2585" s="1038" t="str">
        <f>OR_VEH!D364</f>
        <v>411-008</v>
      </c>
      <c r="D2585" s="803">
        <f>Page5_GMC_VE!I15</f>
        <v>0</v>
      </c>
      <c r="E2585" s="803">
        <f>Page5_GMC_VE!N15</f>
        <v>0</v>
      </c>
      <c r="F2585" t="str">
        <f t="shared" si="151"/>
        <v>01-00-411-008-GRSPFT-CURR</v>
      </c>
      <c r="G2585" t="s">
        <v>127</v>
      </c>
      <c r="H2585" t="s">
        <v>10287</v>
      </c>
      <c r="I2585" t="s">
        <v>10253</v>
      </c>
      <c r="K2585" s="1073" t="s">
        <v>10288</v>
      </c>
      <c r="L2585" s="789" t="s">
        <v>10241</v>
      </c>
      <c r="M2585" s="790" t="str">
        <f t="shared" si="154"/>
        <v>411</v>
      </c>
      <c r="N2585" s="790" t="str">
        <f t="shared" si="155"/>
        <v>008</v>
      </c>
      <c r="O2585" s="790" t="s">
        <v>10467</v>
      </c>
      <c r="P2585" s="790" t="s">
        <v>10244</v>
      </c>
      <c r="R2585" s="30"/>
    </row>
    <row r="2586" spans="2:18">
      <c r="B2586" s="5" t="str">
        <f>Page5_GMC_VE!C16</f>
        <v>NE PAS UTILISER</v>
      </c>
      <c r="C2586" s="1038" t="str">
        <f>OR_VEH!D365</f>
        <v>412-008</v>
      </c>
      <c r="D2586" s="803">
        <f>Page5_GMC_VE!I16</f>
        <v>0</v>
      </c>
      <c r="E2586" s="803">
        <f>Page5_GMC_VE!N16</f>
        <v>0</v>
      </c>
      <c r="F2586" t="str">
        <f t="shared" si="151"/>
        <v>01-00-412-008-GRSPFT-CURR</v>
      </c>
      <c r="G2586" t="s">
        <v>127</v>
      </c>
      <c r="H2586" t="s">
        <v>10287</v>
      </c>
      <c r="I2586" t="s">
        <v>10253</v>
      </c>
      <c r="K2586" s="1073" t="s">
        <v>10288</v>
      </c>
      <c r="L2586" s="789" t="s">
        <v>10241</v>
      </c>
      <c r="M2586" s="790" t="str">
        <f t="shared" si="154"/>
        <v>412</v>
      </c>
      <c r="N2586" s="790" t="str">
        <f t="shared" si="155"/>
        <v>008</v>
      </c>
      <c r="O2586" s="790" t="s">
        <v>10467</v>
      </c>
      <c r="P2586" s="790" t="s">
        <v>10244</v>
      </c>
      <c r="R2586" s="30"/>
    </row>
    <row r="2587" spans="2:18">
      <c r="B2587" s="5" t="str">
        <f>Page5_GMC_VE!C17</f>
        <v>NE PAS UTILISER</v>
      </c>
      <c r="C2587" s="1038" t="str">
        <f>OR_VEH!D366</f>
        <v>413-008</v>
      </c>
      <c r="D2587" s="803">
        <f>Page5_GMC_VE!I17</f>
        <v>0</v>
      </c>
      <c r="E2587" s="803">
        <f>Page5_GMC_VE!N17</f>
        <v>0</v>
      </c>
      <c r="F2587" t="str">
        <f t="shared" si="151"/>
        <v>01-00-413-008-GRSPFT-CURR</v>
      </c>
      <c r="G2587" t="s">
        <v>127</v>
      </c>
      <c r="H2587" t="s">
        <v>10287</v>
      </c>
      <c r="I2587" t="s">
        <v>10253</v>
      </c>
      <c r="K2587" s="1073" t="s">
        <v>10288</v>
      </c>
      <c r="L2587" s="789" t="s">
        <v>10241</v>
      </c>
      <c r="M2587" s="790" t="str">
        <f t="shared" si="154"/>
        <v>413</v>
      </c>
      <c r="N2587" s="790" t="str">
        <f t="shared" si="155"/>
        <v>008</v>
      </c>
      <c r="O2587" s="790" t="s">
        <v>10467</v>
      </c>
      <c r="P2587" s="790" t="s">
        <v>10244</v>
      </c>
      <c r="R2587" s="30"/>
    </row>
    <row r="2588" spans="2:18">
      <c r="B2588" s="5" t="str">
        <f>Page5_GMC_VE!C18</f>
        <v>NE PAS UTILISER</v>
      </c>
      <c r="C2588" s="1038" t="str">
        <f>OR_VEH!D367</f>
        <v>414-008</v>
      </c>
      <c r="D2588" s="803">
        <f>Page5_GMC_VE!I18</f>
        <v>0</v>
      </c>
      <c r="E2588" s="803">
        <f>Page5_GMC_VE!N18</f>
        <v>0</v>
      </c>
      <c r="F2588" t="str">
        <f t="shared" si="151"/>
        <v>01-00-414-008-GRSPFT-CURR</v>
      </c>
      <c r="G2588" t="s">
        <v>127</v>
      </c>
      <c r="H2588" t="s">
        <v>10287</v>
      </c>
      <c r="I2588" t="s">
        <v>10253</v>
      </c>
      <c r="K2588" s="1073" t="s">
        <v>10288</v>
      </c>
      <c r="L2588" s="789" t="s">
        <v>10241</v>
      </c>
      <c r="M2588" s="790" t="str">
        <f t="shared" si="154"/>
        <v>414</v>
      </c>
      <c r="N2588" s="790" t="str">
        <f t="shared" si="155"/>
        <v>008</v>
      </c>
      <c r="O2588" s="790" t="s">
        <v>10467</v>
      </c>
      <c r="P2588" s="790" t="s">
        <v>10244</v>
      </c>
      <c r="R2588" s="30"/>
    </row>
    <row r="2589" spans="2:18">
      <c r="B2589" s="5" t="str">
        <f>Page5_GMC_VE!C19</f>
        <v>NE PAS UTILISER</v>
      </c>
      <c r="C2589" s="1038" t="str">
        <f>OR_VEH!D368</f>
        <v>415-008</v>
      </c>
      <c r="D2589" s="803">
        <f>Page5_GMC_VE!I19</f>
        <v>0</v>
      </c>
      <c r="E2589" s="803">
        <f>Page5_GMC_VE!N19</f>
        <v>0</v>
      </c>
      <c r="F2589" t="str">
        <f t="shared" si="151"/>
        <v>01-00-415-008-GRSPFT-CURR</v>
      </c>
      <c r="G2589" t="s">
        <v>127</v>
      </c>
      <c r="H2589" t="s">
        <v>10287</v>
      </c>
      <c r="I2589" t="s">
        <v>10253</v>
      </c>
      <c r="K2589" s="1073" t="s">
        <v>10288</v>
      </c>
      <c r="L2589" s="789" t="s">
        <v>10241</v>
      </c>
      <c r="M2589" s="790" t="str">
        <f t="shared" si="154"/>
        <v>415</v>
      </c>
      <c r="N2589" s="790" t="str">
        <f t="shared" si="155"/>
        <v>008</v>
      </c>
      <c r="O2589" s="790" t="s">
        <v>10467</v>
      </c>
      <c r="P2589" s="790" t="s">
        <v>10244</v>
      </c>
      <c r="R2589" s="30"/>
    </row>
    <row r="2590" spans="2:18">
      <c r="B2590" s="5" t="str">
        <f>Page5_GMC_VE!C20</f>
        <v>NE PAS UTILISER</v>
      </c>
      <c r="C2590" s="1038" t="str">
        <f>OR_VEH!D369</f>
        <v>416-008</v>
      </c>
      <c r="D2590" s="803">
        <f>Page5_GMC_VE!I20</f>
        <v>0</v>
      </c>
      <c r="E2590" s="803">
        <f>Page5_GMC_VE!N20</f>
        <v>0</v>
      </c>
      <c r="F2590" t="str">
        <f t="shared" si="151"/>
        <v>01-00-416-008-GRSPFT-CURR</v>
      </c>
      <c r="G2590" t="s">
        <v>127</v>
      </c>
      <c r="H2590" t="s">
        <v>10287</v>
      </c>
      <c r="I2590" t="s">
        <v>10253</v>
      </c>
      <c r="K2590" s="1073" t="s">
        <v>10288</v>
      </c>
      <c r="L2590" s="789" t="s">
        <v>10241</v>
      </c>
      <c r="M2590" s="790" t="str">
        <f t="shared" si="154"/>
        <v>416</v>
      </c>
      <c r="N2590" s="790" t="str">
        <f t="shared" si="155"/>
        <v>008</v>
      </c>
      <c r="O2590" s="790" t="s">
        <v>10467</v>
      </c>
      <c r="P2590" s="790" t="s">
        <v>10244</v>
      </c>
      <c r="R2590" s="30"/>
    </row>
    <row r="2591" spans="2:18">
      <c r="B2591" s="5" t="str">
        <f>Page5_GMC_VE!C21</f>
        <v>NE PAS UTILISER</v>
      </c>
      <c r="C2591" s="1038" t="str">
        <f>OR_VEH!D370</f>
        <v>417-008</v>
      </c>
      <c r="D2591" s="803">
        <f>Page5_GMC_VE!I21</f>
        <v>0</v>
      </c>
      <c r="E2591" s="803">
        <f>Page5_GMC_VE!N21</f>
        <v>0</v>
      </c>
      <c r="F2591" t="str">
        <f t="shared" si="151"/>
        <v>01-00-417-008-GRSPFT-CURR</v>
      </c>
      <c r="G2591" t="s">
        <v>127</v>
      </c>
      <c r="H2591" t="s">
        <v>10287</v>
      </c>
      <c r="I2591" t="s">
        <v>10253</v>
      </c>
      <c r="K2591" s="1073" t="s">
        <v>10288</v>
      </c>
      <c r="L2591" s="789" t="s">
        <v>10241</v>
      </c>
      <c r="M2591" s="790" t="str">
        <f t="shared" si="154"/>
        <v>417</v>
      </c>
      <c r="N2591" s="790" t="str">
        <f t="shared" si="155"/>
        <v>008</v>
      </c>
      <c r="O2591" s="790" t="s">
        <v>10467</v>
      </c>
      <c r="P2591" s="790" t="s">
        <v>10244</v>
      </c>
      <c r="R2591" s="30"/>
    </row>
    <row r="2592" spans="2:18">
      <c r="B2592" s="5" t="str">
        <f>Page5_GMC_VE!C22</f>
        <v>NE PAS UTILISER</v>
      </c>
      <c r="C2592" s="1038" t="str">
        <f>OR_VEH!D371</f>
        <v>418-008</v>
      </c>
      <c r="D2592" s="803">
        <f>Page5_GMC_VE!I22</f>
        <v>0</v>
      </c>
      <c r="E2592" s="803">
        <f>Page5_GMC_VE!N22</f>
        <v>0</v>
      </c>
      <c r="F2592" t="str">
        <f t="shared" si="151"/>
        <v>01-00-418-008-GRSPFT-CURR</v>
      </c>
      <c r="G2592" t="s">
        <v>127</v>
      </c>
      <c r="H2592" t="s">
        <v>10287</v>
      </c>
      <c r="I2592" t="s">
        <v>10253</v>
      </c>
      <c r="K2592" s="1073" t="s">
        <v>10288</v>
      </c>
      <c r="L2592" s="789" t="s">
        <v>10241</v>
      </c>
      <c r="M2592" s="790" t="str">
        <f t="shared" si="154"/>
        <v>418</v>
      </c>
      <c r="N2592" s="790" t="str">
        <f t="shared" si="155"/>
        <v>008</v>
      </c>
      <c r="O2592" s="790" t="s">
        <v>10467</v>
      </c>
      <c r="P2592" s="790" t="s">
        <v>10244</v>
      </c>
      <c r="R2592" s="30"/>
    </row>
    <row r="2593" spans="2:18">
      <c r="B2593" s="27" t="s">
        <v>12200</v>
      </c>
      <c r="C2593" s="1042"/>
      <c r="D2593" s="803">
        <f>Page5_GMC_VE!I23</f>
        <v>0</v>
      </c>
      <c r="E2593" s="803">
        <f>Page5_GMC_VE!N23</f>
        <v>0</v>
      </c>
      <c r="F2593" t="str">
        <f t="shared" si="151"/>
        <v>01-00-RTLCAR5H-GRSPFT-CURR</v>
      </c>
      <c r="G2593" t="s">
        <v>127</v>
      </c>
      <c r="H2593" t="s">
        <v>10287</v>
      </c>
      <c r="I2593" t="s">
        <v>10253</v>
      </c>
      <c r="J2593" t="s">
        <v>10268</v>
      </c>
      <c r="K2593" s="1073" t="s">
        <v>10288</v>
      </c>
      <c r="L2593" s="789" t="s">
        <v>10241</v>
      </c>
      <c r="M2593" s="790" t="s">
        <v>10367</v>
      </c>
      <c r="O2593" s="790" t="s">
        <v>10467</v>
      </c>
      <c r="P2593" s="790" t="s">
        <v>10244</v>
      </c>
      <c r="Q2593" s="791" t="s">
        <v>773</v>
      </c>
    </row>
    <row r="2594" spans="2:18">
      <c r="B2594" s="5" t="str">
        <f>Page5_GMC_VE!C24</f>
        <v>MÉMO* VENTES INTERNET VOITURES</v>
      </c>
      <c r="C2594" s="1038" t="str">
        <f>OR_VEH!D373</f>
        <v>419P5H</v>
      </c>
      <c r="D2594" s="803">
        <f>Page5_GMC_VE!I24</f>
        <v>0</v>
      </c>
      <c r="E2594" s="803">
        <f>Page5_GMC_VE!N24</f>
        <v>0</v>
      </c>
      <c r="F2594" t="str">
        <f t="shared" si="151"/>
        <v>01-00-419P5H-GRSPFT-CURR</v>
      </c>
      <c r="G2594" t="s">
        <v>127</v>
      </c>
      <c r="H2594" t="s">
        <v>10287</v>
      </c>
      <c r="I2594" t="s">
        <v>10253</v>
      </c>
      <c r="K2594" s="1073" t="s">
        <v>10288</v>
      </c>
      <c r="L2594" s="789" t="s">
        <v>10241</v>
      </c>
      <c r="M2594" s="855" t="str">
        <f>C2594</f>
        <v>419P5H</v>
      </c>
      <c r="N2594" s="855"/>
      <c r="O2594" s="790" t="s">
        <v>10467</v>
      </c>
      <c r="P2594" s="790" t="s">
        <v>10244</v>
      </c>
      <c r="R2594" s="30"/>
    </row>
    <row r="2595" spans="2:18">
      <c r="B2595" s="5" t="str">
        <f>Page5_GMC_VE!C25</f>
        <v>TOTAL PARCS - VOITURES</v>
      </c>
      <c r="C2595" s="1038" t="str">
        <f>OR_VEH!D374</f>
        <v>420P5H</v>
      </c>
      <c r="D2595" s="803">
        <f>Page5_GMC_VE!I25</f>
        <v>0</v>
      </c>
      <c r="E2595" s="803">
        <f>Page5_GMC_VE!N25</f>
        <v>0</v>
      </c>
      <c r="F2595" t="str">
        <f t="shared" si="151"/>
        <v>01-00-420P5H-GRSPFT-CURR</v>
      </c>
      <c r="G2595" t="s">
        <v>127</v>
      </c>
      <c r="H2595" t="s">
        <v>10287</v>
      </c>
      <c r="I2595" t="s">
        <v>10253</v>
      </c>
      <c r="K2595" s="1073" t="s">
        <v>10288</v>
      </c>
      <c r="L2595" s="789" t="s">
        <v>10241</v>
      </c>
      <c r="M2595" s="855" t="str">
        <f>C2595</f>
        <v>420P5H</v>
      </c>
      <c r="N2595" s="855"/>
      <c r="O2595" s="790" t="s">
        <v>10467</v>
      </c>
      <c r="P2595" s="790" t="s">
        <v>10244</v>
      </c>
      <c r="R2595" s="30"/>
    </row>
    <row r="2596" spans="2:18">
      <c r="B2596" s="5" t="str">
        <f>Page5_GMC_VE!C26</f>
        <v>TOTAL INTERNE - VOITURES</v>
      </c>
      <c r="C2596" s="1038" t="str">
        <f>OR_VEH!D375</f>
        <v>421P5H</v>
      </c>
      <c r="D2596" s="803">
        <f>Page5_GMC_VE!I26</f>
        <v>0</v>
      </c>
      <c r="E2596" s="803">
        <f>Page5_GMC_VE!N26</f>
        <v>0</v>
      </c>
      <c r="F2596" t="str">
        <f t="shared" si="151"/>
        <v>01-00-421P5H-GRSPFT-CURR</v>
      </c>
      <c r="G2596" t="s">
        <v>127</v>
      </c>
      <c r="H2596" t="s">
        <v>10287</v>
      </c>
      <c r="I2596" t="s">
        <v>10253</v>
      </c>
      <c r="K2596" s="1073" t="s">
        <v>10288</v>
      </c>
      <c r="L2596" s="789" t="s">
        <v>10241</v>
      </c>
      <c r="M2596" s="855" t="str">
        <f>C2596</f>
        <v>421P5H</v>
      </c>
      <c r="N2596" s="855"/>
      <c r="O2596" s="790" t="s">
        <v>10467</v>
      </c>
      <c r="P2596" s="790" t="s">
        <v>10244</v>
      </c>
      <c r="R2596" s="30"/>
    </row>
    <row r="2597" spans="2:18">
      <c r="B2597" s="27" t="s">
        <v>12201</v>
      </c>
      <c r="C2597" s="1042"/>
      <c r="D2597" s="803">
        <f>Page5_GMC_VE!I27</f>
        <v>0</v>
      </c>
      <c r="E2597" s="803">
        <f>Page5_GMC_VE!N27</f>
        <v>0</v>
      </c>
      <c r="F2597" t="str">
        <f t="shared" si="151"/>
        <v>01-00-TOTCAR5H-GRSPFT-CURR</v>
      </c>
      <c r="G2597" t="s">
        <v>127</v>
      </c>
      <c r="H2597" t="s">
        <v>10287</v>
      </c>
      <c r="I2597" t="s">
        <v>10253</v>
      </c>
      <c r="J2597" t="s">
        <v>10268</v>
      </c>
      <c r="K2597" s="1073" t="s">
        <v>10288</v>
      </c>
      <c r="L2597" s="789" t="s">
        <v>10241</v>
      </c>
      <c r="M2597" s="790" t="s">
        <v>10369</v>
      </c>
      <c r="O2597" s="790" t="s">
        <v>10467</v>
      </c>
      <c r="P2597" s="790" t="s">
        <v>10244</v>
      </c>
      <c r="Q2597" s="791" t="s">
        <v>773</v>
      </c>
    </row>
    <row r="2598" spans="2:18">
      <c r="B2598" s="5" t="str">
        <f>Page5_GMC_VE!C28</f>
        <v>HUMMER EV SUT</v>
      </c>
      <c r="C2598" s="1038" t="str">
        <f>OR_VEH!D377</f>
        <v>423-008</v>
      </c>
      <c r="D2598" s="803">
        <f>Page5_GMC_VE!I28</f>
        <v>0</v>
      </c>
      <c r="E2598" s="803">
        <f>Page5_GMC_VE!N28</f>
        <v>0</v>
      </c>
      <c r="F2598" t="str">
        <f t="shared" si="151"/>
        <v>01-00-423-008-GRSPFT-CURR</v>
      </c>
      <c r="G2598" t="s">
        <v>127</v>
      </c>
      <c r="H2598" t="s">
        <v>10287</v>
      </c>
      <c r="I2598" t="s">
        <v>10253</v>
      </c>
      <c r="K2598" s="1073" t="s">
        <v>10288</v>
      </c>
      <c r="L2598" s="789" t="s">
        <v>10241</v>
      </c>
      <c r="M2598" s="790" t="str">
        <f t="shared" ref="M2598:M2613" si="156">LEFT(C2598,3)</f>
        <v>423</v>
      </c>
      <c r="N2598" s="790" t="str">
        <f t="shared" ref="N2598:N2613" si="157">RIGHT(C2598,3)</f>
        <v>008</v>
      </c>
      <c r="O2598" s="799" t="s">
        <v>10467</v>
      </c>
      <c r="P2598" s="799" t="s">
        <v>10244</v>
      </c>
      <c r="R2598" s="30"/>
    </row>
    <row r="2599" spans="2:18">
      <c r="B2599" s="5" t="str">
        <f>Page5_GMC_VE!C29</f>
        <v>HUMMER EV SUV</v>
      </c>
      <c r="C2599" s="1038" t="str">
        <f>OR_VEH!D378</f>
        <v>424-008</v>
      </c>
      <c r="D2599" s="803">
        <f>Page5_GMC_VE!I29</f>
        <v>7321</v>
      </c>
      <c r="E2599" s="803">
        <f>Page5_GMC_VE!N29</f>
        <v>44627</v>
      </c>
      <c r="F2599" t="str">
        <f t="shared" si="151"/>
        <v>01-00-424-008-GRSPFT-CURR</v>
      </c>
      <c r="G2599" t="s">
        <v>127</v>
      </c>
      <c r="H2599" t="s">
        <v>10287</v>
      </c>
      <c r="I2599" t="s">
        <v>10253</v>
      </c>
      <c r="K2599" s="1073" t="s">
        <v>10288</v>
      </c>
      <c r="L2599" s="789" t="s">
        <v>10241</v>
      </c>
      <c r="M2599" s="790" t="str">
        <f t="shared" si="156"/>
        <v>424</v>
      </c>
      <c r="N2599" s="790" t="str">
        <f t="shared" si="157"/>
        <v>008</v>
      </c>
      <c r="O2599" s="799" t="s">
        <v>10467</v>
      </c>
      <c r="P2599" s="799" t="s">
        <v>10244</v>
      </c>
      <c r="R2599" s="30"/>
    </row>
    <row r="2600" spans="2:18">
      <c r="B2600" s="5" t="str">
        <f>Page5_GMC_VE!C30</f>
        <v>SIERRA EV</v>
      </c>
      <c r="C2600" s="1038" t="str">
        <f>OR_VEH!D379</f>
        <v>425-008</v>
      </c>
      <c r="D2600" s="803">
        <f>Page5_GMC_VE!I30</f>
        <v>0</v>
      </c>
      <c r="E2600" s="803">
        <f>Page5_GMC_VE!N30</f>
        <v>0</v>
      </c>
      <c r="F2600" t="str">
        <f t="shared" si="151"/>
        <v>01-00-425-008-GRSPFT-CURR</v>
      </c>
      <c r="G2600" t="s">
        <v>127</v>
      </c>
      <c r="H2600" t="s">
        <v>10287</v>
      </c>
      <c r="I2600" t="s">
        <v>10253</v>
      </c>
      <c r="K2600" s="1073" t="s">
        <v>10288</v>
      </c>
      <c r="L2600" s="789" t="s">
        <v>10241</v>
      </c>
      <c r="M2600" s="790" t="str">
        <f t="shared" si="156"/>
        <v>425</v>
      </c>
      <c r="N2600" s="790" t="str">
        <f t="shared" si="157"/>
        <v>008</v>
      </c>
      <c r="O2600" s="799" t="s">
        <v>10467</v>
      </c>
      <c r="P2600" s="799" t="s">
        <v>10244</v>
      </c>
      <c r="R2600" s="30"/>
    </row>
    <row r="2601" spans="2:18">
      <c r="B2601" s="5" t="str">
        <f>Page5_GMC_VE!C31</f>
        <v>NE PAS UTILISER</v>
      </c>
      <c r="C2601" s="1038" t="str">
        <f>OR_VEH!D380</f>
        <v>426-008</v>
      </c>
      <c r="D2601" s="803">
        <f>Page5_GMC_VE!I31</f>
        <v>0</v>
      </c>
      <c r="E2601" s="803">
        <f>Page5_GMC_VE!N31</f>
        <v>0</v>
      </c>
      <c r="F2601" t="str">
        <f t="shared" si="151"/>
        <v>01-00-426-008-GRSPFT-CURR</v>
      </c>
      <c r="G2601" t="s">
        <v>127</v>
      </c>
      <c r="H2601" t="s">
        <v>10287</v>
      </c>
      <c r="I2601" t="s">
        <v>10253</v>
      </c>
      <c r="K2601" s="1073" t="s">
        <v>10288</v>
      </c>
      <c r="L2601" s="789" t="s">
        <v>10241</v>
      </c>
      <c r="M2601" s="790" t="str">
        <f t="shared" si="156"/>
        <v>426</v>
      </c>
      <c r="N2601" s="790" t="str">
        <f t="shared" si="157"/>
        <v>008</v>
      </c>
      <c r="O2601" s="799" t="s">
        <v>10467</v>
      </c>
      <c r="P2601" s="799" t="s">
        <v>10244</v>
      </c>
      <c r="R2601" s="30"/>
    </row>
    <row r="2602" spans="2:18">
      <c r="B2602" s="5" t="str">
        <f>Page5_GMC_VE!C32</f>
        <v>NE PAS UTILISER</v>
      </c>
      <c r="C2602" s="1038" t="str">
        <f>OR_VEH!D381</f>
        <v>427-008</v>
      </c>
      <c r="D2602" s="803">
        <f>Page5_GMC_VE!I32</f>
        <v>0</v>
      </c>
      <c r="E2602" s="803">
        <f>Page5_GMC_VE!N32</f>
        <v>0</v>
      </c>
      <c r="F2602" t="str">
        <f t="shared" si="151"/>
        <v>01-00-427-008-GRSPFT-CURR</v>
      </c>
      <c r="G2602" t="s">
        <v>127</v>
      </c>
      <c r="H2602" t="s">
        <v>10287</v>
      </c>
      <c r="I2602" t="s">
        <v>10253</v>
      </c>
      <c r="K2602" s="1073" t="s">
        <v>10288</v>
      </c>
      <c r="L2602" s="789" t="s">
        <v>10241</v>
      </c>
      <c r="M2602" s="790" t="str">
        <f t="shared" si="156"/>
        <v>427</v>
      </c>
      <c r="N2602" s="790" t="str">
        <f t="shared" si="157"/>
        <v>008</v>
      </c>
      <c r="O2602" s="799" t="s">
        <v>10467</v>
      </c>
      <c r="P2602" s="799" t="s">
        <v>10244</v>
      </c>
      <c r="R2602" s="30"/>
    </row>
    <row r="2603" spans="2:18">
      <c r="B2603" s="5" t="str">
        <f>Page5_GMC_VE!C33</f>
        <v>NE PAS UTILISER</v>
      </c>
      <c r="C2603" s="1038" t="str">
        <f>OR_VEH!D382</f>
        <v>428-008</v>
      </c>
      <c r="D2603" s="803">
        <f>Page5_GMC_VE!I33</f>
        <v>0</v>
      </c>
      <c r="E2603" s="803">
        <f>Page5_GMC_VE!N33</f>
        <v>0</v>
      </c>
      <c r="F2603" t="str">
        <f t="shared" si="151"/>
        <v>01-00-428-008-GRSPFT-CURR</v>
      </c>
      <c r="G2603" t="s">
        <v>127</v>
      </c>
      <c r="H2603" t="s">
        <v>10287</v>
      </c>
      <c r="I2603" t="s">
        <v>10253</v>
      </c>
      <c r="K2603" s="1073" t="s">
        <v>10288</v>
      </c>
      <c r="L2603" s="789" t="s">
        <v>10241</v>
      </c>
      <c r="M2603" s="790" t="str">
        <f t="shared" si="156"/>
        <v>428</v>
      </c>
      <c r="N2603" s="790" t="str">
        <f t="shared" si="157"/>
        <v>008</v>
      </c>
      <c r="O2603" s="799" t="s">
        <v>10467</v>
      </c>
      <c r="P2603" s="799" t="s">
        <v>10244</v>
      </c>
      <c r="R2603" s="30"/>
    </row>
    <row r="2604" spans="2:18">
      <c r="B2604" s="5" t="str">
        <f>Page5_GMC_VE!C34</f>
        <v>NE PAS UTILISER</v>
      </c>
      <c r="C2604" s="1038" t="str">
        <f>OR_VEH!D383</f>
        <v>429-008</v>
      </c>
      <c r="D2604" s="803">
        <f>Page5_GMC_VE!I34</f>
        <v>0</v>
      </c>
      <c r="E2604" s="803">
        <f>Page5_GMC_VE!N34</f>
        <v>0</v>
      </c>
      <c r="F2604" t="str">
        <f t="shared" si="151"/>
        <v>01-00-429-008-GRSPFT-CURR</v>
      </c>
      <c r="G2604" t="s">
        <v>127</v>
      </c>
      <c r="H2604" t="s">
        <v>10287</v>
      </c>
      <c r="I2604" t="s">
        <v>10253</v>
      </c>
      <c r="K2604" s="1073" t="s">
        <v>10288</v>
      </c>
      <c r="L2604" s="789" t="s">
        <v>10241</v>
      </c>
      <c r="M2604" s="790" t="str">
        <f t="shared" si="156"/>
        <v>429</v>
      </c>
      <c r="N2604" s="790" t="str">
        <f t="shared" si="157"/>
        <v>008</v>
      </c>
      <c r="O2604" s="799" t="s">
        <v>10467</v>
      </c>
      <c r="P2604" s="799" t="s">
        <v>10244</v>
      </c>
      <c r="R2604" s="30"/>
    </row>
    <row r="2605" spans="2:18">
      <c r="B2605" s="5" t="str">
        <f>Page5_GMC_VE!C35</f>
        <v>NE PAS UTILISER</v>
      </c>
      <c r="C2605" s="1038" t="str">
        <f>OR_VEH!D384</f>
        <v>430-008</v>
      </c>
      <c r="D2605" s="803">
        <f>Page5_GMC_VE!I35</f>
        <v>0</v>
      </c>
      <c r="E2605" s="803">
        <f>Page5_GMC_VE!N35</f>
        <v>0</v>
      </c>
      <c r="F2605" t="str">
        <f t="shared" si="151"/>
        <v>01-00-430-008-GRSPFT-CURR</v>
      </c>
      <c r="G2605" t="s">
        <v>127</v>
      </c>
      <c r="H2605" t="s">
        <v>10287</v>
      </c>
      <c r="I2605" t="s">
        <v>10253</v>
      </c>
      <c r="K2605" s="1073" t="s">
        <v>10288</v>
      </c>
      <c r="L2605" s="789" t="s">
        <v>10241</v>
      </c>
      <c r="M2605" s="790" t="str">
        <f t="shared" si="156"/>
        <v>430</v>
      </c>
      <c r="N2605" s="790" t="str">
        <f t="shared" si="157"/>
        <v>008</v>
      </c>
      <c r="O2605" s="799" t="s">
        <v>10467</v>
      </c>
      <c r="P2605" s="799" t="s">
        <v>10244</v>
      </c>
      <c r="R2605" s="30"/>
    </row>
    <row r="2606" spans="2:18">
      <c r="B2606" s="5" t="str">
        <f>Page5_GMC_VE!C36</f>
        <v>NE PAS UTILISER</v>
      </c>
      <c r="C2606" s="1038" t="str">
        <f>OR_VEH!D385</f>
        <v>431-008</v>
      </c>
      <c r="D2606" s="803">
        <f>Page5_GMC_VE!I36</f>
        <v>0</v>
      </c>
      <c r="E2606" s="803">
        <f>Page5_GMC_VE!N36</f>
        <v>0</v>
      </c>
      <c r="F2606" t="str">
        <f t="shared" si="151"/>
        <v>01-00-431-008-GRSPFT-CURR</v>
      </c>
      <c r="G2606" t="s">
        <v>127</v>
      </c>
      <c r="H2606" t="s">
        <v>10287</v>
      </c>
      <c r="I2606" t="s">
        <v>10253</v>
      </c>
      <c r="K2606" s="1073" t="s">
        <v>10288</v>
      </c>
      <c r="L2606" s="789" t="s">
        <v>10241</v>
      </c>
      <c r="M2606" s="790" t="str">
        <f t="shared" si="156"/>
        <v>431</v>
      </c>
      <c r="N2606" s="790" t="str">
        <f t="shared" si="157"/>
        <v>008</v>
      </c>
      <c r="O2606" s="799" t="s">
        <v>10467</v>
      </c>
      <c r="P2606" s="799" t="s">
        <v>10244</v>
      </c>
      <c r="R2606" s="30"/>
    </row>
    <row r="2607" spans="2:18">
      <c r="B2607" s="5" t="str">
        <f>Page5_GMC_VE!C37</f>
        <v>NE PAS UTILISER</v>
      </c>
      <c r="C2607" s="1038" t="str">
        <f>OR_VEH!D386</f>
        <v>432-008</v>
      </c>
      <c r="D2607" s="803">
        <f>Page5_GMC_VE!I37</f>
        <v>0</v>
      </c>
      <c r="E2607" s="803">
        <f>Page5_GMC_VE!N37</f>
        <v>0</v>
      </c>
      <c r="F2607" t="str">
        <f t="shared" si="151"/>
        <v>01-00-432-008-GRSPFT-CURR</v>
      </c>
      <c r="G2607" t="s">
        <v>127</v>
      </c>
      <c r="H2607" t="s">
        <v>10287</v>
      </c>
      <c r="I2607" t="s">
        <v>10253</v>
      </c>
      <c r="K2607" s="1073" t="s">
        <v>10288</v>
      </c>
      <c r="L2607" s="789" t="s">
        <v>10241</v>
      </c>
      <c r="M2607" s="790" t="str">
        <f t="shared" si="156"/>
        <v>432</v>
      </c>
      <c r="N2607" s="790" t="str">
        <f t="shared" si="157"/>
        <v>008</v>
      </c>
      <c r="O2607" s="799" t="s">
        <v>10467</v>
      </c>
      <c r="P2607" s="799" t="s">
        <v>10244</v>
      </c>
      <c r="R2607" s="30"/>
    </row>
    <row r="2608" spans="2:18">
      <c r="B2608" s="5" t="str">
        <f>Page5_GMC_VE!C38</f>
        <v>NE PAS UTILISER</v>
      </c>
      <c r="C2608" s="1038" t="str">
        <f>OR_VEH!D387</f>
        <v>433-008</v>
      </c>
      <c r="D2608" s="803">
        <f>Page5_GMC_VE!I38</f>
        <v>0</v>
      </c>
      <c r="E2608" s="803">
        <f>Page5_GMC_VE!N38</f>
        <v>0</v>
      </c>
      <c r="F2608" t="str">
        <f t="shared" si="151"/>
        <v>01-00-433-008-GRSPFT-CURR</v>
      </c>
      <c r="G2608" t="s">
        <v>127</v>
      </c>
      <c r="H2608" t="s">
        <v>10287</v>
      </c>
      <c r="I2608" t="s">
        <v>10253</v>
      </c>
      <c r="K2608" s="1073" t="s">
        <v>10288</v>
      </c>
      <c r="L2608" s="789" t="s">
        <v>10241</v>
      </c>
      <c r="M2608" s="790" t="str">
        <f t="shared" si="156"/>
        <v>433</v>
      </c>
      <c r="N2608" s="790" t="str">
        <f t="shared" si="157"/>
        <v>008</v>
      </c>
      <c r="O2608" s="790" t="s">
        <v>10467</v>
      </c>
      <c r="P2608" s="790" t="s">
        <v>10244</v>
      </c>
      <c r="R2608" s="30"/>
    </row>
    <row r="2609" spans="1:18">
      <c r="B2609" s="5" t="str">
        <f>Page5_GMC_VE!C39</f>
        <v>NE PAS UTILISER</v>
      </c>
      <c r="C2609" s="1038" t="str">
        <f>OR_VEH!D388</f>
        <v>434-008</v>
      </c>
      <c r="D2609" s="803">
        <f>Page5_GMC_VE!I39</f>
        <v>0</v>
      </c>
      <c r="E2609" s="803">
        <f>Page5_GMC_VE!N39</f>
        <v>0</v>
      </c>
      <c r="F2609" t="str">
        <f t="shared" si="151"/>
        <v>01-00-434-008-GRSPFT-CURR</v>
      </c>
      <c r="G2609" t="s">
        <v>127</v>
      </c>
      <c r="H2609" t="s">
        <v>10287</v>
      </c>
      <c r="I2609" t="s">
        <v>10253</v>
      </c>
      <c r="K2609" s="1073" t="s">
        <v>10288</v>
      </c>
      <c r="L2609" s="789" t="s">
        <v>10241</v>
      </c>
      <c r="M2609" s="790" t="str">
        <f t="shared" si="156"/>
        <v>434</v>
      </c>
      <c r="N2609" s="790" t="str">
        <f t="shared" si="157"/>
        <v>008</v>
      </c>
      <c r="O2609" s="790" t="s">
        <v>10467</v>
      </c>
      <c r="P2609" s="790" t="s">
        <v>10244</v>
      </c>
      <c r="R2609" s="30"/>
    </row>
    <row r="2610" spans="1:18">
      <c r="B2610" s="5" t="str">
        <f>Page5_GMC_VE!C40</f>
        <v>NE PAS UTILISER</v>
      </c>
      <c r="C2610" s="1038" t="str">
        <f>OR_VEH!D389</f>
        <v>435-008</v>
      </c>
      <c r="D2610" s="803">
        <f>Page5_GMC_VE!I40</f>
        <v>0</v>
      </c>
      <c r="E2610" s="803">
        <f>Page5_GMC_VE!N40</f>
        <v>0</v>
      </c>
      <c r="F2610" t="str">
        <f t="shared" si="151"/>
        <v>01-00-435-008-GRSPFT-CURR</v>
      </c>
      <c r="G2610" t="s">
        <v>127</v>
      </c>
      <c r="H2610" t="s">
        <v>10287</v>
      </c>
      <c r="I2610" t="s">
        <v>10253</v>
      </c>
      <c r="K2610" s="1073" t="s">
        <v>10288</v>
      </c>
      <c r="L2610" s="789" t="s">
        <v>10241</v>
      </c>
      <c r="M2610" s="790" t="str">
        <f t="shared" si="156"/>
        <v>435</v>
      </c>
      <c r="N2610" s="790" t="str">
        <f t="shared" si="157"/>
        <v>008</v>
      </c>
      <c r="O2610" s="790" t="s">
        <v>10467</v>
      </c>
      <c r="P2610" s="790" t="s">
        <v>10244</v>
      </c>
      <c r="R2610" s="30"/>
    </row>
    <row r="2611" spans="1:18">
      <c r="B2611" s="5" t="str">
        <f>Page5_GMC_VE!C41</f>
        <v>NE PAS UTILISER</v>
      </c>
      <c r="C2611" s="1038" t="str">
        <f>OR_VEH!D390</f>
        <v>436-008</v>
      </c>
      <c r="D2611" s="803">
        <f>Page5_GMC_VE!I41</f>
        <v>0</v>
      </c>
      <c r="E2611" s="803">
        <f>Page5_GMC_VE!N41</f>
        <v>0</v>
      </c>
      <c r="F2611" t="str">
        <f t="shared" si="151"/>
        <v>01-00-436-008-GRSPFT-CURR</v>
      </c>
      <c r="G2611" t="s">
        <v>127</v>
      </c>
      <c r="H2611" t="s">
        <v>10287</v>
      </c>
      <c r="I2611" t="s">
        <v>10253</v>
      </c>
      <c r="K2611" s="1073" t="s">
        <v>10288</v>
      </c>
      <c r="L2611" s="789" t="s">
        <v>10241</v>
      </c>
      <c r="M2611" s="790" t="str">
        <f t="shared" si="156"/>
        <v>436</v>
      </c>
      <c r="N2611" s="790" t="str">
        <f t="shared" si="157"/>
        <v>008</v>
      </c>
      <c r="O2611" s="790" t="s">
        <v>10467</v>
      </c>
      <c r="P2611" s="790" t="s">
        <v>10244</v>
      </c>
      <c r="R2611" s="30"/>
    </row>
    <row r="2612" spans="1:18">
      <c r="B2612" s="5" t="str">
        <f>Page5_GMC_VE!C42</f>
        <v>NE PAS UTILISER</v>
      </c>
      <c r="C2612" s="1038" t="str">
        <f>OR_VEH!D391</f>
        <v>437-008</v>
      </c>
      <c r="D2612" s="803">
        <f>Page5_GMC_VE!I42</f>
        <v>0</v>
      </c>
      <c r="E2612" s="803">
        <f>Page5_GMC_VE!N42</f>
        <v>0</v>
      </c>
      <c r="F2612" t="str">
        <f t="shared" si="151"/>
        <v>01-00-437-008-GRSPFT-CURR</v>
      </c>
      <c r="G2612" t="s">
        <v>127</v>
      </c>
      <c r="H2612" t="s">
        <v>10287</v>
      </c>
      <c r="I2612" t="s">
        <v>10253</v>
      </c>
      <c r="K2612" s="1073" t="s">
        <v>10288</v>
      </c>
      <c r="L2612" s="789" t="s">
        <v>10241</v>
      </c>
      <c r="M2612" s="790" t="str">
        <f t="shared" si="156"/>
        <v>437</v>
      </c>
      <c r="N2612" s="790" t="str">
        <f t="shared" si="157"/>
        <v>008</v>
      </c>
      <c r="O2612" s="790" t="s">
        <v>10467</v>
      </c>
      <c r="P2612" s="790" t="s">
        <v>10244</v>
      </c>
      <c r="R2612" s="30"/>
    </row>
    <row r="2613" spans="1:18">
      <c r="B2613" s="5" t="str">
        <f>Page5_GMC_VE!C43</f>
        <v>NE PAS UTILISER</v>
      </c>
      <c r="C2613" s="1038" t="str">
        <f>OR_VEH!D392</f>
        <v>438-008</v>
      </c>
      <c r="D2613" s="803">
        <f>Page5_GMC_VE!I43</f>
        <v>0</v>
      </c>
      <c r="E2613" s="803">
        <f>Page5_GMC_VE!N43</f>
        <v>0</v>
      </c>
      <c r="F2613" t="str">
        <f t="shared" si="151"/>
        <v>01-00-438-008-GRSPFT-CURR</v>
      </c>
      <c r="G2613" t="s">
        <v>127</v>
      </c>
      <c r="H2613" t="s">
        <v>10287</v>
      </c>
      <c r="I2613" t="s">
        <v>10253</v>
      </c>
      <c r="K2613" s="1073" t="s">
        <v>10288</v>
      </c>
      <c r="L2613" s="789" t="s">
        <v>10241</v>
      </c>
      <c r="M2613" s="790" t="str">
        <f t="shared" si="156"/>
        <v>438</v>
      </c>
      <c r="N2613" s="790" t="str">
        <f t="shared" si="157"/>
        <v>008</v>
      </c>
      <c r="O2613" s="790" t="s">
        <v>10467</v>
      </c>
      <c r="P2613" s="790" t="s">
        <v>10244</v>
      </c>
      <c r="R2613" s="30"/>
    </row>
    <row r="2614" spans="1:18">
      <c r="B2614" s="51" t="s">
        <v>12202</v>
      </c>
      <c r="C2614" s="1042"/>
      <c r="D2614" s="803">
        <f>Page5_GMC_VE!I44</f>
        <v>7321</v>
      </c>
      <c r="E2614" s="803">
        <f>Page5_GMC_VE!N44</f>
        <v>44627</v>
      </c>
      <c r="F2614" t="str">
        <f t="shared" ref="F2614:F2620" si="158">TEXT(K2614,"00")&amp;"-"&amp;L2614&amp;IF(M2614="","","-"&amp;M2614)&amp;IF(N2614="","","-"&amp;N2614)&amp;IF(OR(O2614="",O2614=0),"","-"&amp;O2614)&amp;IF(P2614="","","-"&amp;P2614)</f>
        <v>01-00-RTLTRK5H-GRSPFT-CURR</v>
      </c>
      <c r="G2614" t="s">
        <v>127</v>
      </c>
      <c r="H2614" t="s">
        <v>10287</v>
      </c>
      <c r="I2614" t="s">
        <v>10253</v>
      </c>
      <c r="J2614" t="s">
        <v>10268</v>
      </c>
      <c r="K2614" s="1073" t="s">
        <v>10288</v>
      </c>
      <c r="L2614" s="789" t="s">
        <v>10241</v>
      </c>
      <c r="M2614" s="790" t="s">
        <v>10371</v>
      </c>
      <c r="O2614" s="790" t="s">
        <v>10467</v>
      </c>
      <c r="P2614" s="790" t="s">
        <v>10244</v>
      </c>
      <c r="Q2614" s="791" t="s">
        <v>773</v>
      </c>
    </row>
    <row r="2615" spans="1:18">
      <c r="B2615" s="5" t="str">
        <f>Page5_GMC_VE!C45</f>
        <v>MÉMO* VENTES INTERNET CAMIONS</v>
      </c>
      <c r="C2615" s="1038" t="str">
        <f>OR_VEH!D394</f>
        <v>439P5H</v>
      </c>
      <c r="D2615" s="803">
        <f>Page5_GMC_VE!I45</f>
        <v>0</v>
      </c>
      <c r="E2615" s="803">
        <f>Page5_GMC_VE!N45</f>
        <v>0</v>
      </c>
      <c r="F2615" t="str">
        <f t="shared" si="158"/>
        <v>01-00-439P5H-GRSPFT-CURR</v>
      </c>
      <c r="G2615" t="s">
        <v>127</v>
      </c>
      <c r="H2615" t="s">
        <v>10287</v>
      </c>
      <c r="I2615" t="s">
        <v>10253</v>
      </c>
      <c r="K2615" s="1073" t="s">
        <v>10288</v>
      </c>
      <c r="L2615" s="789" t="s">
        <v>10241</v>
      </c>
      <c r="M2615" s="855" t="str">
        <f>C2615</f>
        <v>439P5H</v>
      </c>
      <c r="N2615" s="855"/>
      <c r="O2615" s="790" t="s">
        <v>10467</v>
      </c>
      <c r="P2615" s="790" t="s">
        <v>10244</v>
      </c>
      <c r="R2615" s="30"/>
    </row>
    <row r="2616" spans="1:18">
      <c r="B2616" s="5" t="str">
        <f>Page5_GMC_VE!C46</f>
        <v>TOTAL PARCS - CAMIONS</v>
      </c>
      <c r="C2616" s="1038" t="str">
        <f>OR_VEH!D395</f>
        <v>440P5H</v>
      </c>
      <c r="D2616" s="803">
        <f>Page5_GMC_VE!I46</f>
        <v>0</v>
      </c>
      <c r="E2616" s="803">
        <f>Page5_GMC_VE!N46</f>
        <v>0</v>
      </c>
      <c r="F2616" t="str">
        <f t="shared" si="158"/>
        <v>01-00-440P5H-GRSPFT-CURR</v>
      </c>
      <c r="G2616" t="s">
        <v>127</v>
      </c>
      <c r="H2616" t="s">
        <v>10287</v>
      </c>
      <c r="I2616" t="s">
        <v>10253</v>
      </c>
      <c r="K2616" s="1073" t="s">
        <v>10288</v>
      </c>
      <c r="L2616" s="789" t="s">
        <v>10241</v>
      </c>
      <c r="M2616" s="855" t="str">
        <f>C2616</f>
        <v>440P5H</v>
      </c>
      <c r="N2616" s="855"/>
      <c r="O2616" s="790" t="s">
        <v>10467</v>
      </c>
      <c r="P2616" s="790" t="s">
        <v>10244</v>
      </c>
      <c r="R2616" s="30"/>
    </row>
    <row r="2617" spans="1:18">
      <c r="B2617" s="5" t="str">
        <f>Page5_GMC_VE!C47</f>
        <v xml:space="preserve">TOTAL IINTERNE - CAMIONS </v>
      </c>
      <c r="C2617" s="1038" t="str">
        <f>OR_VEH!D396</f>
        <v>441P5H</v>
      </c>
      <c r="D2617" s="803">
        <f>Page5_GMC_VE!I47</f>
        <v>0</v>
      </c>
      <c r="E2617" s="803">
        <f>Page5_GMC_VE!N47</f>
        <v>0</v>
      </c>
      <c r="F2617" t="str">
        <f t="shared" si="158"/>
        <v>01-00-441P5H-GRSPFT-CURR</v>
      </c>
      <c r="G2617" t="s">
        <v>127</v>
      </c>
      <c r="H2617" t="s">
        <v>10287</v>
      </c>
      <c r="I2617" t="s">
        <v>10253</v>
      </c>
      <c r="K2617" s="1073" t="s">
        <v>10288</v>
      </c>
      <c r="L2617" s="789" t="s">
        <v>10241</v>
      </c>
      <c r="M2617" s="855" t="str">
        <f>C2617</f>
        <v>441P5H</v>
      </c>
      <c r="N2617" s="855"/>
      <c r="O2617" s="790" t="s">
        <v>10467</v>
      </c>
      <c r="P2617" s="790" t="s">
        <v>10244</v>
      </c>
      <c r="R2617" s="30"/>
    </row>
    <row r="2618" spans="1:18">
      <c r="B2618" s="27" t="s">
        <v>12203</v>
      </c>
      <c r="C2618" s="1042"/>
      <c r="D2618" s="803">
        <f>Page5_GMC_VE!I48</f>
        <v>7321</v>
      </c>
      <c r="E2618" s="803">
        <f>Page5_GMC_VE!N48</f>
        <v>44627</v>
      </c>
      <c r="F2618" t="str">
        <f t="shared" si="158"/>
        <v>01-00-TOTTRK5H-GRSPFT-CURR</v>
      </c>
      <c r="G2618" t="s">
        <v>127</v>
      </c>
      <c r="H2618" t="s">
        <v>10287</v>
      </c>
      <c r="I2618" t="s">
        <v>10253</v>
      </c>
      <c r="J2618" t="s">
        <v>10268</v>
      </c>
      <c r="K2618" s="1073" t="s">
        <v>10288</v>
      </c>
      <c r="L2618" s="789" t="s">
        <v>10241</v>
      </c>
      <c r="M2618" s="790" t="s">
        <v>10373</v>
      </c>
      <c r="O2618" s="790" t="s">
        <v>10467</v>
      </c>
      <c r="P2618" s="790" t="s">
        <v>10244</v>
      </c>
      <c r="Q2618" s="791" t="s">
        <v>773</v>
      </c>
    </row>
    <row r="2619" spans="1:18">
      <c r="B2619" s="5" t="str">
        <f>Page5_GMC_VE!C50</f>
        <v>ACCESSOIRES</v>
      </c>
      <c r="C2619" s="1038" t="str">
        <f>OR_VEH!D399</f>
        <v>457P5H</v>
      </c>
      <c r="D2619" s="803">
        <f>Page5_GMC_VE!I50</f>
        <v>0</v>
      </c>
      <c r="E2619" s="803">
        <f>Page5_GMC_VE!N50</f>
        <v>0</v>
      </c>
      <c r="F2619" t="str">
        <f t="shared" si="158"/>
        <v>01-00-457P5H-GRSPFT-CURR</v>
      </c>
      <c r="G2619" t="s">
        <v>127</v>
      </c>
      <c r="H2619" t="s">
        <v>10287</v>
      </c>
      <c r="I2619" t="s">
        <v>10253</v>
      </c>
      <c r="K2619" s="1073" t="s">
        <v>10288</v>
      </c>
      <c r="L2619" s="789" t="s">
        <v>10241</v>
      </c>
      <c r="M2619" s="855" t="str">
        <f>C2619</f>
        <v>457P5H</v>
      </c>
      <c r="N2619" s="855"/>
      <c r="O2619" s="790" t="s">
        <v>10467</v>
      </c>
      <c r="P2619" s="790" t="s">
        <v>10244</v>
      </c>
      <c r="R2619" s="30"/>
    </row>
    <row r="2620" spans="1:18">
      <c r="B2620" s="27" t="s">
        <v>12204</v>
      </c>
      <c r="C2620" s="1042"/>
      <c r="D2620" s="803">
        <f>Page5_GMC_VE!I51</f>
        <v>7321</v>
      </c>
      <c r="E2620" s="803">
        <f>Page5_GMC_VE!N51</f>
        <v>44627</v>
      </c>
      <c r="F2620" t="str">
        <f t="shared" si="158"/>
        <v>01-00-TOTVEH5H-GRSPFT-CURR</v>
      </c>
      <c r="G2620" t="s">
        <v>127</v>
      </c>
      <c r="H2620" t="s">
        <v>10287</v>
      </c>
      <c r="I2620" t="s">
        <v>10253</v>
      </c>
      <c r="J2620" t="s">
        <v>10268</v>
      </c>
      <c r="K2620" s="1073" t="s">
        <v>10288</v>
      </c>
      <c r="L2620" s="789" t="s">
        <v>10241</v>
      </c>
      <c r="M2620" s="790" t="s">
        <v>10375</v>
      </c>
      <c r="O2620" s="790" t="s">
        <v>10467</v>
      </c>
      <c r="P2620" s="790" t="s">
        <v>10244</v>
      </c>
      <c r="Q2620" s="791" t="s">
        <v>773</v>
      </c>
    </row>
    <row r="2621" spans="1:18">
      <c r="A2621" s="805" t="s">
        <v>10376</v>
      </c>
      <c r="B2621" s="5" t="str">
        <f>Page5i_SANS_OBJECT!C$4</f>
        <v>NE PAS UTILISER</v>
      </c>
      <c r="C2621" s="1038" t="str">
        <f>OR_VEH!D403</f>
        <v>400-015</v>
      </c>
      <c r="D2621" s="803">
        <f>Page5i_SANS_OBJECT!G$4</f>
        <v>0</v>
      </c>
      <c r="E2621" s="803">
        <f>Page5i_SANS_OBJECT!L$4</f>
        <v>0</v>
      </c>
      <c r="F2621" t="str">
        <f t="shared" ref="F2621:F2639" si="159">IF(M2621="","",TEXT(K2621,"00")&amp;"-"&amp;L2621&amp;IF(M2621="","","-"&amp;M2621)&amp;IF(N2621="","","-"&amp;N2621)&amp;IF(OR(O2621="",O2621=0),"","-"&amp;O2621)&amp;IF(P2621="","","-"&amp;P2621))</f>
        <v>01-00-400-015-SALES-CURR</v>
      </c>
      <c r="G2621" t="s">
        <v>127</v>
      </c>
      <c r="H2621" t="s">
        <v>10287</v>
      </c>
      <c r="I2621" t="s">
        <v>10253</v>
      </c>
      <c r="J2621" t="s">
        <v>10268</v>
      </c>
      <c r="K2621" s="790" t="str">
        <f t="shared" ref="K2621:K2639" si="160">IF($M2621="","","01")</f>
        <v>01</v>
      </c>
      <c r="L2621" s="789" t="str">
        <f t="shared" ref="L2621:L2639" si="161">IF($M2621="","","00")</f>
        <v>00</v>
      </c>
      <c r="M2621" s="790" t="str">
        <f t="shared" ref="M2621:M2639" si="162">LEFT(C2621,3)</f>
        <v>400</v>
      </c>
      <c r="N2621" s="790" t="str">
        <f t="shared" ref="N2621:N2639" si="163">RIGHT(C2621,3)</f>
        <v>015</v>
      </c>
      <c r="O2621" s="790" t="str">
        <f t="shared" ref="O2621:O2639" si="164">IF($M2621="","","SALES")</f>
        <v>SALES</v>
      </c>
      <c r="P2621" s="790" t="str">
        <f t="shared" ref="P2621:P2639" si="165">IF($M2621="","","CURR")</f>
        <v>CURR</v>
      </c>
      <c r="R2621" s="30"/>
    </row>
    <row r="2622" spans="1:18">
      <c r="B2622" s="5" t="str">
        <f>Page5i_SANS_OBJECT!C$5</f>
        <v>NE PAS UTILISER</v>
      </c>
      <c r="C2622" s="1038" t="str">
        <f>OR_VEH!D404</f>
        <v>401-015</v>
      </c>
      <c r="D2622" s="803">
        <f>Page5i_SANS_OBJECT!G$5</f>
        <v>0</v>
      </c>
      <c r="E2622" s="803">
        <f>Page5i_SANS_OBJECT!L$5</f>
        <v>0</v>
      </c>
      <c r="F2622" t="str">
        <f t="shared" si="159"/>
        <v>01-00-401-015-SALES-CURR</v>
      </c>
      <c r="G2622" t="s">
        <v>127</v>
      </c>
      <c r="H2622" t="s">
        <v>10287</v>
      </c>
      <c r="I2622" t="s">
        <v>10253</v>
      </c>
      <c r="J2622" t="s">
        <v>10268</v>
      </c>
      <c r="K2622" s="790" t="str">
        <f t="shared" si="160"/>
        <v>01</v>
      </c>
      <c r="L2622" s="789" t="str">
        <f t="shared" si="161"/>
        <v>00</v>
      </c>
      <c r="M2622" s="790" t="str">
        <f t="shared" si="162"/>
        <v>401</v>
      </c>
      <c r="N2622" s="790" t="str">
        <f t="shared" si="163"/>
        <v>015</v>
      </c>
      <c r="O2622" s="790" t="str">
        <f t="shared" si="164"/>
        <v>SALES</v>
      </c>
      <c r="P2622" s="790" t="str">
        <f t="shared" si="165"/>
        <v>CURR</v>
      </c>
      <c r="R2622" s="30"/>
    </row>
    <row r="2623" spans="1:18">
      <c r="B2623" s="5" t="str">
        <f>Page5i_SANS_OBJECT!C$6</f>
        <v>NE PAS UTILISER</v>
      </c>
      <c r="C2623" s="1038" t="str">
        <f>OR_VEH!D405</f>
        <v>402-015</v>
      </c>
      <c r="D2623" s="803">
        <f>Page5i_SANS_OBJECT!G$6</f>
        <v>0</v>
      </c>
      <c r="E2623" s="803">
        <f>Page5i_SANS_OBJECT!L$6</f>
        <v>0</v>
      </c>
      <c r="F2623" t="str">
        <f t="shared" si="159"/>
        <v>01-00-402-015-SALES-CURR</v>
      </c>
      <c r="G2623" t="s">
        <v>127</v>
      </c>
      <c r="H2623" t="s">
        <v>10287</v>
      </c>
      <c r="I2623" t="s">
        <v>10253</v>
      </c>
      <c r="J2623" t="s">
        <v>10268</v>
      </c>
      <c r="K2623" s="790" t="str">
        <f t="shared" si="160"/>
        <v>01</v>
      </c>
      <c r="L2623" s="789" t="str">
        <f t="shared" si="161"/>
        <v>00</v>
      </c>
      <c r="M2623" s="790" t="str">
        <f t="shared" si="162"/>
        <v>402</v>
      </c>
      <c r="N2623" s="790" t="str">
        <f t="shared" si="163"/>
        <v>015</v>
      </c>
      <c r="O2623" s="790" t="str">
        <f t="shared" si="164"/>
        <v>SALES</v>
      </c>
      <c r="P2623" s="790" t="str">
        <f t="shared" si="165"/>
        <v>CURR</v>
      </c>
      <c r="R2623" s="30"/>
    </row>
    <row r="2624" spans="1:18">
      <c r="B2624" s="5" t="str">
        <f>Page5i_SANS_OBJECT!C$7</f>
        <v>NE PAS UTILISER</v>
      </c>
      <c r="C2624" s="1038" t="str">
        <f>OR_VEH!D406</f>
        <v>403-015</v>
      </c>
      <c r="D2624" s="803">
        <f>Page5i_SANS_OBJECT!G$7</f>
        <v>0</v>
      </c>
      <c r="E2624" s="803">
        <f>Page5i_SANS_OBJECT!L$7</f>
        <v>0</v>
      </c>
      <c r="F2624" t="str">
        <f t="shared" si="159"/>
        <v>01-00-403-015-SALES-CURR</v>
      </c>
      <c r="G2624" t="s">
        <v>127</v>
      </c>
      <c r="H2624" t="s">
        <v>10287</v>
      </c>
      <c r="I2624" t="s">
        <v>10253</v>
      </c>
      <c r="J2624" t="s">
        <v>10268</v>
      </c>
      <c r="K2624" s="790" t="str">
        <f t="shared" si="160"/>
        <v>01</v>
      </c>
      <c r="L2624" s="789" t="str">
        <f t="shared" si="161"/>
        <v>00</v>
      </c>
      <c r="M2624" s="790" t="str">
        <f t="shared" si="162"/>
        <v>403</v>
      </c>
      <c r="N2624" s="790" t="str">
        <f t="shared" si="163"/>
        <v>015</v>
      </c>
      <c r="O2624" s="790" t="str">
        <f t="shared" si="164"/>
        <v>SALES</v>
      </c>
      <c r="P2624" s="790" t="str">
        <f t="shared" si="165"/>
        <v>CURR</v>
      </c>
      <c r="R2624" s="30"/>
    </row>
    <row r="2625" spans="2:18">
      <c r="B2625" s="5" t="str">
        <f>Page5i_SANS_OBJECT!C$8</f>
        <v>NE PAS UTILISER</v>
      </c>
      <c r="C2625" s="1038" t="str">
        <f>OR_VEH!D407</f>
        <v>404-015</v>
      </c>
      <c r="D2625" s="803">
        <f>Page5i_SANS_OBJECT!G$8</f>
        <v>0</v>
      </c>
      <c r="E2625" s="803">
        <f>Page5i_SANS_OBJECT!L$8</f>
        <v>0</v>
      </c>
      <c r="F2625" t="str">
        <f t="shared" si="159"/>
        <v>01-00-404-015-SALES-CURR</v>
      </c>
      <c r="G2625" t="s">
        <v>127</v>
      </c>
      <c r="H2625" t="s">
        <v>10287</v>
      </c>
      <c r="I2625" t="s">
        <v>10253</v>
      </c>
      <c r="J2625" t="s">
        <v>10268</v>
      </c>
      <c r="K2625" s="790" t="str">
        <f t="shared" si="160"/>
        <v>01</v>
      </c>
      <c r="L2625" s="789" t="str">
        <f t="shared" si="161"/>
        <v>00</v>
      </c>
      <c r="M2625" s="790" t="str">
        <f t="shared" si="162"/>
        <v>404</v>
      </c>
      <c r="N2625" s="790" t="str">
        <f t="shared" si="163"/>
        <v>015</v>
      </c>
      <c r="O2625" s="790" t="str">
        <f t="shared" si="164"/>
        <v>SALES</v>
      </c>
      <c r="P2625" s="790" t="str">
        <f t="shared" si="165"/>
        <v>CURR</v>
      </c>
      <c r="R2625" s="30"/>
    </row>
    <row r="2626" spans="2:18">
      <c r="B2626" s="5" t="str">
        <f>Page5i_SANS_OBJECT!C$9</f>
        <v>NE PAS UTILISER</v>
      </c>
      <c r="C2626" s="1038" t="str">
        <f>OR_VEH!D408</f>
        <v>405-015</v>
      </c>
      <c r="D2626" s="803">
        <f>Page5i_SANS_OBJECT!G$9</f>
        <v>0</v>
      </c>
      <c r="E2626" s="803">
        <f>Page5i_SANS_OBJECT!L$9</f>
        <v>0</v>
      </c>
      <c r="F2626" t="str">
        <f t="shared" si="159"/>
        <v>01-00-405-015-SALES-CURR</v>
      </c>
      <c r="G2626" t="s">
        <v>127</v>
      </c>
      <c r="H2626" t="s">
        <v>10287</v>
      </c>
      <c r="I2626" t="s">
        <v>10253</v>
      </c>
      <c r="J2626" t="s">
        <v>10268</v>
      </c>
      <c r="K2626" s="790" t="str">
        <f t="shared" si="160"/>
        <v>01</v>
      </c>
      <c r="L2626" s="789" t="str">
        <f t="shared" si="161"/>
        <v>00</v>
      </c>
      <c r="M2626" s="790" t="str">
        <f t="shared" si="162"/>
        <v>405</v>
      </c>
      <c r="N2626" s="790" t="str">
        <f t="shared" si="163"/>
        <v>015</v>
      </c>
      <c r="O2626" s="790" t="str">
        <f t="shared" si="164"/>
        <v>SALES</v>
      </c>
      <c r="P2626" s="790" t="str">
        <f t="shared" si="165"/>
        <v>CURR</v>
      </c>
      <c r="R2626" s="30"/>
    </row>
    <row r="2627" spans="2:18">
      <c r="B2627" s="5" t="str">
        <f>Page5i_SANS_OBJECT!C$10</f>
        <v>NE PAS UTILISER</v>
      </c>
      <c r="C2627" s="1038" t="str">
        <f>OR_VEH!D409</f>
        <v>406-015</v>
      </c>
      <c r="D2627" s="803">
        <f>Page5i_SANS_OBJECT!G$10</f>
        <v>0</v>
      </c>
      <c r="E2627" s="803">
        <f>Page5i_SANS_OBJECT!L$10</f>
        <v>0</v>
      </c>
      <c r="F2627" t="str">
        <f t="shared" si="159"/>
        <v>01-00-406-015-SALES-CURR</v>
      </c>
      <c r="G2627" t="s">
        <v>127</v>
      </c>
      <c r="H2627" t="s">
        <v>10287</v>
      </c>
      <c r="I2627" t="s">
        <v>10253</v>
      </c>
      <c r="J2627" t="s">
        <v>10268</v>
      </c>
      <c r="K2627" s="790" t="str">
        <f t="shared" si="160"/>
        <v>01</v>
      </c>
      <c r="L2627" s="789" t="str">
        <f t="shared" si="161"/>
        <v>00</v>
      </c>
      <c r="M2627" s="790" t="str">
        <f t="shared" si="162"/>
        <v>406</v>
      </c>
      <c r="N2627" s="790" t="str">
        <f t="shared" si="163"/>
        <v>015</v>
      </c>
      <c r="O2627" s="790" t="str">
        <f t="shared" si="164"/>
        <v>SALES</v>
      </c>
      <c r="P2627" s="790" t="str">
        <f t="shared" si="165"/>
        <v>CURR</v>
      </c>
      <c r="R2627" s="30"/>
    </row>
    <row r="2628" spans="2:18">
      <c r="B2628" s="5" t="str">
        <f>Page5i_SANS_OBJECT!C$11</f>
        <v>NE PAS UTILISER</v>
      </c>
      <c r="C2628" s="1038" t="str">
        <f>OR_VEH!D410</f>
        <v>407-015</v>
      </c>
      <c r="D2628" s="803">
        <f>Page5i_SANS_OBJECT!G$11</f>
        <v>0</v>
      </c>
      <c r="E2628" s="803">
        <f>Page5i_SANS_OBJECT!L$11</f>
        <v>0</v>
      </c>
      <c r="F2628" t="str">
        <f t="shared" si="159"/>
        <v>01-00-407-015-SALES-CURR</v>
      </c>
      <c r="G2628" t="s">
        <v>127</v>
      </c>
      <c r="H2628" t="s">
        <v>10287</v>
      </c>
      <c r="I2628" t="s">
        <v>10253</v>
      </c>
      <c r="J2628" t="s">
        <v>10268</v>
      </c>
      <c r="K2628" s="790" t="str">
        <f t="shared" si="160"/>
        <v>01</v>
      </c>
      <c r="L2628" s="789" t="str">
        <f t="shared" si="161"/>
        <v>00</v>
      </c>
      <c r="M2628" s="790" t="str">
        <f t="shared" si="162"/>
        <v>407</v>
      </c>
      <c r="N2628" s="790" t="str">
        <f t="shared" si="163"/>
        <v>015</v>
      </c>
      <c r="O2628" s="790" t="str">
        <f t="shared" si="164"/>
        <v>SALES</v>
      </c>
      <c r="P2628" s="790" t="str">
        <f t="shared" si="165"/>
        <v>CURR</v>
      </c>
      <c r="R2628" s="30"/>
    </row>
    <row r="2629" spans="2:18">
      <c r="B2629" s="5" t="str">
        <f>Page5i_SANS_OBJECT!C$12</f>
        <v>NE PAS UTILISER</v>
      </c>
      <c r="C2629" s="1038" t="str">
        <f>OR_VEH!D411</f>
        <v>408-015</v>
      </c>
      <c r="D2629" s="803">
        <f>Page5i_SANS_OBJECT!G$12</f>
        <v>0</v>
      </c>
      <c r="E2629" s="803">
        <f>Page5i_SANS_OBJECT!L$12</f>
        <v>0</v>
      </c>
      <c r="F2629" t="str">
        <f t="shared" si="159"/>
        <v>01-00-408-015-SALES-CURR</v>
      </c>
      <c r="G2629" t="s">
        <v>127</v>
      </c>
      <c r="H2629" t="s">
        <v>10287</v>
      </c>
      <c r="I2629" t="s">
        <v>10253</v>
      </c>
      <c r="J2629" t="s">
        <v>10268</v>
      </c>
      <c r="K2629" s="790" t="str">
        <f t="shared" si="160"/>
        <v>01</v>
      </c>
      <c r="L2629" s="789" t="str">
        <f t="shared" si="161"/>
        <v>00</v>
      </c>
      <c r="M2629" s="790" t="str">
        <f t="shared" si="162"/>
        <v>408</v>
      </c>
      <c r="N2629" s="790" t="str">
        <f t="shared" si="163"/>
        <v>015</v>
      </c>
      <c r="O2629" s="790" t="str">
        <f t="shared" si="164"/>
        <v>SALES</v>
      </c>
      <c r="P2629" s="790" t="str">
        <f t="shared" si="165"/>
        <v>CURR</v>
      </c>
      <c r="R2629" s="30"/>
    </row>
    <row r="2630" spans="2:18">
      <c r="B2630" s="5" t="str">
        <f>Page5i_SANS_OBJECT!C$13</f>
        <v>NE PAS UTILISER</v>
      </c>
      <c r="C2630" s="1038" t="str">
        <f>OR_VEH!D412</f>
        <v>409-015</v>
      </c>
      <c r="D2630" s="803">
        <f>Page5i_SANS_OBJECT!G$13</f>
        <v>0</v>
      </c>
      <c r="E2630" s="803">
        <f>Page5i_SANS_OBJECT!L$13</f>
        <v>0</v>
      </c>
      <c r="F2630" t="str">
        <f t="shared" si="159"/>
        <v>01-00-409-015-SALES-CURR</v>
      </c>
      <c r="G2630" t="s">
        <v>127</v>
      </c>
      <c r="H2630" t="s">
        <v>10287</v>
      </c>
      <c r="I2630" t="s">
        <v>10253</v>
      </c>
      <c r="J2630" t="s">
        <v>10268</v>
      </c>
      <c r="K2630" s="790" t="str">
        <f t="shared" si="160"/>
        <v>01</v>
      </c>
      <c r="L2630" s="789" t="str">
        <f t="shared" si="161"/>
        <v>00</v>
      </c>
      <c r="M2630" s="790" t="str">
        <f t="shared" si="162"/>
        <v>409</v>
      </c>
      <c r="N2630" s="790" t="str">
        <f t="shared" si="163"/>
        <v>015</v>
      </c>
      <c r="O2630" s="790" t="str">
        <f t="shared" si="164"/>
        <v>SALES</v>
      </c>
      <c r="P2630" s="790" t="str">
        <f t="shared" si="165"/>
        <v>CURR</v>
      </c>
      <c r="R2630" s="30"/>
    </row>
    <row r="2631" spans="2:18">
      <c r="B2631" s="5" t="str">
        <f>Page5i_SANS_OBJECT!C$14</f>
        <v>NE PAS UTILISER</v>
      </c>
      <c r="C2631" s="1038" t="str">
        <f>OR_VEH!D413</f>
        <v>410-015</v>
      </c>
      <c r="D2631" s="803">
        <f>Page5i_SANS_OBJECT!G$14</f>
        <v>0</v>
      </c>
      <c r="E2631" s="803">
        <f>Page5i_SANS_OBJECT!L$14</f>
        <v>0</v>
      </c>
      <c r="F2631" t="str">
        <f t="shared" si="159"/>
        <v>01-00-410-015-SALES-CURR</v>
      </c>
      <c r="G2631" t="s">
        <v>127</v>
      </c>
      <c r="H2631" t="s">
        <v>10287</v>
      </c>
      <c r="I2631" t="s">
        <v>10253</v>
      </c>
      <c r="J2631" t="s">
        <v>10268</v>
      </c>
      <c r="K2631" s="790" t="str">
        <f t="shared" si="160"/>
        <v>01</v>
      </c>
      <c r="L2631" s="789" t="str">
        <f t="shared" si="161"/>
        <v>00</v>
      </c>
      <c r="M2631" s="790" t="str">
        <f t="shared" si="162"/>
        <v>410</v>
      </c>
      <c r="N2631" s="790" t="str">
        <f t="shared" si="163"/>
        <v>015</v>
      </c>
      <c r="O2631" s="790" t="str">
        <f t="shared" si="164"/>
        <v>SALES</v>
      </c>
      <c r="P2631" s="790" t="str">
        <f t="shared" si="165"/>
        <v>CURR</v>
      </c>
      <c r="R2631" s="30"/>
    </row>
    <row r="2632" spans="2:18">
      <c r="B2632" s="5" t="str">
        <f>Page5i_SANS_OBJECT!C$15</f>
        <v>NE PAS UTILISER</v>
      </c>
      <c r="C2632" s="1038" t="str">
        <f>OR_VEH!D414</f>
        <v>411-015</v>
      </c>
      <c r="D2632" s="803">
        <f>Page5i_SANS_OBJECT!G$15</f>
        <v>0</v>
      </c>
      <c r="E2632" s="803">
        <f>Page5i_SANS_OBJECT!L$15</f>
        <v>0</v>
      </c>
      <c r="F2632" t="str">
        <f t="shared" si="159"/>
        <v>01-00-411-015-SALES-CURR</v>
      </c>
      <c r="G2632" t="s">
        <v>127</v>
      </c>
      <c r="H2632" t="s">
        <v>10287</v>
      </c>
      <c r="I2632" t="s">
        <v>10253</v>
      </c>
      <c r="J2632" t="s">
        <v>10268</v>
      </c>
      <c r="K2632" s="790" t="str">
        <f t="shared" si="160"/>
        <v>01</v>
      </c>
      <c r="L2632" s="789" t="str">
        <f t="shared" si="161"/>
        <v>00</v>
      </c>
      <c r="M2632" s="790" t="str">
        <f t="shared" si="162"/>
        <v>411</v>
      </c>
      <c r="N2632" s="790" t="str">
        <f t="shared" si="163"/>
        <v>015</v>
      </c>
      <c r="O2632" s="790" t="str">
        <f t="shared" si="164"/>
        <v>SALES</v>
      </c>
      <c r="P2632" s="790" t="str">
        <f t="shared" si="165"/>
        <v>CURR</v>
      </c>
      <c r="R2632" s="30"/>
    </row>
    <row r="2633" spans="2:18">
      <c r="B2633" s="5" t="str">
        <f>Page5i_SANS_OBJECT!C$16</f>
        <v>NE PAS UTILISER</v>
      </c>
      <c r="C2633" s="1038" t="str">
        <f>OR_VEH!D415</f>
        <v>412-015</v>
      </c>
      <c r="D2633" s="803">
        <f>Page5i_SANS_OBJECT!G$16</f>
        <v>0</v>
      </c>
      <c r="E2633" s="803">
        <f>Page5i_SANS_OBJECT!L$16</f>
        <v>0</v>
      </c>
      <c r="F2633" t="str">
        <f t="shared" si="159"/>
        <v>01-00-412-015-SALES-CURR</v>
      </c>
      <c r="G2633" t="s">
        <v>127</v>
      </c>
      <c r="H2633" t="s">
        <v>10287</v>
      </c>
      <c r="I2633" t="s">
        <v>10253</v>
      </c>
      <c r="J2633" t="s">
        <v>10268</v>
      </c>
      <c r="K2633" s="790" t="str">
        <f t="shared" si="160"/>
        <v>01</v>
      </c>
      <c r="L2633" s="789" t="str">
        <f t="shared" si="161"/>
        <v>00</v>
      </c>
      <c r="M2633" s="790" t="str">
        <f t="shared" si="162"/>
        <v>412</v>
      </c>
      <c r="N2633" s="790" t="str">
        <f t="shared" si="163"/>
        <v>015</v>
      </c>
      <c r="O2633" s="790" t="str">
        <f t="shared" si="164"/>
        <v>SALES</v>
      </c>
      <c r="P2633" s="790" t="str">
        <f t="shared" si="165"/>
        <v>CURR</v>
      </c>
      <c r="R2633" s="30"/>
    </row>
    <row r="2634" spans="2:18">
      <c r="B2634" s="5" t="str">
        <f>Page5i_SANS_OBJECT!C$17</f>
        <v>NE PAS UTILISER</v>
      </c>
      <c r="C2634" s="1038" t="str">
        <f>OR_VEH!D416</f>
        <v>413-015</v>
      </c>
      <c r="D2634" s="803">
        <f>Page5i_SANS_OBJECT!G$17</f>
        <v>0</v>
      </c>
      <c r="E2634" s="803">
        <f>Page5i_SANS_OBJECT!L$17</f>
        <v>0</v>
      </c>
      <c r="F2634" t="str">
        <f t="shared" si="159"/>
        <v>01-00-413-015-SALES-CURR</v>
      </c>
      <c r="G2634" t="s">
        <v>127</v>
      </c>
      <c r="H2634" t="s">
        <v>10287</v>
      </c>
      <c r="I2634" t="s">
        <v>10253</v>
      </c>
      <c r="J2634" t="s">
        <v>10268</v>
      </c>
      <c r="K2634" s="790" t="str">
        <f t="shared" si="160"/>
        <v>01</v>
      </c>
      <c r="L2634" s="789" t="str">
        <f t="shared" si="161"/>
        <v>00</v>
      </c>
      <c r="M2634" s="790" t="str">
        <f t="shared" si="162"/>
        <v>413</v>
      </c>
      <c r="N2634" s="790" t="str">
        <f t="shared" si="163"/>
        <v>015</v>
      </c>
      <c r="O2634" s="790" t="str">
        <f t="shared" si="164"/>
        <v>SALES</v>
      </c>
      <c r="P2634" s="790" t="str">
        <f t="shared" si="165"/>
        <v>CURR</v>
      </c>
      <c r="R2634" s="30"/>
    </row>
    <row r="2635" spans="2:18">
      <c r="B2635" s="5" t="str">
        <f>Page5i_SANS_OBJECT!C$18</f>
        <v>NE PAS UTILISER</v>
      </c>
      <c r="C2635" s="1038" t="str">
        <f>OR_VEH!D417</f>
        <v>414-015</v>
      </c>
      <c r="D2635" s="803">
        <f>Page5i_SANS_OBJECT!G$18</f>
        <v>0</v>
      </c>
      <c r="E2635" s="803">
        <f>Page5i_SANS_OBJECT!L$18</f>
        <v>0</v>
      </c>
      <c r="F2635" t="str">
        <f t="shared" si="159"/>
        <v>01-00-414-015-SALES-CURR</v>
      </c>
      <c r="G2635" t="s">
        <v>127</v>
      </c>
      <c r="H2635" t="s">
        <v>10287</v>
      </c>
      <c r="I2635" t="s">
        <v>10253</v>
      </c>
      <c r="J2635" t="s">
        <v>10268</v>
      </c>
      <c r="K2635" s="790" t="str">
        <f t="shared" si="160"/>
        <v>01</v>
      </c>
      <c r="L2635" s="789" t="str">
        <f t="shared" si="161"/>
        <v>00</v>
      </c>
      <c r="M2635" s="790" t="str">
        <f t="shared" si="162"/>
        <v>414</v>
      </c>
      <c r="N2635" s="790" t="str">
        <f t="shared" si="163"/>
        <v>015</v>
      </c>
      <c r="O2635" s="790" t="str">
        <f t="shared" si="164"/>
        <v>SALES</v>
      </c>
      <c r="P2635" s="790" t="str">
        <f t="shared" si="165"/>
        <v>CURR</v>
      </c>
      <c r="R2635" s="30"/>
    </row>
    <row r="2636" spans="2:18">
      <c r="B2636" s="5" t="str">
        <f>Page5i_SANS_OBJECT!C$19</f>
        <v>NE PAS UTILISER</v>
      </c>
      <c r="C2636" s="1038" t="str">
        <f>OR_VEH!D418</f>
        <v>415-015</v>
      </c>
      <c r="D2636" s="803">
        <f>Page5i_SANS_OBJECT!G$19</f>
        <v>0</v>
      </c>
      <c r="E2636" s="803">
        <f>Page5i_SANS_OBJECT!L$19</f>
        <v>0</v>
      </c>
      <c r="F2636" t="str">
        <f t="shared" si="159"/>
        <v>01-00-415-015-SALES-CURR</v>
      </c>
      <c r="G2636" t="s">
        <v>127</v>
      </c>
      <c r="H2636" t="s">
        <v>10287</v>
      </c>
      <c r="I2636" t="s">
        <v>10253</v>
      </c>
      <c r="J2636" t="s">
        <v>10268</v>
      </c>
      <c r="K2636" s="790" t="str">
        <f t="shared" si="160"/>
        <v>01</v>
      </c>
      <c r="L2636" s="789" t="str">
        <f t="shared" si="161"/>
        <v>00</v>
      </c>
      <c r="M2636" s="790" t="str">
        <f t="shared" si="162"/>
        <v>415</v>
      </c>
      <c r="N2636" s="790" t="str">
        <f t="shared" si="163"/>
        <v>015</v>
      </c>
      <c r="O2636" s="790" t="str">
        <f t="shared" si="164"/>
        <v>SALES</v>
      </c>
      <c r="P2636" s="790" t="str">
        <f t="shared" si="165"/>
        <v>CURR</v>
      </c>
      <c r="R2636" s="30"/>
    </row>
    <row r="2637" spans="2:18">
      <c r="B2637" s="5" t="str">
        <f>Page5i_SANS_OBJECT!C$20</f>
        <v>NE PAS UTILISER</v>
      </c>
      <c r="C2637" s="1038" t="str">
        <f>OR_VEH!D419</f>
        <v>416-015</v>
      </c>
      <c r="D2637" s="803">
        <f>Page5i_SANS_OBJECT!G$20</f>
        <v>0</v>
      </c>
      <c r="E2637" s="803">
        <f>Page5i_SANS_OBJECT!L$20</f>
        <v>0</v>
      </c>
      <c r="F2637" t="str">
        <f t="shared" si="159"/>
        <v>01-00-416-015-SALES-CURR</v>
      </c>
      <c r="G2637" t="s">
        <v>127</v>
      </c>
      <c r="H2637" t="s">
        <v>10287</v>
      </c>
      <c r="I2637" t="s">
        <v>10253</v>
      </c>
      <c r="J2637" t="s">
        <v>10268</v>
      </c>
      <c r="K2637" s="790" t="str">
        <f t="shared" si="160"/>
        <v>01</v>
      </c>
      <c r="L2637" s="789" t="str">
        <f t="shared" si="161"/>
        <v>00</v>
      </c>
      <c r="M2637" s="790" t="str">
        <f t="shared" si="162"/>
        <v>416</v>
      </c>
      <c r="N2637" s="790" t="str">
        <f t="shared" si="163"/>
        <v>015</v>
      </c>
      <c r="O2637" s="790" t="str">
        <f t="shared" si="164"/>
        <v>SALES</v>
      </c>
      <c r="P2637" s="790" t="str">
        <f t="shared" si="165"/>
        <v>CURR</v>
      </c>
      <c r="R2637" s="30"/>
    </row>
    <row r="2638" spans="2:18">
      <c r="B2638" s="5" t="str">
        <f>Page5i_SANS_OBJECT!C$21</f>
        <v>NE PAS UTILISER</v>
      </c>
      <c r="C2638" s="1038" t="str">
        <f>OR_VEH!D420</f>
        <v>417-015</v>
      </c>
      <c r="D2638" s="803">
        <f>Page5i_SANS_OBJECT!G$21</f>
        <v>0</v>
      </c>
      <c r="E2638" s="803">
        <f>Page5i_SANS_OBJECT!L$21</f>
        <v>0</v>
      </c>
      <c r="F2638" t="str">
        <f t="shared" si="159"/>
        <v>01-00-417-015-SALES-CURR</v>
      </c>
      <c r="G2638" t="s">
        <v>127</v>
      </c>
      <c r="H2638" t="s">
        <v>10287</v>
      </c>
      <c r="I2638" t="s">
        <v>10253</v>
      </c>
      <c r="J2638" t="s">
        <v>10268</v>
      </c>
      <c r="K2638" s="790" t="str">
        <f t="shared" si="160"/>
        <v>01</v>
      </c>
      <c r="L2638" s="789" t="str">
        <f t="shared" si="161"/>
        <v>00</v>
      </c>
      <c r="M2638" s="790" t="str">
        <f t="shared" si="162"/>
        <v>417</v>
      </c>
      <c r="N2638" s="790" t="str">
        <f t="shared" si="163"/>
        <v>015</v>
      </c>
      <c r="O2638" s="790" t="str">
        <f t="shared" si="164"/>
        <v>SALES</v>
      </c>
      <c r="P2638" s="790" t="str">
        <f t="shared" si="165"/>
        <v>CURR</v>
      </c>
      <c r="R2638" s="30"/>
    </row>
    <row r="2639" spans="2:18">
      <c r="B2639" s="5" t="str">
        <f>Page5i_SANS_OBJECT!C$22</f>
        <v>NE PAS UTILISER</v>
      </c>
      <c r="C2639" s="1038" t="str">
        <f>OR_VEH!D421</f>
        <v>418-015</v>
      </c>
      <c r="D2639" s="803">
        <f>Page5i_SANS_OBJECT!G$22</f>
        <v>0</v>
      </c>
      <c r="E2639" s="803">
        <f>Page5i_SANS_OBJECT!L$22</f>
        <v>0</v>
      </c>
      <c r="F2639" t="str">
        <f t="shared" si="159"/>
        <v>01-00-418-015-SALES-CURR</v>
      </c>
      <c r="G2639" t="s">
        <v>127</v>
      </c>
      <c r="H2639" t="s">
        <v>10287</v>
      </c>
      <c r="I2639" t="s">
        <v>10253</v>
      </c>
      <c r="J2639" t="s">
        <v>10268</v>
      </c>
      <c r="K2639" s="790" t="str">
        <f t="shared" si="160"/>
        <v>01</v>
      </c>
      <c r="L2639" s="789" t="str">
        <f t="shared" si="161"/>
        <v>00</v>
      </c>
      <c r="M2639" s="790" t="str">
        <f t="shared" si="162"/>
        <v>418</v>
      </c>
      <c r="N2639" s="790" t="str">
        <f t="shared" si="163"/>
        <v>015</v>
      </c>
      <c r="O2639" s="790" t="str">
        <f t="shared" si="164"/>
        <v>SALES</v>
      </c>
      <c r="P2639" s="790" t="str">
        <f t="shared" si="165"/>
        <v>CURR</v>
      </c>
      <c r="R2639" s="30"/>
    </row>
    <row r="2640" spans="2:18">
      <c r="B2640" s="27" t="s">
        <v>12205</v>
      </c>
      <c r="C2640" s="1042"/>
      <c r="D2640" s="803">
        <f>Page5i_SANS_OBJECT!G$23</f>
        <v>0</v>
      </c>
      <c r="E2640" s="803">
        <f>Page5i_SANS_OBJECT!L$23</f>
        <v>0</v>
      </c>
      <c r="F2640" t="str">
        <f>TEXT(K2640,"00")&amp;"-"&amp;L2640&amp;IF(M2640="","","-"&amp;M2640)&amp;IF(N2640="","","-"&amp;N2640)&amp;IF(OR(O2640="",O2640=0),"","-"&amp;O2640)&amp;IF(P2640="","","-"&amp;P2640)</f>
        <v>01-00-RTLCAR5I-SALES-CURR</v>
      </c>
      <c r="G2640" t="s">
        <v>127</v>
      </c>
      <c r="H2640" t="s">
        <v>10287</v>
      </c>
      <c r="I2640" t="s">
        <v>10253</v>
      </c>
      <c r="J2640" t="s">
        <v>10268</v>
      </c>
      <c r="K2640" s="1073" t="s">
        <v>10288</v>
      </c>
      <c r="L2640" s="789" t="s">
        <v>10241</v>
      </c>
      <c r="M2640" s="790" t="s">
        <v>10378</v>
      </c>
      <c r="O2640" s="790" t="s">
        <v>9883</v>
      </c>
      <c r="P2640" s="790" t="s">
        <v>10244</v>
      </c>
      <c r="Q2640" s="791" t="s">
        <v>773</v>
      </c>
    </row>
    <row r="2641" spans="2:18">
      <c r="B2641" s="5" t="str">
        <f>Page5i_SANS_OBJECT!C$24</f>
        <v>MÉMO* VENTES INTERNET VOITURES</v>
      </c>
      <c r="C2641" s="1038" t="str">
        <f>OR_VEH!D423</f>
        <v>419P5I</v>
      </c>
      <c r="D2641" s="803">
        <f>Page5i_SANS_OBJECT!G$24</f>
        <v>0</v>
      </c>
      <c r="E2641" s="803">
        <f>Page5i_SANS_OBJECT!L$24</f>
        <v>0</v>
      </c>
      <c r="F2641" t="str">
        <f>TEXT(K2641,"00")&amp;"-"&amp;L2641&amp;IF(M2641="","","-"&amp;M2641)&amp;IF(N2641="","","-"&amp;N2641)&amp;IF(OR(O2641="",O2641=0),"","-"&amp;O2641)&amp;IF(P2641="","","-"&amp;P2641)</f>
        <v>01-00-419P5I-SALES-CURR</v>
      </c>
      <c r="G2641" t="s">
        <v>127</v>
      </c>
      <c r="H2641" t="s">
        <v>10287</v>
      </c>
      <c r="I2641" t="s">
        <v>10253</v>
      </c>
      <c r="K2641" s="1073" t="s">
        <v>10288</v>
      </c>
      <c r="L2641" s="789" t="s">
        <v>10241</v>
      </c>
      <c r="M2641" s="855" t="str">
        <f>C2641</f>
        <v>419P5I</v>
      </c>
      <c r="N2641" s="855"/>
      <c r="O2641" s="790" t="s">
        <v>9883</v>
      </c>
      <c r="P2641" s="790" t="s">
        <v>10244</v>
      </c>
      <c r="R2641" s="30"/>
    </row>
    <row r="2642" spans="2:18">
      <c r="B2642" s="5" t="str">
        <f>Page5i_SANS_OBJECT!C$25</f>
        <v>TOTAL PARCS - VOITURES</v>
      </c>
      <c r="C2642" s="1038" t="str">
        <f>OR_VEH!D424</f>
        <v>420P5I</v>
      </c>
      <c r="D2642" s="803">
        <f>Page5i_SANS_OBJECT!G$25</f>
        <v>0</v>
      </c>
      <c r="E2642" s="803">
        <f>Page5i_SANS_OBJECT!L$25</f>
        <v>0</v>
      </c>
      <c r="F2642" t="str">
        <f>TEXT(K2642,"00")&amp;"-"&amp;L2642&amp;IF(M2642="","","-"&amp;M2642)&amp;IF(N2642="","","-"&amp;N2642)&amp;IF(OR(O2642="",O2642=0),"","-"&amp;O2642)&amp;IF(P2642="","","-"&amp;P2642)</f>
        <v>01-00-420P5I-SALES-CURR</v>
      </c>
      <c r="G2642" t="s">
        <v>127</v>
      </c>
      <c r="H2642" t="s">
        <v>10287</v>
      </c>
      <c r="I2642" t="s">
        <v>10253</v>
      </c>
      <c r="K2642" s="1073" t="s">
        <v>10288</v>
      </c>
      <c r="L2642" s="789" t="s">
        <v>10241</v>
      </c>
      <c r="M2642" s="855" t="str">
        <f>C2642</f>
        <v>420P5I</v>
      </c>
      <c r="N2642" s="855"/>
      <c r="O2642" s="799" t="s">
        <v>9883</v>
      </c>
      <c r="P2642" s="799" t="s">
        <v>10244</v>
      </c>
      <c r="R2642" s="30"/>
    </row>
    <row r="2643" spans="2:18">
      <c r="B2643" s="5" t="str">
        <f>Page5i_SANS_OBJECT!C$26</f>
        <v>TOTAL INTERNE - VOITURES</v>
      </c>
      <c r="C2643" s="1038" t="str">
        <f>OR_VEH!D425</f>
        <v>421P5I</v>
      </c>
      <c r="D2643" s="803">
        <f>Page5i_SANS_OBJECT!G$26</f>
        <v>0</v>
      </c>
      <c r="E2643" s="803">
        <f>Page5i_SANS_OBJECT!L$26</f>
        <v>0</v>
      </c>
      <c r="F2643" t="str">
        <f>TEXT(K2643,"00")&amp;"-"&amp;L2643&amp;IF(M2643="","","-"&amp;M2643)&amp;IF(N2643="","","-"&amp;N2643)&amp;IF(OR(O2643="",O2643=0),"","-"&amp;O2643)&amp;IF(P2643="","","-"&amp;P2643)</f>
        <v>01-00-421P5I-SALES-CURR</v>
      </c>
      <c r="G2643" t="s">
        <v>127</v>
      </c>
      <c r="H2643" t="s">
        <v>10287</v>
      </c>
      <c r="I2643" t="s">
        <v>10253</v>
      </c>
      <c r="K2643" s="1073" t="s">
        <v>10288</v>
      </c>
      <c r="L2643" s="789" t="s">
        <v>10241</v>
      </c>
      <c r="M2643" s="855" t="str">
        <f>C2643</f>
        <v>421P5I</v>
      </c>
      <c r="N2643" s="855"/>
      <c r="O2643" s="799" t="s">
        <v>9883</v>
      </c>
      <c r="P2643" s="799" t="s">
        <v>10244</v>
      </c>
      <c r="R2643" s="30"/>
    </row>
    <row r="2644" spans="2:18">
      <c r="B2644" s="27" t="s">
        <v>12206</v>
      </c>
      <c r="C2644" s="1042"/>
      <c r="D2644" s="803">
        <f>Page5i_SANS_OBJECT!G$27</f>
        <v>0</v>
      </c>
      <c r="E2644" s="803">
        <f>Page5i_SANS_OBJECT!L$27</f>
        <v>0</v>
      </c>
      <c r="F2644" t="str">
        <f>TEXT(K2644,"00")&amp;"-"&amp;L2644&amp;IF(M2644="","","-"&amp;M2644)&amp;IF(N2644="","","-"&amp;N2644)&amp;IF(OR(O2644="",O2644=0),"","-"&amp;O2644)&amp;IF(P2644="","","-"&amp;P2644)</f>
        <v>01-00-TOTCAR5I-SALES-CURR</v>
      </c>
      <c r="G2644" t="s">
        <v>127</v>
      </c>
      <c r="H2644" t="s">
        <v>10287</v>
      </c>
      <c r="I2644" t="s">
        <v>10253</v>
      </c>
      <c r="J2644" t="s">
        <v>10268</v>
      </c>
      <c r="K2644" s="1073" t="s">
        <v>10288</v>
      </c>
      <c r="L2644" s="789" t="s">
        <v>10241</v>
      </c>
      <c r="M2644" s="790" t="s">
        <v>10380</v>
      </c>
      <c r="O2644" s="790" t="s">
        <v>9883</v>
      </c>
      <c r="P2644" s="790" t="s">
        <v>10244</v>
      </c>
      <c r="Q2644" s="791" t="s">
        <v>773</v>
      </c>
    </row>
    <row r="2645" spans="2:18">
      <c r="B2645" s="5" t="str">
        <f>Page5i_SANS_OBJECT!C$28</f>
        <v>NE PAS UTILISER</v>
      </c>
      <c r="C2645" s="1038" t="str">
        <f>OR_VEH!D427</f>
        <v>423-015</v>
      </c>
      <c r="D2645" s="803">
        <f>Page5i_SANS_OBJECT!G$28</f>
        <v>0</v>
      </c>
      <c r="E2645" s="803">
        <f>Page5i_SANS_OBJECT!L$28</f>
        <v>0</v>
      </c>
      <c r="F2645" t="str">
        <f t="shared" ref="F2645:F2660" si="166">IF(M2645="","",TEXT(K2645,"00")&amp;"-"&amp;L2645&amp;IF(M2645="","","-"&amp;M2645)&amp;IF(N2645="","","-"&amp;N2645)&amp;IF(OR(O2645="",O2645=0),"","-"&amp;O2645)&amp;IF(P2645="","","-"&amp;P2645))</f>
        <v>01-00-423-015-SALES-CURR</v>
      </c>
      <c r="G2645" t="s">
        <v>127</v>
      </c>
      <c r="H2645" t="s">
        <v>10287</v>
      </c>
      <c r="I2645" t="s">
        <v>10253</v>
      </c>
      <c r="J2645" t="s">
        <v>10268</v>
      </c>
      <c r="K2645" s="790" t="str">
        <f t="shared" ref="K2645:K2660" si="167">IF($M2645="","","01")</f>
        <v>01</v>
      </c>
      <c r="L2645" s="789" t="str">
        <f t="shared" ref="L2645:L2660" si="168">IF($M2645="","","00")</f>
        <v>00</v>
      </c>
      <c r="M2645" s="790" t="str">
        <f t="shared" ref="M2645:M2660" si="169">LEFT(C2645,3)</f>
        <v>423</v>
      </c>
      <c r="N2645" s="790" t="str">
        <f t="shared" ref="N2645:N2660" si="170">RIGHT(C2645,3)</f>
        <v>015</v>
      </c>
      <c r="O2645" s="790" t="str">
        <f>IF($M2645="","","SALES")</f>
        <v>SALES</v>
      </c>
      <c r="P2645" s="790" t="str">
        <f t="shared" ref="P2645:P2660" si="171">IF($M2645="","","CURR")</f>
        <v>CURR</v>
      </c>
      <c r="R2645" s="30"/>
    </row>
    <row r="2646" spans="2:18">
      <c r="B2646" s="5" t="str">
        <f>Page5i_SANS_OBJECT!C$29</f>
        <v>NE PAS UTILISER</v>
      </c>
      <c r="C2646" s="1038" t="str">
        <f>OR_VEH!D428</f>
        <v>424-015</v>
      </c>
      <c r="D2646" s="803">
        <f>Page5i_SANS_OBJECT!G$29</f>
        <v>0</v>
      </c>
      <c r="E2646" s="803">
        <f>Page5i_SANS_OBJECT!L$29</f>
        <v>0</v>
      </c>
      <c r="F2646" t="str">
        <f t="shared" si="166"/>
        <v>01-00-424-015-SALES-CURR</v>
      </c>
      <c r="G2646" t="s">
        <v>127</v>
      </c>
      <c r="H2646" t="s">
        <v>10287</v>
      </c>
      <c r="I2646" t="s">
        <v>10253</v>
      </c>
      <c r="J2646" t="s">
        <v>10268</v>
      </c>
      <c r="K2646" s="790" t="str">
        <f t="shared" si="167"/>
        <v>01</v>
      </c>
      <c r="L2646" s="789" t="str">
        <f t="shared" si="168"/>
        <v>00</v>
      </c>
      <c r="M2646" s="790" t="str">
        <f t="shared" si="169"/>
        <v>424</v>
      </c>
      <c r="N2646" s="790" t="str">
        <f t="shared" si="170"/>
        <v>015</v>
      </c>
      <c r="O2646" s="790" t="str">
        <f t="shared" ref="O2646:O2660" si="172">IF($M2646="","","SALES")</f>
        <v>SALES</v>
      </c>
      <c r="P2646" s="790" t="str">
        <f t="shared" si="171"/>
        <v>CURR</v>
      </c>
      <c r="R2646" s="30"/>
    </row>
    <row r="2647" spans="2:18">
      <c r="B2647" s="5" t="str">
        <f>Page5i_SANS_OBJECT!C$30</f>
        <v>NE PAS UTILISER</v>
      </c>
      <c r="C2647" s="1038" t="str">
        <f>OR_VEH!D429</f>
        <v>425-015</v>
      </c>
      <c r="D2647" s="803">
        <f>Page5i_SANS_OBJECT!G$30</f>
        <v>0</v>
      </c>
      <c r="E2647" s="803">
        <f>Page5i_SANS_OBJECT!L$30</f>
        <v>0</v>
      </c>
      <c r="F2647" t="str">
        <f t="shared" si="166"/>
        <v>01-00-425-015-SALES-CURR</v>
      </c>
      <c r="G2647" t="s">
        <v>127</v>
      </c>
      <c r="H2647" t="s">
        <v>10287</v>
      </c>
      <c r="I2647" t="s">
        <v>10253</v>
      </c>
      <c r="J2647" t="s">
        <v>10268</v>
      </c>
      <c r="K2647" s="790" t="str">
        <f t="shared" si="167"/>
        <v>01</v>
      </c>
      <c r="L2647" s="789" t="str">
        <f t="shared" si="168"/>
        <v>00</v>
      </c>
      <c r="M2647" s="790" t="str">
        <f t="shared" si="169"/>
        <v>425</v>
      </c>
      <c r="N2647" s="790" t="str">
        <f t="shared" si="170"/>
        <v>015</v>
      </c>
      <c r="O2647" s="790" t="str">
        <f t="shared" si="172"/>
        <v>SALES</v>
      </c>
      <c r="P2647" s="790" t="str">
        <f t="shared" si="171"/>
        <v>CURR</v>
      </c>
      <c r="R2647" s="30"/>
    </row>
    <row r="2648" spans="2:18">
      <c r="B2648" s="5" t="str">
        <f>Page5i_SANS_OBJECT!C$31</f>
        <v>NE PAS UTILISER</v>
      </c>
      <c r="C2648" s="1038" t="str">
        <f>OR_VEH!D430</f>
        <v>426-015</v>
      </c>
      <c r="D2648" s="803">
        <f>Page5i_SANS_OBJECT!G$31</f>
        <v>0</v>
      </c>
      <c r="E2648" s="803">
        <f>Page5i_SANS_OBJECT!L$31</f>
        <v>0</v>
      </c>
      <c r="F2648" t="str">
        <f t="shared" si="166"/>
        <v>01-00-426-015-SALES-CURR</v>
      </c>
      <c r="G2648" t="s">
        <v>127</v>
      </c>
      <c r="H2648" t="s">
        <v>10287</v>
      </c>
      <c r="I2648" t="s">
        <v>10253</v>
      </c>
      <c r="J2648" t="s">
        <v>10268</v>
      </c>
      <c r="K2648" s="790" t="str">
        <f t="shared" si="167"/>
        <v>01</v>
      </c>
      <c r="L2648" s="789" t="str">
        <f t="shared" si="168"/>
        <v>00</v>
      </c>
      <c r="M2648" s="790" t="str">
        <f t="shared" si="169"/>
        <v>426</v>
      </c>
      <c r="N2648" s="790" t="str">
        <f t="shared" si="170"/>
        <v>015</v>
      </c>
      <c r="O2648" s="790" t="str">
        <f t="shared" si="172"/>
        <v>SALES</v>
      </c>
      <c r="P2648" s="790" t="str">
        <f t="shared" si="171"/>
        <v>CURR</v>
      </c>
      <c r="R2648" s="30"/>
    </row>
    <row r="2649" spans="2:18">
      <c r="B2649" s="5" t="str">
        <f>Page5i_SANS_OBJECT!C$32</f>
        <v>NE PAS UTILISER</v>
      </c>
      <c r="C2649" s="1038" t="str">
        <f>OR_VEH!D431</f>
        <v>427-015</v>
      </c>
      <c r="D2649" s="803">
        <f>Page5i_SANS_OBJECT!G$32</f>
        <v>0</v>
      </c>
      <c r="E2649" s="803">
        <f>Page5i_SANS_OBJECT!L$32</f>
        <v>0</v>
      </c>
      <c r="F2649" t="str">
        <f t="shared" si="166"/>
        <v>01-00-427-015-SALES-CURR</v>
      </c>
      <c r="G2649" t="s">
        <v>127</v>
      </c>
      <c r="H2649" t="s">
        <v>10287</v>
      </c>
      <c r="I2649" t="s">
        <v>10253</v>
      </c>
      <c r="J2649" t="s">
        <v>10268</v>
      </c>
      <c r="K2649" s="790" t="str">
        <f t="shared" si="167"/>
        <v>01</v>
      </c>
      <c r="L2649" s="789" t="str">
        <f t="shared" si="168"/>
        <v>00</v>
      </c>
      <c r="M2649" s="790" t="str">
        <f t="shared" si="169"/>
        <v>427</v>
      </c>
      <c r="N2649" s="790" t="str">
        <f t="shared" si="170"/>
        <v>015</v>
      </c>
      <c r="O2649" s="790" t="str">
        <f t="shared" si="172"/>
        <v>SALES</v>
      </c>
      <c r="P2649" s="790" t="str">
        <f t="shared" si="171"/>
        <v>CURR</v>
      </c>
      <c r="R2649" s="30"/>
    </row>
    <row r="2650" spans="2:18">
      <c r="B2650" s="5" t="str">
        <f>Page5i_SANS_OBJECT!C$33</f>
        <v>NE PAS UTILISER</v>
      </c>
      <c r="C2650" s="1038" t="str">
        <f>OR_VEH!D432</f>
        <v>428-015</v>
      </c>
      <c r="D2650" s="803">
        <f>Page5i_SANS_OBJECT!G$33</f>
        <v>0</v>
      </c>
      <c r="E2650" s="803">
        <f>Page5i_SANS_OBJECT!L$33</f>
        <v>0</v>
      </c>
      <c r="F2650" t="str">
        <f t="shared" si="166"/>
        <v>01-00-428-015-SALES-CURR</v>
      </c>
      <c r="G2650" t="s">
        <v>127</v>
      </c>
      <c r="H2650" t="s">
        <v>10287</v>
      </c>
      <c r="I2650" t="s">
        <v>10253</v>
      </c>
      <c r="J2650" t="s">
        <v>10268</v>
      </c>
      <c r="K2650" s="790" t="str">
        <f t="shared" si="167"/>
        <v>01</v>
      </c>
      <c r="L2650" s="789" t="str">
        <f t="shared" si="168"/>
        <v>00</v>
      </c>
      <c r="M2650" s="790" t="str">
        <f t="shared" si="169"/>
        <v>428</v>
      </c>
      <c r="N2650" s="790" t="str">
        <f t="shared" si="170"/>
        <v>015</v>
      </c>
      <c r="O2650" s="790" t="str">
        <f t="shared" si="172"/>
        <v>SALES</v>
      </c>
      <c r="P2650" s="790" t="str">
        <f t="shared" si="171"/>
        <v>CURR</v>
      </c>
      <c r="R2650" s="30"/>
    </row>
    <row r="2651" spans="2:18">
      <c r="B2651" s="5" t="str">
        <f>Page5i_SANS_OBJECT!C$34</f>
        <v>NE PAS UTILISER</v>
      </c>
      <c r="C2651" s="1038" t="str">
        <f>OR_VEH!D433</f>
        <v>429-015</v>
      </c>
      <c r="D2651" s="803">
        <f>Page5i_SANS_OBJECT!G$34</f>
        <v>0</v>
      </c>
      <c r="E2651" s="803">
        <f>Page5i_SANS_OBJECT!L$34</f>
        <v>0</v>
      </c>
      <c r="F2651" t="str">
        <f t="shared" si="166"/>
        <v>01-00-429-015-SALES-CURR</v>
      </c>
      <c r="G2651" t="s">
        <v>127</v>
      </c>
      <c r="H2651" t="s">
        <v>10287</v>
      </c>
      <c r="I2651" t="s">
        <v>10253</v>
      </c>
      <c r="J2651" t="s">
        <v>10268</v>
      </c>
      <c r="K2651" s="790" t="str">
        <f t="shared" si="167"/>
        <v>01</v>
      </c>
      <c r="L2651" s="789" t="str">
        <f t="shared" si="168"/>
        <v>00</v>
      </c>
      <c r="M2651" s="790" t="str">
        <f t="shared" si="169"/>
        <v>429</v>
      </c>
      <c r="N2651" s="790" t="str">
        <f t="shared" si="170"/>
        <v>015</v>
      </c>
      <c r="O2651" s="790" t="str">
        <f t="shared" si="172"/>
        <v>SALES</v>
      </c>
      <c r="P2651" s="790" t="str">
        <f t="shared" si="171"/>
        <v>CURR</v>
      </c>
      <c r="R2651" s="30"/>
    </row>
    <row r="2652" spans="2:18">
      <c r="B2652" s="5" t="str">
        <f>Page5i_SANS_OBJECT!C$35</f>
        <v>NE PAS UTILISER</v>
      </c>
      <c r="C2652" s="1038" t="str">
        <f>OR_VEH!D434</f>
        <v>430-015</v>
      </c>
      <c r="D2652" s="803">
        <f>Page5i_SANS_OBJECT!G$35</f>
        <v>0</v>
      </c>
      <c r="E2652" s="803">
        <f>Page5i_SANS_OBJECT!L$35</f>
        <v>0</v>
      </c>
      <c r="F2652" t="str">
        <f t="shared" si="166"/>
        <v>01-00-430-015-SALES-CURR</v>
      </c>
      <c r="G2652" t="s">
        <v>127</v>
      </c>
      <c r="H2652" t="s">
        <v>10287</v>
      </c>
      <c r="I2652" t="s">
        <v>10253</v>
      </c>
      <c r="J2652" t="s">
        <v>10268</v>
      </c>
      <c r="K2652" s="790" t="str">
        <f t="shared" si="167"/>
        <v>01</v>
      </c>
      <c r="L2652" s="789" t="str">
        <f t="shared" si="168"/>
        <v>00</v>
      </c>
      <c r="M2652" s="790" t="str">
        <f t="shared" si="169"/>
        <v>430</v>
      </c>
      <c r="N2652" s="790" t="str">
        <f t="shared" si="170"/>
        <v>015</v>
      </c>
      <c r="O2652" s="790" t="str">
        <f t="shared" si="172"/>
        <v>SALES</v>
      </c>
      <c r="P2652" s="790" t="str">
        <f t="shared" si="171"/>
        <v>CURR</v>
      </c>
      <c r="R2652" s="30"/>
    </row>
    <row r="2653" spans="2:18">
      <c r="B2653" s="5" t="str">
        <f>Page5i_SANS_OBJECT!C$36</f>
        <v>NE PAS UTILISER</v>
      </c>
      <c r="C2653" s="1038" t="str">
        <f>OR_VEH!D435</f>
        <v>431-015</v>
      </c>
      <c r="D2653" s="803">
        <f>Page5i_SANS_OBJECT!G$36</f>
        <v>0</v>
      </c>
      <c r="E2653" s="803">
        <f>Page5i_SANS_OBJECT!L$36</f>
        <v>0</v>
      </c>
      <c r="F2653" t="str">
        <f t="shared" si="166"/>
        <v>01-00-431-015-SALES-CURR</v>
      </c>
      <c r="G2653" t="s">
        <v>127</v>
      </c>
      <c r="H2653" t="s">
        <v>10287</v>
      </c>
      <c r="I2653" t="s">
        <v>10253</v>
      </c>
      <c r="J2653" t="s">
        <v>10268</v>
      </c>
      <c r="K2653" s="790" t="str">
        <f t="shared" si="167"/>
        <v>01</v>
      </c>
      <c r="L2653" s="789" t="str">
        <f t="shared" si="168"/>
        <v>00</v>
      </c>
      <c r="M2653" s="790" t="str">
        <f t="shared" si="169"/>
        <v>431</v>
      </c>
      <c r="N2653" s="790" t="str">
        <f t="shared" si="170"/>
        <v>015</v>
      </c>
      <c r="O2653" s="790" t="str">
        <f t="shared" si="172"/>
        <v>SALES</v>
      </c>
      <c r="P2653" s="790" t="str">
        <f t="shared" si="171"/>
        <v>CURR</v>
      </c>
      <c r="R2653" s="30"/>
    </row>
    <row r="2654" spans="2:18">
      <c r="B2654" s="5" t="str">
        <f>Page5i_SANS_OBJECT!C$37</f>
        <v>NE PAS UTILISER</v>
      </c>
      <c r="C2654" s="1038" t="str">
        <f>OR_VEH!D436</f>
        <v>432-015</v>
      </c>
      <c r="D2654" s="803">
        <f>Page5i_SANS_OBJECT!G$37</f>
        <v>0</v>
      </c>
      <c r="E2654" s="803">
        <f>Page5i_SANS_OBJECT!L$37</f>
        <v>0</v>
      </c>
      <c r="F2654" t="str">
        <f t="shared" si="166"/>
        <v>01-00-432-015-SALES-CURR</v>
      </c>
      <c r="G2654" t="s">
        <v>127</v>
      </c>
      <c r="H2654" t="s">
        <v>10287</v>
      </c>
      <c r="I2654" t="s">
        <v>10253</v>
      </c>
      <c r="J2654" t="s">
        <v>10268</v>
      </c>
      <c r="K2654" s="790" t="str">
        <f t="shared" si="167"/>
        <v>01</v>
      </c>
      <c r="L2654" s="789" t="str">
        <f t="shared" si="168"/>
        <v>00</v>
      </c>
      <c r="M2654" s="790" t="str">
        <f t="shared" si="169"/>
        <v>432</v>
      </c>
      <c r="N2654" s="790" t="str">
        <f t="shared" si="170"/>
        <v>015</v>
      </c>
      <c r="O2654" s="790" t="str">
        <f t="shared" si="172"/>
        <v>SALES</v>
      </c>
      <c r="P2654" s="790" t="str">
        <f t="shared" si="171"/>
        <v>CURR</v>
      </c>
      <c r="R2654" s="30"/>
    </row>
    <row r="2655" spans="2:18">
      <c r="B2655" s="5" t="str">
        <f>Page5i_SANS_OBJECT!C$38</f>
        <v>NE PAS UTILISER</v>
      </c>
      <c r="C2655" s="1038" t="str">
        <f>OR_VEH!D437</f>
        <v>433-015</v>
      </c>
      <c r="D2655" s="803">
        <f>Page5i_SANS_OBJECT!G$38</f>
        <v>0</v>
      </c>
      <c r="E2655" s="803">
        <f>Page5i_SANS_OBJECT!L$38</f>
        <v>0</v>
      </c>
      <c r="F2655" t="str">
        <f t="shared" si="166"/>
        <v>01-00-433-015-SALES-CURR</v>
      </c>
      <c r="G2655" t="s">
        <v>127</v>
      </c>
      <c r="H2655" t="s">
        <v>10287</v>
      </c>
      <c r="I2655" t="s">
        <v>10253</v>
      </c>
      <c r="J2655" t="s">
        <v>10268</v>
      </c>
      <c r="K2655" s="790" t="str">
        <f t="shared" si="167"/>
        <v>01</v>
      </c>
      <c r="L2655" s="789" t="str">
        <f t="shared" si="168"/>
        <v>00</v>
      </c>
      <c r="M2655" s="790" t="str">
        <f t="shared" si="169"/>
        <v>433</v>
      </c>
      <c r="N2655" s="790" t="str">
        <f t="shared" si="170"/>
        <v>015</v>
      </c>
      <c r="O2655" s="790" t="str">
        <f t="shared" si="172"/>
        <v>SALES</v>
      </c>
      <c r="P2655" s="790" t="str">
        <f t="shared" si="171"/>
        <v>CURR</v>
      </c>
      <c r="R2655" s="30"/>
    </row>
    <row r="2656" spans="2:18">
      <c r="B2656" s="5" t="str">
        <f>Page5i_SANS_OBJECT!C$39</f>
        <v>NE PAS UTILISER</v>
      </c>
      <c r="C2656" s="1038" t="str">
        <f>OR_VEH!D438</f>
        <v>434-015</v>
      </c>
      <c r="D2656" s="803">
        <f>Page5i_SANS_OBJECT!G$39</f>
        <v>0</v>
      </c>
      <c r="E2656" s="803">
        <f>Page5i_SANS_OBJECT!L$39</f>
        <v>0</v>
      </c>
      <c r="F2656" t="str">
        <f t="shared" si="166"/>
        <v>01-00-434-015-SALES-CURR</v>
      </c>
      <c r="G2656" t="s">
        <v>127</v>
      </c>
      <c r="H2656" t="s">
        <v>10287</v>
      </c>
      <c r="I2656" t="s">
        <v>10253</v>
      </c>
      <c r="J2656" t="s">
        <v>10268</v>
      </c>
      <c r="K2656" s="790" t="str">
        <f t="shared" si="167"/>
        <v>01</v>
      </c>
      <c r="L2656" s="789" t="str">
        <f t="shared" si="168"/>
        <v>00</v>
      </c>
      <c r="M2656" s="790" t="str">
        <f t="shared" si="169"/>
        <v>434</v>
      </c>
      <c r="N2656" s="790" t="str">
        <f t="shared" si="170"/>
        <v>015</v>
      </c>
      <c r="O2656" s="790" t="str">
        <f t="shared" si="172"/>
        <v>SALES</v>
      </c>
      <c r="P2656" s="790" t="str">
        <f t="shared" si="171"/>
        <v>CURR</v>
      </c>
      <c r="R2656" s="30"/>
    </row>
    <row r="2657" spans="2:18">
      <c r="B2657" s="5" t="str">
        <f>Page5i_SANS_OBJECT!C$40</f>
        <v>NE PAS UTILISER</v>
      </c>
      <c r="C2657" s="1038" t="str">
        <f>OR_VEH!D439</f>
        <v>435-015</v>
      </c>
      <c r="D2657" s="803">
        <f>Page5i_SANS_OBJECT!G$40</f>
        <v>0</v>
      </c>
      <c r="E2657" s="803">
        <f>Page5i_SANS_OBJECT!L$40</f>
        <v>0</v>
      </c>
      <c r="F2657" t="str">
        <f t="shared" si="166"/>
        <v>01-00-435-015-SALES-CURR</v>
      </c>
      <c r="G2657" t="s">
        <v>127</v>
      </c>
      <c r="H2657" t="s">
        <v>10287</v>
      </c>
      <c r="I2657" t="s">
        <v>10253</v>
      </c>
      <c r="J2657" t="s">
        <v>10268</v>
      </c>
      <c r="K2657" s="790" t="str">
        <f t="shared" si="167"/>
        <v>01</v>
      </c>
      <c r="L2657" s="789" t="str">
        <f t="shared" si="168"/>
        <v>00</v>
      </c>
      <c r="M2657" s="790" t="str">
        <f t="shared" si="169"/>
        <v>435</v>
      </c>
      <c r="N2657" s="790" t="str">
        <f t="shared" si="170"/>
        <v>015</v>
      </c>
      <c r="O2657" s="790" t="str">
        <f t="shared" si="172"/>
        <v>SALES</v>
      </c>
      <c r="P2657" s="790" t="str">
        <f t="shared" si="171"/>
        <v>CURR</v>
      </c>
      <c r="R2657" s="30"/>
    </row>
    <row r="2658" spans="2:18">
      <c r="B2658" s="5" t="str">
        <f>Page5i_SANS_OBJECT!C$41</f>
        <v>NE PAS UTILISER</v>
      </c>
      <c r="C2658" s="1038" t="str">
        <f>OR_VEH!D440</f>
        <v>436-015</v>
      </c>
      <c r="D2658" s="803">
        <f>Page5i_SANS_OBJECT!G$41</f>
        <v>0</v>
      </c>
      <c r="E2658" s="803">
        <f>Page5i_SANS_OBJECT!L$41</f>
        <v>0</v>
      </c>
      <c r="F2658" t="str">
        <f t="shared" si="166"/>
        <v>01-00-436-015-SALES-CURR</v>
      </c>
      <c r="G2658" t="s">
        <v>127</v>
      </c>
      <c r="H2658" t="s">
        <v>10287</v>
      </c>
      <c r="I2658" t="s">
        <v>10253</v>
      </c>
      <c r="J2658" t="s">
        <v>10268</v>
      </c>
      <c r="K2658" s="790" t="str">
        <f t="shared" si="167"/>
        <v>01</v>
      </c>
      <c r="L2658" s="789" t="str">
        <f t="shared" si="168"/>
        <v>00</v>
      </c>
      <c r="M2658" s="790" t="str">
        <f t="shared" si="169"/>
        <v>436</v>
      </c>
      <c r="N2658" s="790" t="str">
        <f t="shared" si="170"/>
        <v>015</v>
      </c>
      <c r="O2658" s="790" t="str">
        <f t="shared" si="172"/>
        <v>SALES</v>
      </c>
      <c r="P2658" s="790" t="str">
        <f t="shared" si="171"/>
        <v>CURR</v>
      </c>
      <c r="R2658" s="30"/>
    </row>
    <row r="2659" spans="2:18">
      <c r="B2659" s="5" t="str">
        <f>Page5i_SANS_OBJECT!C$42</f>
        <v>POUR USAGE FUTUR</v>
      </c>
      <c r="C2659" s="1038" t="str">
        <f>OR_VEH!D441</f>
        <v>437-015</v>
      </c>
      <c r="D2659" s="803">
        <f>Page5i_SANS_OBJECT!G$42</f>
        <v>0</v>
      </c>
      <c r="E2659" s="803">
        <f>Page5i_SANS_OBJECT!L$42</f>
        <v>0</v>
      </c>
      <c r="F2659" t="str">
        <f t="shared" si="166"/>
        <v>01-00-437-015-SALES-CURR</v>
      </c>
      <c r="G2659" t="s">
        <v>127</v>
      </c>
      <c r="H2659" t="s">
        <v>10287</v>
      </c>
      <c r="I2659" t="s">
        <v>10253</v>
      </c>
      <c r="J2659" t="s">
        <v>10268</v>
      </c>
      <c r="K2659" s="790" t="str">
        <f t="shared" si="167"/>
        <v>01</v>
      </c>
      <c r="L2659" s="789" t="str">
        <f t="shared" si="168"/>
        <v>00</v>
      </c>
      <c r="M2659" s="790" t="str">
        <f t="shared" si="169"/>
        <v>437</v>
      </c>
      <c r="N2659" s="790" t="str">
        <f t="shared" si="170"/>
        <v>015</v>
      </c>
      <c r="O2659" s="790" t="str">
        <f t="shared" si="172"/>
        <v>SALES</v>
      </c>
      <c r="P2659" s="790" t="str">
        <f t="shared" si="171"/>
        <v>CURR</v>
      </c>
      <c r="R2659" s="30"/>
    </row>
    <row r="2660" spans="2:18">
      <c r="B2660" s="5" t="str">
        <f>Page5i_SANS_OBJECT!C$43</f>
        <v>AUTRES POIDS MOYEN</v>
      </c>
      <c r="C2660" s="1038" t="str">
        <f>OR_VEH!D442</f>
        <v>438-015</v>
      </c>
      <c r="D2660" s="803">
        <f>Page5i_SANS_OBJECT!G$43</f>
        <v>0</v>
      </c>
      <c r="E2660" s="803">
        <f>Page5i_SANS_OBJECT!L$43</f>
        <v>0</v>
      </c>
      <c r="F2660" t="str">
        <f t="shared" si="166"/>
        <v>01-00-438-015-SALES-CURR</v>
      </c>
      <c r="G2660" t="s">
        <v>127</v>
      </c>
      <c r="H2660" t="s">
        <v>10287</v>
      </c>
      <c r="I2660" t="s">
        <v>10253</v>
      </c>
      <c r="J2660" t="s">
        <v>10268</v>
      </c>
      <c r="K2660" s="790" t="str">
        <f t="shared" si="167"/>
        <v>01</v>
      </c>
      <c r="L2660" s="789" t="str">
        <f t="shared" si="168"/>
        <v>00</v>
      </c>
      <c r="M2660" s="790" t="str">
        <f t="shared" si="169"/>
        <v>438</v>
      </c>
      <c r="N2660" s="790" t="str">
        <f t="shared" si="170"/>
        <v>015</v>
      </c>
      <c r="O2660" s="790" t="str">
        <f t="shared" si="172"/>
        <v>SALES</v>
      </c>
      <c r="P2660" s="790" t="str">
        <f t="shared" si="171"/>
        <v>CURR</v>
      </c>
      <c r="R2660" s="30"/>
    </row>
    <row r="2661" spans="2:18">
      <c r="B2661" s="51" t="s">
        <v>12207</v>
      </c>
      <c r="C2661" s="1042"/>
      <c r="D2661" s="803">
        <f>Page5i_SANS_OBJECT!G$44</f>
        <v>0</v>
      </c>
      <c r="E2661" s="803">
        <f>Page5i_SANS_OBJECT!L$44</f>
        <v>0</v>
      </c>
      <c r="F2661" t="str">
        <f t="shared" ref="F2661:F2667" si="173">TEXT(K2661,"00")&amp;"-"&amp;L2661&amp;IF(M2661="","","-"&amp;M2661)&amp;IF(N2661="","","-"&amp;N2661)&amp;IF(OR(O2661="",O2661=0),"","-"&amp;O2661)&amp;IF(P2661="","","-"&amp;P2661)</f>
        <v>01-00-RTLTRK5I-SALES-CURR</v>
      </c>
      <c r="G2661" t="s">
        <v>127</v>
      </c>
      <c r="H2661" t="s">
        <v>10287</v>
      </c>
      <c r="I2661" t="s">
        <v>10253</v>
      </c>
      <c r="J2661" t="s">
        <v>10268</v>
      </c>
      <c r="K2661" s="1073" t="s">
        <v>10288</v>
      </c>
      <c r="L2661" s="789" t="s">
        <v>10241</v>
      </c>
      <c r="M2661" s="790" t="s">
        <v>10382</v>
      </c>
      <c r="O2661" s="790" t="s">
        <v>9883</v>
      </c>
      <c r="P2661" s="790" t="s">
        <v>10244</v>
      </c>
      <c r="Q2661" s="791" t="s">
        <v>773</v>
      </c>
    </row>
    <row r="2662" spans="2:18">
      <c r="B2662" s="5" t="str">
        <f>Page5i_SANS_OBJECT!C$45</f>
        <v>MÉMO* VENTES INTERNET CAMIONS</v>
      </c>
      <c r="C2662" s="1038" t="str">
        <f>OR_VEH!D444</f>
        <v>439P5I</v>
      </c>
      <c r="D2662" s="803">
        <f>Page5i_SANS_OBJECT!G$45</f>
        <v>0</v>
      </c>
      <c r="E2662" s="803">
        <f>Page5i_SANS_OBJECT!L$45</f>
        <v>0</v>
      </c>
      <c r="F2662" t="str">
        <f t="shared" si="173"/>
        <v>01-00-439P5I-SALES-CURR</v>
      </c>
      <c r="G2662" t="s">
        <v>127</v>
      </c>
      <c r="H2662" t="s">
        <v>10287</v>
      </c>
      <c r="I2662" t="s">
        <v>10253</v>
      </c>
      <c r="K2662" s="1073" t="s">
        <v>10288</v>
      </c>
      <c r="L2662" s="789" t="s">
        <v>10241</v>
      </c>
      <c r="M2662" s="855" t="str">
        <f>C2662</f>
        <v>439P5I</v>
      </c>
      <c r="N2662" s="855"/>
      <c r="O2662" s="790" t="s">
        <v>9883</v>
      </c>
      <c r="P2662" s="790" t="s">
        <v>10244</v>
      </c>
      <c r="R2662" s="30"/>
    </row>
    <row r="2663" spans="2:18">
      <c r="B2663" s="5" t="str">
        <f>Page5i_SANS_OBJECT!C$46</f>
        <v>TOTAL PARCS - CAMIONS</v>
      </c>
      <c r="C2663" s="1038" t="str">
        <f>OR_VEH!D445</f>
        <v>440P5I</v>
      </c>
      <c r="D2663" s="803">
        <f>Page5i_SANS_OBJECT!G$46</f>
        <v>0</v>
      </c>
      <c r="E2663" s="803">
        <f>Page5i_SANS_OBJECT!L$46</f>
        <v>0</v>
      </c>
      <c r="F2663" t="str">
        <f t="shared" si="173"/>
        <v>01-00-440P5I-SALES-CURR</v>
      </c>
      <c r="G2663" t="s">
        <v>127</v>
      </c>
      <c r="H2663" t="s">
        <v>10287</v>
      </c>
      <c r="I2663" t="s">
        <v>10253</v>
      </c>
      <c r="K2663" s="1073" t="s">
        <v>10288</v>
      </c>
      <c r="L2663" s="789" t="s">
        <v>10241</v>
      </c>
      <c r="M2663" s="855" t="str">
        <f>C2663</f>
        <v>440P5I</v>
      </c>
      <c r="N2663" s="855"/>
      <c r="O2663" s="790" t="s">
        <v>9883</v>
      </c>
      <c r="P2663" s="790" t="s">
        <v>10244</v>
      </c>
      <c r="R2663" s="30"/>
    </row>
    <row r="2664" spans="2:18">
      <c r="B2664" s="5" t="str">
        <f>Page5i_SANS_OBJECT!C$47</f>
        <v xml:space="preserve">TOTAL IINTERNE - CAMIONS </v>
      </c>
      <c r="C2664" s="1038" t="str">
        <f>OR_VEH!D446</f>
        <v>441P5I</v>
      </c>
      <c r="D2664" s="803">
        <f>Page5i_SANS_OBJECT!G$47</f>
        <v>0</v>
      </c>
      <c r="E2664" s="803">
        <f>Page5i_SANS_OBJECT!L$47</f>
        <v>0</v>
      </c>
      <c r="F2664" t="str">
        <f t="shared" si="173"/>
        <v>01-00-441P5I-SALES-CURR</v>
      </c>
      <c r="G2664" t="s">
        <v>127</v>
      </c>
      <c r="H2664" t="s">
        <v>10287</v>
      </c>
      <c r="I2664" t="s">
        <v>10253</v>
      </c>
      <c r="K2664" s="1073" t="s">
        <v>10288</v>
      </c>
      <c r="L2664" s="789" t="s">
        <v>10241</v>
      </c>
      <c r="M2664" s="855" t="str">
        <f>C2664</f>
        <v>441P5I</v>
      </c>
      <c r="N2664" s="855"/>
      <c r="O2664" s="790" t="s">
        <v>9883</v>
      </c>
      <c r="P2664" s="790" t="s">
        <v>10244</v>
      </c>
      <c r="R2664" s="30"/>
    </row>
    <row r="2665" spans="2:18">
      <c r="B2665" s="27" t="s">
        <v>12208</v>
      </c>
      <c r="C2665" s="1042"/>
      <c r="D2665" s="803">
        <f>Page5i_SANS_OBJECT!G$48</f>
        <v>0</v>
      </c>
      <c r="E2665" s="803">
        <f>Page5i_SANS_OBJECT!L$48</f>
        <v>0</v>
      </c>
      <c r="F2665" t="str">
        <f t="shared" si="173"/>
        <v>01-00-TOTTRK5I-SALES-CURR</v>
      </c>
      <c r="G2665" t="s">
        <v>127</v>
      </c>
      <c r="H2665" t="s">
        <v>10287</v>
      </c>
      <c r="I2665" t="s">
        <v>10253</v>
      </c>
      <c r="J2665" t="s">
        <v>10268</v>
      </c>
      <c r="K2665" s="1073" t="s">
        <v>10288</v>
      </c>
      <c r="L2665" s="789" t="s">
        <v>10241</v>
      </c>
      <c r="M2665" s="790" t="s">
        <v>10384</v>
      </c>
      <c r="O2665" s="790" t="s">
        <v>9883</v>
      </c>
      <c r="P2665" s="790" t="s">
        <v>10244</v>
      </c>
      <c r="Q2665" s="791" t="s">
        <v>773</v>
      </c>
    </row>
    <row r="2666" spans="2:18">
      <c r="B2666" s="5" t="str">
        <f>Page5i_SANS_OBJECT!C$50</f>
        <v>ACCESSOIRES</v>
      </c>
      <c r="C2666" s="1038" t="str">
        <f>OR_VEH!D449</f>
        <v>457P5I</v>
      </c>
      <c r="D2666" s="803">
        <f>Page5i_SANS_OBJECT!G$50</f>
        <v>0</v>
      </c>
      <c r="E2666" s="803">
        <f>Page5i_SANS_OBJECT!L$50</f>
        <v>0</v>
      </c>
      <c r="F2666" t="str">
        <f t="shared" si="173"/>
        <v>01-00-457P5I-SALES-CURR</v>
      </c>
      <c r="G2666" t="s">
        <v>127</v>
      </c>
      <c r="H2666" t="s">
        <v>10287</v>
      </c>
      <c r="I2666" t="s">
        <v>10253</v>
      </c>
      <c r="K2666" s="1073" t="s">
        <v>10288</v>
      </c>
      <c r="L2666" s="789" t="s">
        <v>10241</v>
      </c>
      <c r="M2666" s="855" t="str">
        <f>C2666</f>
        <v>457P5I</v>
      </c>
      <c r="N2666" s="855"/>
      <c r="O2666" s="790" t="s">
        <v>9883</v>
      </c>
      <c r="P2666" s="790" t="s">
        <v>10244</v>
      </c>
      <c r="R2666" s="30"/>
    </row>
    <row r="2667" spans="2:18">
      <c r="B2667" s="27" t="s">
        <v>12209</v>
      </c>
      <c r="C2667" s="1042"/>
      <c r="D2667" s="803">
        <f>Page5i_SANS_OBJECT!G$51</f>
        <v>0</v>
      </c>
      <c r="E2667" s="803">
        <f>Page5i_SANS_OBJECT!L$51</f>
        <v>0</v>
      </c>
      <c r="F2667" t="str">
        <f t="shared" si="173"/>
        <v>01-00-TOTVEH5I-SALES-CURR</v>
      </c>
      <c r="G2667" t="s">
        <v>127</v>
      </c>
      <c r="H2667" t="s">
        <v>10287</v>
      </c>
      <c r="I2667" t="s">
        <v>10253</v>
      </c>
      <c r="J2667" t="s">
        <v>10268</v>
      </c>
      <c r="K2667" s="1073" t="s">
        <v>10288</v>
      </c>
      <c r="L2667" s="789" t="s">
        <v>10241</v>
      </c>
      <c r="M2667" s="790" t="s">
        <v>10386</v>
      </c>
      <c r="O2667" s="790" t="s">
        <v>9883</v>
      </c>
      <c r="P2667" s="790" t="s">
        <v>10244</v>
      </c>
      <c r="Q2667" s="791" t="s">
        <v>773</v>
      </c>
    </row>
    <row r="2668" spans="2:18">
      <c r="B2668" s="5" t="str">
        <f>Page5i_SANS_OBJECT!C$4</f>
        <v>NE PAS UTILISER</v>
      </c>
      <c r="C2668" s="1038" t="str">
        <f>OR_VEH!D403</f>
        <v>400-015</v>
      </c>
      <c r="D2668" s="803">
        <f>Page5i_SANS_OBJECT!I4</f>
        <v>0</v>
      </c>
      <c r="E2668" s="803">
        <f>Page5i_SANS_OBJECT!N4</f>
        <v>0</v>
      </c>
      <c r="F2668" t="str">
        <f t="shared" ref="F2668:F2686" si="174">IF(M2668="","",TEXT(K2668,"00")&amp;"-"&amp;L2668&amp;IF(M2668="","","-"&amp;M2668)&amp;IF(N2668="","","-"&amp;N2668)&amp;IF(OR(O2668="",O2668=0),"","-"&amp;O2668)&amp;IF(P2668="","","-"&amp;P2668))</f>
        <v>01-00-400-015-GRSPFT-CURR</v>
      </c>
      <c r="G2668" t="s">
        <v>127</v>
      </c>
      <c r="H2668" t="s">
        <v>10287</v>
      </c>
      <c r="I2668" t="s">
        <v>10253</v>
      </c>
      <c r="J2668" t="s">
        <v>10268</v>
      </c>
      <c r="K2668" s="790" t="str">
        <f t="shared" ref="K2668:K2686" si="175">IF($M2668="","","01")</f>
        <v>01</v>
      </c>
      <c r="L2668" s="789" t="str">
        <f t="shared" ref="L2668:L2686" si="176">IF($M2668="","","00")</f>
        <v>00</v>
      </c>
      <c r="M2668" s="790" t="str">
        <f t="shared" ref="M2668:M2686" si="177">LEFT(C2668,3)</f>
        <v>400</v>
      </c>
      <c r="N2668" s="790" t="str">
        <f t="shared" ref="N2668:N2686" si="178">RIGHT(C2668,3)</f>
        <v>015</v>
      </c>
      <c r="O2668" s="790" t="str">
        <f t="shared" ref="O2668:O2686" si="179">IF($M2668="","","GRSPFT")</f>
        <v>GRSPFT</v>
      </c>
      <c r="P2668" s="790" t="str">
        <f t="shared" ref="P2668:P2686" si="180">IF($M2668="","","CURR")</f>
        <v>CURR</v>
      </c>
      <c r="R2668" s="30"/>
    </row>
    <row r="2669" spans="2:18">
      <c r="B2669" s="5" t="str">
        <f>Page5i_SANS_OBJECT!C$5</f>
        <v>NE PAS UTILISER</v>
      </c>
      <c r="C2669" s="1038" t="str">
        <f>OR_VEH!D404</f>
        <v>401-015</v>
      </c>
      <c r="D2669" s="803">
        <f>Page5i_SANS_OBJECT!I5</f>
        <v>0</v>
      </c>
      <c r="E2669" s="803">
        <f>Page5i_SANS_OBJECT!N5</f>
        <v>0</v>
      </c>
      <c r="F2669" t="str">
        <f t="shared" si="174"/>
        <v>01-00-401-015-GRSPFT-CURR</v>
      </c>
      <c r="G2669" t="s">
        <v>127</v>
      </c>
      <c r="H2669" t="s">
        <v>10287</v>
      </c>
      <c r="I2669" t="s">
        <v>10253</v>
      </c>
      <c r="J2669" t="s">
        <v>10268</v>
      </c>
      <c r="K2669" s="790" t="str">
        <f t="shared" si="175"/>
        <v>01</v>
      </c>
      <c r="L2669" s="789" t="str">
        <f t="shared" si="176"/>
        <v>00</v>
      </c>
      <c r="M2669" s="790" t="str">
        <f t="shared" si="177"/>
        <v>401</v>
      </c>
      <c r="N2669" s="790" t="str">
        <f t="shared" si="178"/>
        <v>015</v>
      </c>
      <c r="O2669" s="790" t="str">
        <f t="shared" si="179"/>
        <v>GRSPFT</v>
      </c>
      <c r="P2669" s="790" t="str">
        <f t="shared" si="180"/>
        <v>CURR</v>
      </c>
      <c r="R2669" s="30"/>
    </row>
    <row r="2670" spans="2:18">
      <c r="B2670" s="5" t="str">
        <f>Page5i_SANS_OBJECT!C$6</f>
        <v>NE PAS UTILISER</v>
      </c>
      <c r="C2670" s="1038" t="str">
        <f>OR_VEH!D405</f>
        <v>402-015</v>
      </c>
      <c r="D2670" s="803">
        <f>Page5i_SANS_OBJECT!I6</f>
        <v>0</v>
      </c>
      <c r="E2670" s="803">
        <f>Page5i_SANS_OBJECT!N6</f>
        <v>0</v>
      </c>
      <c r="F2670" t="str">
        <f t="shared" si="174"/>
        <v>01-00-402-015-GRSPFT-CURR</v>
      </c>
      <c r="G2670" t="s">
        <v>127</v>
      </c>
      <c r="H2670" t="s">
        <v>10287</v>
      </c>
      <c r="I2670" t="s">
        <v>10253</v>
      </c>
      <c r="J2670" t="s">
        <v>10268</v>
      </c>
      <c r="K2670" s="790" t="str">
        <f t="shared" si="175"/>
        <v>01</v>
      </c>
      <c r="L2670" s="789" t="str">
        <f t="shared" si="176"/>
        <v>00</v>
      </c>
      <c r="M2670" s="790" t="str">
        <f t="shared" si="177"/>
        <v>402</v>
      </c>
      <c r="N2670" s="790" t="str">
        <f t="shared" si="178"/>
        <v>015</v>
      </c>
      <c r="O2670" s="790" t="str">
        <f t="shared" si="179"/>
        <v>GRSPFT</v>
      </c>
      <c r="P2670" s="790" t="str">
        <f t="shared" si="180"/>
        <v>CURR</v>
      </c>
      <c r="R2670" s="30"/>
    </row>
    <row r="2671" spans="2:18">
      <c r="B2671" s="5" t="str">
        <f>Page5i_SANS_OBJECT!C$7</f>
        <v>NE PAS UTILISER</v>
      </c>
      <c r="C2671" s="1038" t="str">
        <f>OR_VEH!D406</f>
        <v>403-015</v>
      </c>
      <c r="D2671" s="803">
        <f>Page5i_SANS_OBJECT!I7</f>
        <v>0</v>
      </c>
      <c r="E2671" s="803">
        <f>Page5i_SANS_OBJECT!N7</f>
        <v>0</v>
      </c>
      <c r="F2671" t="str">
        <f t="shared" si="174"/>
        <v>01-00-403-015-GRSPFT-CURR</v>
      </c>
      <c r="G2671" t="s">
        <v>127</v>
      </c>
      <c r="H2671" t="s">
        <v>10287</v>
      </c>
      <c r="I2671" t="s">
        <v>10253</v>
      </c>
      <c r="J2671" t="s">
        <v>10268</v>
      </c>
      <c r="K2671" s="790" t="str">
        <f t="shared" si="175"/>
        <v>01</v>
      </c>
      <c r="L2671" s="789" t="str">
        <f t="shared" si="176"/>
        <v>00</v>
      </c>
      <c r="M2671" s="790" t="str">
        <f t="shared" si="177"/>
        <v>403</v>
      </c>
      <c r="N2671" s="790" t="str">
        <f t="shared" si="178"/>
        <v>015</v>
      </c>
      <c r="O2671" s="790" t="str">
        <f t="shared" si="179"/>
        <v>GRSPFT</v>
      </c>
      <c r="P2671" s="790" t="str">
        <f t="shared" si="180"/>
        <v>CURR</v>
      </c>
      <c r="R2671" s="30"/>
    </row>
    <row r="2672" spans="2:18">
      <c r="B2672" s="5" t="str">
        <f>Page5i_SANS_OBJECT!C$8</f>
        <v>NE PAS UTILISER</v>
      </c>
      <c r="C2672" s="1038" t="str">
        <f>OR_VEH!D407</f>
        <v>404-015</v>
      </c>
      <c r="D2672" s="803">
        <f>Page5i_SANS_OBJECT!I8</f>
        <v>0</v>
      </c>
      <c r="E2672" s="803">
        <f>Page5i_SANS_OBJECT!N8</f>
        <v>0</v>
      </c>
      <c r="F2672" t="str">
        <f t="shared" si="174"/>
        <v>01-00-404-015-GRSPFT-CURR</v>
      </c>
      <c r="G2672" t="s">
        <v>127</v>
      </c>
      <c r="H2672" t="s">
        <v>10287</v>
      </c>
      <c r="I2672" t="s">
        <v>10253</v>
      </c>
      <c r="J2672" t="s">
        <v>10268</v>
      </c>
      <c r="K2672" s="790" t="str">
        <f t="shared" si="175"/>
        <v>01</v>
      </c>
      <c r="L2672" s="789" t="str">
        <f t="shared" si="176"/>
        <v>00</v>
      </c>
      <c r="M2672" s="790" t="str">
        <f t="shared" si="177"/>
        <v>404</v>
      </c>
      <c r="N2672" s="790" t="str">
        <f t="shared" si="178"/>
        <v>015</v>
      </c>
      <c r="O2672" s="790" t="str">
        <f t="shared" si="179"/>
        <v>GRSPFT</v>
      </c>
      <c r="P2672" s="790" t="str">
        <f t="shared" si="180"/>
        <v>CURR</v>
      </c>
      <c r="R2672" s="30"/>
    </row>
    <row r="2673" spans="2:18">
      <c r="B2673" s="5" t="str">
        <f>Page5i_SANS_OBJECT!C$9</f>
        <v>NE PAS UTILISER</v>
      </c>
      <c r="C2673" s="1038" t="str">
        <f>OR_VEH!D408</f>
        <v>405-015</v>
      </c>
      <c r="D2673" s="803">
        <f>Page5i_SANS_OBJECT!I9</f>
        <v>0</v>
      </c>
      <c r="E2673" s="803">
        <f>Page5i_SANS_OBJECT!N9</f>
        <v>0</v>
      </c>
      <c r="F2673" t="str">
        <f t="shared" si="174"/>
        <v>01-00-405-015-GRSPFT-CURR</v>
      </c>
      <c r="G2673" t="s">
        <v>127</v>
      </c>
      <c r="H2673" t="s">
        <v>10287</v>
      </c>
      <c r="I2673" t="s">
        <v>10253</v>
      </c>
      <c r="J2673" t="s">
        <v>10268</v>
      </c>
      <c r="K2673" s="790" t="str">
        <f t="shared" si="175"/>
        <v>01</v>
      </c>
      <c r="L2673" s="789" t="str">
        <f t="shared" si="176"/>
        <v>00</v>
      </c>
      <c r="M2673" s="790" t="str">
        <f t="shared" si="177"/>
        <v>405</v>
      </c>
      <c r="N2673" s="790" t="str">
        <f t="shared" si="178"/>
        <v>015</v>
      </c>
      <c r="O2673" s="790" t="str">
        <f t="shared" si="179"/>
        <v>GRSPFT</v>
      </c>
      <c r="P2673" s="790" t="str">
        <f t="shared" si="180"/>
        <v>CURR</v>
      </c>
      <c r="R2673" s="30"/>
    </row>
    <row r="2674" spans="2:18">
      <c r="B2674" s="5" t="str">
        <f>Page5i_SANS_OBJECT!C$10</f>
        <v>NE PAS UTILISER</v>
      </c>
      <c r="C2674" s="1038" t="str">
        <f>OR_VEH!D409</f>
        <v>406-015</v>
      </c>
      <c r="D2674" s="803">
        <f>Page5i_SANS_OBJECT!I10</f>
        <v>0</v>
      </c>
      <c r="E2674" s="803">
        <f>Page5i_SANS_OBJECT!N10</f>
        <v>0</v>
      </c>
      <c r="F2674" t="str">
        <f t="shared" si="174"/>
        <v>01-00-406-015-GRSPFT-CURR</v>
      </c>
      <c r="G2674" t="s">
        <v>127</v>
      </c>
      <c r="H2674" t="s">
        <v>10287</v>
      </c>
      <c r="I2674" t="s">
        <v>10253</v>
      </c>
      <c r="J2674" t="s">
        <v>10268</v>
      </c>
      <c r="K2674" s="790" t="str">
        <f t="shared" si="175"/>
        <v>01</v>
      </c>
      <c r="L2674" s="789" t="str">
        <f t="shared" si="176"/>
        <v>00</v>
      </c>
      <c r="M2674" s="790" t="str">
        <f t="shared" si="177"/>
        <v>406</v>
      </c>
      <c r="N2674" s="790" t="str">
        <f t="shared" si="178"/>
        <v>015</v>
      </c>
      <c r="O2674" s="790" t="str">
        <f t="shared" si="179"/>
        <v>GRSPFT</v>
      </c>
      <c r="P2674" s="790" t="str">
        <f t="shared" si="180"/>
        <v>CURR</v>
      </c>
      <c r="R2674" s="30"/>
    </row>
    <row r="2675" spans="2:18">
      <c r="B2675" s="5" t="str">
        <f>Page5i_SANS_OBJECT!C$11</f>
        <v>NE PAS UTILISER</v>
      </c>
      <c r="C2675" s="1038" t="str">
        <f>OR_VEH!D410</f>
        <v>407-015</v>
      </c>
      <c r="D2675" s="803">
        <f>Page5i_SANS_OBJECT!I11</f>
        <v>0</v>
      </c>
      <c r="E2675" s="803">
        <f>Page5i_SANS_OBJECT!N11</f>
        <v>0</v>
      </c>
      <c r="F2675" t="str">
        <f t="shared" si="174"/>
        <v>01-00-407-015-GRSPFT-CURR</v>
      </c>
      <c r="G2675" t="s">
        <v>127</v>
      </c>
      <c r="H2675" t="s">
        <v>10287</v>
      </c>
      <c r="I2675" t="s">
        <v>10253</v>
      </c>
      <c r="J2675" t="s">
        <v>10268</v>
      </c>
      <c r="K2675" s="790" t="str">
        <f t="shared" si="175"/>
        <v>01</v>
      </c>
      <c r="L2675" s="789" t="str">
        <f t="shared" si="176"/>
        <v>00</v>
      </c>
      <c r="M2675" s="790" t="str">
        <f t="shared" si="177"/>
        <v>407</v>
      </c>
      <c r="N2675" s="790" t="str">
        <f t="shared" si="178"/>
        <v>015</v>
      </c>
      <c r="O2675" s="790" t="str">
        <f t="shared" si="179"/>
        <v>GRSPFT</v>
      </c>
      <c r="P2675" s="790" t="str">
        <f t="shared" si="180"/>
        <v>CURR</v>
      </c>
      <c r="R2675" s="30"/>
    </row>
    <row r="2676" spans="2:18">
      <c r="B2676" s="5" t="str">
        <f>Page5i_SANS_OBJECT!C$12</f>
        <v>NE PAS UTILISER</v>
      </c>
      <c r="C2676" s="1038" t="str">
        <f>OR_VEH!D411</f>
        <v>408-015</v>
      </c>
      <c r="D2676" s="803">
        <f>Page5i_SANS_OBJECT!I12</f>
        <v>0</v>
      </c>
      <c r="E2676" s="803">
        <f>Page5i_SANS_OBJECT!N12</f>
        <v>0</v>
      </c>
      <c r="F2676" t="str">
        <f t="shared" si="174"/>
        <v>01-00-408-015-GRSPFT-CURR</v>
      </c>
      <c r="G2676" t="s">
        <v>127</v>
      </c>
      <c r="H2676" t="s">
        <v>10287</v>
      </c>
      <c r="I2676" t="s">
        <v>10253</v>
      </c>
      <c r="J2676" t="s">
        <v>10268</v>
      </c>
      <c r="K2676" s="790" t="str">
        <f t="shared" si="175"/>
        <v>01</v>
      </c>
      <c r="L2676" s="789" t="str">
        <f t="shared" si="176"/>
        <v>00</v>
      </c>
      <c r="M2676" s="790" t="str">
        <f t="shared" si="177"/>
        <v>408</v>
      </c>
      <c r="N2676" s="790" t="str">
        <f t="shared" si="178"/>
        <v>015</v>
      </c>
      <c r="O2676" s="790" t="str">
        <f t="shared" si="179"/>
        <v>GRSPFT</v>
      </c>
      <c r="P2676" s="790" t="str">
        <f t="shared" si="180"/>
        <v>CURR</v>
      </c>
      <c r="R2676" s="30"/>
    </row>
    <row r="2677" spans="2:18">
      <c r="B2677" s="5" t="str">
        <f>Page5i_SANS_OBJECT!C$13</f>
        <v>NE PAS UTILISER</v>
      </c>
      <c r="C2677" s="1038" t="str">
        <f>OR_VEH!D412</f>
        <v>409-015</v>
      </c>
      <c r="D2677" s="803">
        <f>Page5i_SANS_OBJECT!I13</f>
        <v>0</v>
      </c>
      <c r="E2677" s="803">
        <f>Page5i_SANS_OBJECT!N13</f>
        <v>0</v>
      </c>
      <c r="F2677" t="str">
        <f t="shared" si="174"/>
        <v>01-00-409-015-GRSPFT-CURR</v>
      </c>
      <c r="G2677" t="s">
        <v>127</v>
      </c>
      <c r="H2677" t="s">
        <v>10287</v>
      </c>
      <c r="I2677" t="s">
        <v>10253</v>
      </c>
      <c r="J2677" t="s">
        <v>10268</v>
      </c>
      <c r="K2677" s="790" t="str">
        <f t="shared" si="175"/>
        <v>01</v>
      </c>
      <c r="L2677" s="789" t="str">
        <f t="shared" si="176"/>
        <v>00</v>
      </c>
      <c r="M2677" s="790" t="str">
        <f t="shared" si="177"/>
        <v>409</v>
      </c>
      <c r="N2677" s="790" t="str">
        <f t="shared" si="178"/>
        <v>015</v>
      </c>
      <c r="O2677" s="790" t="str">
        <f t="shared" si="179"/>
        <v>GRSPFT</v>
      </c>
      <c r="P2677" s="790" t="str">
        <f t="shared" si="180"/>
        <v>CURR</v>
      </c>
      <c r="R2677" s="30"/>
    </row>
    <row r="2678" spans="2:18">
      <c r="B2678" s="5" t="str">
        <f>Page5i_SANS_OBJECT!C$14</f>
        <v>NE PAS UTILISER</v>
      </c>
      <c r="C2678" s="1038" t="str">
        <f>OR_VEH!D413</f>
        <v>410-015</v>
      </c>
      <c r="D2678" s="803">
        <f>Page5i_SANS_OBJECT!I14</f>
        <v>0</v>
      </c>
      <c r="E2678" s="803">
        <f>Page5i_SANS_OBJECT!N14</f>
        <v>0</v>
      </c>
      <c r="F2678" t="str">
        <f t="shared" si="174"/>
        <v>01-00-410-015-GRSPFT-CURR</v>
      </c>
      <c r="G2678" t="s">
        <v>127</v>
      </c>
      <c r="H2678" t="s">
        <v>10287</v>
      </c>
      <c r="I2678" t="s">
        <v>10253</v>
      </c>
      <c r="J2678" t="s">
        <v>10268</v>
      </c>
      <c r="K2678" s="790" t="str">
        <f t="shared" si="175"/>
        <v>01</v>
      </c>
      <c r="L2678" s="789" t="str">
        <f t="shared" si="176"/>
        <v>00</v>
      </c>
      <c r="M2678" s="790" t="str">
        <f t="shared" si="177"/>
        <v>410</v>
      </c>
      <c r="N2678" s="790" t="str">
        <f t="shared" si="178"/>
        <v>015</v>
      </c>
      <c r="O2678" s="790" t="str">
        <f t="shared" si="179"/>
        <v>GRSPFT</v>
      </c>
      <c r="P2678" s="790" t="str">
        <f t="shared" si="180"/>
        <v>CURR</v>
      </c>
      <c r="R2678" s="30"/>
    </row>
    <row r="2679" spans="2:18">
      <c r="B2679" s="5" t="str">
        <f>Page5i_SANS_OBJECT!C$15</f>
        <v>NE PAS UTILISER</v>
      </c>
      <c r="C2679" s="1038" t="str">
        <f>OR_VEH!D414</f>
        <v>411-015</v>
      </c>
      <c r="D2679" s="803">
        <f>Page5i_SANS_OBJECT!I15</f>
        <v>0</v>
      </c>
      <c r="E2679" s="803">
        <f>Page5i_SANS_OBJECT!N15</f>
        <v>0</v>
      </c>
      <c r="F2679" t="str">
        <f t="shared" si="174"/>
        <v>01-00-411-015-GRSPFT-CURR</v>
      </c>
      <c r="G2679" t="s">
        <v>127</v>
      </c>
      <c r="H2679" t="s">
        <v>10287</v>
      </c>
      <c r="I2679" t="s">
        <v>10253</v>
      </c>
      <c r="J2679" t="s">
        <v>10268</v>
      </c>
      <c r="K2679" s="790" t="str">
        <f t="shared" si="175"/>
        <v>01</v>
      </c>
      <c r="L2679" s="789" t="str">
        <f t="shared" si="176"/>
        <v>00</v>
      </c>
      <c r="M2679" s="790" t="str">
        <f t="shared" si="177"/>
        <v>411</v>
      </c>
      <c r="N2679" s="790" t="str">
        <f t="shared" si="178"/>
        <v>015</v>
      </c>
      <c r="O2679" s="790" t="str">
        <f t="shared" si="179"/>
        <v>GRSPFT</v>
      </c>
      <c r="P2679" s="790" t="str">
        <f t="shared" si="180"/>
        <v>CURR</v>
      </c>
      <c r="R2679" s="30"/>
    </row>
    <row r="2680" spans="2:18">
      <c r="B2680" s="5" t="str">
        <f>Page5i_SANS_OBJECT!C$16</f>
        <v>NE PAS UTILISER</v>
      </c>
      <c r="C2680" s="1038" t="str">
        <f>OR_VEH!D415</f>
        <v>412-015</v>
      </c>
      <c r="D2680" s="803">
        <f>Page5i_SANS_OBJECT!I16</f>
        <v>0</v>
      </c>
      <c r="E2680" s="803">
        <f>Page5i_SANS_OBJECT!N16</f>
        <v>0</v>
      </c>
      <c r="F2680" t="str">
        <f t="shared" si="174"/>
        <v>01-00-412-015-GRSPFT-CURR</v>
      </c>
      <c r="G2680" t="s">
        <v>127</v>
      </c>
      <c r="H2680" t="s">
        <v>10287</v>
      </c>
      <c r="I2680" t="s">
        <v>10253</v>
      </c>
      <c r="J2680" t="s">
        <v>10268</v>
      </c>
      <c r="K2680" s="790" t="str">
        <f t="shared" si="175"/>
        <v>01</v>
      </c>
      <c r="L2680" s="789" t="str">
        <f t="shared" si="176"/>
        <v>00</v>
      </c>
      <c r="M2680" s="790" t="str">
        <f t="shared" si="177"/>
        <v>412</v>
      </c>
      <c r="N2680" s="790" t="str">
        <f t="shared" si="178"/>
        <v>015</v>
      </c>
      <c r="O2680" s="790" t="str">
        <f t="shared" si="179"/>
        <v>GRSPFT</v>
      </c>
      <c r="P2680" s="790" t="str">
        <f t="shared" si="180"/>
        <v>CURR</v>
      </c>
      <c r="R2680" s="30"/>
    </row>
    <row r="2681" spans="2:18">
      <c r="B2681" s="5" t="str">
        <f>Page5i_SANS_OBJECT!C$17</f>
        <v>NE PAS UTILISER</v>
      </c>
      <c r="C2681" s="1038" t="str">
        <f>OR_VEH!D416</f>
        <v>413-015</v>
      </c>
      <c r="D2681" s="803">
        <f>Page5i_SANS_OBJECT!I17</f>
        <v>0</v>
      </c>
      <c r="E2681" s="803">
        <f>Page5i_SANS_OBJECT!N17</f>
        <v>0</v>
      </c>
      <c r="F2681" t="str">
        <f t="shared" si="174"/>
        <v>01-00-413-015-GRSPFT-CURR</v>
      </c>
      <c r="G2681" t="s">
        <v>127</v>
      </c>
      <c r="H2681" t="s">
        <v>10287</v>
      </c>
      <c r="I2681" t="s">
        <v>10253</v>
      </c>
      <c r="J2681" t="s">
        <v>10268</v>
      </c>
      <c r="K2681" s="790" t="str">
        <f t="shared" si="175"/>
        <v>01</v>
      </c>
      <c r="L2681" s="789" t="str">
        <f t="shared" si="176"/>
        <v>00</v>
      </c>
      <c r="M2681" s="790" t="str">
        <f t="shared" si="177"/>
        <v>413</v>
      </c>
      <c r="N2681" s="790" t="str">
        <f t="shared" si="178"/>
        <v>015</v>
      </c>
      <c r="O2681" s="790" t="str">
        <f t="shared" si="179"/>
        <v>GRSPFT</v>
      </c>
      <c r="P2681" s="790" t="str">
        <f t="shared" si="180"/>
        <v>CURR</v>
      </c>
      <c r="R2681" s="30"/>
    </row>
    <row r="2682" spans="2:18">
      <c r="B2682" s="5" t="str">
        <f>Page5i_SANS_OBJECT!C$18</f>
        <v>NE PAS UTILISER</v>
      </c>
      <c r="C2682" s="1038" t="str">
        <f>OR_VEH!D417</f>
        <v>414-015</v>
      </c>
      <c r="D2682" s="803">
        <f>Page5i_SANS_OBJECT!I18</f>
        <v>0</v>
      </c>
      <c r="E2682" s="803">
        <f>Page5i_SANS_OBJECT!N18</f>
        <v>0</v>
      </c>
      <c r="F2682" t="str">
        <f t="shared" si="174"/>
        <v>01-00-414-015-GRSPFT-CURR</v>
      </c>
      <c r="G2682" t="s">
        <v>127</v>
      </c>
      <c r="H2682" t="s">
        <v>10287</v>
      </c>
      <c r="I2682" t="s">
        <v>10253</v>
      </c>
      <c r="J2682" t="s">
        <v>10268</v>
      </c>
      <c r="K2682" s="790" t="str">
        <f t="shared" si="175"/>
        <v>01</v>
      </c>
      <c r="L2682" s="789" t="str">
        <f t="shared" si="176"/>
        <v>00</v>
      </c>
      <c r="M2682" s="790" t="str">
        <f t="shared" si="177"/>
        <v>414</v>
      </c>
      <c r="N2682" s="790" t="str">
        <f t="shared" si="178"/>
        <v>015</v>
      </c>
      <c r="O2682" s="790" t="str">
        <f t="shared" si="179"/>
        <v>GRSPFT</v>
      </c>
      <c r="P2682" s="790" t="str">
        <f t="shared" si="180"/>
        <v>CURR</v>
      </c>
      <c r="R2682" s="30"/>
    </row>
    <row r="2683" spans="2:18">
      <c r="B2683" s="5" t="str">
        <f>Page5i_SANS_OBJECT!C$19</f>
        <v>NE PAS UTILISER</v>
      </c>
      <c r="C2683" s="1038" t="str">
        <f>OR_VEH!D418</f>
        <v>415-015</v>
      </c>
      <c r="D2683" s="803">
        <f>Page5i_SANS_OBJECT!I19</f>
        <v>0</v>
      </c>
      <c r="E2683" s="803">
        <f>Page5i_SANS_OBJECT!N19</f>
        <v>0</v>
      </c>
      <c r="F2683" t="str">
        <f t="shared" si="174"/>
        <v>01-00-415-015-GRSPFT-CURR</v>
      </c>
      <c r="G2683" t="s">
        <v>127</v>
      </c>
      <c r="H2683" t="s">
        <v>10287</v>
      </c>
      <c r="I2683" t="s">
        <v>10253</v>
      </c>
      <c r="J2683" t="s">
        <v>10268</v>
      </c>
      <c r="K2683" s="790" t="str">
        <f t="shared" si="175"/>
        <v>01</v>
      </c>
      <c r="L2683" s="789" t="str">
        <f t="shared" si="176"/>
        <v>00</v>
      </c>
      <c r="M2683" s="790" t="str">
        <f t="shared" si="177"/>
        <v>415</v>
      </c>
      <c r="N2683" s="790" t="str">
        <f t="shared" si="178"/>
        <v>015</v>
      </c>
      <c r="O2683" s="790" t="str">
        <f t="shared" si="179"/>
        <v>GRSPFT</v>
      </c>
      <c r="P2683" s="790" t="str">
        <f t="shared" si="180"/>
        <v>CURR</v>
      </c>
      <c r="R2683" s="30"/>
    </row>
    <row r="2684" spans="2:18">
      <c r="B2684" s="5" t="str">
        <f>Page5i_SANS_OBJECT!C$20</f>
        <v>NE PAS UTILISER</v>
      </c>
      <c r="C2684" s="1038" t="str">
        <f>OR_VEH!D419</f>
        <v>416-015</v>
      </c>
      <c r="D2684" s="803">
        <f>Page5i_SANS_OBJECT!I20</f>
        <v>0</v>
      </c>
      <c r="E2684" s="803">
        <f>Page5i_SANS_OBJECT!N20</f>
        <v>0</v>
      </c>
      <c r="F2684" t="str">
        <f t="shared" si="174"/>
        <v>01-00-416-015-GRSPFT-CURR</v>
      </c>
      <c r="G2684" t="s">
        <v>127</v>
      </c>
      <c r="H2684" t="s">
        <v>10287</v>
      </c>
      <c r="I2684" t="s">
        <v>10253</v>
      </c>
      <c r="J2684" t="s">
        <v>10268</v>
      </c>
      <c r="K2684" s="790" t="str">
        <f t="shared" si="175"/>
        <v>01</v>
      </c>
      <c r="L2684" s="789" t="str">
        <f t="shared" si="176"/>
        <v>00</v>
      </c>
      <c r="M2684" s="790" t="str">
        <f t="shared" si="177"/>
        <v>416</v>
      </c>
      <c r="N2684" s="790" t="str">
        <f t="shared" si="178"/>
        <v>015</v>
      </c>
      <c r="O2684" s="790" t="str">
        <f t="shared" si="179"/>
        <v>GRSPFT</v>
      </c>
      <c r="P2684" s="790" t="str">
        <f t="shared" si="180"/>
        <v>CURR</v>
      </c>
      <c r="R2684" s="30"/>
    </row>
    <row r="2685" spans="2:18">
      <c r="B2685" s="5" t="str">
        <f>Page5i_SANS_OBJECT!C$21</f>
        <v>NE PAS UTILISER</v>
      </c>
      <c r="C2685" s="1038" t="str">
        <f>OR_VEH!D420</f>
        <v>417-015</v>
      </c>
      <c r="D2685" s="803">
        <f>Page5i_SANS_OBJECT!I21</f>
        <v>0</v>
      </c>
      <c r="E2685" s="803">
        <f>Page5i_SANS_OBJECT!N21</f>
        <v>0</v>
      </c>
      <c r="F2685" t="str">
        <f t="shared" si="174"/>
        <v>01-00-417-015-GRSPFT-CURR</v>
      </c>
      <c r="G2685" t="s">
        <v>127</v>
      </c>
      <c r="H2685" t="s">
        <v>10287</v>
      </c>
      <c r="I2685" t="s">
        <v>10253</v>
      </c>
      <c r="J2685" t="s">
        <v>10268</v>
      </c>
      <c r="K2685" s="790" t="str">
        <f t="shared" si="175"/>
        <v>01</v>
      </c>
      <c r="L2685" s="789" t="str">
        <f t="shared" si="176"/>
        <v>00</v>
      </c>
      <c r="M2685" s="790" t="str">
        <f t="shared" si="177"/>
        <v>417</v>
      </c>
      <c r="N2685" s="790" t="str">
        <f t="shared" si="178"/>
        <v>015</v>
      </c>
      <c r="O2685" s="790" t="str">
        <f t="shared" si="179"/>
        <v>GRSPFT</v>
      </c>
      <c r="P2685" s="790" t="str">
        <f t="shared" si="180"/>
        <v>CURR</v>
      </c>
      <c r="R2685" s="30"/>
    </row>
    <row r="2686" spans="2:18">
      <c r="B2686" s="5" t="str">
        <f>Page5i_SANS_OBJECT!C$22</f>
        <v>NE PAS UTILISER</v>
      </c>
      <c r="C2686" s="1038" t="str">
        <f>OR_VEH!D421</f>
        <v>418-015</v>
      </c>
      <c r="D2686" s="803">
        <f>Page5i_SANS_OBJECT!I22</f>
        <v>0</v>
      </c>
      <c r="E2686" s="803">
        <f>Page5i_SANS_OBJECT!N22</f>
        <v>0</v>
      </c>
      <c r="F2686" t="str">
        <f t="shared" si="174"/>
        <v>01-00-418-015-GRSPFT-CURR</v>
      </c>
      <c r="G2686" t="s">
        <v>127</v>
      </c>
      <c r="H2686" t="s">
        <v>10287</v>
      </c>
      <c r="I2686" t="s">
        <v>10253</v>
      </c>
      <c r="J2686" t="s">
        <v>10268</v>
      </c>
      <c r="K2686" s="790" t="str">
        <f t="shared" si="175"/>
        <v>01</v>
      </c>
      <c r="L2686" s="789" t="str">
        <f t="shared" si="176"/>
        <v>00</v>
      </c>
      <c r="M2686" s="790" t="str">
        <f t="shared" si="177"/>
        <v>418</v>
      </c>
      <c r="N2686" s="790" t="str">
        <f t="shared" si="178"/>
        <v>015</v>
      </c>
      <c r="O2686" s="790" t="str">
        <f t="shared" si="179"/>
        <v>GRSPFT</v>
      </c>
      <c r="P2686" s="790" t="str">
        <f t="shared" si="180"/>
        <v>CURR</v>
      </c>
      <c r="R2686" s="30"/>
    </row>
    <row r="2687" spans="2:18">
      <c r="B2687" s="27" t="s">
        <v>12210</v>
      </c>
      <c r="C2687" s="1042"/>
      <c r="D2687" s="803">
        <f>Page5i_SANS_OBJECT!I23</f>
        <v>0</v>
      </c>
      <c r="E2687" s="803">
        <f>Page5i_SANS_OBJECT!N23</f>
        <v>0</v>
      </c>
      <c r="F2687" t="str">
        <f t="shared" ref="F2687:F2740" si="181">TEXT(K2687,"00")&amp;"-"&amp;L2687&amp;IF(M2687="","","-"&amp;M2687)&amp;IF(N2687="","","-"&amp;N2687)&amp;IF(OR(O2687="",O2687=0),"","-"&amp;O2687)&amp;IF(P2687="","","-"&amp;P2687)</f>
        <v>01-00-RTLCAR5I-GRSPFT-CURR</v>
      </c>
      <c r="G2687" t="s">
        <v>127</v>
      </c>
      <c r="H2687" t="s">
        <v>10287</v>
      </c>
      <c r="I2687" t="s">
        <v>10253</v>
      </c>
      <c r="J2687" t="s">
        <v>10268</v>
      </c>
      <c r="K2687" s="1073" t="s">
        <v>10288</v>
      </c>
      <c r="L2687" s="789" t="s">
        <v>10241</v>
      </c>
      <c r="M2687" s="790" t="s">
        <v>10378</v>
      </c>
      <c r="O2687" s="790" t="s">
        <v>10467</v>
      </c>
      <c r="P2687" s="790" t="s">
        <v>10244</v>
      </c>
      <c r="Q2687" s="791" t="s">
        <v>773</v>
      </c>
    </row>
    <row r="2688" spans="2:18">
      <c r="B2688" s="5" t="str">
        <f>Page5i_SANS_OBJECT!C$24</f>
        <v>MÉMO* VENTES INTERNET VOITURES</v>
      </c>
      <c r="C2688" s="1038" t="str">
        <f>OR_VEH!D423</f>
        <v>419P5I</v>
      </c>
      <c r="D2688" s="803">
        <f>Page5i_SANS_OBJECT!I24</f>
        <v>0</v>
      </c>
      <c r="E2688" s="803">
        <f>Page5i_SANS_OBJECT!N24</f>
        <v>0</v>
      </c>
      <c r="F2688" t="str">
        <f t="shared" si="181"/>
        <v>01-00-419P5I-GRSPFT-CURR</v>
      </c>
      <c r="G2688" t="s">
        <v>127</v>
      </c>
      <c r="H2688" t="s">
        <v>10287</v>
      </c>
      <c r="I2688" t="s">
        <v>10253</v>
      </c>
      <c r="K2688" s="1073" t="s">
        <v>10288</v>
      </c>
      <c r="L2688" s="789" t="s">
        <v>10241</v>
      </c>
      <c r="M2688" s="855" t="str">
        <f>C2688</f>
        <v>419P5I</v>
      </c>
      <c r="N2688" s="855"/>
      <c r="O2688" s="790" t="s">
        <v>10467</v>
      </c>
      <c r="P2688" s="790" t="s">
        <v>10244</v>
      </c>
      <c r="R2688" s="30"/>
    </row>
    <row r="2689" spans="2:18">
      <c r="B2689" s="5" t="str">
        <f>Page5i_SANS_OBJECT!C$25</f>
        <v>TOTAL PARCS - VOITURES</v>
      </c>
      <c r="C2689" s="1038" t="str">
        <f>OR_VEH!D424</f>
        <v>420P5I</v>
      </c>
      <c r="D2689" s="803">
        <f>Page5i_SANS_OBJECT!I25</f>
        <v>0</v>
      </c>
      <c r="E2689" s="803">
        <f>Page5i_SANS_OBJECT!N25</f>
        <v>0</v>
      </c>
      <c r="F2689" t="str">
        <f t="shared" si="181"/>
        <v>01-00-420P5I-GRSPFT-CURR</v>
      </c>
      <c r="G2689" t="s">
        <v>127</v>
      </c>
      <c r="H2689" t="s">
        <v>10287</v>
      </c>
      <c r="I2689" t="s">
        <v>10253</v>
      </c>
      <c r="K2689" s="1073" t="s">
        <v>10288</v>
      </c>
      <c r="L2689" s="789" t="s">
        <v>10241</v>
      </c>
      <c r="M2689" s="855" t="str">
        <f>C2689</f>
        <v>420P5I</v>
      </c>
      <c r="N2689" s="855"/>
      <c r="O2689" s="799" t="s">
        <v>10467</v>
      </c>
      <c r="P2689" s="799" t="s">
        <v>10244</v>
      </c>
      <c r="R2689" s="30"/>
    </row>
    <row r="2690" spans="2:18">
      <c r="B2690" s="5" t="str">
        <f>Page5i_SANS_OBJECT!C$26</f>
        <v>TOTAL INTERNE - VOITURES</v>
      </c>
      <c r="C2690" s="1038" t="str">
        <f>OR_VEH!D425</f>
        <v>421P5I</v>
      </c>
      <c r="D2690" s="803">
        <f>Page5i_SANS_OBJECT!I26</f>
        <v>0</v>
      </c>
      <c r="E2690" s="803">
        <f>Page5i_SANS_OBJECT!N26</f>
        <v>0</v>
      </c>
      <c r="F2690" t="str">
        <f t="shared" si="181"/>
        <v>01-00-421P5I-GRSPFT-CURR</v>
      </c>
      <c r="G2690" t="s">
        <v>127</v>
      </c>
      <c r="H2690" t="s">
        <v>10287</v>
      </c>
      <c r="I2690" t="s">
        <v>10253</v>
      </c>
      <c r="K2690" s="1073" t="s">
        <v>10288</v>
      </c>
      <c r="L2690" s="789" t="s">
        <v>10241</v>
      </c>
      <c r="M2690" s="855" t="str">
        <f>C2690</f>
        <v>421P5I</v>
      </c>
      <c r="N2690" s="855"/>
      <c r="O2690" s="799" t="s">
        <v>10467</v>
      </c>
      <c r="P2690" s="799" t="s">
        <v>10244</v>
      </c>
      <c r="R2690" s="30"/>
    </row>
    <row r="2691" spans="2:18">
      <c r="B2691" s="27" t="s">
        <v>12211</v>
      </c>
      <c r="C2691" s="1042"/>
      <c r="D2691" s="803">
        <f>Page5i_SANS_OBJECT!I27</f>
        <v>0</v>
      </c>
      <c r="E2691" s="803">
        <f>Page5i_SANS_OBJECT!N27</f>
        <v>0</v>
      </c>
      <c r="F2691" t="str">
        <f t="shared" si="181"/>
        <v>01-00-TOTCAR5I-GRSPFT-CURR</v>
      </c>
      <c r="G2691" t="s">
        <v>127</v>
      </c>
      <c r="H2691" t="s">
        <v>10287</v>
      </c>
      <c r="I2691" t="s">
        <v>10253</v>
      </c>
      <c r="J2691" t="s">
        <v>10268</v>
      </c>
      <c r="K2691" s="1073" t="s">
        <v>10288</v>
      </c>
      <c r="L2691" s="789" t="s">
        <v>10241</v>
      </c>
      <c r="M2691" s="790" t="s">
        <v>10380</v>
      </c>
      <c r="O2691" s="790" t="s">
        <v>10467</v>
      </c>
      <c r="P2691" s="790" t="s">
        <v>10244</v>
      </c>
      <c r="Q2691" s="791" t="s">
        <v>773</v>
      </c>
    </row>
    <row r="2692" spans="2:18">
      <c r="B2692" s="5" t="str">
        <f>Page5i_SANS_OBJECT!C$28</f>
        <v>NE PAS UTILISER</v>
      </c>
      <c r="C2692" s="1038" t="str">
        <f>OR_VEH!D427</f>
        <v>423-015</v>
      </c>
      <c r="D2692" s="803">
        <f>Page5i_SANS_OBJECT!I28</f>
        <v>0</v>
      </c>
      <c r="E2692" s="803">
        <f>Page5i_SANS_OBJECT!N28</f>
        <v>0</v>
      </c>
      <c r="F2692" t="str">
        <f t="shared" ref="F2692:F2707" si="182">IF(M2692="","",TEXT(K2692,"00")&amp;"-"&amp;L2692&amp;IF(M2692="","","-"&amp;M2692)&amp;IF(N2692="","","-"&amp;N2692)&amp;IF(OR(O2692="",O2692=0),"","-"&amp;O2692)&amp;IF(P2692="","","-"&amp;P2692))</f>
        <v>01-00-423-015-GRSPFT-CURR</v>
      </c>
      <c r="G2692" t="s">
        <v>127</v>
      </c>
      <c r="H2692" t="s">
        <v>10287</v>
      </c>
      <c r="I2692" t="s">
        <v>10253</v>
      </c>
      <c r="J2692" t="s">
        <v>10268</v>
      </c>
      <c r="K2692" s="790" t="str">
        <f t="shared" ref="K2692:K2707" si="183">IF($M2692="","","01")</f>
        <v>01</v>
      </c>
      <c r="L2692" s="789" t="str">
        <f t="shared" ref="L2692:L2707" si="184">IF($M2692="","","00")</f>
        <v>00</v>
      </c>
      <c r="M2692" s="790" t="str">
        <f t="shared" ref="M2692:M2707" si="185">LEFT(C2692,3)</f>
        <v>423</v>
      </c>
      <c r="N2692" s="790" t="str">
        <f t="shared" ref="N2692:N2707" si="186">RIGHT(C2692,3)</f>
        <v>015</v>
      </c>
      <c r="O2692" s="790" t="str">
        <f>IF($M2692="","","GRSPFT")</f>
        <v>GRSPFT</v>
      </c>
      <c r="P2692" s="790" t="str">
        <f t="shared" ref="P2692:P2707" si="187">IF($M2692="","","CURR")</f>
        <v>CURR</v>
      </c>
      <c r="R2692" s="30"/>
    </row>
    <row r="2693" spans="2:18">
      <c r="B2693" s="5" t="str">
        <f>Page5i_SANS_OBJECT!C$29</f>
        <v>NE PAS UTILISER</v>
      </c>
      <c r="C2693" s="1038" t="str">
        <f>OR_VEH!D428</f>
        <v>424-015</v>
      </c>
      <c r="D2693" s="803">
        <f>Page5i_SANS_OBJECT!I29</f>
        <v>0</v>
      </c>
      <c r="E2693" s="803">
        <f>Page5i_SANS_OBJECT!N29</f>
        <v>0</v>
      </c>
      <c r="F2693" t="str">
        <f t="shared" si="182"/>
        <v>01-00-424-015-GRSPFT-CURR</v>
      </c>
      <c r="G2693" t="s">
        <v>127</v>
      </c>
      <c r="H2693" t="s">
        <v>10287</v>
      </c>
      <c r="I2693" t="s">
        <v>10253</v>
      </c>
      <c r="J2693" t="s">
        <v>10268</v>
      </c>
      <c r="K2693" s="790" t="str">
        <f t="shared" si="183"/>
        <v>01</v>
      </c>
      <c r="L2693" s="789" t="str">
        <f t="shared" si="184"/>
        <v>00</v>
      </c>
      <c r="M2693" s="790" t="str">
        <f t="shared" si="185"/>
        <v>424</v>
      </c>
      <c r="N2693" s="790" t="str">
        <f t="shared" si="186"/>
        <v>015</v>
      </c>
      <c r="O2693" s="790" t="str">
        <f t="shared" ref="O2693:O2707" si="188">IF($M2693="","","GRSPFT")</f>
        <v>GRSPFT</v>
      </c>
      <c r="P2693" s="790" t="str">
        <f t="shared" si="187"/>
        <v>CURR</v>
      </c>
      <c r="R2693" s="30"/>
    </row>
    <row r="2694" spans="2:18">
      <c r="B2694" s="5" t="str">
        <f>Page5i_SANS_OBJECT!C$30</f>
        <v>NE PAS UTILISER</v>
      </c>
      <c r="C2694" s="1038" t="str">
        <f>OR_VEH!D429</f>
        <v>425-015</v>
      </c>
      <c r="D2694" s="803">
        <f>Page5i_SANS_OBJECT!I30</f>
        <v>0</v>
      </c>
      <c r="E2694" s="803">
        <f>Page5i_SANS_OBJECT!N30</f>
        <v>0</v>
      </c>
      <c r="F2694" t="str">
        <f t="shared" si="182"/>
        <v>01-00-425-015-GRSPFT-CURR</v>
      </c>
      <c r="G2694" t="s">
        <v>127</v>
      </c>
      <c r="H2694" t="s">
        <v>10287</v>
      </c>
      <c r="I2694" t="s">
        <v>10253</v>
      </c>
      <c r="J2694" t="s">
        <v>10268</v>
      </c>
      <c r="K2694" s="790" t="str">
        <f t="shared" si="183"/>
        <v>01</v>
      </c>
      <c r="L2694" s="789" t="str">
        <f t="shared" si="184"/>
        <v>00</v>
      </c>
      <c r="M2694" s="790" t="str">
        <f t="shared" si="185"/>
        <v>425</v>
      </c>
      <c r="N2694" s="790" t="str">
        <f t="shared" si="186"/>
        <v>015</v>
      </c>
      <c r="O2694" s="790" t="str">
        <f t="shared" si="188"/>
        <v>GRSPFT</v>
      </c>
      <c r="P2694" s="790" t="str">
        <f t="shared" si="187"/>
        <v>CURR</v>
      </c>
      <c r="R2694" s="30"/>
    </row>
    <row r="2695" spans="2:18">
      <c r="B2695" s="5" t="str">
        <f>Page5i_SANS_OBJECT!C$31</f>
        <v>NE PAS UTILISER</v>
      </c>
      <c r="C2695" s="1038" t="str">
        <f>OR_VEH!D430</f>
        <v>426-015</v>
      </c>
      <c r="D2695" s="803">
        <f>Page5i_SANS_OBJECT!I31</f>
        <v>0</v>
      </c>
      <c r="E2695" s="803">
        <f>Page5i_SANS_OBJECT!N31</f>
        <v>0</v>
      </c>
      <c r="F2695" t="str">
        <f t="shared" si="182"/>
        <v>01-00-426-015-GRSPFT-CURR</v>
      </c>
      <c r="G2695" t="s">
        <v>127</v>
      </c>
      <c r="H2695" t="s">
        <v>10287</v>
      </c>
      <c r="I2695" t="s">
        <v>10253</v>
      </c>
      <c r="J2695" t="s">
        <v>10268</v>
      </c>
      <c r="K2695" s="790" t="str">
        <f t="shared" si="183"/>
        <v>01</v>
      </c>
      <c r="L2695" s="789" t="str">
        <f t="shared" si="184"/>
        <v>00</v>
      </c>
      <c r="M2695" s="790" t="str">
        <f t="shared" si="185"/>
        <v>426</v>
      </c>
      <c r="N2695" s="790" t="str">
        <f t="shared" si="186"/>
        <v>015</v>
      </c>
      <c r="O2695" s="790" t="str">
        <f t="shared" si="188"/>
        <v>GRSPFT</v>
      </c>
      <c r="P2695" s="790" t="str">
        <f t="shared" si="187"/>
        <v>CURR</v>
      </c>
      <c r="R2695" s="30"/>
    </row>
    <row r="2696" spans="2:18">
      <c r="B2696" s="5" t="str">
        <f>Page5i_SANS_OBJECT!C$32</f>
        <v>NE PAS UTILISER</v>
      </c>
      <c r="C2696" s="1038" t="str">
        <f>OR_VEH!D431</f>
        <v>427-015</v>
      </c>
      <c r="D2696" s="803">
        <f>Page5i_SANS_OBJECT!I32</f>
        <v>0</v>
      </c>
      <c r="E2696" s="803">
        <f>Page5i_SANS_OBJECT!N32</f>
        <v>0</v>
      </c>
      <c r="F2696" t="str">
        <f t="shared" si="182"/>
        <v>01-00-427-015-GRSPFT-CURR</v>
      </c>
      <c r="G2696" t="s">
        <v>127</v>
      </c>
      <c r="H2696" t="s">
        <v>10287</v>
      </c>
      <c r="I2696" t="s">
        <v>10253</v>
      </c>
      <c r="J2696" t="s">
        <v>10268</v>
      </c>
      <c r="K2696" s="790" t="str">
        <f t="shared" si="183"/>
        <v>01</v>
      </c>
      <c r="L2696" s="789" t="str">
        <f t="shared" si="184"/>
        <v>00</v>
      </c>
      <c r="M2696" s="790" t="str">
        <f t="shared" si="185"/>
        <v>427</v>
      </c>
      <c r="N2696" s="790" t="str">
        <f t="shared" si="186"/>
        <v>015</v>
      </c>
      <c r="O2696" s="790" t="str">
        <f t="shared" si="188"/>
        <v>GRSPFT</v>
      </c>
      <c r="P2696" s="790" t="str">
        <f t="shared" si="187"/>
        <v>CURR</v>
      </c>
      <c r="R2696" s="30"/>
    </row>
    <row r="2697" spans="2:18">
      <c r="B2697" s="5" t="str">
        <f>Page5i_SANS_OBJECT!C$33</f>
        <v>NE PAS UTILISER</v>
      </c>
      <c r="C2697" s="1038" t="str">
        <f>OR_VEH!D432</f>
        <v>428-015</v>
      </c>
      <c r="D2697" s="803">
        <f>Page5i_SANS_OBJECT!I33</f>
        <v>0</v>
      </c>
      <c r="E2697" s="803">
        <f>Page5i_SANS_OBJECT!N33</f>
        <v>0</v>
      </c>
      <c r="F2697" t="str">
        <f t="shared" si="182"/>
        <v>01-00-428-015-GRSPFT-CURR</v>
      </c>
      <c r="G2697" t="s">
        <v>127</v>
      </c>
      <c r="H2697" t="s">
        <v>10287</v>
      </c>
      <c r="I2697" t="s">
        <v>10253</v>
      </c>
      <c r="J2697" t="s">
        <v>10268</v>
      </c>
      <c r="K2697" s="790" t="str">
        <f t="shared" si="183"/>
        <v>01</v>
      </c>
      <c r="L2697" s="789" t="str">
        <f t="shared" si="184"/>
        <v>00</v>
      </c>
      <c r="M2697" s="790" t="str">
        <f t="shared" si="185"/>
        <v>428</v>
      </c>
      <c r="N2697" s="790" t="str">
        <f t="shared" si="186"/>
        <v>015</v>
      </c>
      <c r="O2697" s="790" t="str">
        <f t="shared" si="188"/>
        <v>GRSPFT</v>
      </c>
      <c r="P2697" s="790" t="str">
        <f t="shared" si="187"/>
        <v>CURR</v>
      </c>
      <c r="R2697" s="30"/>
    </row>
    <row r="2698" spans="2:18">
      <c r="B2698" s="5" t="str">
        <f>Page5i_SANS_OBJECT!C$34</f>
        <v>NE PAS UTILISER</v>
      </c>
      <c r="C2698" s="1038" t="str">
        <f>OR_VEH!D433</f>
        <v>429-015</v>
      </c>
      <c r="D2698" s="803">
        <f>Page5i_SANS_OBJECT!I34</f>
        <v>0</v>
      </c>
      <c r="E2698" s="803">
        <f>Page5i_SANS_OBJECT!N34</f>
        <v>0</v>
      </c>
      <c r="F2698" t="str">
        <f t="shared" si="182"/>
        <v>01-00-429-015-GRSPFT-CURR</v>
      </c>
      <c r="G2698" t="s">
        <v>127</v>
      </c>
      <c r="H2698" t="s">
        <v>10287</v>
      </c>
      <c r="I2698" t="s">
        <v>10253</v>
      </c>
      <c r="J2698" t="s">
        <v>10268</v>
      </c>
      <c r="K2698" s="790" t="str">
        <f t="shared" si="183"/>
        <v>01</v>
      </c>
      <c r="L2698" s="789" t="str">
        <f t="shared" si="184"/>
        <v>00</v>
      </c>
      <c r="M2698" s="790" t="str">
        <f t="shared" si="185"/>
        <v>429</v>
      </c>
      <c r="N2698" s="790" t="str">
        <f t="shared" si="186"/>
        <v>015</v>
      </c>
      <c r="O2698" s="790" t="str">
        <f t="shared" si="188"/>
        <v>GRSPFT</v>
      </c>
      <c r="P2698" s="790" t="str">
        <f t="shared" si="187"/>
        <v>CURR</v>
      </c>
      <c r="R2698" s="30"/>
    </row>
    <row r="2699" spans="2:18">
      <c r="B2699" s="5" t="str">
        <f>Page5i_SANS_OBJECT!C$35</f>
        <v>NE PAS UTILISER</v>
      </c>
      <c r="C2699" s="1038" t="str">
        <f>OR_VEH!D434</f>
        <v>430-015</v>
      </c>
      <c r="D2699" s="803">
        <f>Page5i_SANS_OBJECT!I35</f>
        <v>0</v>
      </c>
      <c r="E2699" s="803">
        <f>Page5i_SANS_OBJECT!N35</f>
        <v>0</v>
      </c>
      <c r="F2699" t="str">
        <f t="shared" si="182"/>
        <v>01-00-430-015-GRSPFT-CURR</v>
      </c>
      <c r="G2699" t="s">
        <v>127</v>
      </c>
      <c r="H2699" t="s">
        <v>10287</v>
      </c>
      <c r="I2699" t="s">
        <v>10253</v>
      </c>
      <c r="J2699" t="s">
        <v>10268</v>
      </c>
      <c r="K2699" s="790" t="str">
        <f t="shared" si="183"/>
        <v>01</v>
      </c>
      <c r="L2699" s="789" t="str">
        <f t="shared" si="184"/>
        <v>00</v>
      </c>
      <c r="M2699" s="790" t="str">
        <f t="shared" si="185"/>
        <v>430</v>
      </c>
      <c r="N2699" s="790" t="str">
        <f t="shared" si="186"/>
        <v>015</v>
      </c>
      <c r="O2699" s="790" t="str">
        <f t="shared" si="188"/>
        <v>GRSPFT</v>
      </c>
      <c r="P2699" s="790" t="str">
        <f t="shared" si="187"/>
        <v>CURR</v>
      </c>
      <c r="R2699" s="30"/>
    </row>
    <row r="2700" spans="2:18">
      <c r="B2700" s="5" t="str">
        <f>Page5i_SANS_OBJECT!C$36</f>
        <v>NE PAS UTILISER</v>
      </c>
      <c r="C2700" s="1038" t="str">
        <f>OR_VEH!D435</f>
        <v>431-015</v>
      </c>
      <c r="D2700" s="803">
        <f>Page5i_SANS_OBJECT!I36</f>
        <v>0</v>
      </c>
      <c r="E2700" s="803">
        <f>Page5i_SANS_OBJECT!N36</f>
        <v>0</v>
      </c>
      <c r="F2700" t="str">
        <f t="shared" si="182"/>
        <v>01-00-431-015-GRSPFT-CURR</v>
      </c>
      <c r="G2700" t="s">
        <v>127</v>
      </c>
      <c r="H2700" t="s">
        <v>10287</v>
      </c>
      <c r="I2700" t="s">
        <v>10253</v>
      </c>
      <c r="J2700" t="s">
        <v>10268</v>
      </c>
      <c r="K2700" s="790" t="str">
        <f t="shared" si="183"/>
        <v>01</v>
      </c>
      <c r="L2700" s="789" t="str">
        <f t="shared" si="184"/>
        <v>00</v>
      </c>
      <c r="M2700" s="790" t="str">
        <f t="shared" si="185"/>
        <v>431</v>
      </c>
      <c r="N2700" s="790" t="str">
        <f t="shared" si="186"/>
        <v>015</v>
      </c>
      <c r="O2700" s="790" t="str">
        <f t="shared" si="188"/>
        <v>GRSPFT</v>
      </c>
      <c r="P2700" s="790" t="str">
        <f t="shared" si="187"/>
        <v>CURR</v>
      </c>
      <c r="R2700" s="30"/>
    </row>
    <row r="2701" spans="2:18">
      <c r="B2701" s="5" t="str">
        <f>Page5i_SANS_OBJECT!C$37</f>
        <v>NE PAS UTILISER</v>
      </c>
      <c r="C2701" s="1038" t="str">
        <f>OR_VEH!D436</f>
        <v>432-015</v>
      </c>
      <c r="D2701" s="803">
        <f>Page5i_SANS_OBJECT!I37</f>
        <v>0</v>
      </c>
      <c r="E2701" s="803">
        <f>Page5i_SANS_OBJECT!N37</f>
        <v>0</v>
      </c>
      <c r="F2701" t="str">
        <f t="shared" si="182"/>
        <v>01-00-432-015-GRSPFT-CURR</v>
      </c>
      <c r="G2701" t="s">
        <v>127</v>
      </c>
      <c r="H2701" t="s">
        <v>10287</v>
      </c>
      <c r="I2701" t="s">
        <v>10253</v>
      </c>
      <c r="J2701" t="s">
        <v>10268</v>
      </c>
      <c r="K2701" s="790" t="str">
        <f t="shared" si="183"/>
        <v>01</v>
      </c>
      <c r="L2701" s="789" t="str">
        <f t="shared" si="184"/>
        <v>00</v>
      </c>
      <c r="M2701" s="790" t="str">
        <f t="shared" si="185"/>
        <v>432</v>
      </c>
      <c r="N2701" s="790" t="str">
        <f t="shared" si="186"/>
        <v>015</v>
      </c>
      <c r="O2701" s="790" t="str">
        <f t="shared" si="188"/>
        <v>GRSPFT</v>
      </c>
      <c r="P2701" s="790" t="str">
        <f t="shared" si="187"/>
        <v>CURR</v>
      </c>
      <c r="R2701" s="30"/>
    </row>
    <row r="2702" spans="2:18">
      <c r="B2702" s="5" t="str">
        <f>Page5i_SANS_OBJECT!C$38</f>
        <v>NE PAS UTILISER</v>
      </c>
      <c r="C2702" s="1038" t="str">
        <f>OR_VEH!D437</f>
        <v>433-015</v>
      </c>
      <c r="D2702" s="803">
        <f>Page5i_SANS_OBJECT!I38</f>
        <v>0</v>
      </c>
      <c r="E2702" s="803">
        <f>Page5i_SANS_OBJECT!N38</f>
        <v>0</v>
      </c>
      <c r="F2702" t="str">
        <f t="shared" si="182"/>
        <v>01-00-433-015-GRSPFT-CURR</v>
      </c>
      <c r="G2702" t="s">
        <v>127</v>
      </c>
      <c r="H2702" t="s">
        <v>10287</v>
      </c>
      <c r="I2702" t="s">
        <v>10253</v>
      </c>
      <c r="J2702" t="s">
        <v>10268</v>
      </c>
      <c r="K2702" s="790" t="str">
        <f t="shared" si="183"/>
        <v>01</v>
      </c>
      <c r="L2702" s="789" t="str">
        <f t="shared" si="184"/>
        <v>00</v>
      </c>
      <c r="M2702" s="790" t="str">
        <f t="shared" si="185"/>
        <v>433</v>
      </c>
      <c r="N2702" s="790" t="str">
        <f t="shared" si="186"/>
        <v>015</v>
      </c>
      <c r="O2702" s="790" t="str">
        <f t="shared" si="188"/>
        <v>GRSPFT</v>
      </c>
      <c r="P2702" s="790" t="str">
        <f t="shared" si="187"/>
        <v>CURR</v>
      </c>
      <c r="R2702" s="30"/>
    </row>
    <row r="2703" spans="2:18">
      <c r="B2703" s="5" t="str">
        <f>Page5i_SANS_OBJECT!C$39</f>
        <v>NE PAS UTILISER</v>
      </c>
      <c r="C2703" s="1038" t="str">
        <f>OR_VEH!D438</f>
        <v>434-015</v>
      </c>
      <c r="D2703" s="803">
        <f>Page5i_SANS_OBJECT!I39</f>
        <v>0</v>
      </c>
      <c r="E2703" s="803">
        <f>Page5i_SANS_OBJECT!N39</f>
        <v>0</v>
      </c>
      <c r="F2703" t="str">
        <f t="shared" si="182"/>
        <v>01-00-434-015-GRSPFT-CURR</v>
      </c>
      <c r="G2703" t="s">
        <v>127</v>
      </c>
      <c r="H2703" t="s">
        <v>10287</v>
      </c>
      <c r="I2703" t="s">
        <v>10253</v>
      </c>
      <c r="J2703" t="s">
        <v>10268</v>
      </c>
      <c r="K2703" s="790" t="str">
        <f t="shared" si="183"/>
        <v>01</v>
      </c>
      <c r="L2703" s="789" t="str">
        <f t="shared" si="184"/>
        <v>00</v>
      </c>
      <c r="M2703" s="790" t="str">
        <f t="shared" si="185"/>
        <v>434</v>
      </c>
      <c r="N2703" s="790" t="str">
        <f t="shared" si="186"/>
        <v>015</v>
      </c>
      <c r="O2703" s="790" t="str">
        <f t="shared" si="188"/>
        <v>GRSPFT</v>
      </c>
      <c r="P2703" s="790" t="str">
        <f t="shared" si="187"/>
        <v>CURR</v>
      </c>
      <c r="R2703" s="30"/>
    </row>
    <row r="2704" spans="2:18">
      <c r="B2704" s="5" t="str">
        <f>Page5i_SANS_OBJECT!C$40</f>
        <v>NE PAS UTILISER</v>
      </c>
      <c r="C2704" s="1038" t="str">
        <f>OR_VEH!D439</f>
        <v>435-015</v>
      </c>
      <c r="D2704" s="803">
        <f>Page5i_SANS_OBJECT!I40</f>
        <v>0</v>
      </c>
      <c r="E2704" s="803">
        <f>Page5i_SANS_OBJECT!N40</f>
        <v>0</v>
      </c>
      <c r="F2704" t="str">
        <f t="shared" si="182"/>
        <v>01-00-435-015-GRSPFT-CURR</v>
      </c>
      <c r="G2704" t="s">
        <v>127</v>
      </c>
      <c r="H2704" t="s">
        <v>10287</v>
      </c>
      <c r="I2704" t="s">
        <v>10253</v>
      </c>
      <c r="J2704" t="s">
        <v>10268</v>
      </c>
      <c r="K2704" s="790" t="str">
        <f t="shared" si="183"/>
        <v>01</v>
      </c>
      <c r="L2704" s="789" t="str">
        <f t="shared" si="184"/>
        <v>00</v>
      </c>
      <c r="M2704" s="790" t="str">
        <f t="shared" si="185"/>
        <v>435</v>
      </c>
      <c r="N2704" s="790" t="str">
        <f t="shared" si="186"/>
        <v>015</v>
      </c>
      <c r="O2704" s="790" t="str">
        <f t="shared" si="188"/>
        <v>GRSPFT</v>
      </c>
      <c r="P2704" s="790" t="str">
        <f t="shared" si="187"/>
        <v>CURR</v>
      </c>
      <c r="R2704" s="30"/>
    </row>
    <row r="2705" spans="1:18">
      <c r="B2705" s="5" t="str">
        <f>Page5i_SANS_OBJECT!C$41</f>
        <v>NE PAS UTILISER</v>
      </c>
      <c r="C2705" s="1038" t="str">
        <f>OR_VEH!D440</f>
        <v>436-015</v>
      </c>
      <c r="D2705" s="803">
        <f>Page5i_SANS_OBJECT!I41</f>
        <v>0</v>
      </c>
      <c r="E2705" s="803">
        <f>Page5i_SANS_OBJECT!N41</f>
        <v>0</v>
      </c>
      <c r="F2705" t="str">
        <f t="shared" si="182"/>
        <v>01-00-436-015-GRSPFT-CURR</v>
      </c>
      <c r="G2705" t="s">
        <v>127</v>
      </c>
      <c r="H2705" t="s">
        <v>10287</v>
      </c>
      <c r="I2705" t="s">
        <v>10253</v>
      </c>
      <c r="J2705" t="s">
        <v>10268</v>
      </c>
      <c r="K2705" s="790" t="str">
        <f t="shared" si="183"/>
        <v>01</v>
      </c>
      <c r="L2705" s="789" t="str">
        <f t="shared" si="184"/>
        <v>00</v>
      </c>
      <c r="M2705" s="790" t="str">
        <f t="shared" si="185"/>
        <v>436</v>
      </c>
      <c r="N2705" s="790" t="str">
        <f t="shared" si="186"/>
        <v>015</v>
      </c>
      <c r="O2705" s="790" t="str">
        <f t="shared" si="188"/>
        <v>GRSPFT</v>
      </c>
      <c r="P2705" s="790" t="str">
        <f t="shared" si="187"/>
        <v>CURR</v>
      </c>
      <c r="R2705" s="30"/>
    </row>
    <row r="2706" spans="1:18">
      <c r="B2706" s="5" t="str">
        <f>Page5i_SANS_OBJECT!C$42</f>
        <v>POUR USAGE FUTUR</v>
      </c>
      <c r="C2706" s="1038" t="str">
        <f>OR_VEH!D441</f>
        <v>437-015</v>
      </c>
      <c r="D2706" s="803">
        <f>Page5i_SANS_OBJECT!I42</f>
        <v>0</v>
      </c>
      <c r="E2706" s="803">
        <f>Page5i_SANS_OBJECT!N42</f>
        <v>0</v>
      </c>
      <c r="F2706" t="str">
        <f t="shared" si="182"/>
        <v>01-00-437-015-GRSPFT-CURR</v>
      </c>
      <c r="G2706" t="s">
        <v>127</v>
      </c>
      <c r="H2706" t="s">
        <v>10287</v>
      </c>
      <c r="I2706" t="s">
        <v>10253</v>
      </c>
      <c r="J2706" t="s">
        <v>10268</v>
      </c>
      <c r="K2706" s="790" t="str">
        <f t="shared" si="183"/>
        <v>01</v>
      </c>
      <c r="L2706" s="789" t="str">
        <f t="shared" si="184"/>
        <v>00</v>
      </c>
      <c r="M2706" s="790" t="str">
        <f t="shared" si="185"/>
        <v>437</v>
      </c>
      <c r="N2706" s="790" t="str">
        <f t="shared" si="186"/>
        <v>015</v>
      </c>
      <c r="O2706" s="790" t="str">
        <f t="shared" si="188"/>
        <v>GRSPFT</v>
      </c>
      <c r="P2706" s="790" t="str">
        <f t="shared" si="187"/>
        <v>CURR</v>
      </c>
      <c r="R2706" s="30"/>
    </row>
    <row r="2707" spans="1:18">
      <c r="B2707" s="5" t="str">
        <f>Page5i_SANS_OBJECT!C$43</f>
        <v>AUTRES POIDS MOYEN</v>
      </c>
      <c r="C2707" s="1038" t="str">
        <f>OR_VEH!D442</f>
        <v>438-015</v>
      </c>
      <c r="D2707" s="803">
        <f>Page5i_SANS_OBJECT!I43</f>
        <v>0</v>
      </c>
      <c r="E2707" s="803">
        <f>Page5i_SANS_OBJECT!N43</f>
        <v>0</v>
      </c>
      <c r="F2707" t="str">
        <f t="shared" si="182"/>
        <v>01-00-438-015-GRSPFT-CURR</v>
      </c>
      <c r="G2707" t="s">
        <v>127</v>
      </c>
      <c r="H2707" t="s">
        <v>10287</v>
      </c>
      <c r="I2707" t="s">
        <v>10253</v>
      </c>
      <c r="J2707" t="s">
        <v>10268</v>
      </c>
      <c r="K2707" s="790" t="str">
        <f t="shared" si="183"/>
        <v>01</v>
      </c>
      <c r="L2707" s="789" t="str">
        <f t="shared" si="184"/>
        <v>00</v>
      </c>
      <c r="M2707" s="790" t="str">
        <f t="shared" si="185"/>
        <v>438</v>
      </c>
      <c r="N2707" s="790" t="str">
        <f t="shared" si="186"/>
        <v>015</v>
      </c>
      <c r="O2707" s="790" t="str">
        <f t="shared" si="188"/>
        <v>GRSPFT</v>
      </c>
      <c r="P2707" s="790" t="str">
        <f t="shared" si="187"/>
        <v>CURR</v>
      </c>
      <c r="R2707" s="30"/>
    </row>
    <row r="2708" spans="1:18">
      <c r="B2708" s="51" t="s">
        <v>12212</v>
      </c>
      <c r="C2708" s="1042"/>
      <c r="D2708" s="803">
        <f>Page5i_SANS_OBJECT!I44</f>
        <v>0</v>
      </c>
      <c r="E2708" s="803">
        <f>Page5i_SANS_OBJECT!N44</f>
        <v>0</v>
      </c>
      <c r="F2708" t="str">
        <f t="shared" si="181"/>
        <v>01-00-RTLTRK5I-GRSPFT-CURR</v>
      </c>
      <c r="G2708" t="s">
        <v>127</v>
      </c>
      <c r="H2708" t="s">
        <v>10287</v>
      </c>
      <c r="I2708" t="s">
        <v>10253</v>
      </c>
      <c r="J2708" t="s">
        <v>10268</v>
      </c>
      <c r="K2708" s="1073" t="s">
        <v>10288</v>
      </c>
      <c r="L2708" s="789" t="s">
        <v>10241</v>
      </c>
      <c r="M2708" s="790" t="s">
        <v>10382</v>
      </c>
      <c r="O2708" s="790" t="s">
        <v>10467</v>
      </c>
      <c r="P2708" s="790" t="s">
        <v>10244</v>
      </c>
      <c r="Q2708" s="791" t="s">
        <v>773</v>
      </c>
    </row>
    <row r="2709" spans="1:18">
      <c r="B2709" s="5" t="str">
        <f>Page5i_SANS_OBJECT!C$45</f>
        <v>MÉMO* VENTES INTERNET CAMIONS</v>
      </c>
      <c r="C2709" s="1038" t="str">
        <f>OR_VEH!D444</f>
        <v>439P5I</v>
      </c>
      <c r="D2709" s="803">
        <f>Page5i_SANS_OBJECT!I45</f>
        <v>0</v>
      </c>
      <c r="E2709" s="803">
        <f>Page5i_SANS_OBJECT!N45</f>
        <v>0</v>
      </c>
      <c r="F2709" t="str">
        <f t="shared" si="181"/>
        <v>01-00-439P5I-GRSPFT-CURR</v>
      </c>
      <c r="G2709" t="s">
        <v>127</v>
      </c>
      <c r="H2709" t="s">
        <v>10287</v>
      </c>
      <c r="I2709" t="s">
        <v>10253</v>
      </c>
      <c r="K2709" s="1073" t="s">
        <v>10288</v>
      </c>
      <c r="L2709" s="789" t="s">
        <v>10241</v>
      </c>
      <c r="M2709" s="855" t="str">
        <f>C2709</f>
        <v>439P5I</v>
      </c>
      <c r="N2709" s="855"/>
      <c r="O2709" s="790" t="s">
        <v>10467</v>
      </c>
      <c r="P2709" s="790" t="s">
        <v>10244</v>
      </c>
      <c r="R2709" s="30"/>
    </row>
    <row r="2710" spans="1:18">
      <c r="B2710" s="5" t="str">
        <f>Page5i_SANS_OBJECT!C$46</f>
        <v>TOTAL PARCS - CAMIONS</v>
      </c>
      <c r="C2710" s="1038" t="str">
        <f>OR_VEH!D445</f>
        <v>440P5I</v>
      </c>
      <c r="D2710" s="803">
        <f>Page5i_SANS_OBJECT!I46</f>
        <v>0</v>
      </c>
      <c r="E2710" s="803">
        <f>Page5i_SANS_OBJECT!N46</f>
        <v>0</v>
      </c>
      <c r="F2710" t="str">
        <f t="shared" si="181"/>
        <v>01-00-440P5I-GRSPFT-CURR</v>
      </c>
      <c r="G2710" t="s">
        <v>127</v>
      </c>
      <c r="H2710" t="s">
        <v>10287</v>
      </c>
      <c r="I2710" t="s">
        <v>10253</v>
      </c>
      <c r="K2710" s="1073" t="s">
        <v>10288</v>
      </c>
      <c r="L2710" s="789" t="s">
        <v>10241</v>
      </c>
      <c r="M2710" s="855" t="str">
        <f>C2710</f>
        <v>440P5I</v>
      </c>
      <c r="N2710" s="855"/>
      <c r="O2710" s="790" t="s">
        <v>10467</v>
      </c>
      <c r="P2710" s="790" t="s">
        <v>10244</v>
      </c>
      <c r="R2710" s="30"/>
    </row>
    <row r="2711" spans="1:18">
      <c r="B2711" s="5" t="str">
        <f>Page5i_SANS_OBJECT!C$47</f>
        <v xml:space="preserve">TOTAL IINTERNE - CAMIONS </v>
      </c>
      <c r="C2711" s="1038" t="str">
        <f>OR_VEH!D446</f>
        <v>441P5I</v>
      </c>
      <c r="D2711" s="803">
        <f>Page5i_SANS_OBJECT!I47</f>
        <v>0</v>
      </c>
      <c r="E2711" s="803">
        <f>Page5i_SANS_OBJECT!N47</f>
        <v>0</v>
      </c>
      <c r="F2711" t="str">
        <f t="shared" si="181"/>
        <v>01-00-441P5I-GRSPFT-CURR</v>
      </c>
      <c r="G2711" t="s">
        <v>127</v>
      </c>
      <c r="H2711" t="s">
        <v>10287</v>
      </c>
      <c r="I2711" t="s">
        <v>10253</v>
      </c>
      <c r="K2711" s="1073" t="s">
        <v>10288</v>
      </c>
      <c r="L2711" s="789" t="s">
        <v>10241</v>
      </c>
      <c r="M2711" s="855" t="str">
        <f>C2711</f>
        <v>441P5I</v>
      </c>
      <c r="N2711" s="855"/>
      <c r="O2711" s="790" t="s">
        <v>10467</v>
      </c>
      <c r="P2711" s="790" t="s">
        <v>10244</v>
      </c>
      <c r="R2711" s="30"/>
    </row>
    <row r="2712" spans="1:18">
      <c r="B2712" s="27" t="s">
        <v>12213</v>
      </c>
      <c r="C2712" s="1042"/>
      <c r="D2712" s="803">
        <f>Page5i_SANS_OBJECT!I48</f>
        <v>0</v>
      </c>
      <c r="E2712" s="803">
        <f>Page5i_SANS_OBJECT!N48</f>
        <v>0</v>
      </c>
      <c r="F2712" t="str">
        <f t="shared" si="181"/>
        <v>01-00-TOTTRK5I-GRSPFT-CURR</v>
      </c>
      <c r="G2712" t="s">
        <v>127</v>
      </c>
      <c r="H2712" t="s">
        <v>10287</v>
      </c>
      <c r="I2712" t="s">
        <v>10253</v>
      </c>
      <c r="J2712" t="s">
        <v>10268</v>
      </c>
      <c r="K2712" s="1073" t="s">
        <v>10288</v>
      </c>
      <c r="L2712" s="789" t="s">
        <v>10241</v>
      </c>
      <c r="M2712" s="790" t="s">
        <v>10384</v>
      </c>
      <c r="O2712" s="790" t="s">
        <v>10467</v>
      </c>
      <c r="P2712" s="790" t="s">
        <v>10244</v>
      </c>
      <c r="Q2712" s="791" t="s">
        <v>773</v>
      </c>
    </row>
    <row r="2713" spans="1:18">
      <c r="B2713" s="5" t="str">
        <f>Page5i_SANS_OBJECT!C50</f>
        <v>ACCESSOIRES</v>
      </c>
      <c r="C2713" s="1038" t="str">
        <f>OR_VEH!D449</f>
        <v>457P5I</v>
      </c>
      <c r="D2713" s="803">
        <f>Page5i_SANS_OBJECT!I50</f>
        <v>0</v>
      </c>
      <c r="E2713" s="803">
        <f>Page5i_SANS_OBJECT!N50</f>
        <v>0</v>
      </c>
      <c r="F2713" t="str">
        <f t="shared" si="181"/>
        <v>01-00-457P5I-GRSPFT-CURR</v>
      </c>
      <c r="G2713" t="s">
        <v>127</v>
      </c>
      <c r="H2713" t="s">
        <v>10287</v>
      </c>
      <c r="I2713" t="s">
        <v>10253</v>
      </c>
      <c r="K2713" s="1073" t="s">
        <v>10288</v>
      </c>
      <c r="L2713" s="789" t="s">
        <v>10241</v>
      </c>
      <c r="M2713" s="855" t="str">
        <f>C2713</f>
        <v>457P5I</v>
      </c>
      <c r="N2713" s="855"/>
      <c r="O2713" s="790" t="s">
        <v>10467</v>
      </c>
      <c r="P2713" s="790" t="s">
        <v>10244</v>
      </c>
      <c r="R2713" s="30"/>
    </row>
    <row r="2714" spans="1:18">
      <c r="B2714" s="27" t="s">
        <v>12214</v>
      </c>
      <c r="C2714" s="1042"/>
      <c r="D2714" s="803">
        <f>Page5i_SANS_OBJECT!I51</f>
        <v>0</v>
      </c>
      <c r="E2714" s="803">
        <f>Page5i_SANS_OBJECT!N51</f>
        <v>0</v>
      </c>
      <c r="F2714" t="str">
        <f t="shared" si="181"/>
        <v>01-00-TOTVEH5I-GRSPFT-CURR</v>
      </c>
      <c r="G2714" t="s">
        <v>127</v>
      </c>
      <c r="H2714" t="s">
        <v>10287</v>
      </c>
      <c r="I2714" t="s">
        <v>10253</v>
      </c>
      <c r="J2714" t="s">
        <v>10268</v>
      </c>
      <c r="K2714" s="1073" t="s">
        <v>10288</v>
      </c>
      <c r="L2714" s="789" t="s">
        <v>10241</v>
      </c>
      <c r="M2714" s="790" t="s">
        <v>10386</v>
      </c>
      <c r="O2714" s="790" t="s">
        <v>10467</v>
      </c>
      <c r="P2714" s="790" t="s">
        <v>10244</v>
      </c>
      <c r="Q2714" s="791" t="s">
        <v>773</v>
      </c>
    </row>
    <row r="2715" spans="1:18">
      <c r="A2715" s="805" t="s">
        <v>10387</v>
      </c>
      <c r="B2715" s="5" t="str">
        <f>Page5j_SANS_OBJECT!C$4</f>
        <v>NE PAS UTILISER</v>
      </c>
      <c r="C2715" s="1038" t="str">
        <f>OR_VEH!D453</f>
        <v>400-099</v>
      </c>
      <c r="D2715" s="803">
        <f>Page5j_SANS_OBJECT!G$4</f>
        <v>0</v>
      </c>
      <c r="E2715" s="803">
        <f>Page5j_SANS_OBJECT!L$4</f>
        <v>0</v>
      </c>
      <c r="F2715" t="str">
        <f t="shared" si="181"/>
        <v>01-00-400-099-SALES-CURR</v>
      </c>
      <c r="G2715" t="s">
        <v>127</v>
      </c>
      <c r="H2715" t="s">
        <v>10287</v>
      </c>
      <c r="I2715" t="s">
        <v>10253</v>
      </c>
      <c r="K2715" s="1073" t="s">
        <v>10288</v>
      </c>
      <c r="L2715" s="789" t="s">
        <v>10241</v>
      </c>
      <c r="M2715" s="790" t="str">
        <f>LEFT(C2715,3)</f>
        <v>400</v>
      </c>
      <c r="N2715" s="790" t="str">
        <f>RIGHT(C2715,3)</f>
        <v>099</v>
      </c>
      <c r="O2715" s="799" t="s">
        <v>9883</v>
      </c>
      <c r="P2715" s="799" t="s">
        <v>10244</v>
      </c>
      <c r="R2715" s="30"/>
    </row>
    <row r="2716" spans="1:18">
      <c r="B2716" s="5" t="str">
        <f>Page5j_SANS_OBJECT!C$5</f>
        <v>NE PAS UTILISER</v>
      </c>
      <c r="C2716" s="1038" t="str">
        <f>OR_VEH!D454</f>
        <v>401-099</v>
      </c>
      <c r="D2716" s="803">
        <f>Page5j_SANS_OBJECT!G$5</f>
        <v>0</v>
      </c>
      <c r="E2716" s="803">
        <f>Page5j_SANS_OBJECT!L$5</f>
        <v>0</v>
      </c>
      <c r="F2716" t="str">
        <f t="shared" si="181"/>
        <v>01-00-401-099-SALES-CURR</v>
      </c>
      <c r="G2716" t="s">
        <v>127</v>
      </c>
      <c r="H2716" t="s">
        <v>10287</v>
      </c>
      <c r="I2716" t="s">
        <v>10253</v>
      </c>
      <c r="K2716" s="1073" t="s">
        <v>10288</v>
      </c>
      <c r="L2716" s="789" t="s">
        <v>10241</v>
      </c>
      <c r="M2716" s="790" t="str">
        <f t="shared" ref="M2716:M2733" si="189">LEFT(C2716,3)</f>
        <v>401</v>
      </c>
      <c r="N2716" s="790" t="str">
        <f t="shared" ref="N2716:N2733" si="190">RIGHT(C2716,3)</f>
        <v>099</v>
      </c>
      <c r="O2716" s="799" t="s">
        <v>9883</v>
      </c>
      <c r="P2716" s="799" t="s">
        <v>10244</v>
      </c>
      <c r="R2716" s="30"/>
    </row>
    <row r="2717" spans="1:18">
      <c r="B2717" s="5" t="str">
        <f>Page5j_SANS_OBJECT!C$6</f>
        <v>NE PAS UTILISER</v>
      </c>
      <c r="C2717" s="1038" t="str">
        <f>OR_VEH!D455</f>
        <v>402-099</v>
      </c>
      <c r="D2717" s="803">
        <f>Page5j_SANS_OBJECT!G$6</f>
        <v>0</v>
      </c>
      <c r="E2717" s="803">
        <f>Page5j_SANS_OBJECT!L$6</f>
        <v>0</v>
      </c>
      <c r="F2717" t="str">
        <f t="shared" si="181"/>
        <v>01-00-402-099-SALES-CURR</v>
      </c>
      <c r="G2717" t="s">
        <v>127</v>
      </c>
      <c r="H2717" t="s">
        <v>10287</v>
      </c>
      <c r="I2717" t="s">
        <v>10253</v>
      </c>
      <c r="K2717" s="1073" t="s">
        <v>10288</v>
      </c>
      <c r="L2717" s="789" t="s">
        <v>10241</v>
      </c>
      <c r="M2717" s="790" t="str">
        <f t="shared" si="189"/>
        <v>402</v>
      </c>
      <c r="N2717" s="790" t="str">
        <f t="shared" si="190"/>
        <v>099</v>
      </c>
      <c r="O2717" s="799" t="s">
        <v>9883</v>
      </c>
      <c r="P2717" s="799" t="s">
        <v>10244</v>
      </c>
      <c r="R2717" s="30"/>
    </row>
    <row r="2718" spans="1:18">
      <c r="B2718" s="5" t="str">
        <f>Page5j_SANS_OBJECT!C$7</f>
        <v>NE PAS UTILISER</v>
      </c>
      <c r="C2718" s="1038" t="str">
        <f>OR_VEH!D456</f>
        <v>403-099</v>
      </c>
      <c r="D2718" s="803">
        <f>Page5j_SANS_OBJECT!G$7</f>
        <v>0</v>
      </c>
      <c r="E2718" s="803">
        <f>Page5j_SANS_OBJECT!L$7</f>
        <v>0</v>
      </c>
      <c r="F2718" t="str">
        <f t="shared" si="181"/>
        <v>01-00-403-099-SALES-CURR</v>
      </c>
      <c r="G2718" t="s">
        <v>127</v>
      </c>
      <c r="H2718" t="s">
        <v>10287</v>
      </c>
      <c r="I2718" t="s">
        <v>10253</v>
      </c>
      <c r="K2718" s="1073" t="s">
        <v>10288</v>
      </c>
      <c r="L2718" s="789" t="s">
        <v>10241</v>
      </c>
      <c r="M2718" s="790" t="str">
        <f t="shared" si="189"/>
        <v>403</v>
      </c>
      <c r="N2718" s="790" t="str">
        <f t="shared" si="190"/>
        <v>099</v>
      </c>
      <c r="O2718" s="790" t="s">
        <v>9883</v>
      </c>
      <c r="P2718" s="790" t="s">
        <v>10244</v>
      </c>
      <c r="R2718" s="30"/>
    </row>
    <row r="2719" spans="1:18">
      <c r="B2719" s="5" t="str">
        <f>Page5j_SANS_OBJECT!C$8</f>
        <v>NE PAS UTILISER</v>
      </c>
      <c r="C2719" s="1038" t="str">
        <f>OR_VEH!D457</f>
        <v>404-099</v>
      </c>
      <c r="D2719" s="803">
        <f>Page5j_SANS_OBJECT!G$8</f>
        <v>0</v>
      </c>
      <c r="E2719" s="803">
        <f>Page5j_SANS_OBJECT!L$8</f>
        <v>0</v>
      </c>
      <c r="F2719" t="str">
        <f t="shared" si="181"/>
        <v>01-00-404-099-SALES-CURR</v>
      </c>
      <c r="G2719" t="s">
        <v>127</v>
      </c>
      <c r="H2719" t="s">
        <v>10287</v>
      </c>
      <c r="I2719" t="s">
        <v>10253</v>
      </c>
      <c r="K2719" s="1073" t="s">
        <v>10288</v>
      </c>
      <c r="L2719" s="789" t="s">
        <v>10241</v>
      </c>
      <c r="M2719" s="790" t="str">
        <f t="shared" si="189"/>
        <v>404</v>
      </c>
      <c r="N2719" s="790" t="str">
        <f t="shared" si="190"/>
        <v>099</v>
      </c>
      <c r="O2719" s="790" t="s">
        <v>9883</v>
      </c>
      <c r="P2719" s="790" t="s">
        <v>10244</v>
      </c>
      <c r="R2719" s="30"/>
    </row>
    <row r="2720" spans="1:18">
      <c r="B2720" s="5" t="str">
        <f>Page5j_SANS_OBJECT!C$9</f>
        <v>NE PAS UTILISER</v>
      </c>
      <c r="C2720" s="1038" t="str">
        <f>OR_VEH!D458</f>
        <v>405-099</v>
      </c>
      <c r="D2720" s="803">
        <f>Page5j_SANS_OBJECT!G$9</f>
        <v>0</v>
      </c>
      <c r="E2720" s="803">
        <f>Page5j_SANS_OBJECT!L$9</f>
        <v>0</v>
      </c>
      <c r="F2720" t="str">
        <f t="shared" si="181"/>
        <v>01-00-405-099-SALES-CURR</v>
      </c>
      <c r="G2720" t="s">
        <v>127</v>
      </c>
      <c r="H2720" t="s">
        <v>10287</v>
      </c>
      <c r="I2720" t="s">
        <v>10253</v>
      </c>
      <c r="K2720" s="1073" t="s">
        <v>10288</v>
      </c>
      <c r="L2720" s="789" t="s">
        <v>10241</v>
      </c>
      <c r="M2720" s="790" t="str">
        <f t="shared" si="189"/>
        <v>405</v>
      </c>
      <c r="N2720" s="790" t="str">
        <f t="shared" si="190"/>
        <v>099</v>
      </c>
      <c r="O2720" s="790" t="s">
        <v>9883</v>
      </c>
      <c r="P2720" s="790" t="s">
        <v>10244</v>
      </c>
      <c r="R2720" s="30"/>
    </row>
    <row r="2721" spans="2:18">
      <c r="B2721" s="5" t="str">
        <f>Page5j_SANS_OBJECT!C$10</f>
        <v>NE PAS UTILISER</v>
      </c>
      <c r="C2721" s="1038" t="str">
        <f>OR_VEH!D459</f>
        <v>406-099</v>
      </c>
      <c r="D2721" s="803">
        <f>Page5j_SANS_OBJECT!G$10</f>
        <v>0</v>
      </c>
      <c r="E2721" s="803">
        <f>Page5j_SANS_OBJECT!L$10</f>
        <v>0</v>
      </c>
      <c r="F2721" t="str">
        <f t="shared" si="181"/>
        <v>01-00-406-099-SALES-CURR</v>
      </c>
      <c r="G2721" t="s">
        <v>127</v>
      </c>
      <c r="H2721" t="s">
        <v>10287</v>
      </c>
      <c r="I2721" t="s">
        <v>10253</v>
      </c>
      <c r="K2721" s="1073" t="s">
        <v>10288</v>
      </c>
      <c r="L2721" s="789" t="s">
        <v>10241</v>
      </c>
      <c r="M2721" s="790" t="str">
        <f t="shared" si="189"/>
        <v>406</v>
      </c>
      <c r="N2721" s="790" t="str">
        <f t="shared" si="190"/>
        <v>099</v>
      </c>
      <c r="O2721" s="790" t="s">
        <v>9883</v>
      </c>
      <c r="P2721" s="790" t="s">
        <v>10244</v>
      </c>
      <c r="R2721" s="30"/>
    </row>
    <row r="2722" spans="2:18">
      <c r="B2722" s="5" t="str">
        <f>Page5j_SANS_OBJECT!C$11</f>
        <v>NE PAS UTILISER</v>
      </c>
      <c r="C2722" s="1038" t="str">
        <f>OR_VEH!D460</f>
        <v>407-099</v>
      </c>
      <c r="D2722" s="803">
        <f>Page5j_SANS_OBJECT!G$11</f>
        <v>0</v>
      </c>
      <c r="E2722" s="803">
        <f>Page5j_SANS_OBJECT!L$11</f>
        <v>0</v>
      </c>
      <c r="F2722" t="str">
        <f t="shared" si="181"/>
        <v>01-00-407-099-SALES-CURR</v>
      </c>
      <c r="G2722" t="s">
        <v>127</v>
      </c>
      <c r="H2722" t="s">
        <v>10287</v>
      </c>
      <c r="I2722" t="s">
        <v>10253</v>
      </c>
      <c r="K2722" s="1073" t="s">
        <v>10288</v>
      </c>
      <c r="L2722" s="789" t="s">
        <v>10241</v>
      </c>
      <c r="M2722" s="790" t="str">
        <f t="shared" si="189"/>
        <v>407</v>
      </c>
      <c r="N2722" s="790" t="str">
        <f t="shared" si="190"/>
        <v>099</v>
      </c>
      <c r="O2722" s="790" t="s">
        <v>9883</v>
      </c>
      <c r="P2722" s="790" t="s">
        <v>10244</v>
      </c>
      <c r="R2722" s="30"/>
    </row>
    <row r="2723" spans="2:18">
      <c r="B2723" s="5" t="str">
        <f>Page5j_SANS_OBJECT!C$12</f>
        <v>NE PAS UTILISER</v>
      </c>
      <c r="C2723" s="1038" t="str">
        <f>OR_VEH!D461</f>
        <v>408-099</v>
      </c>
      <c r="D2723" s="803">
        <f>Page5j_SANS_OBJECT!G$12</f>
        <v>0</v>
      </c>
      <c r="E2723" s="803">
        <f>Page5j_SANS_OBJECT!L$12</f>
        <v>0</v>
      </c>
      <c r="F2723" t="str">
        <f t="shared" si="181"/>
        <v>01-00-408-099-SALES-CURR</v>
      </c>
      <c r="G2723" t="s">
        <v>127</v>
      </c>
      <c r="H2723" t="s">
        <v>10287</v>
      </c>
      <c r="I2723" t="s">
        <v>10253</v>
      </c>
      <c r="K2723" s="1073" t="s">
        <v>10288</v>
      </c>
      <c r="L2723" s="789" t="s">
        <v>10241</v>
      </c>
      <c r="M2723" s="790" t="str">
        <f t="shared" si="189"/>
        <v>408</v>
      </c>
      <c r="N2723" s="790" t="str">
        <f t="shared" si="190"/>
        <v>099</v>
      </c>
      <c r="O2723" s="790" t="s">
        <v>9883</v>
      </c>
      <c r="P2723" s="790" t="s">
        <v>10244</v>
      </c>
      <c r="R2723" s="30"/>
    </row>
    <row r="2724" spans="2:18">
      <c r="B2724" s="5" t="str">
        <f>Page5j_SANS_OBJECT!C$13</f>
        <v>NE PAS UTILISER</v>
      </c>
      <c r="C2724" s="1038" t="str">
        <f>OR_VEH!D462</f>
        <v>409-099</v>
      </c>
      <c r="D2724" s="803">
        <f>Page5j_SANS_OBJECT!G$13</f>
        <v>0</v>
      </c>
      <c r="E2724" s="803">
        <f>Page5j_SANS_OBJECT!L$13</f>
        <v>0</v>
      </c>
      <c r="F2724" t="str">
        <f t="shared" si="181"/>
        <v>01-00-409-099-SALES-CURR</v>
      </c>
      <c r="G2724" t="s">
        <v>127</v>
      </c>
      <c r="H2724" t="s">
        <v>10287</v>
      </c>
      <c r="I2724" t="s">
        <v>10253</v>
      </c>
      <c r="K2724" s="1073" t="s">
        <v>10288</v>
      </c>
      <c r="L2724" s="789" t="s">
        <v>10241</v>
      </c>
      <c r="M2724" s="790" t="str">
        <f t="shared" si="189"/>
        <v>409</v>
      </c>
      <c r="N2724" s="790" t="str">
        <f t="shared" si="190"/>
        <v>099</v>
      </c>
      <c r="O2724" s="790" t="s">
        <v>9883</v>
      </c>
      <c r="P2724" s="790" t="s">
        <v>10244</v>
      </c>
      <c r="R2724" s="30"/>
    </row>
    <row r="2725" spans="2:18">
      <c r="B2725" s="5" t="str">
        <f>Page5j_SANS_OBJECT!C$14</f>
        <v>NE PAS UTILISER</v>
      </c>
      <c r="C2725" s="1038" t="str">
        <f>OR_VEH!D463</f>
        <v>410-099</v>
      </c>
      <c r="D2725" s="803">
        <f>Page5j_SANS_OBJECT!G$14</f>
        <v>0</v>
      </c>
      <c r="E2725" s="803">
        <f>Page5j_SANS_OBJECT!L$14</f>
        <v>0</v>
      </c>
      <c r="F2725" t="str">
        <f t="shared" si="181"/>
        <v>01-00-410-099-SALES-CURR</v>
      </c>
      <c r="G2725" t="s">
        <v>127</v>
      </c>
      <c r="H2725" t="s">
        <v>10287</v>
      </c>
      <c r="I2725" t="s">
        <v>10253</v>
      </c>
      <c r="K2725" s="1073" t="s">
        <v>10288</v>
      </c>
      <c r="L2725" s="789" t="s">
        <v>10241</v>
      </c>
      <c r="M2725" s="790" t="str">
        <f t="shared" si="189"/>
        <v>410</v>
      </c>
      <c r="N2725" s="790" t="str">
        <f t="shared" si="190"/>
        <v>099</v>
      </c>
      <c r="O2725" s="790" t="s">
        <v>9883</v>
      </c>
      <c r="P2725" s="790" t="s">
        <v>10244</v>
      </c>
      <c r="R2725" s="30"/>
    </row>
    <row r="2726" spans="2:18">
      <c r="B2726" s="5" t="str">
        <f>Page5j_SANS_OBJECT!C$15</f>
        <v>NE PAS UTILISER</v>
      </c>
      <c r="C2726" s="1038" t="str">
        <f>OR_VEH!D464</f>
        <v>411-099</v>
      </c>
      <c r="D2726" s="803">
        <f>Page5j_SANS_OBJECT!G$15</f>
        <v>0</v>
      </c>
      <c r="E2726" s="803">
        <f>Page5j_SANS_OBJECT!L$15</f>
        <v>0</v>
      </c>
      <c r="F2726" t="str">
        <f t="shared" si="181"/>
        <v>01-00-411-099-SALES-CURR</v>
      </c>
      <c r="G2726" t="s">
        <v>127</v>
      </c>
      <c r="H2726" t="s">
        <v>10287</v>
      </c>
      <c r="I2726" t="s">
        <v>10253</v>
      </c>
      <c r="K2726" s="1073" t="s">
        <v>10288</v>
      </c>
      <c r="L2726" s="789" t="s">
        <v>10241</v>
      </c>
      <c r="M2726" s="790" t="str">
        <f t="shared" si="189"/>
        <v>411</v>
      </c>
      <c r="N2726" s="790" t="str">
        <f t="shared" si="190"/>
        <v>099</v>
      </c>
      <c r="O2726" s="790" t="s">
        <v>9883</v>
      </c>
      <c r="P2726" s="790" t="s">
        <v>10244</v>
      </c>
      <c r="R2726" s="30"/>
    </row>
    <row r="2727" spans="2:18">
      <c r="B2727" s="5" t="str">
        <f>Page5j_SANS_OBJECT!C$16</f>
        <v>NE PAS UTILISER</v>
      </c>
      <c r="C2727" s="1038" t="str">
        <f>OR_VEH!D465</f>
        <v>412-099</v>
      </c>
      <c r="D2727" s="803">
        <f>Page5j_SANS_OBJECT!G$16</f>
        <v>0</v>
      </c>
      <c r="E2727" s="803">
        <f>Page5j_SANS_OBJECT!L$16</f>
        <v>0</v>
      </c>
      <c r="F2727" t="str">
        <f t="shared" si="181"/>
        <v>01-00-412-099-SALES-CURR</v>
      </c>
      <c r="G2727" t="s">
        <v>127</v>
      </c>
      <c r="H2727" t="s">
        <v>10287</v>
      </c>
      <c r="I2727" t="s">
        <v>10253</v>
      </c>
      <c r="K2727" s="1073" t="s">
        <v>10288</v>
      </c>
      <c r="L2727" s="789" t="s">
        <v>10241</v>
      </c>
      <c r="M2727" s="790" t="str">
        <f t="shared" si="189"/>
        <v>412</v>
      </c>
      <c r="N2727" s="790" t="str">
        <f t="shared" si="190"/>
        <v>099</v>
      </c>
      <c r="O2727" s="790" t="s">
        <v>9883</v>
      </c>
      <c r="P2727" s="790" t="s">
        <v>10244</v>
      </c>
      <c r="R2727" s="30"/>
    </row>
    <row r="2728" spans="2:18">
      <c r="B2728" s="5" t="str">
        <f>Page5j_SANS_OBJECT!C$17</f>
        <v>NE PAS UTILISER</v>
      </c>
      <c r="C2728" s="1038" t="str">
        <f>OR_VEH!D466</f>
        <v>413-099</v>
      </c>
      <c r="D2728" s="803">
        <f>Page5j_SANS_OBJECT!G$17</f>
        <v>0</v>
      </c>
      <c r="E2728" s="803">
        <f>Page5j_SANS_OBJECT!L$17</f>
        <v>0</v>
      </c>
      <c r="F2728" t="str">
        <f t="shared" si="181"/>
        <v>01-00-413-099-SALES-CURR</v>
      </c>
      <c r="G2728" t="s">
        <v>127</v>
      </c>
      <c r="H2728" t="s">
        <v>10287</v>
      </c>
      <c r="I2728" t="s">
        <v>10253</v>
      </c>
      <c r="K2728" s="1073" t="s">
        <v>10288</v>
      </c>
      <c r="L2728" s="789" t="s">
        <v>10241</v>
      </c>
      <c r="M2728" s="790" t="str">
        <f t="shared" si="189"/>
        <v>413</v>
      </c>
      <c r="N2728" s="790" t="str">
        <f t="shared" si="190"/>
        <v>099</v>
      </c>
      <c r="O2728" s="790" t="s">
        <v>9883</v>
      </c>
      <c r="P2728" s="790" t="s">
        <v>10244</v>
      </c>
      <c r="R2728" s="30"/>
    </row>
    <row r="2729" spans="2:18">
      <c r="B2729" s="5" t="str">
        <f>Page5j_SANS_OBJECT!C$18</f>
        <v>NE PAS UTILISER</v>
      </c>
      <c r="C2729" s="1038" t="str">
        <f>OR_VEH!D467</f>
        <v>414-099</v>
      </c>
      <c r="D2729" s="803">
        <f>Page5j_SANS_OBJECT!G$18</f>
        <v>0</v>
      </c>
      <c r="E2729" s="803">
        <f>Page5j_SANS_OBJECT!L$18</f>
        <v>0</v>
      </c>
      <c r="F2729" t="str">
        <f t="shared" si="181"/>
        <v>01-00-414-099-SALES-CURR</v>
      </c>
      <c r="G2729" t="s">
        <v>127</v>
      </c>
      <c r="H2729" t="s">
        <v>10287</v>
      </c>
      <c r="I2729" t="s">
        <v>10253</v>
      </c>
      <c r="K2729" s="1073" t="s">
        <v>10288</v>
      </c>
      <c r="L2729" s="789" t="s">
        <v>10241</v>
      </c>
      <c r="M2729" s="790" t="str">
        <f t="shared" si="189"/>
        <v>414</v>
      </c>
      <c r="N2729" s="790" t="str">
        <f t="shared" si="190"/>
        <v>099</v>
      </c>
      <c r="O2729" s="790" t="s">
        <v>9883</v>
      </c>
      <c r="P2729" s="790" t="s">
        <v>10244</v>
      </c>
      <c r="R2729" s="30"/>
    </row>
    <row r="2730" spans="2:18">
      <c r="B2730" s="5" t="str">
        <f>Page5j_SANS_OBJECT!C$19</f>
        <v>NE PAS UTILISER</v>
      </c>
      <c r="C2730" s="1038" t="str">
        <f>OR_VEH!D468</f>
        <v>415-099</v>
      </c>
      <c r="D2730" s="803">
        <f>Page5j_SANS_OBJECT!G$19</f>
        <v>0</v>
      </c>
      <c r="E2730" s="803">
        <f>Page5j_SANS_OBJECT!L$19</f>
        <v>0</v>
      </c>
      <c r="F2730" t="str">
        <f t="shared" si="181"/>
        <v>01-00-415-099-SALES-CURR</v>
      </c>
      <c r="G2730" t="s">
        <v>127</v>
      </c>
      <c r="H2730" t="s">
        <v>10287</v>
      </c>
      <c r="I2730" t="s">
        <v>10253</v>
      </c>
      <c r="K2730" s="1073" t="s">
        <v>10288</v>
      </c>
      <c r="L2730" s="789" t="s">
        <v>10241</v>
      </c>
      <c r="M2730" s="790" t="str">
        <f t="shared" si="189"/>
        <v>415</v>
      </c>
      <c r="N2730" s="790" t="str">
        <f t="shared" si="190"/>
        <v>099</v>
      </c>
      <c r="O2730" s="790" t="s">
        <v>9883</v>
      </c>
      <c r="P2730" s="790" t="s">
        <v>10244</v>
      </c>
      <c r="R2730" s="30"/>
    </row>
    <row r="2731" spans="2:18">
      <c r="B2731" s="5" t="str">
        <f>Page5j_SANS_OBJECT!C$20</f>
        <v>NE PAS UTILISER</v>
      </c>
      <c r="C2731" s="1038" t="str">
        <f>OR_VEH!D469</f>
        <v>416-099</v>
      </c>
      <c r="D2731" s="803">
        <f>Page5j_SANS_OBJECT!G$20</f>
        <v>0</v>
      </c>
      <c r="E2731" s="803">
        <f>Page5j_SANS_OBJECT!L$20</f>
        <v>0</v>
      </c>
      <c r="F2731" t="str">
        <f t="shared" si="181"/>
        <v>01-00-416-099-SALES-CURR</v>
      </c>
      <c r="G2731" t="s">
        <v>127</v>
      </c>
      <c r="H2731" t="s">
        <v>10287</v>
      </c>
      <c r="I2731" t="s">
        <v>10253</v>
      </c>
      <c r="K2731" s="1073" t="s">
        <v>10288</v>
      </c>
      <c r="L2731" s="789" t="s">
        <v>10241</v>
      </c>
      <c r="M2731" s="790" t="str">
        <f t="shared" si="189"/>
        <v>416</v>
      </c>
      <c r="N2731" s="790" t="str">
        <f t="shared" si="190"/>
        <v>099</v>
      </c>
      <c r="O2731" s="790" t="s">
        <v>9883</v>
      </c>
      <c r="P2731" s="790" t="s">
        <v>10244</v>
      </c>
      <c r="R2731" s="30"/>
    </row>
    <row r="2732" spans="2:18">
      <c r="B2732" s="5" t="str">
        <f>Page5j_SANS_OBJECT!C$21</f>
        <v>NE PAS UTILISER</v>
      </c>
      <c r="C2732" s="1038" t="str">
        <f>OR_VEH!D470</f>
        <v>417-099</v>
      </c>
      <c r="D2732" s="803">
        <f>Page5j_SANS_OBJECT!G$21</f>
        <v>0</v>
      </c>
      <c r="E2732" s="803">
        <f>Page5j_SANS_OBJECT!L$21</f>
        <v>0</v>
      </c>
      <c r="F2732" t="str">
        <f t="shared" si="181"/>
        <v>01-00-417-099-SALES-CURR</v>
      </c>
      <c r="G2732" t="s">
        <v>127</v>
      </c>
      <c r="H2732" t="s">
        <v>10287</v>
      </c>
      <c r="I2732" t="s">
        <v>10253</v>
      </c>
      <c r="K2732" s="1073" t="s">
        <v>10288</v>
      </c>
      <c r="L2732" s="789" t="s">
        <v>10241</v>
      </c>
      <c r="M2732" s="790" t="str">
        <f t="shared" si="189"/>
        <v>417</v>
      </c>
      <c r="N2732" s="790" t="str">
        <f t="shared" si="190"/>
        <v>099</v>
      </c>
      <c r="O2732" s="790" t="s">
        <v>9883</v>
      </c>
      <c r="P2732" s="790" t="s">
        <v>10244</v>
      </c>
      <c r="R2732" s="30"/>
    </row>
    <row r="2733" spans="2:18">
      <c r="B2733" s="5" t="str">
        <f>Page5j_SANS_OBJECT!C$22</f>
        <v>NE PAS UTILISER</v>
      </c>
      <c r="C2733" s="1038" t="str">
        <f>OR_VEH!D471</f>
        <v>418-099</v>
      </c>
      <c r="D2733" s="803">
        <f>Page5j_SANS_OBJECT!G$22</f>
        <v>0</v>
      </c>
      <c r="E2733" s="803">
        <f>Page5j_SANS_OBJECT!L$22</f>
        <v>0</v>
      </c>
      <c r="F2733" t="str">
        <f t="shared" si="181"/>
        <v>01-00-418-099-SALES-CURR</v>
      </c>
      <c r="G2733" t="s">
        <v>127</v>
      </c>
      <c r="H2733" t="s">
        <v>10287</v>
      </c>
      <c r="I2733" t="s">
        <v>10253</v>
      </c>
      <c r="K2733" s="1073" t="s">
        <v>10288</v>
      </c>
      <c r="L2733" s="789" t="s">
        <v>10241</v>
      </c>
      <c r="M2733" s="790" t="str">
        <f t="shared" si="189"/>
        <v>418</v>
      </c>
      <c r="N2733" s="790" t="str">
        <f t="shared" si="190"/>
        <v>099</v>
      </c>
      <c r="O2733" s="790" t="s">
        <v>9883</v>
      </c>
      <c r="P2733" s="790" t="s">
        <v>10244</v>
      </c>
      <c r="R2733" s="30"/>
    </row>
    <row r="2734" spans="2:18">
      <c r="B2734" s="27" t="s">
        <v>12215</v>
      </c>
      <c r="C2734" s="1042"/>
      <c r="D2734" s="803">
        <f>Page5j_SANS_OBJECT!G$23</f>
        <v>0</v>
      </c>
      <c r="E2734" s="803">
        <f>Page5j_SANS_OBJECT!L$23</f>
        <v>0</v>
      </c>
      <c r="F2734" t="str">
        <f t="shared" si="181"/>
        <v>01-00-RTLCAR5J-SALES-CURR</v>
      </c>
      <c r="G2734" t="s">
        <v>127</v>
      </c>
      <c r="H2734" t="s">
        <v>10287</v>
      </c>
      <c r="I2734" t="s">
        <v>10253</v>
      </c>
      <c r="J2734" t="s">
        <v>10268</v>
      </c>
      <c r="K2734" s="1073" t="s">
        <v>10288</v>
      </c>
      <c r="L2734" s="789" t="s">
        <v>10241</v>
      </c>
      <c r="M2734" s="790" t="s">
        <v>10389</v>
      </c>
      <c r="O2734" s="790" t="s">
        <v>9883</v>
      </c>
      <c r="P2734" s="790" t="s">
        <v>10244</v>
      </c>
      <c r="Q2734" s="791" t="s">
        <v>773</v>
      </c>
    </row>
    <row r="2735" spans="2:18">
      <c r="B2735" s="5" t="str">
        <f>Page5j_SANS_OBJECT!C$24</f>
        <v>MÉMO* VENTES INTERNET VOITURES</v>
      </c>
      <c r="C2735" s="1038" t="str">
        <f>OR_VEH!D473</f>
        <v>419P5J</v>
      </c>
      <c r="D2735" s="803">
        <f>Page5j_SANS_OBJECT!G$24</f>
        <v>0</v>
      </c>
      <c r="E2735" s="803">
        <f>Page5j_SANS_OBJECT!L$24</f>
        <v>0</v>
      </c>
      <c r="F2735" t="str">
        <f t="shared" si="181"/>
        <v>01-00-419P5J-SALES-CURR</v>
      </c>
      <c r="G2735" t="s">
        <v>127</v>
      </c>
      <c r="H2735" t="s">
        <v>10287</v>
      </c>
      <c r="I2735" t="s">
        <v>10253</v>
      </c>
      <c r="K2735" s="1073" t="s">
        <v>10288</v>
      </c>
      <c r="L2735" s="789" t="s">
        <v>10241</v>
      </c>
      <c r="M2735" s="855" t="str">
        <f>C2735</f>
        <v>419P5J</v>
      </c>
      <c r="N2735" s="855"/>
      <c r="O2735" s="790" t="s">
        <v>9883</v>
      </c>
      <c r="P2735" s="790" t="s">
        <v>10244</v>
      </c>
      <c r="R2735" s="30"/>
    </row>
    <row r="2736" spans="2:18">
      <c r="B2736" s="5" t="str">
        <f>Page5j_SANS_OBJECT!C$25</f>
        <v>TOTAL PARCS - VOITURES</v>
      </c>
      <c r="C2736" s="1038" t="str">
        <f>OR_VEH!D474</f>
        <v>420P5J</v>
      </c>
      <c r="D2736" s="803">
        <f>Page5j_SANS_OBJECT!G$25</f>
        <v>0</v>
      </c>
      <c r="E2736" s="803">
        <f>Page5j_SANS_OBJECT!L$25</f>
        <v>0</v>
      </c>
      <c r="F2736" t="str">
        <f t="shared" si="181"/>
        <v>01-00-420P5J-SALES-CURR</v>
      </c>
      <c r="G2736" t="s">
        <v>127</v>
      </c>
      <c r="H2736" t="s">
        <v>10287</v>
      </c>
      <c r="I2736" t="s">
        <v>10253</v>
      </c>
      <c r="K2736" s="1073" t="s">
        <v>10288</v>
      </c>
      <c r="L2736" s="789" t="s">
        <v>10241</v>
      </c>
      <c r="M2736" s="855" t="str">
        <f>C2736</f>
        <v>420P5J</v>
      </c>
      <c r="N2736" s="855"/>
      <c r="O2736" s="799" t="s">
        <v>9883</v>
      </c>
      <c r="P2736" s="799" t="s">
        <v>10244</v>
      </c>
      <c r="R2736" s="30"/>
    </row>
    <row r="2737" spans="2:18">
      <c r="B2737" s="5" t="str">
        <f>Page5j_SANS_OBJECT!C$26</f>
        <v>TOTAL INTERNE - VOITURES</v>
      </c>
      <c r="C2737" s="1038" t="str">
        <f>OR_VEH!D475</f>
        <v>421P5J</v>
      </c>
      <c r="D2737" s="803">
        <f>Page5j_SANS_OBJECT!G$26</f>
        <v>0</v>
      </c>
      <c r="E2737" s="803">
        <f>Page5j_SANS_OBJECT!L$26</f>
        <v>0</v>
      </c>
      <c r="F2737" t="str">
        <f t="shared" si="181"/>
        <v>01-00-421P5J-SALES-CURR</v>
      </c>
      <c r="G2737" t="s">
        <v>127</v>
      </c>
      <c r="H2737" t="s">
        <v>10287</v>
      </c>
      <c r="I2737" t="s">
        <v>10253</v>
      </c>
      <c r="K2737" s="1073" t="s">
        <v>10288</v>
      </c>
      <c r="L2737" s="789" t="s">
        <v>10241</v>
      </c>
      <c r="M2737" s="855" t="str">
        <f>C2737</f>
        <v>421P5J</v>
      </c>
      <c r="N2737" s="855"/>
      <c r="O2737" s="799" t="s">
        <v>9883</v>
      </c>
      <c r="P2737" s="799" t="s">
        <v>10244</v>
      </c>
      <c r="R2737" s="30"/>
    </row>
    <row r="2738" spans="2:18">
      <c r="B2738" s="27" t="s">
        <v>12216</v>
      </c>
      <c r="C2738" s="1042"/>
      <c r="D2738" s="803">
        <f>Page5j_SANS_OBJECT!G$27</f>
        <v>0</v>
      </c>
      <c r="E2738" s="803">
        <f>Page5j_SANS_OBJECT!L$27</f>
        <v>0</v>
      </c>
      <c r="F2738" t="str">
        <f t="shared" si="181"/>
        <v>01-00-TOTCAR5J-SALES-CURR</v>
      </c>
      <c r="G2738" t="s">
        <v>127</v>
      </c>
      <c r="H2738" t="s">
        <v>10287</v>
      </c>
      <c r="I2738" t="s">
        <v>10253</v>
      </c>
      <c r="J2738" t="s">
        <v>10268</v>
      </c>
      <c r="K2738" s="1073" t="s">
        <v>10288</v>
      </c>
      <c r="L2738" s="789" t="s">
        <v>10241</v>
      </c>
      <c r="M2738" s="790" t="s">
        <v>10391</v>
      </c>
      <c r="O2738" s="790" t="s">
        <v>9883</v>
      </c>
      <c r="P2738" s="790" t="s">
        <v>10244</v>
      </c>
      <c r="Q2738" s="791" t="s">
        <v>773</v>
      </c>
    </row>
    <row r="2739" spans="2:18">
      <c r="B2739" s="5" t="str">
        <f>Page5j_SANS_OBJECT!C$28</f>
        <v>POIDS LOURD</v>
      </c>
      <c r="C2739" s="1038" t="str">
        <f>OR_VEH!D477</f>
        <v>423-099</v>
      </c>
      <c r="D2739" s="803">
        <f>Page5j_SANS_OBJECT!G$28</f>
        <v>0</v>
      </c>
      <c r="E2739" s="803">
        <f>Page5j_SANS_OBJECT!L$28</f>
        <v>0</v>
      </c>
      <c r="F2739" t="str">
        <f t="shared" si="181"/>
        <v>01-00-423-099-SALES-CURR</v>
      </c>
      <c r="G2739" t="s">
        <v>127</v>
      </c>
      <c r="H2739" t="s">
        <v>10287</v>
      </c>
      <c r="I2739" t="s">
        <v>10253</v>
      </c>
      <c r="K2739" s="1073" t="s">
        <v>10288</v>
      </c>
      <c r="L2739" s="789" t="s">
        <v>10241</v>
      </c>
      <c r="M2739" s="790" t="str">
        <f t="shared" ref="M2739:M2754" si="191">LEFT(C2739,3)</f>
        <v>423</v>
      </c>
      <c r="N2739" s="790" t="str">
        <f t="shared" ref="N2739:N2754" si="192">RIGHT(C2739,3)</f>
        <v>099</v>
      </c>
      <c r="O2739" s="790" t="s">
        <v>9883</v>
      </c>
      <c r="P2739" s="790" t="s">
        <v>10244</v>
      </c>
      <c r="R2739" s="30"/>
    </row>
    <row r="2740" spans="2:18">
      <c r="B2740" s="5" t="str">
        <f>Page5j_SANS_OBJECT!C$29</f>
        <v>NE PAS UTILISER</v>
      </c>
      <c r="C2740" s="1038" t="str">
        <f>OR_VEH!D478</f>
        <v>424-099</v>
      </c>
      <c r="D2740" s="803">
        <f>Page5j_SANS_OBJECT!G$29</f>
        <v>0</v>
      </c>
      <c r="E2740" s="803">
        <f>Page5j_SANS_OBJECT!L$29</f>
        <v>0</v>
      </c>
      <c r="F2740" t="str">
        <f t="shared" si="181"/>
        <v>01-00-424-099-SALES-CURR</v>
      </c>
      <c r="G2740" t="s">
        <v>127</v>
      </c>
      <c r="H2740" t="s">
        <v>10287</v>
      </c>
      <c r="I2740" t="s">
        <v>10253</v>
      </c>
      <c r="K2740" s="1073" t="s">
        <v>10288</v>
      </c>
      <c r="L2740" s="789" t="s">
        <v>10241</v>
      </c>
      <c r="M2740" s="790" t="str">
        <f t="shared" si="191"/>
        <v>424</v>
      </c>
      <c r="N2740" s="790" t="str">
        <f t="shared" si="192"/>
        <v>099</v>
      </c>
      <c r="O2740" s="790" t="s">
        <v>9883</v>
      </c>
      <c r="P2740" s="790" t="s">
        <v>10244</v>
      </c>
      <c r="R2740" s="30"/>
    </row>
    <row r="2741" spans="2:18">
      <c r="B2741" s="5" t="str">
        <f>Page5j_SANS_OBJECT!C$30</f>
        <v>NE PAS UTILISER</v>
      </c>
      <c r="C2741" s="1038" t="str">
        <f>OR_VEH!D479</f>
        <v>425-099</v>
      </c>
      <c r="D2741" s="803">
        <f>Page5j_SANS_OBJECT!G$30</f>
        <v>0</v>
      </c>
      <c r="E2741" s="803">
        <f>Page5j_SANS_OBJECT!L$30</f>
        <v>0</v>
      </c>
      <c r="F2741" t="str">
        <f t="shared" ref="F2741:F2759" si="193">TEXT(K2741,"00")&amp;"-"&amp;L2741&amp;IF(M2741="","","-"&amp;M2741)&amp;IF(N2741="","","-"&amp;N2741)&amp;IF(OR(O2741="",O2741=0),"","-"&amp;O2741)&amp;IF(P2741="","","-"&amp;P2741)</f>
        <v>01-00-425-099-SALES-CURR</v>
      </c>
      <c r="G2741" t="s">
        <v>127</v>
      </c>
      <c r="H2741" t="s">
        <v>10287</v>
      </c>
      <c r="I2741" t="s">
        <v>10253</v>
      </c>
      <c r="K2741" s="1073" t="s">
        <v>10288</v>
      </c>
      <c r="L2741" s="789" t="s">
        <v>10241</v>
      </c>
      <c r="M2741" s="790" t="str">
        <f t="shared" si="191"/>
        <v>425</v>
      </c>
      <c r="N2741" s="790" t="str">
        <f t="shared" si="192"/>
        <v>099</v>
      </c>
      <c r="O2741" s="790" t="s">
        <v>9883</v>
      </c>
      <c r="P2741" s="790" t="s">
        <v>10244</v>
      </c>
      <c r="R2741" s="30"/>
    </row>
    <row r="2742" spans="2:18">
      <c r="B2742" s="5" t="str">
        <f>Page5j_SANS_OBJECT!C$31</f>
        <v>NE PAS UTILISER</v>
      </c>
      <c r="C2742" s="1038" t="str">
        <f>OR_VEH!D480</f>
        <v>426-099</v>
      </c>
      <c r="D2742" s="803">
        <f>Page5j_SANS_OBJECT!G$31</f>
        <v>0</v>
      </c>
      <c r="E2742" s="803">
        <f>Page5j_SANS_OBJECT!L$31</f>
        <v>0</v>
      </c>
      <c r="F2742" t="str">
        <f t="shared" si="193"/>
        <v>01-00-426-099-SALES-CURR</v>
      </c>
      <c r="G2742" t="s">
        <v>127</v>
      </c>
      <c r="H2742" t="s">
        <v>10287</v>
      </c>
      <c r="I2742" t="s">
        <v>10253</v>
      </c>
      <c r="K2742" s="1073" t="s">
        <v>10288</v>
      </c>
      <c r="L2742" s="789" t="s">
        <v>10241</v>
      </c>
      <c r="M2742" s="790" t="str">
        <f t="shared" si="191"/>
        <v>426</v>
      </c>
      <c r="N2742" s="790" t="str">
        <f t="shared" si="192"/>
        <v>099</v>
      </c>
      <c r="O2742" s="790" t="s">
        <v>9883</v>
      </c>
      <c r="P2742" s="790" t="s">
        <v>10244</v>
      </c>
      <c r="R2742" s="30"/>
    </row>
    <row r="2743" spans="2:18">
      <c r="B2743" s="5" t="str">
        <f>Page5j_SANS_OBJECT!C$32</f>
        <v>NE PAS UTILISER</v>
      </c>
      <c r="C2743" s="1038" t="str">
        <f>OR_VEH!D481</f>
        <v>427-099</v>
      </c>
      <c r="D2743" s="803">
        <f>Page5j_SANS_OBJECT!G$32</f>
        <v>0</v>
      </c>
      <c r="E2743" s="803">
        <f>Page5j_SANS_OBJECT!L$32</f>
        <v>0</v>
      </c>
      <c r="F2743" t="str">
        <f t="shared" si="193"/>
        <v>01-00-427-099-SALES-CURR</v>
      </c>
      <c r="G2743" t="s">
        <v>127</v>
      </c>
      <c r="H2743" t="s">
        <v>10287</v>
      </c>
      <c r="I2743" t="s">
        <v>10253</v>
      </c>
      <c r="K2743" s="1073" t="s">
        <v>10288</v>
      </c>
      <c r="L2743" s="789" t="s">
        <v>10241</v>
      </c>
      <c r="M2743" s="790" t="str">
        <f t="shared" si="191"/>
        <v>427</v>
      </c>
      <c r="N2743" s="790" t="str">
        <f t="shared" si="192"/>
        <v>099</v>
      </c>
      <c r="O2743" s="790" t="s">
        <v>9883</v>
      </c>
      <c r="P2743" s="790" t="s">
        <v>10244</v>
      </c>
      <c r="R2743" s="30"/>
    </row>
    <row r="2744" spans="2:18">
      <c r="B2744" s="5" t="str">
        <f>Page5j_SANS_OBJECT!C$33</f>
        <v>NE PAS UTILISER</v>
      </c>
      <c r="C2744" s="1038" t="str">
        <f>OR_VEH!D482</f>
        <v>428-099</v>
      </c>
      <c r="D2744" s="803">
        <f>Page5j_SANS_OBJECT!G$33</f>
        <v>0</v>
      </c>
      <c r="E2744" s="803">
        <f>Page5j_SANS_OBJECT!L$33</f>
        <v>0</v>
      </c>
      <c r="F2744" t="str">
        <f t="shared" si="193"/>
        <v>01-00-428-099-SALES-CURR</v>
      </c>
      <c r="G2744" t="s">
        <v>127</v>
      </c>
      <c r="H2744" t="s">
        <v>10287</v>
      </c>
      <c r="I2744" t="s">
        <v>10253</v>
      </c>
      <c r="K2744" s="1073" t="s">
        <v>10288</v>
      </c>
      <c r="L2744" s="789" t="s">
        <v>10241</v>
      </c>
      <c r="M2744" s="790" t="str">
        <f t="shared" si="191"/>
        <v>428</v>
      </c>
      <c r="N2744" s="790" t="str">
        <f t="shared" si="192"/>
        <v>099</v>
      </c>
      <c r="O2744" s="790" t="s">
        <v>9883</v>
      </c>
      <c r="P2744" s="790" t="s">
        <v>10244</v>
      </c>
      <c r="R2744" s="30"/>
    </row>
    <row r="2745" spans="2:18">
      <c r="B2745" s="5" t="str">
        <f>Page5j_SANS_OBJECT!C$34</f>
        <v>NE PAS UTILISER</v>
      </c>
      <c r="C2745" s="1038" t="str">
        <f>OR_VEH!D483</f>
        <v>429-099</v>
      </c>
      <c r="D2745" s="803">
        <f>Page5j_SANS_OBJECT!G$34</f>
        <v>0</v>
      </c>
      <c r="E2745" s="803">
        <f>Page5j_SANS_OBJECT!L$34</f>
        <v>0</v>
      </c>
      <c r="F2745" t="str">
        <f t="shared" si="193"/>
        <v>01-00-429-099-SALES-CURR</v>
      </c>
      <c r="G2745" t="s">
        <v>127</v>
      </c>
      <c r="H2745" t="s">
        <v>10287</v>
      </c>
      <c r="I2745" t="s">
        <v>10253</v>
      </c>
      <c r="K2745" s="1073" t="s">
        <v>10288</v>
      </c>
      <c r="L2745" s="789" t="s">
        <v>10241</v>
      </c>
      <c r="M2745" s="790" t="str">
        <f t="shared" si="191"/>
        <v>429</v>
      </c>
      <c r="N2745" s="790" t="str">
        <f t="shared" si="192"/>
        <v>099</v>
      </c>
      <c r="O2745" s="790" t="s">
        <v>9883</v>
      </c>
      <c r="P2745" s="790" t="s">
        <v>10244</v>
      </c>
      <c r="R2745" s="30"/>
    </row>
    <row r="2746" spans="2:18">
      <c r="B2746" s="5" t="str">
        <f>Page5j_SANS_OBJECT!C$35</f>
        <v>NE PAS UTILISER</v>
      </c>
      <c r="C2746" s="1038" t="str">
        <f>OR_VEH!D484</f>
        <v>430-099</v>
      </c>
      <c r="D2746" s="803">
        <f>Page5j_SANS_OBJECT!G$35</f>
        <v>0</v>
      </c>
      <c r="E2746" s="803">
        <f>Page5j_SANS_OBJECT!L$35</f>
        <v>0</v>
      </c>
      <c r="F2746" t="str">
        <f t="shared" si="193"/>
        <v>01-00-430-099-SALES-CURR</v>
      </c>
      <c r="G2746" t="s">
        <v>127</v>
      </c>
      <c r="H2746" t="s">
        <v>10287</v>
      </c>
      <c r="I2746" t="s">
        <v>10253</v>
      </c>
      <c r="K2746" s="1073" t="s">
        <v>10288</v>
      </c>
      <c r="L2746" s="789" t="s">
        <v>10241</v>
      </c>
      <c r="M2746" s="790" t="str">
        <f t="shared" si="191"/>
        <v>430</v>
      </c>
      <c r="N2746" s="790" t="str">
        <f t="shared" si="192"/>
        <v>099</v>
      </c>
      <c r="O2746" s="790" t="s">
        <v>9883</v>
      </c>
      <c r="P2746" s="790" t="s">
        <v>10244</v>
      </c>
      <c r="R2746" s="30"/>
    </row>
    <row r="2747" spans="2:18">
      <c r="B2747" s="5" t="str">
        <f>Page5j_SANS_OBJECT!C$36</f>
        <v>NE PAS UTILISER</v>
      </c>
      <c r="C2747" s="1038" t="str">
        <f>OR_VEH!D485</f>
        <v>431-099</v>
      </c>
      <c r="D2747" s="803">
        <f>Page5j_SANS_OBJECT!G$36</f>
        <v>0</v>
      </c>
      <c r="E2747" s="803">
        <f>Page5j_SANS_OBJECT!L$36</f>
        <v>0</v>
      </c>
      <c r="F2747" t="str">
        <f t="shared" si="193"/>
        <v>01-00-431-099-SALES-CURR</v>
      </c>
      <c r="G2747" t="s">
        <v>127</v>
      </c>
      <c r="H2747" t="s">
        <v>10287</v>
      </c>
      <c r="I2747" t="s">
        <v>10253</v>
      </c>
      <c r="K2747" s="1073" t="s">
        <v>10288</v>
      </c>
      <c r="L2747" s="789" t="s">
        <v>10241</v>
      </c>
      <c r="M2747" s="790" t="str">
        <f t="shared" si="191"/>
        <v>431</v>
      </c>
      <c r="N2747" s="790" t="str">
        <f t="shared" si="192"/>
        <v>099</v>
      </c>
      <c r="O2747" s="790" t="s">
        <v>9883</v>
      </c>
      <c r="P2747" s="790" t="s">
        <v>10244</v>
      </c>
      <c r="R2747" s="30"/>
    </row>
    <row r="2748" spans="2:18">
      <c r="B2748" s="5" t="str">
        <f>Page5j_SANS_OBJECT!C$37</f>
        <v>NE PAS UTILISER</v>
      </c>
      <c r="C2748" s="1038" t="str">
        <f>OR_VEH!D486</f>
        <v>432-099</v>
      </c>
      <c r="D2748" s="803">
        <f>Page5j_SANS_OBJECT!G$37</f>
        <v>0</v>
      </c>
      <c r="E2748" s="803">
        <f>Page5j_SANS_OBJECT!L$37</f>
        <v>0</v>
      </c>
      <c r="F2748" t="str">
        <f t="shared" si="193"/>
        <v>01-00-432-099-SALES-CURR</v>
      </c>
      <c r="G2748" t="s">
        <v>127</v>
      </c>
      <c r="H2748" t="s">
        <v>10287</v>
      </c>
      <c r="I2748" t="s">
        <v>10253</v>
      </c>
      <c r="K2748" s="1073" t="s">
        <v>10288</v>
      </c>
      <c r="L2748" s="789" t="s">
        <v>10241</v>
      </c>
      <c r="M2748" s="790" t="str">
        <f t="shared" si="191"/>
        <v>432</v>
      </c>
      <c r="N2748" s="790" t="str">
        <f t="shared" si="192"/>
        <v>099</v>
      </c>
      <c r="O2748" s="790" t="s">
        <v>9883</v>
      </c>
      <c r="P2748" s="790" t="s">
        <v>10244</v>
      </c>
      <c r="R2748" s="30"/>
    </row>
    <row r="2749" spans="2:18">
      <c r="B2749" s="5" t="str">
        <f>Page5j_SANS_OBJECT!C$38</f>
        <v>NE PAS UTILISER</v>
      </c>
      <c r="C2749" s="1038" t="str">
        <f>OR_VEH!D487</f>
        <v>433-099</v>
      </c>
      <c r="D2749" s="803">
        <f>Page5j_SANS_OBJECT!G$38</f>
        <v>0</v>
      </c>
      <c r="E2749" s="803">
        <f>Page5j_SANS_OBJECT!L$38</f>
        <v>0</v>
      </c>
      <c r="F2749" t="str">
        <f t="shared" si="193"/>
        <v>01-00-433-099-SALES-CURR</v>
      </c>
      <c r="G2749" t="s">
        <v>127</v>
      </c>
      <c r="H2749" t="s">
        <v>10287</v>
      </c>
      <c r="I2749" t="s">
        <v>10253</v>
      </c>
      <c r="K2749" s="1073" t="s">
        <v>10288</v>
      </c>
      <c r="L2749" s="789" t="s">
        <v>10241</v>
      </c>
      <c r="M2749" s="790" t="str">
        <f t="shared" si="191"/>
        <v>433</v>
      </c>
      <c r="N2749" s="790" t="str">
        <f t="shared" si="192"/>
        <v>099</v>
      </c>
      <c r="O2749" s="790" t="s">
        <v>9883</v>
      </c>
      <c r="P2749" s="790" t="s">
        <v>10244</v>
      </c>
      <c r="R2749" s="30"/>
    </row>
    <row r="2750" spans="2:18">
      <c r="B2750" s="5" t="str">
        <f>Page5j_SANS_OBJECT!C$39</f>
        <v>NE PAS UTILISER</v>
      </c>
      <c r="C2750" s="1038" t="str">
        <f>OR_VEH!D488</f>
        <v>434-099</v>
      </c>
      <c r="D2750" s="803">
        <f>Page5j_SANS_OBJECT!G$39</f>
        <v>0</v>
      </c>
      <c r="E2750" s="803">
        <f>Page5j_SANS_OBJECT!L$39</f>
        <v>0</v>
      </c>
      <c r="F2750" t="str">
        <f t="shared" si="193"/>
        <v>01-00-434-099-SALES-CURR</v>
      </c>
      <c r="G2750" t="s">
        <v>127</v>
      </c>
      <c r="H2750" t="s">
        <v>10287</v>
      </c>
      <c r="I2750" t="s">
        <v>10253</v>
      </c>
      <c r="K2750" s="1073" t="s">
        <v>10288</v>
      </c>
      <c r="L2750" s="789" t="s">
        <v>10241</v>
      </c>
      <c r="M2750" s="790" t="str">
        <f t="shared" si="191"/>
        <v>434</v>
      </c>
      <c r="N2750" s="790" t="str">
        <f t="shared" si="192"/>
        <v>099</v>
      </c>
      <c r="O2750" s="790" t="s">
        <v>9883</v>
      </c>
      <c r="P2750" s="790" t="s">
        <v>10244</v>
      </c>
      <c r="R2750" s="30"/>
    </row>
    <row r="2751" spans="2:18">
      <c r="B2751" s="5" t="str">
        <f>Page5j_SANS_OBJECT!C$40</f>
        <v>NE PAS UTILISER</v>
      </c>
      <c r="C2751" s="1038" t="str">
        <f>OR_VEH!D489</f>
        <v>435-099</v>
      </c>
      <c r="D2751" s="803">
        <f>Page5j_SANS_OBJECT!G$40</f>
        <v>0</v>
      </c>
      <c r="E2751" s="803">
        <f>Page5j_SANS_OBJECT!L$40</f>
        <v>0</v>
      </c>
      <c r="F2751" t="str">
        <f t="shared" si="193"/>
        <v>01-00-435-099-SALES-CURR</v>
      </c>
      <c r="G2751" t="s">
        <v>127</v>
      </c>
      <c r="H2751" t="s">
        <v>10287</v>
      </c>
      <c r="I2751" t="s">
        <v>10253</v>
      </c>
      <c r="K2751" s="1073" t="s">
        <v>10288</v>
      </c>
      <c r="L2751" s="789" t="s">
        <v>10241</v>
      </c>
      <c r="M2751" s="790" t="str">
        <f t="shared" si="191"/>
        <v>435</v>
      </c>
      <c r="N2751" s="790" t="str">
        <f t="shared" si="192"/>
        <v>099</v>
      </c>
      <c r="O2751" s="790" t="s">
        <v>9883</v>
      </c>
      <c r="P2751" s="790" t="s">
        <v>10244</v>
      </c>
      <c r="R2751" s="30"/>
    </row>
    <row r="2752" spans="2:18">
      <c r="B2752" s="5" t="str">
        <f>Page5j_SANS_OBJECT!C$41</f>
        <v>NE PAS UTILISER</v>
      </c>
      <c r="C2752" s="1038" t="str">
        <f>OR_VEH!D490</f>
        <v>436-099</v>
      </c>
      <c r="D2752" s="803">
        <f>Page5j_SANS_OBJECT!G$41</f>
        <v>0</v>
      </c>
      <c r="E2752" s="803">
        <f>Page5j_SANS_OBJECT!L$41</f>
        <v>0</v>
      </c>
      <c r="F2752" t="str">
        <f t="shared" si="193"/>
        <v>01-00-436-099-SALES-CURR</v>
      </c>
      <c r="G2752" t="s">
        <v>127</v>
      </c>
      <c r="H2752" t="s">
        <v>10287</v>
      </c>
      <c r="I2752" t="s">
        <v>10253</v>
      </c>
      <c r="K2752" s="1073" t="s">
        <v>10288</v>
      </c>
      <c r="L2752" s="789" t="s">
        <v>10241</v>
      </c>
      <c r="M2752" s="790" t="str">
        <f t="shared" si="191"/>
        <v>436</v>
      </c>
      <c r="N2752" s="790" t="str">
        <f t="shared" si="192"/>
        <v>099</v>
      </c>
      <c r="O2752" s="790" t="s">
        <v>9883</v>
      </c>
      <c r="P2752" s="790" t="s">
        <v>10244</v>
      </c>
      <c r="R2752" s="30"/>
    </row>
    <row r="2753" spans="2:18">
      <c r="B2753" s="5" t="str">
        <f>Page5j_SANS_OBJECT!C$42</f>
        <v>NE PAS UTILISER</v>
      </c>
      <c r="C2753" s="1038" t="str">
        <f>OR_VEH!D491</f>
        <v>437-099</v>
      </c>
      <c r="D2753" s="803">
        <f>Page5j_SANS_OBJECT!G$42</f>
        <v>0</v>
      </c>
      <c r="E2753" s="803">
        <f>Page5j_SANS_OBJECT!L$42</f>
        <v>0</v>
      </c>
      <c r="F2753" t="str">
        <f t="shared" si="193"/>
        <v>01-00-437-099-SALES-CURR</v>
      </c>
      <c r="G2753" t="s">
        <v>127</v>
      </c>
      <c r="H2753" t="s">
        <v>10287</v>
      </c>
      <c r="I2753" t="s">
        <v>10253</v>
      </c>
      <c r="K2753" s="1073" t="s">
        <v>10288</v>
      </c>
      <c r="L2753" s="789" t="s">
        <v>10241</v>
      </c>
      <c r="M2753" s="790" t="str">
        <f t="shared" si="191"/>
        <v>437</v>
      </c>
      <c r="N2753" s="790" t="str">
        <f t="shared" si="192"/>
        <v>099</v>
      </c>
      <c r="O2753" s="790" t="s">
        <v>9883</v>
      </c>
      <c r="P2753" s="790" t="s">
        <v>10244</v>
      </c>
      <c r="R2753" s="30"/>
    </row>
    <row r="2754" spans="2:18">
      <c r="B2754" s="5" t="str">
        <f>Page5j_SANS_OBJECT!C$43</f>
        <v>NE PAS UTILISER</v>
      </c>
      <c r="C2754" s="1038" t="str">
        <f>OR_VEH!D492</f>
        <v>438-099</v>
      </c>
      <c r="D2754" s="803">
        <f>Page5j_SANS_OBJECT!G$43</f>
        <v>0</v>
      </c>
      <c r="E2754" s="803">
        <f>Page5j_SANS_OBJECT!L$43</f>
        <v>0</v>
      </c>
      <c r="F2754" t="str">
        <f t="shared" si="193"/>
        <v>01-00-438-099-SALES-CURR</v>
      </c>
      <c r="G2754" t="s">
        <v>127</v>
      </c>
      <c r="H2754" t="s">
        <v>10287</v>
      </c>
      <c r="I2754" t="s">
        <v>10253</v>
      </c>
      <c r="K2754" s="1073" t="s">
        <v>10288</v>
      </c>
      <c r="L2754" s="789" t="s">
        <v>10241</v>
      </c>
      <c r="M2754" s="790" t="str">
        <f t="shared" si="191"/>
        <v>438</v>
      </c>
      <c r="N2754" s="790" t="str">
        <f t="shared" si="192"/>
        <v>099</v>
      </c>
      <c r="O2754" s="790" t="s">
        <v>9883</v>
      </c>
      <c r="P2754" s="790" t="s">
        <v>10244</v>
      </c>
      <c r="R2754" s="30"/>
    </row>
    <row r="2755" spans="2:18">
      <c r="B2755" s="51" t="s">
        <v>12217</v>
      </c>
      <c r="C2755" s="1042"/>
      <c r="D2755" s="803">
        <f>Page5j_SANS_OBJECT!G$44</f>
        <v>0</v>
      </c>
      <c r="E2755" s="803">
        <f>Page5j_SANS_OBJECT!L$44</f>
        <v>0</v>
      </c>
      <c r="F2755" t="str">
        <f t="shared" si="193"/>
        <v>01-00-RTLTRK5J-SALES-CURR</v>
      </c>
      <c r="G2755" t="s">
        <v>127</v>
      </c>
      <c r="H2755" t="s">
        <v>10287</v>
      </c>
      <c r="I2755" t="s">
        <v>10253</v>
      </c>
      <c r="J2755" t="s">
        <v>10268</v>
      </c>
      <c r="K2755" s="1073" t="s">
        <v>10288</v>
      </c>
      <c r="L2755" s="789" t="s">
        <v>10241</v>
      </c>
      <c r="M2755" s="790" t="s">
        <v>10393</v>
      </c>
      <c r="O2755" s="790" t="s">
        <v>9883</v>
      </c>
      <c r="P2755" s="790" t="s">
        <v>10244</v>
      </c>
      <c r="Q2755" s="791" t="s">
        <v>773</v>
      </c>
    </row>
    <row r="2756" spans="2:18">
      <c r="B2756" s="5" t="str">
        <f>Page5j_SANS_OBJECT!C$45</f>
        <v>MÉMO* VENTES INTERNET CAMIONS</v>
      </c>
      <c r="C2756" s="1038" t="str">
        <f>OR_VEH!D494</f>
        <v>439P5J</v>
      </c>
      <c r="D2756" s="803">
        <f>Page5j_SANS_OBJECT!G$45</f>
        <v>0</v>
      </c>
      <c r="E2756" s="803">
        <f>Page5j_SANS_OBJECT!L$45</f>
        <v>0</v>
      </c>
      <c r="F2756" t="str">
        <f t="shared" si="193"/>
        <v>01-00-439P5J-SALES-CURR</v>
      </c>
      <c r="G2756" t="s">
        <v>127</v>
      </c>
      <c r="H2756" t="s">
        <v>10287</v>
      </c>
      <c r="I2756" t="s">
        <v>10253</v>
      </c>
      <c r="K2756" s="1073" t="s">
        <v>10288</v>
      </c>
      <c r="L2756" s="789" t="s">
        <v>10241</v>
      </c>
      <c r="M2756" s="855" t="str">
        <f>C2756</f>
        <v>439P5J</v>
      </c>
      <c r="N2756" s="855"/>
      <c r="O2756" s="790" t="s">
        <v>9883</v>
      </c>
      <c r="P2756" s="790" t="s">
        <v>10244</v>
      </c>
      <c r="R2756" s="30"/>
    </row>
    <row r="2757" spans="2:18">
      <c r="B2757" s="5" t="str">
        <f>Page5j_SANS_OBJECT!C$46</f>
        <v>TOTAL PARCS - CAMIONS</v>
      </c>
      <c r="C2757" s="1038" t="str">
        <f>OR_VEH!D495</f>
        <v>440P5J</v>
      </c>
      <c r="D2757" s="803">
        <f>Page5j_SANS_OBJECT!G$46</f>
        <v>0</v>
      </c>
      <c r="E2757" s="803">
        <f>Page5j_SANS_OBJECT!L$46</f>
        <v>0</v>
      </c>
      <c r="F2757" t="str">
        <f t="shared" si="193"/>
        <v>01-00-440P5J-SALES-CURR</v>
      </c>
      <c r="G2757" t="s">
        <v>127</v>
      </c>
      <c r="H2757" t="s">
        <v>10287</v>
      </c>
      <c r="I2757" t="s">
        <v>10253</v>
      </c>
      <c r="K2757" s="1073" t="s">
        <v>10288</v>
      </c>
      <c r="L2757" s="789" t="s">
        <v>10241</v>
      </c>
      <c r="M2757" s="855" t="str">
        <f>C2757</f>
        <v>440P5J</v>
      </c>
      <c r="N2757" s="855"/>
      <c r="O2757" s="790" t="s">
        <v>9883</v>
      </c>
      <c r="P2757" s="790" t="s">
        <v>10244</v>
      </c>
      <c r="R2757" s="30"/>
    </row>
    <row r="2758" spans="2:18">
      <c r="B2758" s="5" t="str">
        <f>Page5j_SANS_OBJECT!C$47</f>
        <v xml:space="preserve">TOTAL IINTERNE - CAMIONS </v>
      </c>
      <c r="C2758" s="1038" t="str">
        <f>OR_VEH!D496</f>
        <v>441P5J</v>
      </c>
      <c r="D2758" s="803">
        <f>Page5j_SANS_OBJECT!G$47</f>
        <v>0</v>
      </c>
      <c r="E2758" s="803">
        <f>Page5j_SANS_OBJECT!L$47</f>
        <v>0</v>
      </c>
      <c r="F2758" t="str">
        <f t="shared" si="193"/>
        <v>01-00-441P5J-SALES-CURR</v>
      </c>
      <c r="G2758" t="s">
        <v>127</v>
      </c>
      <c r="H2758" t="s">
        <v>10287</v>
      </c>
      <c r="I2758" t="s">
        <v>10253</v>
      </c>
      <c r="K2758" s="1073" t="s">
        <v>10288</v>
      </c>
      <c r="L2758" s="789" t="s">
        <v>10241</v>
      </c>
      <c r="M2758" s="855" t="str">
        <f>C2758</f>
        <v>441P5J</v>
      </c>
      <c r="N2758" s="855"/>
      <c r="O2758" s="790" t="s">
        <v>9883</v>
      </c>
      <c r="P2758" s="790" t="s">
        <v>10244</v>
      </c>
      <c r="R2758" s="30"/>
    </row>
    <row r="2759" spans="2:18">
      <c r="B2759" s="27" t="s">
        <v>12218</v>
      </c>
      <c r="C2759" s="1042"/>
      <c r="D2759" s="803">
        <f>Page5j_SANS_OBJECT!G$48</f>
        <v>0</v>
      </c>
      <c r="E2759" s="803">
        <f>Page5j_SANS_OBJECT!L$48</f>
        <v>0</v>
      </c>
      <c r="F2759" t="str">
        <f t="shared" si="193"/>
        <v>01-00-TOTTRK5J-SALES-CURR</v>
      </c>
      <c r="G2759" t="s">
        <v>127</v>
      </c>
      <c r="H2759" t="s">
        <v>10287</v>
      </c>
      <c r="I2759" t="s">
        <v>10253</v>
      </c>
      <c r="J2759" t="s">
        <v>10268</v>
      </c>
      <c r="K2759" s="1073" t="s">
        <v>10288</v>
      </c>
      <c r="L2759" s="789" t="s">
        <v>10241</v>
      </c>
      <c r="M2759" s="790" t="s">
        <v>10395</v>
      </c>
      <c r="O2759" s="790" t="s">
        <v>9883</v>
      </c>
      <c r="P2759" s="790" t="s">
        <v>10244</v>
      </c>
      <c r="Q2759" s="791" t="s">
        <v>773</v>
      </c>
    </row>
    <row r="2760" spans="2:18">
      <c r="B2760" s="5">
        <f>Page5j_SANS_OBJECT!C$49</f>
        <v>0</v>
      </c>
      <c r="C2760" s="1038" t="str">
        <f>OR_VEH!D498</f>
        <v>445-099</v>
      </c>
      <c r="D2760" s="803">
        <f>Page5j_SANS_OBJECT!G$49</f>
        <v>0</v>
      </c>
      <c r="E2760" s="803">
        <f>Page5j_SANS_OBJECT!L$49</f>
        <v>0</v>
      </c>
      <c r="G2760" t="s">
        <v>127</v>
      </c>
      <c r="H2760" t="s">
        <v>10287</v>
      </c>
      <c r="I2760" t="s">
        <v>10253</v>
      </c>
      <c r="K2760" s="1073" t="s">
        <v>10288</v>
      </c>
      <c r="L2760" s="789" t="s">
        <v>10241</v>
      </c>
      <c r="M2760" s="790" t="str">
        <f>LEFT(C2760,3)</f>
        <v>445</v>
      </c>
      <c r="N2760" s="790" t="str">
        <f>RIGHT(C2760,3)</f>
        <v>099</v>
      </c>
      <c r="O2760" s="790" t="s">
        <v>9883</v>
      </c>
      <c r="P2760" s="790" t="s">
        <v>10244</v>
      </c>
      <c r="R2760" s="30"/>
    </row>
    <row r="2761" spans="2:18">
      <c r="B2761" s="5" t="str">
        <f>Page5j_SANS_OBJECT!C$50</f>
        <v>ACCESSOIRES</v>
      </c>
      <c r="C2761" s="1038" t="str">
        <f>OR_VEH!D499</f>
        <v>457P5J</v>
      </c>
      <c r="D2761" s="803">
        <f>Page5j_SANS_OBJECT!G$50</f>
        <v>0</v>
      </c>
      <c r="E2761" s="803">
        <f>Page5j_SANS_OBJECT!L$50</f>
        <v>0</v>
      </c>
      <c r="F2761" t="str">
        <f t="shared" ref="F2761:F2807" si="194">TEXT(K2761,"00")&amp;"-"&amp;L2761&amp;IF(M2761="","","-"&amp;M2761)&amp;IF(N2761="","","-"&amp;N2761)&amp;IF(OR(O2761="",O2761=0),"","-"&amp;O2761)&amp;IF(P2761="","","-"&amp;P2761)</f>
        <v>01-00-457P5J-SALES-CURR</v>
      </c>
      <c r="G2761" t="s">
        <v>127</v>
      </c>
      <c r="H2761" t="s">
        <v>10287</v>
      </c>
      <c r="I2761" t="s">
        <v>10253</v>
      </c>
      <c r="K2761" s="1073" t="s">
        <v>10288</v>
      </c>
      <c r="L2761" s="789" t="s">
        <v>10241</v>
      </c>
      <c r="M2761" s="855" t="str">
        <f>C2761</f>
        <v>457P5J</v>
      </c>
      <c r="N2761" s="855"/>
      <c r="O2761" s="790" t="s">
        <v>9883</v>
      </c>
      <c r="P2761" s="790" t="s">
        <v>10244</v>
      </c>
      <c r="R2761" s="30"/>
    </row>
    <row r="2762" spans="2:18">
      <c r="B2762" s="27" t="s">
        <v>12219</v>
      </c>
      <c r="C2762" s="1042"/>
      <c r="D2762" s="803">
        <f>Page5j_SANS_OBJECT!G$51</f>
        <v>0</v>
      </c>
      <c r="E2762" s="803">
        <f>Page5j_SANS_OBJECT!L$51</f>
        <v>0</v>
      </c>
      <c r="F2762" t="str">
        <f t="shared" si="194"/>
        <v>01-00-TOTVEH5J-SALES-CURR</v>
      </c>
      <c r="G2762" t="s">
        <v>127</v>
      </c>
      <c r="H2762" t="s">
        <v>10287</v>
      </c>
      <c r="I2762" t="s">
        <v>10253</v>
      </c>
      <c r="J2762" t="s">
        <v>10268</v>
      </c>
      <c r="K2762" s="1073" t="s">
        <v>10288</v>
      </c>
      <c r="L2762" s="789" t="s">
        <v>10241</v>
      </c>
      <c r="M2762" s="790" t="s">
        <v>10397</v>
      </c>
      <c r="O2762" s="790" t="s">
        <v>9883</v>
      </c>
      <c r="P2762" s="790" t="s">
        <v>10244</v>
      </c>
      <c r="Q2762" s="791" t="s">
        <v>773</v>
      </c>
    </row>
    <row r="2763" spans="2:18">
      <c r="B2763" s="5" t="str">
        <f>Page5j_SANS_OBJECT!C$4</f>
        <v>NE PAS UTILISER</v>
      </c>
      <c r="C2763" s="1038" t="str">
        <f>OR_VEH!D453</f>
        <v>400-099</v>
      </c>
      <c r="D2763" s="803">
        <f>Page5j_SANS_OBJECT!I4</f>
        <v>0</v>
      </c>
      <c r="E2763" s="803">
        <f>Page5j_SANS_OBJECT!N4</f>
        <v>0</v>
      </c>
      <c r="F2763" t="str">
        <f t="shared" si="194"/>
        <v>01-00-400-099-GRSPFT-CURR</v>
      </c>
      <c r="G2763" t="s">
        <v>127</v>
      </c>
      <c r="H2763" t="s">
        <v>10287</v>
      </c>
      <c r="I2763" t="s">
        <v>10253</v>
      </c>
      <c r="K2763" s="1073" t="s">
        <v>10288</v>
      </c>
      <c r="L2763" s="789" t="s">
        <v>10241</v>
      </c>
      <c r="M2763" s="790" t="str">
        <f t="shared" ref="M2763:M2781" si="195">LEFT(C2763,3)</f>
        <v>400</v>
      </c>
      <c r="N2763" s="790" t="str">
        <f t="shared" ref="N2763:N2781" si="196">RIGHT(C2763,3)</f>
        <v>099</v>
      </c>
      <c r="O2763" s="799" t="s">
        <v>10467</v>
      </c>
      <c r="P2763" s="799" t="s">
        <v>10244</v>
      </c>
      <c r="R2763" s="30"/>
    </row>
    <row r="2764" spans="2:18">
      <c r="B2764" s="5" t="str">
        <f>Page5j_SANS_OBJECT!C$5</f>
        <v>NE PAS UTILISER</v>
      </c>
      <c r="C2764" s="1038" t="str">
        <f>OR_VEH!D454</f>
        <v>401-099</v>
      </c>
      <c r="D2764" s="803">
        <f>Page5j_SANS_OBJECT!I5</f>
        <v>0</v>
      </c>
      <c r="E2764" s="803">
        <f>Page5j_SANS_OBJECT!N5</f>
        <v>0</v>
      </c>
      <c r="F2764" t="str">
        <f t="shared" si="194"/>
        <v>01-00-401-099-GRSPFT-CURR</v>
      </c>
      <c r="G2764" t="s">
        <v>127</v>
      </c>
      <c r="H2764" t="s">
        <v>10287</v>
      </c>
      <c r="I2764" t="s">
        <v>10253</v>
      </c>
      <c r="K2764" s="1073" t="s">
        <v>10288</v>
      </c>
      <c r="L2764" s="789" t="s">
        <v>10241</v>
      </c>
      <c r="M2764" s="790" t="str">
        <f t="shared" si="195"/>
        <v>401</v>
      </c>
      <c r="N2764" s="790" t="str">
        <f t="shared" si="196"/>
        <v>099</v>
      </c>
      <c r="O2764" s="799" t="s">
        <v>10467</v>
      </c>
      <c r="P2764" s="799" t="s">
        <v>10244</v>
      </c>
      <c r="R2764" s="30"/>
    </row>
    <row r="2765" spans="2:18">
      <c r="B2765" s="5" t="str">
        <f>Page5j_SANS_OBJECT!C$6</f>
        <v>NE PAS UTILISER</v>
      </c>
      <c r="C2765" s="1038" t="str">
        <f>OR_VEH!D455</f>
        <v>402-099</v>
      </c>
      <c r="D2765" s="803">
        <f>Page5j_SANS_OBJECT!I6</f>
        <v>0</v>
      </c>
      <c r="E2765" s="803">
        <f>Page5j_SANS_OBJECT!N6</f>
        <v>0</v>
      </c>
      <c r="F2765" t="str">
        <f t="shared" si="194"/>
        <v>01-00-402-099-GRSPFT-CURR</v>
      </c>
      <c r="G2765" t="s">
        <v>127</v>
      </c>
      <c r="H2765" t="s">
        <v>10287</v>
      </c>
      <c r="I2765" t="s">
        <v>10253</v>
      </c>
      <c r="K2765" s="1073" t="s">
        <v>10288</v>
      </c>
      <c r="L2765" s="789" t="s">
        <v>10241</v>
      </c>
      <c r="M2765" s="790" t="str">
        <f t="shared" si="195"/>
        <v>402</v>
      </c>
      <c r="N2765" s="790" t="str">
        <f t="shared" si="196"/>
        <v>099</v>
      </c>
      <c r="O2765" s="799" t="s">
        <v>10467</v>
      </c>
      <c r="P2765" s="799" t="s">
        <v>10244</v>
      </c>
      <c r="R2765" s="30"/>
    </row>
    <row r="2766" spans="2:18">
      <c r="B2766" s="5" t="str">
        <f>Page5j_SANS_OBJECT!C$7</f>
        <v>NE PAS UTILISER</v>
      </c>
      <c r="C2766" s="1038" t="str">
        <f>OR_VEH!D456</f>
        <v>403-099</v>
      </c>
      <c r="D2766" s="803">
        <f>Page5j_SANS_OBJECT!I7</f>
        <v>0</v>
      </c>
      <c r="E2766" s="803">
        <f>Page5j_SANS_OBJECT!N7</f>
        <v>0</v>
      </c>
      <c r="F2766" t="str">
        <f t="shared" si="194"/>
        <v>01-00-403-099-GRSPFT-CURR</v>
      </c>
      <c r="G2766" t="s">
        <v>127</v>
      </c>
      <c r="H2766" t="s">
        <v>10287</v>
      </c>
      <c r="I2766" t="s">
        <v>10253</v>
      </c>
      <c r="K2766" s="1073" t="s">
        <v>10288</v>
      </c>
      <c r="L2766" s="789" t="s">
        <v>10241</v>
      </c>
      <c r="M2766" s="790" t="str">
        <f t="shared" si="195"/>
        <v>403</v>
      </c>
      <c r="N2766" s="790" t="str">
        <f t="shared" si="196"/>
        <v>099</v>
      </c>
      <c r="O2766" s="790" t="s">
        <v>10467</v>
      </c>
      <c r="P2766" s="790" t="s">
        <v>10244</v>
      </c>
      <c r="R2766" s="30"/>
    </row>
    <row r="2767" spans="2:18">
      <c r="B2767" s="5" t="str">
        <f>Page5j_SANS_OBJECT!C$8</f>
        <v>NE PAS UTILISER</v>
      </c>
      <c r="C2767" s="1038" t="str">
        <f>OR_VEH!D457</f>
        <v>404-099</v>
      </c>
      <c r="D2767" s="803">
        <f>Page5j_SANS_OBJECT!I8</f>
        <v>0</v>
      </c>
      <c r="E2767" s="803">
        <f>Page5j_SANS_OBJECT!N8</f>
        <v>0</v>
      </c>
      <c r="F2767" t="str">
        <f t="shared" si="194"/>
        <v>01-00-404-099-GRSPFT-CURR</v>
      </c>
      <c r="G2767" t="s">
        <v>127</v>
      </c>
      <c r="H2767" t="s">
        <v>10287</v>
      </c>
      <c r="I2767" t="s">
        <v>10253</v>
      </c>
      <c r="K2767" s="1073" t="s">
        <v>10288</v>
      </c>
      <c r="L2767" s="789" t="s">
        <v>10241</v>
      </c>
      <c r="M2767" s="790" t="str">
        <f t="shared" si="195"/>
        <v>404</v>
      </c>
      <c r="N2767" s="790" t="str">
        <f t="shared" si="196"/>
        <v>099</v>
      </c>
      <c r="O2767" s="790" t="s">
        <v>10467</v>
      </c>
      <c r="P2767" s="790" t="s">
        <v>10244</v>
      </c>
      <c r="R2767" s="30"/>
    </row>
    <row r="2768" spans="2:18">
      <c r="B2768" s="5" t="str">
        <f>Page5j_SANS_OBJECT!C$9</f>
        <v>NE PAS UTILISER</v>
      </c>
      <c r="C2768" s="1038" t="str">
        <f>OR_VEH!D458</f>
        <v>405-099</v>
      </c>
      <c r="D2768" s="803">
        <f>Page5j_SANS_OBJECT!I9</f>
        <v>0</v>
      </c>
      <c r="E2768" s="803">
        <f>Page5j_SANS_OBJECT!N9</f>
        <v>0</v>
      </c>
      <c r="F2768" t="str">
        <f t="shared" si="194"/>
        <v>01-00-405-099-GRSPFT-CURR</v>
      </c>
      <c r="G2768" t="s">
        <v>127</v>
      </c>
      <c r="H2768" t="s">
        <v>10287</v>
      </c>
      <c r="I2768" t="s">
        <v>10253</v>
      </c>
      <c r="K2768" s="1073" t="s">
        <v>10288</v>
      </c>
      <c r="L2768" s="789" t="s">
        <v>10241</v>
      </c>
      <c r="M2768" s="790" t="str">
        <f t="shared" si="195"/>
        <v>405</v>
      </c>
      <c r="N2768" s="790" t="str">
        <f t="shared" si="196"/>
        <v>099</v>
      </c>
      <c r="O2768" s="790" t="s">
        <v>10467</v>
      </c>
      <c r="P2768" s="790" t="s">
        <v>10244</v>
      </c>
      <c r="R2768" s="30"/>
    </row>
    <row r="2769" spans="2:18">
      <c r="B2769" s="5" t="str">
        <f>Page5j_SANS_OBJECT!C$10</f>
        <v>NE PAS UTILISER</v>
      </c>
      <c r="C2769" s="1038" t="str">
        <f>OR_VEH!D459</f>
        <v>406-099</v>
      </c>
      <c r="D2769" s="803">
        <f>Page5j_SANS_OBJECT!I10</f>
        <v>0</v>
      </c>
      <c r="E2769" s="803">
        <f>Page5j_SANS_OBJECT!N10</f>
        <v>0</v>
      </c>
      <c r="F2769" t="str">
        <f t="shared" si="194"/>
        <v>01-00-406-099-GRSPFT-CURR</v>
      </c>
      <c r="G2769" t="s">
        <v>127</v>
      </c>
      <c r="H2769" t="s">
        <v>10287</v>
      </c>
      <c r="I2769" t="s">
        <v>10253</v>
      </c>
      <c r="K2769" s="1073" t="s">
        <v>10288</v>
      </c>
      <c r="L2769" s="789" t="s">
        <v>10241</v>
      </c>
      <c r="M2769" s="790" t="str">
        <f t="shared" si="195"/>
        <v>406</v>
      </c>
      <c r="N2769" s="790" t="str">
        <f t="shared" si="196"/>
        <v>099</v>
      </c>
      <c r="O2769" s="790" t="s">
        <v>10467</v>
      </c>
      <c r="P2769" s="790" t="s">
        <v>10244</v>
      </c>
      <c r="R2769" s="30"/>
    </row>
    <row r="2770" spans="2:18">
      <c r="B2770" s="5" t="str">
        <f>Page5j_SANS_OBJECT!C$11</f>
        <v>NE PAS UTILISER</v>
      </c>
      <c r="C2770" s="1038" t="str">
        <f>OR_VEH!D460</f>
        <v>407-099</v>
      </c>
      <c r="D2770" s="803">
        <f>Page5j_SANS_OBJECT!I11</f>
        <v>0</v>
      </c>
      <c r="E2770" s="803">
        <f>Page5j_SANS_OBJECT!N11</f>
        <v>0</v>
      </c>
      <c r="F2770" t="str">
        <f t="shared" si="194"/>
        <v>01-00-407-099-GRSPFT-CURR</v>
      </c>
      <c r="G2770" t="s">
        <v>127</v>
      </c>
      <c r="H2770" t="s">
        <v>10287</v>
      </c>
      <c r="I2770" t="s">
        <v>10253</v>
      </c>
      <c r="K2770" s="1073" t="s">
        <v>10288</v>
      </c>
      <c r="L2770" s="789" t="s">
        <v>10241</v>
      </c>
      <c r="M2770" s="790" t="str">
        <f t="shared" si="195"/>
        <v>407</v>
      </c>
      <c r="N2770" s="790" t="str">
        <f t="shared" si="196"/>
        <v>099</v>
      </c>
      <c r="O2770" s="790" t="s">
        <v>10467</v>
      </c>
      <c r="P2770" s="790" t="s">
        <v>10244</v>
      </c>
      <c r="R2770" s="30"/>
    </row>
    <row r="2771" spans="2:18">
      <c r="B2771" s="5" t="str">
        <f>Page5j_SANS_OBJECT!C$12</f>
        <v>NE PAS UTILISER</v>
      </c>
      <c r="C2771" s="1038" t="str">
        <f>OR_VEH!D461</f>
        <v>408-099</v>
      </c>
      <c r="D2771" s="803">
        <f>Page5j_SANS_OBJECT!I12</f>
        <v>0</v>
      </c>
      <c r="E2771" s="803">
        <f>Page5j_SANS_OBJECT!N12</f>
        <v>0</v>
      </c>
      <c r="F2771" t="str">
        <f t="shared" si="194"/>
        <v>01-00-408-099-GRSPFT-CURR</v>
      </c>
      <c r="G2771" t="s">
        <v>127</v>
      </c>
      <c r="H2771" t="s">
        <v>10287</v>
      </c>
      <c r="I2771" t="s">
        <v>10253</v>
      </c>
      <c r="K2771" s="1073" t="s">
        <v>10288</v>
      </c>
      <c r="L2771" s="789" t="s">
        <v>10241</v>
      </c>
      <c r="M2771" s="790" t="str">
        <f t="shared" si="195"/>
        <v>408</v>
      </c>
      <c r="N2771" s="790" t="str">
        <f t="shared" si="196"/>
        <v>099</v>
      </c>
      <c r="O2771" s="790" t="s">
        <v>10467</v>
      </c>
      <c r="P2771" s="790" t="s">
        <v>10244</v>
      </c>
      <c r="R2771" s="30"/>
    </row>
    <row r="2772" spans="2:18">
      <c r="B2772" s="5" t="str">
        <f>Page5j_SANS_OBJECT!C$13</f>
        <v>NE PAS UTILISER</v>
      </c>
      <c r="C2772" s="1038" t="str">
        <f>OR_VEH!D462</f>
        <v>409-099</v>
      </c>
      <c r="D2772" s="803">
        <f>Page5j_SANS_OBJECT!I13</f>
        <v>0</v>
      </c>
      <c r="E2772" s="803">
        <f>Page5j_SANS_OBJECT!N13</f>
        <v>0</v>
      </c>
      <c r="F2772" t="str">
        <f t="shared" si="194"/>
        <v>01-00-409-099-GRSPFT-CURR</v>
      </c>
      <c r="G2772" t="s">
        <v>127</v>
      </c>
      <c r="H2772" t="s">
        <v>10287</v>
      </c>
      <c r="I2772" t="s">
        <v>10253</v>
      </c>
      <c r="K2772" s="1073" t="s">
        <v>10288</v>
      </c>
      <c r="L2772" s="789" t="s">
        <v>10241</v>
      </c>
      <c r="M2772" s="790" t="str">
        <f t="shared" si="195"/>
        <v>409</v>
      </c>
      <c r="N2772" s="790" t="str">
        <f t="shared" si="196"/>
        <v>099</v>
      </c>
      <c r="O2772" s="790" t="s">
        <v>10467</v>
      </c>
      <c r="P2772" s="790" t="s">
        <v>10244</v>
      </c>
      <c r="R2772" s="30"/>
    </row>
    <row r="2773" spans="2:18">
      <c r="B2773" s="5" t="str">
        <f>Page5j_SANS_OBJECT!C$14</f>
        <v>NE PAS UTILISER</v>
      </c>
      <c r="C2773" s="1038" t="str">
        <f>OR_VEH!D463</f>
        <v>410-099</v>
      </c>
      <c r="D2773" s="803">
        <f>Page5j_SANS_OBJECT!I14</f>
        <v>0</v>
      </c>
      <c r="E2773" s="803">
        <f>Page5j_SANS_OBJECT!N14</f>
        <v>0</v>
      </c>
      <c r="F2773" t="str">
        <f t="shared" si="194"/>
        <v>01-00-410-099-GRSPFT-CURR</v>
      </c>
      <c r="G2773" t="s">
        <v>127</v>
      </c>
      <c r="H2773" t="s">
        <v>10287</v>
      </c>
      <c r="I2773" t="s">
        <v>10253</v>
      </c>
      <c r="K2773" s="1073" t="s">
        <v>10288</v>
      </c>
      <c r="L2773" s="789" t="s">
        <v>10241</v>
      </c>
      <c r="M2773" s="790" t="str">
        <f t="shared" si="195"/>
        <v>410</v>
      </c>
      <c r="N2773" s="790" t="str">
        <f t="shared" si="196"/>
        <v>099</v>
      </c>
      <c r="O2773" s="790" t="s">
        <v>10467</v>
      </c>
      <c r="P2773" s="790" t="s">
        <v>10244</v>
      </c>
      <c r="R2773" s="30"/>
    </row>
    <row r="2774" spans="2:18">
      <c r="B2774" s="5" t="str">
        <f>Page5j_SANS_OBJECT!C$15</f>
        <v>NE PAS UTILISER</v>
      </c>
      <c r="C2774" s="1038" t="str">
        <f>OR_VEH!D464</f>
        <v>411-099</v>
      </c>
      <c r="D2774" s="803">
        <f>Page5j_SANS_OBJECT!I15</f>
        <v>0</v>
      </c>
      <c r="E2774" s="803">
        <f>Page5j_SANS_OBJECT!N15</f>
        <v>0</v>
      </c>
      <c r="F2774" t="str">
        <f t="shared" si="194"/>
        <v>01-00-411-099-GRSPFT-CURR</v>
      </c>
      <c r="G2774" t="s">
        <v>127</v>
      </c>
      <c r="H2774" t="s">
        <v>10287</v>
      </c>
      <c r="I2774" t="s">
        <v>10253</v>
      </c>
      <c r="K2774" s="1073" t="s">
        <v>10288</v>
      </c>
      <c r="L2774" s="789" t="s">
        <v>10241</v>
      </c>
      <c r="M2774" s="790" t="str">
        <f t="shared" si="195"/>
        <v>411</v>
      </c>
      <c r="N2774" s="790" t="str">
        <f t="shared" si="196"/>
        <v>099</v>
      </c>
      <c r="O2774" s="790" t="s">
        <v>10467</v>
      </c>
      <c r="P2774" s="790" t="s">
        <v>10244</v>
      </c>
      <c r="R2774" s="30"/>
    </row>
    <row r="2775" spans="2:18">
      <c r="B2775" s="5" t="str">
        <f>Page5j_SANS_OBJECT!C$16</f>
        <v>NE PAS UTILISER</v>
      </c>
      <c r="C2775" s="1038" t="str">
        <f>OR_VEH!D465</f>
        <v>412-099</v>
      </c>
      <c r="D2775" s="803">
        <f>Page5j_SANS_OBJECT!I16</f>
        <v>0</v>
      </c>
      <c r="E2775" s="803">
        <f>Page5j_SANS_OBJECT!N16</f>
        <v>0</v>
      </c>
      <c r="F2775" t="str">
        <f t="shared" si="194"/>
        <v>01-00-412-099-GRSPFT-CURR</v>
      </c>
      <c r="G2775" t="s">
        <v>127</v>
      </c>
      <c r="H2775" t="s">
        <v>10287</v>
      </c>
      <c r="I2775" t="s">
        <v>10253</v>
      </c>
      <c r="K2775" s="1073" t="s">
        <v>10288</v>
      </c>
      <c r="L2775" s="789" t="s">
        <v>10241</v>
      </c>
      <c r="M2775" s="790" t="str">
        <f t="shared" si="195"/>
        <v>412</v>
      </c>
      <c r="N2775" s="790" t="str">
        <f t="shared" si="196"/>
        <v>099</v>
      </c>
      <c r="O2775" s="790" t="s">
        <v>10467</v>
      </c>
      <c r="P2775" s="790" t="s">
        <v>10244</v>
      </c>
      <c r="R2775" s="30"/>
    </row>
    <row r="2776" spans="2:18">
      <c r="B2776" s="5" t="str">
        <f>Page5j_SANS_OBJECT!C$17</f>
        <v>NE PAS UTILISER</v>
      </c>
      <c r="C2776" s="1038" t="str">
        <f>OR_VEH!D466</f>
        <v>413-099</v>
      </c>
      <c r="D2776" s="803">
        <f>Page5j_SANS_OBJECT!I17</f>
        <v>0</v>
      </c>
      <c r="E2776" s="803">
        <f>Page5j_SANS_OBJECT!N17</f>
        <v>0</v>
      </c>
      <c r="F2776" t="str">
        <f t="shared" si="194"/>
        <v>01-00-413-099-GRSPFT-CURR</v>
      </c>
      <c r="G2776" t="s">
        <v>127</v>
      </c>
      <c r="H2776" t="s">
        <v>10287</v>
      </c>
      <c r="I2776" t="s">
        <v>10253</v>
      </c>
      <c r="K2776" s="1073" t="s">
        <v>10288</v>
      </c>
      <c r="L2776" s="789" t="s">
        <v>10241</v>
      </c>
      <c r="M2776" s="790" t="str">
        <f t="shared" si="195"/>
        <v>413</v>
      </c>
      <c r="N2776" s="790" t="str">
        <f t="shared" si="196"/>
        <v>099</v>
      </c>
      <c r="O2776" s="790" t="s">
        <v>10467</v>
      </c>
      <c r="P2776" s="790" t="s">
        <v>10244</v>
      </c>
      <c r="R2776" s="30"/>
    </row>
    <row r="2777" spans="2:18">
      <c r="B2777" s="5" t="str">
        <f>Page5j_SANS_OBJECT!C$18</f>
        <v>NE PAS UTILISER</v>
      </c>
      <c r="C2777" s="1038" t="str">
        <f>OR_VEH!D467</f>
        <v>414-099</v>
      </c>
      <c r="D2777" s="803">
        <f>Page5j_SANS_OBJECT!I18</f>
        <v>0</v>
      </c>
      <c r="E2777" s="803">
        <f>Page5j_SANS_OBJECT!N18</f>
        <v>0</v>
      </c>
      <c r="F2777" t="str">
        <f t="shared" si="194"/>
        <v>01-00-414-099-GRSPFT-CURR</v>
      </c>
      <c r="G2777" t="s">
        <v>127</v>
      </c>
      <c r="H2777" t="s">
        <v>10287</v>
      </c>
      <c r="I2777" t="s">
        <v>10253</v>
      </c>
      <c r="K2777" s="1073" t="s">
        <v>10288</v>
      </c>
      <c r="L2777" s="789" t="s">
        <v>10241</v>
      </c>
      <c r="M2777" s="790" t="str">
        <f t="shared" si="195"/>
        <v>414</v>
      </c>
      <c r="N2777" s="790" t="str">
        <f t="shared" si="196"/>
        <v>099</v>
      </c>
      <c r="O2777" s="790" t="s">
        <v>10467</v>
      </c>
      <c r="P2777" s="790" t="s">
        <v>10244</v>
      </c>
      <c r="R2777" s="30"/>
    </row>
    <row r="2778" spans="2:18">
      <c r="B2778" s="5" t="str">
        <f>Page5j_SANS_OBJECT!C$19</f>
        <v>NE PAS UTILISER</v>
      </c>
      <c r="C2778" s="1038" t="str">
        <f>OR_VEH!D468</f>
        <v>415-099</v>
      </c>
      <c r="D2778" s="803">
        <f>Page5j_SANS_OBJECT!I19</f>
        <v>0</v>
      </c>
      <c r="E2778" s="803">
        <f>Page5j_SANS_OBJECT!N19</f>
        <v>0</v>
      </c>
      <c r="F2778" t="str">
        <f t="shared" si="194"/>
        <v>01-00-415-099-GRSPFT-CURR</v>
      </c>
      <c r="G2778" t="s">
        <v>127</v>
      </c>
      <c r="H2778" t="s">
        <v>10287</v>
      </c>
      <c r="I2778" t="s">
        <v>10253</v>
      </c>
      <c r="K2778" s="1073" t="s">
        <v>10288</v>
      </c>
      <c r="L2778" s="789" t="s">
        <v>10241</v>
      </c>
      <c r="M2778" s="790" t="str">
        <f t="shared" si="195"/>
        <v>415</v>
      </c>
      <c r="N2778" s="790" t="str">
        <f t="shared" si="196"/>
        <v>099</v>
      </c>
      <c r="O2778" s="790" t="s">
        <v>10467</v>
      </c>
      <c r="P2778" s="790" t="s">
        <v>10244</v>
      </c>
      <c r="R2778" s="30"/>
    </row>
    <row r="2779" spans="2:18">
      <c r="B2779" s="5" t="str">
        <f>Page5j_SANS_OBJECT!C$20</f>
        <v>NE PAS UTILISER</v>
      </c>
      <c r="C2779" s="1038" t="str">
        <f>OR_VEH!D469</f>
        <v>416-099</v>
      </c>
      <c r="D2779" s="803">
        <f>Page5j_SANS_OBJECT!I20</f>
        <v>0</v>
      </c>
      <c r="E2779" s="803">
        <f>Page5j_SANS_OBJECT!N20</f>
        <v>0</v>
      </c>
      <c r="F2779" t="str">
        <f t="shared" si="194"/>
        <v>01-00-416-099-GRSPFT-CURR</v>
      </c>
      <c r="G2779" t="s">
        <v>127</v>
      </c>
      <c r="H2779" t="s">
        <v>10287</v>
      </c>
      <c r="I2779" t="s">
        <v>10253</v>
      </c>
      <c r="K2779" s="1073" t="s">
        <v>10288</v>
      </c>
      <c r="L2779" s="789" t="s">
        <v>10241</v>
      </c>
      <c r="M2779" s="790" t="str">
        <f t="shared" si="195"/>
        <v>416</v>
      </c>
      <c r="N2779" s="790" t="str">
        <f t="shared" si="196"/>
        <v>099</v>
      </c>
      <c r="O2779" s="790" t="s">
        <v>10467</v>
      </c>
      <c r="P2779" s="790" t="s">
        <v>10244</v>
      </c>
      <c r="R2779" s="30"/>
    </row>
    <row r="2780" spans="2:18">
      <c r="B2780" s="5" t="str">
        <f>Page5j_SANS_OBJECT!C$21</f>
        <v>NE PAS UTILISER</v>
      </c>
      <c r="C2780" s="1038" t="str">
        <f>OR_VEH!D470</f>
        <v>417-099</v>
      </c>
      <c r="D2780" s="803">
        <f>Page5j_SANS_OBJECT!I21</f>
        <v>0</v>
      </c>
      <c r="E2780" s="803">
        <f>Page5j_SANS_OBJECT!N21</f>
        <v>0</v>
      </c>
      <c r="F2780" t="str">
        <f t="shared" si="194"/>
        <v>01-00-417-099-GRSPFT-CURR</v>
      </c>
      <c r="G2780" t="s">
        <v>127</v>
      </c>
      <c r="H2780" t="s">
        <v>10287</v>
      </c>
      <c r="I2780" t="s">
        <v>10253</v>
      </c>
      <c r="K2780" s="1073" t="s">
        <v>10288</v>
      </c>
      <c r="L2780" s="789" t="s">
        <v>10241</v>
      </c>
      <c r="M2780" s="790" t="str">
        <f t="shared" si="195"/>
        <v>417</v>
      </c>
      <c r="N2780" s="790" t="str">
        <f t="shared" si="196"/>
        <v>099</v>
      </c>
      <c r="O2780" s="790" t="s">
        <v>10467</v>
      </c>
      <c r="P2780" s="790" t="s">
        <v>10244</v>
      </c>
      <c r="R2780" s="30"/>
    </row>
    <row r="2781" spans="2:18">
      <c r="B2781" s="5" t="str">
        <f>Page5j_SANS_OBJECT!C$22</f>
        <v>NE PAS UTILISER</v>
      </c>
      <c r="C2781" s="1038" t="str">
        <f>OR_VEH!D471</f>
        <v>418-099</v>
      </c>
      <c r="D2781" s="803">
        <f>Page5j_SANS_OBJECT!I22</f>
        <v>0</v>
      </c>
      <c r="E2781" s="803">
        <f>Page5j_SANS_OBJECT!N22</f>
        <v>0</v>
      </c>
      <c r="F2781" t="str">
        <f t="shared" si="194"/>
        <v>01-00-418-099-GRSPFT-CURR</v>
      </c>
      <c r="G2781" t="s">
        <v>127</v>
      </c>
      <c r="H2781" t="s">
        <v>10287</v>
      </c>
      <c r="I2781" t="s">
        <v>10253</v>
      </c>
      <c r="K2781" s="1073" t="s">
        <v>10288</v>
      </c>
      <c r="L2781" s="789" t="s">
        <v>10241</v>
      </c>
      <c r="M2781" s="790" t="str">
        <f t="shared" si="195"/>
        <v>418</v>
      </c>
      <c r="N2781" s="790" t="str">
        <f t="shared" si="196"/>
        <v>099</v>
      </c>
      <c r="O2781" s="790" t="s">
        <v>10467</v>
      </c>
      <c r="P2781" s="790" t="s">
        <v>10244</v>
      </c>
      <c r="R2781" s="30"/>
    </row>
    <row r="2782" spans="2:18">
      <c r="B2782" s="27" t="s">
        <v>12220</v>
      </c>
      <c r="C2782" s="1042"/>
      <c r="D2782" s="803">
        <f>Page5j_SANS_OBJECT!I23</f>
        <v>0</v>
      </c>
      <c r="E2782" s="803">
        <f>Page5j_SANS_OBJECT!N23</f>
        <v>0</v>
      </c>
      <c r="F2782" t="str">
        <f t="shared" si="194"/>
        <v>01-00-RTLCAR5J-GRSPFT-CURR</v>
      </c>
      <c r="G2782" t="s">
        <v>127</v>
      </c>
      <c r="H2782" t="s">
        <v>10287</v>
      </c>
      <c r="I2782" t="s">
        <v>10253</v>
      </c>
      <c r="J2782" t="s">
        <v>10268</v>
      </c>
      <c r="K2782" s="1073" t="s">
        <v>10288</v>
      </c>
      <c r="L2782" s="789" t="s">
        <v>10241</v>
      </c>
      <c r="M2782" s="790" t="s">
        <v>10389</v>
      </c>
      <c r="O2782" s="790" t="s">
        <v>10467</v>
      </c>
      <c r="P2782" s="790" t="s">
        <v>10244</v>
      </c>
      <c r="Q2782" s="791" t="s">
        <v>773</v>
      </c>
    </row>
    <row r="2783" spans="2:18">
      <c r="B2783" s="5" t="str">
        <f>Page5j_SANS_OBJECT!C$24</f>
        <v>MÉMO* VENTES INTERNET VOITURES</v>
      </c>
      <c r="C2783" s="1038" t="str">
        <f>OR_VEH!D473</f>
        <v>419P5J</v>
      </c>
      <c r="D2783" s="803">
        <f>Page5j_SANS_OBJECT!I24</f>
        <v>0</v>
      </c>
      <c r="E2783" s="803">
        <f>Page5j_SANS_OBJECT!N24</f>
        <v>0</v>
      </c>
      <c r="F2783" t="str">
        <f t="shared" si="194"/>
        <v>01-00-419P5J-GRSPFT-CURR</v>
      </c>
      <c r="G2783" t="s">
        <v>127</v>
      </c>
      <c r="H2783" t="s">
        <v>10287</v>
      </c>
      <c r="I2783" t="s">
        <v>10253</v>
      </c>
      <c r="K2783" s="1073" t="s">
        <v>10288</v>
      </c>
      <c r="L2783" s="789" t="s">
        <v>10241</v>
      </c>
      <c r="M2783" s="855" t="str">
        <f>C2783</f>
        <v>419P5J</v>
      </c>
      <c r="N2783" s="855"/>
      <c r="O2783" s="790" t="s">
        <v>10467</v>
      </c>
      <c r="P2783" s="790" t="s">
        <v>10244</v>
      </c>
      <c r="R2783" s="30"/>
    </row>
    <row r="2784" spans="2:18">
      <c r="B2784" s="5" t="str">
        <f>Page5j_SANS_OBJECT!C$25</f>
        <v>TOTAL PARCS - VOITURES</v>
      </c>
      <c r="C2784" s="1038" t="str">
        <f>OR_VEH!D474</f>
        <v>420P5J</v>
      </c>
      <c r="D2784" s="803">
        <f>Page5j_SANS_OBJECT!I25</f>
        <v>0</v>
      </c>
      <c r="E2784" s="803">
        <f>Page5j_SANS_OBJECT!N25</f>
        <v>0</v>
      </c>
      <c r="F2784" t="str">
        <f t="shared" si="194"/>
        <v>01-00-420P5J-GRSPFT-CURR</v>
      </c>
      <c r="G2784" t="s">
        <v>127</v>
      </c>
      <c r="H2784" t="s">
        <v>10287</v>
      </c>
      <c r="I2784" t="s">
        <v>10253</v>
      </c>
      <c r="K2784" s="1073" t="s">
        <v>10288</v>
      </c>
      <c r="L2784" s="789" t="s">
        <v>10241</v>
      </c>
      <c r="M2784" s="855" t="str">
        <f>C2784</f>
        <v>420P5J</v>
      </c>
      <c r="N2784" s="855"/>
      <c r="O2784" s="799" t="s">
        <v>10467</v>
      </c>
      <c r="P2784" s="799" t="s">
        <v>10244</v>
      </c>
      <c r="R2784" s="30"/>
    </row>
    <row r="2785" spans="2:18">
      <c r="B2785" s="5" t="str">
        <f>Page5j_SANS_OBJECT!C$26</f>
        <v>TOTAL INTERNE - VOITURES</v>
      </c>
      <c r="C2785" s="1038" t="str">
        <f>OR_VEH!D475</f>
        <v>421P5J</v>
      </c>
      <c r="D2785" s="803">
        <f>Page5j_SANS_OBJECT!I26</f>
        <v>0</v>
      </c>
      <c r="E2785" s="803">
        <f>Page5j_SANS_OBJECT!N26</f>
        <v>0</v>
      </c>
      <c r="F2785" t="str">
        <f t="shared" si="194"/>
        <v>01-00-421P5J-GRSPFT-CURR</v>
      </c>
      <c r="G2785" t="s">
        <v>127</v>
      </c>
      <c r="H2785" t="s">
        <v>10287</v>
      </c>
      <c r="I2785" t="s">
        <v>10253</v>
      </c>
      <c r="K2785" s="1073" t="s">
        <v>10288</v>
      </c>
      <c r="L2785" s="789" t="s">
        <v>10241</v>
      </c>
      <c r="M2785" s="855" t="str">
        <f>C2785</f>
        <v>421P5J</v>
      </c>
      <c r="N2785" s="855"/>
      <c r="O2785" s="799" t="s">
        <v>10467</v>
      </c>
      <c r="P2785" s="799" t="s">
        <v>10244</v>
      </c>
      <c r="R2785" s="30"/>
    </row>
    <row r="2786" spans="2:18">
      <c r="B2786" s="27" t="s">
        <v>12221</v>
      </c>
      <c r="C2786" s="1042"/>
      <c r="D2786" s="803">
        <f>Page5j_SANS_OBJECT!I27</f>
        <v>0</v>
      </c>
      <c r="E2786" s="803">
        <f>Page5j_SANS_OBJECT!N27</f>
        <v>0</v>
      </c>
      <c r="F2786" t="str">
        <f t="shared" si="194"/>
        <v>01-00-TOTCAR5J-GRSPFT-CURR</v>
      </c>
      <c r="G2786" t="s">
        <v>127</v>
      </c>
      <c r="H2786" t="s">
        <v>10287</v>
      </c>
      <c r="I2786" t="s">
        <v>10253</v>
      </c>
      <c r="J2786" t="s">
        <v>10268</v>
      </c>
      <c r="K2786" s="1073" t="s">
        <v>10288</v>
      </c>
      <c r="L2786" s="789" t="s">
        <v>10241</v>
      </c>
      <c r="M2786" s="790" t="s">
        <v>10391</v>
      </c>
      <c r="O2786" s="790" t="s">
        <v>10467</v>
      </c>
      <c r="P2786" s="790" t="s">
        <v>10244</v>
      </c>
      <c r="Q2786" s="791" t="s">
        <v>773</v>
      </c>
    </row>
    <row r="2787" spans="2:18">
      <c r="B2787" s="5" t="str">
        <f>Page5j_SANS_OBJECT!C$28</f>
        <v>POIDS LOURD</v>
      </c>
      <c r="C2787" s="1038" t="str">
        <f>OR_VEH!D477</f>
        <v>423-099</v>
      </c>
      <c r="D2787" s="803">
        <f>Page5j_SANS_OBJECT!I28</f>
        <v>0</v>
      </c>
      <c r="E2787" s="803">
        <f>Page5j_SANS_OBJECT!N28</f>
        <v>0</v>
      </c>
      <c r="F2787" t="str">
        <f t="shared" si="194"/>
        <v>01-00-423-099-GRSPFT-CURR</v>
      </c>
      <c r="G2787" t="s">
        <v>127</v>
      </c>
      <c r="H2787" t="s">
        <v>10287</v>
      </c>
      <c r="I2787" t="s">
        <v>10253</v>
      </c>
      <c r="K2787" s="1073" t="s">
        <v>10288</v>
      </c>
      <c r="L2787" s="789" t="s">
        <v>10241</v>
      </c>
      <c r="M2787" s="790" t="str">
        <f t="shared" ref="M2787:M2802" si="197">LEFT(C2787,3)</f>
        <v>423</v>
      </c>
      <c r="N2787" s="790" t="str">
        <f t="shared" ref="N2787:N2802" si="198">RIGHT(C2787,3)</f>
        <v>099</v>
      </c>
      <c r="O2787" s="790" t="s">
        <v>10467</v>
      </c>
      <c r="P2787" s="790" t="s">
        <v>10244</v>
      </c>
      <c r="R2787" s="30"/>
    </row>
    <row r="2788" spans="2:18">
      <c r="B2788" s="5" t="str">
        <f>Page5j_SANS_OBJECT!C$29</f>
        <v>NE PAS UTILISER</v>
      </c>
      <c r="C2788" s="1038" t="str">
        <f>OR_VEH!D478</f>
        <v>424-099</v>
      </c>
      <c r="D2788" s="803">
        <f>Page5j_SANS_OBJECT!I29</f>
        <v>0</v>
      </c>
      <c r="E2788" s="803">
        <f>Page5j_SANS_OBJECT!N29</f>
        <v>0</v>
      </c>
      <c r="F2788" t="str">
        <f t="shared" si="194"/>
        <v>01-00-424-099-GRSPFT-CURR</v>
      </c>
      <c r="G2788" t="s">
        <v>127</v>
      </c>
      <c r="H2788" t="s">
        <v>10287</v>
      </c>
      <c r="I2788" t="s">
        <v>10253</v>
      </c>
      <c r="K2788" s="1073" t="s">
        <v>10288</v>
      </c>
      <c r="L2788" s="789" t="s">
        <v>10241</v>
      </c>
      <c r="M2788" s="790" t="str">
        <f t="shared" si="197"/>
        <v>424</v>
      </c>
      <c r="N2788" s="790" t="str">
        <f t="shared" si="198"/>
        <v>099</v>
      </c>
      <c r="O2788" s="790" t="s">
        <v>10467</v>
      </c>
      <c r="P2788" s="790" t="s">
        <v>10244</v>
      </c>
      <c r="R2788" s="30"/>
    </row>
    <row r="2789" spans="2:18">
      <c r="B2789" s="5" t="str">
        <f>Page5j_SANS_OBJECT!C$30</f>
        <v>NE PAS UTILISER</v>
      </c>
      <c r="C2789" s="1038" t="str">
        <f>OR_VEH!D479</f>
        <v>425-099</v>
      </c>
      <c r="D2789" s="803">
        <f>Page5j_SANS_OBJECT!I30</f>
        <v>0</v>
      </c>
      <c r="E2789" s="803">
        <f>Page5j_SANS_OBJECT!N30</f>
        <v>0</v>
      </c>
      <c r="F2789" t="str">
        <f t="shared" si="194"/>
        <v>01-00-425-099-GRSPFT-CURR</v>
      </c>
      <c r="G2789" t="s">
        <v>127</v>
      </c>
      <c r="H2789" t="s">
        <v>10287</v>
      </c>
      <c r="I2789" t="s">
        <v>10253</v>
      </c>
      <c r="K2789" s="1073" t="s">
        <v>10288</v>
      </c>
      <c r="L2789" s="789" t="s">
        <v>10241</v>
      </c>
      <c r="M2789" s="790" t="str">
        <f t="shared" si="197"/>
        <v>425</v>
      </c>
      <c r="N2789" s="790" t="str">
        <f t="shared" si="198"/>
        <v>099</v>
      </c>
      <c r="O2789" s="790" t="s">
        <v>10467</v>
      </c>
      <c r="P2789" s="790" t="s">
        <v>10244</v>
      </c>
      <c r="R2789" s="30"/>
    </row>
    <row r="2790" spans="2:18">
      <c r="B2790" s="5" t="str">
        <f>Page5j_SANS_OBJECT!C$31</f>
        <v>NE PAS UTILISER</v>
      </c>
      <c r="C2790" s="1038" t="str">
        <f>OR_VEH!D480</f>
        <v>426-099</v>
      </c>
      <c r="D2790" s="803">
        <f>Page5j_SANS_OBJECT!I31</f>
        <v>0</v>
      </c>
      <c r="E2790" s="803">
        <f>Page5j_SANS_OBJECT!N31</f>
        <v>0</v>
      </c>
      <c r="F2790" t="str">
        <f t="shared" si="194"/>
        <v>01-00-426-099-GRSPFT-CURR</v>
      </c>
      <c r="G2790" t="s">
        <v>127</v>
      </c>
      <c r="H2790" t="s">
        <v>10287</v>
      </c>
      <c r="I2790" t="s">
        <v>10253</v>
      </c>
      <c r="K2790" s="1073" t="s">
        <v>10288</v>
      </c>
      <c r="L2790" s="789" t="s">
        <v>10241</v>
      </c>
      <c r="M2790" s="790" t="str">
        <f t="shared" si="197"/>
        <v>426</v>
      </c>
      <c r="N2790" s="790" t="str">
        <f t="shared" si="198"/>
        <v>099</v>
      </c>
      <c r="O2790" s="790" t="s">
        <v>10467</v>
      </c>
      <c r="P2790" s="790" t="s">
        <v>10244</v>
      </c>
      <c r="R2790" s="30"/>
    </row>
    <row r="2791" spans="2:18">
      <c r="B2791" s="5" t="str">
        <f>Page5j_SANS_OBJECT!C$32</f>
        <v>NE PAS UTILISER</v>
      </c>
      <c r="C2791" s="1038" t="str">
        <f>OR_VEH!D481</f>
        <v>427-099</v>
      </c>
      <c r="D2791" s="803">
        <f>Page5j_SANS_OBJECT!I32</f>
        <v>0</v>
      </c>
      <c r="E2791" s="803">
        <f>Page5j_SANS_OBJECT!N32</f>
        <v>0</v>
      </c>
      <c r="F2791" t="str">
        <f t="shared" si="194"/>
        <v>01-00-427-099-GRSPFT-CURR</v>
      </c>
      <c r="G2791" t="s">
        <v>127</v>
      </c>
      <c r="H2791" t="s">
        <v>10287</v>
      </c>
      <c r="I2791" t="s">
        <v>10253</v>
      </c>
      <c r="K2791" s="1073" t="s">
        <v>10288</v>
      </c>
      <c r="L2791" s="789" t="s">
        <v>10241</v>
      </c>
      <c r="M2791" s="790" t="str">
        <f t="shared" si="197"/>
        <v>427</v>
      </c>
      <c r="N2791" s="790" t="str">
        <f t="shared" si="198"/>
        <v>099</v>
      </c>
      <c r="O2791" s="790" t="s">
        <v>10467</v>
      </c>
      <c r="P2791" s="790" t="s">
        <v>10244</v>
      </c>
      <c r="R2791" s="30"/>
    </row>
    <row r="2792" spans="2:18">
      <c r="B2792" s="5" t="str">
        <f>Page5j_SANS_OBJECT!C$33</f>
        <v>NE PAS UTILISER</v>
      </c>
      <c r="C2792" s="1038" t="str">
        <f>OR_VEH!D482</f>
        <v>428-099</v>
      </c>
      <c r="D2792" s="803">
        <f>Page5j_SANS_OBJECT!I33</f>
        <v>0</v>
      </c>
      <c r="E2792" s="803">
        <f>Page5j_SANS_OBJECT!N33</f>
        <v>0</v>
      </c>
      <c r="F2792" t="str">
        <f t="shared" si="194"/>
        <v>01-00-428-099-GRSPFT-CURR</v>
      </c>
      <c r="G2792" t="s">
        <v>127</v>
      </c>
      <c r="H2792" t="s">
        <v>10287</v>
      </c>
      <c r="I2792" t="s">
        <v>10253</v>
      </c>
      <c r="K2792" s="1073" t="s">
        <v>10288</v>
      </c>
      <c r="L2792" s="789" t="s">
        <v>10241</v>
      </c>
      <c r="M2792" s="790" t="str">
        <f t="shared" si="197"/>
        <v>428</v>
      </c>
      <c r="N2792" s="790" t="str">
        <f t="shared" si="198"/>
        <v>099</v>
      </c>
      <c r="O2792" s="790" t="s">
        <v>10467</v>
      </c>
      <c r="P2792" s="790" t="s">
        <v>10244</v>
      </c>
      <c r="R2792" s="30"/>
    </row>
    <row r="2793" spans="2:18">
      <c r="B2793" s="5" t="str">
        <f>Page5j_SANS_OBJECT!C$34</f>
        <v>NE PAS UTILISER</v>
      </c>
      <c r="C2793" s="1038" t="str">
        <f>OR_VEH!D483</f>
        <v>429-099</v>
      </c>
      <c r="D2793" s="803">
        <f>Page5j_SANS_OBJECT!I34</f>
        <v>0</v>
      </c>
      <c r="E2793" s="803">
        <f>Page5j_SANS_OBJECT!N34</f>
        <v>0</v>
      </c>
      <c r="F2793" t="str">
        <f t="shared" si="194"/>
        <v>01-00-429-099-GRSPFT-CURR</v>
      </c>
      <c r="G2793" t="s">
        <v>127</v>
      </c>
      <c r="H2793" t="s">
        <v>10287</v>
      </c>
      <c r="I2793" t="s">
        <v>10253</v>
      </c>
      <c r="K2793" s="1073" t="s">
        <v>10288</v>
      </c>
      <c r="L2793" s="789" t="s">
        <v>10241</v>
      </c>
      <c r="M2793" s="790" t="str">
        <f t="shared" si="197"/>
        <v>429</v>
      </c>
      <c r="N2793" s="790" t="str">
        <f t="shared" si="198"/>
        <v>099</v>
      </c>
      <c r="O2793" s="790" t="s">
        <v>10467</v>
      </c>
      <c r="P2793" s="790" t="s">
        <v>10244</v>
      </c>
      <c r="R2793" s="30"/>
    </row>
    <row r="2794" spans="2:18">
      <c r="B2794" s="5" t="str">
        <f>Page5j_SANS_OBJECT!C$35</f>
        <v>NE PAS UTILISER</v>
      </c>
      <c r="C2794" s="1038" t="str">
        <f>OR_VEH!D484</f>
        <v>430-099</v>
      </c>
      <c r="D2794" s="803">
        <f>Page5j_SANS_OBJECT!I35</f>
        <v>0</v>
      </c>
      <c r="E2794" s="803">
        <f>Page5j_SANS_OBJECT!N35</f>
        <v>0</v>
      </c>
      <c r="F2794" t="str">
        <f t="shared" si="194"/>
        <v>01-00-430-099-GRSPFT-CURR</v>
      </c>
      <c r="G2794" t="s">
        <v>127</v>
      </c>
      <c r="H2794" t="s">
        <v>10287</v>
      </c>
      <c r="I2794" t="s">
        <v>10253</v>
      </c>
      <c r="K2794" s="1073" t="s">
        <v>10288</v>
      </c>
      <c r="L2794" s="789" t="s">
        <v>10241</v>
      </c>
      <c r="M2794" s="790" t="str">
        <f t="shared" si="197"/>
        <v>430</v>
      </c>
      <c r="N2794" s="790" t="str">
        <f t="shared" si="198"/>
        <v>099</v>
      </c>
      <c r="O2794" s="790" t="s">
        <v>10467</v>
      </c>
      <c r="P2794" s="790" t="s">
        <v>10244</v>
      </c>
      <c r="R2794" s="30"/>
    </row>
    <row r="2795" spans="2:18">
      <c r="B2795" s="5" t="str">
        <f>Page5j_SANS_OBJECT!C$36</f>
        <v>NE PAS UTILISER</v>
      </c>
      <c r="C2795" s="1038" t="str">
        <f>OR_VEH!D485</f>
        <v>431-099</v>
      </c>
      <c r="D2795" s="803">
        <f>Page5j_SANS_OBJECT!I36</f>
        <v>0</v>
      </c>
      <c r="E2795" s="803">
        <f>Page5j_SANS_OBJECT!N36</f>
        <v>0</v>
      </c>
      <c r="F2795" t="str">
        <f t="shared" si="194"/>
        <v>01-00-431-099-GRSPFT-CURR</v>
      </c>
      <c r="G2795" t="s">
        <v>127</v>
      </c>
      <c r="H2795" t="s">
        <v>10287</v>
      </c>
      <c r="I2795" t="s">
        <v>10253</v>
      </c>
      <c r="K2795" s="1073" t="s">
        <v>10288</v>
      </c>
      <c r="L2795" s="789" t="s">
        <v>10241</v>
      </c>
      <c r="M2795" s="790" t="str">
        <f t="shared" si="197"/>
        <v>431</v>
      </c>
      <c r="N2795" s="790" t="str">
        <f t="shared" si="198"/>
        <v>099</v>
      </c>
      <c r="O2795" s="790" t="s">
        <v>10467</v>
      </c>
      <c r="P2795" s="790" t="s">
        <v>10244</v>
      </c>
      <c r="R2795" s="30"/>
    </row>
    <row r="2796" spans="2:18">
      <c r="B2796" s="5" t="str">
        <f>Page5j_SANS_OBJECT!C$37</f>
        <v>NE PAS UTILISER</v>
      </c>
      <c r="C2796" s="1038" t="str">
        <f>OR_VEH!D486</f>
        <v>432-099</v>
      </c>
      <c r="D2796" s="803">
        <f>Page5j_SANS_OBJECT!I37</f>
        <v>0</v>
      </c>
      <c r="E2796" s="803">
        <f>Page5j_SANS_OBJECT!N37</f>
        <v>0</v>
      </c>
      <c r="F2796" t="str">
        <f t="shared" si="194"/>
        <v>01-00-432-099-GRSPFT-CURR</v>
      </c>
      <c r="G2796" t="s">
        <v>127</v>
      </c>
      <c r="H2796" t="s">
        <v>10287</v>
      </c>
      <c r="I2796" t="s">
        <v>10253</v>
      </c>
      <c r="K2796" s="1073" t="s">
        <v>10288</v>
      </c>
      <c r="L2796" s="789" t="s">
        <v>10241</v>
      </c>
      <c r="M2796" s="790" t="str">
        <f t="shared" si="197"/>
        <v>432</v>
      </c>
      <c r="N2796" s="790" t="str">
        <f t="shared" si="198"/>
        <v>099</v>
      </c>
      <c r="O2796" s="790" t="s">
        <v>10467</v>
      </c>
      <c r="P2796" s="790" t="s">
        <v>10244</v>
      </c>
      <c r="R2796" s="30"/>
    </row>
    <row r="2797" spans="2:18">
      <c r="B2797" s="5" t="str">
        <f>Page5j_SANS_OBJECT!C$38</f>
        <v>NE PAS UTILISER</v>
      </c>
      <c r="C2797" s="1038" t="str">
        <f>OR_VEH!D487</f>
        <v>433-099</v>
      </c>
      <c r="D2797" s="803">
        <f>Page5j_SANS_OBJECT!I38</f>
        <v>0</v>
      </c>
      <c r="E2797" s="803">
        <f>Page5j_SANS_OBJECT!N38</f>
        <v>0</v>
      </c>
      <c r="F2797" t="str">
        <f t="shared" si="194"/>
        <v>01-00-433-099-GRSPFT-CURR</v>
      </c>
      <c r="G2797" t="s">
        <v>127</v>
      </c>
      <c r="H2797" t="s">
        <v>10287</v>
      </c>
      <c r="I2797" t="s">
        <v>10253</v>
      </c>
      <c r="K2797" s="1073" t="s">
        <v>10288</v>
      </c>
      <c r="L2797" s="789" t="s">
        <v>10241</v>
      </c>
      <c r="M2797" s="790" t="str">
        <f t="shared" si="197"/>
        <v>433</v>
      </c>
      <c r="N2797" s="790" t="str">
        <f t="shared" si="198"/>
        <v>099</v>
      </c>
      <c r="O2797" s="790" t="s">
        <v>10467</v>
      </c>
      <c r="P2797" s="790" t="s">
        <v>10244</v>
      </c>
      <c r="R2797" s="30"/>
    </row>
    <row r="2798" spans="2:18">
      <c r="B2798" s="5" t="str">
        <f>Page5j_SANS_OBJECT!C$39</f>
        <v>NE PAS UTILISER</v>
      </c>
      <c r="C2798" s="1038" t="str">
        <f>OR_VEH!D488</f>
        <v>434-099</v>
      </c>
      <c r="D2798" s="803">
        <f>Page5j_SANS_OBJECT!I39</f>
        <v>0</v>
      </c>
      <c r="E2798" s="803">
        <f>Page5j_SANS_OBJECT!N39</f>
        <v>0</v>
      </c>
      <c r="F2798" t="str">
        <f t="shared" si="194"/>
        <v>01-00-434-099-GRSPFT-CURR</v>
      </c>
      <c r="G2798" t="s">
        <v>127</v>
      </c>
      <c r="H2798" t="s">
        <v>10287</v>
      </c>
      <c r="I2798" t="s">
        <v>10253</v>
      </c>
      <c r="K2798" s="1073" t="s">
        <v>10288</v>
      </c>
      <c r="L2798" s="789" t="s">
        <v>10241</v>
      </c>
      <c r="M2798" s="790" t="str">
        <f t="shared" si="197"/>
        <v>434</v>
      </c>
      <c r="N2798" s="790" t="str">
        <f t="shared" si="198"/>
        <v>099</v>
      </c>
      <c r="O2798" s="790" t="s">
        <v>10467</v>
      </c>
      <c r="P2798" s="790" t="s">
        <v>10244</v>
      </c>
      <c r="R2798" s="30"/>
    </row>
    <row r="2799" spans="2:18">
      <c r="B2799" s="5" t="str">
        <f>Page5j_SANS_OBJECT!C$40</f>
        <v>NE PAS UTILISER</v>
      </c>
      <c r="C2799" s="1038" t="str">
        <f>OR_VEH!D489</f>
        <v>435-099</v>
      </c>
      <c r="D2799" s="803">
        <f>Page5j_SANS_OBJECT!I40</f>
        <v>0</v>
      </c>
      <c r="E2799" s="803">
        <f>Page5j_SANS_OBJECT!N40</f>
        <v>0</v>
      </c>
      <c r="F2799" t="str">
        <f t="shared" si="194"/>
        <v>01-00-435-099-GRSPFT-CURR</v>
      </c>
      <c r="G2799" t="s">
        <v>127</v>
      </c>
      <c r="H2799" t="s">
        <v>10287</v>
      </c>
      <c r="I2799" t="s">
        <v>10253</v>
      </c>
      <c r="K2799" s="1073" t="s">
        <v>10288</v>
      </c>
      <c r="L2799" s="789" t="s">
        <v>10241</v>
      </c>
      <c r="M2799" s="790" t="str">
        <f t="shared" si="197"/>
        <v>435</v>
      </c>
      <c r="N2799" s="790" t="str">
        <f t="shared" si="198"/>
        <v>099</v>
      </c>
      <c r="O2799" s="790" t="s">
        <v>10467</v>
      </c>
      <c r="P2799" s="790" t="s">
        <v>10244</v>
      </c>
      <c r="R2799" s="30"/>
    </row>
    <row r="2800" spans="2:18">
      <c r="B2800" s="5" t="str">
        <f>Page5j_SANS_OBJECT!C$41</f>
        <v>NE PAS UTILISER</v>
      </c>
      <c r="C2800" s="1038" t="str">
        <f>OR_VEH!D490</f>
        <v>436-099</v>
      </c>
      <c r="D2800" s="803">
        <f>Page5j_SANS_OBJECT!I41</f>
        <v>0</v>
      </c>
      <c r="E2800" s="803">
        <f>Page5j_SANS_OBJECT!N41</f>
        <v>0</v>
      </c>
      <c r="F2800" t="str">
        <f t="shared" si="194"/>
        <v>01-00-436-099-GRSPFT-CURR</v>
      </c>
      <c r="G2800" t="s">
        <v>127</v>
      </c>
      <c r="H2800" t="s">
        <v>10287</v>
      </c>
      <c r="I2800" t="s">
        <v>10253</v>
      </c>
      <c r="K2800" s="1073" t="s">
        <v>10288</v>
      </c>
      <c r="L2800" s="789" t="s">
        <v>10241</v>
      </c>
      <c r="M2800" s="790" t="str">
        <f t="shared" si="197"/>
        <v>436</v>
      </c>
      <c r="N2800" s="790" t="str">
        <f t="shared" si="198"/>
        <v>099</v>
      </c>
      <c r="O2800" s="790" t="s">
        <v>10467</v>
      </c>
      <c r="P2800" s="790" t="s">
        <v>10244</v>
      </c>
      <c r="R2800" s="30"/>
    </row>
    <row r="2801" spans="2:18">
      <c r="B2801" s="5" t="str">
        <f>Page5j_SANS_OBJECT!C$42</f>
        <v>NE PAS UTILISER</v>
      </c>
      <c r="C2801" s="1038" t="str">
        <f>OR_VEH!D491</f>
        <v>437-099</v>
      </c>
      <c r="D2801" s="803">
        <f>Page5j_SANS_OBJECT!I42</f>
        <v>0</v>
      </c>
      <c r="E2801" s="803">
        <f>Page5j_SANS_OBJECT!N42</f>
        <v>0</v>
      </c>
      <c r="F2801" t="str">
        <f t="shared" si="194"/>
        <v>01-00-437-099-GRSPFT-CURR</v>
      </c>
      <c r="G2801" t="s">
        <v>127</v>
      </c>
      <c r="H2801" t="s">
        <v>10287</v>
      </c>
      <c r="I2801" t="s">
        <v>10253</v>
      </c>
      <c r="K2801" s="1073" t="s">
        <v>10288</v>
      </c>
      <c r="L2801" s="789" t="s">
        <v>10241</v>
      </c>
      <c r="M2801" s="790" t="str">
        <f t="shared" si="197"/>
        <v>437</v>
      </c>
      <c r="N2801" s="790" t="str">
        <f t="shared" si="198"/>
        <v>099</v>
      </c>
      <c r="O2801" s="790" t="s">
        <v>10467</v>
      </c>
      <c r="P2801" s="790" t="s">
        <v>10244</v>
      </c>
      <c r="R2801" s="30"/>
    </row>
    <row r="2802" spans="2:18">
      <c r="B2802" s="5" t="str">
        <f>Page5j_SANS_OBJECT!C$43</f>
        <v>NE PAS UTILISER</v>
      </c>
      <c r="C2802" s="1038" t="str">
        <f>OR_VEH!D492</f>
        <v>438-099</v>
      </c>
      <c r="D2802" s="803">
        <f>Page5j_SANS_OBJECT!I43</f>
        <v>0</v>
      </c>
      <c r="E2802" s="803">
        <f>Page5j_SANS_OBJECT!N43</f>
        <v>0</v>
      </c>
      <c r="F2802" t="str">
        <f t="shared" si="194"/>
        <v>01-00-438-099-GRSPFT-CURR</v>
      </c>
      <c r="G2802" t="s">
        <v>127</v>
      </c>
      <c r="H2802" t="s">
        <v>10287</v>
      </c>
      <c r="I2802" t="s">
        <v>10253</v>
      </c>
      <c r="K2802" s="1073" t="s">
        <v>10288</v>
      </c>
      <c r="L2802" s="789" t="s">
        <v>10241</v>
      </c>
      <c r="M2802" s="790" t="str">
        <f t="shared" si="197"/>
        <v>438</v>
      </c>
      <c r="N2802" s="790" t="str">
        <f t="shared" si="198"/>
        <v>099</v>
      </c>
      <c r="O2802" s="790" t="s">
        <v>10467</v>
      </c>
      <c r="P2802" s="790" t="s">
        <v>10244</v>
      </c>
      <c r="R2802" s="30"/>
    </row>
    <row r="2803" spans="2:18">
      <c r="B2803" s="51" t="s">
        <v>12222</v>
      </c>
      <c r="C2803" s="1042"/>
      <c r="D2803" s="803">
        <f>Page5j_SANS_OBJECT!I44</f>
        <v>0</v>
      </c>
      <c r="E2803" s="803">
        <f>Page5j_SANS_OBJECT!N44</f>
        <v>0</v>
      </c>
      <c r="F2803" t="str">
        <f t="shared" si="194"/>
        <v>01-00-RTLTRK5J-GRSPFT-CURR</v>
      </c>
      <c r="G2803" t="s">
        <v>127</v>
      </c>
      <c r="H2803" t="s">
        <v>10287</v>
      </c>
      <c r="I2803" t="s">
        <v>10253</v>
      </c>
      <c r="J2803" t="s">
        <v>10268</v>
      </c>
      <c r="K2803" s="1073" t="s">
        <v>10288</v>
      </c>
      <c r="L2803" s="789" t="s">
        <v>10241</v>
      </c>
      <c r="M2803" s="855" t="s">
        <v>10393</v>
      </c>
      <c r="O2803" s="790" t="s">
        <v>10467</v>
      </c>
      <c r="P2803" s="790" t="s">
        <v>10244</v>
      </c>
      <c r="Q2803" s="791" t="s">
        <v>773</v>
      </c>
    </row>
    <row r="2804" spans="2:18">
      <c r="B2804" s="5" t="str">
        <f>Page5j_SANS_OBJECT!C$45</f>
        <v>MÉMO* VENTES INTERNET CAMIONS</v>
      </c>
      <c r="C2804" s="1038" t="str">
        <f>OR_VEH!D494</f>
        <v>439P5J</v>
      </c>
      <c r="D2804" s="803">
        <f>Page5j_SANS_OBJECT!I45</f>
        <v>0</v>
      </c>
      <c r="E2804" s="803">
        <f>Page5j_SANS_OBJECT!N45</f>
        <v>0</v>
      </c>
      <c r="F2804" t="str">
        <f t="shared" si="194"/>
        <v>01-00-439P5J-GRSPFT-CURR</v>
      </c>
      <c r="G2804" t="s">
        <v>127</v>
      </c>
      <c r="H2804" t="s">
        <v>10287</v>
      </c>
      <c r="I2804" t="s">
        <v>10253</v>
      </c>
      <c r="K2804" s="1073" t="s">
        <v>10288</v>
      </c>
      <c r="L2804" s="789" t="s">
        <v>10241</v>
      </c>
      <c r="M2804" s="855" t="str">
        <f>C2804</f>
        <v>439P5J</v>
      </c>
      <c r="N2804" s="855"/>
      <c r="O2804" s="790" t="s">
        <v>10467</v>
      </c>
      <c r="P2804" s="790" t="s">
        <v>10244</v>
      </c>
      <c r="R2804" s="30"/>
    </row>
    <row r="2805" spans="2:18">
      <c r="B2805" s="5" t="str">
        <f>Page5j_SANS_OBJECT!C$46</f>
        <v>TOTAL PARCS - CAMIONS</v>
      </c>
      <c r="C2805" s="1038" t="str">
        <f>OR_VEH!D495</f>
        <v>440P5J</v>
      </c>
      <c r="D2805" s="803">
        <f>Page5j_SANS_OBJECT!I46</f>
        <v>0</v>
      </c>
      <c r="E2805" s="803">
        <f>Page5j_SANS_OBJECT!N46</f>
        <v>0</v>
      </c>
      <c r="F2805" t="str">
        <f t="shared" si="194"/>
        <v>01-00-440P5J-GRSPFT-CURR</v>
      </c>
      <c r="G2805" t="s">
        <v>127</v>
      </c>
      <c r="H2805" t="s">
        <v>10287</v>
      </c>
      <c r="I2805" t="s">
        <v>10253</v>
      </c>
      <c r="K2805" s="1073" t="s">
        <v>10288</v>
      </c>
      <c r="L2805" s="789" t="s">
        <v>10241</v>
      </c>
      <c r="M2805" s="855" t="str">
        <f>C2805</f>
        <v>440P5J</v>
      </c>
      <c r="N2805" s="855"/>
      <c r="O2805" s="790" t="s">
        <v>10467</v>
      </c>
      <c r="P2805" s="790" t="s">
        <v>10244</v>
      </c>
      <c r="R2805" s="30"/>
    </row>
    <row r="2806" spans="2:18">
      <c r="B2806" s="5" t="str">
        <f>Page5j_SANS_OBJECT!C$47</f>
        <v xml:space="preserve">TOTAL IINTERNE - CAMIONS </v>
      </c>
      <c r="C2806" s="1038" t="str">
        <f>OR_VEH!D496</f>
        <v>441P5J</v>
      </c>
      <c r="D2806" s="803">
        <f>Page5j_SANS_OBJECT!I47</f>
        <v>0</v>
      </c>
      <c r="E2806" s="803">
        <f>Page5j_SANS_OBJECT!N47</f>
        <v>0</v>
      </c>
      <c r="F2806" t="str">
        <f t="shared" si="194"/>
        <v>01-00-441P5J-GRSPFT-CURR</v>
      </c>
      <c r="G2806" t="s">
        <v>127</v>
      </c>
      <c r="H2806" t="s">
        <v>10287</v>
      </c>
      <c r="I2806" t="s">
        <v>10253</v>
      </c>
      <c r="K2806" s="1073" t="s">
        <v>10288</v>
      </c>
      <c r="L2806" s="789" t="s">
        <v>10241</v>
      </c>
      <c r="M2806" s="855" t="str">
        <f>C2806</f>
        <v>441P5J</v>
      </c>
      <c r="N2806" s="855"/>
      <c r="O2806" s="790" t="s">
        <v>10467</v>
      </c>
      <c r="P2806" s="790" t="s">
        <v>10244</v>
      </c>
      <c r="R2806" s="30"/>
    </row>
    <row r="2807" spans="2:18">
      <c r="B2807" s="27" t="s">
        <v>12223</v>
      </c>
      <c r="C2807" s="1042"/>
      <c r="D2807" s="803">
        <f>Page5j_SANS_OBJECT!I48</f>
        <v>0</v>
      </c>
      <c r="E2807" s="803">
        <f>Page5j_SANS_OBJECT!N48</f>
        <v>0</v>
      </c>
      <c r="F2807" t="str">
        <f t="shared" si="194"/>
        <v>01-00-TOTTRK5J-GRSPFT-CURR</v>
      </c>
      <c r="G2807" t="s">
        <v>127</v>
      </c>
      <c r="H2807" t="s">
        <v>10287</v>
      </c>
      <c r="I2807" t="s">
        <v>10253</v>
      </c>
      <c r="J2807" t="s">
        <v>10268</v>
      </c>
      <c r="K2807" s="1073" t="s">
        <v>10288</v>
      </c>
      <c r="L2807" s="789" t="s">
        <v>10241</v>
      </c>
      <c r="M2807" s="790" t="s">
        <v>10395</v>
      </c>
      <c r="O2807" s="790" t="s">
        <v>10467</v>
      </c>
      <c r="P2807" s="790" t="s">
        <v>10244</v>
      </c>
      <c r="Q2807" s="791" t="s">
        <v>773</v>
      </c>
    </row>
    <row r="2808" spans="2:18">
      <c r="B2808" s="5">
        <f>Page5j_SANS_OBJECT!C49</f>
        <v>0</v>
      </c>
      <c r="C2808" s="1038" t="str">
        <f>OR_VEH!D498</f>
        <v>445-099</v>
      </c>
      <c r="D2808" s="803">
        <f>Page5j_SANS_OBJECT!I49</f>
        <v>0</v>
      </c>
      <c r="E2808" s="803">
        <f>Page5j_SANS_OBJECT!N49</f>
        <v>0</v>
      </c>
      <c r="G2808" t="s">
        <v>127</v>
      </c>
      <c r="H2808" t="s">
        <v>10287</v>
      </c>
      <c r="I2808" t="s">
        <v>10253</v>
      </c>
      <c r="K2808" s="1073" t="s">
        <v>10288</v>
      </c>
      <c r="L2808" s="789" t="s">
        <v>10241</v>
      </c>
      <c r="M2808" s="790" t="str">
        <f>LEFT(C2808,3)</f>
        <v>445</v>
      </c>
      <c r="N2808" s="790" t="str">
        <f>RIGHT(C2808,3)</f>
        <v>099</v>
      </c>
      <c r="O2808" s="790" t="s">
        <v>10467</v>
      </c>
      <c r="P2808" s="790" t="s">
        <v>10244</v>
      </c>
      <c r="R2808" s="30"/>
    </row>
    <row r="2809" spans="2:18">
      <c r="B2809" s="5" t="str">
        <f>Page5j_SANS_OBJECT!C50</f>
        <v>ACCESSOIRES</v>
      </c>
      <c r="C2809" s="1038" t="str">
        <f>OR_VEH!D499</f>
        <v>457P5J</v>
      </c>
      <c r="D2809" s="803">
        <f>Page5j_SANS_OBJECT!I50</f>
        <v>0</v>
      </c>
      <c r="E2809" s="803">
        <f>Page5j_SANS_OBJECT!N50</f>
        <v>0</v>
      </c>
      <c r="F2809" t="str">
        <f>TEXT(K2809,"00")&amp;"-"&amp;L2809&amp;IF(M2809="","","-"&amp;M2809)&amp;IF(N2809="","","-"&amp;N2809)&amp;IF(OR(O2809="",O2809=0),"","-"&amp;O2809)&amp;IF(P2809="","","-"&amp;P2809)</f>
        <v>01-00-457P5J-GRSPFT-CURR</v>
      </c>
      <c r="G2809" t="s">
        <v>127</v>
      </c>
      <c r="H2809" t="s">
        <v>10287</v>
      </c>
      <c r="I2809" t="s">
        <v>10253</v>
      </c>
      <c r="K2809" s="1073" t="s">
        <v>10288</v>
      </c>
      <c r="L2809" s="789" t="s">
        <v>10241</v>
      </c>
      <c r="M2809" s="855" t="str">
        <f>C2809</f>
        <v>457P5J</v>
      </c>
      <c r="N2809" s="855"/>
      <c r="O2809" s="790" t="s">
        <v>10467</v>
      </c>
      <c r="P2809" s="790" t="s">
        <v>10244</v>
      </c>
      <c r="R2809" s="30"/>
    </row>
    <row r="2810" spans="2:18">
      <c r="B2810" s="27" t="s">
        <v>12224</v>
      </c>
      <c r="C2810" s="1042"/>
      <c r="D2810" s="803">
        <f>Page5j_SANS_OBJECT!I51</f>
        <v>0</v>
      </c>
      <c r="E2810" s="803">
        <f>Page5j_SANS_OBJECT!N51</f>
        <v>0</v>
      </c>
      <c r="F2810" t="str">
        <f>TEXT(K2810,"00")&amp;"-"&amp;L2810&amp;IF(M2810="","","-"&amp;M2810)&amp;IF(N2810="","","-"&amp;N2810)&amp;IF(OR(O2810="",O2810=0),"","-"&amp;O2810)&amp;IF(P2810="","","-"&amp;P2810)</f>
        <v>01-00-TOTVEH5J-GRSPFT-CURR</v>
      </c>
      <c r="G2810" t="s">
        <v>127</v>
      </c>
      <c r="H2810" t="s">
        <v>10287</v>
      </c>
      <c r="I2810" t="s">
        <v>10253</v>
      </c>
      <c r="J2810" t="s">
        <v>10268</v>
      </c>
      <c r="K2810" s="1073" t="s">
        <v>10288</v>
      </c>
      <c r="L2810" s="789" t="s">
        <v>10241</v>
      </c>
      <c r="M2810" s="790" t="s">
        <v>10397</v>
      </c>
      <c r="O2810" s="790" t="s">
        <v>10467</v>
      </c>
      <c r="P2810" s="790" t="s">
        <v>10244</v>
      </c>
      <c r="Q2810" s="791" t="s">
        <v>773</v>
      </c>
    </row>
    <row r="2811" spans="2:18">
      <c r="B2811" s="1077" t="s">
        <v>12225</v>
      </c>
      <c r="C2811" s="1038" t="s">
        <v>691</v>
      </c>
      <c r="D2811" s="803">
        <f>Page6!G4</f>
        <v>0</v>
      </c>
      <c r="E2811" s="803">
        <f>Page6!L4</f>
        <v>0</v>
      </c>
      <c r="F2811" t="str">
        <f>TEXT(K2811,"00")&amp;"-"&amp;L2811&amp;IF(M2811="","","-"&amp;M2811)&amp;IF(N2811="","","-"&amp;N2811)&amp;IF(OR(O2811="",O2811=0),"","-"&amp;O2811)&amp;IF(P2811="","","-"&amp;P2811)</f>
        <v>02-00-446A-SALES-CURR</v>
      </c>
      <c r="G2811" t="s">
        <v>127</v>
      </c>
      <c r="H2811" t="s">
        <v>10287</v>
      </c>
      <c r="I2811" t="s">
        <v>10253</v>
      </c>
      <c r="K2811" s="1073" t="s">
        <v>10837</v>
      </c>
      <c r="L2811" s="789" t="s">
        <v>10241</v>
      </c>
      <c r="M2811" s="790" t="s">
        <v>691</v>
      </c>
      <c r="O2811" s="790" t="s">
        <v>9883</v>
      </c>
      <c r="P2811" s="790" t="s">
        <v>10244</v>
      </c>
      <c r="R2811" s="30"/>
    </row>
    <row r="2812" spans="2:18">
      <c r="B2812" s="40" t="s">
        <v>12226</v>
      </c>
      <c r="C2812" s="1038" t="s">
        <v>694</v>
      </c>
      <c r="D2812" s="803">
        <f>Page6!G5</f>
        <v>62171</v>
      </c>
      <c r="E2812" s="803">
        <f>Page6!L5</f>
        <v>423573</v>
      </c>
      <c r="F2812" t="str">
        <f>TEXT(K2812,"00")&amp;"-"&amp;L2812&amp;IF(M2812="","","-"&amp;M2812)&amp;IF(N2812="","","-"&amp;N2812)&amp;IF(OR(O2812="",O2812=0),"","-"&amp;O2812)&amp;IF(P2812="","","-"&amp;P2812)</f>
        <v>02-00-446B-SALES-CURR</v>
      </c>
      <c r="G2812" t="s">
        <v>127</v>
      </c>
      <c r="H2812" t="s">
        <v>10287</v>
      </c>
      <c r="I2812" t="s">
        <v>10253</v>
      </c>
      <c r="K2812" s="1073" t="s">
        <v>10837</v>
      </c>
      <c r="L2812" s="789" t="s">
        <v>10241</v>
      </c>
      <c r="M2812" s="790" t="s">
        <v>694</v>
      </c>
      <c r="O2812" s="790" t="s">
        <v>9883</v>
      </c>
      <c r="P2812" s="790" t="s">
        <v>10244</v>
      </c>
      <c r="R2812" s="30"/>
    </row>
    <row r="2813" spans="2:18">
      <c r="B2813" s="1077" t="s">
        <v>12227</v>
      </c>
      <c r="C2813" s="1038" t="s">
        <v>700</v>
      </c>
      <c r="D2813" s="803">
        <f>Page6!G7</f>
        <v>0</v>
      </c>
      <c r="E2813" s="803">
        <f>Page6!L7</f>
        <v>0</v>
      </c>
      <c r="F2813" t="str">
        <f>TEXT(K2813,"00")&amp;"-"&amp;L2813&amp;IF(M2813="","","-"&amp;M2813)&amp;IF(N2813="","","-"&amp;N2813)&amp;IF(OR(O2813="",O2813=0),"","-"&amp;O2813)&amp;IF(P2813="","","-"&amp;P2813)</f>
        <v>02-00-450A-SALES-CURR</v>
      </c>
      <c r="G2813" t="s">
        <v>127</v>
      </c>
      <c r="H2813" t="s">
        <v>10287</v>
      </c>
      <c r="I2813" t="s">
        <v>10253</v>
      </c>
      <c r="K2813" s="1073" t="s">
        <v>10837</v>
      </c>
      <c r="L2813" s="789" t="s">
        <v>10241</v>
      </c>
      <c r="M2813" s="790" t="s">
        <v>700</v>
      </c>
      <c r="O2813" s="790" t="s">
        <v>9883</v>
      </c>
      <c r="P2813" s="790" t="s">
        <v>10244</v>
      </c>
      <c r="R2813" s="30"/>
    </row>
    <row r="2814" spans="2:18">
      <c r="B2814" s="40" t="s">
        <v>12228</v>
      </c>
      <c r="C2814" s="1038" t="s">
        <v>703</v>
      </c>
      <c r="D2814" s="803">
        <f>Page6!G8</f>
        <v>231998</v>
      </c>
      <c r="E2814" s="803">
        <f>Page6!L8</f>
        <v>955545</v>
      </c>
      <c r="F2814" t="str">
        <f t="shared" ref="F2814:F2889" si="199">TEXT(K2814,"00")&amp;"-"&amp;L2814&amp;IF(M2814="","","-"&amp;M2814)&amp;IF(N2814="","","-"&amp;N2814)&amp;IF(OR(O2814="",O2814=0),"","-"&amp;O2814)&amp;IF(P2814="","","-"&amp;P2814)</f>
        <v>02-00-450B-SALES-CURR</v>
      </c>
      <c r="G2814" t="s">
        <v>127</v>
      </c>
      <c r="H2814" t="s">
        <v>10287</v>
      </c>
      <c r="I2814" t="s">
        <v>10253</v>
      </c>
      <c r="K2814" s="1073" t="s">
        <v>10837</v>
      </c>
      <c r="L2814" s="789" t="s">
        <v>10241</v>
      </c>
      <c r="M2814" s="790" t="s">
        <v>703</v>
      </c>
      <c r="O2814" s="790" t="s">
        <v>9883</v>
      </c>
      <c r="P2814" s="790" t="s">
        <v>10244</v>
      </c>
      <c r="R2814" s="30"/>
    </row>
    <row r="2815" spans="2:18">
      <c r="B2815" s="27" t="s">
        <v>12229</v>
      </c>
      <c r="C2815" s="1042"/>
      <c r="D2815" s="803">
        <f>Page6!G10</f>
        <v>294169</v>
      </c>
      <c r="E2815" s="803">
        <f>Page6!L10</f>
        <v>1379118</v>
      </c>
      <c r="F2815" t="str">
        <f t="shared" si="199"/>
        <v>02-00-RTLVEH-SALES-CURR</v>
      </c>
      <c r="G2815" t="s">
        <v>127</v>
      </c>
      <c r="H2815" t="s">
        <v>10287</v>
      </c>
      <c r="I2815" t="s">
        <v>10253</v>
      </c>
      <c r="J2815" t="s">
        <v>10268</v>
      </c>
      <c r="K2815" s="1073" t="s">
        <v>10837</v>
      </c>
      <c r="L2815" s="789" t="s">
        <v>10241</v>
      </c>
      <c r="M2815" s="790" t="s">
        <v>10851</v>
      </c>
      <c r="O2815" s="790" t="s">
        <v>9883</v>
      </c>
      <c r="P2815" s="790" t="s">
        <v>10244</v>
      </c>
      <c r="Q2815" s="791" t="s">
        <v>773</v>
      </c>
    </row>
    <row r="2816" spans="2:18">
      <c r="B2816" s="40" t="s">
        <v>12230</v>
      </c>
      <c r="C2816" s="1038">
        <v>448</v>
      </c>
      <c r="D2816" s="803">
        <f>Page6!G11</f>
        <v>1913477</v>
      </c>
      <c r="E2816" s="803">
        <f>Page6!L11</f>
        <v>6876504</v>
      </c>
      <c r="F2816" t="str">
        <f t="shared" si="199"/>
        <v>02-00-448-SALES-CURR</v>
      </c>
      <c r="G2816" t="s">
        <v>127</v>
      </c>
      <c r="H2816" t="s">
        <v>10287</v>
      </c>
      <c r="I2816" t="s">
        <v>10253</v>
      </c>
      <c r="K2816" s="1073" t="s">
        <v>10837</v>
      </c>
      <c r="L2816" s="789" t="s">
        <v>10241</v>
      </c>
      <c r="M2816" s="790" t="s">
        <v>10853</v>
      </c>
      <c r="O2816" s="790" t="s">
        <v>9883</v>
      </c>
      <c r="P2816" s="790" t="s">
        <v>10244</v>
      </c>
      <c r="R2816" s="30"/>
    </row>
    <row r="2817" spans="2:18">
      <c r="B2817" s="5" t="s">
        <v>12231</v>
      </c>
      <c r="C2817" s="1038">
        <v>649</v>
      </c>
      <c r="D2817" s="803">
        <f>Page6!I12</f>
        <v>0</v>
      </c>
      <c r="E2817" s="803">
        <f>Page6!N12</f>
        <v>0</v>
      </c>
      <c r="F2817" t="str">
        <f t="shared" si="199"/>
        <v>02-00-649-SALES-CURR</v>
      </c>
      <c r="G2817" t="s">
        <v>127</v>
      </c>
      <c r="H2817" t="s">
        <v>10287</v>
      </c>
      <c r="I2817" t="s">
        <v>10253</v>
      </c>
      <c r="K2817" s="1073" t="s">
        <v>10837</v>
      </c>
      <c r="L2817" s="789" t="s">
        <v>10241</v>
      </c>
      <c r="M2817" s="790">
        <v>649</v>
      </c>
      <c r="O2817" s="790" t="s">
        <v>9883</v>
      </c>
      <c r="P2817" s="790" t="s">
        <v>10244</v>
      </c>
      <c r="R2817" s="30"/>
    </row>
    <row r="2818" spans="2:18">
      <c r="B2818" s="5" t="s">
        <v>12232</v>
      </c>
      <c r="C2818" s="1038">
        <v>452</v>
      </c>
      <c r="D2818" s="803">
        <f>Page6!G13</f>
        <v>1216537</v>
      </c>
      <c r="E2818" s="803">
        <f>Page6!L13</f>
        <v>1350838</v>
      </c>
      <c r="F2818" t="str">
        <f t="shared" si="199"/>
        <v>02-00-452-SALES-CURR</v>
      </c>
      <c r="G2818" t="s">
        <v>127</v>
      </c>
      <c r="H2818" t="s">
        <v>10287</v>
      </c>
      <c r="I2818" t="s">
        <v>10253</v>
      </c>
      <c r="K2818" s="1073" t="s">
        <v>10837</v>
      </c>
      <c r="L2818" s="789" t="s">
        <v>10241</v>
      </c>
      <c r="M2818" s="790" t="s">
        <v>10858</v>
      </c>
      <c r="O2818" s="790" t="s">
        <v>9883</v>
      </c>
      <c r="P2818" s="790" t="s">
        <v>10244</v>
      </c>
      <c r="R2818" s="30"/>
    </row>
    <row r="2819" spans="2:18">
      <c r="B2819" s="5" t="s">
        <v>12233</v>
      </c>
      <c r="C2819" s="1038">
        <v>653</v>
      </c>
      <c r="D2819" s="803">
        <f>Page6!I14</f>
        <v>0</v>
      </c>
      <c r="E2819" s="803">
        <f>Page6!N14</f>
        <v>0</v>
      </c>
      <c r="F2819" t="str">
        <f t="shared" si="199"/>
        <v>02-00-653-SALES-CURR</v>
      </c>
      <c r="G2819" t="s">
        <v>127</v>
      </c>
      <c r="H2819" t="s">
        <v>10287</v>
      </c>
      <c r="I2819" t="s">
        <v>10253</v>
      </c>
      <c r="K2819" s="1073" t="s">
        <v>10837</v>
      </c>
      <c r="L2819" s="789" t="s">
        <v>10241</v>
      </c>
      <c r="M2819" s="790">
        <v>653</v>
      </c>
      <c r="O2819" s="790" t="s">
        <v>9883</v>
      </c>
      <c r="P2819" s="790" t="s">
        <v>10244</v>
      </c>
      <c r="R2819" s="30"/>
    </row>
    <row r="2820" spans="2:18">
      <c r="B2820" s="27" t="s">
        <v>12234</v>
      </c>
      <c r="C2820" s="1042"/>
      <c r="D2820" s="803">
        <f>Page6!G15</f>
        <v>3130014</v>
      </c>
      <c r="E2820" s="803">
        <f>Page6!L15</f>
        <v>8227342</v>
      </c>
      <c r="F2820" t="str">
        <f t="shared" si="199"/>
        <v>02-00-WHLSVEH-SALES-CURR</v>
      </c>
      <c r="G2820" t="s">
        <v>127</v>
      </c>
      <c r="H2820" t="s">
        <v>10287</v>
      </c>
      <c r="I2820" t="s">
        <v>10253</v>
      </c>
      <c r="J2820" t="s">
        <v>10268</v>
      </c>
      <c r="K2820" s="1073" t="s">
        <v>10837</v>
      </c>
      <c r="L2820" s="789" t="s">
        <v>10241</v>
      </c>
      <c r="M2820" s="790" t="s">
        <v>10861</v>
      </c>
      <c r="O2820" s="790" t="s">
        <v>9883</v>
      </c>
      <c r="P2820" s="790" t="s">
        <v>10244</v>
      </c>
      <c r="Q2820" s="791" t="s">
        <v>773</v>
      </c>
    </row>
    <row r="2821" spans="2:18">
      <c r="B2821" s="5" t="s">
        <v>12235</v>
      </c>
      <c r="C2821" s="1038">
        <v>456</v>
      </c>
      <c r="D2821" s="803">
        <f>Page6!G16</f>
        <v>1998853</v>
      </c>
      <c r="E2821" s="803">
        <f>Page6!L16</f>
        <v>6952190</v>
      </c>
      <c r="F2821" t="str">
        <f t="shared" si="199"/>
        <v>02-00-456-SALES-CURR</v>
      </c>
      <c r="G2821" t="s">
        <v>127</v>
      </c>
      <c r="H2821" t="s">
        <v>10287</v>
      </c>
      <c r="I2821" t="s">
        <v>10253</v>
      </c>
      <c r="K2821" s="1073" t="s">
        <v>10837</v>
      </c>
      <c r="L2821" s="789" t="s">
        <v>10241</v>
      </c>
      <c r="M2821" s="790" t="s">
        <v>12236</v>
      </c>
      <c r="O2821" s="790" t="s">
        <v>9883</v>
      </c>
      <c r="P2821" s="790" t="s">
        <v>10244</v>
      </c>
      <c r="R2821" s="30"/>
    </row>
    <row r="2822" spans="2:18">
      <c r="B2822" s="51" t="s">
        <v>12237</v>
      </c>
      <c r="C2822" s="1042"/>
      <c r="D2822" s="803">
        <f>Page6!G17</f>
        <v>5423036</v>
      </c>
      <c r="E2822" s="803">
        <f>Page6!L17</f>
        <v>16558650</v>
      </c>
      <c r="F2822" t="str">
        <f t="shared" si="199"/>
        <v>02-00-USEDVEH-SALES-CURR</v>
      </c>
      <c r="G2822" t="s">
        <v>127</v>
      </c>
      <c r="H2822" t="s">
        <v>10287</v>
      </c>
      <c r="I2822" t="s">
        <v>10253</v>
      </c>
      <c r="J2822" t="s">
        <v>10268</v>
      </c>
      <c r="K2822" s="1073" t="s">
        <v>10837</v>
      </c>
      <c r="L2822" s="789" t="s">
        <v>10241</v>
      </c>
      <c r="M2822" s="790" t="s">
        <v>10863</v>
      </c>
      <c r="O2822" s="790" t="s">
        <v>9883</v>
      </c>
      <c r="P2822" s="790" t="s">
        <v>10244</v>
      </c>
      <c r="Q2822" s="791" t="s">
        <v>773</v>
      </c>
    </row>
    <row r="2823" spans="2:18">
      <c r="B2823" s="5" t="s">
        <v>12238</v>
      </c>
      <c r="C2823" s="1042"/>
      <c r="D2823" s="803">
        <f>Page6!G18</f>
        <v>9859640</v>
      </c>
      <c r="E2823" s="803">
        <f>Page6!L18</f>
        <v>33164952</v>
      </c>
      <c r="F2823" t="str">
        <f t="shared" si="199"/>
        <v>00-00-NEWUSED-SALES-CURR</v>
      </c>
      <c r="G2823" t="s">
        <v>127</v>
      </c>
      <c r="H2823" t="s">
        <v>10287</v>
      </c>
      <c r="I2823" t="s">
        <v>10253</v>
      </c>
      <c r="J2823" t="s">
        <v>10268</v>
      </c>
      <c r="K2823" s="1073" t="s">
        <v>10241</v>
      </c>
      <c r="L2823" s="789" t="s">
        <v>10241</v>
      </c>
      <c r="M2823" s="790" t="s">
        <v>10865</v>
      </c>
      <c r="O2823" s="790" t="s">
        <v>9883</v>
      </c>
      <c r="P2823" s="790" t="s">
        <v>10244</v>
      </c>
      <c r="Q2823" s="791" t="s">
        <v>773</v>
      </c>
    </row>
    <row r="2824" spans="2:18">
      <c r="B2824" s="27" t="s">
        <v>12239</v>
      </c>
      <c r="C2824" s="1042"/>
      <c r="D2824" s="803">
        <f>Page6!G19</f>
        <v>44441</v>
      </c>
      <c r="E2824" s="803">
        <f>Page6!L19</f>
        <v>170336</v>
      </c>
      <c r="F2824" t="str">
        <f t="shared" si="199"/>
        <v>04-00-TOTFIPP-SALES-CURR</v>
      </c>
      <c r="G2824" t="s">
        <v>127</v>
      </c>
      <c r="H2824" t="s">
        <v>10287</v>
      </c>
      <c r="I2824" t="s">
        <v>10253</v>
      </c>
      <c r="J2824" t="s">
        <v>10268</v>
      </c>
      <c r="K2824" s="1073" t="s">
        <v>10890</v>
      </c>
      <c r="L2824" s="789" t="s">
        <v>10241</v>
      </c>
      <c r="M2824" s="790" t="s">
        <v>12240</v>
      </c>
      <c r="O2824" s="790" t="s">
        <v>9883</v>
      </c>
      <c r="P2824" s="790" t="s">
        <v>10244</v>
      </c>
      <c r="Q2824" s="791" t="s">
        <v>773</v>
      </c>
    </row>
    <row r="2825" spans="2:18">
      <c r="B2825" s="5" t="s">
        <v>12241</v>
      </c>
      <c r="C2825" s="1042"/>
      <c r="D2825" s="803">
        <f>Page6!G21</f>
        <v>9904081</v>
      </c>
      <c r="E2825" s="803">
        <f>Page6!L21</f>
        <v>33335288</v>
      </c>
      <c r="F2825" t="str">
        <f t="shared" si="199"/>
        <v>00-00-VAROPERS-SALES-CURR</v>
      </c>
      <c r="G2825" t="s">
        <v>127</v>
      </c>
      <c r="H2825" t="s">
        <v>10287</v>
      </c>
      <c r="I2825" t="s">
        <v>10253</v>
      </c>
      <c r="J2825" t="s">
        <v>10268</v>
      </c>
      <c r="K2825" s="1073" t="s">
        <v>10241</v>
      </c>
      <c r="L2825" s="789" t="s">
        <v>10241</v>
      </c>
      <c r="M2825" s="790" t="s">
        <v>12242</v>
      </c>
      <c r="O2825" s="790" t="s">
        <v>9883</v>
      </c>
      <c r="P2825" s="790" t="s">
        <v>10244</v>
      </c>
      <c r="Q2825" s="791" t="s">
        <v>773</v>
      </c>
    </row>
    <row r="2826" spans="2:18">
      <c r="B2826" s="1077" t="s">
        <v>12243</v>
      </c>
      <c r="C2826" s="1038" t="s">
        <v>691</v>
      </c>
      <c r="D2826" s="803">
        <f>Page6!I4</f>
        <v>0</v>
      </c>
      <c r="E2826" s="803">
        <f>Page6!N4</f>
        <v>0</v>
      </c>
      <c r="F2826" t="str">
        <f t="shared" si="199"/>
        <v>02-00-446A-GRSPFT-CURR</v>
      </c>
      <c r="G2826" t="s">
        <v>127</v>
      </c>
      <c r="H2826" t="s">
        <v>10287</v>
      </c>
      <c r="I2826" t="s">
        <v>10253</v>
      </c>
      <c r="K2826" s="1073" t="s">
        <v>10837</v>
      </c>
      <c r="L2826" s="789" t="s">
        <v>10241</v>
      </c>
      <c r="M2826" s="790" t="s">
        <v>691</v>
      </c>
      <c r="O2826" s="790" t="s">
        <v>10467</v>
      </c>
      <c r="P2826" s="790" t="s">
        <v>10244</v>
      </c>
      <c r="R2826" s="30"/>
    </row>
    <row r="2827" spans="2:18">
      <c r="B2827" s="40" t="s">
        <v>12244</v>
      </c>
      <c r="C2827" s="1038" t="s">
        <v>694</v>
      </c>
      <c r="D2827" s="803">
        <f>Page6!I5</f>
        <v>7480</v>
      </c>
      <c r="E2827" s="803">
        <f>Page6!N5</f>
        <v>22390</v>
      </c>
      <c r="F2827" t="str">
        <f t="shared" si="199"/>
        <v>02-00-446B-GRSPFT-CURR</v>
      </c>
      <c r="G2827" t="s">
        <v>127</v>
      </c>
      <c r="H2827" t="s">
        <v>10287</v>
      </c>
      <c r="I2827" t="s">
        <v>10253</v>
      </c>
      <c r="K2827" s="1073" t="s">
        <v>10837</v>
      </c>
      <c r="L2827" s="789" t="s">
        <v>10241</v>
      </c>
      <c r="M2827" s="790" t="s">
        <v>694</v>
      </c>
      <c r="O2827" s="790" t="s">
        <v>10467</v>
      </c>
      <c r="P2827" s="790" t="s">
        <v>10244</v>
      </c>
      <c r="R2827" s="30"/>
    </row>
    <row r="2828" spans="2:18">
      <c r="B2828" s="1077" t="s">
        <v>12245</v>
      </c>
      <c r="C2828" s="1038" t="s">
        <v>700</v>
      </c>
      <c r="D2828" s="803">
        <f>Page6!I7</f>
        <v>0</v>
      </c>
      <c r="E2828" s="803">
        <f>Page6!N7</f>
        <v>0</v>
      </c>
      <c r="F2828" t="str">
        <f t="shared" si="199"/>
        <v>02-00-450A-GRSPFT-CURR</v>
      </c>
      <c r="G2828" t="s">
        <v>127</v>
      </c>
      <c r="H2828" t="s">
        <v>10287</v>
      </c>
      <c r="I2828" t="s">
        <v>10253</v>
      </c>
      <c r="K2828" s="1073" t="s">
        <v>10837</v>
      </c>
      <c r="L2828" s="789" t="s">
        <v>10241</v>
      </c>
      <c r="M2828" s="790" t="s">
        <v>700</v>
      </c>
      <c r="O2828" s="790" t="s">
        <v>10467</v>
      </c>
      <c r="P2828" s="790" t="s">
        <v>10244</v>
      </c>
      <c r="R2828" s="30"/>
    </row>
    <row r="2829" spans="2:18">
      <c r="B2829" s="40" t="s">
        <v>12246</v>
      </c>
      <c r="C2829" s="1038" t="s">
        <v>703</v>
      </c>
      <c r="D2829" s="803">
        <f>Page6!I8</f>
        <v>15635</v>
      </c>
      <c r="E2829" s="803">
        <f>Page6!N8</f>
        <v>54791</v>
      </c>
      <c r="F2829" t="str">
        <f t="shared" si="199"/>
        <v>02-00-450B-GRSPFT-CURR</v>
      </c>
      <c r="G2829" t="s">
        <v>127</v>
      </c>
      <c r="H2829" t="s">
        <v>10287</v>
      </c>
      <c r="I2829" t="s">
        <v>10253</v>
      </c>
      <c r="K2829" s="1073" t="s">
        <v>10837</v>
      </c>
      <c r="L2829" s="789" t="s">
        <v>10241</v>
      </c>
      <c r="M2829" s="790" t="s">
        <v>703</v>
      </c>
      <c r="O2829" s="790" t="s">
        <v>10467</v>
      </c>
      <c r="P2829" s="790" t="s">
        <v>10244</v>
      </c>
      <c r="R2829" s="30"/>
    </row>
    <row r="2830" spans="2:18">
      <c r="B2830" s="27" t="s">
        <v>12247</v>
      </c>
      <c r="C2830" s="1042"/>
      <c r="D2830" s="803">
        <f>Page6!I10</f>
        <v>23115</v>
      </c>
      <c r="E2830" s="803">
        <f>Page6!N10</f>
        <v>77181</v>
      </c>
      <c r="F2830" t="str">
        <f t="shared" si="199"/>
        <v>02-00-RTLVEH-GRSPFT-CURR</v>
      </c>
      <c r="G2830" t="s">
        <v>127</v>
      </c>
      <c r="H2830" t="s">
        <v>10287</v>
      </c>
      <c r="I2830" t="s">
        <v>10253</v>
      </c>
      <c r="J2830" t="s">
        <v>10268</v>
      </c>
      <c r="K2830" s="1073" t="s">
        <v>10837</v>
      </c>
      <c r="L2830" s="789" t="s">
        <v>10241</v>
      </c>
      <c r="M2830" s="790" t="s">
        <v>10851</v>
      </c>
      <c r="O2830" s="790" t="s">
        <v>10467</v>
      </c>
      <c r="P2830" s="790" t="s">
        <v>10244</v>
      </c>
      <c r="Q2830" s="791" t="s">
        <v>773</v>
      </c>
    </row>
    <row r="2831" spans="2:18">
      <c r="B2831" s="40" t="s">
        <v>12248</v>
      </c>
      <c r="C2831" s="1038">
        <v>448</v>
      </c>
      <c r="D2831" s="803">
        <f>Page6!I11</f>
        <v>51960</v>
      </c>
      <c r="E2831" s="803">
        <f>Page6!N11</f>
        <v>260931</v>
      </c>
      <c r="F2831" t="str">
        <f t="shared" si="199"/>
        <v>02-00-448-GRSPFT-CURR</v>
      </c>
      <c r="G2831" t="s">
        <v>127</v>
      </c>
      <c r="H2831" t="s">
        <v>10287</v>
      </c>
      <c r="I2831" t="s">
        <v>10253</v>
      </c>
      <c r="K2831" s="1073" t="s">
        <v>10837</v>
      </c>
      <c r="L2831" s="789" t="s">
        <v>10241</v>
      </c>
      <c r="M2831" s="790" t="s">
        <v>10853</v>
      </c>
      <c r="O2831" s="790" t="s">
        <v>10467</v>
      </c>
      <c r="P2831" s="790" t="s">
        <v>10244</v>
      </c>
      <c r="R2831" s="30"/>
    </row>
    <row r="2832" spans="2:18">
      <c r="B2832" s="5" t="s">
        <v>12249</v>
      </c>
      <c r="C2832" s="1038">
        <v>649</v>
      </c>
      <c r="D2832" s="803">
        <f>Page6!I12</f>
        <v>0</v>
      </c>
      <c r="E2832" s="803">
        <f>Page6!N12</f>
        <v>0</v>
      </c>
      <c r="F2832" t="str">
        <f t="shared" si="199"/>
        <v>02-00-649-GRSPFT-CURR</v>
      </c>
      <c r="G2832" t="s">
        <v>127</v>
      </c>
      <c r="H2832" t="s">
        <v>10287</v>
      </c>
      <c r="I2832" t="s">
        <v>10253</v>
      </c>
      <c r="K2832" s="1073" t="s">
        <v>10837</v>
      </c>
      <c r="L2832" s="789" t="s">
        <v>10241</v>
      </c>
      <c r="M2832" s="790" t="s">
        <v>12250</v>
      </c>
      <c r="O2832" s="790" t="s">
        <v>10467</v>
      </c>
      <c r="P2832" s="790" t="s">
        <v>10244</v>
      </c>
      <c r="R2832" s="30"/>
    </row>
    <row r="2833" spans="2:18">
      <c r="B2833" s="5" t="s">
        <v>12251</v>
      </c>
      <c r="C2833" s="1038">
        <v>452</v>
      </c>
      <c r="D2833" s="803">
        <f>Page6!I13</f>
        <v>25707</v>
      </c>
      <c r="E2833" s="803">
        <f>Page6!N13</f>
        <v>30406</v>
      </c>
      <c r="F2833" t="str">
        <f t="shared" si="199"/>
        <v>02-00-452-GRSPFT-CURR</v>
      </c>
      <c r="G2833" t="s">
        <v>127</v>
      </c>
      <c r="H2833" t="s">
        <v>10287</v>
      </c>
      <c r="I2833" t="s">
        <v>10253</v>
      </c>
      <c r="K2833" s="1073" t="s">
        <v>10837</v>
      </c>
      <c r="L2833" s="789" t="s">
        <v>10241</v>
      </c>
      <c r="M2833" s="790" t="s">
        <v>10858</v>
      </c>
      <c r="O2833" s="790" t="s">
        <v>10467</v>
      </c>
      <c r="P2833" s="790" t="s">
        <v>10244</v>
      </c>
      <c r="R2833" s="30"/>
    </row>
    <row r="2834" spans="2:18">
      <c r="B2834" s="5" t="s">
        <v>12252</v>
      </c>
      <c r="C2834" s="1038">
        <v>653</v>
      </c>
      <c r="D2834" s="803">
        <f>Page6!I14</f>
        <v>0</v>
      </c>
      <c r="E2834" s="803">
        <f>Page6!N14</f>
        <v>0</v>
      </c>
      <c r="F2834" t="str">
        <f t="shared" si="199"/>
        <v>02-00-653-GRSPFT-CURR</v>
      </c>
      <c r="G2834" t="s">
        <v>127</v>
      </c>
      <c r="H2834" t="s">
        <v>10287</v>
      </c>
      <c r="I2834" t="s">
        <v>10253</v>
      </c>
      <c r="K2834" s="1073" t="s">
        <v>10837</v>
      </c>
      <c r="L2834" s="789" t="s">
        <v>10241</v>
      </c>
      <c r="M2834" s="790" t="s">
        <v>12253</v>
      </c>
      <c r="O2834" s="790" t="s">
        <v>10467</v>
      </c>
      <c r="P2834" s="790" t="s">
        <v>10244</v>
      </c>
      <c r="R2834" s="30"/>
    </row>
    <row r="2835" spans="2:18">
      <c r="B2835" s="27" t="s">
        <v>12254</v>
      </c>
      <c r="C2835" s="1042"/>
      <c r="D2835" s="803">
        <f>Page6!I15</f>
        <v>77667</v>
      </c>
      <c r="E2835" s="803">
        <f>Page6!N15</f>
        <v>291337</v>
      </c>
      <c r="F2835" t="str">
        <f t="shared" si="199"/>
        <v>02-00-WHLSVEH-GRSPFT-CURR</v>
      </c>
      <c r="G2835" t="s">
        <v>127</v>
      </c>
      <c r="H2835" t="s">
        <v>10287</v>
      </c>
      <c r="I2835" t="s">
        <v>10253</v>
      </c>
      <c r="J2835" t="s">
        <v>10268</v>
      </c>
      <c r="K2835" s="1073" t="s">
        <v>10837</v>
      </c>
      <c r="L2835" s="789" t="s">
        <v>10241</v>
      </c>
      <c r="M2835" s="790" t="s">
        <v>10861</v>
      </c>
      <c r="O2835" s="790" t="s">
        <v>10467</v>
      </c>
      <c r="P2835" s="790" t="s">
        <v>10244</v>
      </c>
      <c r="Q2835" s="791" t="s">
        <v>773</v>
      </c>
    </row>
    <row r="2836" spans="2:18">
      <c r="B2836" s="5" t="s">
        <v>12255</v>
      </c>
      <c r="C2836" s="1038">
        <v>456</v>
      </c>
      <c r="D2836" s="803">
        <f>Page6!I16</f>
        <v>120576</v>
      </c>
      <c r="E2836" s="803">
        <f>Page6!N16</f>
        <v>423275</v>
      </c>
      <c r="F2836" t="str">
        <f t="shared" si="199"/>
        <v>02-00-456-GRSPFT-CURR</v>
      </c>
      <c r="G2836" t="s">
        <v>127</v>
      </c>
      <c r="H2836" t="s">
        <v>10287</v>
      </c>
      <c r="I2836" t="s">
        <v>10253</v>
      </c>
      <c r="K2836" s="1073" t="s">
        <v>10837</v>
      </c>
      <c r="L2836" s="789" t="s">
        <v>10241</v>
      </c>
      <c r="M2836" s="790" t="s">
        <v>12236</v>
      </c>
      <c r="O2836" s="790" t="s">
        <v>10467</v>
      </c>
      <c r="P2836" s="790" t="s">
        <v>10244</v>
      </c>
      <c r="R2836" s="30"/>
    </row>
    <row r="2837" spans="2:18">
      <c r="B2837" s="51" t="s">
        <v>12256</v>
      </c>
      <c r="C2837" s="1042"/>
      <c r="D2837" s="803">
        <f>Page6!I17</f>
        <v>221358</v>
      </c>
      <c r="E2837" s="803">
        <f>Page6!N17</f>
        <v>791793</v>
      </c>
      <c r="F2837" t="str">
        <f t="shared" si="199"/>
        <v>02-00-USEDVEH-GRSPFT-CURR</v>
      </c>
      <c r="G2837" t="s">
        <v>127</v>
      </c>
      <c r="H2837" t="s">
        <v>10287</v>
      </c>
      <c r="I2837" t="s">
        <v>10253</v>
      </c>
      <c r="J2837" t="s">
        <v>10268</v>
      </c>
      <c r="K2837" s="1073" t="s">
        <v>10837</v>
      </c>
      <c r="L2837" s="789" t="s">
        <v>10241</v>
      </c>
      <c r="M2837" s="790" t="s">
        <v>10863</v>
      </c>
      <c r="O2837" s="790" t="s">
        <v>10467</v>
      </c>
      <c r="P2837" s="790" t="s">
        <v>10244</v>
      </c>
      <c r="Q2837" s="791" t="s">
        <v>773</v>
      </c>
    </row>
    <row r="2838" spans="2:18">
      <c r="B2838" s="5" t="s">
        <v>12257</v>
      </c>
      <c r="C2838" s="1042"/>
      <c r="D2838" s="803">
        <f>Page6!I18</f>
        <v>382571</v>
      </c>
      <c r="E2838" s="803">
        <f>Page6!N18</f>
        <v>1371809</v>
      </c>
      <c r="F2838" t="str">
        <f t="shared" si="199"/>
        <v>00-00-NEWUSED-GRSPFT-CURR</v>
      </c>
      <c r="G2838" t="s">
        <v>127</v>
      </c>
      <c r="H2838" t="s">
        <v>10287</v>
      </c>
      <c r="I2838" t="s">
        <v>10253</v>
      </c>
      <c r="J2838" t="s">
        <v>10268</v>
      </c>
      <c r="K2838" s="1073" t="s">
        <v>10241</v>
      </c>
      <c r="L2838" s="789" t="s">
        <v>10241</v>
      </c>
      <c r="M2838" s="790" t="s">
        <v>10865</v>
      </c>
      <c r="O2838" s="790" t="s">
        <v>10467</v>
      </c>
      <c r="P2838" s="790" t="s">
        <v>10244</v>
      </c>
      <c r="Q2838" s="791" t="s">
        <v>773</v>
      </c>
    </row>
    <row r="2839" spans="2:18" ht="13">
      <c r="B2839" s="27" t="s">
        <v>12258</v>
      </c>
      <c r="C2839" s="1042"/>
      <c r="D2839" s="803">
        <f>Page6!I19</f>
        <v>12884</v>
      </c>
      <c r="E2839" s="803">
        <f>Page6!N19</f>
        <v>57237</v>
      </c>
      <c r="F2839" t="str">
        <f t="shared" si="199"/>
        <v>04-00-TOTFIPP-GRSINC-CURR</v>
      </c>
      <c r="G2839" t="s">
        <v>127</v>
      </c>
      <c r="H2839" t="s">
        <v>10287</v>
      </c>
      <c r="I2839" t="s">
        <v>10253</v>
      </c>
      <c r="J2839" t="s">
        <v>10268</v>
      </c>
      <c r="K2839" s="1073" t="s">
        <v>10890</v>
      </c>
      <c r="L2839" s="789" t="s">
        <v>10241</v>
      </c>
      <c r="M2839" s="807" t="s">
        <v>12240</v>
      </c>
      <c r="O2839" s="790" t="s">
        <v>11257</v>
      </c>
      <c r="P2839" s="790" t="s">
        <v>10244</v>
      </c>
      <c r="Q2839" s="791" t="s">
        <v>773</v>
      </c>
    </row>
    <row r="2840" spans="2:18">
      <c r="B2840" s="5" t="s">
        <v>12259</v>
      </c>
      <c r="C2840" s="1042"/>
      <c r="D2840" s="803">
        <f>Page6!I20</f>
        <v>0</v>
      </c>
      <c r="E2840" s="803">
        <f>Page6!N20</f>
        <v>0</v>
      </c>
      <c r="F2840" t="str">
        <f t="shared" si="199"/>
        <v>03-00-GPINTOTL-GRSPFT-CURR</v>
      </c>
      <c r="G2840" t="s">
        <v>127</v>
      </c>
      <c r="H2840" t="s">
        <v>10287</v>
      </c>
      <c r="I2840" t="s">
        <v>10253</v>
      </c>
      <c r="J2840" t="s">
        <v>10268</v>
      </c>
      <c r="K2840" s="1073" t="s">
        <v>10981</v>
      </c>
      <c r="L2840" s="789" t="s">
        <v>10241</v>
      </c>
      <c r="M2840" s="790" t="s">
        <v>11843</v>
      </c>
      <c r="O2840" s="790" t="s">
        <v>10467</v>
      </c>
      <c r="P2840" s="790" t="s">
        <v>10244</v>
      </c>
      <c r="Q2840" s="791" t="s">
        <v>773</v>
      </c>
    </row>
    <row r="2841" spans="2:18">
      <c r="B2841" s="5" t="s">
        <v>12260</v>
      </c>
      <c r="C2841" s="1042"/>
      <c r="D2841" s="803">
        <f>Page6!I21</f>
        <v>395455</v>
      </c>
      <c r="E2841" s="803">
        <f>Page6!N21</f>
        <v>1429046</v>
      </c>
      <c r="F2841" t="str">
        <f t="shared" si="199"/>
        <v>00-00-VAROPERS-GRSPFT-CURR</v>
      </c>
      <c r="G2841" t="s">
        <v>127</v>
      </c>
      <c r="H2841" t="s">
        <v>10287</v>
      </c>
      <c r="I2841" t="s">
        <v>10253</v>
      </c>
      <c r="J2841" t="s">
        <v>10268</v>
      </c>
      <c r="K2841" s="1073" t="s">
        <v>10241</v>
      </c>
      <c r="L2841" s="789" t="s">
        <v>10241</v>
      </c>
      <c r="M2841" s="790" t="s">
        <v>12242</v>
      </c>
      <c r="O2841" s="790" t="s">
        <v>10467</v>
      </c>
      <c r="P2841" s="790" t="s">
        <v>10244</v>
      </c>
      <c r="Q2841" s="791" t="s">
        <v>773</v>
      </c>
    </row>
    <row r="2842" spans="2:18">
      <c r="B2842" s="5" t="s">
        <v>12261</v>
      </c>
      <c r="C2842" s="1038" t="s">
        <v>725</v>
      </c>
      <c r="D2842" s="803">
        <f>Page6!G24</f>
        <v>53150</v>
      </c>
      <c r="E2842" s="803">
        <f>Page6!L24</f>
        <v>169451</v>
      </c>
      <c r="F2842" t="str">
        <f t="shared" si="199"/>
        <v>05-00-460A-SALES-CURR</v>
      </c>
      <c r="G2842" t="s">
        <v>127</v>
      </c>
      <c r="H2842" t="s">
        <v>10287</v>
      </c>
      <c r="I2842" t="s">
        <v>10253</v>
      </c>
      <c r="K2842" s="2231" t="s">
        <v>10274</v>
      </c>
      <c r="L2842" s="2425" t="s">
        <v>10241</v>
      </c>
      <c r="M2842" s="2175" t="s">
        <v>725</v>
      </c>
      <c r="N2842" s="2175"/>
      <c r="O2842" s="2175" t="s">
        <v>9883</v>
      </c>
      <c r="P2842" s="2175" t="s">
        <v>10244</v>
      </c>
      <c r="R2842" s="30"/>
    </row>
    <row r="2843" spans="2:18">
      <c r="B2843" s="5" t="s">
        <v>12262</v>
      </c>
      <c r="C2843" s="1038" t="s">
        <v>727</v>
      </c>
      <c r="D2843" s="803">
        <f>Page6!G25</f>
        <v>0</v>
      </c>
      <c r="E2843" s="803">
        <f>Page6!L25</f>
        <v>0</v>
      </c>
      <c r="F2843" t="str">
        <f t="shared" si="199"/>
        <v>05-00-460E-SALES-CURR</v>
      </c>
      <c r="G2843" t="s">
        <v>127</v>
      </c>
      <c r="H2843" t="s">
        <v>10287</v>
      </c>
      <c r="I2843" t="s">
        <v>10253</v>
      </c>
      <c r="K2843" s="2231" t="s">
        <v>10274</v>
      </c>
      <c r="L2843" s="2425" t="s">
        <v>10241</v>
      </c>
      <c r="M2843" s="2175" t="s">
        <v>727</v>
      </c>
      <c r="N2843" s="2175"/>
      <c r="O2843" s="2175" t="s">
        <v>9883</v>
      </c>
      <c r="P2843" s="2175" t="s">
        <v>10244</v>
      </c>
      <c r="R2843" s="30"/>
    </row>
    <row r="2844" spans="2:18">
      <c r="B2844" s="5" t="s">
        <v>12263</v>
      </c>
      <c r="C2844" s="1038" t="s">
        <v>729</v>
      </c>
      <c r="D2844" s="803">
        <f>Page6!G26</f>
        <v>0</v>
      </c>
      <c r="E2844" s="803">
        <f>Page6!L26</f>
        <v>0</v>
      </c>
      <c r="F2844" t="str">
        <f t="shared" si="199"/>
        <v>05-00-460B-SALES-CURR</v>
      </c>
      <c r="G2844" t="s">
        <v>127</v>
      </c>
      <c r="H2844" t="s">
        <v>10287</v>
      </c>
      <c r="I2844" t="s">
        <v>10253</v>
      </c>
      <c r="K2844" s="2231" t="s">
        <v>10274</v>
      </c>
      <c r="L2844" s="2425" t="s">
        <v>10241</v>
      </c>
      <c r="M2844" s="2175" t="s">
        <v>729</v>
      </c>
      <c r="N2844" s="2175"/>
      <c r="O2844" s="2175" t="s">
        <v>9883</v>
      </c>
      <c r="P2844" s="2175" t="s">
        <v>10244</v>
      </c>
      <c r="R2844" s="30"/>
    </row>
    <row r="2845" spans="2:18">
      <c r="B2845" s="5" t="s">
        <v>12264</v>
      </c>
      <c r="C2845" s="1038" t="s">
        <v>731</v>
      </c>
      <c r="D2845" s="803">
        <f>Page6!G27</f>
        <v>0</v>
      </c>
      <c r="E2845" s="803">
        <f>Page6!L27</f>
        <v>0</v>
      </c>
      <c r="F2845" t="str">
        <f t="shared" si="199"/>
        <v>05-00-460F-SALES-CURR</v>
      </c>
      <c r="G2845" t="s">
        <v>127</v>
      </c>
      <c r="H2845" t="s">
        <v>10287</v>
      </c>
      <c r="I2845" t="s">
        <v>10253</v>
      </c>
      <c r="K2845" s="2231" t="s">
        <v>10274</v>
      </c>
      <c r="L2845" s="2425" t="s">
        <v>10241</v>
      </c>
      <c r="M2845" s="2175" t="s">
        <v>731</v>
      </c>
      <c r="N2845" s="2175"/>
      <c r="O2845" s="2175" t="s">
        <v>9883</v>
      </c>
      <c r="P2845" s="2175" t="s">
        <v>10244</v>
      </c>
      <c r="R2845" s="30"/>
    </row>
    <row r="2846" spans="2:18">
      <c r="B2846" s="5" t="s">
        <v>12265</v>
      </c>
      <c r="C2846" s="1038" t="s">
        <v>733</v>
      </c>
      <c r="D2846" s="803">
        <f>Page6!G28</f>
        <v>0</v>
      </c>
      <c r="E2846" s="803">
        <f>Page6!L28</f>
        <v>0</v>
      </c>
      <c r="F2846" t="str">
        <f t="shared" si="199"/>
        <v>05-00-460C-SALES-CURR</v>
      </c>
      <c r="G2846" t="s">
        <v>127</v>
      </c>
      <c r="H2846" t="s">
        <v>10287</v>
      </c>
      <c r="I2846" t="s">
        <v>10253</v>
      </c>
      <c r="K2846" s="2231" t="s">
        <v>10274</v>
      </c>
      <c r="L2846" s="2425" t="s">
        <v>10241</v>
      </c>
      <c r="M2846" s="2175" t="s">
        <v>733</v>
      </c>
      <c r="N2846" s="2175"/>
      <c r="O2846" s="2175" t="s">
        <v>9883</v>
      </c>
      <c r="P2846" s="2175" t="s">
        <v>10244</v>
      </c>
      <c r="R2846" s="30"/>
    </row>
    <row r="2847" spans="2:18">
      <c r="B2847" s="5" t="s">
        <v>12266</v>
      </c>
      <c r="C2847" s="1038" t="s">
        <v>735</v>
      </c>
      <c r="D2847" s="803">
        <f>Page6!G29</f>
        <v>0</v>
      </c>
      <c r="E2847" s="803">
        <f>Page6!L29</f>
        <v>0</v>
      </c>
      <c r="F2847" t="str">
        <f t="shared" si="199"/>
        <v>05-00-460D-SALES-CURR</v>
      </c>
      <c r="G2847" t="s">
        <v>127</v>
      </c>
      <c r="H2847" t="s">
        <v>10287</v>
      </c>
      <c r="I2847" t="s">
        <v>10253</v>
      </c>
      <c r="K2847" s="2231" t="s">
        <v>10274</v>
      </c>
      <c r="L2847" s="2425" t="s">
        <v>10241</v>
      </c>
      <c r="M2847" s="2175" t="s">
        <v>735</v>
      </c>
      <c r="N2847" s="2175"/>
      <c r="O2847" s="2175" t="s">
        <v>9883</v>
      </c>
      <c r="P2847" s="2175" t="s">
        <v>10244</v>
      </c>
      <c r="R2847" s="30"/>
    </row>
    <row r="2848" spans="2:18">
      <c r="B2848" s="5" t="s">
        <v>12267</v>
      </c>
      <c r="C2848" s="1038" t="s">
        <v>737</v>
      </c>
      <c r="D2848" s="803">
        <f>Page6!G30</f>
        <v>0</v>
      </c>
      <c r="E2848" s="803">
        <f>Page6!L30</f>
        <v>0</v>
      </c>
      <c r="F2848" t="str">
        <f t="shared" si="199"/>
        <v>05-00-460N-SALES-CURR</v>
      </c>
      <c r="G2848" t="s">
        <v>127</v>
      </c>
      <c r="H2848" t="s">
        <v>10287</v>
      </c>
      <c r="I2848" t="s">
        <v>10253</v>
      </c>
      <c r="K2848" s="2231" t="s">
        <v>10274</v>
      </c>
      <c r="L2848" s="2425" t="s">
        <v>10241</v>
      </c>
      <c r="M2848" s="2175" t="s">
        <v>737</v>
      </c>
      <c r="N2848" s="2175"/>
      <c r="O2848" s="2175" t="s">
        <v>9883</v>
      </c>
      <c r="P2848" s="2175" t="s">
        <v>10244</v>
      </c>
      <c r="R2848" s="30"/>
    </row>
    <row r="2849" spans="2:18">
      <c r="B2849" s="1074" t="s">
        <v>12268</v>
      </c>
      <c r="C2849" s="1038" t="s">
        <v>740</v>
      </c>
      <c r="D2849" s="803">
        <f>Page6!G31</f>
        <v>0</v>
      </c>
      <c r="E2849" s="803">
        <f>Page6!L31</f>
        <v>0</v>
      </c>
      <c r="F2849" t="str">
        <f t="shared" si="199"/>
        <v>05-00-461A-SALES-CURR</v>
      </c>
      <c r="G2849" t="s">
        <v>127</v>
      </c>
      <c r="H2849" t="s">
        <v>10287</v>
      </c>
      <c r="I2849" t="s">
        <v>10253</v>
      </c>
      <c r="K2849" s="2231" t="s">
        <v>10274</v>
      </c>
      <c r="L2849" s="2425" t="s">
        <v>10241</v>
      </c>
      <c r="M2849" s="2175" t="s">
        <v>740</v>
      </c>
      <c r="N2849" s="2175"/>
      <c r="O2849" s="2175" t="s">
        <v>9883</v>
      </c>
      <c r="P2849" s="2175" t="s">
        <v>10244</v>
      </c>
      <c r="R2849" s="30"/>
    </row>
    <row r="2850" spans="2:18">
      <c r="B2850" s="1074" t="s">
        <v>12269</v>
      </c>
      <c r="C2850" s="1038" t="s">
        <v>742</v>
      </c>
      <c r="D2850" s="803">
        <f>Page6!G32</f>
        <v>0</v>
      </c>
      <c r="E2850" s="803">
        <f>Page6!L32</f>
        <v>0</v>
      </c>
      <c r="F2850" t="str">
        <f t="shared" si="199"/>
        <v>05-00-461E-SALES-CURR</v>
      </c>
      <c r="G2850" t="s">
        <v>127</v>
      </c>
      <c r="H2850" t="s">
        <v>10287</v>
      </c>
      <c r="I2850" t="s">
        <v>10253</v>
      </c>
      <c r="K2850" s="2231" t="s">
        <v>10274</v>
      </c>
      <c r="L2850" s="2425" t="s">
        <v>10241</v>
      </c>
      <c r="M2850" s="2175" t="s">
        <v>742</v>
      </c>
      <c r="N2850" s="2175"/>
      <c r="O2850" s="2175" t="s">
        <v>9883</v>
      </c>
      <c r="P2850" s="2175" t="s">
        <v>10244</v>
      </c>
      <c r="R2850" s="30"/>
    </row>
    <row r="2851" spans="2:18">
      <c r="B2851" s="1074" t="s">
        <v>12270</v>
      </c>
      <c r="C2851" s="1038" t="s">
        <v>744</v>
      </c>
      <c r="D2851" s="803">
        <f>Page6!G33</f>
        <v>0</v>
      </c>
      <c r="E2851" s="803">
        <f>Page6!L33</f>
        <v>0</v>
      </c>
      <c r="F2851" t="str">
        <f t="shared" si="199"/>
        <v>05-00-461B-SALES-CURR</v>
      </c>
      <c r="G2851" t="s">
        <v>127</v>
      </c>
      <c r="H2851" t="s">
        <v>10287</v>
      </c>
      <c r="I2851" t="s">
        <v>10253</v>
      </c>
      <c r="K2851" s="2231" t="s">
        <v>10274</v>
      </c>
      <c r="L2851" s="2425" t="s">
        <v>10241</v>
      </c>
      <c r="M2851" s="2175" t="s">
        <v>744</v>
      </c>
      <c r="N2851" s="2175"/>
      <c r="O2851" s="2175" t="s">
        <v>9883</v>
      </c>
      <c r="P2851" s="2175" t="s">
        <v>10244</v>
      </c>
      <c r="R2851" s="30"/>
    </row>
    <row r="2852" spans="2:18">
      <c r="B2852" s="1074" t="s">
        <v>12271</v>
      </c>
      <c r="C2852" s="1038" t="s">
        <v>747</v>
      </c>
      <c r="D2852" s="803">
        <f>Page6!G34</f>
        <v>0</v>
      </c>
      <c r="E2852" s="803">
        <f>Page6!L34</f>
        <v>0</v>
      </c>
      <c r="F2852" t="str">
        <f t="shared" si="199"/>
        <v>05-00-461F-SALES-CURR</v>
      </c>
      <c r="G2852" t="s">
        <v>127</v>
      </c>
      <c r="H2852" t="s">
        <v>10287</v>
      </c>
      <c r="I2852" t="s">
        <v>10253</v>
      </c>
      <c r="K2852" s="2231" t="s">
        <v>10274</v>
      </c>
      <c r="L2852" s="2425" t="s">
        <v>10241</v>
      </c>
      <c r="M2852" s="2175" t="s">
        <v>747</v>
      </c>
      <c r="N2852" s="2175"/>
      <c r="O2852" s="2175" t="s">
        <v>9883</v>
      </c>
      <c r="P2852" s="2175" t="s">
        <v>10244</v>
      </c>
      <c r="R2852" s="30"/>
    </row>
    <row r="2853" spans="2:18">
      <c r="B2853" s="1074" t="s">
        <v>12272</v>
      </c>
      <c r="C2853" s="1038" t="s">
        <v>749</v>
      </c>
      <c r="D2853" s="803">
        <f>Page6!G35</f>
        <v>0</v>
      </c>
      <c r="E2853" s="803">
        <f>Page6!L35</f>
        <v>0</v>
      </c>
      <c r="F2853" t="str">
        <f t="shared" si="199"/>
        <v>05-00-461C-SALES-CURR</v>
      </c>
      <c r="G2853" t="s">
        <v>127</v>
      </c>
      <c r="H2853" t="s">
        <v>10287</v>
      </c>
      <c r="I2853" t="s">
        <v>10253</v>
      </c>
      <c r="K2853" s="2231" t="s">
        <v>10274</v>
      </c>
      <c r="L2853" s="2425" t="s">
        <v>10241</v>
      </c>
      <c r="M2853" s="2175" t="s">
        <v>749</v>
      </c>
      <c r="N2853" s="2175"/>
      <c r="O2853" s="2175" t="s">
        <v>9883</v>
      </c>
      <c r="P2853" s="2175" t="s">
        <v>10244</v>
      </c>
      <c r="R2853" s="30"/>
    </row>
    <row r="2854" spans="2:18">
      <c r="B2854" s="5" t="s">
        <v>12273</v>
      </c>
      <c r="C2854" s="1038">
        <v>462</v>
      </c>
      <c r="D2854" s="803">
        <f>Page6!G36</f>
        <v>30570</v>
      </c>
      <c r="E2854" s="803">
        <f>Page6!L36</f>
        <v>98951</v>
      </c>
      <c r="F2854" t="str">
        <f t="shared" si="199"/>
        <v>05-00-462-SALES-CURR</v>
      </c>
      <c r="G2854" t="s">
        <v>127</v>
      </c>
      <c r="H2854" t="s">
        <v>10287</v>
      </c>
      <c r="I2854" t="s">
        <v>10253</v>
      </c>
      <c r="K2854" s="1073" t="s">
        <v>10274</v>
      </c>
      <c r="L2854" s="789" t="s">
        <v>10241</v>
      </c>
      <c r="M2854" s="790" t="s">
        <v>12274</v>
      </c>
      <c r="O2854" s="790" t="s">
        <v>9883</v>
      </c>
      <c r="P2854" s="790" t="s">
        <v>10244</v>
      </c>
      <c r="R2854" s="30"/>
    </row>
    <row r="2855" spans="2:18">
      <c r="B2855" s="5" t="s">
        <v>12275</v>
      </c>
      <c r="C2855" s="1038">
        <v>463</v>
      </c>
      <c r="D2855" s="803">
        <f>Page6!G37</f>
        <v>49243</v>
      </c>
      <c r="E2855" s="803">
        <f>Page6!L37</f>
        <v>182492</v>
      </c>
      <c r="F2855" t="str">
        <f t="shared" si="199"/>
        <v>05-00-463-SALES-CURR</v>
      </c>
      <c r="G2855" t="s">
        <v>127</v>
      </c>
      <c r="H2855" t="s">
        <v>10287</v>
      </c>
      <c r="I2855" t="s">
        <v>10253</v>
      </c>
      <c r="K2855" s="1073" t="s">
        <v>10274</v>
      </c>
      <c r="L2855" s="789" t="s">
        <v>10241</v>
      </c>
      <c r="M2855" s="790" t="s">
        <v>12276</v>
      </c>
      <c r="O2855" s="790" t="s">
        <v>9883</v>
      </c>
      <c r="P2855" s="790" t="s">
        <v>10244</v>
      </c>
      <c r="R2855" s="30"/>
    </row>
    <row r="2856" spans="2:18">
      <c r="B2856" s="5" t="s">
        <v>12277</v>
      </c>
      <c r="C2856" s="1038">
        <v>464</v>
      </c>
      <c r="D2856" s="803">
        <f>Page6!G38</f>
        <v>0</v>
      </c>
      <c r="E2856" s="803">
        <f>Page6!L38</f>
        <v>0</v>
      </c>
      <c r="F2856" t="str">
        <f t="shared" si="199"/>
        <v>05-00-464-SALES-CURR</v>
      </c>
      <c r="G2856" t="s">
        <v>127</v>
      </c>
      <c r="H2856" t="s">
        <v>10287</v>
      </c>
      <c r="I2856" t="s">
        <v>10253</v>
      </c>
      <c r="K2856" s="1073" t="s">
        <v>10274</v>
      </c>
      <c r="L2856" s="789" t="s">
        <v>10241</v>
      </c>
      <c r="M2856" s="790" t="s">
        <v>12278</v>
      </c>
      <c r="O2856" s="790" t="s">
        <v>9883</v>
      </c>
      <c r="P2856" s="790" t="s">
        <v>10244</v>
      </c>
      <c r="R2856" s="30"/>
    </row>
    <row r="2857" spans="2:18">
      <c r="B2857" s="27" t="s">
        <v>12279</v>
      </c>
      <c r="C2857" s="1042"/>
      <c r="D2857" s="803">
        <f>Page6!G40</f>
        <v>132963</v>
      </c>
      <c r="E2857" s="803">
        <f>Page6!L40</f>
        <v>450894</v>
      </c>
      <c r="F2857" t="str">
        <f t="shared" si="199"/>
        <v>05-00-MECHSUBT-SALES-CURR</v>
      </c>
      <c r="G2857" t="s">
        <v>127</v>
      </c>
      <c r="H2857" t="s">
        <v>10287</v>
      </c>
      <c r="I2857" t="s">
        <v>10253</v>
      </c>
      <c r="J2857" t="s">
        <v>10268</v>
      </c>
      <c r="K2857" s="1073" t="s">
        <v>10274</v>
      </c>
      <c r="L2857" s="789" t="s">
        <v>10241</v>
      </c>
      <c r="M2857" s="790" t="s">
        <v>12280</v>
      </c>
      <c r="O2857" s="790" t="s">
        <v>9883</v>
      </c>
      <c r="P2857" s="790" t="s">
        <v>10244</v>
      </c>
      <c r="Q2857" s="791" t="s">
        <v>773</v>
      </c>
    </row>
    <row r="2858" spans="2:18">
      <c r="B2858" s="5" t="s">
        <v>12281</v>
      </c>
      <c r="C2858" s="1038">
        <v>469</v>
      </c>
      <c r="D2858" s="803">
        <f>Page6!G41</f>
        <v>1931</v>
      </c>
      <c r="E2858" s="803">
        <f>Page6!L41</f>
        <v>7349</v>
      </c>
      <c r="F2858" t="str">
        <f t="shared" si="199"/>
        <v>05-00-469-SALES-CURR</v>
      </c>
      <c r="G2858" t="s">
        <v>127</v>
      </c>
      <c r="H2858" t="s">
        <v>10287</v>
      </c>
      <c r="I2858" t="s">
        <v>10253</v>
      </c>
      <c r="K2858" s="1073" t="s">
        <v>10274</v>
      </c>
      <c r="L2858" s="789" t="s">
        <v>10241</v>
      </c>
      <c r="M2858" s="790">
        <v>469</v>
      </c>
      <c r="O2858" s="790" t="s">
        <v>9883</v>
      </c>
      <c r="P2858" s="790" t="s">
        <v>10244</v>
      </c>
      <c r="R2858" s="30"/>
    </row>
    <row r="2859" spans="2:18">
      <c r="B2859" s="5" t="s">
        <v>12282</v>
      </c>
      <c r="C2859" s="1038">
        <v>466</v>
      </c>
      <c r="D2859" s="803">
        <f>Page6!G42</f>
        <v>6838</v>
      </c>
      <c r="E2859" s="803">
        <f>Page6!L42</f>
        <v>24840</v>
      </c>
      <c r="F2859" t="str">
        <f t="shared" si="199"/>
        <v>05-00-466-SALES-CURR</v>
      </c>
      <c r="G2859" t="s">
        <v>127</v>
      </c>
      <c r="H2859" t="s">
        <v>10287</v>
      </c>
      <c r="I2859" t="s">
        <v>10253</v>
      </c>
      <c r="K2859" s="1073" t="s">
        <v>10274</v>
      </c>
      <c r="L2859" s="789" t="s">
        <v>10241</v>
      </c>
      <c r="M2859" s="790" t="s">
        <v>12283</v>
      </c>
      <c r="O2859" s="790" t="s">
        <v>9883</v>
      </c>
      <c r="P2859" s="790" t="s">
        <v>10244</v>
      </c>
      <c r="R2859" s="30"/>
    </row>
    <row r="2860" spans="2:18">
      <c r="B2860" s="27" t="s">
        <v>12284</v>
      </c>
      <c r="C2860" s="1042"/>
      <c r="D2860" s="803">
        <f>Page6!G43</f>
        <v>141732</v>
      </c>
      <c r="E2860" s="803">
        <f>Page6!L43</f>
        <v>483083</v>
      </c>
      <c r="F2860" t="str">
        <f t="shared" si="199"/>
        <v>05-00-MECHTOTL-SALES-CURR</v>
      </c>
      <c r="G2860" t="s">
        <v>127</v>
      </c>
      <c r="H2860" t="s">
        <v>10287</v>
      </c>
      <c r="I2860" t="s">
        <v>10253</v>
      </c>
      <c r="J2860" t="s">
        <v>10268</v>
      </c>
      <c r="K2860" s="1073" t="s">
        <v>10274</v>
      </c>
      <c r="L2860" s="789" t="s">
        <v>10241</v>
      </c>
      <c r="M2860" s="790" t="s">
        <v>11913</v>
      </c>
      <c r="O2860" s="790" t="s">
        <v>9883</v>
      </c>
      <c r="P2860" s="790" t="s">
        <v>10244</v>
      </c>
      <c r="Q2860" s="791" t="s">
        <v>773</v>
      </c>
    </row>
    <row r="2861" spans="2:18">
      <c r="B2861" s="5" t="s">
        <v>12285</v>
      </c>
      <c r="C2861" s="1038">
        <v>470</v>
      </c>
      <c r="D2861" s="803">
        <f>Page6!G44</f>
        <v>14527</v>
      </c>
      <c r="E2861" s="803">
        <f>Page6!L44</f>
        <v>49745</v>
      </c>
      <c r="F2861" t="str">
        <f t="shared" si="199"/>
        <v>06-00-470-SALES-CURR</v>
      </c>
      <c r="G2861" t="s">
        <v>127</v>
      </c>
      <c r="H2861" t="s">
        <v>10287</v>
      </c>
      <c r="I2861" t="s">
        <v>10253</v>
      </c>
      <c r="K2861" s="1073" t="s">
        <v>10284</v>
      </c>
      <c r="L2861" s="789" t="s">
        <v>10241</v>
      </c>
      <c r="M2861" s="790" t="s">
        <v>12286</v>
      </c>
      <c r="O2861" s="790" t="s">
        <v>9883</v>
      </c>
      <c r="P2861" s="790" t="s">
        <v>10244</v>
      </c>
      <c r="R2861" s="30"/>
    </row>
    <row r="2862" spans="2:18">
      <c r="B2862" s="5" t="s">
        <v>12287</v>
      </c>
      <c r="C2862" s="1038">
        <v>471</v>
      </c>
      <c r="D2862" s="803">
        <f>Page6!G45</f>
        <v>30077</v>
      </c>
      <c r="E2862" s="803">
        <f>Page6!L45</f>
        <v>100444</v>
      </c>
      <c r="F2862" t="str">
        <f t="shared" si="199"/>
        <v>06-00-471-SALES-CURR</v>
      </c>
      <c r="G2862" t="s">
        <v>127</v>
      </c>
      <c r="H2862" t="s">
        <v>10287</v>
      </c>
      <c r="I2862" t="s">
        <v>10253</v>
      </c>
      <c r="K2862" s="1073" t="s">
        <v>10284</v>
      </c>
      <c r="L2862" s="789" t="s">
        <v>10241</v>
      </c>
      <c r="M2862" s="790" t="s">
        <v>10883</v>
      </c>
      <c r="O2862" s="790" t="s">
        <v>9883</v>
      </c>
      <c r="P2862" s="790" t="s">
        <v>10244</v>
      </c>
      <c r="R2862" s="30"/>
    </row>
    <row r="2863" spans="2:18">
      <c r="B2863" s="5" t="s">
        <v>12273</v>
      </c>
      <c r="C2863" s="1038">
        <v>472</v>
      </c>
      <c r="D2863" s="803">
        <f>Page6!G46</f>
        <v>0</v>
      </c>
      <c r="E2863" s="803">
        <f>Page6!L46</f>
        <v>0</v>
      </c>
      <c r="F2863" t="str">
        <f t="shared" si="199"/>
        <v>06-00-472-SALES-CURR</v>
      </c>
      <c r="G2863" t="s">
        <v>127</v>
      </c>
      <c r="H2863" t="s">
        <v>10287</v>
      </c>
      <c r="I2863" t="s">
        <v>10253</v>
      </c>
      <c r="K2863" s="1073" t="s">
        <v>10284</v>
      </c>
      <c r="L2863" s="789" t="s">
        <v>10241</v>
      </c>
      <c r="M2863" s="790" t="s">
        <v>10884</v>
      </c>
      <c r="O2863" s="790" t="s">
        <v>9883</v>
      </c>
      <c r="P2863" s="790" t="s">
        <v>10244</v>
      </c>
      <c r="R2863" s="30"/>
    </row>
    <row r="2864" spans="2:18">
      <c r="B2864" s="5" t="s">
        <v>12275</v>
      </c>
      <c r="C2864" s="1038">
        <v>473</v>
      </c>
      <c r="D2864" s="803">
        <f>Page6!G47</f>
        <v>7746</v>
      </c>
      <c r="E2864" s="803">
        <f>Page6!L47</f>
        <v>28073</v>
      </c>
      <c r="F2864" t="str">
        <f t="shared" si="199"/>
        <v>06-00-473-SALES-CURR</v>
      </c>
      <c r="G2864" t="s">
        <v>127</v>
      </c>
      <c r="H2864" t="s">
        <v>10287</v>
      </c>
      <c r="I2864" t="s">
        <v>10253</v>
      </c>
      <c r="K2864" s="1073" t="s">
        <v>10284</v>
      </c>
      <c r="L2864" s="789" t="s">
        <v>10241</v>
      </c>
      <c r="M2864" s="790" t="s">
        <v>10885</v>
      </c>
      <c r="O2864" s="790" t="s">
        <v>9883</v>
      </c>
      <c r="P2864" s="790" t="s">
        <v>10244</v>
      </c>
      <c r="R2864" s="30"/>
    </row>
    <row r="2865" spans="2:18">
      <c r="B2865" s="27" t="s">
        <v>12279</v>
      </c>
      <c r="C2865" s="1042"/>
      <c r="D2865" s="803">
        <f>Page6!G49</f>
        <v>52350</v>
      </c>
      <c r="E2865" s="803">
        <f>Page6!L49</f>
        <v>178262</v>
      </c>
      <c r="F2865" t="str">
        <f t="shared" si="199"/>
        <v>06-00-BODYSUBT-SALES-CURR</v>
      </c>
      <c r="G2865" t="s">
        <v>127</v>
      </c>
      <c r="H2865" t="s">
        <v>10287</v>
      </c>
      <c r="I2865" t="s">
        <v>10253</v>
      </c>
      <c r="J2865" t="s">
        <v>10268</v>
      </c>
      <c r="K2865" s="1073" t="s">
        <v>10284</v>
      </c>
      <c r="L2865" s="789" t="s">
        <v>10241</v>
      </c>
      <c r="M2865" s="790" t="s">
        <v>12288</v>
      </c>
      <c r="O2865" s="790" t="s">
        <v>9883</v>
      </c>
      <c r="P2865" s="790" t="s">
        <v>10244</v>
      </c>
      <c r="Q2865" s="791" t="s">
        <v>773</v>
      </c>
    </row>
    <row r="2866" spans="2:18" ht="13">
      <c r="B2866" s="5" t="s">
        <v>12282</v>
      </c>
      <c r="C2866" s="1038">
        <v>476</v>
      </c>
      <c r="D2866" s="803">
        <f>Page6!G50</f>
        <v>60000</v>
      </c>
      <c r="E2866" s="803">
        <f>Page6!L50</f>
        <v>234714</v>
      </c>
      <c r="F2866" t="str">
        <f t="shared" si="199"/>
        <v>06-00-476-SALES-CURR</v>
      </c>
      <c r="G2866" t="s">
        <v>127</v>
      </c>
      <c r="H2866" t="s">
        <v>10287</v>
      </c>
      <c r="I2866" t="s">
        <v>10253</v>
      </c>
      <c r="K2866" s="1073" t="s">
        <v>10284</v>
      </c>
      <c r="L2866" s="789" t="s">
        <v>10241</v>
      </c>
      <c r="M2866" s="856">
        <v>476</v>
      </c>
      <c r="O2866" s="790" t="s">
        <v>9883</v>
      </c>
      <c r="P2866" s="790" t="s">
        <v>10244</v>
      </c>
      <c r="R2866" s="30"/>
    </row>
    <row r="2867" spans="2:18">
      <c r="B2867" s="5" t="s">
        <v>12289</v>
      </c>
      <c r="C2867" s="1038">
        <v>479</v>
      </c>
      <c r="D2867" s="803">
        <f>Page6!G51</f>
        <v>13040</v>
      </c>
      <c r="E2867" s="803">
        <f>Page6!L51</f>
        <v>40282</v>
      </c>
      <c r="F2867" t="str">
        <f t="shared" si="199"/>
        <v>06-00-479-SALES-CURR</v>
      </c>
      <c r="G2867" t="s">
        <v>127</v>
      </c>
      <c r="H2867" t="s">
        <v>10287</v>
      </c>
      <c r="I2867" t="s">
        <v>10253</v>
      </c>
      <c r="K2867" s="1073" t="s">
        <v>10284</v>
      </c>
      <c r="L2867" s="789" t="s">
        <v>10241</v>
      </c>
      <c r="M2867" s="790" t="s">
        <v>12290</v>
      </c>
      <c r="O2867" s="790" t="s">
        <v>9883</v>
      </c>
      <c r="P2867" s="790" t="s">
        <v>10244</v>
      </c>
      <c r="R2867" s="30"/>
    </row>
    <row r="2868" spans="2:18">
      <c r="B2868" s="27" t="s">
        <v>12291</v>
      </c>
      <c r="C2868" s="1042"/>
      <c r="D2868" s="803">
        <f>Page6!G52</f>
        <v>125390</v>
      </c>
      <c r="E2868" s="803">
        <f>Page6!L52</f>
        <v>453258</v>
      </c>
      <c r="F2868" t="str">
        <f t="shared" si="199"/>
        <v>06-00-BODYTOTL-SALES-CURR</v>
      </c>
      <c r="G2868" t="s">
        <v>127</v>
      </c>
      <c r="H2868" t="s">
        <v>10287</v>
      </c>
      <c r="I2868" t="s">
        <v>10253</v>
      </c>
      <c r="J2868" t="s">
        <v>10268</v>
      </c>
      <c r="K2868" s="1073" t="s">
        <v>10284</v>
      </c>
      <c r="L2868" s="789" t="s">
        <v>10241</v>
      </c>
      <c r="M2868" s="790" t="s">
        <v>11968</v>
      </c>
      <c r="O2868" s="790" t="s">
        <v>9883</v>
      </c>
      <c r="P2868" s="790" t="s">
        <v>10244</v>
      </c>
      <c r="Q2868" s="791" t="s">
        <v>773</v>
      </c>
    </row>
    <row r="2869" spans="2:18">
      <c r="B2869" s="56" t="s">
        <v>12292</v>
      </c>
      <c r="C2869" s="1042"/>
      <c r="D2869" s="803">
        <f>Page6!G53</f>
        <v>267122</v>
      </c>
      <c r="E2869" s="803">
        <f>Page6!L53</f>
        <v>936341</v>
      </c>
      <c r="F2869" t="str">
        <f t="shared" si="199"/>
        <v>00-00-SVCDEPT-SALES-CURR</v>
      </c>
      <c r="G2869" t="s">
        <v>127</v>
      </c>
      <c r="H2869" t="s">
        <v>10287</v>
      </c>
      <c r="I2869" t="s">
        <v>10253</v>
      </c>
      <c r="J2869" t="s">
        <v>10268</v>
      </c>
      <c r="K2869" s="1073" t="s">
        <v>10241</v>
      </c>
      <c r="L2869" s="789" t="s">
        <v>10241</v>
      </c>
      <c r="M2869" s="790" t="s">
        <v>12293</v>
      </c>
      <c r="O2869" s="790" t="s">
        <v>9883</v>
      </c>
      <c r="P2869" s="790" t="s">
        <v>10244</v>
      </c>
      <c r="Q2869" s="791" t="s">
        <v>773</v>
      </c>
    </row>
    <row r="2870" spans="2:18">
      <c r="B2870" s="5" t="s">
        <v>12294</v>
      </c>
      <c r="C2870" s="1038">
        <v>480</v>
      </c>
      <c r="D2870" s="803">
        <f>Page6!G54</f>
        <v>49592</v>
      </c>
      <c r="E2870" s="803">
        <f>Page6!L54</f>
        <v>125042</v>
      </c>
      <c r="F2870" t="str">
        <f t="shared" si="199"/>
        <v>07-00-480-SALES-CURR</v>
      </c>
      <c r="G2870" t="s">
        <v>127</v>
      </c>
      <c r="H2870" t="s">
        <v>10287</v>
      </c>
      <c r="I2870" t="s">
        <v>10253</v>
      </c>
      <c r="K2870" s="1073" t="s">
        <v>11018</v>
      </c>
      <c r="L2870" s="789" t="s">
        <v>10241</v>
      </c>
      <c r="M2870" s="790" t="s">
        <v>12295</v>
      </c>
      <c r="O2870" s="790" t="s">
        <v>9883</v>
      </c>
      <c r="P2870" s="790" t="s">
        <v>10244</v>
      </c>
      <c r="R2870" s="30"/>
    </row>
    <row r="2871" spans="2:18">
      <c r="B2871" s="5" t="s">
        <v>12296</v>
      </c>
      <c r="C2871" s="1038">
        <v>467</v>
      </c>
      <c r="D2871" s="803">
        <f>Page6!G55</f>
        <v>36256</v>
      </c>
      <c r="E2871" s="803">
        <f>Page6!L55</f>
        <v>126890</v>
      </c>
      <c r="F2871" t="str">
        <f t="shared" si="199"/>
        <v>07-00-467-SALES-CURR</v>
      </c>
      <c r="G2871" t="s">
        <v>127</v>
      </c>
      <c r="H2871" t="s">
        <v>10287</v>
      </c>
      <c r="I2871" t="s">
        <v>10253</v>
      </c>
      <c r="K2871" s="1073" t="s">
        <v>11018</v>
      </c>
      <c r="L2871" s="789" t="s">
        <v>10241</v>
      </c>
      <c r="M2871" s="790" t="s">
        <v>12297</v>
      </c>
      <c r="O2871" s="790" t="s">
        <v>9883</v>
      </c>
      <c r="P2871" s="790" t="s">
        <v>10244</v>
      </c>
      <c r="R2871" s="30"/>
    </row>
    <row r="2872" spans="2:18">
      <c r="B2872" s="5" t="s">
        <v>12298</v>
      </c>
      <c r="C2872" s="1038" t="s">
        <v>768</v>
      </c>
      <c r="D2872" s="803">
        <f>Page6!G56</f>
        <v>0</v>
      </c>
      <c r="E2872" s="803">
        <f>Page6!L56</f>
        <v>0</v>
      </c>
      <c r="F2872" t="str">
        <f t="shared" si="199"/>
        <v>07-00-467E-SALES-CURR</v>
      </c>
      <c r="G2872" t="s">
        <v>127</v>
      </c>
      <c r="H2872" t="s">
        <v>10287</v>
      </c>
      <c r="I2872" t="s">
        <v>10253</v>
      </c>
      <c r="K2872" s="2231" t="s">
        <v>11018</v>
      </c>
      <c r="L2872" s="2425" t="s">
        <v>10241</v>
      </c>
      <c r="M2872" s="2175" t="s">
        <v>768</v>
      </c>
      <c r="N2872" s="2175"/>
      <c r="O2872" s="2175" t="s">
        <v>9883</v>
      </c>
      <c r="P2872" s="2175" t="s">
        <v>10244</v>
      </c>
      <c r="R2872" s="30"/>
    </row>
    <row r="2873" spans="2:18">
      <c r="B2873" s="5" t="s">
        <v>12299</v>
      </c>
      <c r="C2873" s="1038">
        <v>468</v>
      </c>
      <c r="D2873" s="803">
        <f>Page6!G57</f>
        <v>0</v>
      </c>
      <c r="E2873" s="803">
        <f>Page6!L57</f>
        <v>0</v>
      </c>
      <c r="F2873" t="str">
        <f t="shared" si="199"/>
        <v>07-00-468-SALES-CURR</v>
      </c>
      <c r="G2873" t="s">
        <v>127</v>
      </c>
      <c r="H2873" t="s">
        <v>10287</v>
      </c>
      <c r="I2873" t="s">
        <v>10253</v>
      </c>
      <c r="K2873" s="2231" t="s">
        <v>11018</v>
      </c>
      <c r="L2873" s="2425" t="s">
        <v>10241</v>
      </c>
      <c r="M2873" s="2175">
        <v>468</v>
      </c>
      <c r="N2873" s="2175"/>
      <c r="O2873" s="2175" t="s">
        <v>9883</v>
      </c>
      <c r="P2873" s="2175" t="s">
        <v>10244</v>
      </c>
      <c r="R2873" s="30"/>
    </row>
    <row r="2874" spans="2:18">
      <c r="B2874" s="5" t="s">
        <v>12300</v>
      </c>
      <c r="C2874" s="1038" t="s">
        <v>771</v>
      </c>
      <c r="D2874" s="803">
        <f>Page6!G58</f>
        <v>0</v>
      </c>
      <c r="E2874" s="803">
        <f>Page6!L58</f>
        <v>0</v>
      </c>
      <c r="F2874" t="str">
        <f t="shared" si="199"/>
        <v>07-00-468E-SALES-CURR</v>
      </c>
      <c r="G2874" t="s">
        <v>127</v>
      </c>
      <c r="H2874" t="s">
        <v>10287</v>
      </c>
      <c r="I2874" t="s">
        <v>10253</v>
      </c>
      <c r="K2874" s="2231" t="s">
        <v>11018</v>
      </c>
      <c r="L2874" s="2425" t="s">
        <v>10241</v>
      </c>
      <c r="M2874" s="2175" t="s">
        <v>771</v>
      </c>
      <c r="N2874" s="2175"/>
      <c r="O2874" s="2175" t="s">
        <v>9883</v>
      </c>
      <c r="P2874" s="2175" t="s">
        <v>10244</v>
      </c>
      <c r="R2874" s="30"/>
    </row>
    <row r="2875" spans="2:18">
      <c r="B2875" s="5" t="s">
        <v>12301</v>
      </c>
      <c r="C2875" s="1038">
        <v>478</v>
      </c>
      <c r="D2875" s="803">
        <f>Page6!G59</f>
        <v>0</v>
      </c>
      <c r="E2875" s="803">
        <f>Page6!L59</f>
        <v>0</v>
      </c>
      <c r="F2875" t="str">
        <f t="shared" si="199"/>
        <v>07-00-478-SALES-CURR</v>
      </c>
      <c r="G2875" t="s">
        <v>127</v>
      </c>
      <c r="H2875" t="s">
        <v>10287</v>
      </c>
      <c r="I2875" t="s">
        <v>10253</v>
      </c>
      <c r="K2875" s="2231" t="s">
        <v>11018</v>
      </c>
      <c r="L2875" s="2425" t="s">
        <v>10241</v>
      </c>
      <c r="M2875" s="2175">
        <v>478</v>
      </c>
      <c r="N2875" s="2175"/>
      <c r="O2875" s="2175" t="s">
        <v>9883</v>
      </c>
      <c r="P2875" s="2175" t="s">
        <v>10244</v>
      </c>
      <c r="R2875" s="30"/>
    </row>
    <row r="2876" spans="2:18">
      <c r="B2876" s="5" t="s">
        <v>12302</v>
      </c>
      <c r="C2876" s="1038">
        <v>477</v>
      </c>
      <c r="D2876" s="803">
        <f>Page6!G60</f>
        <v>0</v>
      </c>
      <c r="E2876" s="803">
        <f>Page6!L60</f>
        <v>0</v>
      </c>
      <c r="F2876" t="str">
        <f t="shared" si="199"/>
        <v>07-00-477-SALES-CURR</v>
      </c>
      <c r="G2876" t="s">
        <v>127</v>
      </c>
      <c r="H2876" t="s">
        <v>10287</v>
      </c>
      <c r="I2876" t="s">
        <v>10253</v>
      </c>
      <c r="K2876" s="2231" t="s">
        <v>11018</v>
      </c>
      <c r="L2876" s="2425" t="s">
        <v>10241</v>
      </c>
      <c r="M2876" s="2175" t="s">
        <v>12303</v>
      </c>
      <c r="N2876" s="2175"/>
      <c r="O2876" s="2175" t="s">
        <v>9883</v>
      </c>
      <c r="P2876" s="2175" t="s">
        <v>10244</v>
      </c>
      <c r="R2876" s="30"/>
    </row>
    <row r="2877" spans="2:18">
      <c r="B2877" s="5" t="s">
        <v>9487</v>
      </c>
      <c r="C2877" s="1038" t="s">
        <v>776</v>
      </c>
      <c r="D2877" s="803">
        <f>Page6!G61</f>
        <v>0</v>
      </c>
      <c r="E2877" s="803">
        <f>Page6!L61</f>
        <v>0</v>
      </c>
      <c r="F2877" t="str">
        <f t="shared" si="199"/>
        <v>07-00-467D-SALES-CURR</v>
      </c>
      <c r="G2877" t="s">
        <v>127</v>
      </c>
      <c r="H2877" t="s">
        <v>10287</v>
      </c>
      <c r="I2877" t="s">
        <v>10253</v>
      </c>
      <c r="K2877" s="2231" t="s">
        <v>11018</v>
      </c>
      <c r="L2877" s="2425" t="s">
        <v>10241</v>
      </c>
      <c r="M2877" s="2175" t="s">
        <v>776</v>
      </c>
      <c r="N2877" s="2175"/>
      <c r="O2877" s="2175" t="s">
        <v>9883</v>
      </c>
      <c r="P2877" s="2175" t="s">
        <v>10244</v>
      </c>
      <c r="R2877" s="30"/>
    </row>
    <row r="2878" spans="2:18">
      <c r="B2878" s="5" t="s">
        <v>9490</v>
      </c>
      <c r="C2878" s="1038" t="s">
        <v>778</v>
      </c>
      <c r="D2878" s="803">
        <f>Page6!G62</f>
        <v>0</v>
      </c>
      <c r="E2878" s="803">
        <f>Page6!L62</f>
        <v>0</v>
      </c>
      <c r="F2878" t="str">
        <f t="shared" si="199"/>
        <v>07-00-467N-SALES-CURR</v>
      </c>
      <c r="G2878" t="s">
        <v>127</v>
      </c>
      <c r="H2878" t="s">
        <v>10287</v>
      </c>
      <c r="I2878" t="s">
        <v>10253</v>
      </c>
      <c r="K2878" s="2231" t="s">
        <v>11018</v>
      </c>
      <c r="L2878" s="2425" t="s">
        <v>10241</v>
      </c>
      <c r="M2878" s="2175" t="s">
        <v>778</v>
      </c>
      <c r="N2878" s="2175"/>
      <c r="O2878" s="2175" t="s">
        <v>9883</v>
      </c>
      <c r="P2878" s="2175" t="s">
        <v>10244</v>
      </c>
      <c r="R2878" s="30"/>
    </row>
    <row r="2879" spans="2:18">
      <c r="B2879" s="5" t="s">
        <v>12304</v>
      </c>
      <c r="C2879" s="1038">
        <v>481</v>
      </c>
      <c r="D2879" s="803">
        <f>Page6!G63</f>
        <v>34355</v>
      </c>
      <c r="E2879" s="803">
        <f>Page6!L63</f>
        <v>160675</v>
      </c>
      <c r="F2879" t="str">
        <f t="shared" si="199"/>
        <v>07-00-481-SALES-CURR</v>
      </c>
      <c r="G2879" t="s">
        <v>127</v>
      </c>
      <c r="H2879" t="s">
        <v>10287</v>
      </c>
      <c r="I2879" t="s">
        <v>10253</v>
      </c>
      <c r="K2879" s="2231" t="s">
        <v>11018</v>
      </c>
      <c r="L2879" s="2425" t="s">
        <v>10241</v>
      </c>
      <c r="M2879" s="2175" t="s">
        <v>12305</v>
      </c>
      <c r="N2879" s="2175"/>
      <c r="O2879" s="2175" t="s">
        <v>9883</v>
      </c>
      <c r="P2879" s="2175" t="s">
        <v>10244</v>
      </c>
      <c r="R2879" s="30"/>
    </row>
    <row r="2880" spans="2:18">
      <c r="B2880" s="5" t="s">
        <v>12306</v>
      </c>
      <c r="C2880" s="1038">
        <v>482</v>
      </c>
      <c r="D2880" s="803">
        <f>Page6!G64</f>
        <v>7933</v>
      </c>
      <c r="E2880" s="803">
        <f>Page6!L64</f>
        <v>38854</v>
      </c>
      <c r="F2880" t="str">
        <f t="shared" si="199"/>
        <v>07-00-482-SALES-CURR</v>
      </c>
      <c r="G2880" t="s">
        <v>127</v>
      </c>
      <c r="H2880" t="s">
        <v>10287</v>
      </c>
      <c r="I2880" t="s">
        <v>10253</v>
      </c>
      <c r="K2880" s="2231" t="s">
        <v>11018</v>
      </c>
      <c r="L2880" s="2425" t="s">
        <v>10241</v>
      </c>
      <c r="M2880" s="2175" t="s">
        <v>12307</v>
      </c>
      <c r="N2880" s="2175"/>
      <c r="O2880" s="2175" t="s">
        <v>9883</v>
      </c>
      <c r="P2880" s="2175" t="s">
        <v>10244</v>
      </c>
      <c r="R2880" s="30"/>
    </row>
    <row r="2881" spans="2:18">
      <c r="B2881" s="5" t="s">
        <v>9497</v>
      </c>
      <c r="C2881" s="1038" t="s">
        <v>781</v>
      </c>
      <c r="D2881" s="803">
        <f>Page6!G65</f>
        <v>0</v>
      </c>
      <c r="E2881" s="803">
        <f>Page6!L65</f>
        <v>0</v>
      </c>
      <c r="F2881" t="str">
        <f t="shared" si="199"/>
        <v>07-00-482C-SALES-CURR</v>
      </c>
      <c r="G2881" t="s">
        <v>127</v>
      </c>
      <c r="H2881" t="s">
        <v>10287</v>
      </c>
      <c r="I2881" t="s">
        <v>10253</v>
      </c>
      <c r="K2881" s="2231" t="s">
        <v>11018</v>
      </c>
      <c r="L2881" s="2425" t="s">
        <v>10241</v>
      </c>
      <c r="M2881" s="2175" t="s">
        <v>781</v>
      </c>
      <c r="N2881" s="2175"/>
      <c r="O2881" s="2175" t="s">
        <v>9883</v>
      </c>
      <c r="P2881" s="2175" t="s">
        <v>10244</v>
      </c>
      <c r="R2881" s="30"/>
    </row>
    <row r="2882" spans="2:18">
      <c r="B2882" s="5" t="s">
        <v>12308</v>
      </c>
      <c r="C2882" s="1038">
        <v>483</v>
      </c>
      <c r="D2882" s="803">
        <f>Page6!G66</f>
        <v>23254</v>
      </c>
      <c r="E2882" s="803">
        <f>Page6!L66</f>
        <v>101829</v>
      </c>
      <c r="F2882" t="str">
        <f t="shared" si="199"/>
        <v>07-00-483-SALES-CURR</v>
      </c>
      <c r="G2882" t="s">
        <v>127</v>
      </c>
      <c r="H2882" t="s">
        <v>10287</v>
      </c>
      <c r="I2882" t="s">
        <v>10253</v>
      </c>
      <c r="K2882" s="2231" t="s">
        <v>11018</v>
      </c>
      <c r="L2882" s="2425" t="s">
        <v>10241</v>
      </c>
      <c r="M2882" s="2175" t="s">
        <v>12309</v>
      </c>
      <c r="N2882" s="2175"/>
      <c r="O2882" s="2175" t="s">
        <v>9883</v>
      </c>
      <c r="P2882" s="2175" t="s">
        <v>10244</v>
      </c>
      <c r="R2882" s="30"/>
    </row>
    <row r="2883" spans="2:18">
      <c r="B2883" s="5" t="s">
        <v>12310</v>
      </c>
      <c r="C2883" s="1038">
        <v>484</v>
      </c>
      <c r="D2883" s="803">
        <f>Page6!G67</f>
        <v>0</v>
      </c>
      <c r="E2883" s="803">
        <f>Page6!L67</f>
        <v>0</v>
      </c>
      <c r="F2883" t="str">
        <f t="shared" si="199"/>
        <v>07-00-484-SALES-CURR</v>
      </c>
      <c r="G2883" t="s">
        <v>127</v>
      </c>
      <c r="H2883" t="s">
        <v>10287</v>
      </c>
      <c r="I2883" t="s">
        <v>10253</v>
      </c>
      <c r="K2883" s="2231" t="s">
        <v>11018</v>
      </c>
      <c r="L2883" s="2425" t="s">
        <v>10241</v>
      </c>
      <c r="M2883" s="2175">
        <v>484</v>
      </c>
      <c r="N2883" s="2175"/>
      <c r="O2883" s="2175" t="s">
        <v>9883</v>
      </c>
      <c r="P2883" s="2175" t="s">
        <v>10244</v>
      </c>
      <c r="R2883" s="30"/>
    </row>
    <row r="2884" spans="2:18">
      <c r="B2884" s="5" t="s">
        <v>12311</v>
      </c>
      <c r="C2884" s="1038" t="s">
        <v>785</v>
      </c>
      <c r="D2884" s="803">
        <f>Page6!G68</f>
        <v>0</v>
      </c>
      <c r="E2884" s="803">
        <f>Page6!L68</f>
        <v>0</v>
      </c>
      <c r="F2884" t="str">
        <f t="shared" si="199"/>
        <v>07-00-484C-SALES-CURR</v>
      </c>
      <c r="G2884" t="s">
        <v>127</v>
      </c>
      <c r="H2884" t="s">
        <v>10287</v>
      </c>
      <c r="I2884" t="s">
        <v>10253</v>
      </c>
      <c r="K2884" s="2231" t="s">
        <v>11018</v>
      </c>
      <c r="L2884" s="2425" t="s">
        <v>10241</v>
      </c>
      <c r="M2884" s="2175" t="s">
        <v>785</v>
      </c>
      <c r="N2884" s="2175"/>
      <c r="O2884" s="2175" t="s">
        <v>9883</v>
      </c>
      <c r="P2884" s="2175" t="s">
        <v>10244</v>
      </c>
      <c r="R2884" s="30"/>
    </row>
    <row r="2885" spans="2:18">
      <c r="B2885" s="27" t="s">
        <v>12312</v>
      </c>
      <c r="C2885" s="1042"/>
      <c r="D2885" s="803">
        <f>Page6!G72</f>
        <v>151390</v>
      </c>
      <c r="E2885" s="803">
        <f>Page6!L72</f>
        <v>553290</v>
      </c>
      <c r="F2885" t="str">
        <f t="shared" si="199"/>
        <v>07-00-P&amp;ASUBT-SALES-CURR</v>
      </c>
      <c r="G2885" t="s">
        <v>127</v>
      </c>
      <c r="H2885" t="s">
        <v>10287</v>
      </c>
      <c r="I2885" t="s">
        <v>10253</v>
      </c>
      <c r="J2885" t="s">
        <v>10268</v>
      </c>
      <c r="K2885" s="1073" t="s">
        <v>11018</v>
      </c>
      <c r="L2885" s="789" t="s">
        <v>10241</v>
      </c>
      <c r="M2885" s="790" t="s">
        <v>12313</v>
      </c>
      <c r="O2885" s="790" t="s">
        <v>9883</v>
      </c>
      <c r="P2885" s="790" t="s">
        <v>10244</v>
      </c>
      <c r="Q2885" s="791" t="s">
        <v>773</v>
      </c>
    </row>
    <row r="2886" spans="2:18">
      <c r="B2886" s="5" t="s">
        <v>12314</v>
      </c>
      <c r="C2886" s="1038">
        <v>490</v>
      </c>
      <c r="D2886" s="803">
        <f>Page6!G73</f>
        <v>6644</v>
      </c>
      <c r="E2886" s="803">
        <f>Page6!L73</f>
        <v>81675</v>
      </c>
      <c r="F2886" t="str">
        <f t="shared" si="199"/>
        <v>07-00-490-SALES-CURR</v>
      </c>
      <c r="G2886" t="s">
        <v>127</v>
      </c>
      <c r="H2886" t="s">
        <v>10287</v>
      </c>
      <c r="I2886" t="s">
        <v>10253</v>
      </c>
      <c r="K2886" s="1073" t="s">
        <v>11018</v>
      </c>
      <c r="L2886" s="789" t="s">
        <v>10241</v>
      </c>
      <c r="M2886" s="790" t="s">
        <v>12315</v>
      </c>
      <c r="O2886" s="790" t="s">
        <v>9883</v>
      </c>
      <c r="P2886" s="790" t="s">
        <v>10244</v>
      </c>
      <c r="R2886" s="30"/>
    </row>
    <row r="2887" spans="2:18">
      <c r="B2887" s="5" t="s">
        <v>12316</v>
      </c>
      <c r="C2887" s="1038">
        <v>491</v>
      </c>
      <c r="D2887" s="803">
        <f>Page6!G74</f>
        <v>6831</v>
      </c>
      <c r="E2887" s="803">
        <f>Page6!L74</f>
        <v>22491</v>
      </c>
      <c r="F2887" t="str">
        <f t="shared" si="199"/>
        <v>07-00-491-SALES-CURR</v>
      </c>
      <c r="G2887" t="s">
        <v>127</v>
      </c>
      <c r="H2887" t="s">
        <v>10287</v>
      </c>
      <c r="I2887" t="s">
        <v>10253</v>
      </c>
      <c r="K2887" s="1073" t="s">
        <v>11018</v>
      </c>
      <c r="L2887" s="789" t="s">
        <v>10241</v>
      </c>
      <c r="M2887" s="790" t="s">
        <v>12317</v>
      </c>
      <c r="O2887" s="790" t="s">
        <v>9883</v>
      </c>
      <c r="P2887" s="790" t="s">
        <v>10244</v>
      </c>
      <c r="R2887" s="30"/>
    </row>
    <row r="2888" spans="2:18">
      <c r="B2888" s="5" t="s">
        <v>12318</v>
      </c>
      <c r="C2888" s="1038">
        <v>492</v>
      </c>
      <c r="D2888" s="803">
        <f>Page6!G75</f>
        <v>0</v>
      </c>
      <c r="E2888" s="803">
        <f>Page6!L75</f>
        <v>0</v>
      </c>
      <c r="F2888" t="str">
        <f t="shared" si="199"/>
        <v>07-00-492-SALES-CURR</v>
      </c>
      <c r="G2888" t="s">
        <v>127</v>
      </c>
      <c r="H2888" t="s">
        <v>10287</v>
      </c>
      <c r="I2888" t="s">
        <v>10253</v>
      </c>
      <c r="K2888" s="1073" t="s">
        <v>11018</v>
      </c>
      <c r="L2888" s="789" t="s">
        <v>10241</v>
      </c>
      <c r="M2888" s="790" t="s">
        <v>12319</v>
      </c>
      <c r="O2888" s="790" t="s">
        <v>9883</v>
      </c>
      <c r="P2888" s="790" t="s">
        <v>10244</v>
      </c>
      <c r="R2888" s="30"/>
    </row>
    <row r="2889" spans="2:18">
      <c r="B2889" s="27" t="s">
        <v>12320</v>
      </c>
      <c r="C2889" s="1042"/>
      <c r="D2889" s="803">
        <f>Page6!G76</f>
        <v>13475</v>
      </c>
      <c r="E2889" s="803">
        <f>Page6!L76</f>
        <v>104166</v>
      </c>
      <c r="F2889" t="str">
        <f t="shared" si="199"/>
        <v>07-00-OTHERP&amp;A-SALES-CURR</v>
      </c>
      <c r="G2889" t="s">
        <v>127</v>
      </c>
      <c r="H2889" t="s">
        <v>10287</v>
      </c>
      <c r="I2889" t="s">
        <v>10253</v>
      </c>
      <c r="J2889" t="s">
        <v>10268</v>
      </c>
      <c r="K2889" s="1073" t="s">
        <v>11018</v>
      </c>
      <c r="L2889" s="789" t="s">
        <v>10241</v>
      </c>
      <c r="M2889" s="790" t="s">
        <v>12321</v>
      </c>
      <c r="O2889" s="790" t="s">
        <v>9883</v>
      </c>
      <c r="P2889" s="790" t="s">
        <v>10244</v>
      </c>
      <c r="Q2889" s="791" t="s">
        <v>773</v>
      </c>
    </row>
    <row r="2890" spans="2:18">
      <c r="B2890" s="27" t="s">
        <v>12322</v>
      </c>
      <c r="C2890" s="1042"/>
      <c r="D2890" s="803">
        <f>Page6!G77</f>
        <v>164865</v>
      </c>
      <c r="E2890" s="803">
        <f>Page6!L77</f>
        <v>657456</v>
      </c>
      <c r="F2890" t="str">
        <f t="shared" ref="F2890:F2968" si="200">TEXT(K2890,"00")&amp;"-"&amp;L2890&amp;IF(M2890="","","-"&amp;M2890)&amp;IF(N2890="","","-"&amp;N2890)&amp;IF(OR(O2890="",O2890=0),"","-"&amp;O2890)&amp;IF(P2890="","","-"&amp;P2890)</f>
        <v>07-00-P&amp;ADEPT-SALES-CURR</v>
      </c>
      <c r="G2890" t="s">
        <v>127</v>
      </c>
      <c r="H2890" t="s">
        <v>10287</v>
      </c>
      <c r="I2890" t="s">
        <v>10253</v>
      </c>
      <c r="J2890" t="s">
        <v>10268</v>
      </c>
      <c r="K2890" s="1073" t="s">
        <v>11018</v>
      </c>
      <c r="L2890" s="789" t="s">
        <v>10241</v>
      </c>
      <c r="M2890" s="790" t="s">
        <v>12021</v>
      </c>
      <c r="O2890" s="790" t="s">
        <v>9883</v>
      </c>
      <c r="P2890" s="790" t="s">
        <v>10244</v>
      </c>
      <c r="Q2890" s="791" t="s">
        <v>773</v>
      </c>
    </row>
    <row r="2891" spans="2:18">
      <c r="B2891" s="27" t="s">
        <v>12323</v>
      </c>
      <c r="C2891" s="1042"/>
      <c r="D2891" s="803">
        <f>Page6!G78</f>
        <v>431987</v>
      </c>
      <c r="E2891" s="803">
        <f>Page6!L78</f>
        <v>1593797</v>
      </c>
      <c r="F2891" t="str">
        <f t="shared" si="200"/>
        <v>00-00-FIXOPER-SALES-CURR</v>
      </c>
      <c r="G2891" t="s">
        <v>127</v>
      </c>
      <c r="H2891" t="s">
        <v>10287</v>
      </c>
      <c r="I2891" t="s">
        <v>10253</v>
      </c>
      <c r="J2891" t="s">
        <v>10268</v>
      </c>
      <c r="K2891" s="1073" t="s">
        <v>10241</v>
      </c>
      <c r="L2891" s="789" t="s">
        <v>10241</v>
      </c>
      <c r="M2891" s="790" t="s">
        <v>12324</v>
      </c>
      <c r="O2891" s="790" t="s">
        <v>9883</v>
      </c>
      <c r="P2891" s="790" t="s">
        <v>10244</v>
      </c>
      <c r="Q2891" s="791" t="s">
        <v>773</v>
      </c>
    </row>
    <row r="2892" spans="2:18">
      <c r="B2892" s="27" t="s">
        <v>12325</v>
      </c>
      <c r="C2892" s="1042"/>
      <c r="D2892" s="803">
        <f>Page6!G79</f>
        <v>10336068</v>
      </c>
      <c r="E2892" s="803">
        <f>Page6!L79</f>
        <v>34929085</v>
      </c>
      <c r="F2892" t="str">
        <f t="shared" si="200"/>
        <v>00-00-ALLDEPTS-SALES-CURR</v>
      </c>
      <c r="G2892" t="s">
        <v>127</v>
      </c>
      <c r="H2892" t="s">
        <v>10287</v>
      </c>
      <c r="I2892" t="s">
        <v>10253</v>
      </c>
      <c r="J2892" t="s">
        <v>10268</v>
      </c>
      <c r="K2892" s="1073" t="s">
        <v>10241</v>
      </c>
      <c r="L2892" s="789" t="s">
        <v>10241</v>
      </c>
      <c r="M2892" s="790" t="s">
        <v>12326</v>
      </c>
      <c r="O2892" s="790" t="s">
        <v>9883</v>
      </c>
      <c r="P2892" s="790" t="s">
        <v>10244</v>
      </c>
      <c r="Q2892" s="791" t="s">
        <v>773</v>
      </c>
    </row>
    <row r="2893" spans="2:18">
      <c r="B2893" s="5" t="s">
        <v>12327</v>
      </c>
      <c r="C2893" s="1038" t="s">
        <v>725</v>
      </c>
      <c r="D2893" s="803">
        <f>Page6!I24</f>
        <v>30206</v>
      </c>
      <c r="E2893" s="803">
        <f>Page6!N24</f>
        <v>93333</v>
      </c>
      <c r="F2893" t="str">
        <f t="shared" si="200"/>
        <v>05-00-460A-GRSPFT-CURR</v>
      </c>
      <c r="G2893" t="s">
        <v>127</v>
      </c>
      <c r="H2893" t="s">
        <v>10287</v>
      </c>
      <c r="I2893" t="s">
        <v>10253</v>
      </c>
      <c r="K2893" s="1073" t="s">
        <v>10274</v>
      </c>
      <c r="L2893" s="789" t="s">
        <v>10241</v>
      </c>
      <c r="M2893" s="790" t="s">
        <v>725</v>
      </c>
      <c r="O2893" s="790" t="s">
        <v>10467</v>
      </c>
      <c r="P2893" s="790" t="s">
        <v>10244</v>
      </c>
      <c r="R2893" s="30"/>
    </row>
    <row r="2894" spans="2:18">
      <c r="B2894" s="5" t="s">
        <v>12328</v>
      </c>
      <c r="C2894" s="1038" t="s">
        <v>727</v>
      </c>
      <c r="D2894" s="803">
        <f>Page6!I25</f>
        <v>0</v>
      </c>
      <c r="E2894" s="803">
        <f>Page6!N25</f>
        <v>0</v>
      </c>
      <c r="F2894" t="str">
        <f t="shared" si="200"/>
        <v>05-00-460E-GRSPFT-CURR</v>
      </c>
      <c r="G2894" t="s">
        <v>127</v>
      </c>
      <c r="H2894" t="s">
        <v>10287</v>
      </c>
      <c r="I2894" t="s">
        <v>10253</v>
      </c>
      <c r="K2894" s="2231" t="s">
        <v>10274</v>
      </c>
      <c r="L2894" s="2425" t="s">
        <v>10241</v>
      </c>
      <c r="M2894" s="2175" t="s">
        <v>727</v>
      </c>
      <c r="N2894" s="2175"/>
      <c r="O2894" s="2175" t="s">
        <v>10467</v>
      </c>
      <c r="P2894" s="2175" t="s">
        <v>10244</v>
      </c>
      <c r="R2894" s="30"/>
    </row>
    <row r="2895" spans="2:18">
      <c r="B2895" s="5" t="s">
        <v>12329</v>
      </c>
      <c r="C2895" s="1038" t="s">
        <v>729</v>
      </c>
      <c r="D2895" s="803">
        <f>Page6!I26</f>
        <v>0</v>
      </c>
      <c r="E2895" s="803">
        <f>Page6!N26</f>
        <v>0</v>
      </c>
      <c r="F2895" t="str">
        <f t="shared" si="200"/>
        <v>05-00-460B-GRSPFT-CURR</v>
      </c>
      <c r="G2895" t="s">
        <v>127</v>
      </c>
      <c r="H2895" t="s">
        <v>10287</v>
      </c>
      <c r="I2895" t="s">
        <v>10253</v>
      </c>
      <c r="K2895" s="2231" t="s">
        <v>10274</v>
      </c>
      <c r="L2895" s="2425" t="s">
        <v>10241</v>
      </c>
      <c r="M2895" s="2175" t="s">
        <v>729</v>
      </c>
      <c r="N2895" s="2175"/>
      <c r="O2895" s="2175" t="s">
        <v>10467</v>
      </c>
      <c r="P2895" s="2175" t="s">
        <v>10244</v>
      </c>
      <c r="R2895" s="30"/>
    </row>
    <row r="2896" spans="2:18">
      <c r="B2896" s="5" t="s">
        <v>12330</v>
      </c>
      <c r="C2896" s="1038" t="s">
        <v>731</v>
      </c>
      <c r="D2896" s="803">
        <f>Page6!I27</f>
        <v>0</v>
      </c>
      <c r="E2896" s="803">
        <f>Page6!N27</f>
        <v>0</v>
      </c>
      <c r="F2896" t="str">
        <f t="shared" si="200"/>
        <v>05-00-460F-GRSPFT-CURR</v>
      </c>
      <c r="G2896" t="s">
        <v>127</v>
      </c>
      <c r="H2896" t="s">
        <v>10287</v>
      </c>
      <c r="I2896" t="s">
        <v>10253</v>
      </c>
      <c r="K2896" s="2231" t="s">
        <v>10274</v>
      </c>
      <c r="L2896" s="2425" t="s">
        <v>10241</v>
      </c>
      <c r="M2896" s="2175" t="s">
        <v>731</v>
      </c>
      <c r="N2896" s="2175"/>
      <c r="O2896" s="2175" t="s">
        <v>10467</v>
      </c>
      <c r="P2896" s="2175" t="s">
        <v>10244</v>
      </c>
      <c r="R2896" s="30"/>
    </row>
    <row r="2897" spans="2:18">
      <c r="B2897" s="5" t="s">
        <v>12331</v>
      </c>
      <c r="C2897" s="1038" t="s">
        <v>733</v>
      </c>
      <c r="D2897" s="803">
        <f>Page6!I28</f>
        <v>0</v>
      </c>
      <c r="E2897" s="803">
        <f>Page6!N28</f>
        <v>0</v>
      </c>
      <c r="F2897" t="str">
        <f t="shared" si="200"/>
        <v>05-00-460C-GRSPFT-CURR</v>
      </c>
      <c r="G2897" t="s">
        <v>127</v>
      </c>
      <c r="H2897" t="s">
        <v>10287</v>
      </c>
      <c r="I2897" t="s">
        <v>10253</v>
      </c>
      <c r="K2897" s="2231" t="s">
        <v>10274</v>
      </c>
      <c r="L2897" s="2425" t="s">
        <v>10241</v>
      </c>
      <c r="M2897" s="2175" t="s">
        <v>733</v>
      </c>
      <c r="N2897" s="2175"/>
      <c r="O2897" s="2175" t="s">
        <v>10467</v>
      </c>
      <c r="P2897" s="2175" t="s">
        <v>10244</v>
      </c>
      <c r="R2897" s="30"/>
    </row>
    <row r="2898" spans="2:18">
      <c r="B2898" s="5" t="s">
        <v>12332</v>
      </c>
      <c r="C2898" s="1038" t="s">
        <v>735</v>
      </c>
      <c r="D2898" s="803">
        <f>Page6!I29</f>
        <v>0</v>
      </c>
      <c r="E2898" s="803">
        <f>Page6!N29</f>
        <v>0</v>
      </c>
      <c r="F2898" t="str">
        <f t="shared" si="200"/>
        <v>05-00-460D-GRSPFT-CURR</v>
      </c>
      <c r="G2898" t="s">
        <v>127</v>
      </c>
      <c r="H2898" t="s">
        <v>10287</v>
      </c>
      <c r="I2898" t="s">
        <v>10253</v>
      </c>
      <c r="K2898" s="2231" t="s">
        <v>10274</v>
      </c>
      <c r="L2898" s="2425" t="s">
        <v>10241</v>
      </c>
      <c r="M2898" s="2175" t="s">
        <v>735</v>
      </c>
      <c r="N2898" s="2175"/>
      <c r="O2898" s="2175" t="s">
        <v>10467</v>
      </c>
      <c r="P2898" s="2175" t="s">
        <v>10244</v>
      </c>
      <c r="R2898" s="30"/>
    </row>
    <row r="2899" spans="2:18">
      <c r="B2899" s="5" t="s">
        <v>12333</v>
      </c>
      <c r="C2899" s="1038" t="s">
        <v>737</v>
      </c>
      <c r="D2899" s="803">
        <f>Page6!I30</f>
        <v>0</v>
      </c>
      <c r="E2899" s="803">
        <f>Page6!N30</f>
        <v>0</v>
      </c>
      <c r="F2899" t="str">
        <f t="shared" si="200"/>
        <v>05-00-460N-GRSPFT-CURR</v>
      </c>
      <c r="G2899" t="s">
        <v>127</v>
      </c>
      <c r="H2899" t="s">
        <v>10287</v>
      </c>
      <c r="I2899" t="s">
        <v>10253</v>
      </c>
      <c r="K2899" s="2231" t="s">
        <v>10274</v>
      </c>
      <c r="L2899" s="2425" t="s">
        <v>10241</v>
      </c>
      <c r="M2899" s="2175" t="s">
        <v>737</v>
      </c>
      <c r="N2899" s="2175"/>
      <c r="O2899" s="2175" t="s">
        <v>10467</v>
      </c>
      <c r="P2899" s="2175" t="s">
        <v>10244</v>
      </c>
      <c r="R2899" s="30"/>
    </row>
    <row r="2900" spans="2:18" ht="11.5" customHeight="1">
      <c r="B2900" s="1074" t="s">
        <v>12334</v>
      </c>
      <c r="C2900" s="1038" t="s">
        <v>740</v>
      </c>
      <c r="D2900" s="803">
        <f>Page6!I31</f>
        <v>0</v>
      </c>
      <c r="E2900" s="803">
        <f>Page6!N31</f>
        <v>0</v>
      </c>
      <c r="F2900" t="str">
        <f t="shared" si="200"/>
        <v>05-00-461A-GRSPFT-CURR</v>
      </c>
      <c r="G2900" t="s">
        <v>127</v>
      </c>
      <c r="H2900" t="s">
        <v>10287</v>
      </c>
      <c r="I2900" t="s">
        <v>10253</v>
      </c>
      <c r="K2900" s="2231" t="s">
        <v>10274</v>
      </c>
      <c r="L2900" s="2425" t="s">
        <v>10241</v>
      </c>
      <c r="M2900" s="2175" t="s">
        <v>740</v>
      </c>
      <c r="N2900" s="2175"/>
      <c r="O2900" s="2175" t="s">
        <v>10467</v>
      </c>
      <c r="P2900" s="2175" t="s">
        <v>10244</v>
      </c>
      <c r="R2900" s="30"/>
    </row>
    <row r="2901" spans="2:18" ht="11.5" customHeight="1">
      <c r="B2901" s="1074" t="s">
        <v>12335</v>
      </c>
      <c r="C2901" s="1038" t="s">
        <v>742</v>
      </c>
      <c r="D2901" s="803">
        <f>Page6!I32</f>
        <v>0</v>
      </c>
      <c r="E2901" s="803">
        <f>Page6!N32</f>
        <v>0</v>
      </c>
      <c r="F2901" t="str">
        <f t="shared" si="200"/>
        <v>05-00-461E-GRSPFT-CURR</v>
      </c>
      <c r="G2901" t="s">
        <v>127</v>
      </c>
      <c r="H2901" t="s">
        <v>10287</v>
      </c>
      <c r="I2901" t="s">
        <v>10253</v>
      </c>
      <c r="K2901" s="2231" t="s">
        <v>10274</v>
      </c>
      <c r="L2901" s="2425" t="s">
        <v>10241</v>
      </c>
      <c r="M2901" s="2175" t="s">
        <v>742</v>
      </c>
      <c r="N2901" s="2175"/>
      <c r="O2901" s="2175" t="s">
        <v>10467</v>
      </c>
      <c r="P2901" s="2175" t="s">
        <v>10244</v>
      </c>
      <c r="R2901" s="30"/>
    </row>
    <row r="2902" spans="2:18">
      <c r="B2902" s="1074" t="s">
        <v>12336</v>
      </c>
      <c r="C2902" s="1038" t="s">
        <v>744</v>
      </c>
      <c r="D2902" s="803">
        <f>Page6!I33</f>
        <v>0</v>
      </c>
      <c r="E2902" s="803">
        <f>Page6!N33</f>
        <v>0</v>
      </c>
      <c r="F2902" t="str">
        <f t="shared" si="200"/>
        <v>05-00-461B-GRSPFT-CURR</v>
      </c>
      <c r="G2902" t="s">
        <v>127</v>
      </c>
      <c r="H2902" t="s">
        <v>10287</v>
      </c>
      <c r="I2902" t="s">
        <v>10253</v>
      </c>
      <c r="K2902" s="2231" t="s">
        <v>10274</v>
      </c>
      <c r="L2902" s="2425" t="s">
        <v>10241</v>
      </c>
      <c r="M2902" s="2175" t="s">
        <v>744</v>
      </c>
      <c r="N2902" s="2175"/>
      <c r="O2902" s="2175" t="s">
        <v>10467</v>
      </c>
      <c r="P2902" s="2175" t="s">
        <v>10244</v>
      </c>
      <c r="R2902" s="30"/>
    </row>
    <row r="2903" spans="2:18">
      <c r="B2903" s="1074" t="s">
        <v>12337</v>
      </c>
      <c r="C2903" s="1038" t="s">
        <v>747</v>
      </c>
      <c r="D2903" s="803">
        <f>Page6!I34</f>
        <v>0</v>
      </c>
      <c r="E2903" s="803">
        <f>Page6!N34</f>
        <v>0</v>
      </c>
      <c r="F2903" t="str">
        <f t="shared" si="200"/>
        <v>05-00-461F-GRSPFT-CURR</v>
      </c>
      <c r="G2903" t="s">
        <v>127</v>
      </c>
      <c r="H2903" t="s">
        <v>10287</v>
      </c>
      <c r="I2903" t="s">
        <v>10253</v>
      </c>
      <c r="K2903" s="2231" t="s">
        <v>10274</v>
      </c>
      <c r="L2903" s="2425" t="s">
        <v>10241</v>
      </c>
      <c r="M2903" s="2175" t="s">
        <v>747</v>
      </c>
      <c r="N2903" s="2175"/>
      <c r="O2903" s="2175" t="s">
        <v>10467</v>
      </c>
      <c r="P2903" s="2175" t="s">
        <v>10244</v>
      </c>
      <c r="R2903" s="30"/>
    </row>
    <row r="2904" spans="2:18">
      <c r="B2904" s="1074" t="s">
        <v>12338</v>
      </c>
      <c r="C2904" s="1038" t="s">
        <v>749</v>
      </c>
      <c r="D2904" s="803">
        <f>Page6!I35</f>
        <v>0</v>
      </c>
      <c r="E2904" s="803">
        <f>Page6!N35</f>
        <v>0</v>
      </c>
      <c r="F2904" t="str">
        <f t="shared" si="200"/>
        <v>05-00-461C-GRSPFT-CURR</v>
      </c>
      <c r="G2904" t="s">
        <v>127</v>
      </c>
      <c r="H2904" t="s">
        <v>10287</v>
      </c>
      <c r="I2904" t="s">
        <v>10253</v>
      </c>
      <c r="K2904" s="2231" t="s">
        <v>10274</v>
      </c>
      <c r="L2904" s="2425" t="s">
        <v>10241</v>
      </c>
      <c r="M2904" s="2175" t="s">
        <v>749</v>
      </c>
      <c r="N2904" s="2175"/>
      <c r="O2904" s="2175" t="s">
        <v>10467</v>
      </c>
      <c r="P2904" s="2175" t="s">
        <v>10244</v>
      </c>
      <c r="R2904" s="30"/>
    </row>
    <row r="2905" spans="2:18">
      <c r="B2905" s="5" t="s">
        <v>12339</v>
      </c>
      <c r="C2905" s="1038">
        <v>462</v>
      </c>
      <c r="D2905" s="803">
        <f>Page6!I36</f>
        <v>11617</v>
      </c>
      <c r="E2905" s="803">
        <f>Page6!N36</f>
        <v>35541</v>
      </c>
      <c r="F2905" t="str">
        <f t="shared" si="200"/>
        <v>05-00-462-GRSPFT-CURR</v>
      </c>
      <c r="G2905" t="s">
        <v>127</v>
      </c>
      <c r="H2905" t="s">
        <v>10287</v>
      </c>
      <c r="I2905" t="s">
        <v>10253</v>
      </c>
      <c r="K2905" s="1073" t="s">
        <v>10274</v>
      </c>
      <c r="L2905" s="789" t="s">
        <v>10241</v>
      </c>
      <c r="M2905" s="790" t="s">
        <v>12274</v>
      </c>
      <c r="O2905" s="790" t="s">
        <v>10467</v>
      </c>
      <c r="P2905" s="790" t="s">
        <v>10244</v>
      </c>
      <c r="R2905" s="30"/>
    </row>
    <row r="2906" spans="2:18">
      <c r="B2906" s="5" t="s">
        <v>12340</v>
      </c>
      <c r="C2906" s="1038">
        <v>463</v>
      </c>
      <c r="D2906" s="803">
        <f>Page6!I37</f>
        <v>25829</v>
      </c>
      <c r="E2906" s="803">
        <f>Page6!N37</f>
        <v>97700</v>
      </c>
      <c r="F2906" t="str">
        <f t="shared" si="200"/>
        <v>05-00-463-GRSPFT-CURR</v>
      </c>
      <c r="G2906" t="s">
        <v>127</v>
      </c>
      <c r="H2906" t="s">
        <v>10287</v>
      </c>
      <c r="I2906" t="s">
        <v>10253</v>
      </c>
      <c r="K2906" s="1073" t="s">
        <v>10274</v>
      </c>
      <c r="L2906" s="789" t="s">
        <v>10241</v>
      </c>
      <c r="M2906" s="790" t="s">
        <v>12276</v>
      </c>
      <c r="O2906" s="790" t="s">
        <v>10467</v>
      </c>
      <c r="P2906" s="790" t="s">
        <v>10244</v>
      </c>
      <c r="R2906" s="30"/>
    </row>
    <row r="2907" spans="2:18">
      <c r="B2907" s="5" t="s">
        <v>12341</v>
      </c>
      <c r="C2907" s="1038">
        <v>464</v>
      </c>
      <c r="D2907" s="803">
        <f>Page6!I38</f>
        <v>0</v>
      </c>
      <c r="E2907" s="803">
        <f>Page6!N38</f>
        <v>0</v>
      </c>
      <c r="F2907" t="str">
        <f t="shared" si="200"/>
        <v>05-00-464-GRSPFT-CURR</v>
      </c>
      <c r="G2907" t="s">
        <v>127</v>
      </c>
      <c r="H2907" t="s">
        <v>10287</v>
      </c>
      <c r="I2907" t="s">
        <v>10253</v>
      </c>
      <c r="K2907" s="1073" t="s">
        <v>10274</v>
      </c>
      <c r="L2907" s="789" t="s">
        <v>10241</v>
      </c>
      <c r="M2907" s="790" t="s">
        <v>12278</v>
      </c>
      <c r="O2907" s="790" t="s">
        <v>10467</v>
      </c>
      <c r="P2907" s="790" t="s">
        <v>10244</v>
      </c>
      <c r="R2907" s="30"/>
    </row>
    <row r="2908" spans="2:18">
      <c r="B2908" s="5" t="s">
        <v>12342</v>
      </c>
      <c r="C2908" s="1038">
        <v>665</v>
      </c>
      <c r="D2908" s="803">
        <f>Page6!I39</f>
        <v>14140</v>
      </c>
      <c r="E2908" s="803">
        <f>Page6!N39</f>
        <v>41649</v>
      </c>
      <c r="F2908" t="str">
        <f t="shared" si="200"/>
        <v>05-00-665-GRSPFT-CURR</v>
      </c>
      <c r="G2908" t="s">
        <v>127</v>
      </c>
      <c r="H2908" t="s">
        <v>10287</v>
      </c>
      <c r="I2908" t="s">
        <v>10253</v>
      </c>
      <c r="K2908" s="1073" t="s">
        <v>10274</v>
      </c>
      <c r="L2908" s="789" t="s">
        <v>10241</v>
      </c>
      <c r="M2908" s="790" t="s">
        <v>12343</v>
      </c>
      <c r="O2908" s="790" t="s">
        <v>10467</v>
      </c>
      <c r="P2908" s="790" t="s">
        <v>10244</v>
      </c>
      <c r="R2908" s="30"/>
    </row>
    <row r="2909" spans="2:18">
      <c r="B2909" s="27" t="s">
        <v>12344</v>
      </c>
      <c r="C2909" s="1042"/>
      <c r="D2909" s="803">
        <f>Page6!I40</f>
        <v>81792</v>
      </c>
      <c r="E2909" s="803">
        <f>Page6!N40</f>
        <v>268223</v>
      </c>
      <c r="F2909" t="str">
        <f t="shared" si="200"/>
        <v>05-00-MECHSUBT-GRSPFT-CURR</v>
      </c>
      <c r="G2909" t="s">
        <v>127</v>
      </c>
      <c r="H2909" t="s">
        <v>10287</v>
      </c>
      <c r="I2909" t="s">
        <v>10253</v>
      </c>
      <c r="J2909" t="s">
        <v>10268</v>
      </c>
      <c r="K2909" s="1073" t="s">
        <v>10274</v>
      </c>
      <c r="L2909" s="789" t="s">
        <v>10241</v>
      </c>
      <c r="M2909" s="790" t="s">
        <v>12280</v>
      </c>
      <c r="O2909" s="790" t="s">
        <v>10467</v>
      </c>
      <c r="P2909" s="790" t="s">
        <v>10244</v>
      </c>
      <c r="Q2909" s="791" t="s">
        <v>773</v>
      </c>
    </row>
    <row r="2910" spans="2:18">
      <c r="B2910" s="5" t="s">
        <v>12345</v>
      </c>
      <c r="C2910" s="1038">
        <v>469</v>
      </c>
      <c r="D2910" s="803">
        <f>Page6!I41</f>
        <v>1100</v>
      </c>
      <c r="E2910" s="803">
        <f>Page6!N41</f>
        <v>4025</v>
      </c>
      <c r="F2910" t="str">
        <f t="shared" si="200"/>
        <v>05-00-469-GRSPFT-CURR</v>
      </c>
      <c r="G2910" t="s">
        <v>127</v>
      </c>
      <c r="H2910" t="s">
        <v>10287</v>
      </c>
      <c r="I2910" t="s">
        <v>10253</v>
      </c>
      <c r="K2910" s="1073" t="s">
        <v>10274</v>
      </c>
      <c r="L2910" s="789" t="s">
        <v>10241</v>
      </c>
      <c r="M2910" s="790">
        <v>469</v>
      </c>
      <c r="O2910" s="790" t="s">
        <v>10467</v>
      </c>
      <c r="P2910" s="790" t="s">
        <v>10244</v>
      </c>
      <c r="R2910" s="30"/>
    </row>
    <row r="2911" spans="2:18">
      <c r="B2911" s="5" t="s">
        <v>12346</v>
      </c>
      <c r="C2911" s="1038">
        <v>466</v>
      </c>
      <c r="D2911" s="803">
        <f>Page6!I42</f>
        <v>1573</v>
      </c>
      <c r="E2911" s="803">
        <f>Page6!N42</f>
        <v>4889</v>
      </c>
      <c r="F2911" t="str">
        <f t="shared" si="200"/>
        <v>05-00-466-GRSPFT-CURR</v>
      </c>
      <c r="G2911" t="s">
        <v>127</v>
      </c>
      <c r="H2911" t="s">
        <v>10287</v>
      </c>
      <c r="I2911" t="s">
        <v>10253</v>
      </c>
      <c r="K2911" s="1073" t="s">
        <v>10274</v>
      </c>
      <c r="L2911" s="789" t="s">
        <v>10241</v>
      </c>
      <c r="M2911" s="790" t="s">
        <v>12283</v>
      </c>
      <c r="O2911" s="790" t="s">
        <v>10467</v>
      </c>
      <c r="P2911" s="790" t="s">
        <v>10244</v>
      </c>
      <c r="R2911" s="30"/>
    </row>
    <row r="2912" spans="2:18">
      <c r="B2912" s="27" t="s">
        <v>12347</v>
      </c>
      <c r="C2912" s="1042"/>
      <c r="D2912" s="803">
        <f>Page6!I43</f>
        <v>84465</v>
      </c>
      <c r="E2912" s="803">
        <f>Page6!N43</f>
        <v>277137</v>
      </c>
      <c r="F2912" t="str">
        <f t="shared" si="200"/>
        <v>05-00-MECHTOTL-GRSPFT-CURR</v>
      </c>
      <c r="G2912" t="s">
        <v>127</v>
      </c>
      <c r="H2912" t="s">
        <v>10287</v>
      </c>
      <c r="I2912" t="s">
        <v>10253</v>
      </c>
      <c r="J2912" t="s">
        <v>10268</v>
      </c>
      <c r="K2912" s="1073" t="s">
        <v>10274</v>
      </c>
      <c r="L2912" s="789" t="s">
        <v>10241</v>
      </c>
      <c r="M2912" s="790" t="s">
        <v>11913</v>
      </c>
      <c r="O2912" s="790" t="s">
        <v>10467</v>
      </c>
      <c r="P2912" s="790" t="s">
        <v>10244</v>
      </c>
      <c r="Q2912" s="791" t="s">
        <v>773</v>
      </c>
    </row>
    <row r="2913" spans="2:18">
      <c r="B2913" s="5" t="s">
        <v>12348</v>
      </c>
      <c r="C2913" s="1038">
        <v>470</v>
      </c>
      <c r="D2913" s="803">
        <f>Page6!I44</f>
        <v>10938</v>
      </c>
      <c r="E2913" s="803">
        <f>Page6!N44</f>
        <v>36708</v>
      </c>
      <c r="F2913" t="str">
        <f t="shared" si="200"/>
        <v>06-00-470-GRSPFT-CURR</v>
      </c>
      <c r="G2913" t="s">
        <v>127</v>
      </c>
      <c r="H2913" t="s">
        <v>10287</v>
      </c>
      <c r="I2913" t="s">
        <v>10253</v>
      </c>
      <c r="K2913" s="1073" t="s">
        <v>10284</v>
      </c>
      <c r="L2913" s="789" t="s">
        <v>10241</v>
      </c>
      <c r="M2913" s="790" t="s">
        <v>12286</v>
      </c>
      <c r="O2913" s="790" t="s">
        <v>10467</v>
      </c>
      <c r="P2913" s="790" t="s">
        <v>10244</v>
      </c>
      <c r="R2913" s="30"/>
    </row>
    <row r="2914" spans="2:18">
      <c r="B2914" s="5" t="s">
        <v>12349</v>
      </c>
      <c r="C2914" s="1038">
        <v>471</v>
      </c>
      <c r="D2914" s="803">
        <f>Page6!I45</f>
        <v>23775</v>
      </c>
      <c r="E2914" s="803">
        <f>Page6!N45</f>
        <v>73198</v>
      </c>
      <c r="F2914" t="str">
        <f t="shared" si="200"/>
        <v>06-00-471-GRSPFT-CURR</v>
      </c>
      <c r="G2914" t="s">
        <v>127</v>
      </c>
      <c r="H2914" t="s">
        <v>10287</v>
      </c>
      <c r="I2914" t="s">
        <v>10253</v>
      </c>
      <c r="K2914" s="1073" t="s">
        <v>10284</v>
      </c>
      <c r="L2914" s="789" t="s">
        <v>10241</v>
      </c>
      <c r="M2914" s="790" t="s">
        <v>10883</v>
      </c>
      <c r="O2914" s="790" t="s">
        <v>10467</v>
      </c>
      <c r="P2914" s="790" t="s">
        <v>10244</v>
      </c>
      <c r="R2914" s="30"/>
    </row>
    <row r="2915" spans="2:18">
      <c r="B2915" s="5" t="s">
        <v>12339</v>
      </c>
      <c r="C2915" s="1038">
        <v>472</v>
      </c>
      <c r="D2915" s="803">
        <f>Page6!I46</f>
        <v>0</v>
      </c>
      <c r="E2915" s="803">
        <f>Page6!N46</f>
        <v>0</v>
      </c>
      <c r="F2915" t="str">
        <f t="shared" si="200"/>
        <v>06-00-472-GRSPFT-CURR</v>
      </c>
      <c r="G2915" t="s">
        <v>127</v>
      </c>
      <c r="H2915" t="s">
        <v>10287</v>
      </c>
      <c r="I2915" t="s">
        <v>10253</v>
      </c>
      <c r="K2915" s="1073" t="s">
        <v>10284</v>
      </c>
      <c r="L2915" s="789" t="s">
        <v>10241</v>
      </c>
      <c r="M2915" s="790" t="s">
        <v>10884</v>
      </c>
      <c r="O2915" s="790" t="s">
        <v>10467</v>
      </c>
      <c r="P2915" s="790" t="s">
        <v>10244</v>
      </c>
      <c r="R2915" s="30"/>
    </row>
    <row r="2916" spans="2:18">
      <c r="B2916" s="5" t="s">
        <v>12340</v>
      </c>
      <c r="C2916" s="1038">
        <v>473</v>
      </c>
      <c r="D2916" s="803">
        <f>Page6!I47</f>
        <v>5179</v>
      </c>
      <c r="E2916" s="803">
        <f>Page6!N47</f>
        <v>11812</v>
      </c>
      <c r="F2916" t="str">
        <f t="shared" si="200"/>
        <v>06-00-473-GRSPFT-CURR</v>
      </c>
      <c r="G2916" t="s">
        <v>127</v>
      </c>
      <c r="H2916" t="s">
        <v>10287</v>
      </c>
      <c r="I2916" t="s">
        <v>10253</v>
      </c>
      <c r="K2916" s="1073" t="s">
        <v>10284</v>
      </c>
      <c r="L2916" s="789" t="s">
        <v>10241</v>
      </c>
      <c r="M2916" s="790" t="s">
        <v>10885</v>
      </c>
      <c r="O2916" s="790" t="s">
        <v>10467</v>
      </c>
      <c r="P2916" s="790" t="s">
        <v>10244</v>
      </c>
      <c r="R2916" s="30"/>
    </row>
    <row r="2917" spans="2:18">
      <c r="B2917" s="5" t="s">
        <v>12342</v>
      </c>
      <c r="C2917" s="1038">
        <v>675</v>
      </c>
      <c r="D2917" s="803">
        <f>Page6!I48</f>
        <v>-8148</v>
      </c>
      <c r="E2917" s="803">
        <f>Page6!N48</f>
        <v>-10365</v>
      </c>
      <c r="F2917" t="str">
        <f t="shared" si="200"/>
        <v>06-00-675-GRSPFT-CURR</v>
      </c>
      <c r="G2917" t="s">
        <v>127</v>
      </c>
      <c r="H2917" t="s">
        <v>10287</v>
      </c>
      <c r="I2917" t="s">
        <v>10253</v>
      </c>
      <c r="K2917" s="1073" t="s">
        <v>10284</v>
      </c>
      <c r="L2917" s="789" t="s">
        <v>10241</v>
      </c>
      <c r="M2917" s="790" t="s">
        <v>12350</v>
      </c>
      <c r="O2917" s="790" t="s">
        <v>10467</v>
      </c>
      <c r="P2917" s="790" t="s">
        <v>10244</v>
      </c>
      <c r="R2917" s="30"/>
    </row>
    <row r="2918" spans="2:18">
      <c r="B2918" s="27" t="s">
        <v>12344</v>
      </c>
      <c r="C2918" s="1042"/>
      <c r="D2918" s="803">
        <f>Page6!I49</f>
        <v>31744</v>
      </c>
      <c r="E2918" s="803">
        <f>Page6!N49</f>
        <v>111353</v>
      </c>
      <c r="F2918" t="str">
        <f t="shared" si="200"/>
        <v>06-00-BODYSUBT-GRSPFT-CURR</v>
      </c>
      <c r="G2918" t="s">
        <v>127</v>
      </c>
      <c r="H2918" t="s">
        <v>10287</v>
      </c>
      <c r="I2918" t="s">
        <v>10253</v>
      </c>
      <c r="J2918" t="s">
        <v>10268</v>
      </c>
      <c r="K2918" s="1073" t="s">
        <v>10284</v>
      </c>
      <c r="L2918" s="789" t="s">
        <v>10241</v>
      </c>
      <c r="M2918" s="790" t="s">
        <v>12288</v>
      </c>
      <c r="O2918" s="790" t="s">
        <v>10467</v>
      </c>
      <c r="P2918" s="790" t="s">
        <v>10244</v>
      </c>
      <c r="Q2918" s="791" t="s">
        <v>773</v>
      </c>
    </row>
    <row r="2919" spans="2:18">
      <c r="B2919" s="5" t="s">
        <v>12346</v>
      </c>
      <c r="C2919" s="1038">
        <v>476</v>
      </c>
      <c r="D2919" s="803">
        <f>Page6!I50</f>
        <v>12842</v>
      </c>
      <c r="E2919" s="803">
        <f>Page6!N50</f>
        <v>53522</v>
      </c>
      <c r="F2919" t="str">
        <f t="shared" si="200"/>
        <v>06-00-476-GRSPFT-CURR</v>
      </c>
      <c r="G2919" t="s">
        <v>127</v>
      </c>
      <c r="H2919" t="s">
        <v>10287</v>
      </c>
      <c r="I2919" t="s">
        <v>10253</v>
      </c>
      <c r="K2919" s="1073" t="s">
        <v>10284</v>
      </c>
      <c r="L2919" s="789" t="s">
        <v>10241</v>
      </c>
      <c r="M2919" s="790" t="s">
        <v>12351</v>
      </c>
      <c r="O2919" s="790" t="s">
        <v>10467</v>
      </c>
      <c r="P2919" s="790" t="s">
        <v>10244</v>
      </c>
      <c r="R2919" s="30"/>
    </row>
    <row r="2920" spans="2:18">
      <c r="B2920" s="5" t="s">
        <v>12352</v>
      </c>
      <c r="C2920" s="1038">
        <v>479</v>
      </c>
      <c r="D2920" s="803">
        <f>Page6!I51</f>
        <v>3177</v>
      </c>
      <c r="E2920" s="803">
        <f>Page6!N51</f>
        <v>9400</v>
      </c>
      <c r="F2920" t="str">
        <f t="shared" si="200"/>
        <v>06-00-479-GRSPFT-CURR</v>
      </c>
      <c r="G2920" t="s">
        <v>127</v>
      </c>
      <c r="H2920" t="s">
        <v>10287</v>
      </c>
      <c r="I2920" t="s">
        <v>10253</v>
      </c>
      <c r="K2920" s="1073" t="s">
        <v>10284</v>
      </c>
      <c r="L2920" s="789" t="s">
        <v>10241</v>
      </c>
      <c r="M2920" s="790" t="s">
        <v>12290</v>
      </c>
      <c r="O2920" s="790" t="s">
        <v>10467</v>
      </c>
      <c r="P2920" s="790" t="s">
        <v>10244</v>
      </c>
      <c r="R2920" s="30"/>
    </row>
    <row r="2921" spans="2:18">
      <c r="B2921" s="27" t="s">
        <v>12353</v>
      </c>
      <c r="C2921" s="1042"/>
      <c r="D2921" s="803">
        <f>Page6!I52</f>
        <v>47763</v>
      </c>
      <c r="E2921" s="803">
        <f>Page6!N52</f>
        <v>174275</v>
      </c>
      <c r="F2921" t="str">
        <f t="shared" si="200"/>
        <v>06-00-BODYTOTL-GRSPFT-CURR</v>
      </c>
      <c r="G2921" t="s">
        <v>127</v>
      </c>
      <c r="H2921" t="s">
        <v>10287</v>
      </c>
      <c r="I2921" t="s">
        <v>10253</v>
      </c>
      <c r="J2921" t="s">
        <v>10268</v>
      </c>
      <c r="K2921" s="1073" t="s">
        <v>10284</v>
      </c>
      <c r="L2921" s="789" t="s">
        <v>10241</v>
      </c>
      <c r="M2921" s="790" t="s">
        <v>11968</v>
      </c>
      <c r="O2921" s="790" t="s">
        <v>10467</v>
      </c>
      <c r="P2921" s="790" t="s">
        <v>10244</v>
      </c>
      <c r="Q2921" s="791" t="s">
        <v>773</v>
      </c>
    </row>
    <row r="2922" spans="2:18">
      <c r="B2922" s="56" t="s">
        <v>12354</v>
      </c>
      <c r="C2922" s="1042"/>
      <c r="D2922" s="803">
        <f>Page6!I53</f>
        <v>132228</v>
      </c>
      <c r="E2922" s="803">
        <f>Page6!N53</f>
        <v>451412</v>
      </c>
      <c r="F2922" t="str">
        <f t="shared" si="200"/>
        <v>00-00-SVCDEPT-GRSPFT-CURR</v>
      </c>
      <c r="G2922" t="s">
        <v>127</v>
      </c>
      <c r="H2922" t="s">
        <v>10287</v>
      </c>
      <c r="I2922" t="s">
        <v>10253</v>
      </c>
      <c r="J2922" t="s">
        <v>10268</v>
      </c>
      <c r="K2922" s="1073" t="s">
        <v>10241</v>
      </c>
      <c r="L2922" s="789" t="s">
        <v>10241</v>
      </c>
      <c r="M2922" s="790" t="s">
        <v>12293</v>
      </c>
      <c r="O2922" s="790" t="s">
        <v>10467</v>
      </c>
      <c r="P2922" s="790" t="s">
        <v>10244</v>
      </c>
      <c r="Q2922" s="791" t="s">
        <v>773</v>
      </c>
    </row>
    <row r="2923" spans="2:18">
      <c r="B2923" s="5" t="s">
        <v>12355</v>
      </c>
      <c r="C2923" s="1038">
        <v>480</v>
      </c>
      <c r="D2923" s="803">
        <f>Page6!I54</f>
        <v>15556</v>
      </c>
      <c r="E2923" s="803">
        <f>Page6!N54</f>
        <v>36263</v>
      </c>
      <c r="F2923" t="str">
        <f t="shared" si="200"/>
        <v>07-00-480-GRSPFT-CURR</v>
      </c>
      <c r="G2923" t="s">
        <v>127</v>
      </c>
      <c r="H2923" t="s">
        <v>10287</v>
      </c>
      <c r="I2923" t="s">
        <v>10253</v>
      </c>
      <c r="K2923" s="1073" t="s">
        <v>11018</v>
      </c>
      <c r="L2923" s="789" t="s">
        <v>10241</v>
      </c>
      <c r="M2923" s="790" t="s">
        <v>12295</v>
      </c>
      <c r="O2923" s="790" t="s">
        <v>10467</v>
      </c>
      <c r="P2923" s="790" t="s">
        <v>10244</v>
      </c>
      <c r="R2923" s="30"/>
    </row>
    <row r="2924" spans="2:18">
      <c r="B2924" s="5" t="s">
        <v>12356</v>
      </c>
      <c r="C2924" s="1038">
        <v>467</v>
      </c>
      <c r="D2924" s="803">
        <f>Page6!I55</f>
        <v>14623</v>
      </c>
      <c r="E2924" s="803">
        <f>Page6!N55</f>
        <v>51914</v>
      </c>
      <c r="F2924" t="str">
        <f t="shared" si="200"/>
        <v>07-00-467-GRSPFT-CURR</v>
      </c>
      <c r="G2924" t="s">
        <v>127</v>
      </c>
      <c r="H2924" t="s">
        <v>10287</v>
      </c>
      <c r="I2924" t="s">
        <v>10253</v>
      </c>
      <c r="K2924" s="1073" t="s">
        <v>11018</v>
      </c>
      <c r="L2924" s="789" t="s">
        <v>10241</v>
      </c>
      <c r="M2924" s="790" t="s">
        <v>12297</v>
      </c>
      <c r="O2924" s="790" t="s">
        <v>10467</v>
      </c>
      <c r="P2924" s="790" t="s">
        <v>10244</v>
      </c>
      <c r="R2924" s="30"/>
    </row>
    <row r="2925" spans="2:18">
      <c r="B2925" s="5" t="s">
        <v>12357</v>
      </c>
      <c r="C2925" s="1038" t="s">
        <v>768</v>
      </c>
      <c r="D2925" s="803">
        <f>Page6!I56</f>
        <v>0</v>
      </c>
      <c r="E2925" s="803">
        <f>Page6!N56</f>
        <v>0</v>
      </c>
      <c r="F2925" t="str">
        <f t="shared" si="200"/>
        <v>07-00-467E-GRSPFT-CURR</v>
      </c>
      <c r="G2925" t="s">
        <v>127</v>
      </c>
      <c r="H2925" t="s">
        <v>10287</v>
      </c>
      <c r="I2925" t="s">
        <v>10253</v>
      </c>
      <c r="K2925" s="2231" t="s">
        <v>11018</v>
      </c>
      <c r="L2925" s="2425" t="s">
        <v>10241</v>
      </c>
      <c r="M2925" s="2175" t="s">
        <v>768</v>
      </c>
      <c r="N2925" s="2175"/>
      <c r="O2925" s="2175" t="s">
        <v>10467</v>
      </c>
      <c r="P2925" s="2175" t="s">
        <v>10244</v>
      </c>
      <c r="R2925" s="30"/>
    </row>
    <row r="2926" spans="2:18">
      <c r="B2926" s="5" t="s">
        <v>12358</v>
      </c>
      <c r="C2926" s="1038">
        <v>468</v>
      </c>
      <c r="D2926" s="803">
        <f>Page6!I57</f>
        <v>0</v>
      </c>
      <c r="E2926" s="803">
        <f>Page6!N57</f>
        <v>0</v>
      </c>
      <c r="F2926" t="str">
        <f t="shared" si="200"/>
        <v>07-00-468-GRSPFT-CURR</v>
      </c>
      <c r="G2926" t="s">
        <v>127</v>
      </c>
      <c r="H2926" t="s">
        <v>10287</v>
      </c>
      <c r="I2926" t="s">
        <v>10253</v>
      </c>
      <c r="K2926" s="2231" t="s">
        <v>11018</v>
      </c>
      <c r="L2926" s="2425" t="s">
        <v>10241</v>
      </c>
      <c r="M2926" s="2175">
        <v>468</v>
      </c>
      <c r="N2926" s="2175"/>
      <c r="O2926" s="2175" t="s">
        <v>10467</v>
      </c>
      <c r="P2926" s="2175" t="s">
        <v>10244</v>
      </c>
      <c r="R2926" s="30"/>
    </row>
    <row r="2927" spans="2:18">
      <c r="B2927" s="5" t="s">
        <v>12359</v>
      </c>
      <c r="C2927" s="1038" t="s">
        <v>771</v>
      </c>
      <c r="D2927" s="803">
        <f>Page6!I58</f>
        <v>0</v>
      </c>
      <c r="E2927" s="803">
        <f>Page6!N58</f>
        <v>0</v>
      </c>
      <c r="F2927" t="str">
        <f t="shared" si="200"/>
        <v>07-00-468E-GRSPFT-CURR</v>
      </c>
      <c r="G2927" t="s">
        <v>127</v>
      </c>
      <c r="H2927" t="s">
        <v>10287</v>
      </c>
      <c r="I2927" t="s">
        <v>10253</v>
      </c>
      <c r="K2927" s="2231" t="s">
        <v>11018</v>
      </c>
      <c r="L2927" s="2425" t="s">
        <v>10241</v>
      </c>
      <c r="M2927" s="2175" t="s">
        <v>771</v>
      </c>
      <c r="N2927" s="2175"/>
      <c r="O2927" s="2175" t="s">
        <v>10467</v>
      </c>
      <c r="P2927" s="2175" t="s">
        <v>10244</v>
      </c>
      <c r="R2927" s="30"/>
    </row>
    <row r="2928" spans="2:18">
      <c r="B2928" s="5" t="s">
        <v>12360</v>
      </c>
      <c r="C2928" s="1038">
        <v>478</v>
      </c>
      <c r="D2928" s="803">
        <f>Page6!I59</f>
        <v>0</v>
      </c>
      <c r="E2928" s="803">
        <f>Page6!N59</f>
        <v>0</v>
      </c>
      <c r="F2928" t="str">
        <f t="shared" si="200"/>
        <v>07-00-478-GRSPFT-CURR</v>
      </c>
      <c r="G2928" t="s">
        <v>127</v>
      </c>
      <c r="H2928" t="s">
        <v>10287</v>
      </c>
      <c r="I2928" t="s">
        <v>10253</v>
      </c>
      <c r="K2928" s="2231" t="s">
        <v>11018</v>
      </c>
      <c r="L2928" s="2425" t="s">
        <v>10241</v>
      </c>
      <c r="M2928" s="2175">
        <v>478</v>
      </c>
      <c r="N2928" s="2175"/>
      <c r="O2928" s="2175" t="s">
        <v>10467</v>
      </c>
      <c r="P2928" s="2175" t="s">
        <v>10244</v>
      </c>
      <c r="R2928" s="30"/>
    </row>
    <row r="2929" spans="2:18">
      <c r="B2929" s="5" t="s">
        <v>12361</v>
      </c>
      <c r="C2929" s="1038">
        <v>477</v>
      </c>
      <c r="D2929" s="803">
        <f>Page6!I60</f>
        <v>0</v>
      </c>
      <c r="E2929" s="803">
        <f>Page6!N60</f>
        <v>0</v>
      </c>
      <c r="F2929" t="str">
        <f t="shared" si="200"/>
        <v>07-00-477-GRSPFT-CURR</v>
      </c>
      <c r="G2929" t="s">
        <v>127</v>
      </c>
      <c r="H2929" t="s">
        <v>10287</v>
      </c>
      <c r="I2929" t="s">
        <v>10253</v>
      </c>
      <c r="K2929" s="2231" t="s">
        <v>11018</v>
      </c>
      <c r="L2929" s="2425" t="s">
        <v>10241</v>
      </c>
      <c r="M2929" s="2175" t="s">
        <v>12303</v>
      </c>
      <c r="N2929" s="2175"/>
      <c r="O2929" s="2175" t="s">
        <v>10467</v>
      </c>
      <c r="P2929" s="2175" t="s">
        <v>10244</v>
      </c>
      <c r="R2929" s="30"/>
    </row>
    <row r="2930" spans="2:18">
      <c r="B2930" s="5" t="s">
        <v>9487</v>
      </c>
      <c r="C2930" s="1038" t="s">
        <v>776</v>
      </c>
      <c r="D2930" s="803">
        <f>Page6!I61</f>
        <v>0</v>
      </c>
      <c r="E2930" s="803">
        <f>Page6!N61</f>
        <v>0</v>
      </c>
      <c r="F2930" t="str">
        <f t="shared" si="200"/>
        <v>07-00-467D-GRSPFT-CURR</v>
      </c>
      <c r="G2930" t="s">
        <v>127</v>
      </c>
      <c r="H2930" t="s">
        <v>10287</v>
      </c>
      <c r="I2930" t="s">
        <v>10253</v>
      </c>
      <c r="K2930" s="2231" t="s">
        <v>11018</v>
      </c>
      <c r="L2930" s="2425" t="s">
        <v>10241</v>
      </c>
      <c r="M2930" s="2175" t="s">
        <v>776</v>
      </c>
      <c r="N2930" s="2175"/>
      <c r="O2930" s="2175" t="s">
        <v>10467</v>
      </c>
      <c r="P2930" s="2175" t="s">
        <v>10244</v>
      </c>
      <c r="R2930" s="30"/>
    </row>
    <row r="2931" spans="2:18">
      <c r="B2931" s="5" t="s">
        <v>9490</v>
      </c>
      <c r="C2931" s="1038" t="s">
        <v>778</v>
      </c>
      <c r="D2931" s="803">
        <f>Page6!I62</f>
        <v>0</v>
      </c>
      <c r="E2931" s="803">
        <f>Page6!N62</f>
        <v>0</v>
      </c>
      <c r="F2931" t="str">
        <f t="shared" si="200"/>
        <v>07-00-467N-GRSPFT-CURR</v>
      </c>
      <c r="G2931" t="s">
        <v>127</v>
      </c>
      <c r="H2931" t="s">
        <v>10287</v>
      </c>
      <c r="I2931" t="s">
        <v>10253</v>
      </c>
      <c r="K2931" s="2231" t="s">
        <v>11018</v>
      </c>
      <c r="L2931" s="2425" t="s">
        <v>10241</v>
      </c>
      <c r="M2931" s="2175" t="s">
        <v>778</v>
      </c>
      <c r="N2931" s="2175"/>
      <c r="O2931" s="2175" t="s">
        <v>10467</v>
      </c>
      <c r="P2931" s="2175" t="s">
        <v>10244</v>
      </c>
      <c r="R2931" s="30"/>
    </row>
    <row r="2932" spans="2:18">
      <c r="B2932" s="5" t="s">
        <v>12362</v>
      </c>
      <c r="C2932" s="1038">
        <v>481</v>
      </c>
      <c r="D2932" s="803">
        <f>Page6!I63</f>
        <v>9158</v>
      </c>
      <c r="E2932" s="803">
        <f>Page6!N63</f>
        <v>46221</v>
      </c>
      <c r="F2932" t="str">
        <f t="shared" si="200"/>
        <v>07-00-481-GRSPFT-CURR</v>
      </c>
      <c r="G2932" t="s">
        <v>127</v>
      </c>
      <c r="H2932" t="s">
        <v>10287</v>
      </c>
      <c r="I2932" t="s">
        <v>10253</v>
      </c>
      <c r="K2932" s="2231" t="s">
        <v>11018</v>
      </c>
      <c r="L2932" s="2425" t="s">
        <v>10241</v>
      </c>
      <c r="M2932" s="2175" t="s">
        <v>12305</v>
      </c>
      <c r="N2932" s="2175"/>
      <c r="O2932" s="2175" t="s">
        <v>10467</v>
      </c>
      <c r="P2932" s="2175" t="s">
        <v>10244</v>
      </c>
      <c r="R2932" s="30"/>
    </row>
    <row r="2933" spans="2:18">
      <c r="B2933" s="5" t="s">
        <v>12363</v>
      </c>
      <c r="C2933" s="1038">
        <v>482</v>
      </c>
      <c r="D2933" s="803">
        <f>Page6!I64</f>
        <v>3070</v>
      </c>
      <c r="E2933" s="803">
        <f>Page6!N64</f>
        <v>13974</v>
      </c>
      <c r="F2933" t="str">
        <f t="shared" si="200"/>
        <v>07-00-482-GRSPFT-CURR</v>
      </c>
      <c r="G2933" t="s">
        <v>127</v>
      </c>
      <c r="H2933" t="s">
        <v>10287</v>
      </c>
      <c r="I2933" t="s">
        <v>10253</v>
      </c>
      <c r="K2933" s="2231" t="s">
        <v>11018</v>
      </c>
      <c r="L2933" s="2425" t="s">
        <v>10241</v>
      </c>
      <c r="M2933" s="2175" t="s">
        <v>12307</v>
      </c>
      <c r="N2933" s="2175"/>
      <c r="O2933" s="2175" t="s">
        <v>10467</v>
      </c>
      <c r="P2933" s="2175" t="s">
        <v>10244</v>
      </c>
      <c r="R2933" s="30"/>
    </row>
    <row r="2934" spans="2:18">
      <c r="B2934" s="5" t="s">
        <v>9497</v>
      </c>
      <c r="C2934" s="1038" t="s">
        <v>781</v>
      </c>
      <c r="D2934" s="803">
        <f>Page6!I65</f>
        <v>0</v>
      </c>
      <c r="E2934" s="803">
        <f>Page6!N65</f>
        <v>0</v>
      </c>
      <c r="F2934" t="str">
        <f t="shared" si="200"/>
        <v>07-00-482C-GRSPFT-CURR</v>
      </c>
      <c r="G2934" t="s">
        <v>127</v>
      </c>
      <c r="H2934" t="s">
        <v>10287</v>
      </c>
      <c r="I2934" t="s">
        <v>10253</v>
      </c>
      <c r="K2934" s="2231" t="s">
        <v>11018</v>
      </c>
      <c r="L2934" s="2425" t="s">
        <v>10241</v>
      </c>
      <c r="M2934" s="2175" t="s">
        <v>781</v>
      </c>
      <c r="N2934" s="2175"/>
      <c r="O2934" s="2175" t="s">
        <v>10467</v>
      </c>
      <c r="P2934" s="2175" t="s">
        <v>10244</v>
      </c>
      <c r="R2934" s="30"/>
    </row>
    <row r="2935" spans="2:18">
      <c r="B2935" s="5" t="s">
        <v>12364</v>
      </c>
      <c r="C2935" s="1038">
        <v>483</v>
      </c>
      <c r="D2935" s="803">
        <f>Page6!I66</f>
        <v>5460</v>
      </c>
      <c r="E2935" s="803">
        <f>Page6!N66</f>
        <v>23520</v>
      </c>
      <c r="F2935" t="str">
        <f t="shared" si="200"/>
        <v>07-00-483-GRSPFT-CURR</v>
      </c>
      <c r="G2935" t="s">
        <v>127</v>
      </c>
      <c r="H2935" t="s">
        <v>10287</v>
      </c>
      <c r="I2935" t="s">
        <v>10253</v>
      </c>
      <c r="K2935" s="2231" t="s">
        <v>11018</v>
      </c>
      <c r="L2935" s="2425" t="s">
        <v>10241</v>
      </c>
      <c r="M2935" s="2175" t="s">
        <v>12309</v>
      </c>
      <c r="N2935" s="2175"/>
      <c r="O2935" s="2175" t="s">
        <v>10467</v>
      </c>
      <c r="P2935" s="2175" t="s">
        <v>10244</v>
      </c>
      <c r="R2935" s="30"/>
    </row>
    <row r="2936" spans="2:18">
      <c r="B2936" s="5" t="s">
        <v>12365</v>
      </c>
      <c r="C2936" s="1038">
        <v>484</v>
      </c>
      <c r="D2936" s="803">
        <f>Page6!I67</f>
        <v>0</v>
      </c>
      <c r="E2936" s="803">
        <f>Page6!N67</f>
        <v>0</v>
      </c>
      <c r="F2936" t="str">
        <f t="shared" si="200"/>
        <v>07-00-484-GRSPFT-CURR</v>
      </c>
      <c r="G2936" t="s">
        <v>127</v>
      </c>
      <c r="H2936" t="s">
        <v>10287</v>
      </c>
      <c r="I2936" t="s">
        <v>10253</v>
      </c>
      <c r="K2936" s="2231" t="s">
        <v>11018</v>
      </c>
      <c r="L2936" s="2425" t="s">
        <v>10241</v>
      </c>
      <c r="M2936" s="2175">
        <v>484</v>
      </c>
      <c r="N2936" s="2175"/>
      <c r="O2936" s="2175" t="s">
        <v>10467</v>
      </c>
      <c r="P2936" s="2175" t="s">
        <v>10244</v>
      </c>
      <c r="R2936" s="30"/>
    </row>
    <row r="2937" spans="2:18">
      <c r="B2937" s="5" t="s">
        <v>12366</v>
      </c>
      <c r="C2937" s="1038" t="s">
        <v>785</v>
      </c>
      <c r="D2937" s="803">
        <f>Page6!I68</f>
        <v>0</v>
      </c>
      <c r="E2937" s="803">
        <f>Page6!N68</f>
        <v>0</v>
      </c>
      <c r="F2937" t="str">
        <f t="shared" si="200"/>
        <v>07-00-484C-GRSPFT-CURR</v>
      </c>
      <c r="G2937" t="s">
        <v>127</v>
      </c>
      <c r="H2937" t="s">
        <v>10287</v>
      </c>
      <c r="I2937" t="s">
        <v>10253</v>
      </c>
      <c r="K2937" s="2231" t="s">
        <v>11018</v>
      </c>
      <c r="L2937" s="2425" t="s">
        <v>10241</v>
      </c>
      <c r="M2937" s="2175" t="s">
        <v>785</v>
      </c>
      <c r="N2937" s="2175"/>
      <c r="O2937" s="2175" t="s">
        <v>10467</v>
      </c>
      <c r="P2937" s="2175" t="s">
        <v>10244</v>
      </c>
      <c r="R2937" s="30"/>
    </row>
    <row r="2938" spans="2:18">
      <c r="B2938" s="40" t="s">
        <v>12367</v>
      </c>
      <c r="C2938" s="1038">
        <v>687</v>
      </c>
      <c r="D2938" s="803">
        <f>Page6!I69</f>
        <v>-450</v>
      </c>
      <c r="E2938" s="803">
        <f>Page6!N69</f>
        <v>10219</v>
      </c>
      <c r="F2938" t="str">
        <f t="shared" si="200"/>
        <v>07-00-687-GRSPFT-CURR</v>
      </c>
      <c r="G2938" t="s">
        <v>127</v>
      </c>
      <c r="H2938" t="s">
        <v>10287</v>
      </c>
      <c r="I2938" t="s">
        <v>10253</v>
      </c>
      <c r="K2938" s="1073" t="s">
        <v>11018</v>
      </c>
      <c r="L2938" s="789" t="s">
        <v>10241</v>
      </c>
      <c r="M2938" s="790" t="s">
        <v>12368</v>
      </c>
      <c r="O2938" s="790" t="s">
        <v>10467</v>
      </c>
      <c r="P2938" s="790" t="s">
        <v>10244</v>
      </c>
      <c r="R2938" s="30"/>
    </row>
    <row r="2939" spans="2:18">
      <c r="B2939" s="5" t="s">
        <v>12369</v>
      </c>
      <c r="C2939" s="1038">
        <v>688</v>
      </c>
      <c r="D2939" s="803">
        <f>Page6!I70</f>
        <v>0</v>
      </c>
      <c r="E2939" s="803">
        <f>Page6!N70</f>
        <v>1525</v>
      </c>
      <c r="F2939" t="str">
        <f t="shared" si="200"/>
        <v>07-00-688-GRSPFT-CURR</v>
      </c>
      <c r="G2939" t="s">
        <v>127</v>
      </c>
      <c r="H2939" t="s">
        <v>10287</v>
      </c>
      <c r="I2939" t="s">
        <v>10253</v>
      </c>
      <c r="K2939" s="1073" t="s">
        <v>11018</v>
      </c>
      <c r="L2939" s="789" t="s">
        <v>10241</v>
      </c>
      <c r="M2939" s="790" t="s">
        <v>12370</v>
      </c>
      <c r="O2939" s="790" t="s">
        <v>10467</v>
      </c>
      <c r="P2939" s="790" t="s">
        <v>10244</v>
      </c>
      <c r="R2939" s="30"/>
    </row>
    <row r="2940" spans="2:18">
      <c r="B2940" s="27" t="s">
        <v>12371</v>
      </c>
      <c r="C2940" s="1042"/>
      <c r="D2940" s="803">
        <f>Page6!I72</f>
        <v>47417</v>
      </c>
      <c r="E2940" s="803">
        <f>Page6!N72</f>
        <v>183636</v>
      </c>
      <c r="F2940" t="str">
        <f t="shared" si="200"/>
        <v>07-00-P&amp;ASUBT-GRSPFT-CURR</v>
      </c>
      <c r="G2940" t="s">
        <v>127</v>
      </c>
      <c r="H2940" t="s">
        <v>10287</v>
      </c>
      <c r="I2940" t="s">
        <v>10253</v>
      </c>
      <c r="J2940" t="s">
        <v>10268</v>
      </c>
      <c r="K2940" s="1073" t="s">
        <v>11018</v>
      </c>
      <c r="L2940" s="789" t="s">
        <v>10241</v>
      </c>
      <c r="M2940" s="790" t="s">
        <v>12313</v>
      </c>
      <c r="O2940" s="790" t="s">
        <v>10467</v>
      </c>
      <c r="P2940" s="790" t="s">
        <v>10244</v>
      </c>
      <c r="Q2940" s="791" t="s">
        <v>773</v>
      </c>
    </row>
    <row r="2941" spans="2:18">
      <c r="B2941" s="5" t="s">
        <v>12372</v>
      </c>
      <c r="C2941" s="1038">
        <v>490</v>
      </c>
      <c r="D2941" s="803">
        <f>Page6!I73</f>
        <v>1264</v>
      </c>
      <c r="E2941" s="803">
        <f>Page6!N73</f>
        <v>19175</v>
      </c>
      <c r="F2941" t="str">
        <f t="shared" si="200"/>
        <v>07-00-490-GRSPFT-CURR</v>
      </c>
      <c r="G2941" t="s">
        <v>127</v>
      </c>
      <c r="H2941" t="s">
        <v>10287</v>
      </c>
      <c r="I2941" t="s">
        <v>10253</v>
      </c>
      <c r="K2941" s="1073" t="s">
        <v>11018</v>
      </c>
      <c r="L2941" s="789" t="s">
        <v>10241</v>
      </c>
      <c r="M2941" s="790" t="s">
        <v>12315</v>
      </c>
      <c r="O2941" s="790" t="s">
        <v>10467</v>
      </c>
      <c r="P2941" s="790" t="s">
        <v>10244</v>
      </c>
      <c r="R2941" s="30"/>
    </row>
    <row r="2942" spans="2:18">
      <c r="B2942" s="5" t="s">
        <v>12373</v>
      </c>
      <c r="C2942" s="1038">
        <v>491</v>
      </c>
      <c r="D2942" s="803">
        <f>Page6!I74</f>
        <v>975</v>
      </c>
      <c r="E2942" s="803">
        <f>Page6!N74</f>
        <v>4862</v>
      </c>
      <c r="F2942" t="str">
        <f t="shared" si="200"/>
        <v>07-00-491-GRSPFT-CURR</v>
      </c>
      <c r="G2942" t="s">
        <v>127</v>
      </c>
      <c r="H2942" t="s">
        <v>10287</v>
      </c>
      <c r="I2942" t="s">
        <v>10253</v>
      </c>
      <c r="K2942" s="1073" t="s">
        <v>11018</v>
      </c>
      <c r="L2942" s="789" t="s">
        <v>10241</v>
      </c>
      <c r="M2942" s="790" t="s">
        <v>12317</v>
      </c>
      <c r="O2942" s="790" t="s">
        <v>10467</v>
      </c>
      <c r="P2942" s="790" t="s">
        <v>10244</v>
      </c>
      <c r="R2942" s="30"/>
    </row>
    <row r="2943" spans="2:18">
      <c r="B2943" s="5" t="s">
        <v>12374</v>
      </c>
      <c r="C2943" s="1038">
        <v>492</v>
      </c>
      <c r="D2943" s="803">
        <f>Page6!I75</f>
        <v>0</v>
      </c>
      <c r="E2943" s="803">
        <f>Page6!N75</f>
        <v>0</v>
      </c>
      <c r="F2943" t="str">
        <f t="shared" si="200"/>
        <v>07-00-492-GRSPFT-CURR</v>
      </c>
      <c r="G2943" t="s">
        <v>127</v>
      </c>
      <c r="H2943" t="s">
        <v>10287</v>
      </c>
      <c r="I2943" t="s">
        <v>10253</v>
      </c>
      <c r="K2943" s="1073" t="s">
        <v>11018</v>
      </c>
      <c r="L2943" s="789" t="s">
        <v>10241</v>
      </c>
      <c r="M2943" s="790" t="s">
        <v>12319</v>
      </c>
      <c r="O2943" s="790" t="s">
        <v>10467</v>
      </c>
      <c r="P2943" s="790" t="s">
        <v>10244</v>
      </c>
      <c r="R2943" s="30"/>
    </row>
    <row r="2944" spans="2:18">
      <c r="B2944" s="27" t="s">
        <v>12375</v>
      </c>
      <c r="C2944" s="1042"/>
      <c r="D2944" s="803">
        <f>Page6!I76</f>
        <v>2239</v>
      </c>
      <c r="E2944" s="803">
        <f>Page6!N76</f>
        <v>24037</v>
      </c>
      <c r="F2944" t="str">
        <f t="shared" si="200"/>
        <v>07-00-OTHERP&amp;A-GRSPFT-CURR</v>
      </c>
      <c r="G2944" t="s">
        <v>127</v>
      </c>
      <c r="H2944" t="s">
        <v>10287</v>
      </c>
      <c r="I2944" t="s">
        <v>10253</v>
      </c>
      <c r="J2944" t="s">
        <v>10268</v>
      </c>
      <c r="K2944" s="1073" t="s">
        <v>11018</v>
      </c>
      <c r="L2944" s="789" t="s">
        <v>10241</v>
      </c>
      <c r="M2944" s="790" t="s">
        <v>12321</v>
      </c>
      <c r="O2944" s="790" t="s">
        <v>10467</v>
      </c>
      <c r="P2944" s="790" t="s">
        <v>10244</v>
      </c>
      <c r="Q2944" s="791" t="s">
        <v>773</v>
      </c>
    </row>
    <row r="2945" spans="2:18">
      <c r="B2945" s="27" t="s">
        <v>12376</v>
      </c>
      <c r="C2945" s="1042"/>
      <c r="D2945" s="803">
        <f>Page6!I77</f>
        <v>49656</v>
      </c>
      <c r="E2945" s="803">
        <f>Page6!N77</f>
        <v>207673</v>
      </c>
      <c r="F2945" t="str">
        <f t="shared" si="200"/>
        <v>07-00-P&amp;ADEPT-GRSPFT-CURR</v>
      </c>
      <c r="G2945" t="s">
        <v>127</v>
      </c>
      <c r="H2945" t="s">
        <v>10287</v>
      </c>
      <c r="I2945" t="s">
        <v>10253</v>
      </c>
      <c r="J2945" t="s">
        <v>10268</v>
      </c>
      <c r="K2945" s="1073" t="s">
        <v>11018</v>
      </c>
      <c r="L2945" s="789" t="s">
        <v>10241</v>
      </c>
      <c r="M2945" s="790" t="s">
        <v>12021</v>
      </c>
      <c r="O2945" s="790" t="s">
        <v>10467</v>
      </c>
      <c r="P2945" s="790" t="s">
        <v>10244</v>
      </c>
      <c r="Q2945" s="791" t="s">
        <v>773</v>
      </c>
    </row>
    <row r="2946" spans="2:18">
      <c r="B2946" s="27" t="s">
        <v>12377</v>
      </c>
      <c r="C2946" s="1042"/>
      <c r="D2946" s="803">
        <f>Page6!I78</f>
        <v>181884</v>
      </c>
      <c r="E2946" s="803">
        <f>Page6!N78</f>
        <v>659085</v>
      </c>
      <c r="F2946" t="str">
        <f t="shared" si="200"/>
        <v>00-00-FIXOPER-GRSPFT-CURR</v>
      </c>
      <c r="G2946" t="s">
        <v>127</v>
      </c>
      <c r="H2946" t="s">
        <v>10287</v>
      </c>
      <c r="I2946" t="s">
        <v>10253</v>
      </c>
      <c r="J2946" t="s">
        <v>10268</v>
      </c>
      <c r="K2946" s="1073" t="s">
        <v>10241</v>
      </c>
      <c r="L2946" s="789" t="s">
        <v>10241</v>
      </c>
      <c r="M2946" s="790" t="s">
        <v>12324</v>
      </c>
      <c r="O2946" s="790" t="s">
        <v>10467</v>
      </c>
      <c r="P2946" s="790" t="s">
        <v>10244</v>
      </c>
      <c r="Q2946" s="791" t="s">
        <v>773</v>
      </c>
    </row>
    <row r="2947" spans="2:18">
      <c r="B2947" s="27" t="s">
        <v>12378</v>
      </c>
      <c r="C2947" s="1046"/>
      <c r="D2947" s="803">
        <f>Page6!I79</f>
        <v>577339</v>
      </c>
      <c r="E2947" s="803">
        <f>Page6!N79</f>
        <v>2088131</v>
      </c>
      <c r="F2947" t="str">
        <f t="shared" si="200"/>
        <v>00-00-ALLDEPTS-GRSPFT-CURR</v>
      </c>
      <c r="G2947" t="s">
        <v>127</v>
      </c>
      <c r="H2947" t="s">
        <v>10287</v>
      </c>
      <c r="I2947" t="s">
        <v>10253</v>
      </c>
      <c r="J2947" t="s">
        <v>10268</v>
      </c>
      <c r="K2947" s="1073" t="s">
        <v>10241</v>
      </c>
      <c r="L2947" s="789" t="s">
        <v>10241</v>
      </c>
      <c r="M2947" s="790" t="s">
        <v>12326</v>
      </c>
      <c r="O2947" s="790" t="s">
        <v>10467</v>
      </c>
      <c r="P2947" s="790" t="s">
        <v>10244</v>
      </c>
      <c r="Q2947" s="791" t="s">
        <v>773</v>
      </c>
    </row>
    <row r="2948" spans="2:18">
      <c r="B2948" s="5" t="s">
        <v>12310</v>
      </c>
      <c r="C2948" s="1045">
        <v>810</v>
      </c>
      <c r="D2948" s="803">
        <f>Page7!F7</f>
        <v>0</v>
      </c>
      <c r="E2948" s="803">
        <f>Page7!K7</f>
        <v>0</v>
      </c>
      <c r="F2948" t="str">
        <f t="shared" si="200"/>
        <v>04-00-810-SALES-CURR</v>
      </c>
      <c r="G2948" t="s">
        <v>127</v>
      </c>
      <c r="H2948" t="s">
        <v>10287</v>
      </c>
      <c r="I2948" t="s">
        <v>10253</v>
      </c>
      <c r="K2948" s="1073" t="s">
        <v>10890</v>
      </c>
      <c r="L2948" s="789" t="s">
        <v>10241</v>
      </c>
      <c r="M2948" s="790">
        <v>810</v>
      </c>
      <c r="O2948" s="790" t="s">
        <v>9883</v>
      </c>
      <c r="P2948" s="790" t="s">
        <v>10244</v>
      </c>
      <c r="R2948" s="30"/>
    </row>
    <row r="2949" spans="2:18">
      <c r="B2949" s="5" t="s">
        <v>12379</v>
      </c>
      <c r="C2949" s="1045">
        <v>822</v>
      </c>
      <c r="D2949" s="803">
        <f>Page7!F8</f>
        <v>0</v>
      </c>
      <c r="E2949" s="803">
        <f>Page7!K8</f>
        <v>0</v>
      </c>
      <c r="F2949" t="str">
        <f>TEXT(K2949,"00")&amp;"-"&amp;L2949&amp;IF(M2949="","","-"&amp;M2949)&amp;IF(N2949="","","-"&amp;N2949)&amp;IF(OR(O2949="",O2949=0),"","-"&amp;O2949)&amp;IF(P2949="","","-"&amp;P2949)</f>
        <v>04-00-822-SALES-CURR</v>
      </c>
      <c r="G2949" t="s">
        <v>127</v>
      </c>
      <c r="H2949" t="s">
        <v>10287</v>
      </c>
      <c r="I2949" t="s">
        <v>10253</v>
      </c>
      <c r="K2949" s="1073" t="s">
        <v>10890</v>
      </c>
      <c r="L2949" s="789" t="s">
        <v>10241</v>
      </c>
      <c r="M2949" s="790">
        <v>822</v>
      </c>
      <c r="O2949" s="790" t="s">
        <v>9883</v>
      </c>
      <c r="P2949" s="790" t="s">
        <v>10244</v>
      </c>
      <c r="R2949" s="30"/>
    </row>
    <row r="2950" spans="2:18">
      <c r="B2950" s="5" t="s">
        <v>12380</v>
      </c>
      <c r="C2950" s="1038">
        <v>443</v>
      </c>
      <c r="D2950" s="803">
        <f>Page7!F9</f>
        <v>21672</v>
      </c>
      <c r="E2950" s="803">
        <f>Page7!K9</f>
        <v>107031</v>
      </c>
      <c r="F2950" t="str">
        <f t="shared" si="200"/>
        <v>04-00-443-SALES-CURR</v>
      </c>
      <c r="G2950" t="s">
        <v>127</v>
      </c>
      <c r="H2950" t="s">
        <v>10287</v>
      </c>
      <c r="I2950" t="s">
        <v>10253</v>
      </c>
      <c r="K2950" s="1073" t="s">
        <v>10890</v>
      </c>
      <c r="L2950" s="789" t="s">
        <v>10241</v>
      </c>
      <c r="M2950" s="790" t="s">
        <v>10896</v>
      </c>
      <c r="O2950" s="790" t="s">
        <v>9883</v>
      </c>
      <c r="P2950" s="790" t="s">
        <v>10244</v>
      </c>
      <c r="R2950" s="30"/>
    </row>
    <row r="2951" spans="2:18">
      <c r="B2951" s="5" t="s">
        <v>12381</v>
      </c>
      <c r="C2951" s="1062">
        <v>444</v>
      </c>
      <c r="D2951" s="803">
        <f>Page7!F10</f>
        <v>11688</v>
      </c>
      <c r="E2951" s="803">
        <f>Page7!K10</f>
        <v>26048</v>
      </c>
      <c r="F2951" t="str">
        <f t="shared" si="200"/>
        <v>04-00-444-SALES-CURR</v>
      </c>
      <c r="G2951" t="s">
        <v>127</v>
      </c>
      <c r="H2951" t="s">
        <v>10287</v>
      </c>
      <c r="I2951" t="s">
        <v>10253</v>
      </c>
      <c r="K2951" s="1073" t="s">
        <v>10890</v>
      </c>
      <c r="L2951" s="789" t="s">
        <v>10241</v>
      </c>
      <c r="M2951" s="790" t="s">
        <v>10898</v>
      </c>
      <c r="O2951" s="790" t="s">
        <v>9883</v>
      </c>
      <c r="P2951" s="790" t="s">
        <v>10244</v>
      </c>
      <c r="R2951" s="30"/>
    </row>
    <row r="2952" spans="2:18">
      <c r="B2952" s="27" t="s">
        <v>12382</v>
      </c>
      <c r="C2952" s="1063"/>
      <c r="D2952" s="803">
        <f>Page7!F13</f>
        <v>35878</v>
      </c>
      <c r="E2952" s="803">
        <f>Page7!K13</f>
        <v>136829</v>
      </c>
      <c r="F2952" t="str">
        <f t="shared" si="200"/>
        <v>04-00-NEWFIPP-SALES-CURR</v>
      </c>
      <c r="G2952" t="s">
        <v>127</v>
      </c>
      <c r="H2952" t="s">
        <v>10287</v>
      </c>
      <c r="I2952" t="s">
        <v>10253</v>
      </c>
      <c r="J2952" t="s">
        <v>10268</v>
      </c>
      <c r="K2952" s="1073" t="s">
        <v>10890</v>
      </c>
      <c r="L2952" s="789" t="s">
        <v>10241</v>
      </c>
      <c r="M2952" s="790" t="s">
        <v>12383</v>
      </c>
      <c r="O2952" s="790" t="s">
        <v>9883</v>
      </c>
      <c r="P2952" s="790" t="s">
        <v>10244</v>
      </c>
      <c r="Q2952" s="791" t="s">
        <v>773</v>
      </c>
    </row>
    <row r="2953" spans="2:18">
      <c r="B2953" s="5" t="s">
        <v>12310</v>
      </c>
      <c r="C2953" s="1045">
        <v>811</v>
      </c>
      <c r="D2953" s="803">
        <f>Page7!F17</f>
        <v>0</v>
      </c>
      <c r="E2953" s="803">
        <f>Page7!K17</f>
        <v>0</v>
      </c>
      <c r="F2953" t="str">
        <f t="shared" si="200"/>
        <v>04-00-811-SALES-CURR</v>
      </c>
      <c r="G2953" t="s">
        <v>127</v>
      </c>
      <c r="H2953" t="s">
        <v>10287</v>
      </c>
      <c r="I2953" t="s">
        <v>10253</v>
      </c>
      <c r="K2953" s="1073" t="s">
        <v>10890</v>
      </c>
      <c r="L2953" s="789" t="s">
        <v>10241</v>
      </c>
      <c r="M2953" s="790">
        <v>811</v>
      </c>
      <c r="O2953" s="790" t="s">
        <v>9883</v>
      </c>
      <c r="P2953" s="790" t="s">
        <v>10244</v>
      </c>
      <c r="R2953" s="30"/>
    </row>
    <row r="2954" spans="2:18">
      <c r="B2954" s="5" t="s">
        <v>12379</v>
      </c>
      <c r="C2954" s="1045">
        <v>823</v>
      </c>
      <c r="D2954" s="803">
        <f>Page7!F18</f>
        <v>0</v>
      </c>
      <c r="E2954" s="803">
        <f>Page7!K18</f>
        <v>0</v>
      </c>
      <c r="F2954" t="str">
        <f>TEXT(K2954,"00")&amp;"-"&amp;L2954&amp;IF(M2954="","","-"&amp;M2954)&amp;IF(N2954="","","-"&amp;N2954)&amp;IF(OR(O2954="",O2954=0),"","-"&amp;O2954)&amp;IF(P2954="","","-"&amp;P2954)</f>
        <v>04-00-823-SALES-CURR</v>
      </c>
      <c r="G2954" t="s">
        <v>127</v>
      </c>
      <c r="H2954" t="s">
        <v>10287</v>
      </c>
      <c r="I2954" t="s">
        <v>10253</v>
      </c>
      <c r="K2954" s="1073" t="s">
        <v>10890</v>
      </c>
      <c r="L2954" s="789" t="s">
        <v>10241</v>
      </c>
      <c r="M2954" s="790">
        <v>823</v>
      </c>
      <c r="O2954" s="790" t="s">
        <v>9883</v>
      </c>
      <c r="P2954" s="790" t="s">
        <v>10244</v>
      </c>
      <c r="R2954" s="30"/>
    </row>
    <row r="2955" spans="2:18">
      <c r="B2955" s="5" t="s">
        <v>12380</v>
      </c>
      <c r="C2955" s="1038">
        <v>454</v>
      </c>
      <c r="D2955" s="803">
        <f>Page7!F19</f>
        <v>6183</v>
      </c>
      <c r="E2955" s="803">
        <f>Page7!K19</f>
        <v>29308</v>
      </c>
      <c r="F2955" t="str">
        <f t="shared" si="200"/>
        <v>04-00-454-SALES-CURR</v>
      </c>
      <c r="G2955" t="s">
        <v>127</v>
      </c>
      <c r="H2955" t="s">
        <v>10287</v>
      </c>
      <c r="I2955" t="s">
        <v>10253</v>
      </c>
      <c r="K2955" s="1073" t="s">
        <v>10890</v>
      </c>
      <c r="L2955" s="789" t="s">
        <v>10241</v>
      </c>
      <c r="M2955" s="790" t="s">
        <v>10903</v>
      </c>
      <c r="O2955" s="790" t="s">
        <v>9883</v>
      </c>
      <c r="P2955" s="790" t="s">
        <v>10244</v>
      </c>
      <c r="R2955" s="30"/>
    </row>
    <row r="2956" spans="2:18">
      <c r="B2956" s="5" t="s">
        <v>12381</v>
      </c>
      <c r="C2956" s="1062">
        <v>455</v>
      </c>
      <c r="D2956" s="803">
        <f>Page7!F20</f>
        <v>0</v>
      </c>
      <c r="E2956" s="803">
        <f>Page7!K20</f>
        <v>0</v>
      </c>
      <c r="F2956" t="str">
        <f t="shared" si="200"/>
        <v>04-00-455-SALES-CURR</v>
      </c>
      <c r="G2956" t="s">
        <v>127</v>
      </c>
      <c r="H2956" t="s">
        <v>10287</v>
      </c>
      <c r="I2956" t="s">
        <v>10253</v>
      </c>
      <c r="K2956" s="1073" t="s">
        <v>10890</v>
      </c>
      <c r="L2956" s="789" t="s">
        <v>10241</v>
      </c>
      <c r="M2956" s="790" t="s">
        <v>10904</v>
      </c>
      <c r="O2956" s="790" t="s">
        <v>9883</v>
      </c>
      <c r="P2956" s="790" t="s">
        <v>10244</v>
      </c>
      <c r="R2956" s="30"/>
    </row>
    <row r="2957" spans="2:18">
      <c r="B2957" s="27" t="s">
        <v>12384</v>
      </c>
      <c r="C2957" s="1050"/>
      <c r="D2957" s="803">
        <f>Page7!F23</f>
        <v>8563</v>
      </c>
      <c r="E2957" s="803">
        <f>Page7!K23</f>
        <v>33507</v>
      </c>
      <c r="F2957" t="str">
        <f t="shared" si="200"/>
        <v>04-00-USEDFIPP-SALES-CURR</v>
      </c>
      <c r="G2957" t="s">
        <v>127</v>
      </c>
      <c r="H2957" t="s">
        <v>10287</v>
      </c>
      <c r="I2957" t="s">
        <v>10253</v>
      </c>
      <c r="J2957" t="s">
        <v>10268</v>
      </c>
      <c r="K2957" s="1073" t="s">
        <v>10890</v>
      </c>
      <c r="L2957" s="789" t="s">
        <v>10241</v>
      </c>
      <c r="M2957" s="790" t="s">
        <v>12385</v>
      </c>
      <c r="O2957" s="790" t="s">
        <v>9883</v>
      </c>
      <c r="P2957" s="790" t="s">
        <v>10244</v>
      </c>
      <c r="Q2957" s="791" t="s">
        <v>773</v>
      </c>
    </row>
    <row r="2958" spans="2:18" ht="13">
      <c r="B2958" s="27" t="s">
        <v>12386</v>
      </c>
      <c r="C2958" s="1042"/>
      <c r="D2958" s="803">
        <f>Page7!F24</f>
        <v>44441</v>
      </c>
      <c r="E2958" s="803">
        <f>Page7!K24</f>
        <v>170336</v>
      </c>
      <c r="F2958" s="857" t="str">
        <f t="shared" si="200"/>
        <v>04-00-TOTALF&amp;I-SALES-CURR</v>
      </c>
      <c r="G2958" t="s">
        <v>127</v>
      </c>
      <c r="H2958" t="s">
        <v>10287</v>
      </c>
      <c r="I2958" t="s">
        <v>10253</v>
      </c>
      <c r="J2958" t="s">
        <v>10268</v>
      </c>
      <c r="K2958" s="1073" t="s">
        <v>10890</v>
      </c>
      <c r="L2958" s="789" t="s">
        <v>10241</v>
      </c>
      <c r="M2958" s="856" t="s">
        <v>12387</v>
      </c>
      <c r="O2958" s="790" t="s">
        <v>9883</v>
      </c>
      <c r="P2958" s="790" t="s">
        <v>10244</v>
      </c>
      <c r="Q2958" s="791" t="s">
        <v>773</v>
      </c>
    </row>
    <row r="2959" spans="2:18">
      <c r="B2959" s="5" t="s">
        <v>12388</v>
      </c>
      <c r="C2959" s="1038">
        <v>806</v>
      </c>
      <c r="D2959" s="803">
        <f>Page7!F4</f>
        <v>0</v>
      </c>
      <c r="E2959" s="803">
        <f>Page7!K4</f>
        <v>0</v>
      </c>
      <c r="F2959" t="str">
        <f t="shared" si="200"/>
        <v>04-00-806-GRSINC-CURR</v>
      </c>
      <c r="G2959" t="s">
        <v>127</v>
      </c>
      <c r="H2959" t="s">
        <v>10287</v>
      </c>
      <c r="I2959" t="s">
        <v>10253</v>
      </c>
      <c r="K2959" s="1073" t="s">
        <v>10890</v>
      </c>
      <c r="L2959" s="789" t="s">
        <v>10241</v>
      </c>
      <c r="M2959" s="790" t="s">
        <v>12389</v>
      </c>
      <c r="O2959" s="790" t="s">
        <v>11257</v>
      </c>
      <c r="P2959" s="790" t="s">
        <v>10244</v>
      </c>
      <c r="R2959" s="30"/>
    </row>
    <row r="2960" spans="2:18">
      <c r="B2960" s="5" t="s">
        <v>12390</v>
      </c>
      <c r="C2960" s="1038">
        <v>807</v>
      </c>
      <c r="D2960" s="803">
        <f>Page7!F5</f>
        <v>2518</v>
      </c>
      <c r="E2960" s="803">
        <f>Page7!K5</f>
        <v>3750</v>
      </c>
      <c r="F2960" t="str">
        <f t="shared" si="200"/>
        <v>04-00-807-GRSINC-CURR</v>
      </c>
      <c r="G2960" t="s">
        <v>127</v>
      </c>
      <c r="H2960" t="s">
        <v>10287</v>
      </c>
      <c r="I2960" t="s">
        <v>10253</v>
      </c>
      <c r="K2960" s="1073" t="s">
        <v>10890</v>
      </c>
      <c r="L2960" s="789" t="s">
        <v>10241</v>
      </c>
      <c r="M2960" s="790" t="s">
        <v>10893</v>
      </c>
      <c r="O2960" s="790" t="s">
        <v>11257</v>
      </c>
      <c r="P2960" s="790" t="s">
        <v>10244</v>
      </c>
      <c r="R2960" s="30"/>
    </row>
    <row r="2961" spans="2:18">
      <c r="B2961" s="5" t="s">
        <v>12391</v>
      </c>
      <c r="C2961" s="1038">
        <v>850</v>
      </c>
      <c r="D2961" s="803">
        <f>Page7!H6</f>
        <v>0</v>
      </c>
      <c r="E2961" s="803">
        <f>Page7!M6</f>
        <v>0</v>
      </c>
      <c r="F2961" t="str">
        <f t="shared" si="200"/>
        <v>04-00-850-GRSINC-CURR</v>
      </c>
      <c r="G2961" t="s">
        <v>127</v>
      </c>
      <c r="H2961" t="s">
        <v>10287</v>
      </c>
      <c r="I2961" t="s">
        <v>10253</v>
      </c>
      <c r="K2961" s="1073" t="s">
        <v>10890</v>
      </c>
      <c r="L2961" s="789" t="s">
        <v>10241</v>
      </c>
      <c r="M2961" s="790">
        <v>850</v>
      </c>
      <c r="O2961" s="790" t="s">
        <v>11257</v>
      </c>
      <c r="P2961" s="790" t="s">
        <v>10244</v>
      </c>
      <c r="R2961" s="30"/>
    </row>
    <row r="2962" spans="2:18">
      <c r="B2962" s="5" t="s">
        <v>12392</v>
      </c>
      <c r="C2962" s="1038">
        <v>810</v>
      </c>
      <c r="D2962" s="803">
        <f>Page7!H7</f>
        <v>0</v>
      </c>
      <c r="E2962" s="803">
        <f>Page7!M7</f>
        <v>0</v>
      </c>
      <c r="F2962" t="str">
        <f t="shared" si="200"/>
        <v>04-00-810-GRSINC-CURR</v>
      </c>
      <c r="G2962" t="s">
        <v>127</v>
      </c>
      <c r="H2962" t="s">
        <v>10287</v>
      </c>
      <c r="I2962" t="s">
        <v>10253</v>
      </c>
      <c r="K2962" s="1073" t="s">
        <v>10890</v>
      </c>
      <c r="L2962" s="789" t="s">
        <v>10241</v>
      </c>
      <c r="M2962" s="790">
        <v>810</v>
      </c>
      <c r="O2962" s="790" t="s">
        <v>11257</v>
      </c>
      <c r="P2962" s="790" t="s">
        <v>10244</v>
      </c>
      <c r="R2962" s="30"/>
    </row>
    <row r="2963" spans="2:18">
      <c r="B2963" s="5" t="s">
        <v>12393</v>
      </c>
      <c r="C2963" s="1038">
        <v>822</v>
      </c>
      <c r="D2963" s="803">
        <f>Page7!H8</f>
        <v>0</v>
      </c>
      <c r="E2963" s="803">
        <f>Page7!M8</f>
        <v>0</v>
      </c>
      <c r="F2963" t="str">
        <f>TEXT(K2963,"00")&amp;"-"&amp;L2963&amp;IF(M2963="","","-"&amp;M2963)&amp;IF(N2963="","","-"&amp;N2963)&amp;IF(OR(O2963="",O2963=0),"","-"&amp;O2963)&amp;IF(P2963="","","-"&amp;P2963)</f>
        <v>04-00-822-GRSINC-CURR</v>
      </c>
      <c r="G2963" t="s">
        <v>127</v>
      </c>
      <c r="H2963" t="s">
        <v>10287</v>
      </c>
      <c r="I2963" t="s">
        <v>10253</v>
      </c>
      <c r="K2963" s="1073" t="s">
        <v>10890</v>
      </c>
      <c r="L2963" s="789" t="s">
        <v>10241</v>
      </c>
      <c r="M2963" s="790">
        <v>822</v>
      </c>
      <c r="O2963" s="790" t="s">
        <v>11257</v>
      </c>
      <c r="P2963" s="790" t="s">
        <v>10244</v>
      </c>
      <c r="R2963" s="30"/>
    </row>
    <row r="2964" spans="2:18">
      <c r="B2964" s="5" t="s">
        <v>12394</v>
      </c>
      <c r="C2964" s="1038">
        <v>443</v>
      </c>
      <c r="D2964" s="803">
        <f>Page7!H9</f>
        <v>10040</v>
      </c>
      <c r="E2964" s="803">
        <f>Page7!M9</f>
        <v>51198</v>
      </c>
      <c r="F2964" t="str">
        <f t="shared" si="200"/>
        <v>04-00-443-GRSINC-CURR</v>
      </c>
      <c r="G2964" t="s">
        <v>127</v>
      </c>
      <c r="H2964" t="s">
        <v>10287</v>
      </c>
      <c r="I2964" t="s">
        <v>10253</v>
      </c>
      <c r="K2964" s="1073" t="s">
        <v>10890</v>
      </c>
      <c r="L2964" s="789" t="s">
        <v>10241</v>
      </c>
      <c r="M2964" s="790" t="s">
        <v>10896</v>
      </c>
      <c r="O2964" s="790" t="s">
        <v>11257</v>
      </c>
      <c r="P2964" s="790" t="s">
        <v>10244</v>
      </c>
      <c r="R2964" s="30"/>
    </row>
    <row r="2965" spans="2:18">
      <c r="B2965" s="5" t="s">
        <v>12395</v>
      </c>
      <c r="C2965" s="1038">
        <v>444</v>
      </c>
      <c r="D2965" s="803">
        <f>Page7!H10</f>
        <v>6194</v>
      </c>
      <c r="E2965" s="803">
        <f>Page7!M10</f>
        <v>14210</v>
      </c>
      <c r="F2965" t="str">
        <f t="shared" si="200"/>
        <v>04-00-444-GRSINC-CURR</v>
      </c>
      <c r="G2965" t="s">
        <v>127</v>
      </c>
      <c r="H2965" t="s">
        <v>10287</v>
      </c>
      <c r="I2965" t="s">
        <v>10253</v>
      </c>
      <c r="K2965" s="1073" t="s">
        <v>10890</v>
      </c>
      <c r="L2965" s="789" t="s">
        <v>10241</v>
      </c>
      <c r="M2965" s="790" t="s">
        <v>10898</v>
      </c>
      <c r="O2965" s="790" t="s">
        <v>11257</v>
      </c>
      <c r="P2965" s="790" t="s">
        <v>10244</v>
      </c>
      <c r="R2965" s="30"/>
    </row>
    <row r="2966" spans="2:18">
      <c r="B2966" s="5" t="s">
        <v>12396</v>
      </c>
      <c r="C2966" s="1038">
        <v>853</v>
      </c>
      <c r="D2966" s="803">
        <f>Page7!H11</f>
        <v>0</v>
      </c>
      <c r="E2966" s="803">
        <f>Page7!M11</f>
        <v>0</v>
      </c>
      <c r="F2966" t="str">
        <f t="shared" si="200"/>
        <v>04-00-853-GRSINC-CURR</v>
      </c>
      <c r="G2966" t="s">
        <v>127</v>
      </c>
      <c r="H2966" t="s">
        <v>10287</v>
      </c>
      <c r="I2966" t="s">
        <v>10253</v>
      </c>
      <c r="K2966" s="1073" t="s">
        <v>10890</v>
      </c>
      <c r="L2966" s="789" t="s">
        <v>10241</v>
      </c>
      <c r="M2966" s="790" t="s">
        <v>12397</v>
      </c>
      <c r="O2966" s="790" t="s">
        <v>11257</v>
      </c>
      <c r="P2966" s="790" t="s">
        <v>10244</v>
      </c>
      <c r="R2966" s="30"/>
    </row>
    <row r="2967" spans="2:18">
      <c r="B2967" s="5" t="s">
        <v>12398</v>
      </c>
      <c r="C2967" s="1038">
        <v>855</v>
      </c>
      <c r="D2967" s="803">
        <f>Page7!H12*-1</f>
        <v>10140</v>
      </c>
      <c r="E2967" s="803">
        <f>Page7!M12*-1</f>
        <v>25892</v>
      </c>
      <c r="F2967" t="str">
        <f t="shared" si="200"/>
        <v>04-00-855-GRSINC-CURR</v>
      </c>
      <c r="G2967" t="s">
        <v>127</v>
      </c>
      <c r="H2967" t="s">
        <v>10287</v>
      </c>
      <c r="I2967" t="s">
        <v>10253</v>
      </c>
      <c r="K2967" s="1073" t="s">
        <v>10890</v>
      </c>
      <c r="L2967" s="789" t="s">
        <v>10241</v>
      </c>
      <c r="M2967" s="799" t="s">
        <v>12399</v>
      </c>
      <c r="O2967" s="799" t="s">
        <v>11257</v>
      </c>
      <c r="P2967" s="799" t="s">
        <v>10244</v>
      </c>
      <c r="R2967" s="30"/>
    </row>
    <row r="2968" spans="2:18">
      <c r="B2968" s="27" t="s">
        <v>12400</v>
      </c>
      <c r="C2968" s="1042"/>
      <c r="D2968" s="803">
        <f>Page7!H13</f>
        <v>8612</v>
      </c>
      <c r="E2968" s="803">
        <f>Page7!M13</f>
        <v>43266</v>
      </c>
      <c r="F2968" t="str">
        <f t="shared" si="200"/>
        <v>04-00-NEWFIPP-GRSINC-CURR</v>
      </c>
      <c r="G2968" t="s">
        <v>127</v>
      </c>
      <c r="H2968" t="s">
        <v>10287</v>
      </c>
      <c r="I2968" t="s">
        <v>10253</v>
      </c>
      <c r="J2968" t="s">
        <v>10268</v>
      </c>
      <c r="K2968" s="1073" t="s">
        <v>10890</v>
      </c>
      <c r="L2968" s="789" t="s">
        <v>10241</v>
      </c>
      <c r="M2968" s="790" t="s">
        <v>12383</v>
      </c>
      <c r="O2968" s="790" t="s">
        <v>11257</v>
      </c>
      <c r="P2968" s="790" t="s">
        <v>10244</v>
      </c>
      <c r="Q2968" s="791" t="s">
        <v>773</v>
      </c>
    </row>
    <row r="2969" spans="2:18">
      <c r="B2969" s="5" t="s">
        <v>12401</v>
      </c>
      <c r="C2969" s="1038">
        <v>808</v>
      </c>
      <c r="D2969" s="803">
        <f>Page7!F14</f>
        <v>2380</v>
      </c>
      <c r="E2969" s="803">
        <f>Page7!K14</f>
        <v>4199</v>
      </c>
      <c r="F2969" t="str">
        <f t="shared" ref="F2969:F3033" si="201">TEXT(K2969,"00")&amp;"-"&amp;L2969&amp;IF(M2969="","","-"&amp;M2969)&amp;IF(N2969="","","-"&amp;N2969)&amp;IF(OR(O2969="",O2969=0),"","-"&amp;O2969)&amp;IF(P2969="","","-"&amp;P2969)</f>
        <v>04-00-808-GRSINC-CURR</v>
      </c>
      <c r="G2969" t="s">
        <v>127</v>
      </c>
      <c r="H2969" t="s">
        <v>10287</v>
      </c>
      <c r="I2969" t="s">
        <v>10253</v>
      </c>
      <c r="K2969" s="1073" t="s">
        <v>10890</v>
      </c>
      <c r="L2969" s="789" t="s">
        <v>10241</v>
      </c>
      <c r="M2969" s="790" t="s">
        <v>10900</v>
      </c>
      <c r="O2969" s="790" t="s">
        <v>11257</v>
      </c>
      <c r="P2969" s="790" t="s">
        <v>10244</v>
      </c>
      <c r="R2969" s="30"/>
    </row>
    <row r="2970" spans="2:18">
      <c r="B2970" s="5" t="s">
        <v>12402</v>
      </c>
      <c r="C2970" s="1038">
        <v>809</v>
      </c>
      <c r="D2970" s="803">
        <f>Page7!F15</f>
        <v>0</v>
      </c>
      <c r="E2970" s="803">
        <f>Page7!K15</f>
        <v>0</v>
      </c>
      <c r="F2970" t="str">
        <f t="shared" si="201"/>
        <v>04-00-809-GRSINC-CURR</v>
      </c>
      <c r="G2970" t="s">
        <v>127</v>
      </c>
      <c r="H2970" t="s">
        <v>10287</v>
      </c>
      <c r="I2970" t="s">
        <v>10253</v>
      </c>
      <c r="K2970" s="1073" t="s">
        <v>10890</v>
      </c>
      <c r="L2970" s="789" t="s">
        <v>10241</v>
      </c>
      <c r="M2970" s="790" t="s">
        <v>10902</v>
      </c>
      <c r="O2970" s="790" t="s">
        <v>11257</v>
      </c>
      <c r="P2970" s="790" t="s">
        <v>10244</v>
      </c>
      <c r="R2970" s="30"/>
    </row>
    <row r="2971" spans="2:18">
      <c r="B2971" s="5" t="s">
        <v>12391</v>
      </c>
      <c r="C2971" s="1038">
        <v>851</v>
      </c>
      <c r="D2971" s="803">
        <f>Page7!H16</f>
        <v>0</v>
      </c>
      <c r="E2971" s="803">
        <f>Page7!M16</f>
        <v>0</v>
      </c>
      <c r="F2971" t="str">
        <f t="shared" si="201"/>
        <v>04-00-851-GRSINC-CURR</v>
      </c>
      <c r="G2971" t="s">
        <v>127</v>
      </c>
      <c r="H2971" t="s">
        <v>10287</v>
      </c>
      <c r="I2971" t="s">
        <v>10253</v>
      </c>
      <c r="K2971" s="1073" t="s">
        <v>10890</v>
      </c>
      <c r="L2971" s="789" t="s">
        <v>10241</v>
      </c>
      <c r="M2971" s="790">
        <v>851</v>
      </c>
      <c r="O2971" s="790" t="s">
        <v>11257</v>
      </c>
      <c r="P2971" s="790" t="s">
        <v>10244</v>
      </c>
      <c r="R2971" s="30"/>
    </row>
    <row r="2972" spans="2:18">
      <c r="B2972" s="5" t="s">
        <v>12392</v>
      </c>
      <c r="C2972" s="1038">
        <v>811</v>
      </c>
      <c r="D2972" s="803">
        <f>Page7!H17</f>
        <v>0</v>
      </c>
      <c r="E2972" s="803">
        <f>Page7!M17</f>
        <v>0</v>
      </c>
      <c r="F2972" t="s">
        <v>7163</v>
      </c>
      <c r="G2972" t="s">
        <v>127</v>
      </c>
      <c r="H2972" t="s">
        <v>10287</v>
      </c>
      <c r="I2972" t="s">
        <v>10253</v>
      </c>
      <c r="K2972" s="1073" t="s">
        <v>10890</v>
      </c>
      <c r="L2972" s="789" t="s">
        <v>10241</v>
      </c>
      <c r="M2972" s="790">
        <v>811</v>
      </c>
      <c r="O2972" s="790" t="s">
        <v>11257</v>
      </c>
      <c r="P2972" s="790" t="s">
        <v>10244</v>
      </c>
      <c r="R2972" s="30"/>
    </row>
    <row r="2973" spans="2:18">
      <c r="B2973" s="5" t="s">
        <v>12393</v>
      </c>
      <c r="C2973" s="1038">
        <v>823</v>
      </c>
      <c r="D2973" s="803">
        <f>Page7!H18</f>
        <v>0</v>
      </c>
      <c r="E2973" s="803">
        <f>Page7!M18</f>
        <v>0</v>
      </c>
      <c r="F2973" t="s">
        <v>7166</v>
      </c>
      <c r="G2973" t="s">
        <v>127</v>
      </c>
      <c r="H2973" t="s">
        <v>10287</v>
      </c>
      <c r="I2973" t="s">
        <v>10253</v>
      </c>
      <c r="K2973" s="1073" t="s">
        <v>10890</v>
      </c>
      <c r="L2973" s="789" t="s">
        <v>10241</v>
      </c>
      <c r="M2973" s="790">
        <v>823</v>
      </c>
      <c r="O2973" s="790" t="s">
        <v>11257</v>
      </c>
      <c r="P2973" s="790" t="s">
        <v>10244</v>
      </c>
      <c r="R2973" s="30"/>
    </row>
    <row r="2974" spans="2:18">
      <c r="B2974" s="5" t="s">
        <v>12394</v>
      </c>
      <c r="C2974" s="1038">
        <v>454</v>
      </c>
      <c r="D2974" s="803">
        <f>Page7!H19</f>
        <v>3449</v>
      </c>
      <c r="E2974" s="803">
        <f>Page7!M19</f>
        <v>16580</v>
      </c>
      <c r="F2974" t="str">
        <f t="shared" si="201"/>
        <v>04-00-454-GRSINC-CURR</v>
      </c>
      <c r="G2974" t="s">
        <v>127</v>
      </c>
      <c r="H2974" t="s">
        <v>10287</v>
      </c>
      <c r="I2974" t="s">
        <v>10253</v>
      </c>
      <c r="K2974" s="1073" t="s">
        <v>10890</v>
      </c>
      <c r="L2974" s="789" t="s">
        <v>10241</v>
      </c>
      <c r="M2974" s="790" t="s">
        <v>10903</v>
      </c>
      <c r="O2974" s="790" t="s">
        <v>11257</v>
      </c>
      <c r="P2974" s="790" t="s">
        <v>10244</v>
      </c>
      <c r="R2974" s="30"/>
    </row>
    <row r="2975" spans="2:18">
      <c r="B2975" s="5" t="s">
        <v>12395</v>
      </c>
      <c r="C2975" s="1038">
        <v>455</v>
      </c>
      <c r="D2975" s="803">
        <f>Page7!H20</f>
        <v>0</v>
      </c>
      <c r="E2975" s="803">
        <f>Page7!M20</f>
        <v>0</v>
      </c>
      <c r="F2975" t="str">
        <f t="shared" si="201"/>
        <v>04-00-455-GRSINC-CURR</v>
      </c>
      <c r="G2975" t="s">
        <v>127</v>
      </c>
      <c r="H2975" t="s">
        <v>10287</v>
      </c>
      <c r="I2975" t="s">
        <v>10253</v>
      </c>
      <c r="K2975" s="1073" t="s">
        <v>10890</v>
      </c>
      <c r="L2975" s="789" t="s">
        <v>10241</v>
      </c>
      <c r="M2975" s="790" t="s">
        <v>10904</v>
      </c>
      <c r="O2975" s="790" t="s">
        <v>11257</v>
      </c>
      <c r="P2975" s="790" t="s">
        <v>10244</v>
      </c>
      <c r="R2975" s="30"/>
    </row>
    <row r="2976" spans="2:18">
      <c r="B2976" s="5" t="s">
        <v>12403</v>
      </c>
      <c r="C2976" s="1038">
        <v>854</v>
      </c>
      <c r="D2976" s="803">
        <f>Page7!H21</f>
        <v>0</v>
      </c>
      <c r="E2976" s="803">
        <f>Page7!M21</f>
        <v>0</v>
      </c>
      <c r="F2976" t="str">
        <f t="shared" si="201"/>
        <v>04-00-854-GRSINC-CURR</v>
      </c>
      <c r="G2976" t="s">
        <v>127</v>
      </c>
      <c r="H2976" t="s">
        <v>10287</v>
      </c>
      <c r="I2976" t="s">
        <v>10253</v>
      </c>
      <c r="K2976" s="1073" t="s">
        <v>10890</v>
      </c>
      <c r="L2976" s="789" t="s">
        <v>10241</v>
      </c>
      <c r="M2976" s="790" t="s">
        <v>12404</v>
      </c>
      <c r="O2976" s="790" t="s">
        <v>11257</v>
      </c>
      <c r="P2976" s="790" t="s">
        <v>10244</v>
      </c>
      <c r="R2976" s="30"/>
    </row>
    <row r="2977" spans="2:18">
      <c r="B2977" s="5" t="s">
        <v>12405</v>
      </c>
      <c r="C2977" s="1038">
        <v>856</v>
      </c>
      <c r="D2977" s="803">
        <f>Page7!H22*-1</f>
        <v>1557</v>
      </c>
      <c r="E2977" s="803">
        <f>Page7!M22*-1</f>
        <v>6808</v>
      </c>
      <c r="F2977" t="str">
        <f t="shared" si="201"/>
        <v>04-00-856-GRSINC-CURR</v>
      </c>
      <c r="G2977" t="s">
        <v>127</v>
      </c>
      <c r="H2977" t="s">
        <v>10287</v>
      </c>
      <c r="I2977" t="s">
        <v>10253</v>
      </c>
      <c r="K2977" s="1073" t="s">
        <v>10890</v>
      </c>
      <c r="L2977" s="789" t="s">
        <v>10241</v>
      </c>
      <c r="M2977" s="790">
        <v>856</v>
      </c>
      <c r="O2977" s="790" t="s">
        <v>11257</v>
      </c>
      <c r="P2977" s="790" t="s">
        <v>10244</v>
      </c>
      <c r="R2977" s="30"/>
    </row>
    <row r="2978" spans="2:18">
      <c r="B2978" s="5" t="s">
        <v>12406</v>
      </c>
      <c r="C2978" s="1042"/>
      <c r="D2978" s="803">
        <f>Page7!H23</f>
        <v>4272</v>
      </c>
      <c r="E2978" s="803">
        <f>Page7!M23</f>
        <v>13971</v>
      </c>
      <c r="F2978" t="str">
        <f t="shared" si="201"/>
        <v>04-00-USEDFIPP-GRSINC-CURR</v>
      </c>
      <c r="G2978" t="s">
        <v>127</v>
      </c>
      <c r="H2978" t="s">
        <v>10287</v>
      </c>
      <c r="I2978" t="s">
        <v>10253</v>
      </c>
      <c r="J2978" t="s">
        <v>10268</v>
      </c>
      <c r="K2978" s="1073" t="s">
        <v>10890</v>
      </c>
      <c r="L2978" s="789" t="s">
        <v>10241</v>
      </c>
      <c r="M2978" s="790" t="s">
        <v>12385</v>
      </c>
      <c r="O2978" s="790" t="s">
        <v>11257</v>
      </c>
      <c r="P2978" s="790" t="s">
        <v>10244</v>
      </c>
      <c r="Q2978" s="791" t="s">
        <v>773</v>
      </c>
    </row>
    <row r="2979" spans="2:18" ht="13">
      <c r="B2979" s="27" t="s">
        <v>12407</v>
      </c>
      <c r="C2979" s="1042"/>
      <c r="D2979" s="803">
        <f>Page7!H24</f>
        <v>12884</v>
      </c>
      <c r="E2979" s="803">
        <f>Page7!M24</f>
        <v>57237</v>
      </c>
      <c r="F2979" s="857" t="str">
        <f t="shared" si="201"/>
        <v>04-00-TOTALF&amp;I-GRSINC-CURR</v>
      </c>
      <c r="G2979" t="s">
        <v>127</v>
      </c>
      <c r="H2979" t="s">
        <v>10287</v>
      </c>
      <c r="I2979" t="s">
        <v>10253</v>
      </c>
      <c r="J2979" t="s">
        <v>10268</v>
      </c>
      <c r="K2979" s="1073" t="s">
        <v>10890</v>
      </c>
      <c r="L2979" s="789" t="s">
        <v>10241</v>
      </c>
      <c r="M2979" s="856" t="s">
        <v>12387</v>
      </c>
      <c r="O2979" s="790" t="s">
        <v>11257</v>
      </c>
      <c r="P2979" s="790" t="s">
        <v>10244</v>
      </c>
      <c r="Q2979" s="791" t="s">
        <v>773</v>
      </c>
    </row>
    <row r="2980" spans="2:18">
      <c r="B2980" s="38" t="s">
        <v>12408</v>
      </c>
      <c r="C2980" s="754">
        <v>501</v>
      </c>
      <c r="D2980" s="803">
        <f>Page8!H5</f>
        <v>0</v>
      </c>
      <c r="E2980" s="803">
        <f>Page8!J5</f>
        <v>0</v>
      </c>
      <c r="F2980" t="str">
        <f t="shared" si="201"/>
        <v>03-00-501-GRSINC-CURR</v>
      </c>
      <c r="G2980" t="s">
        <v>127</v>
      </c>
      <c r="H2980" t="s">
        <v>10287</v>
      </c>
      <c r="I2980" t="s">
        <v>10253</v>
      </c>
      <c r="K2980" s="1073" t="s">
        <v>10981</v>
      </c>
      <c r="L2980" s="789" t="s">
        <v>10241</v>
      </c>
      <c r="M2980" s="790">
        <v>501</v>
      </c>
      <c r="O2980" s="790" t="s">
        <v>11257</v>
      </c>
      <c r="P2980" s="790" t="s">
        <v>10244</v>
      </c>
      <c r="Q2980" s="791" t="s">
        <v>773</v>
      </c>
    </row>
    <row r="2981" spans="2:18">
      <c r="B2981" s="39" t="s">
        <v>12409</v>
      </c>
      <c r="C2981" s="754">
        <v>502</v>
      </c>
      <c r="D2981" s="803">
        <f>Page8!H6</f>
        <v>0</v>
      </c>
      <c r="E2981" s="803">
        <f>Page8!J6</f>
        <v>0</v>
      </c>
      <c r="F2981" t="str">
        <f t="shared" si="201"/>
        <v>03-00-502-GRSINC-CURR</v>
      </c>
      <c r="G2981" t="s">
        <v>127</v>
      </c>
      <c r="H2981" t="s">
        <v>10287</v>
      </c>
      <c r="I2981" t="s">
        <v>10253</v>
      </c>
      <c r="K2981" s="1073" t="s">
        <v>10981</v>
      </c>
      <c r="L2981" s="789" t="s">
        <v>10241</v>
      </c>
      <c r="M2981" s="790">
        <v>502</v>
      </c>
      <c r="O2981" s="790" t="s">
        <v>11257</v>
      </c>
      <c r="P2981" s="790" t="s">
        <v>10244</v>
      </c>
      <c r="Q2981" s="791" t="s">
        <v>773</v>
      </c>
    </row>
    <row r="2982" spans="2:18">
      <c r="B2982" s="38" t="s">
        <v>12410</v>
      </c>
      <c r="C2982" s="754">
        <v>503</v>
      </c>
      <c r="D2982" s="803">
        <f>Page8!H7</f>
        <v>0</v>
      </c>
      <c r="E2982" s="803">
        <f>Page8!J7</f>
        <v>0</v>
      </c>
      <c r="F2982" t="str">
        <f t="shared" si="201"/>
        <v>03-00-503-GRSINC-CURR</v>
      </c>
      <c r="G2982" t="s">
        <v>127</v>
      </c>
      <c r="H2982" t="s">
        <v>10287</v>
      </c>
      <c r="I2982" t="s">
        <v>10253</v>
      </c>
      <c r="K2982" s="1073" t="s">
        <v>10981</v>
      </c>
      <c r="L2982" s="789" t="s">
        <v>10241</v>
      </c>
      <c r="M2982" s="790">
        <v>503</v>
      </c>
      <c r="O2982" s="790" t="s">
        <v>11257</v>
      </c>
      <c r="P2982" s="790" t="s">
        <v>10244</v>
      </c>
      <c r="Q2982" s="791" t="s">
        <v>773</v>
      </c>
    </row>
    <row r="2983" spans="2:18">
      <c r="B2983" s="38" t="s">
        <v>12411</v>
      </c>
      <c r="C2983" s="754">
        <v>504</v>
      </c>
      <c r="D2983" s="803">
        <f>Page8!H8</f>
        <v>0</v>
      </c>
      <c r="E2983" s="803">
        <f>Page8!J8</f>
        <v>0</v>
      </c>
      <c r="F2983" t="str">
        <f t="shared" si="201"/>
        <v>03-00-504-GRSINC-CURR</v>
      </c>
      <c r="G2983" t="s">
        <v>127</v>
      </c>
      <c r="H2983" t="s">
        <v>10287</v>
      </c>
      <c r="I2983" t="s">
        <v>10253</v>
      </c>
      <c r="K2983" s="1073" t="s">
        <v>10981</v>
      </c>
      <c r="L2983" s="789" t="s">
        <v>10241</v>
      </c>
      <c r="M2983" s="790">
        <v>504</v>
      </c>
      <c r="O2983" s="790" t="s">
        <v>11257</v>
      </c>
      <c r="P2983" s="790" t="s">
        <v>10244</v>
      </c>
      <c r="Q2983" s="791" t="s">
        <v>773</v>
      </c>
    </row>
    <row r="2984" spans="2:18">
      <c r="B2984" s="38" t="s">
        <v>12412</v>
      </c>
      <c r="C2984" s="754">
        <v>505</v>
      </c>
      <c r="D2984" s="803">
        <f>Page8!H9</f>
        <v>0</v>
      </c>
      <c r="E2984" s="803">
        <f>Page8!J9</f>
        <v>0</v>
      </c>
      <c r="F2984" t="str">
        <f t="shared" si="201"/>
        <v>03-00-505-GRSINC-CURR</v>
      </c>
      <c r="G2984" t="s">
        <v>127</v>
      </c>
      <c r="H2984" t="s">
        <v>10287</v>
      </c>
      <c r="I2984" t="s">
        <v>10253</v>
      </c>
      <c r="K2984" s="1073" t="s">
        <v>10981</v>
      </c>
      <c r="L2984" s="789" t="s">
        <v>10241</v>
      </c>
      <c r="M2984" s="790">
        <v>505</v>
      </c>
      <c r="O2984" s="790" t="s">
        <v>11257</v>
      </c>
      <c r="P2984" s="790" t="s">
        <v>10244</v>
      </c>
      <c r="Q2984" s="791" t="s">
        <v>773</v>
      </c>
    </row>
    <row r="2985" spans="2:18">
      <c r="B2985" s="38" t="s">
        <v>12413</v>
      </c>
      <c r="C2985" s="754">
        <v>506</v>
      </c>
      <c r="D2985" s="803">
        <f>Page8!H10</f>
        <v>0</v>
      </c>
      <c r="E2985" s="803">
        <f>Page8!J10</f>
        <v>0</v>
      </c>
      <c r="F2985" t="str">
        <f t="shared" si="201"/>
        <v>03-00-506-GRSINC-CURR</v>
      </c>
      <c r="G2985" t="s">
        <v>127</v>
      </c>
      <c r="H2985" t="s">
        <v>10287</v>
      </c>
      <c r="I2985" t="s">
        <v>10253</v>
      </c>
      <c r="K2985" s="1073" t="s">
        <v>10981</v>
      </c>
      <c r="L2985" s="789" t="s">
        <v>10241</v>
      </c>
      <c r="M2985" s="790">
        <v>506</v>
      </c>
      <c r="O2985" s="790" t="s">
        <v>11257</v>
      </c>
      <c r="P2985" s="790" t="s">
        <v>10244</v>
      </c>
      <c r="Q2985" s="791" t="s">
        <v>773</v>
      </c>
    </row>
    <row r="2986" spans="2:18">
      <c r="B2986" s="38" t="s">
        <v>12414</v>
      </c>
      <c r="C2986" s="754">
        <v>507</v>
      </c>
      <c r="D2986" s="803">
        <f>Page8!H11</f>
        <v>0</v>
      </c>
      <c r="E2986" s="803">
        <f>Page8!J11</f>
        <v>0</v>
      </c>
      <c r="F2986" t="str">
        <f t="shared" si="201"/>
        <v>03-00-507-GRSINC-CURR</v>
      </c>
      <c r="G2986" t="s">
        <v>127</v>
      </c>
      <c r="H2986" t="s">
        <v>10287</v>
      </c>
      <c r="I2986" t="s">
        <v>10253</v>
      </c>
      <c r="K2986" s="1073" t="s">
        <v>10981</v>
      </c>
      <c r="L2986" s="789" t="s">
        <v>10241</v>
      </c>
      <c r="M2986" s="790">
        <v>507</v>
      </c>
      <c r="O2986" s="790" t="s">
        <v>11257</v>
      </c>
      <c r="P2986" s="790" t="s">
        <v>10244</v>
      </c>
      <c r="Q2986" s="791" t="s">
        <v>773</v>
      </c>
    </row>
    <row r="2987" spans="2:18">
      <c r="B2987" s="809" t="s">
        <v>12415</v>
      </c>
      <c r="C2987" s="1042"/>
      <c r="D2987" s="803">
        <f>Page8!H12</f>
        <v>0</v>
      </c>
      <c r="E2987" s="803">
        <f>Page8!J12</f>
        <v>0</v>
      </c>
      <c r="F2987" t="str">
        <f t="shared" si="201"/>
        <v>03-00-INCMTOTL-GRSINC-CURR</v>
      </c>
      <c r="G2987" t="s">
        <v>127</v>
      </c>
      <c r="H2987" t="s">
        <v>10287</v>
      </c>
      <c r="I2987" t="s">
        <v>10253</v>
      </c>
      <c r="J2987" t="s">
        <v>10268</v>
      </c>
      <c r="K2987" s="1073" t="s">
        <v>10981</v>
      </c>
      <c r="L2987" s="789" t="s">
        <v>10241</v>
      </c>
      <c r="M2987" s="790" t="s">
        <v>12416</v>
      </c>
      <c r="O2987" s="790" t="s">
        <v>11257</v>
      </c>
      <c r="P2987" s="790" t="s">
        <v>10244</v>
      </c>
      <c r="Q2987" s="791" t="s">
        <v>773</v>
      </c>
    </row>
    <row r="2988" spans="2:18">
      <c r="B2988" s="38" t="s">
        <v>12417</v>
      </c>
      <c r="C2988" s="754">
        <v>701</v>
      </c>
      <c r="D2988" s="803">
        <f>Page8!H14</f>
        <v>0</v>
      </c>
      <c r="E2988" s="803">
        <f>Page8!J14</f>
        <v>0</v>
      </c>
      <c r="F2988" t="str">
        <f t="shared" si="201"/>
        <v>03-00-701-COS-CURR</v>
      </c>
      <c r="G2988" t="s">
        <v>127</v>
      </c>
      <c r="H2988" t="s">
        <v>10287</v>
      </c>
      <c r="I2988" t="s">
        <v>10253</v>
      </c>
      <c r="K2988" s="1073" t="s">
        <v>10981</v>
      </c>
      <c r="L2988" s="789" t="s">
        <v>10241</v>
      </c>
      <c r="M2988" s="790">
        <v>701</v>
      </c>
      <c r="O2988" s="790" t="s">
        <v>9915</v>
      </c>
      <c r="P2988" s="790" t="s">
        <v>10244</v>
      </c>
      <c r="Q2988" s="791" t="s">
        <v>773</v>
      </c>
    </row>
    <row r="2989" spans="2:18">
      <c r="B2989" s="39" t="s">
        <v>12418</v>
      </c>
      <c r="C2989" s="754">
        <v>702</v>
      </c>
      <c r="D2989" s="803">
        <f>Page8!H15</f>
        <v>0</v>
      </c>
      <c r="E2989" s="803">
        <f>Page8!J15</f>
        <v>0</v>
      </c>
      <c r="F2989" t="str">
        <f t="shared" si="201"/>
        <v>03-00-702-COS-CURR</v>
      </c>
      <c r="G2989" t="s">
        <v>127</v>
      </c>
      <c r="H2989" t="s">
        <v>10287</v>
      </c>
      <c r="I2989" t="s">
        <v>10253</v>
      </c>
      <c r="K2989" s="1073" t="s">
        <v>10981</v>
      </c>
      <c r="L2989" s="789" t="s">
        <v>10241</v>
      </c>
      <c r="M2989" s="790">
        <v>702</v>
      </c>
      <c r="O2989" s="790" t="s">
        <v>9915</v>
      </c>
      <c r="P2989" s="790" t="s">
        <v>10244</v>
      </c>
      <c r="Q2989" s="791" t="s">
        <v>773</v>
      </c>
    </row>
    <row r="2990" spans="2:18">
      <c r="B2990" s="38" t="s">
        <v>12419</v>
      </c>
      <c r="C2990" s="754">
        <v>703</v>
      </c>
      <c r="D2990" s="803">
        <f>Page8!H16</f>
        <v>0</v>
      </c>
      <c r="E2990" s="803">
        <f>Page8!J16</f>
        <v>0</v>
      </c>
      <c r="F2990" t="str">
        <f t="shared" si="201"/>
        <v>03-00-703-COS-CURR</v>
      </c>
      <c r="G2990" t="s">
        <v>127</v>
      </c>
      <c r="H2990" t="s">
        <v>10287</v>
      </c>
      <c r="I2990" t="s">
        <v>10253</v>
      </c>
      <c r="K2990" s="1073" t="s">
        <v>10981</v>
      </c>
      <c r="L2990" s="789" t="s">
        <v>10241</v>
      </c>
      <c r="M2990" s="790">
        <v>703</v>
      </c>
      <c r="O2990" s="790" t="s">
        <v>9915</v>
      </c>
      <c r="P2990" s="790" t="s">
        <v>10244</v>
      </c>
      <c r="Q2990" s="791" t="s">
        <v>773</v>
      </c>
    </row>
    <row r="2991" spans="2:18">
      <c r="B2991" s="38" t="s">
        <v>12420</v>
      </c>
      <c r="C2991" s="754">
        <v>704</v>
      </c>
      <c r="D2991" s="803">
        <f>Page8!H17</f>
        <v>0</v>
      </c>
      <c r="E2991" s="803">
        <f>Page8!J17</f>
        <v>0</v>
      </c>
      <c r="F2991" t="str">
        <f t="shared" si="201"/>
        <v>03-00-704-COS-CURR</v>
      </c>
      <c r="G2991" t="s">
        <v>127</v>
      </c>
      <c r="H2991" t="s">
        <v>10287</v>
      </c>
      <c r="I2991" t="s">
        <v>10253</v>
      </c>
      <c r="K2991" s="1073" t="s">
        <v>10981</v>
      </c>
      <c r="L2991" s="789" t="s">
        <v>10241</v>
      </c>
      <c r="M2991" s="790">
        <v>704</v>
      </c>
      <c r="O2991" s="790" t="s">
        <v>9915</v>
      </c>
      <c r="P2991" s="790" t="s">
        <v>10244</v>
      </c>
      <c r="Q2991" s="791" t="s">
        <v>773</v>
      </c>
    </row>
    <row r="2992" spans="2:18">
      <c r="B2992" s="38" t="s">
        <v>12421</v>
      </c>
      <c r="C2992" s="754">
        <v>705</v>
      </c>
      <c r="D2992" s="803">
        <f>Page8!H18</f>
        <v>0</v>
      </c>
      <c r="E2992" s="803">
        <f>Page8!J18</f>
        <v>0</v>
      </c>
      <c r="F2992" t="str">
        <f t="shared" si="201"/>
        <v>03-00-705-COS-CURR</v>
      </c>
      <c r="G2992" t="s">
        <v>127</v>
      </c>
      <c r="H2992" t="s">
        <v>10287</v>
      </c>
      <c r="I2992" t="s">
        <v>10253</v>
      </c>
      <c r="K2992" s="1073" t="s">
        <v>10981</v>
      </c>
      <c r="L2992" s="789" t="s">
        <v>10241</v>
      </c>
      <c r="M2992" s="790">
        <v>705</v>
      </c>
      <c r="O2992" s="790" t="s">
        <v>9915</v>
      </c>
      <c r="P2992" s="790" t="s">
        <v>10244</v>
      </c>
      <c r="Q2992" s="791" t="s">
        <v>773</v>
      </c>
    </row>
    <row r="2993" spans="2:18">
      <c r="B2993" s="38" t="s">
        <v>12422</v>
      </c>
      <c r="C2993" s="754">
        <v>706</v>
      </c>
      <c r="D2993" s="803">
        <f>Page8!H19</f>
        <v>0</v>
      </c>
      <c r="E2993" s="803">
        <f>Page8!J19</f>
        <v>0</v>
      </c>
      <c r="F2993" t="str">
        <f t="shared" si="201"/>
        <v>03-00-706-COS-CURR</v>
      </c>
      <c r="G2993" t="s">
        <v>127</v>
      </c>
      <c r="H2993" t="s">
        <v>10287</v>
      </c>
      <c r="I2993" t="s">
        <v>10253</v>
      </c>
      <c r="K2993" s="1073" t="s">
        <v>10981</v>
      </c>
      <c r="L2993" s="789" t="s">
        <v>10241</v>
      </c>
      <c r="M2993" s="790">
        <v>706</v>
      </c>
      <c r="O2993" s="790" t="s">
        <v>9915</v>
      </c>
      <c r="P2993" s="790" t="s">
        <v>10244</v>
      </c>
      <c r="Q2993" s="791" t="s">
        <v>773</v>
      </c>
    </row>
    <row r="2994" spans="2:18">
      <c r="B2994" s="39" t="s">
        <v>12423</v>
      </c>
      <c r="C2994" s="754">
        <v>707</v>
      </c>
      <c r="D2994" s="803">
        <f>Page8!H20</f>
        <v>0</v>
      </c>
      <c r="E2994" s="803">
        <f>Page8!J20</f>
        <v>0</v>
      </c>
      <c r="F2994" t="str">
        <f t="shared" si="201"/>
        <v>03-00-707-COS-CURR</v>
      </c>
      <c r="G2994" t="s">
        <v>127</v>
      </c>
      <c r="H2994" t="s">
        <v>10287</v>
      </c>
      <c r="I2994" t="s">
        <v>10253</v>
      </c>
      <c r="K2994" s="1073" t="s">
        <v>10981</v>
      </c>
      <c r="L2994" s="789" t="s">
        <v>10241</v>
      </c>
      <c r="M2994" s="790">
        <v>707</v>
      </c>
      <c r="O2994" s="790" t="s">
        <v>9915</v>
      </c>
      <c r="P2994" s="790" t="s">
        <v>10244</v>
      </c>
      <c r="Q2994" s="791" t="s">
        <v>773</v>
      </c>
    </row>
    <row r="2995" spans="2:18">
      <c r="B2995" s="39" t="s">
        <v>12424</v>
      </c>
      <c r="C2995" s="754">
        <v>708</v>
      </c>
      <c r="D2995" s="803">
        <f>Page8!H21</f>
        <v>0</v>
      </c>
      <c r="E2995" s="803">
        <f>Page8!J21</f>
        <v>0</v>
      </c>
      <c r="F2995" t="str">
        <f t="shared" si="201"/>
        <v>03-00-708-COS-CURR</v>
      </c>
      <c r="G2995" t="s">
        <v>127</v>
      </c>
      <c r="H2995" t="s">
        <v>10287</v>
      </c>
      <c r="I2995" t="s">
        <v>10253</v>
      </c>
      <c r="K2995" s="1073" t="s">
        <v>10981</v>
      </c>
      <c r="L2995" s="789" t="s">
        <v>10241</v>
      </c>
      <c r="M2995" s="790">
        <v>708</v>
      </c>
      <c r="O2995" s="790" t="s">
        <v>9915</v>
      </c>
      <c r="P2995" s="790" t="s">
        <v>10244</v>
      </c>
      <c r="Q2995" s="791" t="s">
        <v>773</v>
      </c>
    </row>
    <row r="2996" spans="2:18">
      <c r="B2996" s="810" t="s">
        <v>12425</v>
      </c>
      <c r="C2996" s="1042"/>
      <c r="D2996" s="803">
        <f>Page8!H22</f>
        <v>0</v>
      </c>
      <c r="E2996" s="803">
        <f>Page8!J22</f>
        <v>0</v>
      </c>
      <c r="F2996" t="str">
        <f t="shared" si="201"/>
        <v>03-00-TOTAL-COS-CURR</v>
      </c>
      <c r="G2996" t="s">
        <v>127</v>
      </c>
      <c r="H2996" t="s">
        <v>10287</v>
      </c>
      <c r="I2996" t="s">
        <v>10253</v>
      </c>
      <c r="J2996" t="s">
        <v>10268</v>
      </c>
      <c r="K2996" s="1073" t="s">
        <v>10981</v>
      </c>
      <c r="L2996" s="789" t="s">
        <v>10241</v>
      </c>
      <c r="M2996" s="790" t="s">
        <v>834</v>
      </c>
      <c r="O2996" s="790" t="s">
        <v>9915</v>
      </c>
      <c r="P2996" s="790" t="s">
        <v>10244</v>
      </c>
      <c r="Q2996" s="791" t="s">
        <v>773</v>
      </c>
    </row>
    <row r="2997" spans="2:18">
      <c r="B2997" s="818" t="s">
        <v>12426</v>
      </c>
      <c r="C2997" s="1042"/>
      <c r="D2997" s="803">
        <f>Page8!H23</f>
        <v>0</v>
      </c>
      <c r="E2997" s="803">
        <f>Page8!J23</f>
        <v>0</v>
      </c>
      <c r="F2997" t="str">
        <f t="shared" si="201"/>
        <v>03-00-GPACTOTL-GRSPFT-CURR</v>
      </c>
      <c r="G2997" t="s">
        <v>127</v>
      </c>
      <c r="H2997" t="s">
        <v>10287</v>
      </c>
      <c r="I2997" t="s">
        <v>10253</v>
      </c>
      <c r="J2997" t="s">
        <v>10268</v>
      </c>
      <c r="K2997" s="1073" t="s">
        <v>10981</v>
      </c>
      <c r="L2997" s="789" t="s">
        <v>10241</v>
      </c>
      <c r="M2997" s="790" t="s">
        <v>12427</v>
      </c>
      <c r="O2997" s="790" t="s">
        <v>10467</v>
      </c>
      <c r="P2997" s="790" t="s">
        <v>10244</v>
      </c>
      <c r="Q2997" s="791" t="s">
        <v>773</v>
      </c>
    </row>
    <row r="2998" spans="2:18">
      <c r="B2998" s="42" t="s">
        <v>12428</v>
      </c>
      <c r="C2998" s="754" t="s">
        <v>12429</v>
      </c>
      <c r="D2998" s="803">
        <f>Page8!$H$26</f>
        <v>0</v>
      </c>
      <c r="E2998" s="803">
        <f>Page8!$J$26</f>
        <v>0</v>
      </c>
      <c r="F2998" t="str">
        <f t="shared" si="201"/>
        <v>03-00-500GL-AMT-CURR</v>
      </c>
      <c r="G2998" t="s">
        <v>127</v>
      </c>
      <c r="H2998" t="s">
        <v>10287</v>
      </c>
      <c r="I2998" t="s">
        <v>10253</v>
      </c>
      <c r="K2998" s="1073" t="s">
        <v>10981</v>
      </c>
      <c r="L2998" s="789" t="s">
        <v>10241</v>
      </c>
      <c r="M2998" s="790" t="s">
        <v>12430</v>
      </c>
      <c r="O2998" s="790" t="s">
        <v>10263</v>
      </c>
      <c r="P2998" s="790" t="s">
        <v>10244</v>
      </c>
      <c r="Q2998" s="791" t="s">
        <v>773</v>
      </c>
    </row>
    <row r="2999" spans="2:18">
      <c r="B2999" s="809" t="s">
        <v>12431</v>
      </c>
      <c r="C2999" s="1042"/>
      <c r="D2999" s="803">
        <f>Page8!$H$27</f>
        <v>0</v>
      </c>
      <c r="E2999" s="803">
        <f>Page8!$J$27</f>
        <v>0</v>
      </c>
      <c r="F2999" t="str">
        <f t="shared" si="201"/>
        <v>03-00-GPINTOTL-GRSPFT-CURR</v>
      </c>
      <c r="G2999" t="s">
        <v>127</v>
      </c>
      <c r="H2999" t="s">
        <v>10287</v>
      </c>
      <c r="I2999" t="s">
        <v>10253</v>
      </c>
      <c r="J2999" t="s">
        <v>10268</v>
      </c>
      <c r="K2999" s="1073" t="s">
        <v>10981</v>
      </c>
      <c r="L2999" s="789" t="s">
        <v>10241</v>
      </c>
      <c r="M2999" s="790" t="s">
        <v>11843</v>
      </c>
      <c r="O2999" s="790" t="s">
        <v>10467</v>
      </c>
      <c r="P2999" s="790" t="s">
        <v>10244</v>
      </c>
      <c r="Q2999" s="791" t="s">
        <v>773</v>
      </c>
    </row>
    <row r="3000" spans="2:18">
      <c r="B3000" s="38" t="s">
        <v>12432</v>
      </c>
      <c r="C3000" s="475">
        <v>511</v>
      </c>
      <c r="D3000" s="803">
        <f>Page8!M5</f>
        <v>0</v>
      </c>
      <c r="E3000" s="803">
        <f>Page8!N5</f>
        <v>0</v>
      </c>
      <c r="F3000" t="str">
        <f t="shared" si="201"/>
        <v>03-00-511CLSD-GRSINC-CURR</v>
      </c>
      <c r="G3000" t="s">
        <v>127</v>
      </c>
      <c r="H3000" t="s">
        <v>10287</v>
      </c>
      <c r="I3000" t="s">
        <v>10253</v>
      </c>
      <c r="K3000" s="1073" t="s">
        <v>10981</v>
      </c>
      <c r="L3000" s="789" t="s">
        <v>10241</v>
      </c>
      <c r="M3000" s="790" t="s">
        <v>12433</v>
      </c>
      <c r="O3000" s="790" t="s">
        <v>11257</v>
      </c>
      <c r="P3000" s="790" t="s">
        <v>10244</v>
      </c>
      <c r="R3000" s="30"/>
    </row>
    <row r="3001" spans="2:18">
      <c r="B3001" s="39" t="s">
        <v>12434</v>
      </c>
      <c r="C3001" s="475">
        <v>512</v>
      </c>
      <c r="D3001" s="803">
        <f>Page8!M6</f>
        <v>0</v>
      </c>
      <c r="E3001" s="803">
        <f>Page8!N6</f>
        <v>0</v>
      </c>
      <c r="F3001" t="str">
        <f t="shared" si="201"/>
        <v>03-00-512CLSD-GRSINC-CURR</v>
      </c>
      <c r="G3001" t="s">
        <v>127</v>
      </c>
      <c r="H3001" t="s">
        <v>10287</v>
      </c>
      <c r="I3001" t="s">
        <v>10253</v>
      </c>
      <c r="K3001" s="1073" t="s">
        <v>10981</v>
      </c>
      <c r="L3001" s="789" t="s">
        <v>10241</v>
      </c>
      <c r="M3001" s="790" t="s">
        <v>12435</v>
      </c>
      <c r="O3001" s="790" t="s">
        <v>11257</v>
      </c>
      <c r="P3001" s="790" t="s">
        <v>10244</v>
      </c>
      <c r="R3001" s="30"/>
    </row>
    <row r="3002" spans="2:18">
      <c r="B3002" s="38" t="s">
        <v>12436</v>
      </c>
      <c r="C3002" s="475">
        <v>513</v>
      </c>
      <c r="D3002" s="803">
        <f>Page8!M7</f>
        <v>0</v>
      </c>
      <c r="E3002" s="803">
        <f>Page8!N7</f>
        <v>0</v>
      </c>
      <c r="F3002" t="str">
        <f t="shared" si="201"/>
        <v>03-00-513CLSD-GRSINC-CURR</v>
      </c>
      <c r="G3002" t="s">
        <v>127</v>
      </c>
      <c r="H3002" t="s">
        <v>10287</v>
      </c>
      <c r="I3002" t="s">
        <v>10253</v>
      </c>
      <c r="K3002" s="1073" t="s">
        <v>10981</v>
      </c>
      <c r="L3002" s="789" t="s">
        <v>10241</v>
      </c>
      <c r="M3002" s="790" t="s">
        <v>12437</v>
      </c>
      <c r="O3002" s="790" t="s">
        <v>11257</v>
      </c>
      <c r="P3002" s="790" t="s">
        <v>10244</v>
      </c>
      <c r="R3002" s="30"/>
    </row>
    <row r="3003" spans="2:18">
      <c r="B3003" s="38" t="s">
        <v>12438</v>
      </c>
      <c r="C3003" s="475">
        <v>514</v>
      </c>
      <c r="D3003" s="803">
        <f>Page8!M8</f>
        <v>0</v>
      </c>
      <c r="E3003" s="803">
        <f>Page8!N8</f>
        <v>0</v>
      </c>
      <c r="F3003" t="str">
        <f t="shared" si="201"/>
        <v>03-00-514CLSD-GRSINC-CURR</v>
      </c>
      <c r="G3003" t="s">
        <v>127</v>
      </c>
      <c r="H3003" t="s">
        <v>10287</v>
      </c>
      <c r="I3003" t="s">
        <v>10253</v>
      </c>
      <c r="K3003" s="1073" t="s">
        <v>10981</v>
      </c>
      <c r="L3003" s="789" t="s">
        <v>10241</v>
      </c>
      <c r="M3003" s="790" t="s">
        <v>12439</v>
      </c>
      <c r="O3003" s="790" t="s">
        <v>11257</v>
      </c>
      <c r="P3003" s="790" t="s">
        <v>10244</v>
      </c>
      <c r="R3003" s="30"/>
    </row>
    <row r="3004" spans="2:18">
      <c r="B3004" s="38" t="s">
        <v>12440</v>
      </c>
      <c r="C3004" s="475">
        <v>516</v>
      </c>
      <c r="D3004" s="803">
        <f>Page8!M10</f>
        <v>0</v>
      </c>
      <c r="E3004" s="803">
        <f>Page8!N10</f>
        <v>0</v>
      </c>
      <c r="F3004" t="str">
        <f t="shared" si="201"/>
        <v>03-00-516CLSD-GRSINC-CURR</v>
      </c>
      <c r="G3004" t="s">
        <v>127</v>
      </c>
      <c r="H3004" t="s">
        <v>10287</v>
      </c>
      <c r="I3004" t="s">
        <v>10253</v>
      </c>
      <c r="K3004" s="1073" t="s">
        <v>10981</v>
      </c>
      <c r="L3004" s="789" t="s">
        <v>10241</v>
      </c>
      <c r="M3004" s="790" t="s">
        <v>12441</v>
      </c>
      <c r="O3004" s="790" t="s">
        <v>11257</v>
      </c>
      <c r="P3004" s="790" t="s">
        <v>10244</v>
      </c>
      <c r="R3004" s="30"/>
    </row>
    <row r="3005" spans="2:18">
      <c r="B3005" s="38" t="s">
        <v>12442</v>
      </c>
      <c r="C3005" s="475">
        <v>517</v>
      </c>
      <c r="D3005" s="803">
        <f>Page8!M11</f>
        <v>0</v>
      </c>
      <c r="E3005" s="803">
        <f>Page8!N11</f>
        <v>0</v>
      </c>
      <c r="F3005" t="str">
        <f t="shared" si="201"/>
        <v>03-00-517CLSD-GRSINC-CURR</v>
      </c>
      <c r="G3005" t="s">
        <v>127</v>
      </c>
      <c r="H3005" t="s">
        <v>10287</v>
      </c>
      <c r="I3005" t="s">
        <v>10253</v>
      </c>
      <c r="K3005" s="1073" t="s">
        <v>10981</v>
      </c>
      <c r="L3005" s="789" t="s">
        <v>10241</v>
      </c>
      <c r="M3005" s="790" t="s">
        <v>12443</v>
      </c>
      <c r="O3005" s="790" t="s">
        <v>11257</v>
      </c>
      <c r="P3005" s="790" t="s">
        <v>10244</v>
      </c>
      <c r="R3005" s="30"/>
    </row>
    <row r="3006" spans="2:18">
      <c r="B3006" s="809" t="s">
        <v>12444</v>
      </c>
      <c r="C3006" s="1042"/>
      <c r="D3006" s="803">
        <f>Page8!M12</f>
        <v>0</v>
      </c>
      <c r="E3006" s="803">
        <f>Page8!N12</f>
        <v>0</v>
      </c>
      <c r="F3006" t="str">
        <f t="shared" si="201"/>
        <v>03-00-INCMCLSD-GRSINC-CURR</v>
      </c>
      <c r="G3006" t="s">
        <v>127</v>
      </c>
      <c r="H3006" t="s">
        <v>10287</v>
      </c>
      <c r="I3006" t="s">
        <v>10253</v>
      </c>
      <c r="J3006" t="s">
        <v>10268</v>
      </c>
      <c r="K3006" s="1073" t="s">
        <v>10981</v>
      </c>
      <c r="L3006" s="789" t="s">
        <v>10241</v>
      </c>
      <c r="M3006" s="790" t="s">
        <v>12445</v>
      </c>
      <c r="O3006" s="790" t="s">
        <v>11257</v>
      </c>
      <c r="P3006" s="790" t="s">
        <v>10244</v>
      </c>
      <c r="Q3006" s="791" t="s">
        <v>773</v>
      </c>
    </row>
    <row r="3007" spans="2:18">
      <c r="B3007" s="38" t="s">
        <v>12446</v>
      </c>
      <c r="C3007" s="475">
        <v>711</v>
      </c>
      <c r="D3007" s="803">
        <f>Page8!M14</f>
        <v>0</v>
      </c>
      <c r="E3007" s="803">
        <f>Page8!N14</f>
        <v>0</v>
      </c>
      <c r="F3007" t="str">
        <f t="shared" si="201"/>
        <v>03-00-711CLSD-COS-CURR</v>
      </c>
      <c r="G3007" t="s">
        <v>127</v>
      </c>
      <c r="H3007" t="s">
        <v>10287</v>
      </c>
      <c r="I3007" t="s">
        <v>10253</v>
      </c>
      <c r="K3007" s="1073" t="s">
        <v>10981</v>
      </c>
      <c r="L3007" s="789" t="s">
        <v>10241</v>
      </c>
      <c r="M3007" s="790" t="s">
        <v>12447</v>
      </c>
      <c r="O3007" s="790" t="s">
        <v>9915</v>
      </c>
      <c r="P3007" s="790" t="s">
        <v>10244</v>
      </c>
      <c r="R3007" s="30"/>
    </row>
    <row r="3008" spans="2:18">
      <c r="B3008" s="39" t="s">
        <v>12448</v>
      </c>
      <c r="C3008" s="475">
        <v>712</v>
      </c>
      <c r="D3008" s="803">
        <f>Page8!M15</f>
        <v>0</v>
      </c>
      <c r="E3008" s="803">
        <f>Page8!N15</f>
        <v>0</v>
      </c>
      <c r="F3008" t="str">
        <f t="shared" si="201"/>
        <v>03-00-712CLSD-COS-CURR</v>
      </c>
      <c r="G3008" t="s">
        <v>127</v>
      </c>
      <c r="H3008" t="s">
        <v>10287</v>
      </c>
      <c r="I3008" t="s">
        <v>10253</v>
      </c>
      <c r="K3008" s="1073" t="s">
        <v>10981</v>
      </c>
      <c r="L3008" s="789" t="s">
        <v>10241</v>
      </c>
      <c r="M3008" s="790" t="s">
        <v>12449</v>
      </c>
      <c r="O3008" s="790" t="s">
        <v>9915</v>
      </c>
      <c r="P3008" s="790" t="s">
        <v>10244</v>
      </c>
      <c r="R3008" s="30"/>
    </row>
    <row r="3009" spans="2:18">
      <c r="B3009" s="38" t="s">
        <v>12450</v>
      </c>
      <c r="C3009" s="475">
        <v>713</v>
      </c>
      <c r="D3009" s="803">
        <f>Page8!M16</f>
        <v>0</v>
      </c>
      <c r="E3009" s="803">
        <f>Page8!N16</f>
        <v>0</v>
      </c>
      <c r="F3009" t="str">
        <f t="shared" si="201"/>
        <v>03-00-713CLSD-COS-CURR</v>
      </c>
      <c r="G3009" t="s">
        <v>127</v>
      </c>
      <c r="H3009" t="s">
        <v>10287</v>
      </c>
      <c r="I3009" t="s">
        <v>10253</v>
      </c>
      <c r="K3009" s="1073" t="s">
        <v>10981</v>
      </c>
      <c r="L3009" s="789" t="s">
        <v>10241</v>
      </c>
      <c r="M3009" s="790" t="s">
        <v>12451</v>
      </c>
      <c r="O3009" s="790" t="s">
        <v>9915</v>
      </c>
      <c r="P3009" s="790" t="s">
        <v>10244</v>
      </c>
      <c r="R3009" s="30"/>
    </row>
    <row r="3010" spans="2:18">
      <c r="B3010" s="38" t="s">
        <v>12452</v>
      </c>
      <c r="C3010" s="475">
        <v>714</v>
      </c>
      <c r="D3010" s="803">
        <f>Page8!M17</f>
        <v>0</v>
      </c>
      <c r="E3010" s="803">
        <f>Page8!N17</f>
        <v>0</v>
      </c>
      <c r="F3010" t="str">
        <f t="shared" si="201"/>
        <v>03-00-714CLSD-COS-CURR</v>
      </c>
      <c r="G3010" t="s">
        <v>127</v>
      </c>
      <c r="H3010" t="s">
        <v>10287</v>
      </c>
      <c r="I3010" t="s">
        <v>10253</v>
      </c>
      <c r="K3010" s="1073" t="s">
        <v>10981</v>
      </c>
      <c r="L3010" s="789" t="s">
        <v>10241</v>
      </c>
      <c r="M3010" s="790" t="s">
        <v>12453</v>
      </c>
      <c r="O3010" s="790" t="s">
        <v>9915</v>
      </c>
      <c r="P3010" s="790" t="s">
        <v>10244</v>
      </c>
      <c r="R3010" s="30"/>
    </row>
    <row r="3011" spans="2:18">
      <c r="B3011" s="38" t="s">
        <v>12454</v>
      </c>
      <c r="C3011" s="475">
        <v>715</v>
      </c>
      <c r="D3011" s="803">
        <f>Page8!M18</f>
        <v>0</v>
      </c>
      <c r="E3011" s="803">
        <f>Page8!N18</f>
        <v>0</v>
      </c>
      <c r="F3011" t="str">
        <f t="shared" si="201"/>
        <v>03-00-715CLSD-COS-CURR</v>
      </c>
      <c r="G3011" t="s">
        <v>127</v>
      </c>
      <c r="H3011" t="s">
        <v>10287</v>
      </c>
      <c r="I3011" t="s">
        <v>10253</v>
      </c>
      <c r="K3011" s="1073" t="s">
        <v>10981</v>
      </c>
      <c r="L3011" s="789" t="s">
        <v>10241</v>
      </c>
      <c r="M3011" s="790" t="s">
        <v>12455</v>
      </c>
      <c r="O3011" s="790" t="s">
        <v>9915</v>
      </c>
      <c r="P3011" s="790" t="s">
        <v>10244</v>
      </c>
      <c r="R3011" s="30"/>
    </row>
    <row r="3012" spans="2:18">
      <c r="B3012" s="38" t="s">
        <v>12456</v>
      </c>
      <c r="C3012" s="475">
        <v>716</v>
      </c>
      <c r="D3012" s="803">
        <f>Page8!M19</f>
        <v>0</v>
      </c>
      <c r="E3012" s="803">
        <f>Page8!N19</f>
        <v>0</v>
      </c>
      <c r="F3012" t="str">
        <f t="shared" si="201"/>
        <v>03-00-716CLSD-COS-CURR</v>
      </c>
      <c r="G3012" t="s">
        <v>127</v>
      </c>
      <c r="H3012" t="s">
        <v>10287</v>
      </c>
      <c r="I3012" t="s">
        <v>10253</v>
      </c>
      <c r="K3012" s="1073" t="s">
        <v>10981</v>
      </c>
      <c r="L3012" s="789" t="s">
        <v>10241</v>
      </c>
      <c r="M3012" s="790" t="s">
        <v>12457</v>
      </c>
      <c r="O3012" s="790" t="s">
        <v>9915</v>
      </c>
      <c r="P3012" s="790" t="s">
        <v>10244</v>
      </c>
      <c r="R3012" s="30"/>
    </row>
    <row r="3013" spans="2:18">
      <c r="B3013" s="39" t="s">
        <v>12458</v>
      </c>
      <c r="C3013" s="475">
        <v>717</v>
      </c>
      <c r="D3013" s="803">
        <f>Page8!M20</f>
        <v>0</v>
      </c>
      <c r="E3013" s="803">
        <f>Page8!N20</f>
        <v>0</v>
      </c>
      <c r="F3013" t="str">
        <f t="shared" si="201"/>
        <v>03-00-717CLSD-COS-CURR</v>
      </c>
      <c r="G3013" t="s">
        <v>127</v>
      </c>
      <c r="H3013" t="s">
        <v>10287</v>
      </c>
      <c r="I3013" t="s">
        <v>10253</v>
      </c>
      <c r="K3013" s="1073" t="s">
        <v>10981</v>
      </c>
      <c r="L3013" s="789" t="s">
        <v>10241</v>
      </c>
      <c r="M3013" s="790" t="s">
        <v>12459</v>
      </c>
      <c r="O3013" s="790" t="s">
        <v>9915</v>
      </c>
      <c r="P3013" s="790" t="s">
        <v>10244</v>
      </c>
      <c r="R3013" s="30"/>
    </row>
    <row r="3014" spans="2:18">
      <c r="B3014" s="39" t="s">
        <v>12460</v>
      </c>
      <c r="C3014" s="475">
        <v>718</v>
      </c>
      <c r="D3014" s="803">
        <f>Page8!M21</f>
        <v>0</v>
      </c>
      <c r="E3014" s="803">
        <f>Page8!N21</f>
        <v>0</v>
      </c>
      <c r="F3014" t="str">
        <f t="shared" si="201"/>
        <v>03-00-718CLSD-COS-CURR</v>
      </c>
      <c r="G3014" t="s">
        <v>127</v>
      </c>
      <c r="H3014" t="s">
        <v>10287</v>
      </c>
      <c r="I3014" t="s">
        <v>10253</v>
      </c>
      <c r="K3014" s="1073" t="s">
        <v>10981</v>
      </c>
      <c r="L3014" s="789" t="s">
        <v>10241</v>
      </c>
      <c r="M3014" s="790" t="s">
        <v>12461</v>
      </c>
      <c r="O3014" s="790" t="s">
        <v>9915</v>
      </c>
      <c r="P3014" s="790" t="s">
        <v>10244</v>
      </c>
      <c r="R3014" s="30"/>
    </row>
    <row r="3015" spans="2:18" ht="13">
      <c r="B3015" s="810" t="s">
        <v>12462</v>
      </c>
      <c r="C3015" s="1042"/>
      <c r="D3015" s="803">
        <f>Page8!M22</f>
        <v>0</v>
      </c>
      <c r="E3015" s="803">
        <f>Page8!N22</f>
        <v>0</v>
      </c>
      <c r="F3015" t="str">
        <f t="shared" si="201"/>
        <v>03-00-TOTCLSD-COS-CURR</v>
      </c>
      <c r="G3015" t="s">
        <v>127</v>
      </c>
      <c r="H3015" t="s">
        <v>10287</v>
      </c>
      <c r="I3015" t="s">
        <v>10253</v>
      </c>
      <c r="J3015" t="s">
        <v>10268</v>
      </c>
      <c r="K3015" s="1073" t="s">
        <v>10981</v>
      </c>
      <c r="L3015" s="789" t="s">
        <v>10241</v>
      </c>
      <c r="M3015" s="807" t="s">
        <v>12463</v>
      </c>
      <c r="O3015" s="790" t="s">
        <v>9915</v>
      </c>
      <c r="P3015" s="790" t="s">
        <v>10244</v>
      </c>
      <c r="Q3015" s="791" t="s">
        <v>773</v>
      </c>
    </row>
    <row r="3016" spans="2:18">
      <c r="B3016" s="818" t="s">
        <v>12464</v>
      </c>
      <c r="C3016" s="1042"/>
      <c r="D3016" s="803">
        <f>Page8!M23</f>
        <v>0</v>
      </c>
      <c r="E3016" s="803">
        <f>Page8!N23</f>
        <v>0</v>
      </c>
      <c r="F3016" t="str">
        <f t="shared" si="201"/>
        <v>03-00-GPACCLSD-GRSPFT-CURR</v>
      </c>
      <c r="G3016" t="s">
        <v>127</v>
      </c>
      <c r="H3016" t="s">
        <v>10287</v>
      </c>
      <c r="I3016" t="s">
        <v>10253</v>
      </c>
      <c r="J3016" t="s">
        <v>10268</v>
      </c>
      <c r="K3016" s="1073" t="s">
        <v>10981</v>
      </c>
      <c r="L3016" s="789" t="s">
        <v>10241</v>
      </c>
      <c r="M3016" s="790" t="s">
        <v>12465</v>
      </c>
      <c r="O3016" s="790" t="s">
        <v>10467</v>
      </c>
      <c r="P3016" s="790" t="s">
        <v>10244</v>
      </c>
      <c r="Q3016" s="791" t="s">
        <v>773</v>
      </c>
    </row>
    <row r="3017" spans="2:18">
      <c r="B3017" s="42" t="s">
        <v>12466</v>
      </c>
      <c r="C3017" s="475" t="s">
        <v>12467</v>
      </c>
      <c r="D3017" s="803">
        <f>Page8!M26</f>
        <v>0</v>
      </c>
      <c r="E3017" s="803">
        <f>Page8!N26</f>
        <v>0</v>
      </c>
      <c r="F3017" t="str">
        <f t="shared" si="201"/>
        <v>03-00-510GL-AMT-CURR</v>
      </c>
      <c r="G3017" t="s">
        <v>127</v>
      </c>
      <c r="H3017" t="s">
        <v>10287</v>
      </c>
      <c r="I3017" t="s">
        <v>10253</v>
      </c>
      <c r="K3017" s="1073" t="s">
        <v>10981</v>
      </c>
      <c r="L3017" s="789" t="s">
        <v>10241</v>
      </c>
      <c r="M3017" s="790" t="s">
        <v>9751</v>
      </c>
      <c r="O3017" s="790" t="s">
        <v>10263</v>
      </c>
      <c r="P3017" s="790" t="s">
        <v>10244</v>
      </c>
      <c r="R3017" s="30"/>
    </row>
    <row r="3018" spans="2:18">
      <c r="B3018" s="809" t="s">
        <v>12468</v>
      </c>
      <c r="C3018" s="1042"/>
      <c r="D3018" s="803">
        <f>Page8!M27</f>
        <v>0</v>
      </c>
      <c r="E3018" s="803">
        <f>Page8!N27</f>
        <v>0</v>
      </c>
      <c r="F3018" t="str">
        <f t="shared" si="201"/>
        <v>03-00-GPINCLSD-GRSPFT-CURR</v>
      </c>
      <c r="G3018" t="s">
        <v>127</v>
      </c>
      <c r="H3018" t="s">
        <v>10287</v>
      </c>
      <c r="I3018" t="s">
        <v>10253</v>
      </c>
      <c r="J3018" t="s">
        <v>10268</v>
      </c>
      <c r="K3018" s="1073" t="s">
        <v>10981</v>
      </c>
      <c r="L3018" s="789" t="s">
        <v>10241</v>
      </c>
      <c r="M3018" s="790" t="s">
        <v>12469</v>
      </c>
      <c r="O3018" s="790" t="s">
        <v>10467</v>
      </c>
      <c r="P3018" s="790" t="s">
        <v>10244</v>
      </c>
      <c r="Q3018" s="791" t="s">
        <v>773</v>
      </c>
    </row>
    <row r="3019" spans="2:18">
      <c r="B3019" s="38" t="s">
        <v>12470</v>
      </c>
      <c r="C3019" s="475">
        <v>521</v>
      </c>
      <c r="D3019" s="803">
        <f>Page8!O5</f>
        <v>0</v>
      </c>
      <c r="E3019" s="803">
        <f>Page8!P5</f>
        <v>0</v>
      </c>
      <c r="F3019" t="str">
        <f t="shared" si="201"/>
        <v>03-00-521OPEN-GRSINC-CURR</v>
      </c>
      <c r="G3019" t="s">
        <v>127</v>
      </c>
      <c r="H3019" t="s">
        <v>10287</v>
      </c>
      <c r="I3019" t="s">
        <v>10253</v>
      </c>
      <c r="K3019" s="1073" t="s">
        <v>10981</v>
      </c>
      <c r="L3019" s="789" t="s">
        <v>10241</v>
      </c>
      <c r="M3019" s="790" t="s">
        <v>12471</v>
      </c>
      <c r="O3019" s="790" t="s">
        <v>11257</v>
      </c>
      <c r="P3019" s="790" t="s">
        <v>10244</v>
      </c>
      <c r="R3019" s="30"/>
    </row>
    <row r="3020" spans="2:18">
      <c r="B3020" s="39" t="s">
        <v>12472</v>
      </c>
      <c r="C3020" s="475">
        <v>522</v>
      </c>
      <c r="D3020" s="803">
        <f>Page8!O6</f>
        <v>0</v>
      </c>
      <c r="E3020" s="803">
        <f>Page8!P6</f>
        <v>0</v>
      </c>
      <c r="F3020" t="str">
        <f t="shared" si="201"/>
        <v>03-00-522OPEN-GRSINC-CURR</v>
      </c>
      <c r="G3020" t="s">
        <v>127</v>
      </c>
      <c r="H3020" t="s">
        <v>10287</v>
      </c>
      <c r="I3020" t="s">
        <v>10253</v>
      </c>
      <c r="K3020" s="1073" t="s">
        <v>10981</v>
      </c>
      <c r="L3020" s="789" t="s">
        <v>10241</v>
      </c>
      <c r="M3020" s="790" t="s">
        <v>12473</v>
      </c>
      <c r="O3020" s="790" t="s">
        <v>11257</v>
      </c>
      <c r="P3020" s="790" t="s">
        <v>10244</v>
      </c>
      <c r="R3020" s="30"/>
    </row>
    <row r="3021" spans="2:18">
      <c r="B3021" s="38" t="s">
        <v>12474</v>
      </c>
      <c r="C3021" s="475">
        <v>523</v>
      </c>
      <c r="D3021" s="803">
        <f>Page8!O7</f>
        <v>0</v>
      </c>
      <c r="E3021" s="803">
        <f>Page8!P7</f>
        <v>0</v>
      </c>
      <c r="F3021" t="str">
        <f t="shared" si="201"/>
        <v>03-00-523OPEN-GRSINC-CURR</v>
      </c>
      <c r="G3021" t="s">
        <v>127</v>
      </c>
      <c r="H3021" t="s">
        <v>10287</v>
      </c>
      <c r="I3021" t="s">
        <v>10253</v>
      </c>
      <c r="K3021" s="1073" t="s">
        <v>10981</v>
      </c>
      <c r="L3021" s="789" t="s">
        <v>10241</v>
      </c>
      <c r="M3021" s="790" t="s">
        <v>12475</v>
      </c>
      <c r="O3021" s="790" t="s">
        <v>11257</v>
      </c>
      <c r="P3021" s="790" t="s">
        <v>10244</v>
      </c>
      <c r="R3021" s="30"/>
    </row>
    <row r="3022" spans="2:18">
      <c r="B3022" s="38" t="s">
        <v>12476</v>
      </c>
      <c r="C3022" s="475">
        <v>524</v>
      </c>
      <c r="D3022" s="803">
        <f>Page8!O8</f>
        <v>0</v>
      </c>
      <c r="E3022" s="803">
        <f>Page8!P8</f>
        <v>0</v>
      </c>
      <c r="F3022" t="str">
        <f t="shared" si="201"/>
        <v>03-00-524OPEN-GRSINC-CURR</v>
      </c>
      <c r="G3022" t="s">
        <v>127</v>
      </c>
      <c r="H3022" t="s">
        <v>10287</v>
      </c>
      <c r="I3022" t="s">
        <v>10253</v>
      </c>
      <c r="K3022" s="1073" t="s">
        <v>10981</v>
      </c>
      <c r="L3022" s="789" t="s">
        <v>10241</v>
      </c>
      <c r="M3022" s="790" t="s">
        <v>12477</v>
      </c>
      <c r="O3022" s="790" t="s">
        <v>11257</v>
      </c>
      <c r="P3022" s="790" t="s">
        <v>10244</v>
      </c>
      <c r="R3022" s="30"/>
    </row>
    <row r="3023" spans="2:18">
      <c r="B3023" s="38" t="s">
        <v>12478</v>
      </c>
      <c r="C3023" s="475">
        <v>526</v>
      </c>
      <c r="D3023" s="803">
        <f>Page8!O10</f>
        <v>0</v>
      </c>
      <c r="E3023" s="803">
        <f>Page8!P10</f>
        <v>0</v>
      </c>
      <c r="F3023" t="str">
        <f t="shared" si="201"/>
        <v>03-00-526OPEN-GRSINC-CURR</v>
      </c>
      <c r="G3023" t="s">
        <v>127</v>
      </c>
      <c r="H3023" t="s">
        <v>10287</v>
      </c>
      <c r="I3023" t="s">
        <v>10253</v>
      </c>
      <c r="K3023" s="1073" t="s">
        <v>10981</v>
      </c>
      <c r="L3023" s="789" t="s">
        <v>10241</v>
      </c>
      <c r="M3023" s="790" t="s">
        <v>12479</v>
      </c>
      <c r="O3023" s="790" t="s">
        <v>11257</v>
      </c>
      <c r="P3023" s="790" t="s">
        <v>10244</v>
      </c>
      <c r="R3023" s="30"/>
    </row>
    <row r="3024" spans="2:18">
      <c r="B3024" s="38" t="s">
        <v>12480</v>
      </c>
      <c r="C3024" s="475">
        <v>527</v>
      </c>
      <c r="D3024" s="803">
        <f>Page8!O11</f>
        <v>0</v>
      </c>
      <c r="E3024" s="803">
        <f>Page8!P11</f>
        <v>0</v>
      </c>
      <c r="F3024" t="str">
        <f t="shared" si="201"/>
        <v>03-00-527OPEN-GRSINC-CURR</v>
      </c>
      <c r="G3024" t="s">
        <v>127</v>
      </c>
      <c r="H3024" t="s">
        <v>10287</v>
      </c>
      <c r="I3024" t="s">
        <v>10253</v>
      </c>
      <c r="K3024" s="1073" t="s">
        <v>10981</v>
      </c>
      <c r="L3024" s="789" t="s">
        <v>10241</v>
      </c>
      <c r="M3024" s="790" t="s">
        <v>12481</v>
      </c>
      <c r="O3024" s="790" t="s">
        <v>11257</v>
      </c>
      <c r="P3024" s="790" t="s">
        <v>10244</v>
      </c>
      <c r="R3024" s="30"/>
    </row>
    <row r="3025" spans="2:22">
      <c r="B3025" s="809" t="s">
        <v>12482</v>
      </c>
      <c r="C3025" s="1042"/>
      <c r="D3025" s="803">
        <f>Page8!O12</f>
        <v>0</v>
      </c>
      <c r="E3025" s="803">
        <f>Page8!P12</f>
        <v>0</v>
      </c>
      <c r="F3025" t="str">
        <f t="shared" si="201"/>
        <v>03-00-INCMOPEN-GRSINC-CURR</v>
      </c>
      <c r="G3025" t="s">
        <v>127</v>
      </c>
      <c r="H3025" t="s">
        <v>10287</v>
      </c>
      <c r="I3025" t="s">
        <v>10253</v>
      </c>
      <c r="J3025" t="s">
        <v>10268</v>
      </c>
      <c r="K3025" s="1073" t="s">
        <v>10981</v>
      </c>
      <c r="L3025" s="789" t="s">
        <v>10241</v>
      </c>
      <c r="M3025" s="790" t="s">
        <v>12483</v>
      </c>
      <c r="O3025" s="790" t="s">
        <v>11257</v>
      </c>
      <c r="P3025" s="790" t="s">
        <v>10244</v>
      </c>
      <c r="Q3025" s="791" t="s">
        <v>773</v>
      </c>
    </row>
    <row r="3026" spans="2:22">
      <c r="B3026" s="38" t="s">
        <v>12484</v>
      </c>
      <c r="C3026" s="475">
        <v>721</v>
      </c>
      <c r="D3026" s="803">
        <f>Page8!O14</f>
        <v>0</v>
      </c>
      <c r="E3026" s="803">
        <f>Page8!P14</f>
        <v>0</v>
      </c>
      <c r="F3026" t="str">
        <f t="shared" si="201"/>
        <v>03-00-721OPEN-COS-CURR</v>
      </c>
      <c r="G3026" t="s">
        <v>127</v>
      </c>
      <c r="H3026" t="s">
        <v>10287</v>
      </c>
      <c r="I3026" t="s">
        <v>10253</v>
      </c>
      <c r="K3026" s="1073" t="s">
        <v>10981</v>
      </c>
      <c r="L3026" s="789" t="s">
        <v>10241</v>
      </c>
      <c r="M3026" s="790" t="s">
        <v>12485</v>
      </c>
      <c r="O3026" s="790" t="s">
        <v>9915</v>
      </c>
      <c r="P3026" s="790" t="s">
        <v>10244</v>
      </c>
      <c r="R3026" s="30"/>
    </row>
    <row r="3027" spans="2:22">
      <c r="B3027" s="39" t="s">
        <v>12486</v>
      </c>
      <c r="C3027" s="475">
        <v>722</v>
      </c>
      <c r="D3027" s="803">
        <f>Page8!O15</f>
        <v>0</v>
      </c>
      <c r="E3027" s="803">
        <f>Page8!P15</f>
        <v>0</v>
      </c>
      <c r="F3027" t="str">
        <f t="shared" si="201"/>
        <v>03-00-722OPEN-COS-CURR</v>
      </c>
      <c r="G3027" t="s">
        <v>127</v>
      </c>
      <c r="H3027" t="s">
        <v>10287</v>
      </c>
      <c r="I3027" t="s">
        <v>10253</v>
      </c>
      <c r="K3027" s="1073" t="s">
        <v>10981</v>
      </c>
      <c r="L3027" s="789" t="s">
        <v>10241</v>
      </c>
      <c r="M3027" s="790" t="s">
        <v>12487</v>
      </c>
      <c r="O3027" s="790" t="s">
        <v>9915</v>
      </c>
      <c r="P3027" s="790" t="s">
        <v>10244</v>
      </c>
      <c r="R3027" s="30"/>
    </row>
    <row r="3028" spans="2:22">
      <c r="B3028" s="38" t="s">
        <v>12488</v>
      </c>
      <c r="C3028" s="475">
        <v>723</v>
      </c>
      <c r="D3028" s="803">
        <f>Page8!O16</f>
        <v>0</v>
      </c>
      <c r="E3028" s="803">
        <f>Page8!P16</f>
        <v>0</v>
      </c>
      <c r="F3028" t="str">
        <f t="shared" si="201"/>
        <v>03-00-723OPEN-COS-CURR</v>
      </c>
      <c r="G3028" t="s">
        <v>127</v>
      </c>
      <c r="H3028" t="s">
        <v>10287</v>
      </c>
      <c r="I3028" t="s">
        <v>10253</v>
      </c>
      <c r="K3028" s="1073" t="s">
        <v>10981</v>
      </c>
      <c r="L3028" s="789" t="s">
        <v>10241</v>
      </c>
      <c r="M3028" s="790" t="s">
        <v>12489</v>
      </c>
      <c r="O3028" s="790" t="s">
        <v>9915</v>
      </c>
      <c r="P3028" s="790" t="s">
        <v>10244</v>
      </c>
      <c r="R3028" s="30"/>
      <c r="S3028" s="820"/>
      <c r="T3028" s="821"/>
      <c r="U3028" s="821"/>
      <c r="V3028" s="821"/>
    </row>
    <row r="3029" spans="2:22">
      <c r="B3029" s="38" t="s">
        <v>12490</v>
      </c>
      <c r="C3029" s="475">
        <v>724</v>
      </c>
      <c r="D3029" s="803">
        <f>Page8!O17</f>
        <v>0</v>
      </c>
      <c r="E3029" s="803">
        <f>Page8!P17</f>
        <v>0</v>
      </c>
      <c r="F3029" t="str">
        <f t="shared" si="201"/>
        <v>03-00-724OPEN-COS-CURR</v>
      </c>
      <c r="G3029" t="s">
        <v>127</v>
      </c>
      <c r="H3029" t="s">
        <v>10287</v>
      </c>
      <c r="I3029" t="s">
        <v>10253</v>
      </c>
      <c r="K3029" s="1073" t="s">
        <v>10981</v>
      </c>
      <c r="L3029" s="789" t="s">
        <v>10241</v>
      </c>
      <c r="M3029" s="790" t="s">
        <v>12491</v>
      </c>
      <c r="O3029" s="790" t="s">
        <v>9915</v>
      </c>
      <c r="P3029" s="790" t="s">
        <v>10244</v>
      </c>
      <c r="Q3029" s="819"/>
      <c r="R3029" s="799"/>
    </row>
    <row r="3030" spans="2:22">
      <c r="B3030" s="38" t="s">
        <v>12492</v>
      </c>
      <c r="C3030" s="475">
        <v>725</v>
      </c>
      <c r="D3030" s="803">
        <f>Page8!O18</f>
        <v>0</v>
      </c>
      <c r="E3030" s="803">
        <f>Page8!P18</f>
        <v>0</v>
      </c>
      <c r="F3030" t="str">
        <f t="shared" si="201"/>
        <v>03-00-725OPEN-COS-CURR</v>
      </c>
      <c r="G3030" t="s">
        <v>127</v>
      </c>
      <c r="H3030" t="s">
        <v>10287</v>
      </c>
      <c r="I3030" t="s">
        <v>10253</v>
      </c>
      <c r="K3030" s="1073" t="s">
        <v>10981</v>
      </c>
      <c r="L3030" s="789" t="s">
        <v>10241</v>
      </c>
      <c r="M3030" s="790" t="s">
        <v>12493</v>
      </c>
      <c r="O3030" s="790" t="s">
        <v>9915</v>
      </c>
      <c r="P3030" s="790" t="s">
        <v>10244</v>
      </c>
      <c r="R3030" s="30"/>
    </row>
    <row r="3031" spans="2:22">
      <c r="B3031" s="38" t="s">
        <v>12494</v>
      </c>
      <c r="C3031" s="475">
        <v>726</v>
      </c>
      <c r="D3031" s="803">
        <f>Page8!O19</f>
        <v>0</v>
      </c>
      <c r="E3031" s="803">
        <f>Page8!P19</f>
        <v>0</v>
      </c>
      <c r="F3031" t="str">
        <f t="shared" si="201"/>
        <v>03-00-726OPEN-COS-CURR</v>
      </c>
      <c r="G3031" t="s">
        <v>127</v>
      </c>
      <c r="H3031" t="s">
        <v>10287</v>
      </c>
      <c r="I3031" t="s">
        <v>10253</v>
      </c>
      <c r="K3031" s="1073" t="s">
        <v>10981</v>
      </c>
      <c r="L3031" s="789" t="s">
        <v>10241</v>
      </c>
      <c r="M3031" s="790" t="s">
        <v>12495</v>
      </c>
      <c r="O3031" s="790" t="s">
        <v>9915</v>
      </c>
      <c r="P3031" s="790" t="s">
        <v>10244</v>
      </c>
      <c r="R3031" s="30"/>
    </row>
    <row r="3032" spans="2:22">
      <c r="B3032" s="39" t="s">
        <v>12496</v>
      </c>
      <c r="C3032" s="475">
        <v>727</v>
      </c>
      <c r="D3032" s="803">
        <f>Page8!O20</f>
        <v>0</v>
      </c>
      <c r="E3032" s="803">
        <f>Page8!P20</f>
        <v>0</v>
      </c>
      <c r="F3032" t="str">
        <f t="shared" si="201"/>
        <v>03-00-727OPEN-COS-CURR</v>
      </c>
      <c r="G3032" t="s">
        <v>127</v>
      </c>
      <c r="H3032" t="s">
        <v>10287</v>
      </c>
      <c r="I3032" t="s">
        <v>10253</v>
      </c>
      <c r="K3032" s="1073" t="s">
        <v>10981</v>
      </c>
      <c r="L3032" s="789" t="s">
        <v>10241</v>
      </c>
      <c r="M3032" s="790" t="s">
        <v>12497</v>
      </c>
      <c r="O3032" s="790" t="s">
        <v>9915</v>
      </c>
      <c r="P3032" s="790" t="s">
        <v>10244</v>
      </c>
      <c r="R3032" s="30"/>
    </row>
    <row r="3033" spans="2:22">
      <c r="B3033" s="39" t="s">
        <v>12498</v>
      </c>
      <c r="C3033" s="475">
        <v>728</v>
      </c>
      <c r="D3033" s="803">
        <f>Page8!O21</f>
        <v>0</v>
      </c>
      <c r="E3033" s="803">
        <f>Page8!P21</f>
        <v>0</v>
      </c>
      <c r="F3033" t="str">
        <f t="shared" si="201"/>
        <v>03-00-728OPEN-COS-CURR</v>
      </c>
      <c r="G3033" t="s">
        <v>127</v>
      </c>
      <c r="H3033" t="s">
        <v>10287</v>
      </c>
      <c r="I3033" t="s">
        <v>10253</v>
      </c>
      <c r="K3033" s="1073" t="s">
        <v>10981</v>
      </c>
      <c r="L3033" s="789" t="s">
        <v>10241</v>
      </c>
      <c r="M3033" s="790" t="s">
        <v>12499</v>
      </c>
      <c r="O3033" s="790" t="s">
        <v>9915</v>
      </c>
      <c r="P3033" s="790" t="s">
        <v>10244</v>
      </c>
      <c r="R3033" s="30"/>
    </row>
    <row r="3034" spans="2:22" ht="13">
      <c r="B3034" s="810" t="s">
        <v>12500</v>
      </c>
      <c r="C3034" s="1042"/>
      <c r="D3034" s="803">
        <f>Page8!O22</f>
        <v>0</v>
      </c>
      <c r="E3034" s="803">
        <f>Page8!P22</f>
        <v>0</v>
      </c>
      <c r="F3034" t="str">
        <f t="shared" ref="F3034:F3053" si="202">TEXT(K3034,"00")&amp;"-"&amp;L3034&amp;IF(M3034="","","-"&amp;M3034)&amp;IF(N3034="","","-"&amp;N3034)&amp;IF(OR(O3034="",O3034=0),"","-"&amp;O3034)&amp;IF(P3034="","","-"&amp;P3034)</f>
        <v>03-00-TOTOPEN-COS-CURR</v>
      </c>
      <c r="G3034" t="s">
        <v>127</v>
      </c>
      <c r="H3034" t="s">
        <v>10287</v>
      </c>
      <c r="I3034" t="s">
        <v>10253</v>
      </c>
      <c r="J3034" t="s">
        <v>10268</v>
      </c>
      <c r="K3034" s="1073" t="s">
        <v>10981</v>
      </c>
      <c r="L3034" s="789" t="s">
        <v>10241</v>
      </c>
      <c r="M3034" s="807" t="s">
        <v>12501</v>
      </c>
      <c r="O3034" s="790" t="s">
        <v>9915</v>
      </c>
      <c r="P3034" s="790" t="s">
        <v>10244</v>
      </c>
      <c r="Q3034" s="791" t="s">
        <v>773</v>
      </c>
    </row>
    <row r="3035" spans="2:22">
      <c r="B3035" s="818" t="s">
        <v>12502</v>
      </c>
      <c r="C3035" s="1042"/>
      <c r="D3035" s="803">
        <f>Page8!O23</f>
        <v>0</v>
      </c>
      <c r="E3035" s="803">
        <f>Page8!P23</f>
        <v>0</v>
      </c>
      <c r="F3035" t="str">
        <f t="shared" si="202"/>
        <v>03-00-GPACOPEN-GRSPFT-CURR</v>
      </c>
      <c r="G3035" t="s">
        <v>127</v>
      </c>
      <c r="H3035" t="s">
        <v>10287</v>
      </c>
      <c r="I3035" t="s">
        <v>10253</v>
      </c>
      <c r="J3035" t="s">
        <v>10268</v>
      </c>
      <c r="K3035" s="1073" t="s">
        <v>10981</v>
      </c>
      <c r="L3035" s="789" t="s">
        <v>10241</v>
      </c>
      <c r="M3035" s="790" t="s">
        <v>12503</v>
      </c>
      <c r="O3035" s="790" t="s">
        <v>10467</v>
      </c>
      <c r="P3035" s="790" t="s">
        <v>10244</v>
      </c>
      <c r="Q3035" s="791" t="s">
        <v>773</v>
      </c>
    </row>
    <row r="3036" spans="2:22">
      <c r="B3036" s="42" t="s">
        <v>12504</v>
      </c>
      <c r="C3036" s="475" t="s">
        <v>12505</v>
      </c>
      <c r="D3036" s="803">
        <f>Page8!O26</f>
        <v>0</v>
      </c>
      <c r="E3036" s="803">
        <f>Page8!P26</f>
        <v>0</v>
      </c>
      <c r="F3036" t="str">
        <f t="shared" si="202"/>
        <v>03-00-520GL-AMT-CURR</v>
      </c>
      <c r="G3036" t="s">
        <v>127</v>
      </c>
      <c r="H3036" t="s">
        <v>10287</v>
      </c>
      <c r="I3036" t="s">
        <v>10253</v>
      </c>
      <c r="K3036" s="1073" t="s">
        <v>10981</v>
      </c>
      <c r="L3036" s="789" t="s">
        <v>10241</v>
      </c>
      <c r="M3036" s="790" t="s">
        <v>9768</v>
      </c>
      <c r="O3036" s="790" t="s">
        <v>10263</v>
      </c>
      <c r="P3036" s="790" t="s">
        <v>10244</v>
      </c>
      <c r="R3036" s="30"/>
    </row>
    <row r="3037" spans="2:22">
      <c r="B3037" s="809" t="s">
        <v>12506</v>
      </c>
      <c r="C3037" s="1042"/>
      <c r="D3037" s="803">
        <f>Page8!O27</f>
        <v>0</v>
      </c>
      <c r="E3037" s="803">
        <f>Page8!P27</f>
        <v>0</v>
      </c>
      <c r="F3037" t="str">
        <f t="shared" si="202"/>
        <v>03-00-GPINOPEN-GRSPFT-CURR</v>
      </c>
      <c r="G3037" t="s">
        <v>127</v>
      </c>
      <c r="H3037" t="s">
        <v>10287</v>
      </c>
      <c r="I3037" t="s">
        <v>10253</v>
      </c>
      <c r="J3037" t="s">
        <v>10268</v>
      </c>
      <c r="K3037" s="1073" t="s">
        <v>10981</v>
      </c>
      <c r="L3037" s="789" t="s">
        <v>10241</v>
      </c>
      <c r="M3037" s="790" t="s">
        <v>12507</v>
      </c>
      <c r="O3037" s="790" t="s">
        <v>10467</v>
      </c>
      <c r="P3037" s="790" t="s">
        <v>10244</v>
      </c>
      <c r="Q3037" s="791" t="s">
        <v>773</v>
      </c>
    </row>
    <row r="3038" spans="2:22">
      <c r="B3038" s="38" t="s">
        <v>12508</v>
      </c>
      <c r="C3038" s="475">
        <v>534</v>
      </c>
      <c r="D3038" s="803">
        <f>Page8!Q8</f>
        <v>0</v>
      </c>
      <c r="E3038" s="803">
        <f>Page8!R8</f>
        <v>0</v>
      </c>
      <c r="F3038" t="str">
        <f t="shared" si="202"/>
        <v>03-00-534RENT-GRSINC-CURR</v>
      </c>
      <c r="G3038" t="s">
        <v>127</v>
      </c>
      <c r="H3038" t="s">
        <v>10287</v>
      </c>
      <c r="I3038" t="s">
        <v>10253</v>
      </c>
      <c r="K3038" s="1073" t="s">
        <v>10981</v>
      </c>
      <c r="L3038" s="789" t="s">
        <v>10241</v>
      </c>
      <c r="M3038" s="790" t="s">
        <v>12509</v>
      </c>
      <c r="O3038" s="790" t="s">
        <v>11257</v>
      </c>
      <c r="P3038" s="790" t="s">
        <v>10244</v>
      </c>
      <c r="R3038" s="30"/>
    </row>
    <row r="3039" spans="2:22">
      <c r="B3039" s="38" t="s">
        <v>12510</v>
      </c>
      <c r="C3039" s="475">
        <v>535</v>
      </c>
      <c r="D3039" s="803">
        <f>Page8!Q9</f>
        <v>0</v>
      </c>
      <c r="E3039" s="803">
        <f>Page8!R9</f>
        <v>0</v>
      </c>
      <c r="F3039" t="str">
        <f t="shared" si="202"/>
        <v>03-00-535RENT-GRSINC-CURR</v>
      </c>
      <c r="G3039" t="s">
        <v>127</v>
      </c>
      <c r="H3039" t="s">
        <v>10287</v>
      </c>
      <c r="I3039" t="s">
        <v>10253</v>
      </c>
      <c r="K3039" s="1073" t="s">
        <v>10981</v>
      </c>
      <c r="L3039" s="789" t="s">
        <v>10241</v>
      </c>
      <c r="M3039" s="790" t="s">
        <v>12511</v>
      </c>
      <c r="O3039" s="790" t="s">
        <v>11257</v>
      </c>
      <c r="P3039" s="790" t="s">
        <v>10244</v>
      </c>
      <c r="R3039" s="30"/>
    </row>
    <row r="3040" spans="2:22">
      <c r="B3040" s="38" t="s">
        <v>12512</v>
      </c>
      <c r="C3040" s="475">
        <v>536</v>
      </c>
      <c r="D3040" s="803">
        <f>Page8!Q10</f>
        <v>0</v>
      </c>
      <c r="E3040" s="803">
        <f>Page8!R10</f>
        <v>0</v>
      </c>
      <c r="F3040" t="str">
        <f t="shared" si="202"/>
        <v>03-00-536RENT-GRSINC-CURR</v>
      </c>
      <c r="G3040" t="s">
        <v>127</v>
      </c>
      <c r="H3040" t="s">
        <v>10287</v>
      </c>
      <c r="I3040" t="s">
        <v>10253</v>
      </c>
      <c r="K3040" s="1073" t="s">
        <v>10981</v>
      </c>
      <c r="L3040" s="789" t="s">
        <v>10241</v>
      </c>
      <c r="M3040" s="790" t="s">
        <v>12513</v>
      </c>
      <c r="O3040" s="790" t="s">
        <v>11257</v>
      </c>
      <c r="P3040" s="790" t="s">
        <v>10244</v>
      </c>
      <c r="R3040" s="30"/>
    </row>
    <row r="3041" spans="2:18">
      <c r="B3041" s="809" t="s">
        <v>12514</v>
      </c>
      <c r="C3041" s="1042"/>
      <c r="D3041" s="803">
        <f>Page8!Q12</f>
        <v>0</v>
      </c>
      <c r="E3041" s="803">
        <f>Page8!R12</f>
        <v>0</v>
      </c>
      <c r="F3041" t="str">
        <f t="shared" si="202"/>
        <v>03-00-INCMRENT-GRSINC-CURR</v>
      </c>
      <c r="G3041" t="s">
        <v>127</v>
      </c>
      <c r="H3041" t="s">
        <v>10287</v>
      </c>
      <c r="I3041" t="s">
        <v>10253</v>
      </c>
      <c r="J3041" t="s">
        <v>10268</v>
      </c>
      <c r="K3041" s="1073" t="s">
        <v>10981</v>
      </c>
      <c r="L3041" s="789" t="s">
        <v>10241</v>
      </c>
      <c r="M3041" s="790" t="s">
        <v>12515</v>
      </c>
      <c r="O3041" s="790" t="s">
        <v>11257</v>
      </c>
      <c r="P3041" s="790" t="s">
        <v>10244</v>
      </c>
      <c r="Q3041" s="791" t="s">
        <v>773</v>
      </c>
    </row>
    <row r="3042" spans="2:18">
      <c r="B3042" s="38" t="s">
        <v>12516</v>
      </c>
      <c r="C3042" s="475">
        <v>731</v>
      </c>
      <c r="D3042" s="803">
        <f>Page8!Q14</f>
        <v>0</v>
      </c>
      <c r="E3042" s="803">
        <f>Page8!R14</f>
        <v>0</v>
      </c>
      <c r="F3042" t="str">
        <f t="shared" si="202"/>
        <v>03-00-731RENT-COS-CURR</v>
      </c>
      <c r="G3042" t="s">
        <v>127</v>
      </c>
      <c r="H3042" t="s">
        <v>10287</v>
      </c>
      <c r="I3042" t="s">
        <v>10253</v>
      </c>
      <c r="K3042" s="1073" t="s">
        <v>10981</v>
      </c>
      <c r="L3042" s="789" t="s">
        <v>10241</v>
      </c>
      <c r="M3042" s="790" t="s">
        <v>12517</v>
      </c>
      <c r="O3042" s="790" t="s">
        <v>9915</v>
      </c>
      <c r="P3042" s="790" t="s">
        <v>10244</v>
      </c>
      <c r="R3042" s="30"/>
    </row>
    <row r="3043" spans="2:18">
      <c r="B3043" s="39" t="s">
        <v>12518</v>
      </c>
      <c r="C3043" s="475">
        <v>732</v>
      </c>
      <c r="D3043" s="803">
        <f>Page8!Q15</f>
        <v>0</v>
      </c>
      <c r="E3043" s="803">
        <f>Page8!R15</f>
        <v>0</v>
      </c>
      <c r="F3043" t="str">
        <f t="shared" si="202"/>
        <v>03-00-732RENT-COS-CURR</v>
      </c>
      <c r="G3043" t="s">
        <v>127</v>
      </c>
      <c r="H3043" t="s">
        <v>10287</v>
      </c>
      <c r="I3043" t="s">
        <v>10253</v>
      </c>
      <c r="K3043" s="1073" t="s">
        <v>10981</v>
      </c>
      <c r="L3043" s="789" t="s">
        <v>10241</v>
      </c>
      <c r="M3043" s="790" t="s">
        <v>12519</v>
      </c>
      <c r="O3043" s="790" t="s">
        <v>9915</v>
      </c>
      <c r="P3043" s="790" t="s">
        <v>10244</v>
      </c>
      <c r="R3043" s="30"/>
    </row>
    <row r="3044" spans="2:18">
      <c r="B3044" s="38" t="s">
        <v>12520</v>
      </c>
      <c r="C3044" s="475">
        <v>733</v>
      </c>
      <c r="D3044" s="803">
        <f>Page8!Q16</f>
        <v>0</v>
      </c>
      <c r="E3044" s="803">
        <f>Page8!R16</f>
        <v>0</v>
      </c>
      <c r="F3044" t="str">
        <f t="shared" si="202"/>
        <v>03-00-733RENT-COS-CURR</v>
      </c>
      <c r="G3044" t="s">
        <v>127</v>
      </c>
      <c r="H3044" t="s">
        <v>10287</v>
      </c>
      <c r="I3044" t="s">
        <v>10253</v>
      </c>
      <c r="K3044" s="1073" t="s">
        <v>10981</v>
      </c>
      <c r="L3044" s="789" t="s">
        <v>10241</v>
      </c>
      <c r="M3044" s="790" t="s">
        <v>12521</v>
      </c>
      <c r="O3044" s="790" t="s">
        <v>9915</v>
      </c>
      <c r="P3044" s="790" t="s">
        <v>10244</v>
      </c>
      <c r="R3044" s="30"/>
    </row>
    <row r="3045" spans="2:18">
      <c r="B3045" s="38" t="s">
        <v>12522</v>
      </c>
      <c r="C3045" s="475">
        <v>734</v>
      </c>
      <c r="D3045" s="803">
        <f>Page8!Q17</f>
        <v>0</v>
      </c>
      <c r="E3045" s="803">
        <f>Page8!R17</f>
        <v>0</v>
      </c>
      <c r="F3045" t="str">
        <f t="shared" si="202"/>
        <v>03-00-734RENT-COS-CURR</v>
      </c>
      <c r="G3045" t="s">
        <v>127</v>
      </c>
      <c r="H3045" t="s">
        <v>10287</v>
      </c>
      <c r="I3045" t="s">
        <v>10253</v>
      </c>
      <c r="K3045" s="1073" t="s">
        <v>10981</v>
      </c>
      <c r="L3045" s="789" t="s">
        <v>10241</v>
      </c>
      <c r="M3045" s="790" t="s">
        <v>12523</v>
      </c>
      <c r="O3045" s="790" t="s">
        <v>9915</v>
      </c>
      <c r="P3045" s="790" t="s">
        <v>10244</v>
      </c>
      <c r="R3045" s="30"/>
    </row>
    <row r="3046" spans="2:18">
      <c r="B3046" s="38" t="s">
        <v>12524</v>
      </c>
      <c r="C3046" s="475">
        <v>735</v>
      </c>
      <c r="D3046" s="803">
        <f>Page8!Q18</f>
        <v>0</v>
      </c>
      <c r="E3046" s="803">
        <f>Page8!R18</f>
        <v>0</v>
      </c>
      <c r="F3046" t="str">
        <f t="shared" si="202"/>
        <v>03-00-735RENT-COS-CURR</v>
      </c>
      <c r="G3046" t="s">
        <v>127</v>
      </c>
      <c r="H3046" t="s">
        <v>10287</v>
      </c>
      <c r="I3046" t="s">
        <v>10253</v>
      </c>
      <c r="K3046" s="1073" t="s">
        <v>10981</v>
      </c>
      <c r="L3046" s="789" t="s">
        <v>10241</v>
      </c>
      <c r="M3046" s="790" t="s">
        <v>12525</v>
      </c>
      <c r="O3046" s="790" t="s">
        <v>9915</v>
      </c>
      <c r="P3046" s="790" t="s">
        <v>10244</v>
      </c>
      <c r="R3046" s="30"/>
    </row>
    <row r="3047" spans="2:18">
      <c r="B3047" s="38" t="s">
        <v>12526</v>
      </c>
      <c r="C3047" s="475">
        <v>736</v>
      </c>
      <c r="D3047" s="803">
        <f>Page8!Q19</f>
        <v>0</v>
      </c>
      <c r="E3047" s="803">
        <f>Page8!R19</f>
        <v>0</v>
      </c>
      <c r="F3047" t="str">
        <f t="shared" si="202"/>
        <v>03-00-736RENT-COS-CURR</v>
      </c>
      <c r="G3047" t="s">
        <v>127</v>
      </c>
      <c r="H3047" t="s">
        <v>10287</v>
      </c>
      <c r="I3047" t="s">
        <v>10253</v>
      </c>
      <c r="K3047" s="1073" t="s">
        <v>10981</v>
      </c>
      <c r="L3047" s="789" t="s">
        <v>10241</v>
      </c>
      <c r="M3047" s="790" t="s">
        <v>12527</v>
      </c>
      <c r="O3047" s="790" t="s">
        <v>9915</v>
      </c>
      <c r="P3047" s="790" t="s">
        <v>10244</v>
      </c>
      <c r="R3047" s="30"/>
    </row>
    <row r="3048" spans="2:18">
      <c r="B3048" s="39" t="s">
        <v>12528</v>
      </c>
      <c r="C3048" s="475">
        <v>737</v>
      </c>
      <c r="D3048" s="803">
        <f>Page8!Q20</f>
        <v>0</v>
      </c>
      <c r="E3048" s="803">
        <f>Page8!R20</f>
        <v>0</v>
      </c>
      <c r="F3048" t="str">
        <f t="shared" si="202"/>
        <v>03-00-737RENT-COS-CURR</v>
      </c>
      <c r="G3048" t="s">
        <v>127</v>
      </c>
      <c r="H3048" t="s">
        <v>10287</v>
      </c>
      <c r="I3048" t="s">
        <v>10253</v>
      </c>
      <c r="K3048" s="1073" t="s">
        <v>10981</v>
      </c>
      <c r="L3048" s="789" t="s">
        <v>10241</v>
      </c>
      <c r="M3048" s="790" t="s">
        <v>12529</v>
      </c>
      <c r="O3048" s="790" t="s">
        <v>9915</v>
      </c>
      <c r="P3048" s="790" t="s">
        <v>10244</v>
      </c>
      <c r="R3048" s="30"/>
    </row>
    <row r="3049" spans="2:18">
      <c r="B3049" s="39" t="s">
        <v>12530</v>
      </c>
      <c r="C3049" s="475">
        <v>738</v>
      </c>
      <c r="D3049" s="803">
        <f>Page8!Q21</f>
        <v>0</v>
      </c>
      <c r="E3049" s="803">
        <f>Page8!R21</f>
        <v>0</v>
      </c>
      <c r="F3049" t="str">
        <f t="shared" si="202"/>
        <v>03-00-738RENT-COS-CURR</v>
      </c>
      <c r="G3049" t="s">
        <v>127</v>
      </c>
      <c r="H3049" t="s">
        <v>10287</v>
      </c>
      <c r="I3049" t="s">
        <v>10253</v>
      </c>
      <c r="K3049" s="1073" t="s">
        <v>10981</v>
      </c>
      <c r="L3049" s="789" t="s">
        <v>10241</v>
      </c>
      <c r="M3049" s="790" t="s">
        <v>12531</v>
      </c>
      <c r="O3049" s="790" t="s">
        <v>9915</v>
      </c>
      <c r="P3049" s="790" t="s">
        <v>10244</v>
      </c>
      <c r="R3049" s="30"/>
    </row>
    <row r="3050" spans="2:18" ht="13">
      <c r="B3050" s="810" t="s">
        <v>12532</v>
      </c>
      <c r="C3050" s="1042"/>
      <c r="D3050" s="803">
        <f>Page8!Q22</f>
        <v>0</v>
      </c>
      <c r="E3050" s="803">
        <f>Page8!R22</f>
        <v>0</v>
      </c>
      <c r="F3050" t="str">
        <f t="shared" si="202"/>
        <v>03-00-TOTRENT-COS-CURR</v>
      </c>
      <c r="G3050" t="s">
        <v>127</v>
      </c>
      <c r="H3050" t="s">
        <v>10287</v>
      </c>
      <c r="I3050" t="s">
        <v>10253</v>
      </c>
      <c r="J3050" t="s">
        <v>10268</v>
      </c>
      <c r="K3050" s="1073" t="s">
        <v>10981</v>
      </c>
      <c r="L3050" s="789" t="s">
        <v>10241</v>
      </c>
      <c r="M3050" s="807" t="s">
        <v>12533</v>
      </c>
      <c r="O3050" s="790" t="s">
        <v>9915</v>
      </c>
      <c r="P3050" s="790" t="s">
        <v>10244</v>
      </c>
      <c r="Q3050" s="791" t="s">
        <v>773</v>
      </c>
    </row>
    <row r="3051" spans="2:18">
      <c r="B3051" s="818" t="s">
        <v>12534</v>
      </c>
      <c r="C3051" s="1042"/>
      <c r="D3051" s="803">
        <f>Page8!Q23</f>
        <v>0</v>
      </c>
      <c r="E3051" s="803">
        <f>Page8!R23</f>
        <v>0</v>
      </c>
      <c r="F3051" t="str">
        <f t="shared" si="202"/>
        <v>03-00-GPACRENT-GRSPFT-CURR</v>
      </c>
      <c r="G3051" t="s">
        <v>127</v>
      </c>
      <c r="H3051" t="s">
        <v>10287</v>
      </c>
      <c r="I3051" t="s">
        <v>10253</v>
      </c>
      <c r="J3051" t="s">
        <v>10268</v>
      </c>
      <c r="K3051" s="1073" t="s">
        <v>10981</v>
      </c>
      <c r="L3051" s="789" t="s">
        <v>10241</v>
      </c>
      <c r="M3051" s="790" t="s">
        <v>12535</v>
      </c>
      <c r="O3051" s="790" t="s">
        <v>10467</v>
      </c>
      <c r="P3051" s="790" t="s">
        <v>10244</v>
      </c>
      <c r="Q3051" s="791" t="s">
        <v>773</v>
      </c>
    </row>
    <row r="3052" spans="2:18">
      <c r="B3052" s="42" t="s">
        <v>12536</v>
      </c>
      <c r="C3052" s="475" t="s">
        <v>9783</v>
      </c>
      <c r="D3052" s="803">
        <f>Page8!Q26</f>
        <v>0</v>
      </c>
      <c r="E3052" s="803">
        <f>Page8!R26</f>
        <v>0</v>
      </c>
      <c r="F3052" t="str">
        <f t="shared" si="202"/>
        <v>03-00-530GL-AMT-CURR</v>
      </c>
      <c r="G3052" t="s">
        <v>127</v>
      </c>
      <c r="H3052" t="s">
        <v>10287</v>
      </c>
      <c r="I3052" t="s">
        <v>10253</v>
      </c>
      <c r="K3052" s="1073" t="s">
        <v>10981</v>
      </c>
      <c r="L3052" s="789" t="s">
        <v>10241</v>
      </c>
      <c r="M3052" s="790" t="s">
        <v>9783</v>
      </c>
      <c r="O3052" s="790" t="s">
        <v>10263</v>
      </c>
      <c r="P3052" s="790" t="s">
        <v>10244</v>
      </c>
      <c r="R3052" s="30"/>
    </row>
    <row r="3053" spans="2:18">
      <c r="B3053" s="809" t="s">
        <v>12537</v>
      </c>
      <c r="C3053" s="1042"/>
      <c r="D3053" s="803">
        <f>Page8!Q27</f>
        <v>0</v>
      </c>
      <c r="E3053" s="803">
        <f>Page8!R27</f>
        <v>0</v>
      </c>
      <c r="F3053" t="str">
        <f t="shared" si="202"/>
        <v>03-00-GPINRENT-GRSPFT-CURR</v>
      </c>
      <c r="G3053" t="s">
        <v>127</v>
      </c>
      <c r="H3053" t="s">
        <v>10287</v>
      </c>
      <c r="I3053" t="s">
        <v>10253</v>
      </c>
      <c r="J3053" t="s">
        <v>10268</v>
      </c>
      <c r="K3053" s="1073" t="s">
        <v>10981</v>
      </c>
      <c r="L3053" s="789" t="s">
        <v>10241</v>
      </c>
      <c r="M3053" s="790" t="s">
        <v>12538</v>
      </c>
      <c r="O3053" s="790" t="s">
        <v>10467</v>
      </c>
      <c r="P3053" s="790" t="s">
        <v>10244</v>
      </c>
      <c r="Q3053" s="791" t="s">
        <v>773</v>
      </c>
    </row>
    <row r="3054" spans="2:18">
      <c r="B3054" s="39" t="s">
        <v>12539</v>
      </c>
      <c r="C3054" s="2139"/>
      <c r="D3054" s="803"/>
      <c r="E3054" s="803">
        <v>10</v>
      </c>
      <c r="F3054" t="s">
        <v>12540</v>
      </c>
      <c r="G3054" t="s">
        <v>127</v>
      </c>
      <c r="H3054" t="s">
        <v>95</v>
      </c>
      <c r="I3054" t="s">
        <v>10240</v>
      </c>
      <c r="K3054" s="799" t="s">
        <v>10241</v>
      </c>
      <c r="L3054" s="799" t="s">
        <v>10241</v>
      </c>
      <c r="M3054" s="790" t="s">
        <v>12541</v>
      </c>
      <c r="O3054" s="790" t="s">
        <v>12542</v>
      </c>
      <c r="P3054" s="790" t="s">
        <v>10244</v>
      </c>
    </row>
    <row r="3055" spans="2:18">
      <c r="B3055" s="39" t="s">
        <v>12543</v>
      </c>
      <c r="C3055" s="2139"/>
      <c r="D3055" s="803"/>
      <c r="E3055" s="803"/>
      <c r="F3055" t="s">
        <v>12544</v>
      </c>
      <c r="G3055" t="s">
        <v>127</v>
      </c>
      <c r="H3055" t="s">
        <v>95</v>
      </c>
      <c r="I3055" t="s">
        <v>10240</v>
      </c>
      <c r="K3055" s="799" t="s">
        <v>10241</v>
      </c>
      <c r="L3055" s="799" t="s">
        <v>10241</v>
      </c>
      <c r="M3055" s="790" t="s">
        <v>12541</v>
      </c>
      <c r="O3055" s="790" t="s">
        <v>12545</v>
      </c>
      <c r="P3055" s="790" t="s">
        <v>10244</v>
      </c>
    </row>
    <row r="3056" spans="2:18">
      <c r="B3056" s="39" t="s">
        <v>12546</v>
      </c>
      <c r="C3056" s="2139"/>
      <c r="D3056" s="803"/>
      <c r="E3056" s="803"/>
      <c r="F3056" t="s">
        <v>12547</v>
      </c>
      <c r="G3056" t="s">
        <v>127</v>
      </c>
      <c r="H3056" t="s">
        <v>95</v>
      </c>
      <c r="I3056" t="s">
        <v>10240</v>
      </c>
      <c r="K3056" s="799" t="s">
        <v>10241</v>
      </c>
      <c r="L3056" s="799" t="s">
        <v>10241</v>
      </c>
      <c r="M3056" s="790" t="s">
        <v>12541</v>
      </c>
      <c r="O3056" s="790" t="s">
        <v>12548</v>
      </c>
      <c r="P3056" s="790" t="s">
        <v>10244</v>
      </c>
    </row>
    <row r="3057" spans="2:16">
      <c r="B3057" s="39" t="s">
        <v>12549</v>
      </c>
      <c r="C3057" s="2139"/>
      <c r="D3057" s="803"/>
      <c r="E3057" s="803"/>
      <c r="F3057" t="s">
        <v>12550</v>
      </c>
      <c r="G3057" t="s">
        <v>127</v>
      </c>
      <c r="H3057" t="s">
        <v>95</v>
      </c>
      <c r="I3057" t="s">
        <v>10240</v>
      </c>
      <c r="K3057" s="799" t="s">
        <v>10241</v>
      </c>
      <c r="L3057" s="799" t="s">
        <v>10241</v>
      </c>
      <c r="M3057" s="790" t="s">
        <v>12541</v>
      </c>
      <c r="O3057" s="790" t="s">
        <v>12551</v>
      </c>
      <c r="P3057" s="790" t="s">
        <v>10244</v>
      </c>
    </row>
    <row r="3058" spans="2:16">
      <c r="B3058" s="39" t="s">
        <v>12552</v>
      </c>
      <c r="C3058" s="2139"/>
      <c r="D3058" s="803"/>
      <c r="E3058" s="803">
        <v>2</v>
      </c>
      <c r="F3058" t="s">
        <v>12553</v>
      </c>
      <c r="G3058" t="s">
        <v>127</v>
      </c>
      <c r="H3058" t="s">
        <v>95</v>
      </c>
      <c r="I3058" t="s">
        <v>10240</v>
      </c>
      <c r="K3058" s="799" t="s">
        <v>10241</v>
      </c>
      <c r="L3058" s="799" t="s">
        <v>10241</v>
      </c>
      <c r="M3058" s="790" t="s">
        <v>12541</v>
      </c>
      <c r="O3058" s="790" t="s">
        <v>12554</v>
      </c>
      <c r="P3058" s="790" t="s">
        <v>10244</v>
      </c>
    </row>
    <row r="3059" spans="2:16">
      <c r="B3059" s="39" t="s">
        <v>12555</v>
      </c>
      <c r="C3059" s="2139"/>
      <c r="D3059" s="803"/>
      <c r="E3059" s="803">
        <v>16</v>
      </c>
      <c r="F3059" t="s">
        <v>12556</v>
      </c>
      <c r="G3059" t="s">
        <v>127</v>
      </c>
      <c r="H3059" t="s">
        <v>95</v>
      </c>
      <c r="I3059" t="s">
        <v>10240</v>
      </c>
      <c r="K3059" s="799" t="s">
        <v>10241</v>
      </c>
      <c r="L3059" s="799" t="s">
        <v>10241</v>
      </c>
      <c r="M3059" s="790" t="s">
        <v>12557</v>
      </c>
      <c r="O3059" s="790" t="s">
        <v>12542</v>
      </c>
      <c r="P3059" s="790" t="s">
        <v>10244</v>
      </c>
    </row>
    <row r="3060" spans="2:16">
      <c r="B3060" s="39" t="s">
        <v>12558</v>
      </c>
      <c r="C3060" s="2139"/>
      <c r="D3060" s="803"/>
      <c r="E3060" s="803"/>
      <c r="F3060" t="s">
        <v>12559</v>
      </c>
      <c r="G3060" t="s">
        <v>127</v>
      </c>
      <c r="H3060" t="s">
        <v>95</v>
      </c>
      <c r="I3060" t="s">
        <v>10240</v>
      </c>
      <c r="K3060" s="799" t="s">
        <v>10241</v>
      </c>
      <c r="L3060" s="799" t="s">
        <v>10241</v>
      </c>
      <c r="M3060" s="790" t="s">
        <v>12557</v>
      </c>
      <c r="O3060" s="790" t="s">
        <v>12545</v>
      </c>
      <c r="P3060" s="790" t="s">
        <v>10244</v>
      </c>
    </row>
    <row r="3061" spans="2:16">
      <c r="B3061" s="39" t="s">
        <v>12560</v>
      </c>
      <c r="C3061" s="2139"/>
      <c r="D3061" s="803"/>
      <c r="E3061" s="803">
        <v>18730</v>
      </c>
      <c r="F3061" t="s">
        <v>12561</v>
      </c>
      <c r="G3061" t="s">
        <v>127</v>
      </c>
      <c r="H3061" t="s">
        <v>95</v>
      </c>
      <c r="I3061" t="s">
        <v>10240</v>
      </c>
      <c r="K3061" s="799" t="s">
        <v>10241</v>
      </c>
      <c r="L3061" s="799" t="s">
        <v>10241</v>
      </c>
      <c r="M3061" s="790" t="s">
        <v>12557</v>
      </c>
      <c r="O3061" s="790" t="s">
        <v>12548</v>
      </c>
      <c r="P3061" s="790" t="s">
        <v>10244</v>
      </c>
    </row>
    <row r="3062" spans="2:16">
      <c r="B3062" s="39" t="s">
        <v>12562</v>
      </c>
      <c r="C3062" s="2139"/>
      <c r="D3062" s="803"/>
      <c r="E3062" s="803"/>
      <c r="F3062" t="s">
        <v>12563</v>
      </c>
      <c r="G3062" t="s">
        <v>127</v>
      </c>
      <c r="H3062" t="s">
        <v>95</v>
      </c>
      <c r="I3062" t="s">
        <v>10240</v>
      </c>
      <c r="K3062" s="799" t="s">
        <v>10241</v>
      </c>
      <c r="L3062" s="799" t="s">
        <v>10241</v>
      </c>
      <c r="M3062" s="790" t="s">
        <v>12557</v>
      </c>
      <c r="O3062" s="790" t="s">
        <v>12551</v>
      </c>
      <c r="P3062" s="790" t="s">
        <v>10244</v>
      </c>
    </row>
    <row r="3063" spans="2:16">
      <c r="B3063" s="39" t="s">
        <v>12564</v>
      </c>
      <c r="C3063" s="2139"/>
      <c r="D3063" s="803"/>
      <c r="E3063" s="803">
        <v>37987</v>
      </c>
      <c r="F3063" t="s">
        <v>12565</v>
      </c>
      <c r="G3063" t="s">
        <v>127</v>
      </c>
      <c r="H3063" t="s">
        <v>95</v>
      </c>
      <c r="I3063" t="s">
        <v>10240</v>
      </c>
      <c r="K3063" s="799" t="s">
        <v>10241</v>
      </c>
      <c r="L3063" s="799" t="s">
        <v>10241</v>
      </c>
      <c r="M3063" s="790" t="s">
        <v>12566</v>
      </c>
      <c r="O3063" s="790" t="s">
        <v>12542</v>
      </c>
      <c r="P3063" s="790" t="s">
        <v>10244</v>
      </c>
    </row>
    <row r="3064" spans="2:16">
      <c r="B3064" s="39" t="s">
        <v>12567</v>
      </c>
      <c r="C3064" s="2139"/>
      <c r="D3064" s="803"/>
      <c r="E3064" s="803">
        <v>2</v>
      </c>
      <c r="F3064" t="s">
        <v>12568</v>
      </c>
      <c r="G3064" t="s">
        <v>127</v>
      </c>
      <c r="H3064" t="s">
        <v>95</v>
      </c>
      <c r="I3064" t="s">
        <v>10240</v>
      </c>
      <c r="K3064" s="799" t="s">
        <v>10241</v>
      </c>
      <c r="L3064" s="799" t="s">
        <v>10241</v>
      </c>
      <c r="M3064" s="790" t="s">
        <v>12566</v>
      </c>
      <c r="O3064" s="790" t="s">
        <v>12551</v>
      </c>
      <c r="P3064" s="790" t="s">
        <v>10244</v>
      </c>
    </row>
    <row r="3065" spans="2:16">
      <c r="B3065" s="39" t="s">
        <v>12569</v>
      </c>
      <c r="C3065" s="2139"/>
      <c r="D3065" s="803"/>
      <c r="E3065" s="803">
        <v>2</v>
      </c>
      <c r="F3065" t="s">
        <v>12570</v>
      </c>
      <c r="G3065" t="s">
        <v>127</v>
      </c>
      <c r="H3065" t="s">
        <v>95</v>
      </c>
      <c r="I3065" t="s">
        <v>10240</v>
      </c>
      <c r="K3065" s="799" t="s">
        <v>10241</v>
      </c>
      <c r="L3065" s="799" t="s">
        <v>10241</v>
      </c>
      <c r="M3065" s="790" t="s">
        <v>12566</v>
      </c>
      <c r="O3065" s="790" t="s">
        <v>12571</v>
      </c>
      <c r="P3065" s="790" t="s">
        <v>10244</v>
      </c>
    </row>
    <row r="3066" spans="2:16">
      <c r="B3066" s="39" t="s">
        <v>12572</v>
      </c>
      <c r="C3066" s="2139"/>
      <c r="D3066" s="803"/>
      <c r="E3066" s="803">
        <v>10</v>
      </c>
      <c r="F3066" t="s">
        <v>12573</v>
      </c>
      <c r="G3066" t="s">
        <v>127</v>
      </c>
      <c r="H3066" t="s">
        <v>95</v>
      </c>
      <c r="I3066" t="s">
        <v>10240</v>
      </c>
      <c r="K3066" s="799" t="s">
        <v>10241</v>
      </c>
      <c r="L3066" s="799" t="s">
        <v>10241</v>
      </c>
      <c r="M3066" s="790" t="s">
        <v>12574</v>
      </c>
      <c r="O3066" s="790" t="s">
        <v>12542</v>
      </c>
      <c r="P3066" s="790" t="s">
        <v>10244</v>
      </c>
    </row>
    <row r="3067" spans="2:16">
      <c r="B3067" s="39" t="s">
        <v>12575</v>
      </c>
      <c r="C3067" s="2139"/>
      <c r="D3067" s="803"/>
      <c r="E3067" s="803"/>
      <c r="F3067" t="s">
        <v>12576</v>
      </c>
      <c r="G3067" t="s">
        <v>127</v>
      </c>
      <c r="H3067" t="s">
        <v>95</v>
      </c>
      <c r="I3067" t="s">
        <v>10240</v>
      </c>
      <c r="K3067" s="799" t="s">
        <v>10241</v>
      </c>
      <c r="L3067" s="799" t="s">
        <v>10241</v>
      </c>
      <c r="M3067" s="790" t="s">
        <v>12574</v>
      </c>
      <c r="O3067" s="790" t="s">
        <v>12545</v>
      </c>
      <c r="P3067" s="790" t="s">
        <v>10244</v>
      </c>
    </row>
    <row r="3068" spans="2:16">
      <c r="B3068" s="39" t="s">
        <v>12577</v>
      </c>
      <c r="C3068" s="2139"/>
      <c r="D3068" s="803"/>
      <c r="E3068" s="803">
        <v>10586</v>
      </c>
      <c r="F3068" t="s">
        <v>12578</v>
      </c>
      <c r="G3068" t="s">
        <v>127</v>
      </c>
      <c r="H3068" t="s">
        <v>95</v>
      </c>
      <c r="I3068" t="s">
        <v>10240</v>
      </c>
      <c r="K3068" s="799" t="s">
        <v>10241</v>
      </c>
      <c r="L3068" s="799" t="s">
        <v>10241</v>
      </c>
      <c r="M3068" s="790" t="s">
        <v>12574</v>
      </c>
      <c r="O3068" s="790" t="s">
        <v>12548</v>
      </c>
      <c r="P3068" s="790" t="s">
        <v>10244</v>
      </c>
    </row>
    <row r="3069" spans="2:16">
      <c r="B3069" s="39" t="s">
        <v>12579</v>
      </c>
      <c r="C3069" s="2139"/>
      <c r="D3069" s="803"/>
      <c r="E3069" s="803"/>
      <c r="F3069" t="s">
        <v>12580</v>
      </c>
      <c r="G3069" t="s">
        <v>127</v>
      </c>
      <c r="H3069" t="s">
        <v>95</v>
      </c>
      <c r="I3069" t="s">
        <v>10240</v>
      </c>
      <c r="K3069" s="799" t="s">
        <v>10241</v>
      </c>
      <c r="L3069" s="799" t="s">
        <v>10241</v>
      </c>
      <c r="M3069" s="790" t="s">
        <v>12574</v>
      </c>
      <c r="O3069" s="790" t="s">
        <v>12551</v>
      </c>
      <c r="P3069" s="790" t="s">
        <v>10244</v>
      </c>
    </row>
    <row r="3070" spans="2:16">
      <c r="D3070" s="28" t="s">
        <v>12581</v>
      </c>
      <c r="E3070" s="219" t="s">
        <v>12582</v>
      </c>
      <c r="F3070" s="1071" t="s">
        <v>10287</v>
      </c>
      <c r="G3070" s="14"/>
    </row>
    <row r="3071" spans="2:16">
      <c r="B3071" s="477" t="s">
        <v>12583</v>
      </c>
      <c r="D3071" s="803">
        <f>COUNTIF(H3:H3053,"=Mth")</f>
        <v>1</v>
      </c>
      <c r="E3071" s="803">
        <f>COUNTIF(H3:H3053,"=YTD")</f>
        <v>337</v>
      </c>
      <c r="F3071" s="803">
        <f>COUNTIF(H3:H3053,"=Mth-YTD")*2</f>
        <v>5422</v>
      </c>
      <c r="G3071" s="7"/>
      <c r="J3071">
        <v>725</v>
      </c>
    </row>
    <row r="3072" spans="2:16">
      <c r="B3072" s="5">
        <f>COUNTA(H3:H3069)</f>
        <v>3065</v>
      </c>
      <c r="D3072" s="803">
        <f>COUNTIF(H3:H1191,"=Mth")</f>
        <v>1</v>
      </c>
      <c r="E3072" s="803">
        <f>COUNTIF(H3:H1191,"=YTD")</f>
        <v>225</v>
      </c>
      <c r="F3072" s="803">
        <f>COUNTIF(H3:H1191,"=Mth-YTD")*2</f>
        <v>1926</v>
      </c>
    </row>
    <row r="3073" spans="4:6">
      <c r="D3073" s="803">
        <f>COUNTIF(H1192:H3053,"=Mth")</f>
        <v>0</v>
      </c>
      <c r="E3073" s="803">
        <f>COUNTIF(H1192:H3053,"=YTD")</f>
        <v>112</v>
      </c>
      <c r="F3073" s="803">
        <f>COUNTIF(H1192:H3053,"=Mth-YTD")*2</f>
        <v>3496</v>
      </c>
    </row>
    <row r="3074" spans="4:6">
      <c r="D3074" s="803">
        <f>SUM(D3072:D3073)</f>
        <v>1</v>
      </c>
      <c r="E3074" s="803">
        <f>SUM(E3072:E3073)</f>
        <v>337</v>
      </c>
      <c r="F3074" s="803">
        <f>SUM(F3072:F3073)</f>
        <v>5422</v>
      </c>
    </row>
  </sheetData>
  <phoneticPr fontId="7" type="noConversion"/>
  <printOptions gridLines="1"/>
  <pageMargins left="0.25" right="0.25" top="1" bottom="1" header="0.5" footer="0.5"/>
  <pageSetup orientation="landscape"/>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pageSetUpPr fitToPage="1"/>
  </sheetPr>
  <dimension ref="A1:M728"/>
  <sheetViews>
    <sheetView showRowColHeaders="0" workbookViewId="0">
      <pane xSplit="1" ySplit="1" topLeftCell="B2" activePane="bottomRight" state="frozen"/>
      <selection activeCell="C2147" sqref="C2147"/>
      <selection pane="topRight" activeCell="C2147" sqref="C2147"/>
      <selection pane="bottomLeft" activeCell="C2147" sqref="C2147"/>
      <selection pane="bottomRight"/>
    </sheetView>
  </sheetViews>
  <sheetFormatPr baseColWidth="10" defaultColWidth="9.1796875" defaultRowHeight="11.5"/>
  <cols>
    <col min="1" max="1" width="14.1796875" style="530" customWidth="1"/>
    <col min="2" max="2" width="41" style="534" customWidth="1"/>
    <col min="3" max="3" width="9.453125" style="851" customWidth="1"/>
    <col min="4" max="4" width="9" style="1065" customWidth="1"/>
    <col min="5" max="5" width="9.453125" style="534" bestFit="1" customWidth="1"/>
    <col min="6" max="6" width="9.453125" style="534" customWidth="1"/>
    <col min="7" max="7" width="10.81640625" style="534" bestFit="1" customWidth="1"/>
    <col min="8" max="8" width="9.1796875" style="534" customWidth="1"/>
    <col min="9" max="16384" width="9.1796875" style="534"/>
  </cols>
  <sheetData>
    <row r="1" spans="1:13" s="531" customFormat="1" ht="23">
      <c r="A1" s="533" t="s">
        <v>10286</v>
      </c>
      <c r="B1" s="533" t="s">
        <v>12584</v>
      </c>
      <c r="C1" s="850" t="s">
        <v>12585</v>
      </c>
      <c r="D1" s="1065" t="s">
        <v>12586</v>
      </c>
      <c r="E1" s="531" t="s">
        <v>12587</v>
      </c>
      <c r="F1" s="531" t="s">
        <v>12588</v>
      </c>
      <c r="G1" s="1697" t="s">
        <v>12589</v>
      </c>
      <c r="H1" s="531" t="s">
        <v>12590</v>
      </c>
      <c r="K1" s="531" t="s">
        <v>12591</v>
      </c>
    </row>
    <row r="2" spans="1:13" s="533" customFormat="1" ht="12" customHeight="1">
      <c r="A2" s="532" t="s">
        <v>12592</v>
      </c>
      <c r="B2" s="533" t="s">
        <v>12593</v>
      </c>
      <c r="C2" s="1529"/>
      <c r="D2" s="1066"/>
      <c r="E2" s="532" t="s">
        <v>12594</v>
      </c>
      <c r="F2" s="532" t="s">
        <v>12595</v>
      </c>
      <c r="K2" s="533" t="s">
        <v>12596</v>
      </c>
      <c r="M2" s="533" t="s">
        <v>12597</v>
      </c>
    </row>
    <row r="3" spans="1:13">
      <c r="A3" s="530" t="s">
        <v>12598</v>
      </c>
      <c r="B3" s="534" t="s">
        <v>12599</v>
      </c>
      <c r="C3" s="1529">
        <v>40544</v>
      </c>
      <c r="D3" s="1065" t="s">
        <v>12600</v>
      </c>
      <c r="E3" s="535">
        <v>20000</v>
      </c>
      <c r="F3" s="535">
        <v>135000</v>
      </c>
      <c r="G3" s="1827"/>
      <c r="H3" s="534" t="s">
        <v>12601</v>
      </c>
      <c r="K3" s="534" t="s">
        <v>12593</v>
      </c>
      <c r="M3" s="534" t="s">
        <v>12602</v>
      </c>
    </row>
    <row r="4" spans="1:13">
      <c r="A4" s="530" t="s">
        <v>12603</v>
      </c>
      <c r="B4" s="534" t="s">
        <v>12604</v>
      </c>
      <c r="C4" s="1529">
        <v>39731</v>
      </c>
      <c r="D4" s="1065" t="s">
        <v>12605</v>
      </c>
      <c r="E4" s="535">
        <v>13000</v>
      </c>
      <c r="F4" s="535">
        <v>110000</v>
      </c>
      <c r="H4" s="534" t="s">
        <v>12601</v>
      </c>
      <c r="K4" s="534" t="s">
        <v>12606</v>
      </c>
      <c r="M4" s="534" t="s">
        <v>12607</v>
      </c>
    </row>
    <row r="5" spans="1:13">
      <c r="A5" s="530" t="s">
        <v>12608</v>
      </c>
      <c r="B5" s="534" t="s">
        <v>12609</v>
      </c>
      <c r="C5" s="1529">
        <v>40544</v>
      </c>
      <c r="D5" s="1065" t="s">
        <v>12610</v>
      </c>
      <c r="E5" s="535">
        <v>10000</v>
      </c>
      <c r="F5" s="535">
        <v>90000</v>
      </c>
      <c r="H5" s="534" t="s">
        <v>12601</v>
      </c>
      <c r="K5" s="534" t="s">
        <v>12611</v>
      </c>
      <c r="M5" s="534" t="s">
        <v>12612</v>
      </c>
    </row>
    <row r="6" spans="1:13">
      <c r="A6" s="530" t="s">
        <v>12613</v>
      </c>
      <c r="B6" s="534" t="s">
        <v>12614</v>
      </c>
      <c r="C6" s="1529">
        <v>39731</v>
      </c>
      <c r="D6" s="1065" t="s">
        <v>12615</v>
      </c>
      <c r="E6" s="535">
        <v>15000</v>
      </c>
      <c r="F6" s="535">
        <v>110000</v>
      </c>
      <c r="H6" s="534" t="s">
        <v>12601</v>
      </c>
      <c r="K6" s="534" t="s">
        <v>12616</v>
      </c>
      <c r="M6" s="534" t="s">
        <v>12617</v>
      </c>
    </row>
    <row r="7" spans="1:13">
      <c r="A7" s="530" t="s">
        <v>12618</v>
      </c>
      <c r="B7" s="534" t="s">
        <v>12619</v>
      </c>
      <c r="C7" s="1529">
        <v>40544</v>
      </c>
      <c r="D7" s="1065" t="s">
        <v>12620</v>
      </c>
      <c r="E7" s="535">
        <v>10000</v>
      </c>
      <c r="F7" s="535">
        <v>90000</v>
      </c>
      <c r="H7" s="534" t="s">
        <v>12601</v>
      </c>
      <c r="K7" s="534" t="s">
        <v>12621</v>
      </c>
      <c r="M7" s="534" t="s">
        <v>12622</v>
      </c>
    </row>
    <row r="8" spans="1:13">
      <c r="A8" s="530" t="s">
        <v>12623</v>
      </c>
      <c r="B8" s="534" t="s">
        <v>12624</v>
      </c>
      <c r="C8" s="1529">
        <v>39864</v>
      </c>
      <c r="D8" s="1065" t="s">
        <v>12625</v>
      </c>
      <c r="E8" s="535">
        <v>40000</v>
      </c>
      <c r="F8" s="535">
        <v>230000</v>
      </c>
      <c r="H8" s="534" t="s">
        <v>12601</v>
      </c>
      <c r="K8" s="534" t="s">
        <v>12626</v>
      </c>
      <c r="M8" s="534" t="s">
        <v>12627</v>
      </c>
    </row>
    <row r="9" spans="1:13">
      <c r="A9" s="530" t="s">
        <v>12628</v>
      </c>
      <c r="B9" s="534" t="s">
        <v>12629</v>
      </c>
      <c r="C9" s="1529">
        <v>45292</v>
      </c>
      <c r="D9" s="1065" t="s">
        <v>12630</v>
      </c>
      <c r="E9" s="535">
        <v>5000</v>
      </c>
      <c r="F9" s="535">
        <v>250000</v>
      </c>
      <c r="H9" s="534" t="s">
        <v>12601</v>
      </c>
      <c r="K9" s="534" t="s">
        <v>12631</v>
      </c>
      <c r="M9" s="534" t="s">
        <v>12632</v>
      </c>
    </row>
    <row r="10" spans="1:13">
      <c r="A10" s="530" t="s">
        <v>12633</v>
      </c>
      <c r="B10" s="534" t="s">
        <v>12634</v>
      </c>
      <c r="C10" s="1529">
        <v>44986</v>
      </c>
      <c r="D10" s="1065" t="s">
        <v>12635</v>
      </c>
      <c r="E10" s="535">
        <v>10</v>
      </c>
      <c r="F10" s="535">
        <v>100</v>
      </c>
      <c r="H10" s="534" t="s">
        <v>12636</v>
      </c>
      <c r="K10" s="534" t="s">
        <v>12637</v>
      </c>
      <c r="M10" s="534" t="s">
        <v>12638</v>
      </c>
    </row>
    <row r="11" spans="1:13">
      <c r="A11" s="530" t="s">
        <v>12639</v>
      </c>
      <c r="B11" s="534" t="s">
        <v>12634</v>
      </c>
      <c r="C11" s="1529">
        <v>39818</v>
      </c>
      <c r="D11" s="1065" t="s">
        <v>12640</v>
      </c>
      <c r="E11" s="535">
        <v>10</v>
      </c>
      <c r="F11" s="535">
        <v>100</v>
      </c>
      <c r="H11" s="534" t="s">
        <v>12636</v>
      </c>
      <c r="K11" s="534" t="s">
        <v>12641</v>
      </c>
      <c r="M11" s="534" t="s">
        <v>12642</v>
      </c>
    </row>
    <row r="12" spans="1:13">
      <c r="A12" s="530" t="s">
        <v>12643</v>
      </c>
      <c r="B12" s="534" t="s">
        <v>12634</v>
      </c>
      <c r="C12" s="1529">
        <v>42370</v>
      </c>
      <c r="D12" s="1065" t="s">
        <v>12644</v>
      </c>
      <c r="E12" s="535">
        <v>10</v>
      </c>
      <c r="F12" s="535">
        <v>100</v>
      </c>
      <c r="H12" s="534" t="s">
        <v>12636</v>
      </c>
      <c r="K12" s="534" t="s">
        <v>12645</v>
      </c>
      <c r="M12" s="534" t="s">
        <v>12646</v>
      </c>
    </row>
    <row r="13" spans="1:13">
      <c r="A13" s="530" t="s">
        <v>12647</v>
      </c>
      <c r="B13" s="534" t="s">
        <v>12648</v>
      </c>
      <c r="C13" s="1529">
        <v>39731</v>
      </c>
      <c r="D13" s="1065" t="s">
        <v>12649</v>
      </c>
      <c r="E13" s="535">
        <v>20000</v>
      </c>
      <c r="F13" s="535">
        <v>141000</v>
      </c>
      <c r="H13" s="534" t="s">
        <v>12601</v>
      </c>
      <c r="K13" s="534" t="s">
        <v>12650</v>
      </c>
      <c r="M13" s="534" t="s">
        <v>12651</v>
      </c>
    </row>
    <row r="14" spans="1:13">
      <c r="A14" s="530" t="s">
        <v>12652</v>
      </c>
      <c r="B14" s="534" t="s">
        <v>12653</v>
      </c>
      <c r="C14" s="1529">
        <v>39731</v>
      </c>
      <c r="D14" s="1065" t="s">
        <v>12654</v>
      </c>
      <c r="E14" s="535">
        <v>8000</v>
      </c>
      <c r="F14" s="535">
        <v>105000</v>
      </c>
      <c r="H14" s="534" t="s">
        <v>12601</v>
      </c>
      <c r="K14" s="534" t="s">
        <v>12655</v>
      </c>
      <c r="M14" s="534" t="s">
        <v>12656</v>
      </c>
    </row>
    <row r="15" spans="1:13">
      <c r="A15" s="530" t="s">
        <v>12657</v>
      </c>
      <c r="B15" s="534" t="s">
        <v>12634</v>
      </c>
      <c r="C15" s="1529">
        <v>37987</v>
      </c>
      <c r="D15" s="1065" t="s">
        <v>12658</v>
      </c>
      <c r="E15" s="535">
        <v>10</v>
      </c>
      <c r="F15" s="535">
        <v>100</v>
      </c>
      <c r="K15" s="534" t="s">
        <v>12659</v>
      </c>
      <c r="M15" s="534" t="s">
        <v>12660</v>
      </c>
    </row>
    <row r="16" spans="1:13">
      <c r="A16" s="530" t="s">
        <v>12661</v>
      </c>
      <c r="B16" s="534" t="s">
        <v>12634</v>
      </c>
      <c r="C16" s="1529">
        <v>37987</v>
      </c>
      <c r="D16" s="1065" t="s">
        <v>12662</v>
      </c>
      <c r="E16" s="535">
        <v>10</v>
      </c>
      <c r="F16" s="535">
        <v>100</v>
      </c>
      <c r="K16" s="534" t="s">
        <v>12663</v>
      </c>
      <c r="M16" s="534" t="s">
        <v>12664</v>
      </c>
    </row>
    <row r="17" spans="1:13">
      <c r="A17" s="530" t="s">
        <v>12665</v>
      </c>
      <c r="B17" s="534" t="s">
        <v>12634</v>
      </c>
      <c r="C17" s="1529">
        <v>37987</v>
      </c>
      <c r="D17" s="1065" t="s">
        <v>12666</v>
      </c>
      <c r="E17" s="535">
        <v>10</v>
      </c>
      <c r="F17" s="535">
        <v>100</v>
      </c>
      <c r="K17" s="534" t="s">
        <v>12667</v>
      </c>
      <c r="M17" s="534" t="s">
        <v>12668</v>
      </c>
    </row>
    <row r="18" spans="1:13">
      <c r="A18" s="530" t="s">
        <v>12669</v>
      </c>
      <c r="B18" s="534" t="s">
        <v>12634</v>
      </c>
      <c r="C18" s="1529">
        <v>37987</v>
      </c>
      <c r="D18" s="1065" t="s">
        <v>12670</v>
      </c>
      <c r="E18" s="535">
        <v>10</v>
      </c>
      <c r="F18" s="535">
        <v>100</v>
      </c>
      <c r="K18" s="534" t="s">
        <v>12671</v>
      </c>
      <c r="M18" s="534" t="s">
        <v>12672</v>
      </c>
    </row>
    <row r="19" spans="1:13">
      <c r="A19" s="530" t="s">
        <v>12673</v>
      </c>
      <c r="B19" s="534" t="s">
        <v>12674</v>
      </c>
      <c r="C19" s="1529">
        <v>37987</v>
      </c>
      <c r="D19" s="1065" t="s">
        <v>12675</v>
      </c>
      <c r="E19" s="535">
        <v>0</v>
      </c>
      <c r="F19" s="535">
        <v>999999</v>
      </c>
    </row>
    <row r="20" spans="1:13">
      <c r="A20" s="530" t="s">
        <v>12676</v>
      </c>
      <c r="B20" s="534" t="s">
        <v>12634</v>
      </c>
      <c r="C20" s="1529">
        <v>39083</v>
      </c>
      <c r="D20" s="1065" t="s">
        <v>12677</v>
      </c>
      <c r="E20" s="535">
        <v>10</v>
      </c>
      <c r="F20" s="535">
        <v>100</v>
      </c>
      <c r="G20" s="1827">
        <v>39044</v>
      </c>
    </row>
    <row r="21" spans="1:13">
      <c r="A21" s="530" t="s">
        <v>12678</v>
      </c>
      <c r="B21" s="534" t="s">
        <v>12679</v>
      </c>
      <c r="C21" s="1529">
        <v>37987</v>
      </c>
      <c r="D21" s="1065" t="s">
        <v>12680</v>
      </c>
      <c r="E21" s="535">
        <v>12000</v>
      </c>
      <c r="F21" s="535">
        <v>125000</v>
      </c>
      <c r="H21" s="534" t="s">
        <v>12601</v>
      </c>
    </row>
    <row r="22" spans="1:13">
      <c r="A22" s="530" t="s">
        <v>4430</v>
      </c>
      <c r="C22" s="1529"/>
      <c r="E22" s="535"/>
      <c r="F22" s="535"/>
    </row>
    <row r="23" spans="1:13">
      <c r="A23" s="530" t="s">
        <v>12681</v>
      </c>
      <c r="B23" s="534" t="s">
        <v>12682</v>
      </c>
      <c r="C23" s="1529">
        <v>38069</v>
      </c>
      <c r="D23" s="1065" t="s">
        <v>12683</v>
      </c>
      <c r="E23" s="535">
        <v>7000</v>
      </c>
      <c r="F23" s="535">
        <v>150000</v>
      </c>
    </row>
    <row r="24" spans="1:13">
      <c r="A24" s="530" t="s">
        <v>12684</v>
      </c>
      <c r="B24" s="534" t="s">
        <v>12685</v>
      </c>
      <c r="C24" s="1529">
        <v>38069</v>
      </c>
      <c r="D24" s="1065" t="s">
        <v>12686</v>
      </c>
      <c r="E24" s="535">
        <v>1</v>
      </c>
      <c r="F24" s="535">
        <v>150000</v>
      </c>
      <c r="H24" s="534" t="s">
        <v>12687</v>
      </c>
    </row>
    <row r="25" spans="1:13">
      <c r="A25" s="530" t="s">
        <v>12688</v>
      </c>
      <c r="B25" s="534" t="s">
        <v>12689</v>
      </c>
      <c r="C25" s="1529">
        <v>38069</v>
      </c>
      <c r="D25" s="1065" t="s">
        <v>12690</v>
      </c>
      <c r="E25" s="535">
        <v>7000</v>
      </c>
      <c r="F25" s="535">
        <v>150000</v>
      </c>
    </row>
    <row r="26" spans="1:13">
      <c r="A26" s="532" t="s">
        <v>12691</v>
      </c>
      <c r="B26" s="534" t="s">
        <v>12692</v>
      </c>
      <c r="C26" s="1529"/>
      <c r="E26" s="535"/>
      <c r="F26" s="535"/>
    </row>
    <row r="27" spans="1:13">
      <c r="A27" s="530" t="s">
        <v>12693</v>
      </c>
      <c r="B27" s="534" t="s">
        <v>12634</v>
      </c>
      <c r="C27" s="1529">
        <v>42370</v>
      </c>
      <c r="D27" s="1065" t="s">
        <v>12694</v>
      </c>
      <c r="E27" s="535">
        <v>10</v>
      </c>
      <c r="F27" s="535">
        <v>100</v>
      </c>
      <c r="G27" s="1827">
        <v>39044</v>
      </c>
    </row>
    <row r="28" spans="1:13">
      <c r="A28" s="530" t="s">
        <v>12695</v>
      </c>
      <c r="B28" s="534" t="s">
        <v>12634</v>
      </c>
      <c r="C28" s="1529">
        <v>44986</v>
      </c>
      <c r="D28" s="1065" t="s">
        <v>12696</v>
      </c>
      <c r="E28" s="535">
        <v>10</v>
      </c>
      <c r="F28" s="535">
        <v>100</v>
      </c>
      <c r="G28" s="1827"/>
    </row>
    <row r="29" spans="1:13">
      <c r="A29" s="530" t="s">
        <v>12697</v>
      </c>
      <c r="B29" s="534" t="s">
        <v>12698</v>
      </c>
      <c r="C29" s="1529">
        <v>39083</v>
      </c>
      <c r="D29" s="1065" t="s">
        <v>12699</v>
      </c>
      <c r="E29" s="535">
        <v>20000</v>
      </c>
      <c r="F29" s="535">
        <v>130000</v>
      </c>
      <c r="G29" s="1827">
        <v>39044</v>
      </c>
      <c r="H29" s="534" t="s">
        <v>12700</v>
      </c>
    </row>
    <row r="30" spans="1:13">
      <c r="A30" s="530" t="s">
        <v>12701</v>
      </c>
      <c r="B30" s="534" t="s">
        <v>12702</v>
      </c>
      <c r="C30" s="1529">
        <v>39083</v>
      </c>
      <c r="D30" s="1065" t="s">
        <v>12703</v>
      </c>
      <c r="E30" s="535">
        <v>20000</v>
      </c>
      <c r="F30" s="535">
        <v>130000</v>
      </c>
      <c r="G30" s="1827">
        <v>39044</v>
      </c>
      <c r="H30" s="534" t="s">
        <v>12704</v>
      </c>
    </row>
    <row r="31" spans="1:13">
      <c r="A31" s="530" t="s">
        <v>12705</v>
      </c>
      <c r="B31" s="534" t="s">
        <v>12706</v>
      </c>
      <c r="C31" s="1529">
        <v>39731</v>
      </c>
      <c r="D31" s="1065" t="s">
        <v>12707</v>
      </c>
      <c r="E31" s="535">
        <v>24000</v>
      </c>
      <c r="F31" s="535">
        <v>130000</v>
      </c>
      <c r="G31" s="1827">
        <v>39044</v>
      </c>
      <c r="H31" s="534" t="s">
        <v>12708</v>
      </c>
    </row>
    <row r="32" spans="1:13">
      <c r="A32" s="530" t="s">
        <v>12709</v>
      </c>
      <c r="B32" s="534" t="s">
        <v>12710</v>
      </c>
      <c r="C32" s="1529">
        <v>41183</v>
      </c>
      <c r="D32" s="1065" t="s">
        <v>12711</v>
      </c>
      <c r="E32" s="535">
        <v>15000</v>
      </c>
      <c r="F32" s="535">
        <v>115000</v>
      </c>
      <c r="G32" s="2163" t="s">
        <v>12712</v>
      </c>
      <c r="H32" s="534" t="s">
        <v>12713</v>
      </c>
    </row>
    <row r="33" spans="1:8">
      <c r="A33" s="530" t="s">
        <v>12714</v>
      </c>
      <c r="B33" s="534" t="s">
        <v>12715</v>
      </c>
      <c r="C33" s="1529">
        <v>38468</v>
      </c>
      <c r="D33" s="1065" t="s">
        <v>12716</v>
      </c>
      <c r="E33" s="535">
        <v>24000</v>
      </c>
      <c r="F33" s="535">
        <v>150000</v>
      </c>
      <c r="H33" s="534" t="s">
        <v>12717</v>
      </c>
    </row>
    <row r="34" spans="1:8">
      <c r="A34" s="530" t="s">
        <v>12718</v>
      </c>
      <c r="B34" s="534" t="s">
        <v>12719</v>
      </c>
      <c r="C34" s="1529">
        <v>39731</v>
      </c>
      <c r="D34" s="1065" t="s">
        <v>12720</v>
      </c>
      <c r="E34" s="535">
        <v>12000</v>
      </c>
      <c r="F34" s="535">
        <v>140000</v>
      </c>
      <c r="H34" s="534" t="s">
        <v>12717</v>
      </c>
    </row>
    <row r="35" spans="1:8">
      <c r="A35" s="530" t="s">
        <v>12721</v>
      </c>
      <c r="B35" s="534" t="s">
        <v>12722</v>
      </c>
      <c r="C35" s="1529">
        <v>40544</v>
      </c>
      <c r="D35" s="1065" t="s">
        <v>12723</v>
      </c>
      <c r="E35" s="535">
        <v>18000</v>
      </c>
      <c r="F35" s="535">
        <v>160000</v>
      </c>
      <c r="H35" s="534" t="s">
        <v>12717</v>
      </c>
    </row>
    <row r="36" spans="1:8">
      <c r="A36" s="530" t="s">
        <v>12724</v>
      </c>
      <c r="B36" s="534" t="s">
        <v>12725</v>
      </c>
      <c r="C36" s="1529">
        <v>38069</v>
      </c>
      <c r="D36" s="1065" t="s">
        <v>12726</v>
      </c>
      <c r="E36" s="535">
        <v>20000</v>
      </c>
      <c r="F36" s="535">
        <v>160000</v>
      </c>
      <c r="H36" s="534" t="s">
        <v>12717</v>
      </c>
    </row>
    <row r="37" spans="1:8">
      <c r="A37" s="530" t="s">
        <v>12727</v>
      </c>
      <c r="B37" s="534" t="s">
        <v>12728</v>
      </c>
      <c r="C37" s="1529">
        <v>43420</v>
      </c>
      <c r="D37" s="1065" t="s">
        <v>12729</v>
      </c>
      <c r="E37" s="535">
        <v>20000</v>
      </c>
      <c r="F37" s="535">
        <v>125000</v>
      </c>
      <c r="H37" s="534" t="s">
        <v>12708</v>
      </c>
    </row>
    <row r="38" spans="1:8">
      <c r="A38" s="530" t="s">
        <v>12730</v>
      </c>
      <c r="B38" s="534" t="s">
        <v>12731</v>
      </c>
      <c r="C38" s="1529">
        <v>39083</v>
      </c>
      <c r="D38" s="1065" t="s">
        <v>12732</v>
      </c>
      <c r="E38" s="535">
        <v>16000</v>
      </c>
      <c r="F38" s="535">
        <v>120000</v>
      </c>
      <c r="G38" s="1827">
        <v>39044</v>
      </c>
      <c r="H38" s="534" t="s">
        <v>12713</v>
      </c>
    </row>
    <row r="39" spans="1:8">
      <c r="A39" s="530" t="s">
        <v>12733</v>
      </c>
      <c r="B39" s="534" t="s">
        <v>12734</v>
      </c>
      <c r="C39" s="1529">
        <v>42775</v>
      </c>
      <c r="D39" s="1065" t="s">
        <v>12735</v>
      </c>
      <c r="E39" s="535">
        <v>15000</v>
      </c>
      <c r="F39" s="535">
        <v>98000</v>
      </c>
      <c r="G39" s="534" t="s">
        <v>12736</v>
      </c>
      <c r="H39" s="534" t="s">
        <v>12700</v>
      </c>
    </row>
    <row r="40" spans="1:8">
      <c r="A40" s="530" t="s">
        <v>12737</v>
      </c>
      <c r="B40" s="534" t="s">
        <v>12738</v>
      </c>
      <c r="C40" s="1529">
        <v>43831</v>
      </c>
      <c r="D40" s="1065" t="s">
        <v>12739</v>
      </c>
      <c r="E40" s="535">
        <v>15000</v>
      </c>
      <c r="F40" s="535">
        <v>120000</v>
      </c>
      <c r="H40" s="534" t="s">
        <v>12713</v>
      </c>
    </row>
    <row r="41" spans="1:8">
      <c r="A41" s="530" t="s">
        <v>12740</v>
      </c>
      <c r="B41" s="534" t="s">
        <v>12674</v>
      </c>
      <c r="C41" s="1529">
        <v>37987</v>
      </c>
      <c r="D41" s="1065" t="s">
        <v>12741</v>
      </c>
      <c r="E41" s="535">
        <v>0</v>
      </c>
      <c r="F41" s="535">
        <v>999999</v>
      </c>
    </row>
    <row r="42" spans="1:8">
      <c r="A42" s="530" t="s">
        <v>12742</v>
      </c>
      <c r="B42" s="534" t="s">
        <v>12679</v>
      </c>
      <c r="C42" s="1529">
        <v>38069</v>
      </c>
      <c r="D42" s="1065" t="s">
        <v>12743</v>
      </c>
      <c r="E42" s="535">
        <v>12000</v>
      </c>
      <c r="F42" s="535">
        <v>125000</v>
      </c>
    </row>
    <row r="43" spans="1:8">
      <c r="A43" s="530" t="s">
        <v>4430</v>
      </c>
      <c r="C43" s="1529"/>
    </row>
    <row r="44" spans="1:8">
      <c r="A44" s="530" t="s">
        <v>12744</v>
      </c>
      <c r="B44" s="534" t="s">
        <v>12745</v>
      </c>
      <c r="C44" s="1529">
        <v>38069</v>
      </c>
      <c r="D44" s="1065" t="s">
        <v>12746</v>
      </c>
      <c r="E44" s="535">
        <v>12000</v>
      </c>
      <c r="F44" s="535">
        <v>150000</v>
      </c>
    </row>
    <row r="45" spans="1:8">
      <c r="A45" s="530" t="s">
        <v>12747</v>
      </c>
      <c r="B45" s="534" t="s">
        <v>12748</v>
      </c>
      <c r="C45" s="1529">
        <v>38069</v>
      </c>
      <c r="D45" s="1065" t="s">
        <v>12749</v>
      </c>
      <c r="E45" s="535">
        <v>1</v>
      </c>
      <c r="F45" s="535">
        <v>150000</v>
      </c>
      <c r="H45" s="534" t="s">
        <v>12750</v>
      </c>
    </row>
    <row r="46" spans="1:8">
      <c r="A46" s="530" t="s">
        <v>12751</v>
      </c>
      <c r="B46" s="534" t="s">
        <v>12752</v>
      </c>
      <c r="C46" s="1529">
        <v>38069</v>
      </c>
      <c r="D46" s="1065" t="s">
        <v>12753</v>
      </c>
      <c r="E46" s="535">
        <v>17000</v>
      </c>
      <c r="F46" s="535">
        <v>150000</v>
      </c>
    </row>
    <row r="47" spans="1:8">
      <c r="A47" s="530" t="s">
        <v>12754</v>
      </c>
      <c r="C47" s="1529"/>
      <c r="D47" s="1065" t="s">
        <v>166</v>
      </c>
      <c r="E47" s="535"/>
      <c r="F47" s="535"/>
    </row>
    <row r="48" spans="1:8">
      <c r="A48" s="530" t="s">
        <v>12755</v>
      </c>
      <c r="B48" s="534" t="s">
        <v>166</v>
      </c>
      <c r="C48" s="1529"/>
      <c r="D48" s="1065" t="s">
        <v>166</v>
      </c>
    </row>
    <row r="49" spans="1:7">
      <c r="A49" s="530" t="s">
        <v>12756</v>
      </c>
      <c r="B49" s="837" t="s">
        <v>783</v>
      </c>
      <c r="C49" s="1529">
        <v>37987</v>
      </c>
      <c r="D49" s="1065" t="s">
        <v>12757</v>
      </c>
    </row>
    <row r="50" spans="1:7">
      <c r="C50" s="1529"/>
      <c r="F50" s="535"/>
    </row>
    <row r="51" spans="1:7">
      <c r="A51" s="533" t="s">
        <v>10299</v>
      </c>
      <c r="C51" s="1529"/>
    </row>
    <row r="52" spans="1:7" s="533" customFormat="1" ht="12" customHeight="1">
      <c r="A52" s="532" t="s">
        <v>12758</v>
      </c>
      <c r="B52" s="1782" t="s">
        <v>12759</v>
      </c>
      <c r="C52" s="1529"/>
      <c r="D52" s="1066"/>
      <c r="E52" s="532" t="s">
        <v>12594</v>
      </c>
      <c r="F52" s="532" t="s">
        <v>12595</v>
      </c>
    </row>
    <row r="53" spans="1:7">
      <c r="A53" s="530" t="s">
        <v>12598</v>
      </c>
      <c r="B53" s="534" t="s">
        <v>12634</v>
      </c>
      <c r="C53" s="1529">
        <v>42370</v>
      </c>
      <c r="D53" s="1065" t="s">
        <v>12760</v>
      </c>
      <c r="E53" s="535">
        <v>10</v>
      </c>
      <c r="F53" s="535">
        <v>100</v>
      </c>
    </row>
    <row r="54" spans="1:7">
      <c r="A54" s="530" t="s">
        <v>12603</v>
      </c>
      <c r="B54" s="534" t="s">
        <v>12634</v>
      </c>
      <c r="C54" s="1529">
        <v>39083</v>
      </c>
      <c r="D54" s="1065" t="s">
        <v>12761</v>
      </c>
      <c r="E54" s="535">
        <v>10</v>
      </c>
      <c r="F54" s="535">
        <v>100</v>
      </c>
      <c r="G54" s="1827"/>
    </row>
    <row r="55" spans="1:7">
      <c r="A55" s="530" t="s">
        <v>12608</v>
      </c>
      <c r="B55" s="534" t="s">
        <v>12634</v>
      </c>
      <c r="C55" s="1529">
        <v>39083</v>
      </c>
      <c r="D55" s="1065" t="s">
        <v>12762</v>
      </c>
      <c r="E55" s="535">
        <v>10</v>
      </c>
      <c r="F55" s="535">
        <v>100</v>
      </c>
      <c r="G55" s="1827"/>
    </row>
    <row r="56" spans="1:7">
      <c r="A56" s="530" t="s">
        <v>12613</v>
      </c>
      <c r="B56" s="534" t="s">
        <v>12634</v>
      </c>
      <c r="C56" s="1529">
        <v>40147</v>
      </c>
      <c r="D56" s="1065" t="s">
        <v>12763</v>
      </c>
      <c r="E56" s="535">
        <v>10</v>
      </c>
      <c r="F56" s="535">
        <v>100</v>
      </c>
    </row>
    <row r="57" spans="1:7">
      <c r="A57" s="530" t="s">
        <v>12618</v>
      </c>
      <c r="B57" s="534" t="s">
        <v>12634</v>
      </c>
      <c r="C57" s="1529">
        <v>39083</v>
      </c>
      <c r="D57" s="1065" t="s">
        <v>12764</v>
      </c>
      <c r="E57" s="535">
        <v>10</v>
      </c>
      <c r="F57" s="535">
        <v>100</v>
      </c>
      <c r="G57" s="1827"/>
    </row>
    <row r="58" spans="1:7">
      <c r="A58" s="530" t="s">
        <v>12623</v>
      </c>
      <c r="B58" s="534" t="s">
        <v>12634</v>
      </c>
      <c r="C58" s="1529">
        <v>42370</v>
      </c>
      <c r="D58" s="1065" t="s">
        <v>12765</v>
      </c>
      <c r="E58" s="535">
        <v>10</v>
      </c>
      <c r="F58" s="535">
        <v>100</v>
      </c>
    </row>
    <row r="59" spans="1:7">
      <c r="A59" s="530" t="s">
        <v>12628</v>
      </c>
      <c r="B59" s="534" t="s">
        <v>12634</v>
      </c>
      <c r="C59" s="1529">
        <v>42370</v>
      </c>
      <c r="D59" s="1065" t="s">
        <v>12766</v>
      </c>
      <c r="E59" s="535">
        <v>10</v>
      </c>
      <c r="F59" s="535">
        <v>100</v>
      </c>
      <c r="G59" s="1827"/>
    </row>
    <row r="60" spans="1:7">
      <c r="A60" s="530" t="s">
        <v>12633</v>
      </c>
      <c r="B60" s="534" t="s">
        <v>12634</v>
      </c>
      <c r="C60" s="1529">
        <v>42370</v>
      </c>
      <c r="D60" s="1065" t="s">
        <v>12767</v>
      </c>
      <c r="E60" s="535">
        <v>10</v>
      </c>
      <c r="F60" s="535">
        <v>100</v>
      </c>
    </row>
    <row r="61" spans="1:7">
      <c r="A61" s="530" t="s">
        <v>12639</v>
      </c>
      <c r="B61" s="534" t="s">
        <v>12634</v>
      </c>
      <c r="C61" s="1529">
        <v>42370</v>
      </c>
      <c r="D61" s="1065" t="s">
        <v>12768</v>
      </c>
      <c r="E61" s="535">
        <v>10</v>
      </c>
      <c r="F61" s="535">
        <v>100</v>
      </c>
    </row>
    <row r="62" spans="1:7">
      <c r="A62" s="530" t="s">
        <v>12643</v>
      </c>
      <c r="B62" s="534" t="s">
        <v>12634</v>
      </c>
      <c r="C62" s="1529">
        <v>42370</v>
      </c>
      <c r="D62" s="1065" t="s">
        <v>12769</v>
      </c>
      <c r="E62" s="535">
        <v>10</v>
      </c>
      <c r="F62" s="535">
        <v>100</v>
      </c>
    </row>
    <row r="63" spans="1:7">
      <c r="A63" s="530" t="s">
        <v>12647</v>
      </c>
      <c r="B63" s="534" t="s">
        <v>12634</v>
      </c>
      <c r="C63" s="1529">
        <v>37987</v>
      </c>
      <c r="D63" s="1065" t="s">
        <v>12770</v>
      </c>
      <c r="E63" s="535">
        <v>10</v>
      </c>
      <c r="F63" s="535">
        <v>100</v>
      </c>
    </row>
    <row r="64" spans="1:7">
      <c r="A64" s="530" t="s">
        <v>12652</v>
      </c>
      <c r="B64" s="534" t="s">
        <v>12634</v>
      </c>
      <c r="C64" s="1529">
        <v>37987</v>
      </c>
      <c r="D64" s="1065" t="s">
        <v>12771</v>
      </c>
      <c r="E64" s="535">
        <v>10</v>
      </c>
      <c r="F64" s="535">
        <v>100</v>
      </c>
    </row>
    <row r="65" spans="1:8">
      <c r="A65" s="530" t="s">
        <v>12657</v>
      </c>
      <c r="B65" s="534" t="s">
        <v>12634</v>
      </c>
      <c r="C65" s="1529">
        <v>37987</v>
      </c>
      <c r="D65" s="1065" t="s">
        <v>12772</v>
      </c>
      <c r="E65" s="535">
        <v>10</v>
      </c>
      <c r="F65" s="535">
        <v>100</v>
      </c>
    </row>
    <row r="66" spans="1:8">
      <c r="A66" s="530" t="s">
        <v>12661</v>
      </c>
      <c r="B66" s="534" t="s">
        <v>12634</v>
      </c>
      <c r="C66" s="1529">
        <v>37987</v>
      </c>
      <c r="D66" s="1065" t="s">
        <v>12773</v>
      </c>
      <c r="E66" s="535">
        <v>10</v>
      </c>
      <c r="F66" s="535">
        <v>100</v>
      </c>
    </row>
    <row r="67" spans="1:8">
      <c r="A67" s="530" t="s">
        <v>12665</v>
      </c>
      <c r="B67" s="534" t="s">
        <v>12634</v>
      </c>
      <c r="C67" s="1529">
        <v>37987</v>
      </c>
      <c r="D67" s="1065" t="s">
        <v>12774</v>
      </c>
      <c r="E67" s="535">
        <v>10</v>
      </c>
      <c r="F67" s="535">
        <v>100</v>
      </c>
    </row>
    <row r="68" spans="1:8">
      <c r="A68" s="530" t="s">
        <v>12669</v>
      </c>
      <c r="B68" s="534" t="s">
        <v>12634</v>
      </c>
      <c r="C68" s="1529">
        <v>37987</v>
      </c>
      <c r="D68" s="1065" t="s">
        <v>12775</v>
      </c>
      <c r="E68" s="535">
        <v>10</v>
      </c>
      <c r="F68" s="535">
        <v>100</v>
      </c>
    </row>
    <row r="69" spans="1:8">
      <c r="A69" s="530" t="s">
        <v>12673</v>
      </c>
      <c r="B69" s="534" t="s">
        <v>12634</v>
      </c>
      <c r="C69" s="1529">
        <v>44986</v>
      </c>
      <c r="D69" s="1065" t="s">
        <v>12776</v>
      </c>
      <c r="E69" s="535">
        <v>10</v>
      </c>
      <c r="F69" s="535">
        <v>100</v>
      </c>
    </row>
    <row r="70" spans="1:8">
      <c r="A70" s="530" t="s">
        <v>12676</v>
      </c>
      <c r="B70" s="534" t="s">
        <v>12634</v>
      </c>
      <c r="C70" s="1529">
        <v>39083</v>
      </c>
      <c r="D70" s="1065" t="s">
        <v>12777</v>
      </c>
      <c r="E70" s="535">
        <v>10</v>
      </c>
      <c r="F70" s="535">
        <v>100</v>
      </c>
      <c r="G70" s="1827"/>
    </row>
    <row r="71" spans="1:8">
      <c r="A71" s="530" t="s">
        <v>12678</v>
      </c>
      <c r="B71" s="534" t="s">
        <v>12634</v>
      </c>
      <c r="C71" s="1529">
        <v>44986</v>
      </c>
      <c r="D71" s="1065" t="s">
        <v>12778</v>
      </c>
      <c r="E71" s="535">
        <v>10</v>
      </c>
      <c r="F71" s="535">
        <v>100</v>
      </c>
    </row>
    <row r="72" spans="1:8">
      <c r="A72" s="530" t="s">
        <v>4430</v>
      </c>
      <c r="C72" s="1529"/>
      <c r="E72" s="535"/>
      <c r="F72" s="535"/>
    </row>
    <row r="73" spans="1:8">
      <c r="A73" s="530" t="s">
        <v>12681</v>
      </c>
      <c r="B73" s="534" t="s">
        <v>12682</v>
      </c>
      <c r="C73" s="1529">
        <v>38069</v>
      </c>
      <c r="D73" s="1065" t="s">
        <v>12779</v>
      </c>
      <c r="E73" s="535">
        <v>7000</v>
      </c>
      <c r="F73" s="535">
        <v>150000</v>
      </c>
    </row>
    <row r="74" spans="1:8">
      <c r="A74" s="530" t="s">
        <v>12684</v>
      </c>
      <c r="B74" s="534" t="s">
        <v>12685</v>
      </c>
      <c r="C74" s="1529">
        <v>37987</v>
      </c>
      <c r="D74" s="1065" t="s">
        <v>12780</v>
      </c>
      <c r="E74" s="535">
        <v>1</v>
      </c>
      <c r="F74" s="535">
        <v>150000</v>
      </c>
    </row>
    <row r="75" spans="1:8">
      <c r="A75" s="530" t="s">
        <v>12688</v>
      </c>
      <c r="B75" s="534" t="s">
        <v>12689</v>
      </c>
      <c r="C75" s="1529">
        <v>38069</v>
      </c>
      <c r="D75" s="1065" t="s">
        <v>12781</v>
      </c>
      <c r="E75" s="535">
        <v>7000</v>
      </c>
      <c r="F75" s="535">
        <v>150000</v>
      </c>
    </row>
    <row r="76" spans="1:8">
      <c r="A76" s="532" t="s">
        <v>12782</v>
      </c>
      <c r="B76" s="534" t="s">
        <v>12783</v>
      </c>
      <c r="C76" s="1529"/>
      <c r="E76" s="535"/>
      <c r="F76" s="535"/>
    </row>
    <row r="77" spans="1:8">
      <c r="A77" s="530" t="s">
        <v>12693</v>
      </c>
      <c r="B77" s="534" t="s">
        <v>12784</v>
      </c>
      <c r="C77" s="1529">
        <v>44986</v>
      </c>
      <c r="D77" s="1069" t="s">
        <v>12785</v>
      </c>
      <c r="E77" s="535">
        <v>30000</v>
      </c>
      <c r="F77" s="535">
        <v>120000</v>
      </c>
      <c r="G77" s="1827"/>
      <c r="H77" s="534" t="s">
        <v>12786</v>
      </c>
    </row>
    <row r="78" spans="1:8">
      <c r="A78" s="530" t="s">
        <v>12695</v>
      </c>
      <c r="B78" s="534" t="s">
        <v>12787</v>
      </c>
      <c r="C78" s="1529">
        <v>44986</v>
      </c>
      <c r="D78" s="1069" t="s">
        <v>12788</v>
      </c>
      <c r="E78" s="535">
        <v>30000</v>
      </c>
      <c r="F78" s="535">
        <v>125000</v>
      </c>
      <c r="G78" s="1827"/>
      <c r="H78" s="534" t="s">
        <v>12786</v>
      </c>
    </row>
    <row r="79" spans="1:8">
      <c r="A79" s="530" t="s">
        <v>12697</v>
      </c>
      <c r="B79" s="534" t="s">
        <v>12789</v>
      </c>
      <c r="C79" s="1529">
        <v>44986</v>
      </c>
      <c r="D79" s="1069" t="s">
        <v>12790</v>
      </c>
      <c r="E79" s="535">
        <v>45000</v>
      </c>
      <c r="F79" s="535">
        <v>130000</v>
      </c>
      <c r="G79" s="1827"/>
      <c r="H79" s="534" t="s">
        <v>12791</v>
      </c>
    </row>
    <row r="80" spans="1:8">
      <c r="A80" s="530" t="s">
        <v>12701</v>
      </c>
      <c r="B80" s="534" t="s">
        <v>12792</v>
      </c>
      <c r="C80" s="1529">
        <v>44986</v>
      </c>
      <c r="D80" s="1069" t="s">
        <v>12793</v>
      </c>
      <c r="E80" s="535">
        <v>33500</v>
      </c>
      <c r="F80" s="535">
        <v>96000</v>
      </c>
      <c r="G80" s="1827"/>
      <c r="H80" s="534" t="s">
        <v>12786</v>
      </c>
    </row>
    <row r="81" spans="1:8">
      <c r="A81" s="530" t="s">
        <v>12705</v>
      </c>
      <c r="B81" s="534" t="s">
        <v>12794</v>
      </c>
      <c r="C81" s="1529">
        <v>44986</v>
      </c>
      <c r="D81" s="1069" t="s">
        <v>12795</v>
      </c>
      <c r="E81" s="535">
        <v>40000</v>
      </c>
      <c r="F81" s="535">
        <v>155000</v>
      </c>
      <c r="G81" s="1827"/>
    </row>
    <row r="82" spans="1:8">
      <c r="A82" s="530" t="s">
        <v>12709</v>
      </c>
      <c r="B82" s="534" t="s">
        <v>12796</v>
      </c>
      <c r="C82" s="1529">
        <v>45701</v>
      </c>
      <c r="D82" s="1069" t="s">
        <v>12797</v>
      </c>
      <c r="E82" s="535">
        <v>50000</v>
      </c>
      <c r="F82" s="535">
        <v>200000</v>
      </c>
      <c r="G82" s="1827"/>
    </row>
    <row r="83" spans="1:8">
      <c r="A83" s="530" t="s">
        <v>12714</v>
      </c>
      <c r="B83" s="534" t="s">
        <v>12798</v>
      </c>
      <c r="C83" s="1529">
        <v>45701</v>
      </c>
      <c r="D83" s="1069" t="s">
        <v>12799</v>
      </c>
      <c r="E83" s="535">
        <v>50000</v>
      </c>
      <c r="F83" s="535">
        <v>200000</v>
      </c>
      <c r="G83" s="1827"/>
    </row>
    <row r="84" spans="1:8">
      <c r="A84" s="530" t="s">
        <v>12718</v>
      </c>
      <c r="B84" s="534" t="s">
        <v>12634</v>
      </c>
      <c r="C84" s="1529">
        <v>44986</v>
      </c>
      <c r="D84" s="1069" t="s">
        <v>12800</v>
      </c>
      <c r="E84" s="535">
        <v>10</v>
      </c>
      <c r="F84" s="535">
        <v>100</v>
      </c>
    </row>
    <row r="85" spans="1:8">
      <c r="A85" s="530" t="s">
        <v>12721</v>
      </c>
      <c r="B85" s="534" t="s">
        <v>12634</v>
      </c>
      <c r="C85" s="1529">
        <v>44986</v>
      </c>
      <c r="D85" s="1069" t="s">
        <v>12801</v>
      </c>
      <c r="E85" s="535">
        <v>10</v>
      </c>
      <c r="F85" s="535">
        <v>100</v>
      </c>
    </row>
    <row r="86" spans="1:8">
      <c r="A86" s="530" t="s">
        <v>12724</v>
      </c>
      <c r="B86" s="534" t="s">
        <v>12634</v>
      </c>
      <c r="C86" s="1529">
        <v>44986</v>
      </c>
      <c r="D86" s="1065" t="s">
        <v>12802</v>
      </c>
      <c r="E86" s="535">
        <v>10</v>
      </c>
      <c r="F86" s="535">
        <v>100</v>
      </c>
    </row>
    <row r="87" spans="1:8">
      <c r="A87" s="530" t="s">
        <v>12727</v>
      </c>
      <c r="B87" s="534" t="s">
        <v>12634</v>
      </c>
      <c r="C87" s="1529">
        <v>44986</v>
      </c>
      <c r="D87" s="1065" t="s">
        <v>12803</v>
      </c>
      <c r="E87" s="535">
        <v>10</v>
      </c>
      <c r="F87" s="535">
        <v>100</v>
      </c>
    </row>
    <row r="88" spans="1:8">
      <c r="A88" s="530" t="s">
        <v>12730</v>
      </c>
      <c r="B88" s="534" t="s">
        <v>12634</v>
      </c>
      <c r="C88" s="1529">
        <v>44986</v>
      </c>
      <c r="D88" s="1069" t="s">
        <v>12804</v>
      </c>
      <c r="E88" s="535">
        <v>10</v>
      </c>
      <c r="F88" s="535">
        <v>100</v>
      </c>
      <c r="G88" s="1827"/>
    </row>
    <row r="89" spans="1:8">
      <c r="A89" s="530" t="s">
        <v>12733</v>
      </c>
      <c r="B89" s="534" t="s">
        <v>12634</v>
      </c>
      <c r="C89" s="1529">
        <v>44986</v>
      </c>
      <c r="D89" s="1065" t="s">
        <v>12805</v>
      </c>
      <c r="E89" s="535">
        <v>10</v>
      </c>
      <c r="F89" s="535">
        <v>100</v>
      </c>
    </row>
    <row r="90" spans="1:8">
      <c r="A90" s="530" t="s">
        <v>12737</v>
      </c>
      <c r="B90" s="534" t="s">
        <v>12634</v>
      </c>
      <c r="C90" s="1529">
        <v>44986</v>
      </c>
      <c r="D90" s="1065" t="s">
        <v>12806</v>
      </c>
      <c r="E90" s="535">
        <v>10</v>
      </c>
      <c r="F90" s="535">
        <v>100</v>
      </c>
      <c r="G90" s="1827"/>
    </row>
    <row r="91" spans="1:8">
      <c r="A91" s="530" t="s">
        <v>12740</v>
      </c>
      <c r="B91" s="534" t="s">
        <v>12634</v>
      </c>
      <c r="C91" s="1529">
        <v>44986</v>
      </c>
      <c r="D91" s="1065" t="s">
        <v>12807</v>
      </c>
      <c r="E91" s="535">
        <v>10</v>
      </c>
      <c r="F91" s="535">
        <v>100</v>
      </c>
    </row>
    <row r="92" spans="1:8">
      <c r="A92" s="530" t="s">
        <v>12742</v>
      </c>
      <c r="B92" s="534" t="s">
        <v>12634</v>
      </c>
      <c r="C92" s="1529">
        <v>44986</v>
      </c>
      <c r="D92" s="1065" t="s">
        <v>12808</v>
      </c>
      <c r="E92" s="535">
        <v>10</v>
      </c>
      <c r="F92" s="535">
        <v>100</v>
      </c>
    </row>
    <row r="93" spans="1:8">
      <c r="A93" s="530" t="s">
        <v>4430</v>
      </c>
      <c r="C93" s="1529"/>
    </row>
    <row r="94" spans="1:8">
      <c r="A94" s="530" t="s">
        <v>12744</v>
      </c>
      <c r="B94" s="534" t="s">
        <v>12745</v>
      </c>
      <c r="C94" s="1529">
        <v>38069</v>
      </c>
      <c r="D94" s="1065" t="s">
        <v>12809</v>
      </c>
      <c r="E94" s="535">
        <v>12000</v>
      </c>
      <c r="F94" s="535">
        <v>150000</v>
      </c>
    </row>
    <row r="95" spans="1:8">
      <c r="A95" s="530" t="s">
        <v>12747</v>
      </c>
      <c r="B95" s="534" t="s">
        <v>12748</v>
      </c>
      <c r="C95" s="1529">
        <v>38069</v>
      </c>
      <c r="D95" s="1065" t="s">
        <v>12810</v>
      </c>
      <c r="E95" s="535">
        <v>1</v>
      </c>
      <c r="F95" s="535">
        <v>150000</v>
      </c>
      <c r="H95" s="534" t="s">
        <v>12811</v>
      </c>
    </row>
    <row r="96" spans="1:8">
      <c r="A96" s="530" t="s">
        <v>12751</v>
      </c>
      <c r="B96" s="534" t="s">
        <v>12752</v>
      </c>
      <c r="C96" s="1529">
        <v>38069</v>
      </c>
      <c r="D96" s="1065" t="s">
        <v>12812</v>
      </c>
      <c r="E96" s="535">
        <v>17000</v>
      </c>
      <c r="F96" s="535">
        <v>150000</v>
      </c>
    </row>
    <row r="97" spans="1:7">
      <c r="A97" s="530" t="s">
        <v>12754</v>
      </c>
      <c r="C97" s="1529"/>
      <c r="D97" s="1065" t="s">
        <v>166</v>
      </c>
      <c r="E97" s="535"/>
      <c r="F97" s="535"/>
    </row>
    <row r="98" spans="1:7">
      <c r="A98" s="530" t="s">
        <v>12755</v>
      </c>
      <c r="B98" s="534" t="s">
        <v>166</v>
      </c>
      <c r="C98" s="1529"/>
      <c r="D98" s="1065" t="s">
        <v>166</v>
      </c>
    </row>
    <row r="99" spans="1:7">
      <c r="A99" s="530" t="s">
        <v>12756</v>
      </c>
      <c r="B99" s="534" t="s">
        <v>783</v>
      </c>
      <c r="C99" s="1529">
        <v>37987</v>
      </c>
      <c r="D99" s="1065" t="s">
        <v>12813</v>
      </c>
    </row>
    <row r="100" spans="1:7">
      <c r="C100" s="1529"/>
    </row>
    <row r="101" spans="1:7">
      <c r="A101" s="533" t="s">
        <v>10310</v>
      </c>
      <c r="C101" s="1529"/>
    </row>
    <row r="102" spans="1:7" s="533" customFormat="1" ht="12" customHeight="1">
      <c r="A102" s="532" t="s">
        <v>12814</v>
      </c>
      <c r="B102" s="1782" t="s">
        <v>12815</v>
      </c>
      <c r="C102" s="1529">
        <v>44986</v>
      </c>
      <c r="D102" s="1066"/>
      <c r="E102" s="532" t="s">
        <v>12594</v>
      </c>
      <c r="F102" s="532" t="s">
        <v>12595</v>
      </c>
    </row>
    <row r="103" spans="1:7">
      <c r="A103" s="530" t="s">
        <v>12598</v>
      </c>
      <c r="B103" s="534" t="s">
        <v>12634</v>
      </c>
      <c r="C103" s="1529">
        <v>39083</v>
      </c>
      <c r="D103" s="1065" t="s">
        <v>12816</v>
      </c>
      <c r="E103" s="535">
        <v>10</v>
      </c>
      <c r="F103" s="535">
        <v>100</v>
      </c>
      <c r="G103" s="1827"/>
    </row>
    <row r="104" spans="1:7">
      <c r="A104" s="530" t="s">
        <v>12603</v>
      </c>
      <c r="B104" s="534" t="s">
        <v>12634</v>
      </c>
      <c r="C104" s="1529">
        <v>39083</v>
      </c>
      <c r="D104" s="1065" t="s">
        <v>12817</v>
      </c>
      <c r="E104" s="535">
        <v>10</v>
      </c>
      <c r="F104" s="535">
        <v>100</v>
      </c>
      <c r="G104" s="1827"/>
    </row>
    <row r="105" spans="1:7">
      <c r="A105" s="530" t="s">
        <v>12608</v>
      </c>
      <c r="B105" s="534" t="s">
        <v>12634</v>
      </c>
      <c r="C105" s="1529">
        <v>37987</v>
      </c>
      <c r="D105" s="1065" t="s">
        <v>12818</v>
      </c>
      <c r="E105" s="535">
        <v>10</v>
      </c>
      <c r="F105" s="535">
        <v>100</v>
      </c>
    </row>
    <row r="106" spans="1:7">
      <c r="A106" s="530" t="s">
        <v>12613</v>
      </c>
      <c r="B106" s="534" t="s">
        <v>12634</v>
      </c>
      <c r="C106" s="1529">
        <v>37987</v>
      </c>
      <c r="D106" s="1065" t="s">
        <v>12819</v>
      </c>
      <c r="E106" s="535">
        <v>10</v>
      </c>
      <c r="F106" s="535">
        <v>100</v>
      </c>
    </row>
    <row r="107" spans="1:7">
      <c r="A107" s="530" t="s">
        <v>12618</v>
      </c>
      <c r="B107" s="534" t="s">
        <v>12634</v>
      </c>
      <c r="C107" s="1529">
        <v>37987</v>
      </c>
      <c r="D107" s="1065" t="s">
        <v>12820</v>
      </c>
      <c r="E107" s="535">
        <v>10</v>
      </c>
      <c r="F107" s="535">
        <v>100</v>
      </c>
    </row>
    <row r="108" spans="1:7">
      <c r="A108" s="530" t="s">
        <v>12623</v>
      </c>
      <c r="B108" s="534" t="s">
        <v>12634</v>
      </c>
      <c r="C108" s="1529">
        <v>37987</v>
      </c>
      <c r="D108" s="1065" t="s">
        <v>12821</v>
      </c>
      <c r="E108" s="535">
        <v>10</v>
      </c>
      <c r="F108" s="535">
        <v>100</v>
      </c>
    </row>
    <row r="109" spans="1:7">
      <c r="A109" s="530" t="s">
        <v>12628</v>
      </c>
      <c r="B109" s="534" t="s">
        <v>12634</v>
      </c>
      <c r="C109" s="1529">
        <v>37987</v>
      </c>
      <c r="D109" s="1065" t="s">
        <v>12822</v>
      </c>
      <c r="E109" s="535">
        <v>10</v>
      </c>
      <c r="F109" s="535">
        <v>100</v>
      </c>
    </row>
    <row r="110" spans="1:7">
      <c r="A110" s="530" t="s">
        <v>12633</v>
      </c>
      <c r="B110" s="534" t="s">
        <v>12634</v>
      </c>
      <c r="C110" s="1529">
        <v>37987</v>
      </c>
      <c r="D110" s="1065" t="s">
        <v>12823</v>
      </c>
      <c r="E110" s="535">
        <v>10</v>
      </c>
      <c r="F110" s="535">
        <v>100</v>
      </c>
    </row>
    <row r="111" spans="1:7">
      <c r="A111" s="530" t="s">
        <v>12639</v>
      </c>
      <c r="B111" s="534" t="s">
        <v>12634</v>
      </c>
      <c r="C111" s="1529">
        <v>37987</v>
      </c>
      <c r="D111" s="1065" t="s">
        <v>12824</v>
      </c>
      <c r="E111" s="535">
        <v>10</v>
      </c>
      <c r="F111" s="535">
        <v>100</v>
      </c>
    </row>
    <row r="112" spans="1:7">
      <c r="A112" s="530" t="s">
        <v>12643</v>
      </c>
      <c r="B112" s="534" t="s">
        <v>12634</v>
      </c>
      <c r="C112" s="1529">
        <v>37987</v>
      </c>
      <c r="D112" s="1065" t="s">
        <v>12825</v>
      </c>
      <c r="E112" s="535">
        <v>10</v>
      </c>
      <c r="F112" s="535">
        <v>100</v>
      </c>
    </row>
    <row r="113" spans="1:8">
      <c r="A113" s="530" t="s">
        <v>12647</v>
      </c>
      <c r="B113" s="534" t="s">
        <v>12634</v>
      </c>
      <c r="C113" s="1529">
        <v>37987</v>
      </c>
      <c r="D113" s="1065" t="s">
        <v>12826</v>
      </c>
      <c r="E113" s="535">
        <v>10</v>
      </c>
      <c r="F113" s="535">
        <v>100</v>
      </c>
    </row>
    <row r="114" spans="1:8">
      <c r="A114" s="530" t="s">
        <v>12652</v>
      </c>
      <c r="B114" s="534" t="s">
        <v>12634</v>
      </c>
      <c r="C114" s="1529">
        <v>37987</v>
      </c>
      <c r="D114" s="1065" t="s">
        <v>12827</v>
      </c>
      <c r="E114" s="535">
        <v>10</v>
      </c>
      <c r="F114" s="535">
        <v>100</v>
      </c>
    </row>
    <row r="115" spans="1:8">
      <c r="A115" s="530" t="s">
        <v>12657</v>
      </c>
      <c r="B115" s="534" t="s">
        <v>12634</v>
      </c>
      <c r="C115" s="1529">
        <v>37987</v>
      </c>
      <c r="D115" s="1065" t="s">
        <v>12828</v>
      </c>
      <c r="E115" s="535">
        <v>10</v>
      </c>
      <c r="F115" s="535">
        <v>100</v>
      </c>
    </row>
    <row r="116" spans="1:8">
      <c r="A116" s="530" t="s">
        <v>12661</v>
      </c>
      <c r="B116" s="534" t="s">
        <v>12634</v>
      </c>
      <c r="C116" s="1529">
        <v>37987</v>
      </c>
      <c r="D116" s="1065" t="s">
        <v>12829</v>
      </c>
      <c r="E116" s="535">
        <v>10</v>
      </c>
      <c r="F116" s="535">
        <v>100</v>
      </c>
    </row>
    <row r="117" spans="1:8">
      <c r="A117" s="530" t="s">
        <v>12665</v>
      </c>
      <c r="B117" s="534" t="s">
        <v>12634</v>
      </c>
      <c r="C117" s="1529">
        <v>37987</v>
      </c>
      <c r="D117" s="1065" t="s">
        <v>12830</v>
      </c>
      <c r="E117" s="535">
        <v>10</v>
      </c>
      <c r="F117" s="535">
        <v>100</v>
      </c>
    </row>
    <row r="118" spans="1:8">
      <c r="A118" s="530" t="s">
        <v>12669</v>
      </c>
      <c r="B118" s="534" t="s">
        <v>12634</v>
      </c>
      <c r="C118" s="1529">
        <v>37987</v>
      </c>
      <c r="D118" s="1065" t="s">
        <v>12831</v>
      </c>
      <c r="E118" s="535">
        <v>10</v>
      </c>
      <c r="F118" s="535">
        <v>100</v>
      </c>
    </row>
    <row r="119" spans="1:8">
      <c r="A119" s="530" t="s">
        <v>12673</v>
      </c>
      <c r="B119" s="534" t="s">
        <v>12634</v>
      </c>
      <c r="C119" s="1529">
        <v>39083</v>
      </c>
      <c r="D119" s="1065" t="s">
        <v>12832</v>
      </c>
      <c r="E119" s="535">
        <v>10</v>
      </c>
      <c r="F119" s="535">
        <v>100</v>
      </c>
      <c r="G119" s="1827"/>
    </row>
    <row r="120" spans="1:8">
      <c r="A120" s="530" t="s">
        <v>12676</v>
      </c>
      <c r="B120" s="534" t="s">
        <v>12634</v>
      </c>
      <c r="C120" s="1529">
        <v>37987</v>
      </c>
      <c r="D120" s="1065" t="s">
        <v>12833</v>
      </c>
      <c r="E120" s="535">
        <v>10</v>
      </c>
      <c r="F120" s="535">
        <v>100</v>
      </c>
    </row>
    <row r="121" spans="1:8">
      <c r="A121" s="530" t="s">
        <v>12678</v>
      </c>
      <c r="B121" s="534" t="s">
        <v>12634</v>
      </c>
      <c r="C121" s="1529">
        <v>39083</v>
      </c>
      <c r="D121" s="1065" t="s">
        <v>12834</v>
      </c>
      <c r="E121" s="535">
        <v>10</v>
      </c>
      <c r="F121" s="535">
        <v>100</v>
      </c>
      <c r="G121" s="1827"/>
    </row>
    <row r="122" spans="1:8">
      <c r="A122" s="530" t="s">
        <v>4430</v>
      </c>
      <c r="C122" s="1529"/>
      <c r="E122" s="535"/>
      <c r="F122" s="535"/>
    </row>
    <row r="123" spans="1:8">
      <c r="A123" s="530" t="s">
        <v>12681</v>
      </c>
      <c r="B123" s="534" t="s">
        <v>12682</v>
      </c>
      <c r="C123" s="1529">
        <v>38069</v>
      </c>
      <c r="D123" s="1065" t="s">
        <v>12835</v>
      </c>
      <c r="E123" s="535">
        <v>15000</v>
      </c>
      <c r="F123" s="535">
        <v>110000</v>
      </c>
    </row>
    <row r="124" spans="1:8">
      <c r="A124" s="530" t="s">
        <v>12684</v>
      </c>
      <c r="B124" s="534" t="s">
        <v>12685</v>
      </c>
      <c r="C124" s="1529">
        <v>38069</v>
      </c>
      <c r="D124" s="1065" t="s">
        <v>12836</v>
      </c>
      <c r="E124" s="535">
        <v>1</v>
      </c>
      <c r="F124" s="535">
        <v>110000</v>
      </c>
      <c r="H124" s="534" t="s">
        <v>12837</v>
      </c>
    </row>
    <row r="125" spans="1:8">
      <c r="A125" s="530" t="s">
        <v>12688</v>
      </c>
      <c r="B125" s="534" t="s">
        <v>12689</v>
      </c>
      <c r="C125" s="1529">
        <v>38069</v>
      </c>
      <c r="D125" s="1065" t="s">
        <v>12838</v>
      </c>
      <c r="E125" s="535">
        <v>7000</v>
      </c>
      <c r="F125" s="535">
        <v>110000</v>
      </c>
    </row>
    <row r="126" spans="1:8">
      <c r="A126" s="532" t="s">
        <v>12839</v>
      </c>
      <c r="B126" s="534" t="s">
        <v>12840</v>
      </c>
      <c r="C126" s="1529"/>
      <c r="E126" s="535"/>
      <c r="F126" s="535"/>
    </row>
    <row r="127" spans="1:8">
      <c r="A127" s="530" t="s">
        <v>12693</v>
      </c>
      <c r="B127" s="534" t="s">
        <v>12634</v>
      </c>
      <c r="C127" s="1529">
        <v>44986</v>
      </c>
      <c r="D127" s="1065" t="s">
        <v>12841</v>
      </c>
      <c r="E127" s="535">
        <v>10</v>
      </c>
      <c r="F127" s="535">
        <v>100</v>
      </c>
      <c r="G127" s="1827"/>
    </row>
    <row r="128" spans="1:8">
      <c r="A128" s="530" t="s">
        <v>12695</v>
      </c>
      <c r="B128" s="534" t="s">
        <v>12634</v>
      </c>
      <c r="C128" s="1529">
        <v>39083</v>
      </c>
      <c r="D128" s="1065" t="s">
        <v>12842</v>
      </c>
      <c r="E128" s="535">
        <v>10</v>
      </c>
      <c r="F128" s="535">
        <v>100</v>
      </c>
      <c r="G128" s="1827"/>
    </row>
    <row r="129" spans="1:7">
      <c r="A129" s="530" t="s">
        <v>12697</v>
      </c>
      <c r="B129" s="534" t="s">
        <v>12634</v>
      </c>
      <c r="C129" s="1529">
        <v>37987</v>
      </c>
      <c r="D129" s="1065" t="s">
        <v>12843</v>
      </c>
      <c r="E129" s="535">
        <v>10</v>
      </c>
      <c r="F129" s="535">
        <v>100</v>
      </c>
    </row>
    <row r="130" spans="1:7">
      <c r="A130" s="530" t="s">
        <v>12701</v>
      </c>
      <c r="B130" s="534" t="s">
        <v>12634</v>
      </c>
      <c r="C130" s="1529">
        <v>37987</v>
      </c>
      <c r="D130" s="1065" t="s">
        <v>12844</v>
      </c>
      <c r="E130" s="535">
        <v>10</v>
      </c>
      <c r="F130" s="535">
        <v>100</v>
      </c>
    </row>
    <row r="131" spans="1:7">
      <c r="A131" s="530" t="s">
        <v>12705</v>
      </c>
      <c r="B131" s="534" t="s">
        <v>12634</v>
      </c>
      <c r="C131" s="1529">
        <v>37987</v>
      </c>
      <c r="D131" s="1065" t="s">
        <v>12845</v>
      </c>
      <c r="E131" s="535">
        <v>10</v>
      </c>
      <c r="F131" s="535">
        <v>100</v>
      </c>
    </row>
    <row r="132" spans="1:7">
      <c r="A132" s="530" t="s">
        <v>12709</v>
      </c>
      <c r="B132" s="534" t="s">
        <v>12634</v>
      </c>
      <c r="C132" s="1529">
        <v>37987</v>
      </c>
      <c r="D132" s="1065" t="s">
        <v>12846</v>
      </c>
      <c r="E132" s="535">
        <v>10</v>
      </c>
      <c r="F132" s="535">
        <v>100</v>
      </c>
    </row>
    <row r="133" spans="1:7">
      <c r="A133" s="530" t="s">
        <v>12714</v>
      </c>
      <c r="B133" s="534" t="s">
        <v>12634</v>
      </c>
      <c r="C133" s="1529">
        <v>37987</v>
      </c>
      <c r="D133" s="1065" t="s">
        <v>12847</v>
      </c>
      <c r="E133" s="535">
        <v>10</v>
      </c>
      <c r="F133" s="535">
        <v>100</v>
      </c>
    </row>
    <row r="134" spans="1:7">
      <c r="A134" s="530" t="s">
        <v>12718</v>
      </c>
      <c r="B134" s="534" t="s">
        <v>12634</v>
      </c>
      <c r="C134" s="1529">
        <v>37987</v>
      </c>
      <c r="D134" s="1065" t="s">
        <v>12848</v>
      </c>
      <c r="E134" s="535">
        <v>10</v>
      </c>
      <c r="F134" s="535">
        <v>100</v>
      </c>
    </row>
    <row r="135" spans="1:7">
      <c r="A135" s="530" t="s">
        <v>12721</v>
      </c>
      <c r="B135" s="534" t="s">
        <v>12634</v>
      </c>
      <c r="C135" s="1529">
        <v>37987</v>
      </c>
      <c r="D135" s="1065" t="s">
        <v>12849</v>
      </c>
      <c r="E135" s="535">
        <v>10</v>
      </c>
      <c r="F135" s="535">
        <v>100</v>
      </c>
    </row>
    <row r="136" spans="1:7">
      <c r="A136" s="530" t="s">
        <v>12724</v>
      </c>
      <c r="B136" s="534" t="s">
        <v>12634</v>
      </c>
      <c r="C136" s="1529">
        <v>37987</v>
      </c>
      <c r="D136" s="1065" t="s">
        <v>12850</v>
      </c>
      <c r="E136" s="535">
        <v>10</v>
      </c>
      <c r="F136" s="535">
        <v>100</v>
      </c>
    </row>
    <row r="137" spans="1:7">
      <c r="A137" s="530" t="s">
        <v>12727</v>
      </c>
      <c r="B137" s="534" t="s">
        <v>12634</v>
      </c>
      <c r="C137" s="1529">
        <v>37987</v>
      </c>
      <c r="D137" s="1065" t="s">
        <v>12851</v>
      </c>
      <c r="E137" s="535">
        <v>10</v>
      </c>
      <c r="F137" s="535">
        <v>100</v>
      </c>
    </row>
    <row r="138" spans="1:7">
      <c r="A138" s="530" t="s">
        <v>12730</v>
      </c>
      <c r="B138" s="534" t="s">
        <v>12634</v>
      </c>
      <c r="C138" s="1529">
        <v>37987</v>
      </c>
      <c r="D138" s="1065" t="s">
        <v>12852</v>
      </c>
      <c r="E138" s="535">
        <v>10</v>
      </c>
      <c r="F138" s="535">
        <v>100</v>
      </c>
    </row>
    <row r="139" spans="1:7">
      <c r="A139" s="530" t="s">
        <v>12733</v>
      </c>
      <c r="B139" s="534" t="s">
        <v>12634</v>
      </c>
      <c r="C139" s="1529">
        <v>37987</v>
      </c>
      <c r="D139" s="1065" t="s">
        <v>12853</v>
      </c>
      <c r="E139" s="535">
        <v>10</v>
      </c>
      <c r="F139" s="535">
        <v>100</v>
      </c>
    </row>
    <row r="140" spans="1:7">
      <c r="A140" s="530" t="s">
        <v>12737</v>
      </c>
      <c r="B140" s="534" t="s">
        <v>12634</v>
      </c>
      <c r="C140" s="1529">
        <v>37987</v>
      </c>
      <c r="D140" s="1065" t="s">
        <v>12854</v>
      </c>
      <c r="E140" s="535">
        <v>10</v>
      </c>
      <c r="F140" s="535">
        <v>100</v>
      </c>
    </row>
    <row r="141" spans="1:7">
      <c r="A141" s="530" t="s">
        <v>12740</v>
      </c>
      <c r="B141" s="534" t="s">
        <v>12634</v>
      </c>
      <c r="C141" s="1529">
        <v>39083</v>
      </c>
      <c r="D141" s="1065" t="s">
        <v>12855</v>
      </c>
      <c r="E141" s="535">
        <v>10</v>
      </c>
      <c r="F141" s="535">
        <v>100</v>
      </c>
      <c r="G141" s="1827"/>
    </row>
    <row r="142" spans="1:7">
      <c r="A142" s="530" t="s">
        <v>12742</v>
      </c>
      <c r="B142" s="534" t="s">
        <v>12634</v>
      </c>
      <c r="C142" s="1529">
        <v>39083</v>
      </c>
      <c r="D142" s="1069" t="s">
        <v>12743</v>
      </c>
      <c r="E142" s="535">
        <v>10</v>
      </c>
      <c r="F142" s="535">
        <v>100</v>
      </c>
      <c r="G142" s="1827"/>
    </row>
    <row r="143" spans="1:7">
      <c r="A143" s="530" t="s">
        <v>4430</v>
      </c>
      <c r="C143" s="1529"/>
    </row>
    <row r="144" spans="1:7">
      <c r="A144" s="530" t="s">
        <v>12744</v>
      </c>
      <c r="B144" s="534" t="s">
        <v>12745</v>
      </c>
      <c r="C144" s="1529">
        <v>44986</v>
      </c>
      <c r="D144" s="1065" t="s">
        <v>12856</v>
      </c>
      <c r="E144" s="535">
        <v>9000</v>
      </c>
      <c r="F144" s="535">
        <v>150000</v>
      </c>
    </row>
    <row r="145" spans="1:8">
      <c r="A145" s="530" t="s">
        <v>12747</v>
      </c>
      <c r="B145" s="534" t="s">
        <v>12748</v>
      </c>
      <c r="C145" s="1529">
        <v>44986</v>
      </c>
      <c r="D145" s="1065" t="s">
        <v>12857</v>
      </c>
      <c r="E145" s="535">
        <v>1</v>
      </c>
      <c r="F145" s="535">
        <v>150000</v>
      </c>
      <c r="H145" s="534" t="s">
        <v>12858</v>
      </c>
    </row>
    <row r="146" spans="1:8">
      <c r="A146" s="530" t="s">
        <v>12751</v>
      </c>
      <c r="B146" s="534" t="s">
        <v>12752</v>
      </c>
      <c r="C146" s="1529">
        <v>44986</v>
      </c>
      <c r="D146" s="1065" t="s">
        <v>12859</v>
      </c>
      <c r="E146" s="535">
        <v>9000</v>
      </c>
      <c r="F146" s="535">
        <v>150000</v>
      </c>
    </row>
    <row r="147" spans="1:8">
      <c r="A147" s="530" t="s">
        <v>12754</v>
      </c>
      <c r="C147" s="1529"/>
      <c r="D147" s="1065" t="s">
        <v>166</v>
      </c>
      <c r="E147" s="535"/>
      <c r="F147" s="535"/>
    </row>
    <row r="148" spans="1:8">
      <c r="A148" s="530" t="s">
        <v>12755</v>
      </c>
      <c r="B148" s="534" t="s">
        <v>166</v>
      </c>
      <c r="C148" s="1529"/>
      <c r="D148" s="1065" t="s">
        <v>166</v>
      </c>
    </row>
    <row r="149" spans="1:8">
      <c r="A149" s="530" t="s">
        <v>12756</v>
      </c>
      <c r="B149" s="534" t="s">
        <v>783</v>
      </c>
      <c r="C149" s="1529">
        <v>37987</v>
      </c>
      <c r="D149" s="1065" t="s">
        <v>12860</v>
      </c>
    </row>
    <row r="150" spans="1:8">
      <c r="C150" s="1529"/>
    </row>
    <row r="151" spans="1:8">
      <c r="A151" s="533" t="s">
        <v>10321</v>
      </c>
      <c r="C151" s="1529"/>
    </row>
    <row r="152" spans="1:8" s="533" customFormat="1" ht="12" customHeight="1">
      <c r="A152" s="532" t="s">
        <v>12861</v>
      </c>
      <c r="B152" s="1782" t="s">
        <v>12862</v>
      </c>
      <c r="C152" s="1529"/>
      <c r="D152" s="1066"/>
      <c r="E152" s="532" t="s">
        <v>12594</v>
      </c>
      <c r="F152" s="532" t="s">
        <v>12595</v>
      </c>
    </row>
    <row r="153" spans="1:8">
      <c r="A153" s="530" t="s">
        <v>12598</v>
      </c>
      <c r="B153" s="534" t="s">
        <v>12863</v>
      </c>
      <c r="C153" s="1529">
        <v>40147</v>
      </c>
      <c r="D153" s="1065" t="s">
        <v>12864</v>
      </c>
      <c r="E153" s="535">
        <v>20000</v>
      </c>
      <c r="F153" s="535">
        <v>130000</v>
      </c>
      <c r="G153" s="1827"/>
      <c r="H153" s="534" t="s">
        <v>12865</v>
      </c>
    </row>
    <row r="154" spans="1:8">
      <c r="A154" s="530" t="s">
        <v>12603</v>
      </c>
      <c r="B154" s="534" t="s">
        <v>12866</v>
      </c>
      <c r="C154" s="1529">
        <v>40147</v>
      </c>
      <c r="D154" s="1065" t="s">
        <v>12867</v>
      </c>
      <c r="E154" s="535">
        <v>20000</v>
      </c>
      <c r="F154" s="535">
        <v>130000</v>
      </c>
      <c r="G154" s="1827"/>
      <c r="H154" s="534" t="s">
        <v>12865</v>
      </c>
    </row>
    <row r="155" spans="1:8">
      <c r="A155" s="530" t="s">
        <v>12608</v>
      </c>
      <c r="B155" s="534" t="s">
        <v>12868</v>
      </c>
      <c r="C155" s="1529">
        <v>40544</v>
      </c>
      <c r="D155" s="1065" t="s">
        <v>12869</v>
      </c>
      <c r="E155" s="535">
        <v>15000</v>
      </c>
      <c r="F155" s="535">
        <v>125000</v>
      </c>
      <c r="G155" s="1827"/>
      <c r="H155" s="534" t="s">
        <v>12865</v>
      </c>
    </row>
    <row r="156" spans="1:8">
      <c r="A156" s="530" t="s">
        <v>12613</v>
      </c>
      <c r="B156" s="534" t="s">
        <v>12634</v>
      </c>
      <c r="C156" s="1529">
        <v>39083</v>
      </c>
      <c r="D156" s="1065" t="s">
        <v>12870</v>
      </c>
      <c r="E156" s="535">
        <v>10</v>
      </c>
      <c r="F156" s="535">
        <v>100</v>
      </c>
      <c r="G156" s="1827">
        <v>39044</v>
      </c>
    </row>
    <row r="157" spans="1:8">
      <c r="A157" s="530" t="s">
        <v>12618</v>
      </c>
      <c r="B157" s="534" t="s">
        <v>12634</v>
      </c>
      <c r="C157" s="1529">
        <v>42736</v>
      </c>
      <c r="D157" s="1065" t="s">
        <v>12871</v>
      </c>
      <c r="E157" s="535">
        <v>10</v>
      </c>
      <c r="F157" s="535">
        <v>100</v>
      </c>
    </row>
    <row r="158" spans="1:8">
      <c r="A158" s="530" t="s">
        <v>12623</v>
      </c>
      <c r="B158" s="534" t="s">
        <v>12634</v>
      </c>
      <c r="C158" s="1529">
        <v>42736</v>
      </c>
      <c r="D158" s="1065" t="s">
        <v>12872</v>
      </c>
      <c r="E158" s="535">
        <v>10</v>
      </c>
      <c r="F158" s="535">
        <v>100</v>
      </c>
      <c r="G158" s="534" t="s">
        <v>12873</v>
      </c>
    </row>
    <row r="159" spans="1:8">
      <c r="A159" s="530" t="s">
        <v>12628</v>
      </c>
      <c r="B159" s="534" t="s">
        <v>12634</v>
      </c>
      <c r="C159" s="1529">
        <v>37987</v>
      </c>
      <c r="D159" s="1065" t="s">
        <v>12874</v>
      </c>
      <c r="E159" s="535">
        <v>10</v>
      </c>
      <c r="F159" s="535">
        <v>100</v>
      </c>
    </row>
    <row r="160" spans="1:8">
      <c r="A160" s="530" t="s">
        <v>12633</v>
      </c>
      <c r="B160" s="534" t="s">
        <v>12634</v>
      </c>
      <c r="C160" s="1529">
        <v>37987</v>
      </c>
      <c r="D160" s="1065" t="s">
        <v>12875</v>
      </c>
      <c r="E160" s="535">
        <v>10</v>
      </c>
      <c r="F160" s="535">
        <v>100</v>
      </c>
    </row>
    <row r="161" spans="1:8">
      <c r="A161" s="530" t="s">
        <v>12639</v>
      </c>
      <c r="B161" s="534" t="s">
        <v>12634</v>
      </c>
      <c r="C161" s="1529">
        <v>37987</v>
      </c>
      <c r="D161" s="1065" t="s">
        <v>12876</v>
      </c>
      <c r="E161" s="535">
        <v>10</v>
      </c>
      <c r="F161" s="535">
        <v>100</v>
      </c>
    </row>
    <row r="162" spans="1:8">
      <c r="A162" s="530" t="s">
        <v>12643</v>
      </c>
      <c r="B162" s="534" t="s">
        <v>12634</v>
      </c>
      <c r="C162" s="1529">
        <v>37987</v>
      </c>
      <c r="D162" s="1065" t="s">
        <v>12877</v>
      </c>
      <c r="E162" s="535">
        <v>10</v>
      </c>
      <c r="F162" s="535">
        <v>100</v>
      </c>
    </row>
    <row r="163" spans="1:8">
      <c r="A163" s="530" t="s">
        <v>12647</v>
      </c>
      <c r="B163" s="534" t="s">
        <v>12634</v>
      </c>
      <c r="C163" s="1529">
        <v>37987</v>
      </c>
      <c r="D163" s="1065" t="s">
        <v>12878</v>
      </c>
      <c r="E163" s="535">
        <v>10</v>
      </c>
      <c r="F163" s="535">
        <v>100</v>
      </c>
    </row>
    <row r="164" spans="1:8">
      <c r="A164" s="530" t="s">
        <v>12652</v>
      </c>
      <c r="B164" s="534" t="s">
        <v>12634</v>
      </c>
      <c r="C164" s="1529">
        <v>37987</v>
      </c>
      <c r="D164" s="1065" t="s">
        <v>12879</v>
      </c>
      <c r="E164" s="535">
        <v>10</v>
      </c>
      <c r="F164" s="535">
        <v>100</v>
      </c>
    </row>
    <row r="165" spans="1:8">
      <c r="A165" s="530" t="s">
        <v>12657</v>
      </c>
      <c r="B165" s="534" t="s">
        <v>12634</v>
      </c>
      <c r="C165" s="1529">
        <v>37987</v>
      </c>
      <c r="D165" s="1065" t="s">
        <v>12880</v>
      </c>
      <c r="E165" s="535">
        <v>10</v>
      </c>
      <c r="F165" s="535">
        <v>100</v>
      </c>
    </row>
    <row r="166" spans="1:8">
      <c r="A166" s="530" t="s">
        <v>12661</v>
      </c>
      <c r="B166" s="534" t="s">
        <v>12634</v>
      </c>
      <c r="C166" s="1529">
        <v>37987</v>
      </c>
      <c r="D166" s="1065" t="s">
        <v>12881</v>
      </c>
      <c r="E166" s="535">
        <v>10</v>
      </c>
      <c r="F166" s="535">
        <v>100</v>
      </c>
    </row>
    <row r="167" spans="1:8">
      <c r="A167" s="530" t="s">
        <v>12665</v>
      </c>
      <c r="B167" s="534" t="s">
        <v>12634</v>
      </c>
      <c r="C167" s="1529">
        <v>37987</v>
      </c>
      <c r="D167" s="1065" t="s">
        <v>12882</v>
      </c>
      <c r="E167" s="535">
        <v>10</v>
      </c>
      <c r="F167" s="535">
        <v>100</v>
      </c>
    </row>
    <row r="168" spans="1:8">
      <c r="A168" s="530" t="s">
        <v>12669</v>
      </c>
      <c r="B168" s="534" t="s">
        <v>12634</v>
      </c>
      <c r="C168" s="1529">
        <v>37987</v>
      </c>
      <c r="D168" s="1065" t="s">
        <v>12883</v>
      </c>
      <c r="E168" s="535">
        <v>10</v>
      </c>
      <c r="F168" s="535">
        <v>100</v>
      </c>
    </row>
    <row r="169" spans="1:8">
      <c r="A169" s="530" t="s">
        <v>12673</v>
      </c>
      <c r="B169" s="534" t="s">
        <v>12674</v>
      </c>
      <c r="C169" s="1529">
        <v>38359</v>
      </c>
      <c r="D169" s="1065" t="s">
        <v>12884</v>
      </c>
      <c r="E169" s="535">
        <v>0</v>
      </c>
      <c r="F169" s="535">
        <v>999999</v>
      </c>
      <c r="G169" s="1529">
        <v>38359</v>
      </c>
    </row>
    <row r="170" spans="1:8">
      <c r="A170" s="530" t="s">
        <v>12676</v>
      </c>
      <c r="B170" s="534" t="s">
        <v>12634</v>
      </c>
      <c r="C170" s="1529">
        <v>38359</v>
      </c>
      <c r="D170" s="1065" t="s">
        <v>12885</v>
      </c>
      <c r="E170" s="535">
        <v>10</v>
      </c>
      <c r="F170" s="535">
        <v>100</v>
      </c>
      <c r="G170" s="1529">
        <v>38359</v>
      </c>
    </row>
    <row r="171" spans="1:8">
      <c r="A171" s="530" t="s">
        <v>12678</v>
      </c>
      <c r="B171" s="534" t="s">
        <v>12886</v>
      </c>
      <c r="C171" s="1529">
        <v>37987</v>
      </c>
      <c r="D171" s="1065" t="s">
        <v>12887</v>
      </c>
      <c r="E171" s="535">
        <v>17000</v>
      </c>
      <c r="F171" s="535">
        <v>110000</v>
      </c>
      <c r="H171" s="534" t="s">
        <v>12865</v>
      </c>
    </row>
    <row r="172" spans="1:8">
      <c r="A172" s="530" t="s">
        <v>4430</v>
      </c>
      <c r="C172" s="1529"/>
      <c r="E172" s="535"/>
      <c r="F172" s="535"/>
    </row>
    <row r="173" spans="1:8">
      <c r="A173" s="530" t="s">
        <v>12681</v>
      </c>
      <c r="B173" s="534" t="s">
        <v>12682</v>
      </c>
      <c r="C173" s="1529">
        <v>38069</v>
      </c>
      <c r="D173" s="1065" t="s">
        <v>12888</v>
      </c>
      <c r="E173" s="535">
        <v>15000</v>
      </c>
      <c r="F173" s="535">
        <v>110000</v>
      </c>
    </row>
    <row r="174" spans="1:8">
      <c r="A174" s="530" t="s">
        <v>12684</v>
      </c>
      <c r="B174" s="534" t="s">
        <v>12685</v>
      </c>
      <c r="C174" s="1529">
        <v>37987</v>
      </c>
      <c r="D174" s="1065" t="s">
        <v>12889</v>
      </c>
      <c r="E174" s="535">
        <v>1</v>
      </c>
      <c r="F174" s="535">
        <v>110000</v>
      </c>
      <c r="H174" s="534" t="s">
        <v>12865</v>
      </c>
    </row>
    <row r="175" spans="1:8">
      <c r="A175" s="530" t="s">
        <v>12688</v>
      </c>
      <c r="B175" s="534" t="s">
        <v>12689</v>
      </c>
      <c r="C175" s="1529">
        <v>38069</v>
      </c>
      <c r="D175" s="1065" t="s">
        <v>12890</v>
      </c>
      <c r="E175" s="535">
        <v>7000</v>
      </c>
      <c r="F175" s="535">
        <v>110000</v>
      </c>
    </row>
    <row r="176" spans="1:8">
      <c r="A176" s="532" t="s">
        <v>12891</v>
      </c>
      <c r="B176" s="534" t="s">
        <v>12892</v>
      </c>
      <c r="C176" s="1529"/>
      <c r="E176" s="535"/>
      <c r="F176" s="535"/>
    </row>
    <row r="177" spans="1:8">
      <c r="A177" s="530" t="s">
        <v>12693</v>
      </c>
      <c r="B177" s="534" t="s">
        <v>12634</v>
      </c>
      <c r="C177" s="1529">
        <v>40147</v>
      </c>
      <c r="D177" s="1065" t="s">
        <v>12893</v>
      </c>
      <c r="E177" s="535">
        <v>10</v>
      </c>
      <c r="F177" s="535">
        <v>100</v>
      </c>
    </row>
    <row r="178" spans="1:8">
      <c r="A178" s="530" t="s">
        <v>12695</v>
      </c>
      <c r="B178" s="534" t="s">
        <v>12894</v>
      </c>
      <c r="C178" s="1529">
        <v>44986</v>
      </c>
      <c r="D178" s="1065" t="s">
        <v>12895</v>
      </c>
      <c r="E178" s="535">
        <v>15000</v>
      </c>
      <c r="F178" s="535">
        <v>100000</v>
      </c>
      <c r="H178" s="534" t="s">
        <v>12896</v>
      </c>
    </row>
    <row r="179" spans="1:8">
      <c r="A179" s="530" t="s">
        <v>12697</v>
      </c>
      <c r="B179" s="534" t="s">
        <v>12634</v>
      </c>
      <c r="C179" s="1529">
        <v>40147</v>
      </c>
      <c r="D179" s="1065" t="s">
        <v>12897</v>
      </c>
      <c r="E179" s="535">
        <v>10</v>
      </c>
      <c r="F179" s="535">
        <v>100</v>
      </c>
    </row>
    <row r="180" spans="1:8">
      <c r="A180" s="530" t="s">
        <v>12701</v>
      </c>
      <c r="B180" s="534" t="s">
        <v>12898</v>
      </c>
      <c r="C180" s="1529">
        <v>39731</v>
      </c>
      <c r="D180" s="1065" t="s">
        <v>12899</v>
      </c>
      <c r="E180" s="535">
        <v>25000</v>
      </c>
      <c r="F180" s="535">
        <v>140000</v>
      </c>
      <c r="G180" s="1827">
        <v>39044</v>
      </c>
      <c r="H180" s="534" t="s">
        <v>12900</v>
      </c>
    </row>
    <row r="181" spans="1:8">
      <c r="A181" s="530" t="s">
        <v>12705</v>
      </c>
      <c r="B181" s="534" t="s">
        <v>12901</v>
      </c>
      <c r="C181" s="1529">
        <v>43831</v>
      </c>
      <c r="D181" s="1065" t="s">
        <v>12902</v>
      </c>
      <c r="E181" s="535">
        <v>15000</v>
      </c>
      <c r="F181" s="535">
        <v>125000</v>
      </c>
      <c r="H181" s="534" t="s">
        <v>12896</v>
      </c>
    </row>
    <row r="182" spans="1:8">
      <c r="A182" s="530" t="s">
        <v>12709</v>
      </c>
      <c r="B182" s="534" t="s">
        <v>12903</v>
      </c>
      <c r="C182" s="1529">
        <v>41306</v>
      </c>
      <c r="D182" s="1065" t="s">
        <v>12904</v>
      </c>
      <c r="E182" s="535">
        <v>20000</v>
      </c>
      <c r="F182" s="535">
        <v>115000</v>
      </c>
      <c r="G182" s="534" t="s">
        <v>12905</v>
      </c>
      <c r="H182" s="534" t="s">
        <v>12896</v>
      </c>
    </row>
    <row r="183" spans="1:8">
      <c r="A183" s="530" t="s">
        <v>12714</v>
      </c>
      <c r="B183" s="2184" t="s">
        <v>12906</v>
      </c>
      <c r="C183" s="1529">
        <v>42370</v>
      </c>
      <c r="D183" s="1065" t="s">
        <v>12907</v>
      </c>
      <c r="E183" s="2183">
        <v>25000</v>
      </c>
      <c r="F183" s="2183">
        <v>120000</v>
      </c>
      <c r="H183" s="534" t="s">
        <v>12896</v>
      </c>
    </row>
    <row r="184" spans="1:8">
      <c r="A184" s="530" t="s">
        <v>12718</v>
      </c>
      <c r="B184" s="534" t="s">
        <v>12634</v>
      </c>
      <c r="C184" s="1529">
        <v>37987</v>
      </c>
      <c r="D184" s="1065" t="s">
        <v>12908</v>
      </c>
      <c r="E184" s="535">
        <v>10</v>
      </c>
      <c r="F184" s="535">
        <v>100</v>
      </c>
    </row>
    <row r="185" spans="1:8">
      <c r="A185" s="530" t="s">
        <v>12721</v>
      </c>
      <c r="B185" s="534" t="s">
        <v>12634</v>
      </c>
      <c r="C185" s="1529">
        <v>37987</v>
      </c>
      <c r="D185" s="1065" t="s">
        <v>12909</v>
      </c>
      <c r="E185" s="535">
        <v>10</v>
      </c>
      <c r="F185" s="535">
        <v>100</v>
      </c>
    </row>
    <row r="186" spans="1:8">
      <c r="A186" s="530" t="s">
        <v>12724</v>
      </c>
      <c r="B186" s="534" t="s">
        <v>12634</v>
      </c>
      <c r="C186" s="1529">
        <v>37987</v>
      </c>
      <c r="D186" s="1065" t="s">
        <v>12910</v>
      </c>
      <c r="E186" s="535">
        <v>10</v>
      </c>
      <c r="F186" s="535">
        <v>100</v>
      </c>
    </row>
    <row r="187" spans="1:8">
      <c r="A187" s="530" t="s">
        <v>12727</v>
      </c>
      <c r="B187" s="534" t="s">
        <v>12634</v>
      </c>
      <c r="C187" s="1529">
        <v>37987</v>
      </c>
      <c r="D187" s="1065" t="s">
        <v>12911</v>
      </c>
      <c r="E187" s="535">
        <v>10</v>
      </c>
      <c r="F187" s="535">
        <v>100</v>
      </c>
    </row>
    <row r="188" spans="1:8">
      <c r="A188" s="530" t="s">
        <v>12730</v>
      </c>
      <c r="B188" s="534" t="s">
        <v>12634</v>
      </c>
      <c r="C188" s="1529">
        <v>37987</v>
      </c>
      <c r="D188" s="1065" t="s">
        <v>12912</v>
      </c>
      <c r="E188" s="535">
        <v>10</v>
      </c>
      <c r="F188" s="535">
        <v>100</v>
      </c>
    </row>
    <row r="189" spans="1:8">
      <c r="A189" s="530" t="s">
        <v>12733</v>
      </c>
      <c r="B189" s="534" t="s">
        <v>12634</v>
      </c>
      <c r="C189" s="1529">
        <v>37987</v>
      </c>
      <c r="D189" s="1065" t="s">
        <v>12913</v>
      </c>
      <c r="E189" s="535">
        <v>10</v>
      </c>
      <c r="F189" s="535">
        <v>100</v>
      </c>
    </row>
    <row r="190" spans="1:8">
      <c r="A190" s="530" t="s">
        <v>12737</v>
      </c>
      <c r="B190" s="534" t="s">
        <v>12634</v>
      </c>
      <c r="C190" s="1529">
        <v>37987</v>
      </c>
      <c r="D190" s="1065" t="s">
        <v>12914</v>
      </c>
      <c r="E190" s="535">
        <v>10</v>
      </c>
      <c r="F190" s="535">
        <v>100</v>
      </c>
    </row>
    <row r="191" spans="1:8">
      <c r="A191" s="530" t="s">
        <v>12740</v>
      </c>
      <c r="B191" s="534" t="s">
        <v>12674</v>
      </c>
      <c r="C191" s="1529">
        <v>37987</v>
      </c>
      <c r="D191" s="1065" t="s">
        <v>12915</v>
      </c>
      <c r="E191" s="535">
        <v>0</v>
      </c>
      <c r="F191" s="535">
        <v>999999</v>
      </c>
    </row>
    <row r="192" spans="1:8">
      <c r="A192" s="530" t="s">
        <v>12742</v>
      </c>
      <c r="B192" s="534" t="s">
        <v>12916</v>
      </c>
      <c r="C192" s="1529">
        <v>37987</v>
      </c>
      <c r="D192" s="1069" t="s">
        <v>12917</v>
      </c>
      <c r="E192" s="535">
        <v>16000</v>
      </c>
      <c r="F192" s="535">
        <v>120000</v>
      </c>
      <c r="H192" s="534" t="s">
        <v>12918</v>
      </c>
    </row>
    <row r="193" spans="1:8">
      <c r="A193" s="530" t="s">
        <v>4430</v>
      </c>
      <c r="C193" s="1529"/>
    </row>
    <row r="194" spans="1:8">
      <c r="A194" s="530" t="s">
        <v>12744</v>
      </c>
      <c r="B194" s="534" t="s">
        <v>12745</v>
      </c>
      <c r="C194" s="1529">
        <v>38069</v>
      </c>
      <c r="D194" s="1065" t="s">
        <v>12919</v>
      </c>
      <c r="E194" s="535">
        <v>9000</v>
      </c>
      <c r="F194" s="535">
        <v>150000</v>
      </c>
    </row>
    <row r="195" spans="1:8">
      <c r="A195" s="530" t="s">
        <v>12747</v>
      </c>
      <c r="B195" s="534" t="s">
        <v>12748</v>
      </c>
      <c r="C195" s="1529">
        <v>38069</v>
      </c>
      <c r="D195" s="1065" t="s">
        <v>12920</v>
      </c>
      <c r="E195" s="535">
        <v>1</v>
      </c>
      <c r="F195" s="535">
        <v>150000</v>
      </c>
      <c r="H195" s="534" t="s">
        <v>12921</v>
      </c>
    </row>
    <row r="196" spans="1:8">
      <c r="A196" s="530" t="s">
        <v>12751</v>
      </c>
      <c r="B196" s="534" t="s">
        <v>12752</v>
      </c>
      <c r="C196" s="1529">
        <v>38069</v>
      </c>
      <c r="D196" s="1065" t="s">
        <v>12922</v>
      </c>
      <c r="E196" s="535">
        <v>9000</v>
      </c>
      <c r="F196" s="535">
        <v>150000</v>
      </c>
    </row>
    <row r="197" spans="1:8">
      <c r="A197" s="530" t="s">
        <v>12754</v>
      </c>
      <c r="C197" s="1529"/>
      <c r="D197" s="1065" t="s">
        <v>166</v>
      </c>
      <c r="E197" s="535"/>
      <c r="F197" s="535"/>
    </row>
    <row r="198" spans="1:8">
      <c r="A198" s="530" t="s">
        <v>12755</v>
      </c>
      <c r="B198" s="534" t="s">
        <v>166</v>
      </c>
      <c r="C198" s="1529"/>
      <c r="D198" s="1065" t="s">
        <v>166</v>
      </c>
    </row>
    <row r="199" spans="1:8">
      <c r="A199" s="530" t="s">
        <v>12756</v>
      </c>
      <c r="B199" s="534" t="s">
        <v>783</v>
      </c>
      <c r="C199" s="1529">
        <v>37987</v>
      </c>
      <c r="D199" s="1065" t="s">
        <v>12923</v>
      </c>
    </row>
    <row r="200" spans="1:8">
      <c r="C200" s="1529"/>
    </row>
    <row r="201" spans="1:8">
      <c r="A201" s="533" t="s">
        <v>10332</v>
      </c>
      <c r="C201" s="1529"/>
    </row>
    <row r="202" spans="1:8" s="533" customFormat="1" ht="12" customHeight="1">
      <c r="A202" s="532" t="s">
        <v>12924</v>
      </c>
      <c r="B202" s="1782" t="s">
        <v>12621</v>
      </c>
      <c r="C202" s="1529"/>
      <c r="D202" s="1066"/>
      <c r="E202" s="532" t="s">
        <v>12594</v>
      </c>
      <c r="F202" s="532" t="s">
        <v>12595</v>
      </c>
    </row>
    <row r="203" spans="1:8">
      <c r="A203" s="530" t="s">
        <v>12598</v>
      </c>
      <c r="B203" s="534" t="s">
        <v>12634</v>
      </c>
      <c r="C203" s="1529">
        <v>42370</v>
      </c>
      <c r="D203" s="1065" t="s">
        <v>12925</v>
      </c>
      <c r="E203" s="535">
        <v>10</v>
      </c>
      <c r="F203" s="535">
        <v>100</v>
      </c>
      <c r="G203" s="1827">
        <v>39044</v>
      </c>
    </row>
    <row r="204" spans="1:8">
      <c r="A204" s="530" t="s">
        <v>12603</v>
      </c>
      <c r="B204" s="534" t="s">
        <v>12634</v>
      </c>
      <c r="C204" s="1529">
        <v>39083</v>
      </c>
      <c r="D204" s="1065" t="s">
        <v>12926</v>
      </c>
      <c r="E204" s="535">
        <v>10</v>
      </c>
      <c r="F204" s="535">
        <v>100</v>
      </c>
      <c r="G204" s="1827">
        <v>39044</v>
      </c>
    </row>
    <row r="205" spans="1:8">
      <c r="A205" s="530" t="s">
        <v>12608</v>
      </c>
      <c r="B205" s="534" t="s">
        <v>12927</v>
      </c>
      <c r="C205" s="1529">
        <v>40147</v>
      </c>
      <c r="D205" s="1065" t="s">
        <v>12928</v>
      </c>
      <c r="E205" s="535">
        <v>25000</v>
      </c>
      <c r="F205" s="535">
        <v>200000</v>
      </c>
      <c r="H205" s="534" t="s">
        <v>12929</v>
      </c>
    </row>
    <row r="206" spans="1:8">
      <c r="A206" s="530" t="s">
        <v>12613</v>
      </c>
      <c r="B206" s="534" t="s">
        <v>12930</v>
      </c>
      <c r="C206" s="1529">
        <v>39731</v>
      </c>
      <c r="D206" s="1065" t="s">
        <v>12931</v>
      </c>
      <c r="E206" s="535">
        <v>40000</v>
      </c>
      <c r="F206" s="535">
        <v>155000</v>
      </c>
      <c r="H206" s="534" t="s">
        <v>12929</v>
      </c>
    </row>
    <row r="207" spans="1:8">
      <c r="A207" s="530" t="s">
        <v>12618</v>
      </c>
      <c r="B207" s="534" t="s">
        <v>12932</v>
      </c>
      <c r="C207" s="1529">
        <v>43831</v>
      </c>
      <c r="D207" s="1065" t="s">
        <v>12933</v>
      </c>
      <c r="E207" s="535">
        <v>20000</v>
      </c>
      <c r="F207" s="535">
        <v>150000</v>
      </c>
      <c r="H207" s="534" t="s">
        <v>12929</v>
      </c>
    </row>
    <row r="208" spans="1:8">
      <c r="A208" s="530" t="s">
        <v>12623</v>
      </c>
      <c r="B208" s="534" t="s">
        <v>12934</v>
      </c>
      <c r="C208" s="1529">
        <v>43641</v>
      </c>
      <c r="D208" s="1065" t="s">
        <v>12935</v>
      </c>
      <c r="E208" s="535">
        <v>25000</v>
      </c>
      <c r="F208" s="535">
        <v>200000</v>
      </c>
      <c r="H208" s="534" t="s">
        <v>12929</v>
      </c>
    </row>
    <row r="209" spans="1:8">
      <c r="A209" s="530" t="s">
        <v>12628</v>
      </c>
      <c r="B209" s="534" t="s">
        <v>12634</v>
      </c>
      <c r="C209" s="1529">
        <v>40147</v>
      </c>
      <c r="D209" s="1065" t="s">
        <v>12936</v>
      </c>
      <c r="E209" s="535">
        <v>10</v>
      </c>
      <c r="F209" s="535">
        <v>100</v>
      </c>
    </row>
    <row r="210" spans="1:8">
      <c r="A210" s="530" t="s">
        <v>12633</v>
      </c>
      <c r="B210" s="534" t="s">
        <v>12634</v>
      </c>
      <c r="C210" s="1529">
        <v>42370</v>
      </c>
      <c r="D210" s="1065" t="s">
        <v>12937</v>
      </c>
      <c r="E210" s="535">
        <v>10</v>
      </c>
      <c r="F210" s="535">
        <v>100</v>
      </c>
      <c r="G210" s="1827">
        <v>39044</v>
      </c>
      <c r="H210" s="534" t="s">
        <v>12929</v>
      </c>
    </row>
    <row r="211" spans="1:8">
      <c r="A211" s="530" t="s">
        <v>12639</v>
      </c>
      <c r="B211" s="534" t="s">
        <v>12938</v>
      </c>
      <c r="C211" s="1529">
        <v>40909</v>
      </c>
      <c r="D211" s="1065" t="s">
        <v>12939</v>
      </c>
      <c r="E211" s="535">
        <v>25000</v>
      </c>
      <c r="F211" s="535">
        <v>150000</v>
      </c>
      <c r="G211" s="2162" t="s">
        <v>12940</v>
      </c>
      <c r="H211" s="534" t="s">
        <v>12929</v>
      </c>
    </row>
    <row r="212" spans="1:8">
      <c r="A212" s="530" t="s">
        <v>12643</v>
      </c>
      <c r="B212" s="534" t="s">
        <v>12941</v>
      </c>
      <c r="C212" s="1529">
        <v>43140</v>
      </c>
      <c r="D212" s="1065" t="s">
        <v>12942</v>
      </c>
      <c r="E212" s="535">
        <v>35000</v>
      </c>
      <c r="F212" s="535">
        <v>150000</v>
      </c>
      <c r="G212" s="2162" t="s">
        <v>12940</v>
      </c>
      <c r="H212" s="534" t="s">
        <v>12929</v>
      </c>
    </row>
    <row r="213" spans="1:8">
      <c r="A213" s="530" t="s">
        <v>12647</v>
      </c>
      <c r="B213" s="534" t="s">
        <v>12943</v>
      </c>
      <c r="C213" s="1529">
        <v>41640</v>
      </c>
      <c r="D213" s="1065" t="s">
        <v>12944</v>
      </c>
      <c r="E213" s="535">
        <v>40000</v>
      </c>
      <c r="F213" s="535">
        <v>160000</v>
      </c>
      <c r="G213" s="2162" t="s">
        <v>12945</v>
      </c>
      <c r="H213" s="534" t="s">
        <v>12929</v>
      </c>
    </row>
    <row r="214" spans="1:8">
      <c r="A214" s="530" t="s">
        <v>12652</v>
      </c>
      <c r="B214" s="534" t="s">
        <v>12946</v>
      </c>
      <c r="C214" s="1529">
        <v>42005</v>
      </c>
      <c r="D214" s="1065" t="s">
        <v>12947</v>
      </c>
      <c r="E214" s="535">
        <v>40000</v>
      </c>
      <c r="F214" s="535">
        <v>150000</v>
      </c>
      <c r="G214" s="2162" t="s">
        <v>12948</v>
      </c>
      <c r="H214" s="534" t="s">
        <v>12929</v>
      </c>
    </row>
    <row r="215" spans="1:8">
      <c r="A215" s="530" t="s">
        <v>12657</v>
      </c>
      <c r="B215" s="534" t="s">
        <v>12949</v>
      </c>
      <c r="C215" s="1529">
        <v>42005</v>
      </c>
      <c r="D215" s="1065" t="s">
        <v>12950</v>
      </c>
      <c r="E215" s="535">
        <v>50000</v>
      </c>
      <c r="F215" s="535">
        <v>175000</v>
      </c>
      <c r="G215" s="2162" t="s">
        <v>12948</v>
      </c>
      <c r="H215" s="534" t="s">
        <v>12929</v>
      </c>
    </row>
    <row r="216" spans="1:8">
      <c r="A216" s="530" t="s">
        <v>12661</v>
      </c>
      <c r="B216" s="534" t="s">
        <v>12634</v>
      </c>
      <c r="C216" s="1529">
        <v>37987</v>
      </c>
      <c r="D216" s="1065" t="s">
        <v>12951</v>
      </c>
      <c r="E216" s="535">
        <v>10</v>
      </c>
      <c r="F216" s="535">
        <v>100</v>
      </c>
    </row>
    <row r="217" spans="1:8">
      <c r="A217" s="530" t="s">
        <v>12665</v>
      </c>
      <c r="B217" s="534" t="s">
        <v>12634</v>
      </c>
      <c r="C217" s="1529">
        <v>37987</v>
      </c>
      <c r="D217" s="1065" t="s">
        <v>12952</v>
      </c>
      <c r="E217" s="535">
        <v>10</v>
      </c>
      <c r="F217" s="535">
        <v>100</v>
      </c>
    </row>
    <row r="218" spans="1:8">
      <c r="A218" s="530" t="s">
        <v>12669</v>
      </c>
      <c r="B218" s="534" t="s">
        <v>12634</v>
      </c>
      <c r="C218" s="1529">
        <v>37987</v>
      </c>
      <c r="D218" s="1065" t="s">
        <v>12953</v>
      </c>
      <c r="E218" s="535">
        <v>10</v>
      </c>
      <c r="F218" s="535">
        <v>100</v>
      </c>
    </row>
    <row r="219" spans="1:8">
      <c r="A219" s="530" t="s">
        <v>12673</v>
      </c>
      <c r="B219" s="534" t="s">
        <v>12674</v>
      </c>
      <c r="C219" s="1529">
        <v>38359</v>
      </c>
      <c r="D219" s="1065" t="s">
        <v>12954</v>
      </c>
      <c r="E219" s="535">
        <v>0</v>
      </c>
      <c r="F219" s="535">
        <v>999999</v>
      </c>
    </row>
    <row r="220" spans="1:8">
      <c r="A220" s="530" t="s">
        <v>12676</v>
      </c>
      <c r="B220" s="534" t="s">
        <v>12634</v>
      </c>
      <c r="C220" s="1529">
        <v>38359</v>
      </c>
      <c r="D220" s="1065" t="s">
        <v>12955</v>
      </c>
      <c r="E220" s="535">
        <v>10</v>
      </c>
      <c r="F220" s="535">
        <v>100</v>
      </c>
    </row>
    <row r="221" spans="1:8">
      <c r="A221" s="530" t="s">
        <v>12678</v>
      </c>
      <c r="B221" s="534" t="s">
        <v>12956</v>
      </c>
      <c r="C221" s="1529">
        <v>38069</v>
      </c>
      <c r="D221" s="1065" t="s">
        <v>12957</v>
      </c>
      <c r="E221" s="535">
        <v>30000</v>
      </c>
      <c r="F221" s="535">
        <v>180000</v>
      </c>
      <c r="H221" s="534" t="s">
        <v>12929</v>
      </c>
    </row>
    <row r="222" spans="1:8">
      <c r="A222" s="530" t="s">
        <v>4430</v>
      </c>
      <c r="C222" s="1529"/>
      <c r="E222" s="535"/>
      <c r="F222" s="535"/>
    </row>
    <row r="223" spans="1:8">
      <c r="A223" s="530" t="s">
        <v>12681</v>
      </c>
      <c r="B223" s="534" t="s">
        <v>12682</v>
      </c>
      <c r="C223" s="1529">
        <v>38069</v>
      </c>
      <c r="D223" s="1065" t="s">
        <v>12958</v>
      </c>
      <c r="E223" s="535">
        <v>30000</v>
      </c>
      <c r="F223" s="535">
        <v>180000</v>
      </c>
    </row>
    <row r="224" spans="1:8">
      <c r="A224" s="530" t="s">
        <v>12684</v>
      </c>
      <c r="B224" s="534" t="s">
        <v>12685</v>
      </c>
      <c r="C224" s="1529">
        <v>38069</v>
      </c>
      <c r="D224" s="1065" t="s">
        <v>12959</v>
      </c>
      <c r="E224" s="535">
        <v>1</v>
      </c>
      <c r="F224" s="535">
        <v>180000</v>
      </c>
      <c r="H224" s="534" t="s">
        <v>12960</v>
      </c>
    </row>
    <row r="225" spans="1:8">
      <c r="A225" s="530" t="s">
        <v>12688</v>
      </c>
      <c r="B225" s="534" t="s">
        <v>12689</v>
      </c>
      <c r="C225" s="1529">
        <v>38069</v>
      </c>
      <c r="D225" s="1065" t="s">
        <v>12961</v>
      </c>
      <c r="E225" s="535">
        <v>20000</v>
      </c>
      <c r="F225" s="535">
        <v>180000</v>
      </c>
    </row>
    <row r="226" spans="1:8">
      <c r="A226" s="532" t="s">
        <v>12962</v>
      </c>
      <c r="B226" s="534" t="s">
        <v>12963</v>
      </c>
      <c r="C226" s="1529"/>
      <c r="E226" s="535"/>
      <c r="F226" s="535"/>
    </row>
    <row r="227" spans="1:8">
      <c r="A227" s="530" t="s">
        <v>12693</v>
      </c>
      <c r="B227" s="534" t="s">
        <v>12964</v>
      </c>
      <c r="C227" s="1529">
        <v>39731</v>
      </c>
      <c r="D227" s="1065" t="s">
        <v>12965</v>
      </c>
      <c r="E227" s="535">
        <v>45000</v>
      </c>
      <c r="F227" s="535">
        <v>220000</v>
      </c>
      <c r="H227" s="534" t="s">
        <v>12966</v>
      </c>
    </row>
    <row r="228" spans="1:8">
      <c r="A228" s="530" t="s">
        <v>12695</v>
      </c>
      <c r="B228" s="534" t="s">
        <v>12634</v>
      </c>
      <c r="C228" s="1529">
        <v>42736</v>
      </c>
      <c r="D228" s="1065" t="s">
        <v>12967</v>
      </c>
      <c r="E228" s="535">
        <v>10</v>
      </c>
      <c r="F228" s="535">
        <v>100</v>
      </c>
    </row>
    <row r="229" spans="1:8">
      <c r="A229" s="530" t="s">
        <v>12697</v>
      </c>
      <c r="B229" s="534" t="s">
        <v>12968</v>
      </c>
      <c r="C229" s="1529">
        <v>39731</v>
      </c>
      <c r="D229" s="1065" t="s">
        <v>12969</v>
      </c>
      <c r="E229" s="535">
        <v>45000</v>
      </c>
      <c r="F229" s="535">
        <v>250000</v>
      </c>
      <c r="H229" s="534" t="s">
        <v>12966</v>
      </c>
    </row>
    <row r="230" spans="1:8">
      <c r="A230" s="530" t="s">
        <v>12701</v>
      </c>
      <c r="B230" s="534" t="s">
        <v>12970</v>
      </c>
      <c r="C230" s="1529">
        <v>39731</v>
      </c>
      <c r="D230" s="1065" t="s">
        <v>12971</v>
      </c>
      <c r="E230" s="535">
        <v>30000</v>
      </c>
      <c r="F230" s="535">
        <v>170000</v>
      </c>
      <c r="H230" s="534" t="s">
        <v>12972</v>
      </c>
    </row>
    <row r="231" spans="1:8">
      <c r="A231" s="530" t="s">
        <v>12705</v>
      </c>
      <c r="B231" s="534" t="s">
        <v>12634</v>
      </c>
      <c r="C231" s="1529">
        <v>37987</v>
      </c>
      <c r="D231" s="1065" t="s">
        <v>12973</v>
      </c>
      <c r="E231" s="535">
        <v>10</v>
      </c>
      <c r="F231" s="535">
        <v>100</v>
      </c>
    </row>
    <row r="232" spans="1:8">
      <c r="A232" s="530" t="s">
        <v>12709</v>
      </c>
      <c r="B232" s="534" t="s">
        <v>12634</v>
      </c>
      <c r="C232" s="1529">
        <v>44562</v>
      </c>
      <c r="D232" s="1065" t="s">
        <v>12974</v>
      </c>
      <c r="E232" s="2183">
        <v>10</v>
      </c>
      <c r="F232" s="2183">
        <v>100</v>
      </c>
    </row>
    <row r="233" spans="1:8">
      <c r="A233" s="530" t="s">
        <v>12714</v>
      </c>
      <c r="B233" s="534" t="s">
        <v>12634</v>
      </c>
      <c r="C233" s="1529">
        <v>37987</v>
      </c>
      <c r="D233" s="1065" t="s">
        <v>12975</v>
      </c>
      <c r="E233" s="535">
        <v>10</v>
      </c>
      <c r="F233" s="535">
        <v>100</v>
      </c>
    </row>
    <row r="234" spans="1:8">
      <c r="A234" s="530" t="s">
        <v>12718</v>
      </c>
      <c r="B234" s="534" t="s">
        <v>12976</v>
      </c>
      <c r="C234" s="1529">
        <v>43318</v>
      </c>
      <c r="D234" s="1065" t="s">
        <v>12977</v>
      </c>
      <c r="E234" s="535">
        <v>25000</v>
      </c>
      <c r="F234" s="535">
        <v>150000</v>
      </c>
      <c r="H234" s="534" t="s">
        <v>12972</v>
      </c>
    </row>
    <row r="235" spans="1:8">
      <c r="A235" s="530" t="s">
        <v>12721</v>
      </c>
      <c r="B235" s="2184" t="s">
        <v>12978</v>
      </c>
      <c r="C235" s="1529">
        <v>42370</v>
      </c>
      <c r="D235" s="1065" t="s">
        <v>12979</v>
      </c>
      <c r="E235" s="2183">
        <v>30000</v>
      </c>
      <c r="F235" s="2183">
        <v>160000</v>
      </c>
      <c r="H235" s="534" t="s">
        <v>12972</v>
      </c>
    </row>
    <row r="236" spans="1:8">
      <c r="A236" s="530" t="s">
        <v>12724</v>
      </c>
      <c r="B236" s="534" t="s">
        <v>12980</v>
      </c>
      <c r="C236" s="1529">
        <v>43484</v>
      </c>
      <c r="D236" s="1065" t="s">
        <v>12981</v>
      </c>
      <c r="E236" s="535">
        <v>30000</v>
      </c>
      <c r="F236" s="535">
        <v>180000</v>
      </c>
      <c r="H236" s="534" t="s">
        <v>12900</v>
      </c>
    </row>
    <row r="237" spans="1:8">
      <c r="A237" s="530" t="s">
        <v>12727</v>
      </c>
      <c r="B237" s="534" t="s">
        <v>12634</v>
      </c>
      <c r="C237" s="1529">
        <v>37987</v>
      </c>
      <c r="D237" s="1065" t="s">
        <v>12982</v>
      </c>
      <c r="E237" s="535">
        <v>10</v>
      </c>
      <c r="F237" s="535">
        <v>100</v>
      </c>
    </row>
    <row r="238" spans="1:8">
      <c r="A238" s="530" t="s">
        <v>12730</v>
      </c>
      <c r="B238" s="534" t="s">
        <v>12983</v>
      </c>
      <c r="C238" s="1529">
        <v>44986</v>
      </c>
      <c r="D238" s="1065" t="s">
        <v>12984</v>
      </c>
      <c r="E238" s="535">
        <v>151000</v>
      </c>
      <c r="F238" s="535">
        <v>250000</v>
      </c>
      <c r="H238" s="534" t="s">
        <v>12966</v>
      </c>
    </row>
    <row r="239" spans="1:8">
      <c r="A239" s="530" t="s">
        <v>12733</v>
      </c>
      <c r="B239" s="534" t="s">
        <v>12634</v>
      </c>
      <c r="C239" s="1529">
        <v>37987</v>
      </c>
      <c r="D239" s="1065" t="s">
        <v>12985</v>
      </c>
      <c r="E239" s="535">
        <v>10</v>
      </c>
      <c r="F239" s="535">
        <v>100</v>
      </c>
    </row>
    <row r="240" spans="1:8">
      <c r="A240" s="530" t="s">
        <v>12737</v>
      </c>
      <c r="B240" s="534" t="s">
        <v>12634</v>
      </c>
      <c r="C240" s="1529">
        <v>37987</v>
      </c>
      <c r="D240" s="1065" t="s">
        <v>12986</v>
      </c>
      <c r="E240" s="535">
        <v>10</v>
      </c>
      <c r="F240" s="535">
        <v>100</v>
      </c>
    </row>
    <row r="241" spans="1:8">
      <c r="A241" s="530" t="s">
        <v>12740</v>
      </c>
      <c r="B241" s="534" t="s">
        <v>12674</v>
      </c>
      <c r="C241" s="1529">
        <v>37987</v>
      </c>
      <c r="D241" s="1065" t="s">
        <v>12987</v>
      </c>
      <c r="E241" s="535">
        <v>0</v>
      </c>
      <c r="F241" s="535">
        <v>999999</v>
      </c>
    </row>
    <row r="242" spans="1:8">
      <c r="A242" s="530" t="s">
        <v>12742</v>
      </c>
      <c r="B242" s="534" t="s">
        <v>12988</v>
      </c>
      <c r="C242" s="1529">
        <v>38069</v>
      </c>
      <c r="D242" s="1069" t="s">
        <v>12989</v>
      </c>
      <c r="E242" s="535">
        <v>25000</v>
      </c>
      <c r="F242" s="535">
        <v>150000</v>
      </c>
    </row>
    <row r="243" spans="1:8">
      <c r="A243" s="530" t="s">
        <v>4430</v>
      </c>
      <c r="C243" s="1529"/>
    </row>
    <row r="244" spans="1:8">
      <c r="A244" s="530" t="s">
        <v>12744</v>
      </c>
      <c r="B244" s="534" t="s">
        <v>12745</v>
      </c>
      <c r="C244" s="1529">
        <v>38069</v>
      </c>
      <c r="D244" s="1065" t="s">
        <v>12990</v>
      </c>
      <c r="E244" s="535">
        <v>30000</v>
      </c>
      <c r="F244" s="535">
        <v>175000</v>
      </c>
    </row>
    <row r="245" spans="1:8">
      <c r="A245" s="530" t="s">
        <v>12747</v>
      </c>
      <c r="B245" s="534" t="s">
        <v>12748</v>
      </c>
      <c r="C245" s="1529">
        <v>38069</v>
      </c>
      <c r="D245" s="1065" t="s">
        <v>12991</v>
      </c>
      <c r="E245" s="535">
        <v>1</v>
      </c>
      <c r="F245" s="535">
        <v>175000</v>
      </c>
      <c r="H245" s="534" t="s">
        <v>12992</v>
      </c>
    </row>
    <row r="246" spans="1:8">
      <c r="A246" s="530" t="s">
        <v>12751</v>
      </c>
      <c r="B246" s="534" t="s">
        <v>12752</v>
      </c>
      <c r="C246" s="1529">
        <v>38069</v>
      </c>
      <c r="D246" s="1065" t="s">
        <v>12993</v>
      </c>
      <c r="E246" s="535">
        <v>30000</v>
      </c>
      <c r="F246" s="535">
        <v>175000</v>
      </c>
    </row>
    <row r="247" spans="1:8">
      <c r="A247" s="530" t="s">
        <v>12754</v>
      </c>
      <c r="B247" s="536"/>
      <c r="C247" s="1529"/>
      <c r="D247" s="1065" t="s">
        <v>166</v>
      </c>
      <c r="E247" s="535"/>
      <c r="F247" s="535"/>
    </row>
    <row r="248" spans="1:8">
      <c r="A248" s="530" t="s">
        <v>12755</v>
      </c>
      <c r="B248" s="534" t="s">
        <v>166</v>
      </c>
      <c r="C248" s="1529"/>
      <c r="D248" s="1065" t="s">
        <v>166</v>
      </c>
    </row>
    <row r="249" spans="1:8">
      <c r="A249" s="530" t="s">
        <v>12756</v>
      </c>
      <c r="B249" s="534" t="s">
        <v>783</v>
      </c>
      <c r="C249" s="1529">
        <v>37987</v>
      </c>
      <c r="D249" s="1065" t="s">
        <v>12994</v>
      </c>
    </row>
    <row r="250" spans="1:8">
      <c r="C250" s="1529"/>
    </row>
    <row r="251" spans="1:8">
      <c r="A251" s="533" t="s">
        <v>10343</v>
      </c>
      <c r="C251" s="1529"/>
    </row>
    <row r="252" spans="1:8" s="533" customFormat="1" ht="12" customHeight="1">
      <c r="A252" s="532" t="s">
        <v>12995</v>
      </c>
      <c r="B252" s="1782" t="s">
        <v>12996</v>
      </c>
      <c r="C252" s="1529"/>
      <c r="D252" s="1066"/>
      <c r="E252" s="532" t="s">
        <v>12594</v>
      </c>
      <c r="F252" s="532" t="s">
        <v>12595</v>
      </c>
    </row>
    <row r="253" spans="1:8">
      <c r="A253" s="530" t="s">
        <v>12598</v>
      </c>
      <c r="B253" s="534" t="s">
        <v>12634</v>
      </c>
      <c r="C253" s="1529">
        <v>40544</v>
      </c>
      <c r="D253" s="1065" t="s">
        <v>12997</v>
      </c>
      <c r="E253" s="535">
        <v>10</v>
      </c>
      <c r="F253" s="535">
        <v>100</v>
      </c>
    </row>
    <row r="254" spans="1:8">
      <c r="A254" s="530" t="s">
        <v>12603</v>
      </c>
      <c r="B254" s="534" t="s">
        <v>12634</v>
      </c>
      <c r="C254" s="1529">
        <v>40544</v>
      </c>
      <c r="D254" s="1065" t="s">
        <v>12998</v>
      </c>
      <c r="E254" s="535">
        <v>10</v>
      </c>
      <c r="F254" s="535">
        <v>100</v>
      </c>
    </row>
    <row r="255" spans="1:8">
      <c r="A255" s="530" t="s">
        <v>12608</v>
      </c>
      <c r="B255" s="534" t="s">
        <v>12634</v>
      </c>
      <c r="C255" s="1529">
        <v>40544</v>
      </c>
      <c r="D255" s="1065" t="s">
        <v>12999</v>
      </c>
      <c r="E255" s="535">
        <v>10</v>
      </c>
      <c r="F255" s="535">
        <v>100</v>
      </c>
    </row>
    <row r="256" spans="1:8">
      <c r="A256" s="530" t="s">
        <v>12613</v>
      </c>
      <c r="B256" s="534" t="s">
        <v>12634</v>
      </c>
      <c r="C256" s="1529">
        <v>40544</v>
      </c>
      <c r="D256" s="1065" t="s">
        <v>13000</v>
      </c>
      <c r="E256" s="535">
        <v>10</v>
      </c>
      <c r="F256" s="535">
        <v>100</v>
      </c>
    </row>
    <row r="257" spans="1:7">
      <c r="A257" s="530" t="s">
        <v>12618</v>
      </c>
      <c r="B257" s="534" t="s">
        <v>12634</v>
      </c>
      <c r="C257" s="1529">
        <v>40544</v>
      </c>
      <c r="D257" s="1065" t="s">
        <v>13001</v>
      </c>
      <c r="E257" s="535">
        <v>10</v>
      </c>
      <c r="F257" s="535">
        <v>100</v>
      </c>
    </row>
    <row r="258" spans="1:7">
      <c r="A258" s="530" t="s">
        <v>12623</v>
      </c>
      <c r="B258" s="534" t="s">
        <v>12634</v>
      </c>
      <c r="C258" s="1529">
        <v>40544</v>
      </c>
      <c r="D258" s="1065" t="s">
        <v>13002</v>
      </c>
      <c r="E258" s="535">
        <v>10</v>
      </c>
      <c r="F258" s="535">
        <v>100</v>
      </c>
    </row>
    <row r="259" spans="1:7">
      <c r="A259" s="530" t="s">
        <v>12628</v>
      </c>
      <c r="B259" s="534" t="s">
        <v>12634</v>
      </c>
      <c r="C259" s="1529">
        <v>40544</v>
      </c>
      <c r="D259" s="1065" t="s">
        <v>13003</v>
      </c>
      <c r="E259" s="535">
        <v>10</v>
      </c>
      <c r="F259" s="535">
        <v>100</v>
      </c>
      <c r="G259" s="1827"/>
    </row>
    <row r="260" spans="1:7">
      <c r="A260" s="530" t="s">
        <v>12633</v>
      </c>
      <c r="B260" s="534" t="s">
        <v>12634</v>
      </c>
      <c r="C260" s="1529">
        <v>40544</v>
      </c>
      <c r="D260" s="1065" t="s">
        <v>13004</v>
      </c>
      <c r="E260" s="535">
        <v>10</v>
      </c>
      <c r="F260" s="535">
        <v>100</v>
      </c>
      <c r="G260" s="1827"/>
    </row>
    <row r="261" spans="1:7">
      <c r="A261" s="530" t="s">
        <v>12639</v>
      </c>
      <c r="B261" s="534" t="s">
        <v>12634</v>
      </c>
      <c r="C261" s="1529">
        <v>40544</v>
      </c>
      <c r="D261" s="1065" t="s">
        <v>13005</v>
      </c>
      <c r="E261" s="535">
        <v>10</v>
      </c>
      <c r="F261" s="535">
        <v>100</v>
      </c>
      <c r="G261" s="1827"/>
    </row>
    <row r="262" spans="1:7">
      <c r="A262" s="530" t="s">
        <v>12643</v>
      </c>
      <c r="B262" s="534" t="s">
        <v>12634</v>
      </c>
      <c r="C262" s="1529">
        <v>40544</v>
      </c>
      <c r="D262" s="1065" t="s">
        <v>13006</v>
      </c>
      <c r="E262" s="535">
        <v>10</v>
      </c>
      <c r="F262" s="535">
        <v>100</v>
      </c>
      <c r="G262" s="1827"/>
    </row>
    <row r="263" spans="1:7">
      <c r="A263" s="530" t="s">
        <v>12647</v>
      </c>
      <c r="B263" s="534" t="s">
        <v>12634</v>
      </c>
      <c r="C263" s="1529">
        <v>40544</v>
      </c>
      <c r="D263" s="1065" t="s">
        <v>13007</v>
      </c>
      <c r="E263" s="535">
        <v>10</v>
      </c>
      <c r="F263" s="535">
        <v>100</v>
      </c>
      <c r="G263" s="1827"/>
    </row>
    <row r="264" spans="1:7">
      <c r="A264" s="530" t="s">
        <v>12652</v>
      </c>
      <c r="B264" s="534" t="s">
        <v>12634</v>
      </c>
      <c r="C264" s="1529">
        <v>40544</v>
      </c>
      <c r="D264" s="1065" t="s">
        <v>13008</v>
      </c>
      <c r="E264" s="535">
        <v>10</v>
      </c>
      <c r="F264" s="535">
        <v>100</v>
      </c>
      <c r="G264" s="1827"/>
    </row>
    <row r="265" spans="1:7">
      <c r="A265" s="530" t="s">
        <v>12657</v>
      </c>
      <c r="B265" s="534" t="s">
        <v>12634</v>
      </c>
      <c r="C265" s="1529">
        <v>40544</v>
      </c>
      <c r="D265" s="1065" t="s">
        <v>13009</v>
      </c>
      <c r="E265" s="535">
        <v>10</v>
      </c>
      <c r="F265" s="535">
        <v>100</v>
      </c>
      <c r="G265" s="1827"/>
    </row>
    <row r="266" spans="1:7">
      <c r="A266" s="530" t="s">
        <v>12661</v>
      </c>
      <c r="B266" s="534" t="s">
        <v>12634</v>
      </c>
      <c r="C266" s="1529">
        <v>40544</v>
      </c>
      <c r="D266" s="1065" t="s">
        <v>13010</v>
      </c>
      <c r="E266" s="535">
        <v>10</v>
      </c>
      <c r="F266" s="535">
        <v>100</v>
      </c>
      <c r="G266" s="1827"/>
    </row>
    <row r="267" spans="1:7">
      <c r="A267" s="530" t="s">
        <v>12665</v>
      </c>
      <c r="B267" s="534" t="s">
        <v>12634</v>
      </c>
      <c r="C267" s="1529">
        <v>40544</v>
      </c>
      <c r="D267" s="1065" t="s">
        <v>13011</v>
      </c>
      <c r="E267" s="535">
        <v>10</v>
      </c>
      <c r="F267" s="535">
        <v>100</v>
      </c>
    </row>
    <row r="268" spans="1:7">
      <c r="A268" s="530" t="s">
        <v>12669</v>
      </c>
      <c r="B268" s="534" t="s">
        <v>12634</v>
      </c>
      <c r="C268" s="1529">
        <v>40544</v>
      </c>
      <c r="D268" s="1065" t="s">
        <v>13012</v>
      </c>
      <c r="E268" s="535">
        <v>10</v>
      </c>
      <c r="F268" s="535">
        <v>100</v>
      </c>
    </row>
    <row r="269" spans="1:7">
      <c r="A269" s="530" t="s">
        <v>12673</v>
      </c>
      <c r="B269" s="534" t="s">
        <v>12674</v>
      </c>
      <c r="C269" s="1529">
        <v>44986</v>
      </c>
      <c r="D269" s="1065" t="s">
        <v>13013</v>
      </c>
      <c r="E269" s="535">
        <v>0</v>
      </c>
      <c r="F269" s="535">
        <v>999999</v>
      </c>
      <c r="G269" s="1529"/>
    </row>
    <row r="270" spans="1:7">
      <c r="A270" s="530" t="s">
        <v>12676</v>
      </c>
      <c r="B270" s="534" t="s">
        <v>12634</v>
      </c>
      <c r="C270" s="1529">
        <v>40544</v>
      </c>
      <c r="D270" s="1065" t="s">
        <v>13014</v>
      </c>
      <c r="E270" s="535">
        <v>10</v>
      </c>
      <c r="F270" s="535">
        <v>100</v>
      </c>
      <c r="G270" s="1529"/>
    </row>
    <row r="271" spans="1:7">
      <c r="A271" s="530" t="s">
        <v>12678</v>
      </c>
      <c r="B271" s="534" t="s">
        <v>13015</v>
      </c>
      <c r="C271" s="1529">
        <v>44986</v>
      </c>
      <c r="D271" s="1065" t="s">
        <v>13016</v>
      </c>
      <c r="E271" s="535">
        <v>10000</v>
      </c>
      <c r="F271" s="535">
        <v>110000</v>
      </c>
    </row>
    <row r="272" spans="1:7">
      <c r="A272" s="530" t="s">
        <v>4430</v>
      </c>
      <c r="C272" s="1529"/>
      <c r="E272" s="535"/>
      <c r="F272" s="535"/>
    </row>
    <row r="273" spans="1:8">
      <c r="A273" s="530" t="s">
        <v>12681</v>
      </c>
      <c r="B273" s="534" t="s">
        <v>12682</v>
      </c>
      <c r="C273" s="1529">
        <v>44986</v>
      </c>
      <c r="D273" s="1065" t="s">
        <v>13017</v>
      </c>
      <c r="E273" s="535">
        <v>10000</v>
      </c>
      <c r="F273" s="535">
        <v>100000</v>
      </c>
    </row>
    <row r="274" spans="1:8">
      <c r="A274" s="530" t="s">
        <v>12684</v>
      </c>
      <c r="B274" s="534" t="s">
        <v>12685</v>
      </c>
      <c r="C274" s="1529">
        <v>44986</v>
      </c>
      <c r="D274" s="1065" t="s">
        <v>13018</v>
      </c>
      <c r="E274" s="535">
        <v>1</v>
      </c>
      <c r="F274" s="535">
        <v>100000</v>
      </c>
    </row>
    <row r="275" spans="1:8">
      <c r="A275" s="530" t="s">
        <v>12688</v>
      </c>
      <c r="B275" s="534" t="s">
        <v>12689</v>
      </c>
      <c r="C275" s="1529">
        <v>44986</v>
      </c>
      <c r="D275" s="1065" t="s">
        <v>13019</v>
      </c>
      <c r="E275" s="535">
        <v>7000</v>
      </c>
      <c r="F275" s="535">
        <v>100000</v>
      </c>
    </row>
    <row r="276" spans="1:8">
      <c r="A276" s="532" t="s">
        <v>13020</v>
      </c>
      <c r="B276" s="534" t="s">
        <v>13021</v>
      </c>
      <c r="C276" s="1529"/>
      <c r="E276" s="535"/>
      <c r="F276" s="535"/>
    </row>
    <row r="277" spans="1:8">
      <c r="A277" s="530" t="s">
        <v>12693</v>
      </c>
      <c r="B277" s="534" t="s">
        <v>12634</v>
      </c>
      <c r="C277" s="1529">
        <v>40544</v>
      </c>
      <c r="D277" s="1065" t="s">
        <v>13022</v>
      </c>
      <c r="E277" s="535">
        <v>10</v>
      </c>
      <c r="F277" s="535">
        <v>100</v>
      </c>
    </row>
    <row r="278" spans="1:8">
      <c r="A278" s="530" t="s">
        <v>12695</v>
      </c>
      <c r="B278" s="534" t="s">
        <v>1138</v>
      </c>
      <c r="C278" s="1529">
        <v>44986</v>
      </c>
      <c r="D278" s="1065" t="s">
        <v>13023</v>
      </c>
      <c r="E278" s="535">
        <v>14000</v>
      </c>
      <c r="F278" s="535">
        <v>120000</v>
      </c>
      <c r="G278" s="1827"/>
      <c r="H278" s="534" t="s">
        <v>12708</v>
      </c>
    </row>
    <row r="279" spans="1:8">
      <c r="A279" s="530" t="s">
        <v>12697</v>
      </c>
      <c r="B279" s="534" t="s">
        <v>13024</v>
      </c>
      <c r="C279" s="1529">
        <v>44986</v>
      </c>
      <c r="D279" s="1065" t="s">
        <v>13025</v>
      </c>
      <c r="E279" s="535">
        <v>20000</v>
      </c>
      <c r="F279" s="535">
        <v>140000</v>
      </c>
      <c r="H279" s="534" t="s">
        <v>12700</v>
      </c>
    </row>
    <row r="280" spans="1:8">
      <c r="A280" s="530" t="s">
        <v>12701</v>
      </c>
      <c r="B280" s="534" t="s">
        <v>13026</v>
      </c>
      <c r="C280" s="1529">
        <v>44986</v>
      </c>
      <c r="D280" s="1065" t="s">
        <v>13027</v>
      </c>
      <c r="E280" s="535">
        <v>20000</v>
      </c>
      <c r="F280" s="535">
        <v>130000</v>
      </c>
      <c r="H280" s="534" t="s">
        <v>12704</v>
      </c>
    </row>
    <row r="281" spans="1:8">
      <c r="A281" s="530" t="s">
        <v>12705</v>
      </c>
      <c r="B281" s="534" t="s">
        <v>12634</v>
      </c>
      <c r="C281" s="1529">
        <v>40544</v>
      </c>
      <c r="D281" s="1065" t="s">
        <v>13028</v>
      </c>
      <c r="E281" s="535">
        <v>10</v>
      </c>
      <c r="F281" s="535">
        <v>100</v>
      </c>
      <c r="G281" s="1827"/>
    </row>
    <row r="282" spans="1:8">
      <c r="A282" s="530" t="s">
        <v>12709</v>
      </c>
      <c r="B282" s="534" t="s">
        <v>12634</v>
      </c>
      <c r="C282" s="1529">
        <v>40544</v>
      </c>
      <c r="D282" s="1065" t="s">
        <v>13029</v>
      </c>
      <c r="E282" s="535">
        <v>10</v>
      </c>
      <c r="F282" s="535">
        <v>100</v>
      </c>
      <c r="G282" s="1827"/>
    </row>
    <row r="283" spans="1:8">
      <c r="A283" s="530" t="s">
        <v>12714</v>
      </c>
      <c r="B283" s="534" t="s">
        <v>12634</v>
      </c>
      <c r="C283" s="1529">
        <v>40544</v>
      </c>
      <c r="D283" s="1065" t="s">
        <v>13030</v>
      </c>
      <c r="E283" s="535">
        <v>10</v>
      </c>
      <c r="F283" s="535">
        <v>100</v>
      </c>
    </row>
    <row r="284" spans="1:8">
      <c r="A284" s="530" t="s">
        <v>12718</v>
      </c>
      <c r="B284" s="534" t="s">
        <v>13031</v>
      </c>
      <c r="C284" s="1529">
        <v>44986</v>
      </c>
      <c r="D284" s="1065" t="s">
        <v>13032</v>
      </c>
      <c r="E284" s="535">
        <v>24000</v>
      </c>
      <c r="F284" s="535">
        <v>170000</v>
      </c>
      <c r="H284" s="534" t="s">
        <v>12717</v>
      </c>
    </row>
    <row r="285" spans="1:8">
      <c r="A285" s="530" t="s">
        <v>12721</v>
      </c>
      <c r="B285" s="534" t="s">
        <v>13033</v>
      </c>
      <c r="C285" s="1529">
        <v>44986</v>
      </c>
      <c r="D285" s="1065" t="s">
        <v>13034</v>
      </c>
      <c r="E285" s="535">
        <v>12000</v>
      </c>
      <c r="F285" s="535">
        <v>145000</v>
      </c>
      <c r="H285" s="534" t="s">
        <v>12717</v>
      </c>
    </row>
    <row r="286" spans="1:8">
      <c r="A286" s="530" t="s">
        <v>12724</v>
      </c>
      <c r="B286" s="534" t="s">
        <v>13035</v>
      </c>
      <c r="C286" s="1529">
        <v>44986</v>
      </c>
      <c r="D286" s="1065" t="s">
        <v>13036</v>
      </c>
      <c r="E286" s="535">
        <v>18000</v>
      </c>
      <c r="F286" s="535">
        <v>160000</v>
      </c>
      <c r="H286" s="534" t="s">
        <v>12717</v>
      </c>
    </row>
    <row r="287" spans="1:8">
      <c r="A287" s="530" t="s">
        <v>12727</v>
      </c>
      <c r="B287" s="534" t="s">
        <v>13037</v>
      </c>
      <c r="C287" s="1529">
        <v>45126</v>
      </c>
      <c r="D287" s="1065" t="s">
        <v>13038</v>
      </c>
      <c r="E287" s="535">
        <v>20000</v>
      </c>
      <c r="F287" s="535">
        <v>180000</v>
      </c>
      <c r="H287" s="534" t="s">
        <v>12717</v>
      </c>
    </row>
    <row r="288" spans="1:8">
      <c r="A288" s="530" t="s">
        <v>12730</v>
      </c>
      <c r="B288" s="534" t="s">
        <v>12634</v>
      </c>
      <c r="C288" s="1529">
        <v>40544</v>
      </c>
      <c r="D288" s="1065" t="s">
        <v>13039</v>
      </c>
      <c r="E288" s="535">
        <v>10</v>
      </c>
      <c r="F288" s="535">
        <v>100</v>
      </c>
      <c r="G288" s="534" t="s">
        <v>13040</v>
      </c>
    </row>
    <row r="289" spans="1:8">
      <c r="A289" s="530" t="s">
        <v>12733</v>
      </c>
      <c r="B289" s="534" t="s">
        <v>12634</v>
      </c>
      <c r="C289" s="1529">
        <v>40544</v>
      </c>
      <c r="D289" s="1065" t="s">
        <v>13041</v>
      </c>
      <c r="E289" s="535">
        <v>10</v>
      </c>
      <c r="F289" s="535">
        <v>100</v>
      </c>
    </row>
    <row r="290" spans="1:8">
      <c r="A290" s="530" t="s">
        <v>12737</v>
      </c>
      <c r="B290" s="534" t="s">
        <v>13042</v>
      </c>
      <c r="C290" s="1529">
        <v>44986</v>
      </c>
      <c r="D290" s="1065" t="s">
        <v>13043</v>
      </c>
      <c r="E290" s="535">
        <v>25000</v>
      </c>
      <c r="F290" s="535">
        <v>135000</v>
      </c>
      <c r="G290" s="534" t="s">
        <v>13040</v>
      </c>
      <c r="H290" s="534" t="s">
        <v>12708</v>
      </c>
    </row>
    <row r="291" spans="1:8">
      <c r="A291" s="530" t="s">
        <v>12740</v>
      </c>
      <c r="B291" s="534" t="s">
        <v>12674</v>
      </c>
      <c r="C291" s="1529">
        <v>44986</v>
      </c>
      <c r="D291" s="1065" t="s">
        <v>13044</v>
      </c>
      <c r="E291" s="535">
        <v>10</v>
      </c>
      <c r="F291" s="535">
        <v>999999</v>
      </c>
    </row>
    <row r="292" spans="1:8">
      <c r="A292" s="530" t="s">
        <v>12742</v>
      </c>
      <c r="B292" s="534" t="s">
        <v>13045</v>
      </c>
      <c r="C292" s="1529">
        <v>44986</v>
      </c>
      <c r="D292" s="1065" t="s">
        <v>13046</v>
      </c>
      <c r="E292" s="535">
        <v>12000</v>
      </c>
      <c r="F292" s="535">
        <v>125000</v>
      </c>
    </row>
    <row r="293" spans="1:8">
      <c r="A293" s="530" t="s">
        <v>4430</v>
      </c>
      <c r="C293" s="1529"/>
    </row>
    <row r="294" spans="1:8">
      <c r="A294" s="530" t="s">
        <v>12744</v>
      </c>
      <c r="B294" s="534" t="s">
        <v>12745</v>
      </c>
      <c r="C294" s="1529">
        <v>44986</v>
      </c>
      <c r="D294" s="1065" t="s">
        <v>13047</v>
      </c>
      <c r="E294" s="535">
        <v>12000</v>
      </c>
      <c r="F294" s="535">
        <v>150000</v>
      </c>
    </row>
    <row r="295" spans="1:8">
      <c r="A295" s="530" t="s">
        <v>12747</v>
      </c>
      <c r="B295" s="534" t="s">
        <v>12748</v>
      </c>
      <c r="C295" s="1529">
        <v>44986</v>
      </c>
      <c r="D295" s="1065" t="s">
        <v>13048</v>
      </c>
      <c r="E295" s="535">
        <v>1</v>
      </c>
      <c r="F295" s="535">
        <v>150000</v>
      </c>
      <c r="H295" s="534" t="s">
        <v>13049</v>
      </c>
    </row>
    <row r="296" spans="1:8">
      <c r="A296" s="530" t="s">
        <v>12751</v>
      </c>
      <c r="B296" s="534" t="s">
        <v>12752</v>
      </c>
      <c r="C296" s="1529">
        <v>44986</v>
      </c>
      <c r="D296" s="1065" t="s">
        <v>13050</v>
      </c>
      <c r="E296" s="535">
        <v>17000</v>
      </c>
      <c r="F296" s="535">
        <v>150000</v>
      </c>
    </row>
    <row r="297" spans="1:8">
      <c r="A297" s="530" t="s">
        <v>12754</v>
      </c>
      <c r="C297" s="1529"/>
      <c r="E297" s="535"/>
      <c r="F297" s="535"/>
    </row>
    <row r="298" spans="1:8">
      <c r="A298" s="530" t="s">
        <v>12755</v>
      </c>
      <c r="B298" s="534" t="s">
        <v>166</v>
      </c>
      <c r="C298" s="1529"/>
      <c r="D298" s="1065" t="s">
        <v>166</v>
      </c>
      <c r="E298" s="535"/>
      <c r="F298" s="535"/>
    </row>
    <row r="299" spans="1:8">
      <c r="A299" s="530" t="s">
        <v>12756</v>
      </c>
      <c r="B299" s="534" t="s">
        <v>783</v>
      </c>
      <c r="C299" s="1529">
        <v>37987</v>
      </c>
      <c r="D299" s="1065" t="s">
        <v>13051</v>
      </c>
    </row>
    <row r="300" spans="1:8">
      <c r="C300" s="1529"/>
    </row>
    <row r="301" spans="1:8">
      <c r="A301" s="533" t="s">
        <v>10354</v>
      </c>
      <c r="C301" s="1529"/>
    </row>
    <row r="302" spans="1:8" s="533" customFormat="1" ht="12" customHeight="1">
      <c r="A302" s="532" t="s">
        <v>13052</v>
      </c>
      <c r="B302" s="1782" t="s">
        <v>13053</v>
      </c>
      <c r="C302" s="1529"/>
      <c r="D302" s="1066"/>
      <c r="E302" s="532" t="s">
        <v>12594</v>
      </c>
      <c r="F302" s="532" t="s">
        <v>12595</v>
      </c>
    </row>
    <row r="303" spans="1:8">
      <c r="A303" s="530" t="s">
        <v>12598</v>
      </c>
      <c r="B303" s="534" t="s">
        <v>13054</v>
      </c>
      <c r="C303" s="1529">
        <v>44986</v>
      </c>
      <c r="D303" s="1065" t="s">
        <v>13055</v>
      </c>
      <c r="E303" s="535">
        <v>300000</v>
      </c>
      <c r="F303" s="535">
        <v>450000</v>
      </c>
    </row>
    <row r="304" spans="1:8">
      <c r="A304" s="530" t="s">
        <v>12603</v>
      </c>
      <c r="B304" s="534" t="s">
        <v>12634</v>
      </c>
      <c r="C304" s="1529">
        <v>40544</v>
      </c>
      <c r="D304" s="1065" t="s">
        <v>13056</v>
      </c>
      <c r="E304" s="535">
        <v>10</v>
      </c>
      <c r="F304" s="535">
        <v>100</v>
      </c>
    </row>
    <row r="305" spans="1:6">
      <c r="A305" s="530" t="s">
        <v>12608</v>
      </c>
      <c r="B305" s="534" t="s">
        <v>12634</v>
      </c>
      <c r="C305" s="1529">
        <v>40544</v>
      </c>
      <c r="D305" s="1065" t="s">
        <v>13057</v>
      </c>
      <c r="E305" s="535">
        <v>10</v>
      </c>
      <c r="F305" s="535">
        <v>100</v>
      </c>
    </row>
    <row r="306" spans="1:6">
      <c r="A306" s="530" t="s">
        <v>12613</v>
      </c>
      <c r="B306" s="534" t="s">
        <v>12634</v>
      </c>
      <c r="C306" s="1529">
        <v>40544</v>
      </c>
      <c r="D306" s="1065" t="s">
        <v>13058</v>
      </c>
      <c r="E306" s="535">
        <v>10</v>
      </c>
      <c r="F306" s="535">
        <v>100</v>
      </c>
    </row>
    <row r="307" spans="1:6">
      <c r="A307" s="530" t="s">
        <v>12618</v>
      </c>
      <c r="B307" s="534" t="s">
        <v>12634</v>
      </c>
      <c r="C307" s="1529">
        <v>40544</v>
      </c>
      <c r="D307" s="1065" t="s">
        <v>13059</v>
      </c>
      <c r="E307" s="535">
        <v>10</v>
      </c>
      <c r="F307" s="535">
        <v>100</v>
      </c>
    </row>
    <row r="308" spans="1:6">
      <c r="A308" s="530" t="s">
        <v>12623</v>
      </c>
      <c r="B308" s="534" t="s">
        <v>12634</v>
      </c>
      <c r="C308" s="1529">
        <v>40544</v>
      </c>
      <c r="D308" s="1065" t="s">
        <v>13060</v>
      </c>
      <c r="E308" s="535">
        <v>10</v>
      </c>
      <c r="F308" s="535">
        <v>100</v>
      </c>
    </row>
    <row r="309" spans="1:6">
      <c r="A309" s="530" t="s">
        <v>12628</v>
      </c>
      <c r="B309" s="534" t="s">
        <v>12634</v>
      </c>
      <c r="C309" s="1529">
        <v>40544</v>
      </c>
      <c r="D309" s="1065" t="s">
        <v>13061</v>
      </c>
      <c r="E309" s="535">
        <v>10</v>
      </c>
      <c r="F309" s="535">
        <v>100</v>
      </c>
    </row>
    <row r="310" spans="1:6">
      <c r="A310" s="530" t="s">
        <v>12633</v>
      </c>
      <c r="B310" s="534" t="s">
        <v>12634</v>
      </c>
      <c r="C310" s="1529">
        <v>40544</v>
      </c>
      <c r="D310" s="1065" t="s">
        <v>13062</v>
      </c>
      <c r="E310" s="535">
        <v>10</v>
      </c>
      <c r="F310" s="535">
        <v>100</v>
      </c>
    </row>
    <row r="311" spans="1:6">
      <c r="A311" s="530" t="s">
        <v>12639</v>
      </c>
      <c r="B311" s="534" t="s">
        <v>12634</v>
      </c>
      <c r="C311" s="1529">
        <v>40544</v>
      </c>
      <c r="D311" s="1065" t="s">
        <v>13063</v>
      </c>
      <c r="E311" s="535">
        <v>10</v>
      </c>
      <c r="F311" s="535">
        <v>100</v>
      </c>
    </row>
    <row r="312" spans="1:6">
      <c r="A312" s="530" t="s">
        <v>12643</v>
      </c>
      <c r="B312" s="534" t="s">
        <v>12634</v>
      </c>
      <c r="C312" s="1529">
        <v>40544</v>
      </c>
      <c r="D312" s="1065" t="s">
        <v>13064</v>
      </c>
      <c r="E312" s="535">
        <v>10</v>
      </c>
      <c r="F312" s="535">
        <v>100</v>
      </c>
    </row>
    <row r="313" spans="1:6">
      <c r="A313" s="530" t="s">
        <v>12647</v>
      </c>
      <c r="B313" s="534" t="s">
        <v>12634</v>
      </c>
      <c r="C313" s="1529">
        <v>40544</v>
      </c>
      <c r="D313" s="1065" t="s">
        <v>13065</v>
      </c>
      <c r="E313" s="535">
        <v>10</v>
      </c>
      <c r="F313" s="535">
        <v>100</v>
      </c>
    </row>
    <row r="314" spans="1:6">
      <c r="A314" s="530" t="s">
        <v>12652</v>
      </c>
      <c r="B314" s="534" t="s">
        <v>12634</v>
      </c>
      <c r="C314" s="1529">
        <v>40544</v>
      </c>
      <c r="D314" s="1065" t="s">
        <v>13066</v>
      </c>
      <c r="E314" s="535">
        <v>10</v>
      </c>
      <c r="F314" s="535">
        <v>100</v>
      </c>
    </row>
    <row r="315" spans="1:6">
      <c r="A315" s="530" t="s">
        <v>12657</v>
      </c>
      <c r="B315" s="534" t="s">
        <v>12634</v>
      </c>
      <c r="C315" s="1529">
        <v>40544</v>
      </c>
      <c r="D315" s="1065" t="s">
        <v>13067</v>
      </c>
      <c r="E315" s="535">
        <v>10</v>
      </c>
      <c r="F315" s="535">
        <v>100</v>
      </c>
    </row>
    <row r="316" spans="1:6">
      <c r="A316" s="530" t="s">
        <v>12661</v>
      </c>
      <c r="B316" s="534" t="s">
        <v>12634</v>
      </c>
      <c r="C316" s="1529">
        <v>40544</v>
      </c>
      <c r="D316" s="1065" t="s">
        <v>13068</v>
      </c>
      <c r="E316" s="535">
        <v>10</v>
      </c>
      <c r="F316" s="535">
        <v>100</v>
      </c>
    </row>
    <row r="317" spans="1:6">
      <c r="A317" s="530" t="s">
        <v>12665</v>
      </c>
      <c r="B317" s="534" t="s">
        <v>12634</v>
      </c>
      <c r="C317" s="1529">
        <v>40544</v>
      </c>
      <c r="D317" s="1065" t="s">
        <v>13069</v>
      </c>
      <c r="E317" s="535">
        <v>10</v>
      </c>
      <c r="F317" s="535">
        <v>100</v>
      </c>
    </row>
    <row r="318" spans="1:6">
      <c r="A318" s="530" t="s">
        <v>12669</v>
      </c>
      <c r="B318" s="534" t="s">
        <v>12634</v>
      </c>
      <c r="C318" s="1529">
        <v>40544</v>
      </c>
      <c r="D318" s="1065" t="s">
        <v>13070</v>
      </c>
      <c r="E318" s="535">
        <v>10</v>
      </c>
      <c r="F318" s="535">
        <v>100</v>
      </c>
    </row>
    <row r="319" spans="1:6">
      <c r="A319" s="530" t="s">
        <v>12673</v>
      </c>
      <c r="B319" s="534" t="s">
        <v>12634</v>
      </c>
      <c r="C319" s="1529">
        <v>40544</v>
      </c>
      <c r="D319" s="1065" t="s">
        <v>13071</v>
      </c>
      <c r="E319" s="535">
        <v>10</v>
      </c>
      <c r="F319" s="535">
        <v>100</v>
      </c>
    </row>
    <row r="320" spans="1:6">
      <c r="A320" s="530" t="s">
        <v>12676</v>
      </c>
      <c r="B320" s="534" t="s">
        <v>12634</v>
      </c>
      <c r="C320" s="1529">
        <v>40544</v>
      </c>
      <c r="D320" s="1065" t="s">
        <v>13072</v>
      </c>
      <c r="E320" s="535">
        <v>10</v>
      </c>
      <c r="F320" s="535">
        <v>100</v>
      </c>
    </row>
    <row r="321" spans="1:8">
      <c r="A321" s="530" t="s">
        <v>12678</v>
      </c>
      <c r="B321" s="534" t="s">
        <v>12634</v>
      </c>
      <c r="C321" s="1529">
        <v>40544</v>
      </c>
      <c r="D321" s="1065" t="s">
        <v>13073</v>
      </c>
      <c r="E321" s="535">
        <v>10</v>
      </c>
      <c r="F321" s="535">
        <v>100</v>
      </c>
    </row>
    <row r="322" spans="1:8">
      <c r="A322" s="530" t="s">
        <v>4430</v>
      </c>
      <c r="C322" s="1529"/>
      <c r="E322" s="535"/>
      <c r="F322" s="535"/>
    </row>
    <row r="323" spans="1:8">
      <c r="A323" s="530" t="s">
        <v>12681</v>
      </c>
      <c r="B323" s="534" t="s">
        <v>12682</v>
      </c>
      <c r="C323" s="1529">
        <v>44986</v>
      </c>
      <c r="D323" s="1065" t="s">
        <v>13074</v>
      </c>
      <c r="E323" s="535">
        <v>30000</v>
      </c>
      <c r="F323" s="535">
        <v>180000</v>
      </c>
    </row>
    <row r="324" spans="1:8">
      <c r="A324" s="530" t="s">
        <v>12684</v>
      </c>
      <c r="B324" s="534" t="s">
        <v>12685</v>
      </c>
      <c r="C324" s="1529">
        <v>44986</v>
      </c>
      <c r="D324" s="1065" t="s">
        <v>13075</v>
      </c>
      <c r="E324" s="535">
        <v>1</v>
      </c>
      <c r="F324" s="535">
        <v>180000</v>
      </c>
    </row>
    <row r="325" spans="1:8">
      <c r="A325" s="530" t="s">
        <v>12688</v>
      </c>
      <c r="B325" s="534" t="s">
        <v>12689</v>
      </c>
      <c r="C325" s="1529">
        <v>44986</v>
      </c>
      <c r="D325" s="1065" t="s">
        <v>13076</v>
      </c>
      <c r="E325" s="535">
        <v>20000</v>
      </c>
      <c r="F325" s="535">
        <v>180000</v>
      </c>
    </row>
    <row r="326" spans="1:8">
      <c r="A326" s="532" t="s">
        <v>13077</v>
      </c>
      <c r="B326" s="534" t="s">
        <v>13078</v>
      </c>
      <c r="C326" s="1529"/>
      <c r="E326" s="535"/>
      <c r="F326" s="535"/>
    </row>
    <row r="327" spans="1:8">
      <c r="A327" s="530" t="s">
        <v>12693</v>
      </c>
      <c r="B327" s="534" t="s">
        <v>13079</v>
      </c>
      <c r="C327" s="1529">
        <v>44986</v>
      </c>
      <c r="D327" s="1065" t="s">
        <v>13080</v>
      </c>
      <c r="E327" s="535">
        <v>50000</v>
      </c>
      <c r="F327" s="535">
        <v>170000</v>
      </c>
      <c r="G327" s="1529"/>
      <c r="H327" s="534" t="s">
        <v>13081</v>
      </c>
    </row>
    <row r="328" spans="1:8">
      <c r="A328" s="530" t="s">
        <v>12695</v>
      </c>
      <c r="B328" s="534" t="s">
        <v>13082</v>
      </c>
      <c r="C328" s="1529">
        <v>45455</v>
      </c>
      <c r="D328" s="1065" t="s">
        <v>13083</v>
      </c>
      <c r="E328" s="535">
        <v>40000</v>
      </c>
      <c r="F328" s="535">
        <v>140000</v>
      </c>
    </row>
    <row r="329" spans="1:8">
      <c r="A329" s="530" t="s">
        <v>12697</v>
      </c>
      <c r="B329" s="534" t="s">
        <v>13084</v>
      </c>
      <c r="C329" s="1529">
        <v>45292</v>
      </c>
      <c r="D329" s="1065" t="s">
        <v>13085</v>
      </c>
      <c r="E329" s="535">
        <v>5000</v>
      </c>
      <c r="F329" s="535">
        <v>350000</v>
      </c>
      <c r="H329" s="534" t="s">
        <v>12896</v>
      </c>
    </row>
    <row r="330" spans="1:8">
      <c r="A330" s="530" t="s">
        <v>12701</v>
      </c>
      <c r="B330" s="534" t="s">
        <v>13086</v>
      </c>
      <c r="C330" s="1529">
        <v>45566</v>
      </c>
      <c r="D330" s="1065" t="s">
        <v>13087</v>
      </c>
      <c r="E330" s="535">
        <v>50000</v>
      </c>
      <c r="F330" s="535">
        <v>200000</v>
      </c>
    </row>
    <row r="331" spans="1:8">
      <c r="A331" s="530" t="s">
        <v>12705</v>
      </c>
      <c r="B331" s="534" t="s">
        <v>13088</v>
      </c>
      <c r="C331" s="1529">
        <v>45658</v>
      </c>
      <c r="D331" s="1065" t="s">
        <v>13089</v>
      </c>
      <c r="E331" s="535">
        <v>50000</v>
      </c>
      <c r="F331" s="535">
        <v>300000</v>
      </c>
    </row>
    <row r="332" spans="1:8">
      <c r="A332" s="530" t="s">
        <v>12709</v>
      </c>
      <c r="B332" s="534" t="s">
        <v>12634</v>
      </c>
      <c r="C332" s="1529">
        <v>40544</v>
      </c>
      <c r="D332" s="1065" t="s">
        <v>13090</v>
      </c>
      <c r="E332" s="535">
        <v>10</v>
      </c>
      <c r="F332" s="535">
        <v>100</v>
      </c>
    </row>
    <row r="333" spans="1:8">
      <c r="A333" s="530" t="s">
        <v>12714</v>
      </c>
      <c r="B333" s="534" t="s">
        <v>12634</v>
      </c>
      <c r="C333" s="1529">
        <v>40544</v>
      </c>
      <c r="D333" s="1065" t="s">
        <v>13091</v>
      </c>
      <c r="E333" s="535">
        <v>10</v>
      </c>
      <c r="F333" s="535">
        <v>100</v>
      </c>
    </row>
    <row r="334" spans="1:8">
      <c r="A334" s="530" t="s">
        <v>12718</v>
      </c>
      <c r="B334" s="534" t="s">
        <v>12634</v>
      </c>
      <c r="C334" s="1529">
        <v>40544</v>
      </c>
      <c r="D334" s="1065" t="s">
        <v>13092</v>
      </c>
      <c r="E334" s="535">
        <v>10</v>
      </c>
      <c r="F334" s="535">
        <v>100</v>
      </c>
    </row>
    <row r="335" spans="1:8">
      <c r="A335" s="530" t="s">
        <v>12721</v>
      </c>
      <c r="B335" s="534" t="s">
        <v>12634</v>
      </c>
      <c r="C335" s="1529">
        <v>40544</v>
      </c>
      <c r="D335" s="1065" t="s">
        <v>13093</v>
      </c>
      <c r="E335" s="535">
        <v>10</v>
      </c>
      <c r="F335" s="535">
        <v>100</v>
      </c>
    </row>
    <row r="336" spans="1:8">
      <c r="A336" s="530" t="s">
        <v>12724</v>
      </c>
      <c r="B336" s="534" t="s">
        <v>12634</v>
      </c>
      <c r="C336" s="1529">
        <v>40544</v>
      </c>
      <c r="D336" s="1065" t="s">
        <v>13094</v>
      </c>
      <c r="E336" s="535">
        <v>10</v>
      </c>
      <c r="F336" s="535">
        <v>100</v>
      </c>
    </row>
    <row r="337" spans="1:8">
      <c r="A337" s="530" t="s">
        <v>12727</v>
      </c>
      <c r="B337" s="534" t="s">
        <v>12634</v>
      </c>
      <c r="C337" s="1529">
        <v>40544</v>
      </c>
      <c r="D337" s="1065" t="s">
        <v>13095</v>
      </c>
      <c r="E337" s="535">
        <v>10</v>
      </c>
      <c r="F337" s="535">
        <v>100</v>
      </c>
    </row>
    <row r="338" spans="1:8">
      <c r="A338" s="530" t="s">
        <v>12730</v>
      </c>
      <c r="B338" s="534" t="s">
        <v>12634</v>
      </c>
      <c r="C338" s="1529">
        <v>40544</v>
      </c>
      <c r="D338" s="1065" t="s">
        <v>13096</v>
      </c>
      <c r="E338" s="535">
        <v>10</v>
      </c>
      <c r="F338" s="535">
        <v>100</v>
      </c>
    </row>
    <row r="339" spans="1:8">
      <c r="A339" s="530" t="s">
        <v>12733</v>
      </c>
      <c r="B339" s="534" t="s">
        <v>12634</v>
      </c>
      <c r="C339" s="1529">
        <v>40544</v>
      </c>
      <c r="D339" s="1065" t="s">
        <v>13097</v>
      </c>
      <c r="E339" s="535">
        <v>10</v>
      </c>
      <c r="F339" s="535">
        <v>100</v>
      </c>
    </row>
    <row r="340" spans="1:8">
      <c r="A340" s="530" t="s">
        <v>12737</v>
      </c>
      <c r="B340" s="534" t="s">
        <v>12634</v>
      </c>
      <c r="C340" s="1529">
        <v>40544</v>
      </c>
      <c r="D340" s="1065" t="s">
        <v>13098</v>
      </c>
      <c r="E340" s="535">
        <v>10</v>
      </c>
      <c r="F340" s="535">
        <v>100</v>
      </c>
    </row>
    <row r="341" spans="1:8">
      <c r="A341" s="530" t="s">
        <v>12740</v>
      </c>
      <c r="B341" s="534" t="s">
        <v>12634</v>
      </c>
      <c r="C341" s="1529">
        <v>40544</v>
      </c>
      <c r="D341" s="1065" t="s">
        <v>13099</v>
      </c>
      <c r="E341" s="535">
        <v>10</v>
      </c>
      <c r="F341" s="535">
        <v>100</v>
      </c>
    </row>
    <row r="342" spans="1:8">
      <c r="A342" s="530" t="s">
        <v>12742</v>
      </c>
      <c r="B342" s="534" t="s">
        <v>12634</v>
      </c>
      <c r="C342" s="1529">
        <v>40544</v>
      </c>
      <c r="D342" s="1065" t="s">
        <v>13100</v>
      </c>
      <c r="E342" s="535">
        <v>10</v>
      </c>
      <c r="F342" s="535">
        <v>100</v>
      </c>
    </row>
    <row r="343" spans="1:8">
      <c r="A343" s="530" t="s">
        <v>4430</v>
      </c>
      <c r="C343" s="1529"/>
    </row>
    <row r="344" spans="1:8">
      <c r="A344" s="530" t="s">
        <v>12744</v>
      </c>
      <c r="B344" s="534" t="s">
        <v>12745</v>
      </c>
      <c r="C344" s="1529">
        <v>44986</v>
      </c>
      <c r="D344" s="1065" t="s">
        <v>13101</v>
      </c>
      <c r="E344" s="535">
        <v>30000</v>
      </c>
      <c r="F344" s="535">
        <v>175000</v>
      </c>
    </row>
    <row r="345" spans="1:8">
      <c r="A345" s="530" t="s">
        <v>12747</v>
      </c>
      <c r="B345" s="534" t="s">
        <v>12748</v>
      </c>
      <c r="C345" s="1529">
        <v>44986</v>
      </c>
      <c r="D345" s="1065" t="s">
        <v>13102</v>
      </c>
      <c r="E345" s="535">
        <v>1</v>
      </c>
      <c r="F345" s="535">
        <v>175000</v>
      </c>
      <c r="H345" s="534" t="s">
        <v>13103</v>
      </c>
    </row>
    <row r="346" spans="1:8">
      <c r="A346" s="530" t="s">
        <v>12751</v>
      </c>
      <c r="B346" s="534" t="s">
        <v>12752</v>
      </c>
      <c r="C346" s="1529">
        <v>44986</v>
      </c>
      <c r="D346" s="1065" t="s">
        <v>13104</v>
      </c>
      <c r="E346" s="535">
        <v>30000</v>
      </c>
      <c r="F346" s="535">
        <v>175000</v>
      </c>
    </row>
    <row r="347" spans="1:8">
      <c r="A347" s="530" t="s">
        <v>12754</v>
      </c>
      <c r="C347" s="1529"/>
      <c r="D347" s="1065" t="s">
        <v>166</v>
      </c>
      <c r="E347" s="535"/>
      <c r="F347" s="535"/>
    </row>
    <row r="348" spans="1:8">
      <c r="A348" s="530" t="s">
        <v>12755</v>
      </c>
      <c r="B348" s="534" t="s">
        <v>166</v>
      </c>
      <c r="C348" s="1529"/>
      <c r="D348" s="1065" t="s">
        <v>166</v>
      </c>
    </row>
    <row r="349" spans="1:8">
      <c r="A349" s="530" t="s">
        <v>12756</v>
      </c>
      <c r="B349" s="534" t="s">
        <v>783</v>
      </c>
      <c r="C349" s="1529">
        <v>37987</v>
      </c>
      <c r="D349" s="1065" t="s">
        <v>13105</v>
      </c>
    </row>
    <row r="350" spans="1:8">
      <c r="C350" s="1529"/>
    </row>
    <row r="351" spans="1:8">
      <c r="A351" s="533" t="s">
        <v>10365</v>
      </c>
      <c r="C351" s="1529"/>
    </row>
    <row r="352" spans="1:8" s="533" customFormat="1" ht="12" customHeight="1">
      <c r="A352" s="532" t="s">
        <v>13106</v>
      </c>
      <c r="B352" s="1782" t="s">
        <v>13107</v>
      </c>
      <c r="C352" s="1529"/>
      <c r="D352" s="1066"/>
      <c r="E352" s="532" t="s">
        <v>12594</v>
      </c>
      <c r="F352" s="532" t="s">
        <v>12595</v>
      </c>
    </row>
    <row r="353" spans="1:6">
      <c r="A353" s="530" t="s">
        <v>12598</v>
      </c>
      <c r="B353" s="534" t="s">
        <v>12634</v>
      </c>
      <c r="C353" s="1529">
        <v>37987</v>
      </c>
      <c r="D353" s="1065" t="s">
        <v>13108</v>
      </c>
      <c r="E353" s="535">
        <v>10</v>
      </c>
      <c r="F353" s="535">
        <v>100</v>
      </c>
    </row>
    <row r="354" spans="1:6">
      <c r="A354" s="530" t="s">
        <v>12603</v>
      </c>
      <c r="B354" s="534" t="s">
        <v>12634</v>
      </c>
      <c r="C354" s="1529">
        <v>37987</v>
      </c>
      <c r="D354" s="1065" t="s">
        <v>13109</v>
      </c>
      <c r="E354" s="535">
        <v>10</v>
      </c>
      <c r="F354" s="535">
        <v>100</v>
      </c>
    </row>
    <row r="355" spans="1:6">
      <c r="A355" s="530" t="s">
        <v>12608</v>
      </c>
      <c r="B355" s="534" t="s">
        <v>12634</v>
      </c>
      <c r="C355" s="1529">
        <v>37987</v>
      </c>
      <c r="D355" s="1065" t="s">
        <v>13110</v>
      </c>
      <c r="E355" s="535">
        <v>10</v>
      </c>
      <c r="F355" s="535">
        <v>100</v>
      </c>
    </row>
    <row r="356" spans="1:6">
      <c r="A356" s="530" t="s">
        <v>12613</v>
      </c>
      <c r="B356" s="534" t="s">
        <v>12634</v>
      </c>
      <c r="C356" s="1529">
        <v>37987</v>
      </c>
      <c r="D356" s="1065" t="s">
        <v>13111</v>
      </c>
      <c r="E356" s="535">
        <v>10</v>
      </c>
      <c r="F356" s="535">
        <v>100</v>
      </c>
    </row>
    <row r="357" spans="1:6">
      <c r="A357" s="530" t="s">
        <v>12618</v>
      </c>
      <c r="B357" s="534" t="s">
        <v>12634</v>
      </c>
      <c r="C357" s="1529">
        <v>37987</v>
      </c>
      <c r="D357" s="1065" t="s">
        <v>13112</v>
      </c>
      <c r="E357" s="535">
        <v>10</v>
      </c>
      <c r="F357" s="535">
        <v>100</v>
      </c>
    </row>
    <row r="358" spans="1:6">
      <c r="A358" s="530" t="s">
        <v>12623</v>
      </c>
      <c r="B358" s="534" t="s">
        <v>12634</v>
      </c>
      <c r="C358" s="1529">
        <v>37987</v>
      </c>
      <c r="D358" s="1065" t="s">
        <v>13113</v>
      </c>
      <c r="E358" s="535">
        <v>10</v>
      </c>
      <c r="F358" s="535">
        <v>100</v>
      </c>
    </row>
    <row r="359" spans="1:6">
      <c r="A359" s="530" t="s">
        <v>12628</v>
      </c>
      <c r="B359" s="534" t="s">
        <v>12634</v>
      </c>
      <c r="C359" s="1529">
        <v>37987</v>
      </c>
      <c r="D359" s="1065" t="s">
        <v>13114</v>
      </c>
      <c r="E359" s="535">
        <v>10</v>
      </c>
      <c r="F359" s="535">
        <v>100</v>
      </c>
    </row>
    <row r="360" spans="1:6">
      <c r="A360" s="530" t="s">
        <v>12633</v>
      </c>
      <c r="B360" s="534" t="s">
        <v>12634</v>
      </c>
      <c r="C360" s="1529">
        <v>37987</v>
      </c>
      <c r="D360" s="1065" t="s">
        <v>13115</v>
      </c>
      <c r="E360" s="535">
        <v>10</v>
      </c>
      <c r="F360" s="535">
        <v>100</v>
      </c>
    </row>
    <row r="361" spans="1:6">
      <c r="A361" s="530" t="s">
        <v>12639</v>
      </c>
      <c r="B361" s="534" t="s">
        <v>12634</v>
      </c>
      <c r="C361" s="1529">
        <v>37987</v>
      </c>
      <c r="D361" s="1065" t="s">
        <v>13116</v>
      </c>
      <c r="E361" s="535">
        <v>10</v>
      </c>
      <c r="F361" s="535">
        <v>100</v>
      </c>
    </row>
    <row r="362" spans="1:6">
      <c r="A362" s="530" t="s">
        <v>12643</v>
      </c>
      <c r="B362" s="534" t="s">
        <v>12634</v>
      </c>
      <c r="C362" s="1529">
        <v>37987</v>
      </c>
      <c r="D362" s="1065" t="s">
        <v>13117</v>
      </c>
      <c r="E362" s="535">
        <v>10</v>
      </c>
      <c r="F362" s="535">
        <v>100</v>
      </c>
    </row>
    <row r="363" spans="1:6">
      <c r="A363" s="530" t="s">
        <v>12647</v>
      </c>
      <c r="B363" s="534" t="s">
        <v>12634</v>
      </c>
      <c r="C363" s="1529">
        <v>37987</v>
      </c>
      <c r="D363" s="1065" t="s">
        <v>13118</v>
      </c>
      <c r="E363" s="535">
        <v>10</v>
      </c>
      <c r="F363" s="535">
        <v>100</v>
      </c>
    </row>
    <row r="364" spans="1:6">
      <c r="A364" s="530" t="s">
        <v>12652</v>
      </c>
      <c r="B364" s="534" t="s">
        <v>12634</v>
      </c>
      <c r="C364" s="1529">
        <v>37987</v>
      </c>
      <c r="D364" s="1065" t="s">
        <v>13119</v>
      </c>
      <c r="E364" s="535">
        <v>10</v>
      </c>
      <c r="F364" s="535">
        <v>100</v>
      </c>
    </row>
    <row r="365" spans="1:6">
      <c r="A365" s="530" t="s">
        <v>12657</v>
      </c>
      <c r="B365" s="534" t="s">
        <v>12634</v>
      </c>
      <c r="C365" s="1529">
        <v>37987</v>
      </c>
      <c r="D365" s="1065" t="s">
        <v>13120</v>
      </c>
      <c r="E365" s="535">
        <v>10</v>
      </c>
      <c r="F365" s="535">
        <v>100</v>
      </c>
    </row>
    <row r="366" spans="1:6">
      <c r="A366" s="530" t="s">
        <v>12661</v>
      </c>
      <c r="B366" s="534" t="s">
        <v>12634</v>
      </c>
      <c r="C366" s="1529">
        <v>37987</v>
      </c>
      <c r="D366" s="1065" t="s">
        <v>13121</v>
      </c>
      <c r="E366" s="535">
        <v>10</v>
      </c>
      <c r="F366" s="535">
        <v>100</v>
      </c>
    </row>
    <row r="367" spans="1:6">
      <c r="A367" s="530" t="s">
        <v>12665</v>
      </c>
      <c r="B367" s="534" t="s">
        <v>12634</v>
      </c>
      <c r="C367" s="1529">
        <v>37987</v>
      </c>
      <c r="D367" s="1065" t="s">
        <v>13122</v>
      </c>
      <c r="E367" s="535">
        <v>10</v>
      </c>
      <c r="F367" s="535">
        <v>100</v>
      </c>
    </row>
    <row r="368" spans="1:6">
      <c r="A368" s="530" t="s">
        <v>12669</v>
      </c>
      <c r="B368" s="534" t="s">
        <v>12634</v>
      </c>
      <c r="C368" s="1529">
        <v>37987</v>
      </c>
      <c r="D368" s="1065" t="s">
        <v>13123</v>
      </c>
      <c r="E368" s="535">
        <v>10</v>
      </c>
      <c r="F368" s="535">
        <v>100</v>
      </c>
    </row>
    <row r="369" spans="1:8">
      <c r="A369" s="530" t="s">
        <v>12673</v>
      </c>
      <c r="B369" s="534" t="s">
        <v>12634</v>
      </c>
      <c r="C369" s="1529">
        <v>39083</v>
      </c>
      <c r="D369" s="1065" t="s">
        <v>13124</v>
      </c>
      <c r="E369" s="535">
        <v>10</v>
      </c>
      <c r="F369" s="535">
        <v>100</v>
      </c>
      <c r="G369" s="1827"/>
    </row>
    <row r="370" spans="1:8">
      <c r="A370" s="530" t="s">
        <v>12676</v>
      </c>
      <c r="B370" s="534" t="s">
        <v>12634</v>
      </c>
      <c r="C370" s="1529">
        <v>37987</v>
      </c>
      <c r="D370" s="1065" t="s">
        <v>13125</v>
      </c>
      <c r="E370" s="535">
        <v>10</v>
      </c>
      <c r="F370" s="535">
        <v>100</v>
      </c>
    </row>
    <row r="371" spans="1:8">
      <c r="A371" s="530" t="s">
        <v>12678</v>
      </c>
      <c r="B371" s="534" t="s">
        <v>12634</v>
      </c>
      <c r="C371" s="1529">
        <v>37987</v>
      </c>
      <c r="D371" s="1065" t="s">
        <v>13126</v>
      </c>
      <c r="E371" s="535">
        <v>10</v>
      </c>
      <c r="F371" s="535">
        <v>100</v>
      </c>
    </row>
    <row r="372" spans="1:8">
      <c r="A372" s="530" t="s">
        <v>4430</v>
      </c>
      <c r="C372" s="1529"/>
      <c r="E372" s="535"/>
      <c r="F372" s="535"/>
    </row>
    <row r="373" spans="1:8">
      <c r="A373" s="530" t="s">
        <v>12681</v>
      </c>
      <c r="B373" s="534" t="s">
        <v>12682</v>
      </c>
      <c r="C373" s="1529">
        <v>44986</v>
      </c>
      <c r="D373" s="1065" t="s">
        <v>13127</v>
      </c>
      <c r="E373" s="535">
        <v>10000</v>
      </c>
      <c r="F373" s="535">
        <v>100000</v>
      </c>
    </row>
    <row r="374" spans="1:8">
      <c r="A374" s="530" t="s">
        <v>12684</v>
      </c>
      <c r="B374" s="534" t="s">
        <v>12685</v>
      </c>
      <c r="C374" s="1529">
        <v>44986</v>
      </c>
      <c r="D374" s="1065" t="s">
        <v>13128</v>
      </c>
      <c r="E374" s="535">
        <v>1</v>
      </c>
      <c r="F374" s="535">
        <v>100000</v>
      </c>
    </row>
    <row r="375" spans="1:8">
      <c r="A375" s="530" t="s">
        <v>12688</v>
      </c>
      <c r="B375" s="534" t="s">
        <v>12689</v>
      </c>
      <c r="C375" s="1529">
        <v>44986</v>
      </c>
      <c r="D375" s="1065" t="s">
        <v>13129</v>
      </c>
      <c r="E375" s="535">
        <v>7000</v>
      </c>
      <c r="F375" s="535">
        <v>100000</v>
      </c>
    </row>
    <row r="376" spans="1:8">
      <c r="A376" s="532" t="s">
        <v>13130</v>
      </c>
      <c r="B376" s="534" t="s">
        <v>13131</v>
      </c>
      <c r="C376" s="1529"/>
      <c r="E376" s="535"/>
      <c r="F376" s="535"/>
    </row>
    <row r="377" spans="1:8">
      <c r="A377" s="530" t="s">
        <v>12693</v>
      </c>
      <c r="B377" s="534" t="s">
        <v>13132</v>
      </c>
      <c r="C377" s="1529">
        <v>45455</v>
      </c>
      <c r="D377" s="1065" t="s">
        <v>13133</v>
      </c>
      <c r="E377" s="535">
        <v>70000</v>
      </c>
      <c r="F377" s="535">
        <v>300000</v>
      </c>
      <c r="G377" s="1827">
        <v>38496</v>
      </c>
      <c r="H377" s="534" t="s">
        <v>13134</v>
      </c>
    </row>
    <row r="378" spans="1:8">
      <c r="A378" s="530" t="s">
        <v>12695</v>
      </c>
      <c r="B378" s="534" t="s">
        <v>13135</v>
      </c>
      <c r="C378" s="1529">
        <v>45455</v>
      </c>
      <c r="D378" s="1065" t="s">
        <v>13136</v>
      </c>
      <c r="E378" s="535">
        <v>70000</v>
      </c>
      <c r="F378" s="535">
        <v>300000</v>
      </c>
      <c r="H378" s="534" t="s">
        <v>13137</v>
      </c>
    </row>
    <row r="379" spans="1:8">
      <c r="A379" s="530" t="s">
        <v>12697</v>
      </c>
      <c r="B379" s="534" t="s">
        <v>13138</v>
      </c>
      <c r="C379" s="1529">
        <v>44986</v>
      </c>
      <c r="D379" s="1065" t="s">
        <v>13139</v>
      </c>
      <c r="E379" s="535">
        <v>40000</v>
      </c>
      <c r="F379" s="535">
        <v>155000</v>
      </c>
      <c r="H379" s="534" t="s">
        <v>13134</v>
      </c>
    </row>
    <row r="380" spans="1:8">
      <c r="A380" s="530" t="s">
        <v>12701</v>
      </c>
      <c r="B380" s="534" t="s">
        <v>12634</v>
      </c>
      <c r="C380" s="1529">
        <v>40544</v>
      </c>
      <c r="D380" s="1065" t="s">
        <v>13140</v>
      </c>
      <c r="E380" s="535">
        <v>10</v>
      </c>
      <c r="F380" s="535">
        <v>100</v>
      </c>
      <c r="H380" s="534" t="s">
        <v>12636</v>
      </c>
    </row>
    <row r="381" spans="1:8">
      <c r="A381" s="530" t="s">
        <v>12705</v>
      </c>
      <c r="B381" s="534" t="s">
        <v>12634</v>
      </c>
      <c r="C381" s="1529">
        <v>40544</v>
      </c>
      <c r="D381" s="1065" t="s">
        <v>13141</v>
      </c>
      <c r="E381" s="535">
        <v>10</v>
      </c>
      <c r="F381" s="535">
        <v>100</v>
      </c>
      <c r="H381" s="534" t="s">
        <v>12636</v>
      </c>
    </row>
    <row r="382" spans="1:8">
      <c r="A382" s="530" t="s">
        <v>12709</v>
      </c>
      <c r="B382" s="534" t="s">
        <v>12634</v>
      </c>
      <c r="C382" s="1529">
        <v>40544</v>
      </c>
      <c r="D382" s="1065" t="s">
        <v>13142</v>
      </c>
      <c r="E382" s="535">
        <v>10</v>
      </c>
      <c r="F382" s="535">
        <v>100</v>
      </c>
      <c r="H382" s="534" t="s">
        <v>12636</v>
      </c>
    </row>
    <row r="383" spans="1:8">
      <c r="A383" s="530" t="s">
        <v>12714</v>
      </c>
      <c r="B383" s="534" t="s">
        <v>12634</v>
      </c>
      <c r="C383" s="1529">
        <v>40544</v>
      </c>
      <c r="D383" s="1065" t="s">
        <v>13143</v>
      </c>
      <c r="E383" s="535">
        <v>10</v>
      </c>
      <c r="F383" s="535">
        <v>100</v>
      </c>
      <c r="H383" s="534" t="s">
        <v>12636</v>
      </c>
    </row>
    <row r="384" spans="1:8">
      <c r="A384" s="530" t="s">
        <v>12718</v>
      </c>
      <c r="B384" s="534" t="s">
        <v>12634</v>
      </c>
      <c r="C384" s="1529">
        <v>40544</v>
      </c>
      <c r="D384" s="1065" t="s">
        <v>13144</v>
      </c>
      <c r="E384" s="535">
        <v>10</v>
      </c>
      <c r="F384" s="535">
        <v>100</v>
      </c>
      <c r="H384" s="534" t="s">
        <v>12636</v>
      </c>
    </row>
    <row r="385" spans="1:8">
      <c r="A385" s="530" t="s">
        <v>12721</v>
      </c>
      <c r="B385" s="534" t="s">
        <v>12634</v>
      </c>
      <c r="C385" s="1529">
        <v>40544</v>
      </c>
      <c r="D385" s="1065" t="s">
        <v>13145</v>
      </c>
      <c r="E385" s="535">
        <v>10</v>
      </c>
      <c r="F385" s="535">
        <v>100</v>
      </c>
      <c r="H385" s="534" t="s">
        <v>12636</v>
      </c>
    </row>
    <row r="386" spans="1:8">
      <c r="A386" s="530" t="s">
        <v>12724</v>
      </c>
      <c r="B386" s="534" t="s">
        <v>12634</v>
      </c>
      <c r="C386" s="1529">
        <v>40544</v>
      </c>
      <c r="D386" s="1065" t="s">
        <v>13146</v>
      </c>
      <c r="E386" s="535">
        <v>10</v>
      </c>
      <c r="F386" s="535">
        <v>100</v>
      </c>
      <c r="H386" s="534" t="s">
        <v>12636</v>
      </c>
    </row>
    <row r="387" spans="1:8">
      <c r="A387" s="530" t="s">
        <v>12727</v>
      </c>
      <c r="B387" s="534" t="s">
        <v>12634</v>
      </c>
      <c r="C387" s="1529">
        <v>40544</v>
      </c>
      <c r="D387" s="1065" t="s">
        <v>13147</v>
      </c>
      <c r="E387" s="535">
        <v>10</v>
      </c>
      <c r="F387" s="535">
        <v>100</v>
      </c>
      <c r="H387" s="534" t="s">
        <v>12636</v>
      </c>
    </row>
    <row r="388" spans="1:8">
      <c r="A388" s="530" t="s">
        <v>12730</v>
      </c>
      <c r="B388" s="534" t="s">
        <v>12634</v>
      </c>
      <c r="C388" s="1529">
        <v>40544</v>
      </c>
      <c r="D388" s="1065" t="s">
        <v>13148</v>
      </c>
      <c r="E388" s="535">
        <v>10</v>
      </c>
      <c r="F388" s="535">
        <v>100</v>
      </c>
      <c r="H388" s="534" t="s">
        <v>12636</v>
      </c>
    </row>
    <row r="389" spans="1:8">
      <c r="A389" s="530" t="s">
        <v>12733</v>
      </c>
      <c r="B389" s="534" t="s">
        <v>12634</v>
      </c>
      <c r="C389" s="1529">
        <v>40544</v>
      </c>
      <c r="D389" s="1065" t="s">
        <v>13149</v>
      </c>
      <c r="E389" s="535">
        <v>10</v>
      </c>
      <c r="F389" s="535">
        <v>100</v>
      </c>
      <c r="H389" s="534" t="s">
        <v>12636</v>
      </c>
    </row>
    <row r="390" spans="1:8">
      <c r="A390" s="530" t="s">
        <v>12737</v>
      </c>
      <c r="B390" s="534" t="s">
        <v>12634</v>
      </c>
      <c r="C390" s="1529">
        <v>40544</v>
      </c>
      <c r="D390" s="1065" t="s">
        <v>13150</v>
      </c>
      <c r="E390" s="535">
        <v>10</v>
      </c>
      <c r="F390" s="535">
        <v>100</v>
      </c>
      <c r="H390" s="534" t="s">
        <v>12636</v>
      </c>
    </row>
    <row r="391" spans="1:8">
      <c r="A391" s="530" t="s">
        <v>12740</v>
      </c>
      <c r="B391" s="534" t="s">
        <v>12634</v>
      </c>
      <c r="C391" s="1529">
        <v>40544</v>
      </c>
      <c r="D391" s="1065" t="s">
        <v>13151</v>
      </c>
      <c r="E391" s="535">
        <v>10</v>
      </c>
      <c r="F391" s="535">
        <v>100</v>
      </c>
      <c r="H391" s="534" t="s">
        <v>12636</v>
      </c>
    </row>
    <row r="392" spans="1:8">
      <c r="A392" s="530" t="s">
        <v>12742</v>
      </c>
      <c r="B392" s="534" t="s">
        <v>12634</v>
      </c>
      <c r="C392" s="1529">
        <v>40544</v>
      </c>
      <c r="D392" s="1065" t="s">
        <v>13152</v>
      </c>
      <c r="E392" s="535">
        <v>10</v>
      </c>
      <c r="F392" s="535">
        <v>100</v>
      </c>
      <c r="H392" s="534" t="s">
        <v>12636</v>
      </c>
    </row>
    <row r="393" spans="1:8">
      <c r="A393" s="530" t="s">
        <v>4430</v>
      </c>
      <c r="C393" s="1529"/>
    </row>
    <row r="394" spans="1:8">
      <c r="A394" s="530" t="s">
        <v>12744</v>
      </c>
      <c r="B394" s="534" t="s">
        <v>12745</v>
      </c>
      <c r="C394" s="1529">
        <v>44986</v>
      </c>
      <c r="D394" s="1065" t="s">
        <v>13153</v>
      </c>
      <c r="E394" s="535">
        <v>12000</v>
      </c>
      <c r="F394" s="535">
        <v>150000</v>
      </c>
    </row>
    <row r="395" spans="1:8">
      <c r="A395" s="530" t="s">
        <v>12747</v>
      </c>
      <c r="B395" s="534" t="s">
        <v>12748</v>
      </c>
      <c r="C395" s="1529">
        <v>44986</v>
      </c>
      <c r="D395" s="1065" t="s">
        <v>13154</v>
      </c>
      <c r="E395" s="535">
        <v>1</v>
      </c>
      <c r="F395" s="535">
        <v>150000</v>
      </c>
      <c r="H395" s="534" t="s">
        <v>13155</v>
      </c>
    </row>
    <row r="396" spans="1:8">
      <c r="A396" s="530" t="s">
        <v>12751</v>
      </c>
      <c r="B396" s="534" t="s">
        <v>12752</v>
      </c>
      <c r="C396" s="1529">
        <v>44986</v>
      </c>
      <c r="D396" s="1065" t="s">
        <v>13156</v>
      </c>
      <c r="E396" s="535">
        <v>17000</v>
      </c>
      <c r="F396" s="535">
        <v>150000</v>
      </c>
    </row>
    <row r="397" spans="1:8">
      <c r="A397" s="530" t="s">
        <v>12754</v>
      </c>
      <c r="C397" s="1529"/>
      <c r="D397" s="1065" t="s">
        <v>166</v>
      </c>
      <c r="E397" s="535"/>
      <c r="F397" s="535"/>
    </row>
    <row r="398" spans="1:8">
      <c r="A398" s="530" t="s">
        <v>12755</v>
      </c>
      <c r="B398" s="534" t="s">
        <v>166</v>
      </c>
      <c r="C398" s="1529"/>
      <c r="D398" s="1065" t="s">
        <v>166</v>
      </c>
    </row>
    <row r="399" spans="1:8">
      <c r="A399" s="530" t="s">
        <v>12756</v>
      </c>
      <c r="B399" s="534" t="s">
        <v>783</v>
      </c>
      <c r="C399" s="1529">
        <v>37987</v>
      </c>
      <c r="D399" s="1065" t="s">
        <v>13157</v>
      </c>
    </row>
    <row r="400" spans="1:8">
      <c r="C400" s="1529"/>
    </row>
    <row r="401" spans="1:6">
      <c r="A401" s="533" t="s">
        <v>10376</v>
      </c>
      <c r="C401" s="1529"/>
    </row>
    <row r="402" spans="1:6" s="533" customFormat="1" ht="12" customHeight="1">
      <c r="A402" s="532" t="s">
        <v>13158</v>
      </c>
      <c r="B402" s="1782" t="s">
        <v>13159</v>
      </c>
      <c r="C402" s="1529"/>
      <c r="D402" s="1066"/>
      <c r="E402" s="532" t="s">
        <v>12594</v>
      </c>
      <c r="F402" s="532" t="s">
        <v>12595</v>
      </c>
    </row>
    <row r="403" spans="1:6">
      <c r="A403" s="530" t="s">
        <v>12598</v>
      </c>
      <c r="B403" s="534" t="s">
        <v>12634</v>
      </c>
      <c r="C403" s="1529">
        <v>37987</v>
      </c>
      <c r="D403" s="1065" t="s">
        <v>13160</v>
      </c>
      <c r="E403" s="535">
        <v>10</v>
      </c>
      <c r="F403" s="535">
        <v>100</v>
      </c>
    </row>
    <row r="404" spans="1:6">
      <c r="A404" s="530" t="s">
        <v>12603</v>
      </c>
      <c r="B404" s="534" t="s">
        <v>12634</v>
      </c>
      <c r="C404" s="1529">
        <v>37987</v>
      </c>
      <c r="D404" s="1065" t="s">
        <v>13161</v>
      </c>
      <c r="E404" s="535">
        <v>10</v>
      </c>
      <c r="F404" s="535">
        <v>100</v>
      </c>
    </row>
    <row r="405" spans="1:6">
      <c r="A405" s="530" t="s">
        <v>12608</v>
      </c>
      <c r="B405" s="534" t="s">
        <v>12634</v>
      </c>
      <c r="C405" s="1529">
        <v>37987</v>
      </c>
      <c r="D405" s="1065" t="s">
        <v>13162</v>
      </c>
      <c r="E405" s="535">
        <v>10</v>
      </c>
      <c r="F405" s="535">
        <v>100</v>
      </c>
    </row>
    <row r="406" spans="1:6">
      <c r="A406" s="530" t="s">
        <v>12613</v>
      </c>
      <c r="B406" s="534" t="s">
        <v>12634</v>
      </c>
      <c r="C406" s="1529">
        <v>37987</v>
      </c>
      <c r="D406" s="1065" t="s">
        <v>13163</v>
      </c>
      <c r="E406" s="535">
        <v>10</v>
      </c>
      <c r="F406" s="535">
        <v>100</v>
      </c>
    </row>
    <row r="407" spans="1:6">
      <c r="A407" s="530" t="s">
        <v>12618</v>
      </c>
      <c r="B407" s="534" t="s">
        <v>12634</v>
      </c>
      <c r="C407" s="1529">
        <v>37987</v>
      </c>
      <c r="D407" s="1065" t="s">
        <v>13164</v>
      </c>
      <c r="E407" s="535">
        <v>10</v>
      </c>
      <c r="F407" s="535">
        <v>100</v>
      </c>
    </row>
    <row r="408" spans="1:6">
      <c r="A408" s="530" t="s">
        <v>12623</v>
      </c>
      <c r="B408" s="534" t="s">
        <v>12634</v>
      </c>
      <c r="C408" s="1529">
        <v>37987</v>
      </c>
      <c r="D408" s="1065" t="s">
        <v>13165</v>
      </c>
      <c r="E408" s="535">
        <v>10</v>
      </c>
      <c r="F408" s="535">
        <v>100</v>
      </c>
    </row>
    <row r="409" spans="1:6">
      <c r="A409" s="530" t="s">
        <v>12628</v>
      </c>
      <c r="B409" s="534" t="s">
        <v>12634</v>
      </c>
      <c r="C409" s="1529">
        <v>37987</v>
      </c>
      <c r="D409" s="1065" t="s">
        <v>13166</v>
      </c>
      <c r="E409" s="535">
        <v>10</v>
      </c>
      <c r="F409" s="535">
        <v>100</v>
      </c>
    </row>
    <row r="410" spans="1:6">
      <c r="A410" s="530" t="s">
        <v>12633</v>
      </c>
      <c r="B410" s="534" t="s">
        <v>12634</v>
      </c>
      <c r="C410" s="1529">
        <v>37987</v>
      </c>
      <c r="D410" s="1065" t="s">
        <v>13167</v>
      </c>
      <c r="E410" s="535">
        <v>10</v>
      </c>
      <c r="F410" s="535">
        <v>100</v>
      </c>
    </row>
    <row r="411" spans="1:6">
      <c r="A411" s="530" t="s">
        <v>12639</v>
      </c>
      <c r="B411" s="534" t="s">
        <v>12634</v>
      </c>
      <c r="C411" s="1529">
        <v>37987</v>
      </c>
      <c r="D411" s="1065" t="s">
        <v>13168</v>
      </c>
      <c r="E411" s="535">
        <v>10</v>
      </c>
      <c r="F411" s="535">
        <v>100</v>
      </c>
    </row>
    <row r="412" spans="1:6">
      <c r="A412" s="530" t="s">
        <v>12643</v>
      </c>
      <c r="B412" s="534" t="s">
        <v>12634</v>
      </c>
      <c r="C412" s="1529">
        <v>37987</v>
      </c>
      <c r="D412" s="1065" t="s">
        <v>13169</v>
      </c>
      <c r="E412" s="535">
        <v>10</v>
      </c>
      <c r="F412" s="535">
        <v>100</v>
      </c>
    </row>
    <row r="413" spans="1:6">
      <c r="A413" s="530" t="s">
        <v>12647</v>
      </c>
      <c r="B413" s="534" t="s">
        <v>12634</v>
      </c>
      <c r="C413" s="1529">
        <v>37987</v>
      </c>
      <c r="D413" s="1065" t="s">
        <v>13170</v>
      </c>
      <c r="E413" s="535">
        <v>10</v>
      </c>
      <c r="F413" s="535">
        <v>100</v>
      </c>
    </row>
    <row r="414" spans="1:6">
      <c r="A414" s="530" t="s">
        <v>12652</v>
      </c>
      <c r="B414" s="534" t="s">
        <v>12634</v>
      </c>
      <c r="C414" s="1529">
        <v>37987</v>
      </c>
      <c r="D414" s="1065" t="s">
        <v>13171</v>
      </c>
      <c r="E414" s="535">
        <v>10</v>
      </c>
      <c r="F414" s="535">
        <v>100</v>
      </c>
    </row>
    <row r="415" spans="1:6">
      <c r="A415" s="530" t="s">
        <v>12657</v>
      </c>
      <c r="B415" s="534" t="s">
        <v>12634</v>
      </c>
      <c r="C415" s="1529">
        <v>37987</v>
      </c>
      <c r="D415" s="1065" t="s">
        <v>13172</v>
      </c>
      <c r="E415" s="535">
        <v>10</v>
      </c>
      <c r="F415" s="535">
        <v>100</v>
      </c>
    </row>
    <row r="416" spans="1:6">
      <c r="A416" s="530" t="s">
        <v>12661</v>
      </c>
      <c r="B416" s="534" t="s">
        <v>12634</v>
      </c>
      <c r="C416" s="1529">
        <v>37987</v>
      </c>
      <c r="D416" s="1065" t="s">
        <v>13173</v>
      </c>
      <c r="E416" s="535">
        <v>10</v>
      </c>
      <c r="F416" s="535">
        <v>100</v>
      </c>
    </row>
    <row r="417" spans="1:6">
      <c r="A417" s="530" t="s">
        <v>12665</v>
      </c>
      <c r="B417" s="534" t="s">
        <v>12634</v>
      </c>
      <c r="C417" s="1529">
        <v>37987</v>
      </c>
      <c r="D417" s="1065" t="s">
        <v>13174</v>
      </c>
      <c r="E417" s="535">
        <v>10</v>
      </c>
      <c r="F417" s="535">
        <v>100</v>
      </c>
    </row>
    <row r="418" spans="1:6">
      <c r="A418" s="530" t="s">
        <v>12669</v>
      </c>
      <c r="B418" s="534" t="s">
        <v>12634</v>
      </c>
      <c r="C418" s="1529">
        <v>37987</v>
      </c>
      <c r="D418" s="1065" t="s">
        <v>13175</v>
      </c>
      <c r="E418" s="535">
        <v>10</v>
      </c>
      <c r="F418" s="535">
        <v>100</v>
      </c>
    </row>
    <row r="419" spans="1:6">
      <c r="A419" s="530" t="s">
        <v>12673</v>
      </c>
      <c r="B419" s="534" t="s">
        <v>12634</v>
      </c>
      <c r="C419" s="1529">
        <v>37987</v>
      </c>
      <c r="D419" s="1065" t="s">
        <v>13176</v>
      </c>
      <c r="E419" s="535">
        <v>10</v>
      </c>
      <c r="F419" s="535">
        <v>100</v>
      </c>
    </row>
    <row r="420" spans="1:6">
      <c r="A420" s="530" t="s">
        <v>12676</v>
      </c>
      <c r="B420" s="534" t="s">
        <v>12634</v>
      </c>
      <c r="C420" s="1529">
        <v>37987</v>
      </c>
      <c r="D420" s="1065" t="s">
        <v>13177</v>
      </c>
      <c r="E420" s="535">
        <v>10</v>
      </c>
      <c r="F420" s="535">
        <v>100</v>
      </c>
    </row>
    <row r="421" spans="1:6">
      <c r="A421" s="530" t="s">
        <v>12678</v>
      </c>
      <c r="B421" s="534" t="s">
        <v>12634</v>
      </c>
      <c r="C421" s="1529">
        <v>37987</v>
      </c>
      <c r="D421" s="1065" t="s">
        <v>13178</v>
      </c>
      <c r="E421" s="535">
        <v>10</v>
      </c>
      <c r="F421" s="535">
        <v>100</v>
      </c>
    </row>
    <row r="422" spans="1:6">
      <c r="A422" s="530" t="s">
        <v>4430</v>
      </c>
      <c r="C422" s="1529"/>
      <c r="E422" s="535"/>
      <c r="F422" s="535"/>
    </row>
    <row r="423" spans="1:6">
      <c r="A423" s="530" t="s">
        <v>12681</v>
      </c>
      <c r="B423" s="534" t="s">
        <v>12682</v>
      </c>
      <c r="C423" s="1529">
        <v>37987</v>
      </c>
      <c r="D423" s="1065" t="s">
        <v>13179</v>
      </c>
      <c r="E423" s="535">
        <v>10</v>
      </c>
      <c r="F423" s="535">
        <v>100</v>
      </c>
    </row>
    <row r="424" spans="1:6">
      <c r="A424" s="530" t="s">
        <v>12684</v>
      </c>
      <c r="B424" s="534" t="s">
        <v>12685</v>
      </c>
      <c r="C424" s="1529">
        <v>37987</v>
      </c>
      <c r="D424" s="1065" t="s">
        <v>13180</v>
      </c>
      <c r="E424" s="535">
        <v>10</v>
      </c>
      <c r="F424" s="535">
        <v>100</v>
      </c>
    </row>
    <row r="425" spans="1:6">
      <c r="A425" s="530" t="s">
        <v>12688</v>
      </c>
      <c r="B425" s="534" t="s">
        <v>12689</v>
      </c>
      <c r="C425" s="1529">
        <v>37987</v>
      </c>
      <c r="D425" s="1065" t="s">
        <v>13181</v>
      </c>
      <c r="E425" s="535">
        <v>10</v>
      </c>
      <c r="F425" s="535">
        <v>100</v>
      </c>
    </row>
    <row r="426" spans="1:6">
      <c r="A426" s="532" t="s">
        <v>13182</v>
      </c>
      <c r="B426" s="534" t="s">
        <v>13159</v>
      </c>
      <c r="C426" s="1529"/>
      <c r="E426" s="535"/>
      <c r="F426" s="535"/>
    </row>
    <row r="427" spans="1:6">
      <c r="A427" s="530" t="s">
        <v>12693</v>
      </c>
      <c r="B427" s="534" t="s">
        <v>12634</v>
      </c>
      <c r="C427" s="1529">
        <v>42370</v>
      </c>
      <c r="D427" s="1065" t="s">
        <v>13183</v>
      </c>
      <c r="E427" s="535">
        <v>10</v>
      </c>
      <c r="F427" s="535">
        <v>100</v>
      </c>
    </row>
    <row r="428" spans="1:6">
      <c r="A428" s="530" t="s">
        <v>12695</v>
      </c>
      <c r="B428" s="534" t="s">
        <v>12634</v>
      </c>
      <c r="C428" s="1529">
        <v>42370</v>
      </c>
      <c r="D428" s="1065" t="s">
        <v>13184</v>
      </c>
      <c r="E428" s="535">
        <v>10</v>
      </c>
      <c r="F428" s="535">
        <v>100</v>
      </c>
    </row>
    <row r="429" spans="1:6">
      <c r="A429" s="530" t="s">
        <v>12697</v>
      </c>
      <c r="B429" s="534" t="s">
        <v>12634</v>
      </c>
      <c r="C429" s="1529">
        <v>42370</v>
      </c>
      <c r="D429" s="1065" t="s">
        <v>13185</v>
      </c>
      <c r="E429" s="535">
        <v>10</v>
      </c>
      <c r="F429" s="535">
        <v>100</v>
      </c>
    </row>
    <row r="430" spans="1:6">
      <c r="A430" s="530" t="s">
        <v>12701</v>
      </c>
      <c r="B430" s="534" t="s">
        <v>12634</v>
      </c>
      <c r="C430" s="1529">
        <v>42370</v>
      </c>
      <c r="D430" s="1065" t="s">
        <v>13186</v>
      </c>
      <c r="E430" s="535">
        <v>10</v>
      </c>
      <c r="F430" s="535">
        <v>100</v>
      </c>
    </row>
    <row r="431" spans="1:6">
      <c r="A431" s="530" t="s">
        <v>12705</v>
      </c>
      <c r="B431" s="534" t="s">
        <v>12634</v>
      </c>
      <c r="C431" s="1529">
        <v>37987</v>
      </c>
      <c r="D431" s="1065" t="s">
        <v>13187</v>
      </c>
      <c r="E431" s="535">
        <v>10</v>
      </c>
      <c r="F431" s="535">
        <v>100</v>
      </c>
    </row>
    <row r="432" spans="1:6">
      <c r="A432" s="530" t="s">
        <v>12709</v>
      </c>
      <c r="B432" s="534" t="s">
        <v>12634</v>
      </c>
      <c r="C432" s="1529">
        <v>37987</v>
      </c>
      <c r="D432" s="1065" t="s">
        <v>13188</v>
      </c>
      <c r="E432" s="535">
        <v>10</v>
      </c>
      <c r="F432" s="535">
        <v>100</v>
      </c>
    </row>
    <row r="433" spans="1:7">
      <c r="A433" s="530" t="s">
        <v>12714</v>
      </c>
      <c r="B433" s="534" t="s">
        <v>12634</v>
      </c>
      <c r="C433" s="1529">
        <v>37987</v>
      </c>
      <c r="D433" s="1065" t="s">
        <v>13189</v>
      </c>
      <c r="E433" s="535">
        <v>10</v>
      </c>
      <c r="F433" s="535">
        <v>100</v>
      </c>
    </row>
    <row r="434" spans="1:7">
      <c r="A434" s="530" t="s">
        <v>12718</v>
      </c>
      <c r="B434" s="534" t="s">
        <v>12634</v>
      </c>
      <c r="C434" s="1529">
        <v>37987</v>
      </c>
      <c r="D434" s="1065" t="s">
        <v>13190</v>
      </c>
      <c r="E434" s="535">
        <v>10</v>
      </c>
      <c r="F434" s="535">
        <v>100</v>
      </c>
    </row>
    <row r="435" spans="1:7">
      <c r="A435" s="530" t="s">
        <v>12721</v>
      </c>
      <c r="B435" s="534" t="s">
        <v>12634</v>
      </c>
      <c r="C435" s="1529">
        <v>37987</v>
      </c>
      <c r="D435" s="1065" t="s">
        <v>13191</v>
      </c>
      <c r="E435" s="535">
        <v>10</v>
      </c>
      <c r="F435" s="535">
        <v>100</v>
      </c>
    </row>
    <row r="436" spans="1:7">
      <c r="A436" s="530" t="s">
        <v>12724</v>
      </c>
      <c r="B436" s="534" t="s">
        <v>12634</v>
      </c>
      <c r="C436" s="1529">
        <v>37987</v>
      </c>
      <c r="D436" s="1065" t="s">
        <v>13192</v>
      </c>
      <c r="E436" s="535">
        <v>10</v>
      </c>
      <c r="F436" s="535">
        <v>100</v>
      </c>
    </row>
    <row r="437" spans="1:7">
      <c r="A437" s="530" t="s">
        <v>12727</v>
      </c>
      <c r="B437" s="534" t="s">
        <v>12634</v>
      </c>
      <c r="C437" s="1529">
        <v>37987</v>
      </c>
      <c r="D437" s="1065" t="s">
        <v>13193</v>
      </c>
      <c r="E437" s="535">
        <v>10</v>
      </c>
      <c r="F437" s="535">
        <v>100</v>
      </c>
    </row>
    <row r="438" spans="1:7">
      <c r="A438" s="530" t="s">
        <v>12730</v>
      </c>
      <c r="B438" s="534" t="s">
        <v>12634</v>
      </c>
      <c r="C438" s="1529">
        <v>37987</v>
      </c>
      <c r="D438" s="1065" t="s">
        <v>13194</v>
      </c>
      <c r="E438" s="535">
        <v>10</v>
      </c>
      <c r="F438" s="535">
        <v>100</v>
      </c>
    </row>
    <row r="439" spans="1:7">
      <c r="A439" s="530" t="s">
        <v>12733</v>
      </c>
      <c r="B439" s="534" t="s">
        <v>12634</v>
      </c>
      <c r="C439" s="1529">
        <v>37987</v>
      </c>
      <c r="D439" s="1065" t="s">
        <v>13195</v>
      </c>
      <c r="E439" s="535">
        <v>10</v>
      </c>
      <c r="F439" s="535">
        <v>100</v>
      </c>
    </row>
    <row r="440" spans="1:7">
      <c r="A440" s="530" t="s">
        <v>12737</v>
      </c>
      <c r="B440" s="534" t="s">
        <v>12634</v>
      </c>
      <c r="C440" s="1529">
        <v>37987</v>
      </c>
      <c r="D440" s="1065" t="s">
        <v>13196</v>
      </c>
      <c r="E440" s="535">
        <v>10</v>
      </c>
      <c r="F440" s="535">
        <v>100</v>
      </c>
    </row>
    <row r="441" spans="1:7">
      <c r="A441" s="530" t="s">
        <v>12740</v>
      </c>
      <c r="B441" s="534" t="s">
        <v>12674</v>
      </c>
      <c r="C441" s="1529">
        <v>38359</v>
      </c>
      <c r="D441" s="1065" t="s">
        <v>13197</v>
      </c>
      <c r="E441" s="535">
        <v>0</v>
      </c>
      <c r="F441" s="535">
        <v>999999</v>
      </c>
      <c r="G441" s="1826">
        <v>38359</v>
      </c>
    </row>
    <row r="442" spans="1:7">
      <c r="A442" s="530" t="s">
        <v>12742</v>
      </c>
      <c r="B442" s="534" t="s">
        <v>13198</v>
      </c>
      <c r="C442" s="1529">
        <v>38069</v>
      </c>
      <c r="D442" s="1065" t="s">
        <v>13199</v>
      </c>
      <c r="E442" s="535">
        <v>30000</v>
      </c>
      <c r="F442" s="535">
        <v>160000</v>
      </c>
    </row>
    <row r="443" spans="1:7">
      <c r="A443" s="530" t="s">
        <v>4430</v>
      </c>
      <c r="C443" s="1529"/>
      <c r="E443" s="535"/>
      <c r="F443" s="535"/>
    </row>
    <row r="444" spans="1:7">
      <c r="A444" s="530" t="s">
        <v>12744</v>
      </c>
      <c r="B444" s="534" t="s">
        <v>12745</v>
      </c>
      <c r="C444" s="1529">
        <v>38069</v>
      </c>
      <c r="D444" s="1065" t="s">
        <v>13200</v>
      </c>
      <c r="E444" s="535">
        <v>25000</v>
      </c>
      <c r="F444" s="535">
        <v>175000</v>
      </c>
    </row>
    <row r="445" spans="1:7">
      <c r="A445" s="530" t="s">
        <v>12747</v>
      </c>
      <c r="B445" s="534" t="s">
        <v>12748</v>
      </c>
      <c r="C445" s="1529">
        <v>38069</v>
      </c>
      <c r="D445" s="1065" t="s">
        <v>13201</v>
      </c>
      <c r="E445" s="535">
        <v>1</v>
      </c>
      <c r="F445" s="535">
        <v>175000</v>
      </c>
    </row>
    <row r="446" spans="1:7">
      <c r="A446" s="530" t="s">
        <v>12751</v>
      </c>
      <c r="B446" s="534" t="s">
        <v>12752</v>
      </c>
      <c r="C446" s="1529">
        <v>38069</v>
      </c>
      <c r="D446" s="1065" t="s">
        <v>13202</v>
      </c>
      <c r="E446" s="535">
        <v>25000</v>
      </c>
      <c r="F446" s="535">
        <v>175000</v>
      </c>
    </row>
    <row r="447" spans="1:7">
      <c r="A447" s="530" t="s">
        <v>12754</v>
      </c>
      <c r="B447" s="534" t="s">
        <v>12634</v>
      </c>
      <c r="C447" s="1529"/>
      <c r="E447" s="535"/>
      <c r="F447" s="535"/>
    </row>
    <row r="448" spans="1:7">
      <c r="A448" s="530" t="s">
        <v>12755</v>
      </c>
      <c r="C448" s="1529">
        <v>38069</v>
      </c>
      <c r="E448" s="535">
        <v>0</v>
      </c>
      <c r="F448" s="535">
        <v>0</v>
      </c>
    </row>
    <row r="449" spans="1:6">
      <c r="A449" s="530" t="s">
        <v>12756</v>
      </c>
      <c r="B449" s="534" t="s">
        <v>783</v>
      </c>
      <c r="C449" s="1529">
        <v>38069</v>
      </c>
      <c r="D449" s="1065" t="s">
        <v>13203</v>
      </c>
      <c r="E449" s="535">
        <v>0</v>
      </c>
      <c r="F449" s="535">
        <v>0</v>
      </c>
    </row>
    <row r="450" spans="1:6">
      <c r="C450" s="1529"/>
      <c r="E450" s="535"/>
      <c r="F450" s="535"/>
    </row>
    <row r="451" spans="1:6">
      <c r="A451" s="533" t="s">
        <v>10387</v>
      </c>
      <c r="C451" s="1529"/>
    </row>
    <row r="452" spans="1:6" s="533" customFormat="1" ht="12" customHeight="1">
      <c r="A452" s="532" t="s">
        <v>13204</v>
      </c>
      <c r="B452" s="1782" t="s">
        <v>13159</v>
      </c>
      <c r="C452" s="1529"/>
      <c r="D452" s="1066"/>
      <c r="E452" s="532" t="s">
        <v>12594</v>
      </c>
      <c r="F452" s="532" t="s">
        <v>12595</v>
      </c>
    </row>
    <row r="453" spans="1:6">
      <c r="A453" s="530" t="s">
        <v>12598</v>
      </c>
      <c r="B453" s="534" t="s">
        <v>12634</v>
      </c>
      <c r="C453" s="1529">
        <v>37987</v>
      </c>
      <c r="D453" s="1065" t="s">
        <v>13205</v>
      </c>
      <c r="E453" s="535">
        <v>10</v>
      </c>
      <c r="F453" s="535">
        <v>100</v>
      </c>
    </row>
    <row r="454" spans="1:6">
      <c r="A454" s="530" t="s">
        <v>12603</v>
      </c>
      <c r="B454" s="534" t="s">
        <v>12634</v>
      </c>
      <c r="C454" s="1529">
        <v>37987</v>
      </c>
      <c r="D454" s="1065" t="s">
        <v>13206</v>
      </c>
      <c r="E454" s="535">
        <v>10</v>
      </c>
      <c r="F454" s="535">
        <v>100</v>
      </c>
    </row>
    <row r="455" spans="1:6">
      <c r="A455" s="530" t="s">
        <v>12608</v>
      </c>
      <c r="B455" s="534" t="s">
        <v>12634</v>
      </c>
      <c r="C455" s="1529">
        <v>37987</v>
      </c>
      <c r="D455" s="1065" t="s">
        <v>13207</v>
      </c>
      <c r="E455" s="535">
        <v>10</v>
      </c>
      <c r="F455" s="535">
        <v>100</v>
      </c>
    </row>
    <row r="456" spans="1:6">
      <c r="A456" s="530" t="s">
        <v>12613</v>
      </c>
      <c r="B456" s="534" t="s">
        <v>12634</v>
      </c>
      <c r="C456" s="1529">
        <v>37987</v>
      </c>
      <c r="D456" s="1065" t="s">
        <v>13208</v>
      </c>
      <c r="E456" s="535">
        <v>10</v>
      </c>
      <c r="F456" s="535">
        <v>100</v>
      </c>
    </row>
    <row r="457" spans="1:6">
      <c r="A457" s="530" t="s">
        <v>12618</v>
      </c>
      <c r="B457" s="534" t="s">
        <v>12634</v>
      </c>
      <c r="C457" s="1529">
        <v>37987</v>
      </c>
      <c r="D457" s="1065" t="s">
        <v>13209</v>
      </c>
      <c r="E457" s="535">
        <v>10</v>
      </c>
      <c r="F457" s="535">
        <v>100</v>
      </c>
    </row>
    <row r="458" spans="1:6">
      <c r="A458" s="530" t="s">
        <v>12623</v>
      </c>
      <c r="B458" s="534" t="s">
        <v>12634</v>
      </c>
      <c r="C458" s="1529">
        <v>37987</v>
      </c>
      <c r="D458" s="1065" t="s">
        <v>13210</v>
      </c>
      <c r="E458" s="535">
        <v>10</v>
      </c>
      <c r="F458" s="535">
        <v>100</v>
      </c>
    </row>
    <row r="459" spans="1:6">
      <c r="A459" s="530" t="s">
        <v>12628</v>
      </c>
      <c r="B459" s="534" t="s">
        <v>12634</v>
      </c>
      <c r="C459" s="1529">
        <v>37987</v>
      </c>
      <c r="D459" s="1065" t="s">
        <v>13211</v>
      </c>
      <c r="E459" s="535">
        <v>10</v>
      </c>
      <c r="F459" s="535">
        <v>100</v>
      </c>
    </row>
    <row r="460" spans="1:6">
      <c r="A460" s="530" t="s">
        <v>12633</v>
      </c>
      <c r="B460" s="534" t="s">
        <v>12634</v>
      </c>
      <c r="C460" s="1529">
        <v>37987</v>
      </c>
      <c r="D460" s="1065" t="s">
        <v>13212</v>
      </c>
      <c r="E460" s="535">
        <v>10</v>
      </c>
      <c r="F460" s="535">
        <v>100</v>
      </c>
    </row>
    <row r="461" spans="1:6">
      <c r="A461" s="530" t="s">
        <v>12639</v>
      </c>
      <c r="B461" s="534" t="s">
        <v>12634</v>
      </c>
      <c r="C461" s="1529">
        <v>37987</v>
      </c>
      <c r="D461" s="1065" t="s">
        <v>13213</v>
      </c>
      <c r="E461" s="535">
        <v>10</v>
      </c>
      <c r="F461" s="535">
        <v>100</v>
      </c>
    </row>
    <row r="462" spans="1:6">
      <c r="A462" s="530" t="s">
        <v>12643</v>
      </c>
      <c r="B462" s="534" t="s">
        <v>12634</v>
      </c>
      <c r="C462" s="1529">
        <v>37987</v>
      </c>
      <c r="D462" s="1065" t="s">
        <v>13214</v>
      </c>
      <c r="E462" s="535">
        <v>10</v>
      </c>
      <c r="F462" s="535">
        <v>100</v>
      </c>
    </row>
    <row r="463" spans="1:6">
      <c r="A463" s="530" t="s">
        <v>12647</v>
      </c>
      <c r="B463" s="534" t="s">
        <v>12634</v>
      </c>
      <c r="C463" s="1529">
        <v>37987</v>
      </c>
      <c r="D463" s="1065" t="s">
        <v>13215</v>
      </c>
      <c r="E463" s="535">
        <v>10</v>
      </c>
      <c r="F463" s="535">
        <v>100</v>
      </c>
    </row>
    <row r="464" spans="1:6">
      <c r="A464" s="530" t="s">
        <v>12652</v>
      </c>
      <c r="B464" s="534" t="s">
        <v>12634</v>
      </c>
      <c r="C464" s="1529">
        <v>37987</v>
      </c>
      <c r="D464" s="1065" t="s">
        <v>13216</v>
      </c>
      <c r="E464" s="535">
        <v>10</v>
      </c>
      <c r="F464" s="535">
        <v>100</v>
      </c>
    </row>
    <row r="465" spans="1:6">
      <c r="A465" s="530" t="s">
        <v>12657</v>
      </c>
      <c r="B465" s="534" t="s">
        <v>12634</v>
      </c>
      <c r="C465" s="1529">
        <v>37987</v>
      </c>
      <c r="D465" s="1065" t="s">
        <v>13217</v>
      </c>
      <c r="E465" s="535">
        <v>10</v>
      </c>
      <c r="F465" s="535">
        <v>100</v>
      </c>
    </row>
    <row r="466" spans="1:6">
      <c r="A466" s="530" t="s">
        <v>12661</v>
      </c>
      <c r="B466" s="534" t="s">
        <v>12634</v>
      </c>
      <c r="C466" s="1529">
        <v>37987</v>
      </c>
      <c r="D466" s="1065" t="s">
        <v>13218</v>
      </c>
      <c r="E466" s="535">
        <v>10</v>
      </c>
      <c r="F466" s="535">
        <v>100</v>
      </c>
    </row>
    <row r="467" spans="1:6">
      <c r="A467" s="530" t="s">
        <v>12665</v>
      </c>
      <c r="B467" s="534" t="s">
        <v>12634</v>
      </c>
      <c r="C467" s="1529">
        <v>37987</v>
      </c>
      <c r="D467" s="1065" t="s">
        <v>13219</v>
      </c>
      <c r="E467" s="535">
        <v>10</v>
      </c>
      <c r="F467" s="535">
        <v>100</v>
      </c>
    </row>
    <row r="468" spans="1:6">
      <c r="A468" s="530" t="s">
        <v>12669</v>
      </c>
      <c r="B468" s="534" t="s">
        <v>12634</v>
      </c>
      <c r="C468" s="1529">
        <v>37987</v>
      </c>
      <c r="D468" s="1065" t="s">
        <v>13220</v>
      </c>
      <c r="E468" s="535">
        <v>10</v>
      </c>
      <c r="F468" s="535">
        <v>100</v>
      </c>
    </row>
    <row r="469" spans="1:6">
      <c r="A469" s="530" t="s">
        <v>12673</v>
      </c>
      <c r="B469" s="534" t="s">
        <v>12634</v>
      </c>
      <c r="C469" s="1529">
        <v>37987</v>
      </c>
      <c r="D469" s="1065" t="s">
        <v>13221</v>
      </c>
      <c r="E469" s="535">
        <v>10</v>
      </c>
      <c r="F469" s="535">
        <v>100</v>
      </c>
    </row>
    <row r="470" spans="1:6">
      <c r="A470" s="530" t="s">
        <v>12676</v>
      </c>
      <c r="B470" s="534" t="s">
        <v>12634</v>
      </c>
      <c r="C470" s="1529">
        <v>37987</v>
      </c>
      <c r="D470" s="1065" t="s">
        <v>13222</v>
      </c>
      <c r="E470" s="535">
        <v>10</v>
      </c>
      <c r="F470" s="535">
        <v>100</v>
      </c>
    </row>
    <row r="471" spans="1:6">
      <c r="A471" s="530" t="s">
        <v>12678</v>
      </c>
      <c r="B471" s="534" t="s">
        <v>12634</v>
      </c>
      <c r="C471" s="1529">
        <v>37987</v>
      </c>
      <c r="D471" s="1065" t="s">
        <v>13223</v>
      </c>
      <c r="E471" s="535">
        <v>10</v>
      </c>
      <c r="F471" s="535">
        <v>100</v>
      </c>
    </row>
    <row r="472" spans="1:6">
      <c r="A472" s="530" t="s">
        <v>4430</v>
      </c>
      <c r="C472" s="1529"/>
      <c r="E472" s="535"/>
      <c r="F472" s="535"/>
    </row>
    <row r="473" spans="1:6">
      <c r="A473" s="530" t="s">
        <v>12681</v>
      </c>
      <c r="B473" s="534" t="s">
        <v>12682</v>
      </c>
      <c r="C473" s="1529">
        <v>37987</v>
      </c>
      <c r="D473" s="1065" t="s">
        <v>13224</v>
      </c>
      <c r="E473" s="535">
        <v>10</v>
      </c>
      <c r="F473" s="535">
        <v>999999</v>
      </c>
    </row>
    <row r="474" spans="1:6">
      <c r="A474" s="530" t="s">
        <v>12684</v>
      </c>
      <c r="B474" s="534" t="s">
        <v>12685</v>
      </c>
      <c r="C474" s="1529">
        <v>37987</v>
      </c>
      <c r="D474" s="1065" t="s">
        <v>13225</v>
      </c>
      <c r="E474" s="535">
        <v>10</v>
      </c>
      <c r="F474" s="535">
        <v>999999</v>
      </c>
    </row>
    <row r="475" spans="1:6">
      <c r="A475" s="530" t="s">
        <v>12688</v>
      </c>
      <c r="B475" s="534" t="s">
        <v>12689</v>
      </c>
      <c r="C475" s="1529">
        <v>37987</v>
      </c>
      <c r="D475" s="1065" t="s">
        <v>13226</v>
      </c>
      <c r="E475" s="535">
        <v>10</v>
      </c>
      <c r="F475" s="535">
        <v>999999</v>
      </c>
    </row>
    <row r="476" spans="1:6">
      <c r="A476" s="532" t="s">
        <v>13227</v>
      </c>
      <c r="B476" s="534" t="s">
        <v>13159</v>
      </c>
      <c r="C476" s="1529"/>
      <c r="E476" s="535"/>
      <c r="F476" s="535"/>
    </row>
    <row r="477" spans="1:6">
      <c r="A477" s="530" t="s">
        <v>12693</v>
      </c>
      <c r="B477" s="534" t="s">
        <v>13228</v>
      </c>
      <c r="C477" s="1529">
        <v>37987</v>
      </c>
      <c r="D477" s="1065" t="s">
        <v>13229</v>
      </c>
      <c r="E477" s="535">
        <v>10</v>
      </c>
      <c r="F477" s="535">
        <v>999999</v>
      </c>
    </row>
    <row r="478" spans="1:6">
      <c r="A478" s="530" t="s">
        <v>12695</v>
      </c>
      <c r="B478" s="534" t="s">
        <v>12634</v>
      </c>
      <c r="C478" s="1529">
        <v>37987</v>
      </c>
      <c r="D478" s="1065" t="s">
        <v>13230</v>
      </c>
      <c r="E478" s="535">
        <v>10</v>
      </c>
      <c r="F478" s="535">
        <v>100</v>
      </c>
    </row>
    <row r="479" spans="1:6">
      <c r="A479" s="530" t="s">
        <v>12697</v>
      </c>
      <c r="B479" s="534" t="s">
        <v>12634</v>
      </c>
      <c r="C479" s="1529">
        <v>37987</v>
      </c>
      <c r="D479" s="1065" t="s">
        <v>13231</v>
      </c>
      <c r="E479" s="535">
        <v>10</v>
      </c>
      <c r="F479" s="535">
        <v>100</v>
      </c>
    </row>
    <row r="480" spans="1:6">
      <c r="A480" s="530" t="s">
        <v>12701</v>
      </c>
      <c r="B480" s="534" t="s">
        <v>12634</v>
      </c>
      <c r="C480" s="1529">
        <v>37987</v>
      </c>
      <c r="D480" s="1065" t="s">
        <v>13232</v>
      </c>
      <c r="E480" s="535">
        <v>10</v>
      </c>
      <c r="F480" s="535">
        <v>100</v>
      </c>
    </row>
    <row r="481" spans="1:6">
      <c r="A481" s="530" t="s">
        <v>12705</v>
      </c>
      <c r="B481" s="534" t="s">
        <v>12634</v>
      </c>
      <c r="C481" s="1529">
        <v>37987</v>
      </c>
      <c r="D481" s="1065" t="s">
        <v>13233</v>
      </c>
      <c r="E481" s="535">
        <v>10</v>
      </c>
      <c r="F481" s="535">
        <v>100</v>
      </c>
    </row>
    <row r="482" spans="1:6">
      <c r="A482" s="530" t="s">
        <v>12709</v>
      </c>
      <c r="B482" s="534" t="s">
        <v>12634</v>
      </c>
      <c r="C482" s="1529">
        <v>37987</v>
      </c>
      <c r="D482" s="1065" t="s">
        <v>13234</v>
      </c>
      <c r="E482" s="535">
        <v>10</v>
      </c>
      <c r="F482" s="535">
        <v>100</v>
      </c>
    </row>
    <row r="483" spans="1:6">
      <c r="A483" s="530" t="s">
        <v>12714</v>
      </c>
      <c r="B483" s="534" t="s">
        <v>12634</v>
      </c>
      <c r="C483" s="1529">
        <v>37987</v>
      </c>
      <c r="D483" s="1065" t="s">
        <v>13235</v>
      </c>
      <c r="E483" s="535">
        <v>10</v>
      </c>
      <c r="F483" s="535">
        <v>100</v>
      </c>
    </row>
    <row r="484" spans="1:6">
      <c r="A484" s="530" t="s">
        <v>12718</v>
      </c>
      <c r="B484" s="534" t="s">
        <v>12634</v>
      </c>
      <c r="C484" s="1529">
        <v>37987</v>
      </c>
      <c r="D484" s="1065" t="s">
        <v>13236</v>
      </c>
      <c r="E484" s="535">
        <v>10</v>
      </c>
      <c r="F484" s="535">
        <v>100</v>
      </c>
    </row>
    <row r="485" spans="1:6">
      <c r="A485" s="530" t="s">
        <v>12721</v>
      </c>
      <c r="B485" s="534" t="s">
        <v>12634</v>
      </c>
      <c r="C485" s="1529">
        <v>37987</v>
      </c>
      <c r="D485" s="1065" t="s">
        <v>13237</v>
      </c>
      <c r="E485" s="535">
        <v>10</v>
      </c>
      <c r="F485" s="535">
        <v>100</v>
      </c>
    </row>
    <row r="486" spans="1:6">
      <c r="A486" s="530" t="s">
        <v>12724</v>
      </c>
      <c r="B486" s="534" t="s">
        <v>12634</v>
      </c>
      <c r="C486" s="1529">
        <v>37987</v>
      </c>
      <c r="D486" s="1065" t="s">
        <v>13238</v>
      </c>
      <c r="E486" s="535">
        <v>10</v>
      </c>
      <c r="F486" s="535">
        <v>100</v>
      </c>
    </row>
    <row r="487" spans="1:6">
      <c r="A487" s="530" t="s">
        <v>12727</v>
      </c>
      <c r="B487" s="534" t="s">
        <v>12634</v>
      </c>
      <c r="C487" s="1529">
        <v>37987</v>
      </c>
      <c r="D487" s="1065" t="s">
        <v>13239</v>
      </c>
      <c r="E487" s="535">
        <v>10</v>
      </c>
      <c r="F487" s="535">
        <v>100</v>
      </c>
    </row>
    <row r="488" spans="1:6">
      <c r="A488" s="530" t="s">
        <v>12730</v>
      </c>
      <c r="B488" s="534" t="s">
        <v>12634</v>
      </c>
      <c r="C488" s="1529">
        <v>37987</v>
      </c>
      <c r="D488" s="1065" t="s">
        <v>13240</v>
      </c>
      <c r="E488" s="535">
        <v>10</v>
      </c>
      <c r="F488" s="535">
        <v>100</v>
      </c>
    </row>
    <row r="489" spans="1:6">
      <c r="A489" s="530" t="s">
        <v>12733</v>
      </c>
      <c r="B489" s="534" t="s">
        <v>12634</v>
      </c>
      <c r="C489" s="1529">
        <v>37987</v>
      </c>
      <c r="D489" s="1065" t="s">
        <v>13241</v>
      </c>
      <c r="E489" s="535">
        <v>10</v>
      </c>
      <c r="F489" s="535">
        <v>100</v>
      </c>
    </row>
    <row r="490" spans="1:6">
      <c r="A490" s="530" t="s">
        <v>12737</v>
      </c>
      <c r="B490" s="534" t="s">
        <v>12634</v>
      </c>
      <c r="C490" s="1529">
        <v>37987</v>
      </c>
      <c r="D490" s="1065" t="s">
        <v>13242</v>
      </c>
      <c r="E490" s="535">
        <v>10</v>
      </c>
      <c r="F490" s="535">
        <v>100</v>
      </c>
    </row>
    <row r="491" spans="1:6">
      <c r="A491" s="530" t="s">
        <v>12740</v>
      </c>
      <c r="B491" s="534" t="s">
        <v>12634</v>
      </c>
      <c r="C491" s="1529">
        <v>37987</v>
      </c>
      <c r="D491" s="1065" t="s">
        <v>13243</v>
      </c>
      <c r="E491" s="535">
        <v>10</v>
      </c>
      <c r="F491" s="535">
        <v>100</v>
      </c>
    </row>
    <row r="492" spans="1:6">
      <c r="A492" s="530" t="s">
        <v>12742</v>
      </c>
      <c r="B492" s="534" t="s">
        <v>12634</v>
      </c>
      <c r="C492" s="1529">
        <v>37987</v>
      </c>
      <c r="D492" s="1065" t="s">
        <v>13244</v>
      </c>
      <c r="E492" s="535">
        <v>10</v>
      </c>
      <c r="F492" s="535">
        <v>100</v>
      </c>
    </row>
    <row r="493" spans="1:6">
      <c r="A493" s="530" t="s">
        <v>4430</v>
      </c>
      <c r="C493" s="1529"/>
    </row>
    <row r="494" spans="1:6">
      <c r="A494" s="530" t="s">
        <v>12744</v>
      </c>
      <c r="B494" s="534" t="s">
        <v>12745</v>
      </c>
      <c r="C494" s="1529">
        <v>37987</v>
      </c>
      <c r="D494" s="1065" t="s">
        <v>13245</v>
      </c>
      <c r="E494" s="535">
        <v>10</v>
      </c>
      <c r="F494" s="535">
        <v>999999</v>
      </c>
    </row>
    <row r="495" spans="1:6">
      <c r="A495" s="530" t="s">
        <v>12747</v>
      </c>
      <c r="B495" s="534" t="s">
        <v>12748</v>
      </c>
      <c r="C495" s="1529">
        <v>37987</v>
      </c>
      <c r="D495" s="1065" t="s">
        <v>13246</v>
      </c>
      <c r="E495" s="535">
        <v>10</v>
      </c>
      <c r="F495" s="535">
        <v>999999</v>
      </c>
    </row>
    <row r="496" spans="1:6">
      <c r="A496" s="530" t="s">
        <v>12751</v>
      </c>
      <c r="B496" s="534" t="s">
        <v>12752</v>
      </c>
      <c r="C496" s="1529">
        <v>37987</v>
      </c>
      <c r="D496" s="1065" t="s">
        <v>13247</v>
      </c>
      <c r="E496" s="535">
        <v>10</v>
      </c>
      <c r="F496" s="535">
        <v>999999</v>
      </c>
    </row>
    <row r="497" spans="1:8">
      <c r="A497" s="530" t="s">
        <v>12754</v>
      </c>
      <c r="C497" s="1529"/>
      <c r="E497" s="535"/>
      <c r="F497" s="535"/>
    </row>
    <row r="498" spans="1:8">
      <c r="A498" s="530" t="s">
        <v>12755</v>
      </c>
      <c r="B498" s="534" t="s">
        <v>13248</v>
      </c>
      <c r="C498" s="1529">
        <v>37987</v>
      </c>
      <c r="D498" s="1065" t="s">
        <v>13249</v>
      </c>
    </row>
    <row r="499" spans="1:8">
      <c r="A499" s="530" t="s">
        <v>12756</v>
      </c>
      <c r="B499" s="534" t="s">
        <v>783</v>
      </c>
      <c r="C499" s="1529">
        <v>37987</v>
      </c>
      <c r="D499" s="1065" t="s">
        <v>13250</v>
      </c>
    </row>
    <row r="500" spans="1:8">
      <c r="A500" s="533" t="s">
        <v>13251</v>
      </c>
      <c r="C500" s="1529"/>
    </row>
    <row r="501" spans="1:8">
      <c r="A501" s="532" t="s">
        <v>13252</v>
      </c>
      <c r="B501" s="1782" t="s">
        <v>13253</v>
      </c>
      <c r="C501" s="1529"/>
      <c r="D501" s="1066"/>
      <c r="E501" s="532" t="s">
        <v>12594</v>
      </c>
      <c r="F501" s="532" t="s">
        <v>12595</v>
      </c>
      <c r="H501" s="533"/>
    </row>
    <row r="502" spans="1:8">
      <c r="A502" s="530" t="s">
        <v>12598</v>
      </c>
      <c r="B502" s="2184" t="s">
        <v>13254</v>
      </c>
      <c r="C502" s="1529">
        <v>45292</v>
      </c>
      <c r="D502" s="1065" t="s">
        <v>13255</v>
      </c>
      <c r="E502" s="2183">
        <v>10</v>
      </c>
      <c r="F502" s="2183">
        <v>250000</v>
      </c>
    </row>
    <row r="503" spans="1:8">
      <c r="A503" s="530" t="s">
        <v>12603</v>
      </c>
      <c r="B503" s="2184" t="s">
        <v>13256</v>
      </c>
      <c r="C503" s="1529">
        <v>45292</v>
      </c>
      <c r="D503" s="1065" t="s">
        <v>13257</v>
      </c>
      <c r="E503" s="2183">
        <v>10</v>
      </c>
      <c r="F503" s="2183">
        <v>250000</v>
      </c>
      <c r="G503" s="1827">
        <v>39044</v>
      </c>
    </row>
    <row r="504" spans="1:8">
      <c r="A504" s="530" t="s">
        <v>12608</v>
      </c>
      <c r="B504" s="2184" t="s">
        <v>13258</v>
      </c>
      <c r="C504" s="1529">
        <v>45292</v>
      </c>
      <c r="D504" s="1065" t="s">
        <v>13259</v>
      </c>
      <c r="E504" s="535">
        <v>10</v>
      </c>
      <c r="F504" s="535">
        <v>250000</v>
      </c>
      <c r="G504" s="1827">
        <v>39044</v>
      </c>
    </row>
    <row r="505" spans="1:8">
      <c r="A505" s="530" t="s">
        <v>12613</v>
      </c>
      <c r="B505" s="2184" t="s">
        <v>13260</v>
      </c>
      <c r="C505" s="1529">
        <v>45292</v>
      </c>
      <c r="D505" s="1065" t="s">
        <v>13261</v>
      </c>
      <c r="E505" s="535">
        <v>10</v>
      </c>
      <c r="F505" s="535">
        <v>250000</v>
      </c>
    </row>
    <row r="506" spans="1:8">
      <c r="A506" s="530" t="s">
        <v>12618</v>
      </c>
      <c r="B506" s="2184" t="s">
        <v>13262</v>
      </c>
      <c r="C506" s="1529">
        <v>45292</v>
      </c>
      <c r="D506" s="1065" t="s">
        <v>13263</v>
      </c>
      <c r="E506" s="535">
        <v>10</v>
      </c>
      <c r="F506" s="535">
        <v>250000</v>
      </c>
      <c r="G506" s="534" t="s">
        <v>12945</v>
      </c>
    </row>
    <row r="507" spans="1:8">
      <c r="A507" s="530" t="s">
        <v>12623</v>
      </c>
      <c r="B507" s="2184" t="s">
        <v>13264</v>
      </c>
      <c r="C507" s="1529">
        <v>45292</v>
      </c>
      <c r="D507" s="1065" t="s">
        <v>13265</v>
      </c>
      <c r="E507" s="535">
        <v>10</v>
      </c>
      <c r="F507" s="535">
        <v>250000</v>
      </c>
      <c r="G507" s="1827">
        <v>39044</v>
      </c>
    </row>
    <row r="508" spans="1:8">
      <c r="A508" s="530" t="s">
        <v>12628</v>
      </c>
      <c r="B508" s="2184" t="s">
        <v>12634</v>
      </c>
      <c r="C508" s="1529">
        <v>45292</v>
      </c>
      <c r="D508" s="1065" t="s">
        <v>13266</v>
      </c>
      <c r="E508" s="535">
        <v>10</v>
      </c>
      <c r="F508" s="535">
        <v>100</v>
      </c>
    </row>
    <row r="509" spans="1:8">
      <c r="A509" s="530" t="s">
        <v>12633</v>
      </c>
      <c r="B509" s="2184" t="s">
        <v>12634</v>
      </c>
      <c r="C509" s="1529">
        <v>45292</v>
      </c>
      <c r="D509" s="1065" t="s">
        <v>13267</v>
      </c>
      <c r="E509" s="2183">
        <v>10</v>
      </c>
      <c r="F509" s="2183">
        <v>100</v>
      </c>
      <c r="G509" s="1827">
        <v>39044</v>
      </c>
    </row>
    <row r="510" spans="1:8">
      <c r="A510" s="532" t="s">
        <v>13268</v>
      </c>
      <c r="C510" s="1529"/>
      <c r="E510" s="2183"/>
      <c r="F510" s="2183"/>
      <c r="G510" s="1827"/>
    </row>
    <row r="511" spans="1:8">
      <c r="A511" s="530" t="s">
        <v>12643</v>
      </c>
      <c r="B511" s="534" t="s">
        <v>13269</v>
      </c>
      <c r="C511" s="1529">
        <v>45292</v>
      </c>
      <c r="D511" s="1065" t="s">
        <v>13270</v>
      </c>
      <c r="E511" s="535">
        <v>10</v>
      </c>
      <c r="F511" s="535">
        <v>250000</v>
      </c>
      <c r="G511" s="1827"/>
    </row>
    <row r="512" spans="1:8">
      <c r="A512" s="530" t="s">
        <v>12647</v>
      </c>
      <c r="B512" s="534" t="s">
        <v>13271</v>
      </c>
      <c r="C512" s="1529">
        <v>45292</v>
      </c>
      <c r="D512" s="1065" t="s">
        <v>13272</v>
      </c>
      <c r="E512" s="535">
        <v>10</v>
      </c>
      <c r="F512" s="535">
        <v>250000</v>
      </c>
      <c r="G512" s="1827">
        <v>39044</v>
      </c>
    </row>
    <row r="513" spans="1:7">
      <c r="A513" s="530" t="s">
        <v>12652</v>
      </c>
      <c r="B513" s="534" t="s">
        <v>13273</v>
      </c>
      <c r="C513" s="1529">
        <v>45292</v>
      </c>
      <c r="D513" s="1065" t="s">
        <v>13274</v>
      </c>
      <c r="E513" s="535">
        <v>10</v>
      </c>
      <c r="F513" s="535">
        <v>250000</v>
      </c>
      <c r="G513" s="1827">
        <v>39044</v>
      </c>
    </row>
    <row r="514" spans="1:7">
      <c r="A514" s="530" t="s">
        <v>12657</v>
      </c>
      <c r="B514" s="534" t="s">
        <v>13275</v>
      </c>
      <c r="C514" s="1529">
        <v>45292</v>
      </c>
      <c r="D514" s="1065" t="s">
        <v>13276</v>
      </c>
      <c r="E514" s="535">
        <v>10</v>
      </c>
      <c r="F514" s="535">
        <v>250000</v>
      </c>
    </row>
    <row r="515" spans="1:7">
      <c r="A515" s="530" t="s">
        <v>12661</v>
      </c>
      <c r="B515" s="534" t="s">
        <v>13277</v>
      </c>
      <c r="C515" s="1529">
        <v>45292</v>
      </c>
      <c r="D515" s="1065" t="s">
        <v>13278</v>
      </c>
      <c r="E515" s="535">
        <v>10</v>
      </c>
      <c r="F515" s="535">
        <v>250000</v>
      </c>
    </row>
    <row r="516" spans="1:7">
      <c r="A516" s="530" t="s">
        <v>12665</v>
      </c>
      <c r="B516" s="534" t="s">
        <v>13279</v>
      </c>
      <c r="C516" s="1529">
        <v>45292</v>
      </c>
      <c r="D516" s="1065" t="s">
        <v>13280</v>
      </c>
      <c r="E516" s="535">
        <v>10</v>
      </c>
      <c r="F516" s="535">
        <v>250000</v>
      </c>
    </row>
    <row r="517" spans="1:7">
      <c r="A517" s="530" t="s">
        <v>12669</v>
      </c>
      <c r="B517" s="534" t="s">
        <v>13281</v>
      </c>
      <c r="C517" s="1529">
        <v>45292</v>
      </c>
      <c r="D517" s="1065" t="s">
        <v>13282</v>
      </c>
      <c r="E517" s="535">
        <v>10</v>
      </c>
      <c r="F517" s="535">
        <v>250000</v>
      </c>
    </row>
    <row r="518" spans="1:7">
      <c r="A518" s="530" t="s">
        <v>12673</v>
      </c>
      <c r="B518" s="534" t="s">
        <v>13283</v>
      </c>
      <c r="C518" s="1529">
        <v>45292</v>
      </c>
      <c r="D518" s="1065" t="s">
        <v>13284</v>
      </c>
      <c r="E518" s="535">
        <v>10</v>
      </c>
      <c r="F518" s="535">
        <v>250000</v>
      </c>
    </row>
    <row r="519" spans="1:7">
      <c r="A519" s="530" t="s">
        <v>12676</v>
      </c>
      <c r="B519" s="534" t="s">
        <v>13285</v>
      </c>
      <c r="C519" s="1529">
        <v>45292</v>
      </c>
      <c r="D519" s="1065" t="s">
        <v>13286</v>
      </c>
      <c r="E519" s="535">
        <v>10</v>
      </c>
      <c r="F519" s="535">
        <v>250000</v>
      </c>
      <c r="G519" s="534" t="s">
        <v>13287</v>
      </c>
    </row>
    <row r="520" spans="1:7">
      <c r="A520" s="530" t="s">
        <v>12678</v>
      </c>
      <c r="B520" s="534" t="s">
        <v>13288</v>
      </c>
      <c r="C520" s="1529">
        <v>45292</v>
      </c>
      <c r="D520" s="1065" t="s">
        <v>13289</v>
      </c>
      <c r="E520" s="535">
        <v>10</v>
      </c>
      <c r="F520" s="535">
        <v>250000</v>
      </c>
      <c r="G520" s="534" t="s">
        <v>13287</v>
      </c>
    </row>
    <row r="521" spans="1:7">
      <c r="A521" s="530" t="s">
        <v>13290</v>
      </c>
      <c r="B521" s="534" t="s">
        <v>13291</v>
      </c>
      <c r="C521" s="1529">
        <v>45292</v>
      </c>
      <c r="D521" s="1065" t="s">
        <v>13292</v>
      </c>
      <c r="E521" s="535">
        <v>10</v>
      </c>
      <c r="F521" s="535">
        <v>250000</v>
      </c>
    </row>
    <row r="522" spans="1:7">
      <c r="A522" s="530" t="s">
        <v>12681</v>
      </c>
      <c r="B522" s="534" t="s">
        <v>13293</v>
      </c>
      <c r="C522" s="1529">
        <v>45292</v>
      </c>
      <c r="D522" s="1065" t="s">
        <v>13294</v>
      </c>
      <c r="E522" s="535">
        <v>10</v>
      </c>
      <c r="F522" s="535">
        <v>250000</v>
      </c>
    </row>
    <row r="523" spans="1:7">
      <c r="A523" s="530" t="s">
        <v>12684</v>
      </c>
      <c r="B523" s="534" t="s">
        <v>13295</v>
      </c>
      <c r="C523" s="1529">
        <v>45292</v>
      </c>
      <c r="D523" s="1065" t="s">
        <v>13296</v>
      </c>
      <c r="E523" s="535">
        <v>10</v>
      </c>
      <c r="F523" s="535">
        <v>250000</v>
      </c>
    </row>
    <row r="524" spans="1:7">
      <c r="A524" s="530" t="s">
        <v>12688</v>
      </c>
      <c r="B524" s="2184" t="s">
        <v>12634</v>
      </c>
      <c r="C524" s="1529">
        <v>45292</v>
      </c>
      <c r="D524" s="1065" t="s">
        <v>13297</v>
      </c>
      <c r="E524" s="535">
        <v>10</v>
      </c>
      <c r="F524" s="535">
        <v>100</v>
      </c>
      <c r="G524" s="1827">
        <v>39044</v>
      </c>
    </row>
    <row r="525" spans="1:7">
      <c r="A525" s="530" t="s">
        <v>13298</v>
      </c>
      <c r="B525" s="534" t="s">
        <v>13299</v>
      </c>
      <c r="C525" s="1529">
        <v>45292</v>
      </c>
      <c r="D525" s="1065" t="s">
        <v>13300</v>
      </c>
      <c r="E525" s="535">
        <v>10</v>
      </c>
      <c r="F525" s="535">
        <v>250000</v>
      </c>
      <c r="G525" s="1827">
        <v>39044</v>
      </c>
    </row>
    <row r="526" spans="1:7">
      <c r="A526" s="530" t="s">
        <v>12693</v>
      </c>
      <c r="B526" s="2482" t="s">
        <v>13301</v>
      </c>
      <c r="C526" s="1529">
        <v>45292</v>
      </c>
      <c r="D526" s="1065" t="s">
        <v>13302</v>
      </c>
      <c r="E526" s="535">
        <v>10</v>
      </c>
      <c r="F526" s="535">
        <v>250000</v>
      </c>
    </row>
    <row r="527" spans="1:7">
      <c r="A527" s="530" t="s">
        <v>12695</v>
      </c>
      <c r="B527" s="534" t="s">
        <v>13303</v>
      </c>
      <c r="C527" s="1529">
        <v>45292</v>
      </c>
      <c r="D527" s="1065" t="s">
        <v>13304</v>
      </c>
      <c r="E527" s="535">
        <v>10</v>
      </c>
      <c r="F527" s="535">
        <v>250000</v>
      </c>
      <c r="G527" s="1827">
        <v>39044</v>
      </c>
    </row>
    <row r="528" spans="1:7">
      <c r="A528" s="530" t="s">
        <v>12697</v>
      </c>
      <c r="B528" s="2184" t="s">
        <v>12634</v>
      </c>
      <c r="C528" s="1529">
        <v>45292</v>
      </c>
      <c r="D528" s="1065" t="s">
        <v>13305</v>
      </c>
      <c r="E528" s="535">
        <v>10</v>
      </c>
      <c r="F528" s="535">
        <v>100</v>
      </c>
      <c r="G528" s="1827"/>
    </row>
    <row r="529" spans="1:7">
      <c r="A529" s="530" t="s">
        <v>12701</v>
      </c>
      <c r="B529" s="534" t="s">
        <v>13306</v>
      </c>
      <c r="C529" s="1529">
        <v>45292</v>
      </c>
      <c r="D529" s="1065" t="s">
        <v>13307</v>
      </c>
      <c r="E529" s="535">
        <v>10</v>
      </c>
      <c r="F529" s="535">
        <v>250000</v>
      </c>
      <c r="G529" s="1827">
        <v>39044</v>
      </c>
    </row>
    <row r="530" spans="1:7">
      <c r="A530" s="530" t="s">
        <v>12705</v>
      </c>
      <c r="B530" s="534" t="s">
        <v>13308</v>
      </c>
      <c r="C530" s="1529">
        <v>45292</v>
      </c>
      <c r="D530" s="1065" t="s">
        <v>13309</v>
      </c>
      <c r="E530" s="535">
        <v>10</v>
      </c>
      <c r="F530" s="535">
        <v>250000</v>
      </c>
    </row>
    <row r="531" spans="1:7">
      <c r="A531" s="530" t="s">
        <v>12709</v>
      </c>
      <c r="B531" s="2184" t="s">
        <v>13310</v>
      </c>
      <c r="C531" s="1529">
        <v>45292</v>
      </c>
      <c r="D531" s="1065" t="s">
        <v>13311</v>
      </c>
      <c r="E531" s="535">
        <v>10</v>
      </c>
      <c r="F531" s="535">
        <v>250000</v>
      </c>
    </row>
    <row r="532" spans="1:7">
      <c r="A532" s="530" t="s">
        <v>12714</v>
      </c>
      <c r="B532" s="2184" t="s">
        <v>12634</v>
      </c>
      <c r="C532" s="1529">
        <v>45292</v>
      </c>
      <c r="D532" s="1065" t="s">
        <v>13312</v>
      </c>
      <c r="E532" s="535">
        <v>10</v>
      </c>
      <c r="F532" s="535">
        <v>100</v>
      </c>
    </row>
    <row r="533" spans="1:7">
      <c r="A533" s="530" t="s">
        <v>12718</v>
      </c>
      <c r="B533" s="2184" t="s">
        <v>12634</v>
      </c>
      <c r="C533" s="1529">
        <v>45292</v>
      </c>
      <c r="D533" s="1065" t="s">
        <v>13313</v>
      </c>
      <c r="E533" s="535">
        <v>10</v>
      </c>
      <c r="F533" s="535">
        <v>100</v>
      </c>
      <c r="G533" s="1827"/>
    </row>
    <row r="534" spans="1:7">
      <c r="A534" s="2363" t="s">
        <v>13314</v>
      </c>
      <c r="B534" s="2184"/>
      <c r="C534" s="1529"/>
      <c r="E534" s="535"/>
      <c r="F534" s="535"/>
      <c r="G534" s="1827"/>
    </row>
    <row r="535" spans="1:7">
      <c r="A535" s="532" t="s">
        <v>13315</v>
      </c>
      <c r="B535" s="1782" t="s">
        <v>13316</v>
      </c>
      <c r="C535" s="1529"/>
      <c r="E535" s="535"/>
      <c r="F535" s="535"/>
      <c r="G535" s="1827"/>
    </row>
    <row r="536" spans="1:7">
      <c r="A536" s="530" t="s">
        <v>12598</v>
      </c>
      <c r="B536" s="2184" t="s">
        <v>13254</v>
      </c>
      <c r="C536" s="1529"/>
      <c r="D536" s="1065" t="s">
        <v>13317</v>
      </c>
      <c r="E536" s="2183">
        <v>10</v>
      </c>
      <c r="F536" s="2183">
        <v>250000</v>
      </c>
      <c r="G536" s="1827"/>
    </row>
    <row r="537" spans="1:7">
      <c r="A537" s="530" t="s">
        <v>12603</v>
      </c>
      <c r="B537" s="2184" t="s">
        <v>13256</v>
      </c>
      <c r="C537" s="1529"/>
      <c r="D537" s="1065" t="s">
        <v>13318</v>
      </c>
      <c r="E537" s="2183">
        <v>10</v>
      </c>
      <c r="F537" s="2183">
        <v>250000</v>
      </c>
      <c r="G537" s="1827"/>
    </row>
    <row r="538" spans="1:7">
      <c r="A538" s="530" t="s">
        <v>12608</v>
      </c>
      <c r="B538" s="2184" t="s">
        <v>13258</v>
      </c>
      <c r="C538" s="1529"/>
      <c r="D538" s="1065" t="s">
        <v>13319</v>
      </c>
      <c r="E538" s="535">
        <v>10</v>
      </c>
      <c r="F538" s="535">
        <v>250000</v>
      </c>
      <c r="G538" s="1827"/>
    </row>
    <row r="539" spans="1:7">
      <c r="A539" s="530" t="s">
        <v>12613</v>
      </c>
      <c r="B539" s="2184" t="s">
        <v>13260</v>
      </c>
      <c r="C539" s="1529"/>
      <c r="D539" s="1065" t="s">
        <v>13320</v>
      </c>
      <c r="E539" s="535">
        <v>10</v>
      </c>
      <c r="F539" s="535">
        <v>250000</v>
      </c>
      <c r="G539" s="1827"/>
    </row>
    <row r="540" spans="1:7">
      <c r="A540" s="530" t="s">
        <v>12618</v>
      </c>
      <c r="B540" s="2184" t="s">
        <v>13262</v>
      </c>
      <c r="C540" s="1529"/>
      <c r="D540" s="1065" t="s">
        <v>13321</v>
      </c>
      <c r="E540" s="535">
        <v>10</v>
      </c>
      <c r="F540" s="535">
        <v>250000</v>
      </c>
      <c r="G540" s="1827"/>
    </row>
    <row r="541" spans="1:7">
      <c r="A541" s="530" t="s">
        <v>12623</v>
      </c>
      <c r="B541" s="2184" t="s">
        <v>13264</v>
      </c>
      <c r="C541" s="1529"/>
      <c r="D541" s="1065" t="s">
        <v>13322</v>
      </c>
      <c r="E541" s="535">
        <v>10</v>
      </c>
      <c r="F541" s="535">
        <v>250000</v>
      </c>
      <c r="G541" s="1827"/>
    </row>
    <row r="542" spans="1:7">
      <c r="A542" s="530" t="s">
        <v>12628</v>
      </c>
      <c r="B542" s="2184" t="s">
        <v>12634</v>
      </c>
      <c r="C542" s="1529"/>
      <c r="D542" s="1065" t="s">
        <v>13323</v>
      </c>
      <c r="E542" s="535">
        <v>10</v>
      </c>
      <c r="F542" s="535">
        <v>100</v>
      </c>
      <c r="G542" s="1827"/>
    </row>
    <row r="543" spans="1:7">
      <c r="A543" s="530" t="s">
        <v>12633</v>
      </c>
      <c r="B543" s="2184" t="s">
        <v>12634</v>
      </c>
      <c r="C543" s="1529"/>
      <c r="D543" s="1065" t="s">
        <v>13324</v>
      </c>
      <c r="E543" s="2183">
        <v>10</v>
      </c>
      <c r="F543" s="2183">
        <v>100</v>
      </c>
      <c r="G543" s="1827"/>
    </row>
    <row r="544" spans="1:7">
      <c r="A544" s="2362" t="s">
        <v>13325</v>
      </c>
      <c r="C544" s="1529"/>
      <c r="E544" s="2183"/>
      <c r="F544" s="2183"/>
      <c r="G544" s="1827"/>
    </row>
    <row r="545" spans="1:7">
      <c r="A545" s="530" t="s">
        <v>12643</v>
      </c>
      <c r="B545" s="534" t="s">
        <v>13269</v>
      </c>
      <c r="C545" s="1529"/>
      <c r="D545" s="1065" t="s">
        <v>13326</v>
      </c>
      <c r="E545" s="535">
        <v>10</v>
      </c>
      <c r="F545" s="535">
        <v>250000</v>
      </c>
      <c r="G545" s="1827"/>
    </row>
    <row r="546" spans="1:7">
      <c r="A546" s="530" t="s">
        <v>12647</v>
      </c>
      <c r="B546" s="534" t="s">
        <v>13271</v>
      </c>
      <c r="C546" s="1529"/>
      <c r="D546" s="1065" t="s">
        <v>13327</v>
      </c>
      <c r="E546" s="535">
        <v>10</v>
      </c>
      <c r="F546" s="535">
        <v>250000</v>
      </c>
      <c r="G546" s="1827"/>
    </row>
    <row r="547" spans="1:7">
      <c r="A547" s="530" t="s">
        <v>12652</v>
      </c>
      <c r="B547" s="534" t="s">
        <v>13273</v>
      </c>
      <c r="C547" s="1529"/>
      <c r="D547" s="1065" t="s">
        <v>13328</v>
      </c>
      <c r="E547" s="535">
        <v>10</v>
      </c>
      <c r="F547" s="535">
        <v>250000</v>
      </c>
      <c r="G547" s="1827"/>
    </row>
    <row r="548" spans="1:7">
      <c r="A548" s="530" t="s">
        <v>12657</v>
      </c>
      <c r="B548" s="534" t="s">
        <v>13275</v>
      </c>
      <c r="C548" s="1529"/>
      <c r="D548" s="1065" t="s">
        <v>13329</v>
      </c>
      <c r="E548" s="535">
        <v>10</v>
      </c>
      <c r="F548" s="535">
        <v>250000</v>
      </c>
      <c r="G548" s="1827"/>
    </row>
    <row r="549" spans="1:7">
      <c r="A549" s="530" t="s">
        <v>12661</v>
      </c>
      <c r="B549" s="534" t="s">
        <v>13277</v>
      </c>
      <c r="C549" s="1529"/>
      <c r="D549" s="1065" t="s">
        <v>13330</v>
      </c>
      <c r="E549" s="535">
        <v>10</v>
      </c>
      <c r="F549" s="535">
        <v>250000</v>
      </c>
      <c r="G549" s="1827"/>
    </row>
    <row r="550" spans="1:7">
      <c r="A550" s="530" t="s">
        <v>12665</v>
      </c>
      <c r="B550" s="534" t="s">
        <v>13279</v>
      </c>
      <c r="C550" s="1529"/>
      <c r="D550" s="1065" t="s">
        <v>13331</v>
      </c>
      <c r="E550" s="535">
        <v>10</v>
      </c>
      <c r="F550" s="535">
        <v>250000</v>
      </c>
      <c r="G550" s="1827"/>
    </row>
    <row r="551" spans="1:7">
      <c r="A551" s="530" t="s">
        <v>12669</v>
      </c>
      <c r="B551" s="534" t="s">
        <v>13281</v>
      </c>
      <c r="C551" s="1529"/>
      <c r="D551" s="1065" t="s">
        <v>13332</v>
      </c>
      <c r="E551" s="535">
        <v>10</v>
      </c>
      <c r="F551" s="535">
        <v>250000</v>
      </c>
      <c r="G551" s="1827"/>
    </row>
    <row r="552" spans="1:7">
      <c r="A552" s="530" t="s">
        <v>12673</v>
      </c>
      <c r="B552" s="534" t="s">
        <v>13283</v>
      </c>
      <c r="C552" s="1529"/>
      <c r="D552" s="1065" t="s">
        <v>13333</v>
      </c>
      <c r="E552" s="535">
        <v>10</v>
      </c>
      <c r="F552" s="535">
        <v>250000</v>
      </c>
      <c r="G552" s="1827"/>
    </row>
    <row r="553" spans="1:7">
      <c r="A553" s="530" t="s">
        <v>12676</v>
      </c>
      <c r="B553" s="534" t="s">
        <v>13285</v>
      </c>
      <c r="C553" s="1529"/>
      <c r="D553" s="1065" t="s">
        <v>13334</v>
      </c>
      <c r="E553" s="535">
        <v>10</v>
      </c>
      <c r="F553" s="535">
        <v>250000</v>
      </c>
      <c r="G553" s="1827"/>
    </row>
    <row r="554" spans="1:7">
      <c r="A554" s="530" t="s">
        <v>12678</v>
      </c>
      <c r="B554" s="534" t="s">
        <v>13288</v>
      </c>
      <c r="C554" s="1529"/>
      <c r="D554" s="1065" t="s">
        <v>13335</v>
      </c>
      <c r="E554" s="535">
        <v>10</v>
      </c>
      <c r="F554" s="535">
        <v>250000</v>
      </c>
      <c r="G554" s="1827"/>
    </row>
    <row r="555" spans="1:7">
      <c r="A555" s="530" t="s">
        <v>13290</v>
      </c>
      <c r="B555" s="534" t="s">
        <v>13291</v>
      </c>
      <c r="C555" s="1529"/>
      <c r="D555" s="1065" t="s">
        <v>13336</v>
      </c>
      <c r="E555" s="535">
        <v>10</v>
      </c>
      <c r="F555" s="535">
        <v>250000</v>
      </c>
      <c r="G555" s="1827"/>
    </row>
    <row r="556" spans="1:7">
      <c r="A556" s="530" t="s">
        <v>12681</v>
      </c>
      <c r="B556" s="534" t="s">
        <v>13293</v>
      </c>
      <c r="C556" s="1529"/>
      <c r="D556" s="1065" t="s">
        <v>13337</v>
      </c>
      <c r="E556" s="535">
        <v>10</v>
      </c>
      <c r="F556" s="535">
        <v>250000</v>
      </c>
      <c r="G556" s="1827"/>
    </row>
    <row r="557" spans="1:7">
      <c r="A557" s="530" t="s">
        <v>12684</v>
      </c>
      <c r="B557" s="534" t="s">
        <v>13295</v>
      </c>
      <c r="C557" s="1529"/>
      <c r="D557" s="1065" t="s">
        <v>13338</v>
      </c>
      <c r="E557" s="535">
        <v>10</v>
      </c>
      <c r="F557" s="535">
        <v>250000</v>
      </c>
      <c r="G557" s="1827"/>
    </row>
    <row r="558" spans="1:7">
      <c r="A558" s="530" t="s">
        <v>12688</v>
      </c>
      <c r="B558" s="2184" t="s">
        <v>12634</v>
      </c>
      <c r="C558" s="1529"/>
      <c r="D558" s="1065" t="s">
        <v>13339</v>
      </c>
      <c r="E558" s="535">
        <v>10</v>
      </c>
      <c r="F558" s="535">
        <v>100</v>
      </c>
      <c r="G558" s="1827"/>
    </row>
    <row r="559" spans="1:7">
      <c r="A559" s="530" t="s">
        <v>13298</v>
      </c>
      <c r="B559" s="534" t="s">
        <v>13299</v>
      </c>
      <c r="C559" s="1529"/>
      <c r="D559" s="1065" t="s">
        <v>13340</v>
      </c>
      <c r="E559" s="535">
        <v>10</v>
      </c>
      <c r="F559" s="535">
        <v>250000</v>
      </c>
      <c r="G559" s="1827"/>
    </row>
    <row r="560" spans="1:7">
      <c r="A560" s="530" t="s">
        <v>12693</v>
      </c>
      <c r="B560" s="2482" t="s">
        <v>13301</v>
      </c>
      <c r="C560" s="1529"/>
      <c r="D560" s="1065" t="s">
        <v>13341</v>
      </c>
      <c r="E560" s="535">
        <v>10</v>
      </c>
      <c r="F560" s="535">
        <v>250000</v>
      </c>
      <c r="G560" s="1827"/>
    </row>
    <row r="561" spans="1:7">
      <c r="A561" s="530" t="s">
        <v>12695</v>
      </c>
      <c r="B561" s="534" t="s">
        <v>13303</v>
      </c>
      <c r="C561" s="1529"/>
      <c r="D561" s="1065" t="s">
        <v>13342</v>
      </c>
      <c r="E561" s="535">
        <v>10</v>
      </c>
      <c r="F561" s="535">
        <v>250000</v>
      </c>
      <c r="G561" s="1827"/>
    </row>
    <row r="562" spans="1:7">
      <c r="A562" s="530" t="s">
        <v>12697</v>
      </c>
      <c r="B562" s="2184" t="s">
        <v>12634</v>
      </c>
      <c r="C562" s="1529"/>
      <c r="D562" s="1065" t="s">
        <v>13343</v>
      </c>
      <c r="E562" s="535">
        <v>10</v>
      </c>
      <c r="F562" s="535">
        <v>100</v>
      </c>
      <c r="G562" s="1827"/>
    </row>
    <row r="563" spans="1:7">
      <c r="A563" s="530" t="s">
        <v>12701</v>
      </c>
      <c r="B563" s="534" t="s">
        <v>13306</v>
      </c>
      <c r="C563" s="1529"/>
      <c r="D563" s="1065" t="s">
        <v>13344</v>
      </c>
      <c r="E563" s="535">
        <v>10</v>
      </c>
      <c r="F563" s="535">
        <v>250000</v>
      </c>
      <c r="G563" s="1827"/>
    </row>
    <row r="564" spans="1:7">
      <c r="A564" s="530" t="s">
        <v>12705</v>
      </c>
      <c r="B564" s="534" t="s">
        <v>13308</v>
      </c>
      <c r="C564" s="1529"/>
      <c r="D564" s="1065" t="s">
        <v>13345</v>
      </c>
      <c r="E564" s="535">
        <v>10</v>
      </c>
      <c r="F564" s="535">
        <v>250000</v>
      </c>
      <c r="G564" s="1827"/>
    </row>
    <row r="565" spans="1:7">
      <c r="A565" s="530" t="s">
        <v>12709</v>
      </c>
      <c r="B565" s="2184" t="s">
        <v>13310</v>
      </c>
      <c r="C565" s="1529"/>
      <c r="D565" s="1065" t="s">
        <v>13346</v>
      </c>
      <c r="E565" s="535">
        <v>10</v>
      </c>
      <c r="F565" s="535">
        <v>250000</v>
      </c>
      <c r="G565" s="1827"/>
    </row>
    <row r="566" spans="1:7">
      <c r="A566" s="530" t="s">
        <v>12714</v>
      </c>
      <c r="B566" s="2184" t="s">
        <v>13347</v>
      </c>
      <c r="C566" s="1529">
        <v>45400</v>
      </c>
      <c r="D566" s="1065" t="s">
        <v>13348</v>
      </c>
      <c r="E566" s="535">
        <v>50000</v>
      </c>
      <c r="F566" s="535">
        <v>300000</v>
      </c>
      <c r="G566" s="1827">
        <v>45400</v>
      </c>
    </row>
    <row r="567" spans="1:7">
      <c r="A567" s="530" t="s">
        <v>12718</v>
      </c>
      <c r="B567" s="2184" t="s">
        <v>12634</v>
      </c>
      <c r="C567" s="1529"/>
      <c r="D567" s="1065" t="s">
        <v>13349</v>
      </c>
      <c r="E567" s="535">
        <v>10</v>
      </c>
      <c r="F567" s="535">
        <v>100</v>
      </c>
      <c r="G567" s="1827"/>
    </row>
    <row r="568" spans="1:7">
      <c r="A568" s="2364" t="s">
        <v>13350</v>
      </c>
      <c r="C568" s="1529"/>
      <c r="E568" s="535"/>
      <c r="F568" s="535"/>
      <c r="G568" s="1827"/>
    </row>
    <row r="569" spans="1:7">
      <c r="A569" s="532" t="s">
        <v>13351</v>
      </c>
      <c r="B569" s="1782" t="s">
        <v>13352</v>
      </c>
      <c r="C569" s="1529"/>
      <c r="D569" s="1066"/>
      <c r="E569" s="535"/>
      <c r="F569" s="535"/>
      <c r="G569" s="1827"/>
    </row>
    <row r="570" spans="1:7">
      <c r="A570" s="530" t="s">
        <v>12733</v>
      </c>
      <c r="B570" s="2184" t="s">
        <v>13254</v>
      </c>
      <c r="C570" s="1529"/>
      <c r="D570" s="1065" t="s">
        <v>13353</v>
      </c>
      <c r="E570" s="2183">
        <v>10</v>
      </c>
      <c r="F570" s="2183">
        <v>250000</v>
      </c>
      <c r="G570" s="1827"/>
    </row>
    <row r="571" spans="1:7">
      <c r="A571" s="530" t="s">
        <v>12737</v>
      </c>
      <c r="B571" s="2184" t="s">
        <v>13256</v>
      </c>
      <c r="C571" s="1529"/>
      <c r="D571" s="1065" t="s">
        <v>13354</v>
      </c>
      <c r="E571" s="2183">
        <v>10</v>
      </c>
      <c r="F571" s="2183">
        <v>250000</v>
      </c>
      <c r="G571" s="1827"/>
    </row>
    <row r="572" spans="1:7">
      <c r="A572" s="530" t="s">
        <v>12740</v>
      </c>
      <c r="B572" s="2184" t="s">
        <v>13258</v>
      </c>
      <c r="C572" s="1529"/>
      <c r="D572" s="1065" t="s">
        <v>13355</v>
      </c>
      <c r="E572" s="535">
        <v>10</v>
      </c>
      <c r="F572" s="535">
        <v>250000</v>
      </c>
      <c r="G572" s="1827"/>
    </row>
    <row r="573" spans="1:7">
      <c r="A573" s="530" t="s">
        <v>12742</v>
      </c>
      <c r="B573" s="2184" t="s">
        <v>13260</v>
      </c>
      <c r="C573" s="1529"/>
      <c r="D573" s="1065" t="s">
        <v>13356</v>
      </c>
      <c r="E573" s="535">
        <v>10</v>
      </c>
      <c r="F573" s="535">
        <v>250000</v>
      </c>
      <c r="G573" s="1827"/>
    </row>
    <row r="574" spans="1:7">
      <c r="A574" s="530" t="s">
        <v>13357</v>
      </c>
      <c r="B574" s="2184" t="s">
        <v>13262</v>
      </c>
      <c r="C574" s="1529"/>
      <c r="D574" s="1065" t="s">
        <v>13358</v>
      </c>
      <c r="E574" s="535">
        <v>10</v>
      </c>
      <c r="F574" s="535">
        <v>250000</v>
      </c>
      <c r="G574" s="1827"/>
    </row>
    <row r="575" spans="1:7">
      <c r="A575" s="530" t="s">
        <v>12744</v>
      </c>
      <c r="B575" s="2184" t="s">
        <v>13264</v>
      </c>
      <c r="C575" s="1529"/>
      <c r="D575" s="1065" t="s">
        <v>13359</v>
      </c>
      <c r="E575" s="535">
        <v>10</v>
      </c>
      <c r="F575" s="535">
        <v>250000</v>
      </c>
      <c r="G575" s="1827"/>
    </row>
    <row r="576" spans="1:7">
      <c r="A576" s="530" t="s">
        <v>12747</v>
      </c>
      <c r="B576" s="2184" t="s">
        <v>12634</v>
      </c>
      <c r="C576" s="1529"/>
      <c r="D576" s="1065" t="s">
        <v>13360</v>
      </c>
      <c r="E576" s="535">
        <v>10</v>
      </c>
      <c r="F576" s="535">
        <v>100</v>
      </c>
      <c r="G576" s="1827"/>
    </row>
    <row r="577" spans="1:7">
      <c r="A577" s="530" t="s">
        <v>12751</v>
      </c>
      <c r="B577" s="2184" t="s">
        <v>12634</v>
      </c>
      <c r="C577" s="1529"/>
      <c r="D577" s="1065" t="s">
        <v>13361</v>
      </c>
      <c r="E577" s="2183">
        <v>10</v>
      </c>
      <c r="F577" s="2183">
        <v>100</v>
      </c>
      <c r="G577" s="1827"/>
    </row>
    <row r="578" spans="1:7">
      <c r="A578" s="532" t="s">
        <v>13362</v>
      </c>
      <c r="C578" s="1529"/>
      <c r="E578" s="2183"/>
      <c r="F578" s="2183"/>
      <c r="G578" s="1827"/>
    </row>
    <row r="579" spans="1:7">
      <c r="A579" s="530" t="s">
        <v>12755</v>
      </c>
      <c r="B579" s="534" t="s">
        <v>13269</v>
      </c>
      <c r="C579" s="1529"/>
      <c r="D579" s="1065" t="s">
        <v>13363</v>
      </c>
      <c r="E579" s="535">
        <v>10</v>
      </c>
      <c r="F579" s="535">
        <v>250000</v>
      </c>
      <c r="G579" s="1827"/>
    </row>
    <row r="580" spans="1:7">
      <c r="A580" s="530" t="s">
        <v>12756</v>
      </c>
      <c r="B580" s="534" t="s">
        <v>13271</v>
      </c>
      <c r="C580" s="1529"/>
      <c r="D580" s="1065" t="s">
        <v>13364</v>
      </c>
      <c r="E580" s="535">
        <v>10</v>
      </c>
      <c r="F580" s="535">
        <v>250000</v>
      </c>
      <c r="G580" s="1827"/>
    </row>
    <row r="581" spans="1:7">
      <c r="A581" s="530" t="s">
        <v>13365</v>
      </c>
      <c r="B581" s="534" t="s">
        <v>13273</v>
      </c>
      <c r="C581" s="1529"/>
      <c r="D581" s="1065" t="s">
        <v>13366</v>
      </c>
      <c r="E581" s="535">
        <v>10</v>
      </c>
      <c r="F581" s="535">
        <v>250000</v>
      </c>
      <c r="G581" s="1827"/>
    </row>
    <row r="582" spans="1:7">
      <c r="A582" s="530" t="s">
        <v>13367</v>
      </c>
      <c r="B582" s="534" t="s">
        <v>13275</v>
      </c>
      <c r="C582" s="1529"/>
      <c r="D582" s="1065" t="s">
        <v>13368</v>
      </c>
      <c r="E582" s="535">
        <v>10</v>
      </c>
      <c r="F582" s="535">
        <v>250000</v>
      </c>
      <c r="G582" s="1827"/>
    </row>
    <row r="583" spans="1:7">
      <c r="A583" s="530" t="s">
        <v>13369</v>
      </c>
      <c r="B583" s="534" t="s">
        <v>13277</v>
      </c>
      <c r="C583" s="1529"/>
      <c r="D583" s="1065" t="s">
        <v>13370</v>
      </c>
      <c r="E583" s="535">
        <v>10</v>
      </c>
      <c r="F583" s="535">
        <v>250000</v>
      </c>
      <c r="G583" s="1827"/>
    </row>
    <row r="584" spans="1:7">
      <c r="A584" s="530" t="s">
        <v>13371</v>
      </c>
      <c r="B584" s="534" t="s">
        <v>13279</v>
      </c>
      <c r="C584" s="1529"/>
      <c r="D584" s="1065" t="s">
        <v>13372</v>
      </c>
      <c r="E584" s="535">
        <v>10</v>
      </c>
      <c r="F584" s="535">
        <v>250000</v>
      </c>
      <c r="G584" s="1827"/>
    </row>
    <row r="585" spans="1:7">
      <c r="A585" s="530" t="s">
        <v>13373</v>
      </c>
      <c r="B585" s="534" t="s">
        <v>13281</v>
      </c>
      <c r="C585" s="1529"/>
      <c r="D585" s="1065" t="s">
        <v>13374</v>
      </c>
      <c r="E585" s="535">
        <v>10</v>
      </c>
      <c r="F585" s="535">
        <v>250000</v>
      </c>
      <c r="G585" s="1827"/>
    </row>
    <row r="586" spans="1:7">
      <c r="A586" s="530" t="s">
        <v>13375</v>
      </c>
      <c r="B586" s="534" t="s">
        <v>13283</v>
      </c>
      <c r="C586" s="1529"/>
      <c r="D586" s="1065" t="s">
        <v>13376</v>
      </c>
      <c r="E586" s="535">
        <v>10</v>
      </c>
      <c r="F586" s="535">
        <v>250000</v>
      </c>
      <c r="G586" s="1827"/>
    </row>
    <row r="587" spans="1:7">
      <c r="A587" s="530" t="s">
        <v>13377</v>
      </c>
      <c r="B587" s="534" t="s">
        <v>13285</v>
      </c>
      <c r="C587" s="1529"/>
      <c r="D587" s="1065" t="s">
        <v>13378</v>
      </c>
      <c r="E587" s="535">
        <v>10</v>
      </c>
      <c r="F587" s="535">
        <v>250000</v>
      </c>
      <c r="G587" s="1827"/>
    </row>
    <row r="588" spans="1:7">
      <c r="A588" s="530" t="s">
        <v>13379</v>
      </c>
      <c r="B588" s="534" t="s">
        <v>13288</v>
      </c>
      <c r="C588" s="1529"/>
      <c r="D588" s="1065" t="s">
        <v>13380</v>
      </c>
      <c r="E588" s="535">
        <v>10</v>
      </c>
      <c r="F588" s="535">
        <v>250000</v>
      </c>
      <c r="G588" s="1827"/>
    </row>
    <row r="589" spans="1:7">
      <c r="A589" s="530" t="s">
        <v>13381</v>
      </c>
      <c r="B589" s="534" t="s">
        <v>13291</v>
      </c>
      <c r="C589" s="1529"/>
      <c r="D589" s="1065" t="s">
        <v>13382</v>
      </c>
      <c r="E589" s="535">
        <v>10</v>
      </c>
      <c r="F589" s="535">
        <v>250000</v>
      </c>
      <c r="G589" s="1827"/>
    </row>
    <row r="590" spans="1:7">
      <c r="A590" s="530" t="s">
        <v>13383</v>
      </c>
      <c r="B590" s="534" t="s">
        <v>13293</v>
      </c>
      <c r="C590" s="1529"/>
      <c r="D590" s="1065" t="s">
        <v>13384</v>
      </c>
      <c r="E590" s="535">
        <v>10</v>
      </c>
      <c r="F590" s="535">
        <v>250000</v>
      </c>
      <c r="G590" s="1827"/>
    </row>
    <row r="591" spans="1:7">
      <c r="A591" s="530" t="s">
        <v>13385</v>
      </c>
      <c r="B591" s="534" t="s">
        <v>13295</v>
      </c>
      <c r="C591" s="1529"/>
      <c r="D591" s="1065" t="s">
        <v>13386</v>
      </c>
      <c r="E591" s="535">
        <v>10</v>
      </c>
      <c r="F591" s="535">
        <v>250000</v>
      </c>
      <c r="G591" s="1827"/>
    </row>
    <row r="592" spans="1:7">
      <c r="A592" s="530" t="s">
        <v>13387</v>
      </c>
      <c r="B592" s="2184" t="s">
        <v>12634</v>
      </c>
      <c r="C592" s="1529"/>
      <c r="D592" s="1065" t="s">
        <v>13388</v>
      </c>
      <c r="E592" s="535">
        <v>10</v>
      </c>
      <c r="F592" s="535">
        <v>100</v>
      </c>
      <c r="G592" s="1827"/>
    </row>
    <row r="593" spans="1:7">
      <c r="A593" s="530" t="s">
        <v>13389</v>
      </c>
      <c r="B593" s="534" t="s">
        <v>13299</v>
      </c>
      <c r="C593" s="1529"/>
      <c r="D593" s="1065" t="s">
        <v>13390</v>
      </c>
      <c r="E593" s="535">
        <v>10</v>
      </c>
      <c r="F593" s="535">
        <v>250000</v>
      </c>
      <c r="G593" s="1827"/>
    </row>
    <row r="594" spans="1:7">
      <c r="A594" s="530" t="s">
        <v>13391</v>
      </c>
      <c r="B594" s="2482" t="s">
        <v>13301</v>
      </c>
      <c r="C594" s="1529"/>
      <c r="D594" s="1065" t="s">
        <v>13392</v>
      </c>
      <c r="E594" s="535">
        <v>10</v>
      </c>
      <c r="F594" s="535">
        <v>250000</v>
      </c>
      <c r="G594" s="1827"/>
    </row>
    <row r="595" spans="1:7">
      <c r="A595" s="530" t="s">
        <v>13393</v>
      </c>
      <c r="B595" s="534" t="s">
        <v>13303</v>
      </c>
      <c r="C595" s="1529"/>
      <c r="D595" s="1065" t="s">
        <v>13394</v>
      </c>
      <c r="E595" s="535">
        <v>10</v>
      </c>
      <c r="F595" s="535">
        <v>250000</v>
      </c>
      <c r="G595" s="1827"/>
    </row>
    <row r="596" spans="1:7">
      <c r="A596" s="530" t="s">
        <v>13395</v>
      </c>
      <c r="B596" s="2184" t="s">
        <v>12634</v>
      </c>
      <c r="C596" s="1529"/>
      <c r="D596" s="1065" t="s">
        <v>13396</v>
      </c>
      <c r="E596" s="535">
        <v>10</v>
      </c>
      <c r="F596" s="535">
        <v>100</v>
      </c>
      <c r="G596" s="1827"/>
    </row>
    <row r="597" spans="1:7">
      <c r="A597" s="530" t="s">
        <v>13397</v>
      </c>
      <c r="B597" s="534" t="s">
        <v>13306</v>
      </c>
      <c r="C597" s="1529"/>
      <c r="D597" s="1065" t="s">
        <v>13398</v>
      </c>
      <c r="E597" s="535">
        <v>10</v>
      </c>
      <c r="F597" s="535">
        <v>250000</v>
      </c>
      <c r="G597" s="1827"/>
    </row>
    <row r="598" spans="1:7">
      <c r="A598" s="530" t="s">
        <v>13399</v>
      </c>
      <c r="B598" s="534" t="s">
        <v>13308</v>
      </c>
      <c r="C598" s="1529"/>
      <c r="D598" s="1065" t="s">
        <v>13400</v>
      </c>
      <c r="E598" s="535">
        <v>10</v>
      </c>
      <c r="F598" s="535">
        <v>250000</v>
      </c>
      <c r="G598" s="1827"/>
    </row>
    <row r="599" spans="1:7">
      <c r="A599" s="530" t="s">
        <v>13401</v>
      </c>
      <c r="B599" s="2184" t="s">
        <v>13310</v>
      </c>
      <c r="C599" s="1529"/>
      <c r="D599" s="1065" t="s">
        <v>13402</v>
      </c>
      <c r="E599" s="535">
        <v>10</v>
      </c>
      <c r="F599" s="535">
        <v>250000</v>
      </c>
      <c r="G599" s="1827"/>
    </row>
    <row r="600" spans="1:7">
      <c r="A600" s="530" t="s">
        <v>13403</v>
      </c>
      <c r="B600" s="2184" t="s">
        <v>12634</v>
      </c>
      <c r="C600" s="1529"/>
      <c r="D600" s="1065" t="s">
        <v>13404</v>
      </c>
      <c r="E600" s="535">
        <v>10</v>
      </c>
      <c r="F600" s="535">
        <v>100</v>
      </c>
      <c r="G600" s="1827"/>
    </row>
    <row r="601" spans="1:7">
      <c r="A601" s="530" t="s">
        <v>13405</v>
      </c>
      <c r="B601" s="2184" t="s">
        <v>12634</v>
      </c>
      <c r="C601" s="1529"/>
      <c r="D601" s="1065" t="s">
        <v>13406</v>
      </c>
      <c r="E601" s="535">
        <v>10</v>
      </c>
      <c r="F601" s="535">
        <v>100</v>
      </c>
      <c r="G601" s="1827"/>
    </row>
    <row r="602" spans="1:7">
      <c r="A602" s="533" t="s">
        <v>9900</v>
      </c>
      <c r="C602" s="1529"/>
    </row>
    <row r="603" spans="1:7">
      <c r="A603" s="530" t="s">
        <v>9368</v>
      </c>
      <c r="B603" s="534" t="s">
        <v>13407</v>
      </c>
      <c r="C603" s="1529">
        <v>37987</v>
      </c>
      <c r="E603" s="535">
        <v>500</v>
      </c>
      <c r="F603" s="535">
        <v>95000</v>
      </c>
    </row>
    <row r="604" spans="1:7">
      <c r="A604" s="530" t="s">
        <v>9372</v>
      </c>
      <c r="B604" s="534" t="s">
        <v>13408</v>
      </c>
      <c r="C604" s="1529">
        <v>37987</v>
      </c>
      <c r="E604" s="535">
        <v>500</v>
      </c>
      <c r="F604" s="535">
        <v>90000</v>
      </c>
    </row>
    <row r="605" spans="1:7">
      <c r="A605" s="530" t="s">
        <v>9376</v>
      </c>
      <c r="B605" s="534" t="s">
        <v>13409</v>
      </c>
      <c r="C605" s="1529">
        <v>37987</v>
      </c>
      <c r="E605" s="535">
        <v>50</v>
      </c>
      <c r="F605" s="535">
        <v>7000</v>
      </c>
    </row>
    <row r="606" spans="1:7">
      <c r="A606" s="530" t="s">
        <v>9380</v>
      </c>
      <c r="B606" s="534" t="s">
        <v>13410</v>
      </c>
      <c r="C606" s="1529">
        <v>38069</v>
      </c>
      <c r="E606" s="535">
        <v>0</v>
      </c>
      <c r="F606" s="535">
        <v>5000</v>
      </c>
    </row>
    <row r="607" spans="1:7">
      <c r="A607" s="530" t="s">
        <v>13411</v>
      </c>
      <c r="B607" s="534" t="s">
        <v>13412</v>
      </c>
      <c r="C607" s="1529">
        <v>38069</v>
      </c>
      <c r="E607" s="535">
        <v>0</v>
      </c>
      <c r="F607" s="535">
        <v>85000</v>
      </c>
    </row>
    <row r="608" spans="1:7">
      <c r="A608" s="530" t="s">
        <v>9389</v>
      </c>
      <c r="B608" s="534" t="s">
        <v>13413</v>
      </c>
      <c r="C608" s="1529">
        <v>37987</v>
      </c>
      <c r="E608" s="535">
        <v>500</v>
      </c>
      <c r="F608" s="535">
        <v>105000</v>
      </c>
    </row>
    <row r="609" spans="1:6">
      <c r="A609" s="530" t="s">
        <v>9393</v>
      </c>
      <c r="B609" s="534" t="s">
        <v>13414</v>
      </c>
      <c r="C609" s="1529">
        <v>37987</v>
      </c>
      <c r="E609" s="535">
        <v>500</v>
      </c>
      <c r="F609" s="535">
        <v>100000</v>
      </c>
    </row>
    <row r="610" spans="1:6">
      <c r="A610" s="530" t="s">
        <v>9397</v>
      </c>
      <c r="B610" s="534" t="s">
        <v>13415</v>
      </c>
      <c r="C610" s="1529">
        <v>37987</v>
      </c>
      <c r="E610" s="535">
        <v>75</v>
      </c>
      <c r="F610" s="535">
        <v>9000</v>
      </c>
    </row>
    <row r="611" spans="1:6">
      <c r="A611" s="530" t="s">
        <v>9401</v>
      </c>
      <c r="B611" s="534" t="s">
        <v>13416</v>
      </c>
      <c r="C611" s="1529">
        <v>38069</v>
      </c>
      <c r="E611" s="535">
        <v>0</v>
      </c>
      <c r="F611" s="535">
        <v>6000</v>
      </c>
    </row>
    <row r="612" spans="1:6">
      <c r="A612" s="530" t="s">
        <v>13417</v>
      </c>
      <c r="B612" s="534" t="s">
        <v>13418</v>
      </c>
      <c r="C612" s="1529">
        <v>38069</v>
      </c>
      <c r="E612" s="535">
        <v>0</v>
      </c>
      <c r="F612" s="535">
        <v>95000</v>
      </c>
    </row>
    <row r="613" spans="1:6">
      <c r="A613" s="533" t="s">
        <v>13419</v>
      </c>
      <c r="C613" s="1529"/>
    </row>
    <row r="614" spans="1:6">
      <c r="A614" s="530" t="s">
        <v>725</v>
      </c>
      <c r="B614" s="1238" t="s">
        <v>724</v>
      </c>
      <c r="C614" s="1529">
        <v>37987</v>
      </c>
      <c r="D614" s="1067"/>
      <c r="E614" s="535">
        <v>5</v>
      </c>
      <c r="F614" s="535">
        <v>1000</v>
      </c>
    </row>
    <row r="615" spans="1:6">
      <c r="A615" s="530" t="s">
        <v>727</v>
      </c>
      <c r="B615" s="2481" t="s">
        <v>726</v>
      </c>
      <c r="C615" s="1529">
        <v>45292</v>
      </c>
      <c r="D615" s="1067"/>
      <c r="E615" s="535">
        <v>5</v>
      </c>
      <c r="F615" s="535">
        <v>1000</v>
      </c>
    </row>
    <row r="616" spans="1:6">
      <c r="A616" s="530" t="s">
        <v>729</v>
      </c>
      <c r="B616" s="1238" t="s">
        <v>13420</v>
      </c>
      <c r="C616" s="1529">
        <v>37987</v>
      </c>
      <c r="D616" s="1067"/>
      <c r="E616" s="535">
        <v>5</v>
      </c>
      <c r="F616" s="535">
        <v>2000</v>
      </c>
    </row>
    <row r="617" spans="1:6">
      <c r="A617" s="530" t="s">
        <v>731</v>
      </c>
      <c r="B617" s="2481" t="s">
        <v>730</v>
      </c>
      <c r="C617" s="1529">
        <v>45292</v>
      </c>
      <c r="D617" s="1067"/>
      <c r="E617" s="535">
        <v>5</v>
      </c>
      <c r="F617" s="535">
        <v>2000</v>
      </c>
    </row>
    <row r="618" spans="1:6">
      <c r="A618" s="530" t="s">
        <v>733</v>
      </c>
      <c r="B618" s="1238" t="s">
        <v>13421</v>
      </c>
      <c r="C618" s="1529">
        <v>37987</v>
      </c>
      <c r="D618" s="1067"/>
      <c r="E618" s="535">
        <v>5</v>
      </c>
      <c r="F618" s="535">
        <v>2000</v>
      </c>
    </row>
    <row r="619" spans="1:6">
      <c r="A619" s="530" t="s">
        <v>735</v>
      </c>
      <c r="B619" s="2481" t="s">
        <v>13422</v>
      </c>
      <c r="C619" s="1529">
        <v>45292</v>
      </c>
      <c r="D619" s="1067"/>
      <c r="E619" s="535">
        <v>5</v>
      </c>
      <c r="F619" s="535">
        <v>2000</v>
      </c>
    </row>
    <row r="620" spans="1:6">
      <c r="A620" s="530" t="s">
        <v>737</v>
      </c>
      <c r="B620" s="2481" t="s">
        <v>736</v>
      </c>
      <c r="C620" s="1529">
        <v>45292</v>
      </c>
      <c r="D620" s="1067"/>
      <c r="E620" s="535">
        <v>5</v>
      </c>
      <c r="F620" s="535">
        <v>2000</v>
      </c>
    </row>
    <row r="621" spans="1:6">
      <c r="A621" s="530" t="s">
        <v>9543</v>
      </c>
      <c r="B621" s="1238" t="s">
        <v>13423</v>
      </c>
      <c r="C621" s="1529">
        <v>37987</v>
      </c>
      <c r="D621" s="1067"/>
      <c r="E621" s="535">
        <v>10</v>
      </c>
      <c r="F621" s="535">
        <v>3000</v>
      </c>
    </row>
    <row r="622" spans="1:6">
      <c r="A622" s="530" t="s">
        <v>9547</v>
      </c>
      <c r="B622" s="2481" t="s">
        <v>741</v>
      </c>
      <c r="C622" s="1529"/>
      <c r="D622" s="1067"/>
      <c r="E622" s="535">
        <v>10</v>
      </c>
      <c r="F622" s="535">
        <v>3000</v>
      </c>
    </row>
    <row r="623" spans="1:6">
      <c r="A623" s="530" t="s">
        <v>9551</v>
      </c>
      <c r="B623" s="1238" t="s">
        <v>13424</v>
      </c>
      <c r="C623" s="1529">
        <v>37987</v>
      </c>
      <c r="D623" s="1067"/>
      <c r="E623" s="535">
        <v>10</v>
      </c>
      <c r="F623" s="535">
        <v>3000</v>
      </c>
    </row>
    <row r="624" spans="1:6">
      <c r="A624" s="530" t="s">
        <v>9555</v>
      </c>
      <c r="B624" s="2480" t="s">
        <v>746</v>
      </c>
      <c r="C624" s="1529"/>
      <c r="D624" s="1067"/>
      <c r="E624" s="535">
        <v>10</v>
      </c>
      <c r="F624" s="535">
        <v>3000</v>
      </c>
    </row>
    <row r="625" spans="1:6">
      <c r="A625" s="530" t="s">
        <v>9559</v>
      </c>
      <c r="B625" s="1238" t="s">
        <v>13425</v>
      </c>
      <c r="C625" s="1529">
        <v>37987</v>
      </c>
      <c r="D625" s="1067"/>
      <c r="E625" s="535">
        <v>10</v>
      </c>
      <c r="F625" s="535">
        <v>1500</v>
      </c>
    </row>
    <row r="626" spans="1:6">
      <c r="A626" s="530">
        <v>662</v>
      </c>
      <c r="B626" s="1238" t="s">
        <v>13426</v>
      </c>
      <c r="C626" s="1529">
        <v>37987</v>
      </c>
      <c r="D626" s="1067"/>
      <c r="E626" s="535">
        <v>10</v>
      </c>
      <c r="F626" s="535">
        <v>2000</v>
      </c>
    </row>
    <row r="627" spans="1:6">
      <c r="A627" s="530">
        <v>663</v>
      </c>
      <c r="B627" s="1238" t="s">
        <v>751</v>
      </c>
      <c r="C627" s="1529">
        <v>37987</v>
      </c>
      <c r="D627" s="1067"/>
      <c r="E627" s="535">
        <v>5</v>
      </c>
      <c r="F627" s="535">
        <v>2000</v>
      </c>
    </row>
    <row r="628" spans="1:6">
      <c r="A628" s="530">
        <v>663</v>
      </c>
      <c r="B628" s="1238" t="s">
        <v>13427</v>
      </c>
      <c r="C628" s="1529">
        <v>37987</v>
      </c>
      <c r="D628" s="1067"/>
      <c r="E628" s="535">
        <v>5</v>
      </c>
      <c r="F628" s="535">
        <v>2000</v>
      </c>
    </row>
    <row r="629" spans="1:6">
      <c r="A629" s="533"/>
      <c r="B629" s="550"/>
      <c r="C629" s="1530"/>
      <c r="D629" s="1067"/>
      <c r="E629" s="535"/>
      <c r="F629" s="535"/>
    </row>
    <row r="630" spans="1:6">
      <c r="A630" s="530">
        <v>670</v>
      </c>
      <c r="B630" s="534" t="s">
        <v>13428</v>
      </c>
      <c r="C630" s="1529">
        <v>37987</v>
      </c>
      <c r="E630" s="535">
        <v>10</v>
      </c>
      <c r="F630" s="535">
        <v>4000</v>
      </c>
    </row>
    <row r="631" spans="1:6">
      <c r="A631" s="530">
        <v>671</v>
      </c>
      <c r="B631" s="534" t="s">
        <v>13429</v>
      </c>
      <c r="C631" s="1529">
        <v>37987</v>
      </c>
      <c r="E631" s="535">
        <v>10</v>
      </c>
      <c r="F631" s="535">
        <v>4000</v>
      </c>
    </row>
    <row r="632" spans="1:6">
      <c r="A632" s="530">
        <v>672</v>
      </c>
      <c r="B632" s="1238" t="s">
        <v>13426</v>
      </c>
      <c r="C632" s="1529">
        <v>37987</v>
      </c>
      <c r="E632" s="535">
        <v>10</v>
      </c>
      <c r="F632" s="535">
        <v>4000</v>
      </c>
    </row>
    <row r="633" spans="1:6">
      <c r="A633" s="530">
        <v>673</v>
      </c>
      <c r="B633" s="1238" t="s">
        <v>751</v>
      </c>
      <c r="C633" s="1529">
        <v>37987</v>
      </c>
      <c r="E633" s="535">
        <v>10</v>
      </c>
      <c r="F633" s="535">
        <v>4000</v>
      </c>
    </row>
    <row r="634" spans="1:6">
      <c r="A634" s="533" t="s">
        <v>13430</v>
      </c>
      <c r="C634" s="1529"/>
    </row>
    <row r="635" spans="1:6">
      <c r="A635" s="530" t="s">
        <v>13431</v>
      </c>
      <c r="B635" s="534" t="s">
        <v>13432</v>
      </c>
      <c r="C635" s="1529">
        <v>38468</v>
      </c>
      <c r="E635" s="535">
        <v>10000</v>
      </c>
      <c r="F635" s="535">
        <v>110000</v>
      </c>
    </row>
    <row r="636" spans="1:6">
      <c r="A636" s="530" t="s">
        <v>13433</v>
      </c>
      <c r="B636" s="534" t="s">
        <v>13432</v>
      </c>
      <c r="C636" s="1529">
        <v>38468</v>
      </c>
      <c r="E636" s="535">
        <v>10000</v>
      </c>
      <c r="F636" s="535">
        <v>110000</v>
      </c>
    </row>
    <row r="637" spans="1:6">
      <c r="A637" s="530" t="s">
        <v>13434</v>
      </c>
      <c r="B637" s="534" t="s">
        <v>13435</v>
      </c>
      <c r="C637" s="1529">
        <v>45126</v>
      </c>
      <c r="E637" s="535">
        <v>10000</v>
      </c>
      <c r="F637" s="535">
        <v>300000</v>
      </c>
    </row>
    <row r="638" spans="1:6">
      <c r="A638" s="530" t="s">
        <v>13436</v>
      </c>
      <c r="B638" s="534" t="s">
        <v>13435</v>
      </c>
      <c r="C638" s="1529">
        <v>42614</v>
      </c>
      <c r="E638" s="535">
        <v>10000</v>
      </c>
      <c r="F638" s="535">
        <v>110000</v>
      </c>
    </row>
    <row r="639" spans="1:6">
      <c r="A639" s="530" t="s">
        <v>13437</v>
      </c>
      <c r="B639" s="534" t="s">
        <v>13438</v>
      </c>
      <c r="C639" s="1529">
        <v>45455</v>
      </c>
      <c r="E639" s="535">
        <v>12000</v>
      </c>
      <c r="F639" s="535">
        <v>300000</v>
      </c>
    </row>
    <row r="640" spans="1:6">
      <c r="A640" s="530" t="s">
        <v>13439</v>
      </c>
      <c r="B640" s="534" t="s">
        <v>13438</v>
      </c>
      <c r="C640" s="1529">
        <v>40294</v>
      </c>
      <c r="E640" s="535">
        <v>12000</v>
      </c>
      <c r="F640" s="535">
        <v>120000</v>
      </c>
    </row>
    <row r="641" spans="1:6">
      <c r="A641" s="530" t="s">
        <v>13440</v>
      </c>
      <c r="B641" s="534" t="s">
        <v>13438</v>
      </c>
      <c r="C641" s="1529">
        <v>40294</v>
      </c>
      <c r="E641" s="535">
        <v>12000</v>
      </c>
      <c r="F641" s="535">
        <v>120000</v>
      </c>
    </row>
    <row r="642" spans="1:6">
      <c r="A642" s="530" t="s">
        <v>13441</v>
      </c>
      <c r="B642" s="534" t="s">
        <v>13438</v>
      </c>
      <c r="C642" s="1529">
        <v>40294</v>
      </c>
      <c r="E642" s="535">
        <v>12000</v>
      </c>
      <c r="F642" s="535">
        <v>120000</v>
      </c>
    </row>
    <row r="643" spans="1:6">
      <c r="A643" s="530" t="s">
        <v>13442</v>
      </c>
      <c r="B643" s="837" t="s">
        <v>13443</v>
      </c>
      <c r="C643" s="1529">
        <v>37987</v>
      </c>
      <c r="E643" s="535">
        <v>2000</v>
      </c>
      <c r="F643" s="535">
        <v>150000</v>
      </c>
    </row>
    <row r="644" spans="1:6">
      <c r="A644" s="530" t="s">
        <v>13442</v>
      </c>
      <c r="B644" s="1698" t="s">
        <v>13443</v>
      </c>
      <c r="C644" s="1529">
        <v>38568</v>
      </c>
      <c r="E644" s="535">
        <v>1000</v>
      </c>
      <c r="F644" s="535">
        <v>200000</v>
      </c>
    </row>
    <row r="645" spans="1:6">
      <c r="A645" s="530" t="s">
        <v>13444</v>
      </c>
      <c r="B645" s="837" t="s">
        <v>13445</v>
      </c>
      <c r="C645" s="1529">
        <v>37987</v>
      </c>
      <c r="E645" s="535">
        <v>2000</v>
      </c>
      <c r="F645" s="535">
        <v>100000</v>
      </c>
    </row>
    <row r="646" spans="1:6">
      <c r="A646" s="530" t="s">
        <v>13444</v>
      </c>
      <c r="B646" s="1698" t="s">
        <v>13445</v>
      </c>
      <c r="C646" s="1529">
        <v>38568</v>
      </c>
      <c r="E646" s="535">
        <v>1000</v>
      </c>
      <c r="F646" s="535">
        <v>100000</v>
      </c>
    </row>
    <row r="647" spans="1:6">
      <c r="A647" s="530" t="s">
        <v>10254</v>
      </c>
      <c r="B647" s="534" t="s">
        <v>13446</v>
      </c>
      <c r="C647" s="1529">
        <v>37987</v>
      </c>
      <c r="E647" s="535">
        <v>10000</v>
      </c>
      <c r="F647" s="535">
        <v>40000</v>
      </c>
    </row>
    <row r="648" spans="1:6">
      <c r="A648" s="530" t="s">
        <v>10257</v>
      </c>
      <c r="B648" s="534" t="s">
        <v>13447</v>
      </c>
      <c r="C648" s="1529">
        <v>37987</v>
      </c>
      <c r="E648" s="535">
        <v>1000</v>
      </c>
      <c r="F648" s="535">
        <v>110000</v>
      </c>
    </row>
    <row r="649" spans="1:6">
      <c r="A649" s="530" t="s">
        <v>11310</v>
      </c>
      <c r="B649" s="837" t="s">
        <v>13448</v>
      </c>
      <c r="C649" s="1529">
        <v>37987</v>
      </c>
      <c r="E649" s="535">
        <v>500</v>
      </c>
      <c r="F649" s="535">
        <v>80000</v>
      </c>
    </row>
    <row r="650" spans="1:6">
      <c r="A650" s="530" t="s">
        <v>11310</v>
      </c>
      <c r="B650" s="1698" t="s">
        <v>13448</v>
      </c>
      <c r="C650" s="1529">
        <v>38233</v>
      </c>
      <c r="E650" s="535">
        <v>0</v>
      </c>
      <c r="F650" s="535">
        <v>150000</v>
      </c>
    </row>
    <row r="651" spans="1:6">
      <c r="A651" s="533" t="s">
        <v>9908</v>
      </c>
      <c r="B651" s="36"/>
      <c r="C651" s="1531"/>
      <c r="D651" s="1066"/>
    </row>
    <row r="652" spans="1:6">
      <c r="A652" s="530" t="s">
        <v>13449</v>
      </c>
      <c r="B652" s="534" t="s">
        <v>13450</v>
      </c>
      <c r="C652" s="1529">
        <v>38069</v>
      </c>
      <c r="E652" s="535">
        <v>10</v>
      </c>
      <c r="F652" s="535">
        <v>5000</v>
      </c>
    </row>
    <row r="653" spans="1:6">
      <c r="A653" s="530" t="s">
        <v>13451</v>
      </c>
      <c r="B653" s="534" t="s">
        <v>13452</v>
      </c>
      <c r="C653" s="1529">
        <v>38069</v>
      </c>
      <c r="E653" s="535">
        <v>10</v>
      </c>
      <c r="F653" s="535">
        <v>5000</v>
      </c>
    </row>
    <row r="654" spans="1:6">
      <c r="A654" s="530" t="s">
        <v>13453</v>
      </c>
      <c r="B654" s="534" t="s">
        <v>13454</v>
      </c>
      <c r="C654" s="1529">
        <v>38069</v>
      </c>
      <c r="E654" s="535">
        <v>10</v>
      </c>
      <c r="F654" s="535">
        <v>5000</v>
      </c>
    </row>
    <row r="655" spans="1:6">
      <c r="A655" s="533" t="s">
        <v>9912</v>
      </c>
      <c r="C655" s="1529"/>
    </row>
    <row r="656" spans="1:6">
      <c r="A656" s="530">
        <v>806</v>
      </c>
      <c r="B656" s="534" t="s">
        <v>13455</v>
      </c>
      <c r="C656" s="1529">
        <v>38069</v>
      </c>
      <c r="E656" s="535">
        <v>0</v>
      </c>
      <c r="F656" s="535">
        <v>2000</v>
      </c>
    </row>
    <row r="657" spans="1:6">
      <c r="A657" s="530">
        <v>807</v>
      </c>
      <c r="B657" s="534" t="s">
        <v>13456</v>
      </c>
      <c r="C657" s="1529">
        <v>37987</v>
      </c>
      <c r="E657" s="535">
        <v>10</v>
      </c>
      <c r="F657" s="535">
        <v>2000</v>
      </c>
    </row>
    <row r="658" spans="1:6">
      <c r="A658" s="530" t="s">
        <v>13457</v>
      </c>
      <c r="B658" s="534" t="s">
        <v>13458</v>
      </c>
      <c r="C658" s="1529">
        <v>37987</v>
      </c>
      <c r="E658" s="535">
        <v>100</v>
      </c>
      <c r="F658" s="535">
        <v>3500</v>
      </c>
    </row>
    <row r="659" spans="1:6">
      <c r="A659" s="530" t="s">
        <v>13459</v>
      </c>
      <c r="B659" s="534" t="s">
        <v>13460</v>
      </c>
      <c r="C659" s="1529">
        <v>37987</v>
      </c>
      <c r="E659" s="535">
        <v>100</v>
      </c>
      <c r="F659" s="535">
        <v>3500</v>
      </c>
    </row>
    <row r="660" spans="1:6">
      <c r="A660" s="530">
        <v>808</v>
      </c>
      <c r="B660" s="534" t="s">
        <v>13461</v>
      </c>
      <c r="C660" s="1529">
        <v>37987</v>
      </c>
      <c r="E660" s="535">
        <v>10</v>
      </c>
      <c r="F660" s="535">
        <v>2000</v>
      </c>
    </row>
    <row r="661" spans="1:6">
      <c r="A661" s="530">
        <v>809</v>
      </c>
      <c r="B661" s="534" t="s">
        <v>13462</v>
      </c>
      <c r="C661" s="1529">
        <v>37987</v>
      </c>
      <c r="E661" s="535">
        <v>10</v>
      </c>
      <c r="F661" s="535">
        <v>2000</v>
      </c>
    </row>
    <row r="662" spans="1:6">
      <c r="A662" s="530" t="s">
        <v>13463</v>
      </c>
      <c r="B662" s="534" t="s">
        <v>13464</v>
      </c>
      <c r="C662" s="1529">
        <v>37987</v>
      </c>
      <c r="E662" s="535">
        <v>100</v>
      </c>
      <c r="F662" s="535">
        <v>3500</v>
      </c>
    </row>
    <row r="663" spans="1:6">
      <c r="A663" s="530" t="s">
        <v>13465</v>
      </c>
      <c r="B663" s="534" t="s">
        <v>13460</v>
      </c>
      <c r="C663" s="1529">
        <v>37987</v>
      </c>
      <c r="E663" s="535">
        <v>100</v>
      </c>
      <c r="F663" s="535">
        <v>3500</v>
      </c>
    </row>
    <row r="664" spans="1:6">
      <c r="A664" s="532" t="s">
        <v>9906</v>
      </c>
      <c r="C664" s="1529"/>
      <c r="E664" s="535"/>
      <c r="F664" s="535"/>
    </row>
    <row r="665" spans="1:6">
      <c r="A665" s="530" t="s">
        <v>12295</v>
      </c>
      <c r="B665" s="534" t="s">
        <v>13466</v>
      </c>
      <c r="C665" s="1529">
        <v>37987</v>
      </c>
      <c r="E665" s="537">
        <v>0.18</v>
      </c>
      <c r="F665" s="537">
        <v>0.48</v>
      </c>
    </row>
    <row r="666" spans="1:6">
      <c r="A666" s="532" t="s">
        <v>13467</v>
      </c>
      <c r="C666" s="1529"/>
      <c r="E666" s="535"/>
      <c r="F666" s="535"/>
    </row>
    <row r="667" spans="1:6">
      <c r="A667" s="530" t="s">
        <v>13468</v>
      </c>
      <c r="B667" s="534" t="s">
        <v>860</v>
      </c>
      <c r="C667" s="1529">
        <v>37987</v>
      </c>
      <c r="E667" s="538">
        <f>MIN(2000,E3:E21,E23:E25,E27:E28,E29:E40,E42:E45,E46:E47,E658:E659,E635:E639,E648)</f>
        <v>0</v>
      </c>
      <c r="F667" s="538">
        <f>MAX(300000,F3:F21,F23:F25,F27:F28,F29:F40,F42:F45,F46:F47,F658:F659,F635:F639,F648)</f>
        <v>999999</v>
      </c>
    </row>
    <row r="668" spans="1:6">
      <c r="A668" s="530" t="s">
        <v>9900</v>
      </c>
      <c r="B668" s="534" t="s">
        <v>813</v>
      </c>
      <c r="C668" s="1529">
        <v>37987</v>
      </c>
      <c r="E668" s="538">
        <f>MIN(25,E603:E663,E643:E647)</f>
        <v>0</v>
      </c>
      <c r="F668" s="538">
        <f>MAX(100000,F603:F663,F643:F647)</f>
        <v>300000</v>
      </c>
    </row>
    <row r="669" spans="1:6">
      <c r="A669" s="530" t="s">
        <v>13469</v>
      </c>
      <c r="B669" s="534" t="s">
        <v>13470</v>
      </c>
      <c r="C669" s="1529">
        <v>37987</v>
      </c>
      <c r="E669" s="538">
        <v>3</v>
      </c>
      <c r="F669" s="538">
        <v>5000</v>
      </c>
    </row>
    <row r="670" spans="1:6">
      <c r="A670" s="530" t="s">
        <v>13471</v>
      </c>
      <c r="B670" s="534" t="s">
        <v>13472</v>
      </c>
      <c r="C670" s="1529">
        <v>37987</v>
      </c>
      <c r="E670" s="538">
        <f>MIN(25,E649)</f>
        <v>25</v>
      </c>
      <c r="F670" s="538">
        <f>MAX(300000,F649)</f>
        <v>300000</v>
      </c>
    </row>
    <row r="671" spans="1:6">
      <c r="A671" s="530" t="s">
        <v>13473</v>
      </c>
      <c r="B671" s="534" t="s">
        <v>13473</v>
      </c>
      <c r="C671" s="1529">
        <v>37987</v>
      </c>
      <c r="E671" s="539">
        <v>0</v>
      </c>
      <c r="F671" s="539">
        <v>999</v>
      </c>
    </row>
    <row r="673" spans="1:6">
      <c r="A673" s="533" t="s">
        <v>13474</v>
      </c>
      <c r="C673" s="1529"/>
    </row>
    <row r="674" spans="1:6">
      <c r="A674" s="1815" t="s">
        <v>725</v>
      </c>
      <c r="B674" s="1816" t="s">
        <v>724</v>
      </c>
      <c r="C674" s="1817">
        <v>37987</v>
      </c>
      <c r="D674" s="1067"/>
      <c r="E674" s="535"/>
      <c r="F674" s="1818">
        <v>200</v>
      </c>
    </row>
    <row r="675" spans="1:6">
      <c r="A675" s="1819" t="s">
        <v>725</v>
      </c>
      <c r="B675" s="1820" t="s">
        <v>724</v>
      </c>
      <c r="C675" s="1821">
        <v>38813</v>
      </c>
      <c r="D675" s="1067"/>
      <c r="E675" s="535"/>
      <c r="F675" s="1822">
        <v>500</v>
      </c>
    </row>
    <row r="676" spans="1:6">
      <c r="A676" s="1815" t="s">
        <v>729</v>
      </c>
      <c r="B676" s="1816" t="s">
        <v>13420</v>
      </c>
      <c r="C676" s="1817">
        <v>38190</v>
      </c>
      <c r="D676" s="1067"/>
      <c r="E676" s="535"/>
      <c r="F676" s="1818">
        <v>200</v>
      </c>
    </row>
    <row r="677" spans="1:6">
      <c r="A677" s="1819" t="s">
        <v>729</v>
      </c>
      <c r="B677" s="1820" t="s">
        <v>13420</v>
      </c>
      <c r="C677" s="1821">
        <v>38813</v>
      </c>
      <c r="D677" s="1067"/>
      <c r="E677" s="535"/>
      <c r="F677" s="1822">
        <v>500</v>
      </c>
    </row>
    <row r="678" spans="1:6">
      <c r="A678" s="1815" t="s">
        <v>733</v>
      </c>
      <c r="B678" s="1816" t="s">
        <v>13421</v>
      </c>
      <c r="C678" s="1817">
        <v>38190</v>
      </c>
      <c r="D678" s="1067"/>
      <c r="E678" s="535"/>
      <c r="F678" s="1818">
        <v>200</v>
      </c>
    </row>
    <row r="679" spans="1:6">
      <c r="A679" s="1819" t="s">
        <v>733</v>
      </c>
      <c r="B679" s="1820" t="s">
        <v>13421</v>
      </c>
      <c r="C679" s="1821">
        <v>38813</v>
      </c>
      <c r="D679" s="1067"/>
      <c r="E679" s="535"/>
      <c r="F679" s="1822">
        <v>500</v>
      </c>
    </row>
    <row r="680" spans="1:6">
      <c r="A680" s="1815" t="s">
        <v>740</v>
      </c>
      <c r="B680" s="1816" t="s">
        <v>13423</v>
      </c>
      <c r="C680" s="1817">
        <v>38190</v>
      </c>
      <c r="D680" s="1067"/>
      <c r="E680" s="535"/>
      <c r="F680" s="1818">
        <v>200</v>
      </c>
    </row>
    <row r="681" spans="1:6">
      <c r="A681" s="1819" t="s">
        <v>740</v>
      </c>
      <c r="B681" s="1820" t="s">
        <v>13423</v>
      </c>
      <c r="C681" s="1821">
        <v>38813</v>
      </c>
      <c r="D681" s="1067"/>
      <c r="E681" s="535"/>
      <c r="F681" s="1822">
        <v>500</v>
      </c>
    </row>
    <row r="682" spans="1:6">
      <c r="A682" s="1815" t="s">
        <v>744</v>
      </c>
      <c r="B682" s="1816" t="s">
        <v>13424</v>
      </c>
      <c r="C682" s="1817">
        <v>38190</v>
      </c>
      <c r="D682" s="1067"/>
      <c r="E682" s="535"/>
      <c r="F682" s="1818">
        <v>200</v>
      </c>
    </row>
    <row r="683" spans="1:6">
      <c r="A683" s="1819" t="s">
        <v>744</v>
      </c>
      <c r="B683" s="1820" t="s">
        <v>13424</v>
      </c>
      <c r="C683" s="1821">
        <v>38813</v>
      </c>
      <c r="D683" s="1067"/>
      <c r="E683" s="535"/>
      <c r="F683" s="1822">
        <v>500</v>
      </c>
    </row>
    <row r="684" spans="1:6">
      <c r="A684" s="1815" t="s">
        <v>749</v>
      </c>
      <c r="B684" s="1816" t="s">
        <v>13425</v>
      </c>
      <c r="C684" s="1817">
        <v>38190</v>
      </c>
      <c r="D684" s="1067"/>
      <c r="E684" s="535"/>
      <c r="F684" s="1818">
        <v>200</v>
      </c>
    </row>
    <row r="685" spans="1:6">
      <c r="A685" s="1819" t="s">
        <v>749</v>
      </c>
      <c r="B685" s="1820" t="s">
        <v>13425</v>
      </c>
      <c r="C685" s="1821">
        <v>38813</v>
      </c>
      <c r="D685" s="1067"/>
      <c r="E685" s="535"/>
      <c r="F685" s="1822">
        <v>500</v>
      </c>
    </row>
    <row r="686" spans="1:6">
      <c r="A686" s="1815" t="s">
        <v>12274</v>
      </c>
      <c r="B686" s="1816" t="s">
        <v>13426</v>
      </c>
      <c r="C686" s="1817">
        <v>38190</v>
      </c>
      <c r="D686" s="1067"/>
      <c r="E686" s="535"/>
      <c r="F686" s="1818">
        <v>200</v>
      </c>
    </row>
    <row r="687" spans="1:6">
      <c r="A687" s="1819" t="s">
        <v>12274</v>
      </c>
      <c r="B687" s="1820" t="s">
        <v>13426</v>
      </c>
      <c r="C687" s="1821">
        <v>38813</v>
      </c>
      <c r="D687" s="1067"/>
      <c r="E687" s="535"/>
      <c r="F687" s="1822">
        <v>250</v>
      </c>
    </row>
    <row r="688" spans="1:6">
      <c r="A688" s="1815" t="s">
        <v>12276</v>
      </c>
      <c r="B688" s="1816" t="s">
        <v>751</v>
      </c>
      <c r="C688" s="1817">
        <v>38190</v>
      </c>
      <c r="D688" s="1067"/>
      <c r="E688" s="535"/>
      <c r="F688" s="1818">
        <v>200</v>
      </c>
    </row>
    <row r="689" spans="1:6">
      <c r="A689" s="1819" t="s">
        <v>12276</v>
      </c>
      <c r="B689" s="1820" t="s">
        <v>751</v>
      </c>
      <c r="C689" s="1821">
        <v>38813</v>
      </c>
      <c r="D689" s="1067"/>
      <c r="E689" s="535"/>
      <c r="F689" s="1822">
        <v>500</v>
      </c>
    </row>
    <row r="690" spans="1:6">
      <c r="A690" s="1815" t="s">
        <v>12286</v>
      </c>
      <c r="B690" s="837" t="s">
        <v>13428</v>
      </c>
      <c r="C690" s="1817">
        <v>38190</v>
      </c>
      <c r="E690" s="535"/>
      <c r="F690" s="1818">
        <v>200</v>
      </c>
    </row>
    <row r="691" spans="1:6">
      <c r="A691" s="1819" t="s">
        <v>12286</v>
      </c>
      <c r="B691" s="1698" t="s">
        <v>13428</v>
      </c>
      <c r="C691" s="1821">
        <v>38813</v>
      </c>
      <c r="E691" s="535"/>
      <c r="F691" s="1822">
        <v>500</v>
      </c>
    </row>
    <row r="692" spans="1:6">
      <c r="A692" s="1815" t="s">
        <v>10883</v>
      </c>
      <c r="B692" s="837" t="s">
        <v>13429</v>
      </c>
      <c r="C692" s="1817">
        <v>38190</v>
      </c>
      <c r="E692" s="535"/>
      <c r="F692" s="1818">
        <v>200</v>
      </c>
    </row>
    <row r="693" spans="1:6">
      <c r="A693" s="1819" t="s">
        <v>10883</v>
      </c>
      <c r="B693" s="1698" t="s">
        <v>13429</v>
      </c>
      <c r="C693" s="1821">
        <v>38813</v>
      </c>
      <c r="E693" s="535"/>
      <c r="F693" s="1822">
        <v>500</v>
      </c>
    </row>
    <row r="694" spans="1:6">
      <c r="A694" s="1815" t="s">
        <v>10884</v>
      </c>
      <c r="B694" s="1816" t="s">
        <v>13426</v>
      </c>
      <c r="C694" s="1817">
        <v>38190</v>
      </c>
      <c r="E694" s="535"/>
      <c r="F694" s="1818">
        <v>200</v>
      </c>
    </row>
    <row r="695" spans="1:6">
      <c r="A695" s="1819" t="s">
        <v>10884</v>
      </c>
      <c r="B695" s="1820" t="s">
        <v>13426</v>
      </c>
      <c r="C695" s="1821">
        <v>38813</v>
      </c>
      <c r="E695" s="535"/>
      <c r="F695" s="1822">
        <v>250</v>
      </c>
    </row>
    <row r="696" spans="1:6">
      <c r="A696" s="1815" t="s">
        <v>10885</v>
      </c>
      <c r="B696" s="1816" t="s">
        <v>751</v>
      </c>
      <c r="C696" s="1817">
        <v>38190</v>
      </c>
      <c r="E696" s="535"/>
      <c r="F696" s="1818">
        <v>200</v>
      </c>
    </row>
    <row r="697" spans="1:6">
      <c r="A697" s="1819" t="s">
        <v>10885</v>
      </c>
      <c r="B697" s="1820" t="s">
        <v>751</v>
      </c>
      <c r="C697" s="1821">
        <v>38813</v>
      </c>
      <c r="E697" s="535"/>
      <c r="F697" s="1822">
        <v>500</v>
      </c>
    </row>
    <row r="707" spans="2:3">
      <c r="B707" s="536" t="s">
        <v>13475</v>
      </c>
      <c r="C707" s="853">
        <v>2000</v>
      </c>
    </row>
    <row r="708" spans="2:3">
      <c r="B708" s="534" t="s">
        <v>13476</v>
      </c>
      <c r="C708" s="1486" t="s">
        <v>13477</v>
      </c>
    </row>
    <row r="709" spans="2:3">
      <c r="B709" s="534" t="s">
        <v>13478</v>
      </c>
      <c r="C709" s="1829" t="s">
        <v>13479</v>
      </c>
    </row>
    <row r="711" spans="2:3">
      <c r="B711" s="534" t="s">
        <v>13480</v>
      </c>
      <c r="C711" s="851" t="s">
        <v>822</v>
      </c>
    </row>
    <row r="712" spans="2:3">
      <c r="B712" s="534" t="s">
        <v>13481</v>
      </c>
      <c r="C712" s="851" t="s">
        <v>13482</v>
      </c>
    </row>
    <row r="713" spans="2:3">
      <c r="B713" s="534" t="s">
        <v>13483</v>
      </c>
      <c r="C713" s="851" t="s">
        <v>13484</v>
      </c>
    </row>
    <row r="714" spans="2:3">
      <c r="B714" s="534" t="s">
        <v>13485</v>
      </c>
      <c r="C714" s="851" t="s">
        <v>13486</v>
      </c>
    </row>
    <row r="717" spans="2:3">
      <c r="C717" s="1486" t="str">
        <f>LEFT(C$709,1)</f>
        <v>v</v>
      </c>
    </row>
    <row r="718" spans="2:3">
      <c r="B718" s="539"/>
      <c r="C718" s="1486" t="str">
        <f>MID(C$709,2,1)</f>
        <v>2</v>
      </c>
    </row>
    <row r="719" spans="2:3">
      <c r="C719" s="1486" t="str">
        <f>MID(C$709,3,1)</f>
        <v>2</v>
      </c>
    </row>
    <row r="720" spans="2:3">
      <c r="B720" s="539"/>
      <c r="C720" s="1486" t="str">
        <f>MID(C$709,4,1)</f>
        <v>2</v>
      </c>
    </row>
    <row r="721" spans="1:3">
      <c r="C721" s="1486" t="str">
        <f>MID(C$709,5,1)</f>
        <v>r</v>
      </c>
    </row>
    <row r="722" spans="1:3">
      <c r="B722" s="1489"/>
      <c r="C722" s="1486">
        <v>1</v>
      </c>
    </row>
    <row r="723" spans="1:3">
      <c r="B723" s="1489"/>
      <c r="C723" s="1486">
        <f>IF(LEN(C$709)&gt;6,MID(C$709,7,1),0)</f>
        <v>0</v>
      </c>
    </row>
    <row r="724" spans="1:3">
      <c r="B724" s="1489"/>
      <c r="C724" s="1486">
        <f>IF(LEN(C$709)&gt;7,MID(C$709,8,1),0)</f>
        <v>0</v>
      </c>
    </row>
    <row r="725" spans="1:3">
      <c r="B725" s="1684" t="s">
        <v>13487</v>
      </c>
      <c r="C725" s="1685">
        <f>ROUND((CODE(LEFT(C$709,1))+CODE(MID(C$709,2,1))+CODE(MID(C$709,3,1))+CODE(MID(C$709,4,1))+CODE(MID(C$709,5,1))+CODE(MID(C$709,6,1))+CODE(IF(LEN(C$709)&gt;6,MID(C$709,7,1),0))+CODE(IF(LEN(C$709)&gt;7,MID(C$709,8,1),0)))*PI()*10000,0)</f>
        <v>16524777</v>
      </c>
    </row>
    <row r="728" spans="1:3">
      <c r="A728" s="530" t="s">
        <v>13488</v>
      </c>
      <c r="B728" s="539" t="str">
        <f ca="1">MID(CELL("filename",A1),FIND("[",CELL("filename",A1))+1,FIND("]",CELL("filename",A1))-FIND("[",CELL("filename",A1))-1)</f>
        <v>2025_04_30_EF_HAWKS.xlsm</v>
      </c>
    </row>
  </sheetData>
  <phoneticPr fontId="7" type="noConversion"/>
  <conditionalFormatting sqref="E667">
    <cfRule type="cellIs" dxfId="4" priority="1" stopIfTrue="1" operator="notEqual">
      <formula>2000</formula>
    </cfRule>
  </conditionalFormatting>
  <conditionalFormatting sqref="E668:E669 F669">
    <cfRule type="cellIs" dxfId="3" priority="2" stopIfTrue="1" operator="notEqual">
      <formula>25</formula>
    </cfRule>
  </conditionalFormatting>
  <conditionalFormatting sqref="E670">
    <cfRule type="cellIs" dxfId="2" priority="3" stopIfTrue="1" operator="notEqual">
      <formula>25</formula>
    </cfRule>
  </conditionalFormatting>
  <conditionalFormatting sqref="F667 F670">
    <cfRule type="cellIs" dxfId="1" priority="4" stopIfTrue="1" operator="notEqual">
      <formula>300000</formula>
    </cfRule>
  </conditionalFormatting>
  <conditionalFormatting sqref="F668">
    <cfRule type="cellIs" dxfId="0" priority="5" stopIfTrue="1" operator="notEqual">
      <formula>100000</formula>
    </cfRule>
  </conditionalFormatting>
  <printOptions horizontalCentered="1" gridLines="1"/>
  <pageMargins left="0" right="0" top="0" bottom="0" header="0" footer="0.5"/>
  <pageSetup scale="17" fitToWidth="9" fitToHeight="2" orientation="landscape"/>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81">
    <pageSetUpPr fitToPage="1"/>
  </sheetPr>
  <dimension ref="A1:IV103"/>
  <sheetViews>
    <sheetView showRowColHeaders="0" workbookViewId="0"/>
  </sheetViews>
  <sheetFormatPr baseColWidth="10" defaultColWidth="8.7265625" defaultRowHeight="15" customHeight="1"/>
  <cols>
    <col min="1" max="1" width="4.81640625" customWidth="1"/>
    <col min="2" max="2" width="96.54296875" customWidth="1"/>
    <col min="3" max="3" width="8.81640625" customWidth="1"/>
    <col min="11" max="11" width="108.54296875" bestFit="1" customWidth="1"/>
    <col min="12" max="12" width="52.1796875" customWidth="1"/>
    <col min="13" max="13" width="13.81640625" bestFit="1" customWidth="1"/>
    <col min="14" max="26" width="3" customWidth="1"/>
    <col min="27" max="27" width="66.54296875" style="30" customWidth="1"/>
  </cols>
  <sheetData>
    <row r="1" spans="1:28" ht="25.5">
      <c r="B1" s="2149" t="s">
        <v>13489</v>
      </c>
      <c r="C1" s="748"/>
      <c r="D1" s="748" t="s">
        <v>13490</v>
      </c>
      <c r="F1" s="13"/>
      <c r="K1" s="2855" t="s">
        <v>13491</v>
      </c>
      <c r="L1" s="2856"/>
      <c r="AA1" s="1325" t="s">
        <v>13492</v>
      </c>
      <c r="AB1">
        <v>29</v>
      </c>
    </row>
    <row r="2" spans="1:28" ht="25">
      <c r="A2">
        <f>ROW()</f>
        <v>2</v>
      </c>
      <c r="B2" s="783" t="s">
        <v>13493</v>
      </c>
      <c r="D2" s="13">
        <v>0</v>
      </c>
      <c r="K2" s="1404" t="str">
        <f>Tot_Crit_Errors&amp;" ERREUR(S) IRRÉCUPÉRABLE(S) [souligné en rouge] et
"&amp;Tot_NonCrit_Errors&amp;" ERREUR(S) MINEURE(S) [souligné en jaune]
ont été captées!"</f>
        <v>0 ERREUR(S) IRRÉCUPÉRABLE(S) [souligné en rouge] et
6 ERREUR(S) MINEURE(S) [souligné en jaune]
ont été captées!</v>
      </c>
      <c r="L2" s="1402"/>
      <c r="AA2" s="30" t="s">
        <v>13494</v>
      </c>
    </row>
    <row r="3" spans="1:28" ht="37.5">
      <c r="A3">
        <f>ROW()</f>
        <v>3</v>
      </c>
      <c r="B3" s="783" t="s">
        <v>13495</v>
      </c>
      <c r="D3" s="13">
        <v>0</v>
      </c>
      <c r="K3" s="1404" t="s">
        <v>13496</v>
      </c>
      <c r="L3" s="1402" t="s">
        <v>13497</v>
      </c>
      <c r="AA3" s="30" t="s">
        <v>15711</v>
      </c>
    </row>
    <row r="4" spans="1:28" ht="30" customHeight="1">
      <c r="A4">
        <f>ROW()</f>
        <v>4</v>
      </c>
      <c r="B4" s="783" t="s">
        <v>13498</v>
      </c>
      <c r="D4" s="13">
        <v>0</v>
      </c>
      <c r="K4" s="1405" t="str">
        <f>"Ce rapport est pour la soumission des données pour . Prière de vous assurer de télécharger la dernière version du chiffrier de TBEdit du site web de DBI."</f>
        <v>Ce rapport est pour la soumission des données pour . Prière de vous assurer de télécharger la dernière version du chiffrier de TBEdit du site web de DBI.</v>
      </c>
      <c r="L4" s="1402" t="s">
        <v>13499</v>
      </c>
      <c r="AA4" s="2561" t="s">
        <v>15712</v>
      </c>
    </row>
    <row r="5" spans="1:28" ht="37.5">
      <c r="A5">
        <f>ROW()</f>
        <v>5</v>
      </c>
      <c r="B5" s="783" t="s">
        <v>13500</v>
      </c>
      <c r="D5" s="13">
        <v>0</v>
      </c>
      <c r="K5" s="1405" t="s">
        <v>13501</v>
      </c>
      <c r="L5" s="1402" t="s">
        <v>13502</v>
      </c>
      <c r="AA5" s="30" t="s">
        <v>15713</v>
      </c>
    </row>
    <row r="6" spans="1:28" ht="25">
      <c r="A6">
        <f>ROW()</f>
        <v>6</v>
      </c>
      <c r="B6" s="784" t="s">
        <v>13503</v>
      </c>
      <c r="D6" s="13">
        <v>100</v>
      </c>
      <c r="K6" s="1405" t="s">
        <v>13504</v>
      </c>
      <c r="L6" s="1402"/>
      <c r="AA6" s="30" t="s">
        <v>15714</v>
      </c>
    </row>
    <row r="7" spans="1:28" ht="50">
      <c r="A7">
        <f>ROW()</f>
        <v>7</v>
      </c>
      <c r="B7" s="784" t="s">
        <v>13505</v>
      </c>
      <c r="D7" s="13">
        <v>0</v>
      </c>
      <c r="K7" s="1406" t="s">
        <v>13506</v>
      </c>
      <c r="L7" s="1402"/>
      <c r="AA7" s="30" t="s">
        <v>15715</v>
      </c>
    </row>
    <row r="8" spans="1:28" ht="25">
      <c r="A8">
        <f>ROW()</f>
        <v>8</v>
      </c>
      <c r="B8" s="784" t="s">
        <v>13507</v>
      </c>
      <c r="D8" s="13">
        <v>100</v>
      </c>
      <c r="K8" s="1405" t="s">
        <v>13508</v>
      </c>
      <c r="L8" s="1402"/>
      <c r="AA8" s="30" t="s">
        <v>15716</v>
      </c>
    </row>
    <row r="9" spans="1:28" ht="37.5">
      <c r="A9">
        <f>ROW()</f>
        <v>9</v>
      </c>
      <c r="B9" s="783" t="s">
        <v>13509</v>
      </c>
      <c r="D9" s="13">
        <v>0</v>
      </c>
      <c r="K9" s="1405" t="s">
        <v>13510</v>
      </c>
      <c r="L9" s="1402"/>
      <c r="AA9" s="30" t="s">
        <v>15717</v>
      </c>
    </row>
    <row r="10" spans="1:28" ht="25">
      <c r="A10">
        <f>ROW()</f>
        <v>10</v>
      </c>
      <c r="B10" s="783" t="s">
        <v>13511</v>
      </c>
      <c r="D10" s="13">
        <v>0</v>
      </c>
      <c r="K10" s="1405" t="s">
        <v>13512</v>
      </c>
      <c r="L10" s="1402" t="s">
        <v>13513</v>
      </c>
      <c r="AA10" s="30" t="s">
        <v>15718</v>
      </c>
    </row>
    <row r="11" spans="1:28" ht="25">
      <c r="A11">
        <f>ROW()</f>
        <v>11</v>
      </c>
      <c r="B11" s="784" t="s">
        <v>13514</v>
      </c>
      <c r="D11" s="13">
        <v>100</v>
      </c>
      <c r="K11" s="1405" t="s">
        <v>13515</v>
      </c>
      <c r="L11" s="1402"/>
      <c r="AA11" s="30" t="s">
        <v>15719</v>
      </c>
    </row>
    <row r="12" spans="1:28" ht="100">
      <c r="A12">
        <f>ROW()</f>
        <v>12</v>
      </c>
      <c r="B12" s="784" t="s">
        <v>13516</v>
      </c>
      <c r="D12" s="13">
        <v>100</v>
      </c>
      <c r="K12" s="1405"/>
      <c r="L12" s="1402"/>
      <c r="AA12" s="2561" t="s">
        <v>15720</v>
      </c>
    </row>
    <row r="13" spans="1:28" ht="50">
      <c r="A13">
        <f>ROW()</f>
        <v>13</v>
      </c>
      <c r="B13" s="783" t="s">
        <v>13517</v>
      </c>
      <c r="D13" s="13">
        <v>0</v>
      </c>
      <c r="K13" s="1405" t="s">
        <v>13518</v>
      </c>
      <c r="L13" s="1402"/>
      <c r="AA13" s="30" t="s">
        <v>15721</v>
      </c>
    </row>
    <row r="14" spans="1:28" ht="50">
      <c r="A14">
        <f>ROW()</f>
        <v>14</v>
      </c>
      <c r="B14" s="783" t="s">
        <v>13519</v>
      </c>
      <c r="D14" s="13">
        <v>0</v>
      </c>
      <c r="K14" s="1405" t="s">
        <v>13520</v>
      </c>
      <c r="L14" s="1402" t="s">
        <v>13521</v>
      </c>
      <c r="AA14" s="30" t="s">
        <v>15722</v>
      </c>
    </row>
    <row r="15" spans="1:28" ht="37.5">
      <c r="A15">
        <f>ROW()</f>
        <v>15</v>
      </c>
      <c r="B15" s="783" t="s">
        <v>13522</v>
      </c>
      <c r="D15" s="13">
        <v>0</v>
      </c>
      <c r="K15" s="1405" t="s">
        <v>13523</v>
      </c>
      <c r="L15" s="1402" t="s">
        <v>13524</v>
      </c>
      <c r="AA15" s="30" t="s">
        <v>15723</v>
      </c>
    </row>
    <row r="16" spans="1:28" ht="37.5">
      <c r="A16">
        <f>ROW()</f>
        <v>16</v>
      </c>
      <c r="B16" s="783" t="s">
        <v>13525</v>
      </c>
      <c r="D16" s="13">
        <v>0</v>
      </c>
      <c r="K16" s="1405"/>
      <c r="L16" s="1402" t="s">
        <v>13526</v>
      </c>
      <c r="AA16" s="30" t="s">
        <v>15724</v>
      </c>
    </row>
    <row r="17" spans="1:256" ht="25.5">
      <c r="A17">
        <f>ROW()</f>
        <v>17</v>
      </c>
      <c r="B17" s="783" t="s">
        <v>13527</v>
      </c>
      <c r="C17" s="750"/>
      <c r="D17" s="13">
        <v>0</v>
      </c>
      <c r="F17" s="750"/>
      <c r="G17" s="750"/>
      <c r="H17" s="750"/>
      <c r="I17" s="750"/>
      <c r="J17" s="750"/>
      <c r="K17" s="1405" t="s">
        <v>13528</v>
      </c>
      <c r="L17" s="1402" t="s">
        <v>13529</v>
      </c>
      <c r="M17" s="750"/>
      <c r="N17" s="750"/>
      <c r="O17" s="750"/>
      <c r="P17" s="750"/>
      <c r="Q17" s="750"/>
      <c r="R17" s="750"/>
      <c r="S17" s="750"/>
      <c r="T17" s="750"/>
      <c r="U17" s="750"/>
      <c r="V17" s="750"/>
      <c r="W17" s="750"/>
      <c r="X17" s="750"/>
      <c r="Y17" s="750"/>
      <c r="Z17" s="750"/>
      <c r="AA17" s="785" t="s">
        <v>15725</v>
      </c>
      <c r="AB17" s="750"/>
      <c r="AC17" s="750"/>
      <c r="AD17" s="750"/>
      <c r="AE17" s="750"/>
      <c r="AF17" s="750"/>
      <c r="AG17" s="750"/>
      <c r="AH17" s="750"/>
      <c r="AI17" s="750"/>
      <c r="AJ17" s="750"/>
      <c r="AK17" s="750"/>
      <c r="AL17" s="750"/>
      <c r="AM17" s="750"/>
      <c r="AN17" s="750"/>
      <c r="AO17" s="750"/>
      <c r="AP17" s="750"/>
      <c r="AQ17" s="750"/>
      <c r="AR17" s="750"/>
      <c r="AS17" s="750"/>
      <c r="AT17" s="750"/>
      <c r="AU17" s="750"/>
      <c r="AV17" s="750"/>
      <c r="AW17" s="750"/>
      <c r="AX17" s="750"/>
      <c r="AY17" s="750"/>
      <c r="AZ17" s="750"/>
      <c r="BA17" s="750"/>
      <c r="BB17" s="750"/>
      <c r="BC17" s="750"/>
      <c r="BD17" s="750"/>
      <c r="BE17" s="750"/>
      <c r="BF17" s="750"/>
      <c r="BG17" s="750"/>
      <c r="BH17" s="750"/>
      <c r="BI17" s="750"/>
      <c r="BJ17" s="750"/>
      <c r="BK17" s="750"/>
      <c r="BL17" s="750"/>
      <c r="BM17" s="750"/>
      <c r="BN17" s="750"/>
      <c r="BO17" s="750"/>
      <c r="BP17" s="750"/>
      <c r="BQ17" s="750"/>
      <c r="BR17" s="750"/>
      <c r="BS17" s="750"/>
      <c r="BT17" s="750"/>
      <c r="BU17" s="750"/>
      <c r="BV17" s="750"/>
      <c r="BW17" s="750"/>
      <c r="BX17" s="750"/>
      <c r="BY17" s="750"/>
      <c r="BZ17" s="750"/>
      <c r="CA17" s="750"/>
      <c r="CB17" s="750"/>
      <c r="CC17" s="750"/>
      <c r="CD17" s="750"/>
      <c r="CE17" s="750"/>
      <c r="CF17" s="750"/>
      <c r="CG17" s="750"/>
      <c r="CH17" s="750"/>
      <c r="CI17" s="750"/>
      <c r="CJ17" s="750"/>
      <c r="CK17" s="750"/>
      <c r="CL17" s="750"/>
      <c r="CM17" s="750"/>
      <c r="CN17" s="750"/>
      <c r="CO17" s="750"/>
      <c r="CP17" s="750"/>
      <c r="CQ17" s="750"/>
      <c r="CR17" s="750"/>
      <c r="CS17" s="750"/>
      <c r="CT17" s="750"/>
      <c r="CU17" s="750"/>
      <c r="CV17" s="750"/>
      <c r="CW17" s="750"/>
      <c r="CX17" s="750"/>
      <c r="CY17" s="750"/>
      <c r="CZ17" s="750"/>
      <c r="DA17" s="750"/>
      <c r="DB17" s="750"/>
      <c r="DC17" s="750"/>
      <c r="DD17" s="750"/>
      <c r="DE17" s="750"/>
      <c r="DF17" s="750"/>
      <c r="DG17" s="750"/>
      <c r="DH17" s="750"/>
      <c r="DI17" s="750"/>
      <c r="DJ17" s="750"/>
      <c r="DK17" s="750"/>
      <c r="DL17" s="750"/>
      <c r="DM17" s="750"/>
      <c r="DN17" s="750"/>
      <c r="DO17" s="750"/>
      <c r="DP17" s="750"/>
      <c r="DQ17" s="750"/>
      <c r="DR17" s="750"/>
      <c r="DS17" s="750"/>
      <c r="DT17" s="750"/>
      <c r="DU17" s="750"/>
      <c r="DV17" s="750"/>
      <c r="DW17" s="750"/>
      <c r="DX17" s="750"/>
      <c r="DY17" s="750"/>
      <c r="DZ17" s="750"/>
      <c r="EA17" s="750"/>
      <c r="EB17" s="750"/>
      <c r="EC17" s="750"/>
      <c r="ED17" s="750"/>
      <c r="EE17" s="750"/>
      <c r="EF17" s="750"/>
      <c r="EG17" s="750"/>
      <c r="EH17" s="750"/>
      <c r="EI17" s="750"/>
      <c r="EJ17" s="750"/>
      <c r="EK17" s="750"/>
      <c r="EL17" s="750"/>
      <c r="EM17" s="750"/>
      <c r="EN17" s="750"/>
      <c r="EO17" s="750"/>
      <c r="EP17" s="750"/>
      <c r="EQ17" s="750"/>
      <c r="ER17" s="750"/>
      <c r="ES17" s="750"/>
      <c r="ET17" s="750"/>
      <c r="EU17" s="750"/>
      <c r="EV17" s="750"/>
      <c r="EW17" s="750"/>
      <c r="EX17" s="750"/>
      <c r="EY17" s="750"/>
      <c r="EZ17" s="750"/>
      <c r="FA17" s="750"/>
      <c r="FB17" s="750"/>
      <c r="FC17" s="750"/>
      <c r="FD17" s="750"/>
      <c r="FE17" s="750"/>
      <c r="FF17" s="750"/>
      <c r="FG17" s="750"/>
      <c r="FH17" s="750"/>
      <c r="FI17" s="750"/>
      <c r="FJ17" s="750"/>
      <c r="FK17" s="750"/>
      <c r="FL17" s="750"/>
      <c r="FM17" s="750"/>
      <c r="FN17" s="750"/>
      <c r="FO17" s="750"/>
      <c r="FP17" s="750"/>
      <c r="FQ17" s="750"/>
      <c r="FR17" s="750"/>
      <c r="FS17" s="750"/>
      <c r="FT17" s="750"/>
      <c r="FU17" s="750"/>
      <c r="FV17" s="750"/>
      <c r="FW17" s="750"/>
      <c r="FX17" s="750"/>
      <c r="FY17" s="750"/>
      <c r="FZ17" s="750"/>
      <c r="GA17" s="750"/>
      <c r="GB17" s="750"/>
      <c r="GC17" s="750"/>
      <c r="GD17" s="750"/>
      <c r="GE17" s="750"/>
      <c r="GF17" s="750"/>
      <c r="GG17" s="750"/>
      <c r="GH17" s="750"/>
      <c r="GI17" s="750"/>
      <c r="GJ17" s="750"/>
      <c r="GK17" s="750"/>
      <c r="GL17" s="750"/>
      <c r="GM17" s="750"/>
      <c r="GN17" s="750"/>
      <c r="GO17" s="750"/>
      <c r="GP17" s="750"/>
      <c r="GQ17" s="750"/>
      <c r="GR17" s="750"/>
      <c r="GS17" s="750"/>
      <c r="GT17" s="750"/>
      <c r="GU17" s="750"/>
      <c r="GV17" s="750"/>
      <c r="GW17" s="750"/>
      <c r="GX17" s="750"/>
      <c r="GY17" s="750"/>
      <c r="GZ17" s="750"/>
      <c r="HA17" s="750"/>
      <c r="HB17" s="750"/>
      <c r="HC17" s="750"/>
      <c r="HD17" s="750"/>
      <c r="HE17" s="750"/>
      <c r="HF17" s="750"/>
      <c r="HG17" s="750"/>
      <c r="HH17" s="750"/>
      <c r="HI17" s="750"/>
      <c r="HJ17" s="750"/>
      <c r="HK17" s="750"/>
      <c r="HL17" s="750"/>
      <c r="HM17" s="750"/>
      <c r="HN17" s="750"/>
      <c r="HO17" s="750"/>
      <c r="HP17" s="750"/>
      <c r="HQ17" s="750"/>
      <c r="HR17" s="750"/>
      <c r="HS17" s="750"/>
      <c r="HT17" s="750"/>
      <c r="HU17" s="750"/>
      <c r="HV17" s="750"/>
      <c r="HW17" s="750"/>
      <c r="HX17" s="750"/>
      <c r="HY17" s="750"/>
      <c r="HZ17" s="750"/>
      <c r="IA17" s="750"/>
      <c r="IB17" s="750"/>
      <c r="IC17" s="750"/>
      <c r="ID17" s="750"/>
      <c r="IE17" s="750"/>
      <c r="IF17" s="750"/>
      <c r="IG17" s="750"/>
      <c r="IH17" s="750"/>
      <c r="II17" s="750"/>
      <c r="IJ17" s="750"/>
      <c r="IK17" s="750"/>
      <c r="IL17" s="750"/>
      <c r="IM17" s="750"/>
      <c r="IN17" s="750"/>
      <c r="IO17" s="750"/>
      <c r="IP17" s="750"/>
      <c r="IQ17" s="750"/>
      <c r="IR17" s="750"/>
      <c r="IS17" s="750"/>
      <c r="IT17" s="750"/>
      <c r="IU17" s="750"/>
      <c r="IV17" s="750"/>
    </row>
    <row r="18" spans="1:256" ht="12.5">
      <c r="A18">
        <f>ROW()</f>
        <v>18</v>
      </c>
      <c r="B18" s="785" t="s">
        <v>13530</v>
      </c>
      <c r="D18" s="13">
        <v>0</v>
      </c>
      <c r="K18" s="1407" t="s">
        <v>13531</v>
      </c>
      <c r="L18" s="1402" t="s">
        <v>13532</v>
      </c>
      <c r="AA18" s="30" t="s">
        <v>15726</v>
      </c>
    </row>
    <row r="19" spans="1:256" ht="12.5">
      <c r="A19">
        <f>ROW()</f>
        <v>19</v>
      </c>
      <c r="B19" s="786" t="s">
        <v>13533</v>
      </c>
      <c r="D19" s="13">
        <v>0</v>
      </c>
      <c r="K19" s="1405" t="s">
        <v>13534</v>
      </c>
      <c r="L19" s="1402" t="s">
        <v>13535</v>
      </c>
      <c r="AA19" s="30" t="s">
        <v>15727</v>
      </c>
    </row>
    <row r="20" spans="1:256" ht="25">
      <c r="A20">
        <f>ROW()</f>
        <v>20</v>
      </c>
      <c r="B20" s="783" t="s">
        <v>13536</v>
      </c>
      <c r="D20" s="13">
        <v>0</v>
      </c>
      <c r="K20" s="1405" t="s">
        <v>13537</v>
      </c>
      <c r="L20" s="1403" t="s">
        <v>13529</v>
      </c>
      <c r="AA20" s="30" t="s">
        <v>15728</v>
      </c>
    </row>
    <row r="21" spans="1:256" ht="37.5">
      <c r="A21">
        <f>ROW()</f>
        <v>21</v>
      </c>
      <c r="B21" s="787" t="s">
        <v>13538</v>
      </c>
      <c r="D21" s="13">
        <v>0</v>
      </c>
      <c r="K21" s="1405" t="s">
        <v>13539</v>
      </c>
      <c r="L21" s="1402" t="s">
        <v>13540</v>
      </c>
      <c r="AA21" s="30" t="s">
        <v>15729</v>
      </c>
    </row>
    <row r="22" spans="1:256" ht="25">
      <c r="A22">
        <f>ROW()</f>
        <v>22</v>
      </c>
      <c r="B22" s="784" t="s">
        <v>13541</v>
      </c>
      <c r="D22" s="13">
        <v>100</v>
      </c>
      <c r="K22" s="1404" t="s">
        <v>13542</v>
      </c>
      <c r="L22" s="1402" t="s">
        <v>13543</v>
      </c>
      <c r="AA22" s="30" t="s">
        <v>15730</v>
      </c>
    </row>
    <row r="23" spans="1:256" ht="25">
      <c r="A23">
        <f>ROW()</f>
        <v>23</v>
      </c>
      <c r="B23" s="783" t="s">
        <v>13544</v>
      </c>
      <c r="D23" s="13">
        <v>0</v>
      </c>
      <c r="K23" s="1404" t="s">
        <v>13545</v>
      </c>
      <c r="L23" s="1402"/>
      <c r="AA23" s="30" t="s">
        <v>15731</v>
      </c>
    </row>
    <row r="24" spans="1:256" ht="37.5">
      <c r="A24">
        <f>ROW()</f>
        <v>24</v>
      </c>
      <c r="B24" s="787" t="s">
        <v>13546</v>
      </c>
      <c r="D24" s="13">
        <v>0</v>
      </c>
      <c r="K24" s="1404" t="s">
        <v>13547</v>
      </c>
      <c r="L24" s="1402" t="s">
        <v>13548</v>
      </c>
      <c r="AA24" s="30" t="s">
        <v>15732</v>
      </c>
    </row>
    <row r="25" spans="1:256" ht="37.5">
      <c r="A25">
        <f>ROW()</f>
        <v>25</v>
      </c>
      <c r="B25" s="783" t="s">
        <v>13549</v>
      </c>
      <c r="D25" s="13">
        <v>0</v>
      </c>
      <c r="K25" s="1525" t="s">
        <v>13550</v>
      </c>
      <c r="L25" s="1404"/>
      <c r="AA25" s="30" t="s">
        <v>15733</v>
      </c>
    </row>
    <row r="26" spans="1:256" ht="37.5">
      <c r="A26">
        <f>ROW()</f>
        <v>26</v>
      </c>
      <c r="B26" s="783" t="s">
        <v>13551</v>
      </c>
      <c r="D26" s="13">
        <v>0</v>
      </c>
      <c r="K26" s="1526" t="s">
        <v>13552</v>
      </c>
      <c r="L26" s="1404" t="s">
        <v>13553</v>
      </c>
      <c r="AA26" s="30" t="s">
        <v>15734</v>
      </c>
    </row>
    <row r="27" spans="1:256" ht="37.5">
      <c r="A27">
        <f>ROW()</f>
        <v>27</v>
      </c>
      <c r="B27" s="783" t="s">
        <v>13554</v>
      </c>
      <c r="D27" s="13">
        <v>0</v>
      </c>
      <c r="K27" s="1527"/>
      <c r="L27" s="1528" t="s">
        <v>13555</v>
      </c>
      <c r="AA27" s="30" t="s">
        <v>15735</v>
      </c>
    </row>
    <row r="28" spans="1:256" ht="25">
      <c r="A28">
        <f>ROW()</f>
        <v>28</v>
      </c>
      <c r="B28" s="783" t="s">
        <v>13556</v>
      </c>
      <c r="D28" s="13">
        <v>0</v>
      </c>
      <c r="K28" s="2857" t="s">
        <v>13557</v>
      </c>
      <c r="L28" s="2858"/>
      <c r="AA28" s="30" t="s">
        <v>15736</v>
      </c>
    </row>
    <row r="29" spans="1:256" ht="37.5">
      <c r="A29">
        <f>ROW()</f>
        <v>29</v>
      </c>
      <c r="B29" s="783" t="s">
        <v>13558</v>
      </c>
      <c r="D29" s="13">
        <v>0</v>
      </c>
      <c r="K29" s="1662" t="s">
        <v>13559</v>
      </c>
      <c r="L29" s="1663" t="s">
        <v>13560</v>
      </c>
    </row>
    <row r="30" spans="1:256" ht="25">
      <c r="A30">
        <f>ROW()</f>
        <v>30</v>
      </c>
      <c r="B30" s="784" t="s">
        <v>13561</v>
      </c>
      <c r="D30" s="13">
        <v>100</v>
      </c>
      <c r="K30" s="1664" t="s">
        <v>13562</v>
      </c>
      <c r="L30" s="1665" t="s">
        <v>15496</v>
      </c>
    </row>
    <row r="31" spans="1:256" ht="25">
      <c r="A31">
        <f>ROW()</f>
        <v>31</v>
      </c>
      <c r="B31" s="783" t="s">
        <v>13563</v>
      </c>
      <c r="D31" s="13">
        <v>0</v>
      </c>
      <c r="K31" s="1664" t="s">
        <v>13564</v>
      </c>
      <c r="L31" s="1665" t="s">
        <v>15497</v>
      </c>
    </row>
    <row r="32" spans="1:256" ht="25">
      <c r="A32">
        <f>ROW()</f>
        <v>32</v>
      </c>
      <c r="B32" s="784" t="s">
        <v>13565</v>
      </c>
      <c r="D32" s="13">
        <v>100</v>
      </c>
      <c r="K32" s="1666" t="s">
        <v>13566</v>
      </c>
      <c r="L32" s="1665" t="s">
        <v>15497</v>
      </c>
    </row>
    <row r="33" spans="1:12" ht="25">
      <c r="A33">
        <f>ROW()</f>
        <v>33</v>
      </c>
      <c r="B33" s="784" t="s">
        <v>13567</v>
      </c>
      <c r="D33" s="13">
        <v>100</v>
      </c>
      <c r="K33" s="2857" t="s">
        <v>13568</v>
      </c>
      <c r="L33" s="2858"/>
    </row>
    <row r="34" spans="1:12" ht="25">
      <c r="A34">
        <f>ROW()</f>
        <v>34</v>
      </c>
      <c r="B34" s="784" t="s">
        <v>13569</v>
      </c>
      <c r="D34" s="13">
        <v>100</v>
      </c>
      <c r="K34" s="1667" t="s">
        <v>13570</v>
      </c>
      <c r="L34" s="1667" t="s">
        <v>13571</v>
      </c>
    </row>
    <row r="35" spans="1:12" ht="25">
      <c r="A35">
        <f>ROW()</f>
        <v>35</v>
      </c>
      <c r="B35" s="784" t="s">
        <v>13572</v>
      </c>
      <c r="D35" s="13">
        <v>100</v>
      </c>
      <c r="K35" s="1668" t="s">
        <v>13573</v>
      </c>
      <c r="L35" s="1668" t="s">
        <v>13574</v>
      </c>
    </row>
    <row r="36" spans="1:12" ht="37.5">
      <c r="A36">
        <f>ROW()</f>
        <v>36</v>
      </c>
      <c r="B36" s="783" t="s">
        <v>13575</v>
      </c>
      <c r="D36" s="13">
        <v>0</v>
      </c>
      <c r="K36" s="1668"/>
      <c r="L36" s="1668" t="s">
        <v>13576</v>
      </c>
    </row>
    <row r="37" spans="1:12" ht="37.5">
      <c r="A37">
        <f>ROW()</f>
        <v>37</v>
      </c>
      <c r="B37" s="783" t="s">
        <v>13577</v>
      </c>
      <c r="D37" s="13">
        <v>0</v>
      </c>
      <c r="K37" s="1668" t="s">
        <v>13578</v>
      </c>
      <c r="L37" s="1668" t="s">
        <v>13579</v>
      </c>
    </row>
    <row r="38" spans="1:12" ht="37.5">
      <c r="A38">
        <f>ROW()</f>
        <v>38</v>
      </c>
      <c r="B38" s="783" t="s">
        <v>13580</v>
      </c>
      <c r="D38" s="13">
        <v>0</v>
      </c>
      <c r="K38" s="1668" t="s">
        <v>13581</v>
      </c>
      <c r="L38" s="2153" t="s">
        <v>13582</v>
      </c>
    </row>
    <row r="39" spans="1:12" ht="50">
      <c r="A39">
        <f>ROW()</f>
        <v>39</v>
      </c>
      <c r="B39" s="783" t="s">
        <v>13583</v>
      </c>
      <c r="D39" s="13">
        <v>0</v>
      </c>
      <c r="K39" s="1668" t="s">
        <v>13584</v>
      </c>
      <c r="L39" s="1668" t="s">
        <v>13585</v>
      </c>
    </row>
    <row r="40" spans="1:12" ht="50">
      <c r="A40">
        <f>ROW()</f>
        <v>40</v>
      </c>
      <c r="B40" s="783" t="s">
        <v>13586</v>
      </c>
      <c r="D40" s="13">
        <v>0</v>
      </c>
      <c r="K40" s="1668" t="s">
        <v>13587</v>
      </c>
      <c r="L40" s="1668" t="s">
        <v>13588</v>
      </c>
    </row>
    <row r="41" spans="1:12" ht="37.5">
      <c r="A41">
        <f>ROW()</f>
        <v>41</v>
      </c>
      <c r="B41" s="783" t="s">
        <v>13589</v>
      </c>
      <c r="D41" s="13">
        <v>0</v>
      </c>
      <c r="K41" s="1668" t="s">
        <v>13590</v>
      </c>
      <c r="L41" s="1668" t="s">
        <v>13591</v>
      </c>
    </row>
    <row r="42" spans="1:12" ht="37.5">
      <c r="A42">
        <f>ROW()</f>
        <v>42</v>
      </c>
      <c r="B42" s="783" t="s">
        <v>13592</v>
      </c>
      <c r="D42" s="13">
        <v>0</v>
      </c>
      <c r="K42" s="1668" t="s">
        <v>13593</v>
      </c>
      <c r="L42" s="1668" t="s">
        <v>13594</v>
      </c>
    </row>
    <row r="43" spans="1:12" ht="37.5">
      <c r="A43">
        <f>ROW()</f>
        <v>43</v>
      </c>
      <c r="B43" s="783" t="s">
        <v>13595</v>
      </c>
      <c r="D43" s="13">
        <v>0</v>
      </c>
      <c r="K43" s="1668" t="s">
        <v>13596</v>
      </c>
      <c r="L43" s="1668" t="s">
        <v>13597</v>
      </c>
    </row>
    <row r="44" spans="1:12" ht="37.5">
      <c r="A44">
        <f>ROW()</f>
        <v>44</v>
      </c>
      <c r="B44" s="783" t="s">
        <v>13598</v>
      </c>
      <c r="D44" s="13">
        <v>0</v>
      </c>
      <c r="K44" s="1668" t="s">
        <v>13599</v>
      </c>
      <c r="L44" s="1668" t="s">
        <v>13600</v>
      </c>
    </row>
    <row r="45" spans="1:12" ht="37.5">
      <c r="A45">
        <f>ROW()</f>
        <v>45</v>
      </c>
      <c r="B45" s="783" t="s">
        <v>13601</v>
      </c>
      <c r="D45" s="13">
        <v>0</v>
      </c>
      <c r="K45" s="1669" t="s">
        <v>13602</v>
      </c>
      <c r="L45" s="1669"/>
    </row>
    <row r="46" spans="1:12" ht="37.5">
      <c r="A46">
        <f>ROW()</f>
        <v>46</v>
      </c>
      <c r="B46" s="783" t="s">
        <v>13603</v>
      </c>
      <c r="D46" s="13">
        <v>0</v>
      </c>
      <c r="K46" s="2857" t="s">
        <v>13604</v>
      </c>
      <c r="L46" s="2858"/>
    </row>
    <row r="47" spans="1:12" ht="37.5">
      <c r="A47">
        <f>ROW()</f>
        <v>47</v>
      </c>
      <c r="B47" s="783" t="s">
        <v>13605</v>
      </c>
      <c r="D47" s="13">
        <v>0</v>
      </c>
      <c r="K47" s="1667" t="s">
        <v>13606</v>
      </c>
      <c r="L47" s="1667" t="s">
        <v>13607</v>
      </c>
    </row>
    <row r="48" spans="1:12" ht="37.5">
      <c r="A48">
        <f>ROW()</f>
        <v>48</v>
      </c>
      <c r="B48" s="783" t="s">
        <v>13608</v>
      </c>
      <c r="D48" s="13">
        <v>0</v>
      </c>
      <c r="K48" s="1668" t="s">
        <v>13609</v>
      </c>
      <c r="L48" s="1668"/>
    </row>
    <row r="49" spans="1:12" ht="37.5">
      <c r="A49">
        <f>ROW()</f>
        <v>49</v>
      </c>
      <c r="B49" s="783" t="s">
        <v>13610</v>
      </c>
      <c r="D49" s="13">
        <v>0</v>
      </c>
      <c r="K49" s="1668" t="s">
        <v>13611</v>
      </c>
      <c r="L49" s="1668"/>
    </row>
    <row r="50" spans="1:12" ht="37.5">
      <c r="A50">
        <f>ROW()</f>
        <v>50</v>
      </c>
      <c r="B50" s="783" t="s">
        <v>13612</v>
      </c>
      <c r="D50" s="13">
        <v>0</v>
      </c>
      <c r="K50" s="1668" t="s">
        <v>13613</v>
      </c>
      <c r="L50" s="1668"/>
    </row>
    <row r="51" spans="1:12" ht="50">
      <c r="A51">
        <f>ROW()</f>
        <v>51</v>
      </c>
      <c r="B51" s="783" t="s">
        <v>13614</v>
      </c>
      <c r="D51" s="13">
        <v>0</v>
      </c>
      <c r="K51" s="1668" t="s">
        <v>13615</v>
      </c>
      <c r="L51" s="1668"/>
    </row>
    <row r="52" spans="1:12" ht="37.5">
      <c r="A52">
        <f>ROW()</f>
        <v>52</v>
      </c>
      <c r="B52" s="783" t="s">
        <v>13616</v>
      </c>
      <c r="D52" s="13">
        <v>0</v>
      </c>
      <c r="K52" s="1668" t="s">
        <v>13617</v>
      </c>
      <c r="L52" s="1668"/>
    </row>
    <row r="53" spans="1:12" ht="37.5">
      <c r="A53">
        <f>ROW()</f>
        <v>53</v>
      </c>
      <c r="B53" s="783" t="s">
        <v>13618</v>
      </c>
      <c r="D53" s="13">
        <v>0</v>
      </c>
      <c r="K53" s="1668" t="s">
        <v>13619</v>
      </c>
      <c r="L53" s="1668"/>
    </row>
    <row r="54" spans="1:12" ht="50">
      <c r="A54">
        <f>ROW()</f>
        <v>54</v>
      </c>
      <c r="B54" s="783" t="s">
        <v>13620</v>
      </c>
      <c r="D54" s="13">
        <v>0</v>
      </c>
      <c r="K54" s="1668" t="str">
        <f>Tot_Crit_Errors&amp;" erreur(s) critique(s) et "&amp;Tot_NonCrit_Errors&amp;" erreur(s) non critique(s) repérée(s)"</f>
        <v>0 erreur(s) critique(s) et 6 erreur(s) non critique(s) repérée(s)</v>
      </c>
      <c r="L54" s="1668"/>
    </row>
    <row r="55" spans="1:12" ht="37.5">
      <c r="A55">
        <f>ROW()</f>
        <v>55</v>
      </c>
      <c r="B55" s="783" t="s">
        <v>13621</v>
      </c>
      <c r="D55" s="13">
        <v>0</v>
      </c>
      <c r="K55" s="1668" t="s">
        <v>13622</v>
      </c>
      <c r="L55" s="1668"/>
    </row>
    <row r="56" spans="1:12" ht="37.5">
      <c r="A56">
        <f>ROW()</f>
        <v>56</v>
      </c>
      <c r="B56" s="783" t="s">
        <v>13623</v>
      </c>
      <c r="D56" s="13">
        <v>0</v>
      </c>
      <c r="K56" s="1668" t="str">
        <f ca="1">Minus_Accuracy_Pts&amp;" Points d'exactitude seront déduits."</f>
        <v>1000 Points d'exactitude seront déduits.</v>
      </c>
      <c r="L56" s="1668"/>
    </row>
    <row r="57" spans="1:12" ht="37.5">
      <c r="A57">
        <f>ROW()</f>
        <v>57</v>
      </c>
      <c r="B57" s="783" t="s">
        <v>13624</v>
      </c>
      <c r="D57" s="13">
        <v>0</v>
      </c>
      <c r="K57" s="1670"/>
      <c r="L57" s="1670"/>
    </row>
    <row r="58" spans="1:12" ht="37.5">
      <c r="A58">
        <f>ROW()</f>
        <v>58</v>
      </c>
      <c r="B58" s="783" t="s">
        <v>13625</v>
      </c>
      <c r="D58" s="13">
        <v>0</v>
      </c>
      <c r="K58" s="1671" t="s">
        <v>13626</v>
      </c>
      <c r="L58" s="1672" t="s">
        <v>13627</v>
      </c>
    </row>
    <row r="59" spans="1:12" ht="37.5">
      <c r="A59">
        <f>ROW()</f>
        <v>59</v>
      </c>
      <c r="B59" s="783" t="s">
        <v>13628</v>
      </c>
      <c r="D59" s="13">
        <v>0</v>
      </c>
      <c r="K59" s="1671" t="s">
        <v>13629</v>
      </c>
      <c r="L59" s="1672" t="b">
        <v>0</v>
      </c>
    </row>
    <row r="60" spans="1:12" ht="25">
      <c r="A60">
        <f>ROW()</f>
        <v>60</v>
      </c>
      <c r="B60" s="784" t="s">
        <v>13630</v>
      </c>
      <c r="D60" s="13">
        <v>200</v>
      </c>
      <c r="K60" s="2857" t="s">
        <v>13631</v>
      </c>
      <c r="L60" s="2858"/>
    </row>
    <row r="61" spans="1:12" ht="75">
      <c r="A61">
        <f>ROW()</f>
        <v>61</v>
      </c>
      <c r="B61" s="783" t="s">
        <v>13632</v>
      </c>
      <c r="D61" s="13">
        <v>0</v>
      </c>
      <c r="K61" s="1673" t="str">
        <f>"******* ATTENTION – Le mois soumis non valide *******
Les données que vous importez de votre « fournisseur de système » ne semblent pas porter un mois de soumission valide.
Le mois de soumission  de la balance de vérification est "&amp;Page1!E8&amp;" "&amp;Page1!G8&amp;".
Veuillez communiquer avec votre « fournisseur de système » pour entrer un mois de soumission valide dans le fichier d'entrée."</f>
        <v>******* ATTENTION – Le mois soumis non valide *******
Les données que vous importez de votre « fournisseur de système » ne semblent pas porter un mois de soumission valide.
Le mois de soumission  de la balance de vérification est Avril 2025.
Veuillez communiquer avec votre « fournisseur de système » pour entrer un mois de soumission valide dans le fichier d'entrée.</v>
      </c>
      <c r="L61" s="1674" t="s">
        <v>13633</v>
      </c>
    </row>
    <row r="62" spans="1:12" ht="87.5">
      <c r="A62">
        <f>ROW()</f>
        <v>62</v>
      </c>
      <c r="B62" s="783" t="s">
        <v>13634</v>
      </c>
      <c r="D62" s="13">
        <v>0</v>
      </c>
      <c r="K62" s="1675" t="str">
        <f>"******* ATTENTION – BAC non valide *******
Le code d'associé commercial (BAC) pour les données que vous importez de votre « fournisseur de système » semble être non valide.
Le BAC correspondant à cette balance de vérification est le : " &amp;Page1!C6&amp;".
Veuillez communiquer avec votre « fournisseur de système » pour entrer un BAC valide dans le fichier d'entrée."</f>
        <v>******* ATTENTION – BAC non valide *******
Le code d'associé commercial (BAC) pour les données que vous importez de votre « fournisseur de système » semble être non valide.
Le BAC correspondant à cette balance de vérification est le : 319719.
Veuillez communiquer avec votre « fournisseur de système » pour entrer un BAC valide dans le fichier d'entrée.</v>
      </c>
      <c r="L62" s="1676"/>
    </row>
    <row r="63" spans="1:12" ht="112.5">
      <c r="A63">
        <f>ROW()</f>
        <v>63</v>
      </c>
      <c r="B63" s="783" t="s">
        <v>13635</v>
      </c>
      <c r="D63" s="13">
        <v>0</v>
      </c>
      <c r="K63" s="1675" t="str">
        <f>"*******  AVERTISSEMENT – Le mois soumis non valide *******
Le mois soumis pour les données que vous importez de votre « fournisseur de système » ne semble pas correspondre à celui des données que vous tentez de soumettre.
La date " &amp;"de transfert des soumissions correspondant à la balance de vérification est établie au mois de : "&amp;Page1!E8&amp;" "&amp;Page1!G8&amp;". Les données que vous importez sont pour le mois de : "&amp;rngDSPFileDate&amp;".
Veuillez fermer le tableur Excel sans sauvergarder vos résultats et importer de votre « fournisseur de système » les nouvelles données qui correspondent au mois de soumissions valide."</f>
        <v>*******  AVERTISSEMENT – Le mois soumis non valide *******
Le mois soumis pour les données que vous importez de votre « fournisseur de système » ne semble pas correspondre à celui des données que vous tentez de soumettre.
La date de transfert des soumissions correspondant à la balance de vérification est établie au mois de : Avril 2025. Les données que vous importez sont pour le mois de : .
Veuillez fermer le tableur Excel sans sauvergarder vos résultats et importer de votre « fournisseur de système » les nouvelles données qui correspondent au mois de soumissions valide.</v>
      </c>
      <c r="L63" s="1677" t="s">
        <v>15494</v>
      </c>
    </row>
    <row r="64" spans="1:12" ht="100">
      <c r="A64">
        <f>ROW()</f>
        <v>64</v>
      </c>
      <c r="B64" s="2558" t="s">
        <v>13636</v>
      </c>
      <c r="D64" s="13">
        <v>0</v>
      </c>
      <c r="K64" s="1678" t="str">
        <f>"******* AVERTISSEMENT –  BAC non valide *******
Le code d'associé commercial (BAC) correspondant aux données que vous importez de votre « fournisseur de système » ne semble pas correspondre à celui des données que vous tentez de soumettre. " &amp;"
Le BAC correspondant à cette balance de vérification est le "&amp;rngDSPFileBAC&amp;".  Les données que vous importez sont pour le BAC : "&amp;Page1!C6&amp;".
Veuillez fermer le tableur Excel sans sauvergarder vos résultats et importer de votre « fournisseur de système » les nouvelles données qui correspondent au bon BAC."</f>
        <v>******* AVERTISSEMENT –  BAC non valide *******
Le code d'associé commercial (BAC) correspondant aux données que vous importez de votre « fournisseur de système » ne semble pas correspondre à celui des données que vous tentez de soumettre. 
Le BAC correspondant à cette balance de vérification est le .  Les données que vous importez sont pour le BAC : 319719.
Veuillez fermer le tableur Excel sans sauvergarder vos résultats et importer de votre « fournisseur de système » les nouvelles données qui correspondent au bon BAC.</v>
      </c>
      <c r="L64" s="1679" t="s">
        <v>15494</v>
      </c>
    </row>
    <row r="65" spans="1:12" ht="37.5">
      <c r="A65">
        <f>ROW()</f>
        <v>65</v>
      </c>
      <c r="B65" s="2558" t="s">
        <v>13637</v>
      </c>
      <c r="D65" s="13">
        <v>0</v>
      </c>
      <c r="K65" s="1680" t="s">
        <v>13638</v>
      </c>
      <c r="L65" s="1681" t="s">
        <v>13639</v>
      </c>
    </row>
    <row r="66" spans="1:12" ht="25">
      <c r="A66">
        <f>ROW()</f>
        <v>66</v>
      </c>
      <c r="B66" s="784" t="s">
        <v>13640</v>
      </c>
      <c r="D66" s="13">
        <v>200</v>
      </c>
      <c r="K66" s="1682" t="s">
        <v>13641</v>
      </c>
      <c r="L66" s="1683"/>
    </row>
    <row r="67" spans="1:12" ht="25">
      <c r="A67">
        <f>ROW()</f>
        <v>67</v>
      </c>
      <c r="B67" s="784" t="s">
        <v>13642</v>
      </c>
      <c r="D67" s="13">
        <v>600</v>
      </c>
      <c r="K67" s="1686" t="s">
        <v>13643</v>
      </c>
      <c r="L67" s="1687" t="b">
        <v>0</v>
      </c>
    </row>
    <row r="68" spans="1:12" ht="50">
      <c r="A68">
        <f>ROW()</f>
        <v>68</v>
      </c>
      <c r="B68" s="783" t="s">
        <v>13644</v>
      </c>
      <c r="D68" s="13">
        <v>0</v>
      </c>
      <c r="K68" s="1778" t="s">
        <v>13645</v>
      </c>
      <c r="L68" s="1779" t="s">
        <v>13646</v>
      </c>
    </row>
    <row r="69" spans="1:12" ht="25">
      <c r="A69">
        <f>ROW()</f>
        <v>69</v>
      </c>
      <c r="B69" s="783" t="s">
        <v>13647</v>
      </c>
      <c r="D69" s="13">
        <v>0</v>
      </c>
      <c r="K69" s="1780" t="s">
        <v>13648</v>
      </c>
      <c r="L69" s="1781" t="s">
        <v>13649</v>
      </c>
    </row>
    <row r="70" spans="1:12" ht="62.5">
      <c r="A70">
        <f>ROW()</f>
        <v>70</v>
      </c>
      <c r="B70" s="783" t="s">
        <v>13650</v>
      </c>
      <c r="D70" s="13">
        <v>0</v>
      </c>
      <c r="K70" s="2857" t="s">
        <v>13651</v>
      </c>
      <c r="L70" s="2858"/>
    </row>
    <row r="71" spans="1:12" ht="37.5">
      <c r="A71">
        <f>ROW()</f>
        <v>71</v>
      </c>
      <c r="B71" s="783" t="s">
        <v>13652</v>
      </c>
      <c r="D71" s="13">
        <v>0</v>
      </c>
      <c r="K71" s="1784">
        <v>4</v>
      </c>
      <c r="L71" s="1785" t="s">
        <v>13653</v>
      </c>
    </row>
    <row r="72" spans="1:12" ht="37.5">
      <c r="A72">
        <f>ROW()</f>
        <v>72</v>
      </c>
      <c r="B72" s="783" t="s">
        <v>13654</v>
      </c>
      <c r="D72" s="13">
        <v>0</v>
      </c>
      <c r="K72" s="1784">
        <v>2006</v>
      </c>
      <c r="L72" s="1785" t="s">
        <v>13655</v>
      </c>
    </row>
    <row r="73" spans="1:12" ht="25">
      <c r="A73">
        <f>ROW()</f>
        <v>73</v>
      </c>
      <c r="B73" s="784" t="s">
        <v>13656</v>
      </c>
      <c r="D73" s="13">
        <v>50</v>
      </c>
      <c r="K73" s="1786" t="s">
        <v>13657</v>
      </c>
      <c r="L73" s="1785" t="s">
        <v>13658</v>
      </c>
    </row>
    <row r="74" spans="1:12" ht="38">
      <c r="A74">
        <f>ROW()</f>
        <v>74</v>
      </c>
      <c r="B74" s="783" t="s">
        <v>13659</v>
      </c>
      <c r="D74" s="803">
        <v>0</v>
      </c>
      <c r="K74" s="1824" t="s">
        <v>13660</v>
      </c>
      <c r="L74" s="1785" t="s">
        <v>13661</v>
      </c>
    </row>
    <row r="75" spans="1:12" ht="37.5">
      <c r="A75">
        <f>ROW()</f>
        <v>75</v>
      </c>
      <c r="B75" s="783" t="s">
        <v>13662</v>
      </c>
      <c r="D75" s="803">
        <v>0</v>
      </c>
      <c r="K75" s="1786" t="s">
        <v>13663</v>
      </c>
      <c r="L75" s="1785" t="s">
        <v>13664</v>
      </c>
    </row>
    <row r="76" spans="1:12" ht="50">
      <c r="A76">
        <f>ROW()</f>
        <v>76</v>
      </c>
      <c r="B76" s="783" t="s">
        <v>13665</v>
      </c>
      <c r="D76" s="13">
        <v>0</v>
      </c>
      <c r="K76" s="1786" t="s">
        <v>13666</v>
      </c>
      <c r="L76" s="1785" t="s">
        <v>13667</v>
      </c>
    </row>
    <row r="77" spans="1:12" ht="25">
      <c r="A77">
        <f>ROW()</f>
        <v>77</v>
      </c>
      <c r="B77" s="783" t="s">
        <v>13668</v>
      </c>
      <c r="D77" s="13">
        <v>0</v>
      </c>
      <c r="K77" s="1786"/>
      <c r="L77" s="1785" t="s">
        <v>13669</v>
      </c>
    </row>
    <row r="78" spans="1:12" ht="62.5">
      <c r="A78">
        <f>ROW()</f>
        <v>78</v>
      </c>
      <c r="B78" s="783" t="s">
        <v>13670</v>
      </c>
      <c r="D78" s="13">
        <v>0</v>
      </c>
      <c r="K78" s="1823" t="s">
        <v>13671</v>
      </c>
      <c r="L78" s="1785" t="s">
        <v>13672</v>
      </c>
    </row>
    <row r="79" spans="1:12" ht="87.5">
      <c r="A79">
        <f>ROW()</f>
        <v>79</v>
      </c>
      <c r="B79" s="784" t="str">
        <f>"
--- Suite à une analyse poussée des données que vous soumettez, il appert que vos données représentent "&amp;ROUND(IFERROR(Page6!$L$43/Page6!$G$43,0),0)&amp;" mois alors qu'en fait la soumission du mois de "&amp;Page1!$E$8&amp;" devrait représenter les activités pour "&amp;TBIn!$E$2460&amp;$B$80</f>
        <v xml:space="preserve">
--- Suite à une analyse poussée des données que vous soumettez, il appert que vos données représentent 3 mois alors qu'en fait la soumission du mois de Avril devrait représenter les activités pour 4 mois de cette année financière/calendrier.  Vous devez soumettre les données financières du concessionnaire basé sur une fin d'année fiscale du 31 décembre.  SVP vous assure que vous reportez pour une période qui débute le 1er janvier et qui se termine le 31 décembre de la même année.  CETTE ERREUR N'EST QU'UNE « OBSERVATION ».  AUCUNS POINTS DE PRÉCISION NE SERONT DÉDUITS ET AUCUN DÉCOMPTE D'ERREUR NE SERA FACTURÉE !</v>
      </c>
      <c r="D79" s="13">
        <v>0</v>
      </c>
      <c r="K79" s="1786"/>
      <c r="L79" s="1785" t="s">
        <v>13673</v>
      </c>
    </row>
    <row r="80" spans="1:12" ht="62.5">
      <c r="A80">
        <f>ROW()</f>
        <v>80</v>
      </c>
      <c r="B80" s="784" t="s">
        <v>13674</v>
      </c>
      <c r="D80" s="13">
        <v>0</v>
      </c>
      <c r="K80" s="1786"/>
      <c r="L80" s="1785" t="s">
        <v>13675</v>
      </c>
    </row>
    <row r="81" spans="1:13" ht="25">
      <c r="A81">
        <f>ROW()</f>
        <v>81</v>
      </c>
      <c r="B81" s="783" t="s">
        <v>13676</v>
      </c>
      <c r="D81" s="13">
        <v>0</v>
      </c>
      <c r="K81" s="1787"/>
      <c r="L81" s="1788" t="s">
        <v>13677</v>
      </c>
    </row>
    <row r="82" spans="1:13" ht="37.5">
      <c r="A82">
        <f>ROW()</f>
        <v>82</v>
      </c>
      <c r="B82" s="783" t="s">
        <v>13678</v>
      </c>
      <c r="D82" s="13">
        <v>0</v>
      </c>
      <c r="K82" s="2857" t="s">
        <v>13679</v>
      </c>
      <c r="L82" s="2858"/>
    </row>
    <row r="83" spans="1:13" ht="75">
      <c r="A83">
        <f>ROW()</f>
        <v>83</v>
      </c>
      <c r="B83" s="784" t="str">
        <f>"
--- La dette long terme à exclure "&amp;DOLLAR(Page1!P46,0)&amp;" est plus élevée que la dette a long terme totale "&amp;DOLLAR(Page1!R37,0)&amp;B84</f>
        <v xml:space="preserve">
--- La dette long terme à exclure 422 000 $ est plus élevée que la dette a long terme totale 500 000 $ Les montants des dettes à long terme qui sont exclus dans le calcul du fonds de roulement net rencontrent les conditions suivantes :
1. L’effet doit être payable au principal propriétaire participant.
2. Les remboursements du principal doivent provenir uniquement des bénéfices.
3. Le montant exclu est limité à 50 % du fonds de roulement standard.</v>
      </c>
      <c r="D83" s="13">
        <v>100</v>
      </c>
      <c r="K83" s="1787" t="s">
        <v>13680</v>
      </c>
      <c r="L83" s="1788" t="b">
        <v>0</v>
      </c>
    </row>
    <row r="84" spans="1:13" ht="62.5">
      <c r="A84">
        <f>ROW()</f>
        <v>84</v>
      </c>
      <c r="B84" s="784" t="s">
        <v>13681</v>
      </c>
      <c r="D84" s="13">
        <v>0</v>
      </c>
      <c r="K84" s="2857" t="s">
        <v>13682</v>
      </c>
      <c r="L84" s="2858"/>
      <c r="M84" t="s">
        <v>13683</v>
      </c>
    </row>
    <row r="85" spans="1:13" ht="87.5">
      <c r="A85">
        <f>ROW()</f>
        <v>85</v>
      </c>
      <c r="B85" s="2150" t="str">
        <f>"
ERREUR IRRÉCUPÉRABLE --- La dette long terme à exclure "&amp;DOLLAR(Page1!P46,0)&amp;" est plus élevée que 50 % du fonds de roulement standard. "&amp;DOLLAR(Page1!P48,0)&amp;$B$84</f>
        <v xml:space="preserve">
ERREUR IRRÉCUPÉRABLE --- La dette long terme à exclure 422 000 $ est plus élevée que 50 % du fonds de roulement standard. 844 000 $ Les montants des dettes à long terme qui sont exclus dans le calcul du fonds de roulement net rencontrent les conditions suivantes :
1. L’effet doit être payable au principal propriétaire participant.
2. Les remboursements du principal doivent provenir uniquement des bénéfices.
3. Le montant exclu est limité à 50 % du fonds de roulement standard.</v>
      </c>
      <c r="D85" s="13">
        <v>0</v>
      </c>
      <c r="K85" s="1787" t="s">
        <v>13684</v>
      </c>
      <c r="L85" s="1788" t="s">
        <v>13683</v>
      </c>
      <c r="M85" t="s">
        <v>13685</v>
      </c>
    </row>
    <row r="86" spans="1:13" ht="37.5">
      <c r="A86">
        <f>ROW()</f>
        <v>86</v>
      </c>
      <c r="B86" s="783" t="s">
        <v>13686</v>
      </c>
      <c r="D86" s="13">
        <v>0</v>
      </c>
    </row>
    <row r="87" spans="1:13" ht="25">
      <c r="A87">
        <f>ROW()</f>
        <v>87</v>
      </c>
      <c r="B87" s="783" t="s">
        <v>13687</v>
      </c>
      <c r="D87" s="13">
        <v>0</v>
      </c>
    </row>
    <row r="88" spans="1:13" ht="25">
      <c r="A88">
        <f>ROW()</f>
        <v>88</v>
      </c>
      <c r="B88" s="783" t="str">
        <f>"
ERREUR IRRÉCUPÉRABLE --- La dette long terme à exclure "&amp;DOLLAR(Page1!P46,0)&amp;", doit être une valeur positive!"</f>
        <v xml:space="preserve">
ERREUR IRRÉCUPÉRABLE --- La dette long terme à exclure 422 000 $, doit être une valeur positive!</v>
      </c>
      <c r="D88" s="13">
        <v>0</v>
      </c>
    </row>
    <row r="89" spans="1:13" ht="62.5">
      <c r="A89">
        <f>ROW()</f>
        <v>89</v>
      </c>
      <c r="B89" s="784" t="str">
        <f>"
--- Suite à une analyse poussée des données que vous soumettez, il semble que vous ne comptabiliser pas correctement les VENTES AU COMPTANT.  Prière de vous référer au Manuel des méthodes comptables GM (Compte # 225).  "&amp;$B$90</f>
        <v xml:space="preserve">
--- Suite à une analyse poussée des données que vous soumettez, il semble que vous ne comptabiliser pas correctement les VENTES AU COMPTANT.  Prière de vous référer au Manuel des méthodes comptables GM (Compte # 225).   CETTE ERREUR N'EST QU'UNE « OBSERVATION ».  AUCUNS POINTS DE PRÉCISION NE SERONT DÉDUITS ET AUCUN DÉCOMPTE D'ERREUR NE SERA FACTURÉE À CE MOMENT!</v>
      </c>
      <c r="D89" s="13">
        <v>0</v>
      </c>
      <c r="K89" s="1825"/>
      <c r="L89" s="1785" t="s">
        <v>13673</v>
      </c>
    </row>
    <row r="90" spans="1:13" ht="25">
      <c r="A90">
        <f>ROW()</f>
        <v>90</v>
      </c>
      <c r="B90" s="784" t="s">
        <v>13688</v>
      </c>
      <c r="D90" s="13">
        <v>0</v>
      </c>
      <c r="K90" s="1825"/>
      <c r="L90" s="1785" t="s">
        <v>13675</v>
      </c>
    </row>
    <row r="91" spans="1:13" ht="25">
      <c r="A91">
        <f>ROW()</f>
        <v>91</v>
      </c>
      <c r="B91" s="783" t="s">
        <v>13689</v>
      </c>
      <c r="D91" s="13">
        <v>0</v>
      </c>
    </row>
    <row r="92" spans="1:13" ht="12.5">
      <c r="A92">
        <f>ROW()</f>
        <v>92</v>
      </c>
      <c r="B92" s="783" t="s">
        <v>13690</v>
      </c>
      <c r="D92" s="13">
        <v>0</v>
      </c>
    </row>
    <row r="93" spans="1:13" ht="12.5">
      <c r="A93">
        <f>ROW()</f>
        <v>93</v>
      </c>
      <c r="B93" s="784" t="s">
        <v>13691</v>
      </c>
      <c r="D93" s="13">
        <v>100</v>
      </c>
    </row>
    <row r="94" spans="1:13" ht="50">
      <c r="A94">
        <f>ROW()</f>
        <v>94</v>
      </c>
      <c r="B94" s="2150" t="s">
        <v>13692</v>
      </c>
      <c r="D94" s="13">
        <v>100</v>
      </c>
    </row>
    <row r="95" spans="1:13" ht="75">
      <c r="A95">
        <f>ROW()</f>
        <v>95</v>
      </c>
      <c r="B95" s="2150" t="s">
        <v>13693</v>
      </c>
      <c r="D95" s="13">
        <v>0</v>
      </c>
    </row>
    <row r="96" spans="1:13" ht="62.5">
      <c r="A96">
        <f>ROW()</f>
        <v>96</v>
      </c>
      <c r="B96" s="2150" t="s">
        <v>13694</v>
      </c>
      <c r="D96" s="13">
        <v>0</v>
      </c>
    </row>
    <row r="97" spans="1:4" ht="43.5">
      <c r="A97">
        <v>97</v>
      </c>
      <c r="B97" s="2555" t="s">
        <v>13695</v>
      </c>
      <c r="D97" s="13">
        <v>0</v>
      </c>
    </row>
    <row r="98" spans="1:4" ht="43.5">
      <c r="A98">
        <v>98</v>
      </c>
      <c r="B98" s="2555" t="s">
        <v>13696</v>
      </c>
      <c r="D98" s="13">
        <v>0</v>
      </c>
    </row>
    <row r="99" spans="1:4" ht="43.5">
      <c r="A99">
        <v>99</v>
      </c>
      <c r="B99" s="2555" t="s">
        <v>13697</v>
      </c>
      <c r="D99" s="13">
        <v>0</v>
      </c>
    </row>
    <row r="100" spans="1:4" ht="43.5">
      <c r="A100">
        <v>100</v>
      </c>
      <c r="B100" s="2555" t="s">
        <v>13698</v>
      </c>
      <c r="D100" s="13">
        <v>0</v>
      </c>
    </row>
    <row r="101" spans="1:4" ht="43.5">
      <c r="A101">
        <v>101</v>
      </c>
      <c r="B101" s="2555" t="s">
        <v>13699</v>
      </c>
      <c r="D101" s="13">
        <v>0</v>
      </c>
    </row>
    <row r="102" spans="1:4" ht="43.5">
      <c r="A102">
        <v>102</v>
      </c>
      <c r="B102" s="2555" t="s">
        <v>13700</v>
      </c>
      <c r="D102" s="13">
        <v>0</v>
      </c>
    </row>
    <row r="103" spans="1:4" ht="25">
      <c r="A103">
        <v>103</v>
      </c>
      <c r="B103" s="2150" t="s">
        <v>13701</v>
      </c>
      <c r="D103" s="13">
        <v>0</v>
      </c>
    </row>
  </sheetData>
  <mergeCells count="8">
    <mergeCell ref="K1:L1"/>
    <mergeCell ref="K28:L28"/>
    <mergeCell ref="K33:L33"/>
    <mergeCell ref="K46:L46"/>
    <mergeCell ref="K84:L84"/>
    <mergeCell ref="K82:L82"/>
    <mergeCell ref="K70:L70"/>
    <mergeCell ref="K60:L60"/>
  </mergeCells>
  <phoneticPr fontId="7" type="noConversion"/>
  <dataValidations count="1">
    <dataValidation type="list" allowBlank="1" showInputMessage="1" showErrorMessage="1" sqref="L85" xr:uid="{00000000-0002-0000-1800-000000000000}">
      <formula1>$M$84:$M$85</formula1>
    </dataValidation>
  </dataValidations>
  <pageMargins left="0" right="0" top="0" bottom="0" header="0.5" footer="0.5"/>
  <pageSetup scale="10" orientation="landscape"/>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2"/>
  <dimension ref="A1:U1533"/>
  <sheetViews>
    <sheetView showRowColHeaders="0" workbookViewId="0">
      <pane ySplit="3" topLeftCell="A4" activePane="bottomLeft" state="frozen"/>
      <selection pane="bottomLeft"/>
    </sheetView>
  </sheetViews>
  <sheetFormatPr baseColWidth="10" defaultColWidth="8.7265625" defaultRowHeight="12.5"/>
  <cols>
    <col min="2" max="2" width="8.81640625" bestFit="1" customWidth="1"/>
    <col min="3" max="3" width="10.1796875" bestFit="1" customWidth="1"/>
    <col min="4" max="4" width="10" bestFit="1" customWidth="1"/>
    <col min="5" max="5" width="13.1796875" bestFit="1" customWidth="1"/>
    <col min="6" max="6" width="22.54296875" customWidth="1"/>
    <col min="7" max="7" width="10.1796875" customWidth="1"/>
    <col min="8" max="8" width="10" bestFit="1" customWidth="1"/>
    <col min="9" max="9" width="12.1796875" bestFit="1" customWidth="1"/>
    <col min="10" max="10" width="91.1796875" customWidth="1"/>
    <col min="11" max="11" width="19.1796875" hidden="1" customWidth="1"/>
    <col min="12" max="12" width="0" hidden="1" customWidth="1"/>
    <col min="13" max="13" width="42.1796875" hidden="1" customWidth="1"/>
    <col min="14" max="15" width="0" hidden="1" customWidth="1"/>
    <col min="16" max="16" width="11.453125" bestFit="1" customWidth="1"/>
  </cols>
  <sheetData>
    <row r="1" spans="2:16">
      <c r="B1" t="s">
        <v>13702</v>
      </c>
    </row>
    <row r="2" spans="2:16">
      <c r="B2" t="s">
        <v>13703</v>
      </c>
      <c r="C2" t="s">
        <v>13704</v>
      </c>
    </row>
    <row r="3" spans="2:16">
      <c r="B3" t="s">
        <v>13705</v>
      </c>
      <c r="C3" t="s">
        <v>13706</v>
      </c>
      <c r="D3" t="s">
        <v>13707</v>
      </c>
      <c r="E3" t="s">
        <v>13708</v>
      </c>
      <c r="F3" t="s">
        <v>13709</v>
      </c>
      <c r="G3" t="s">
        <v>13710</v>
      </c>
      <c r="H3" t="s">
        <v>13711</v>
      </c>
      <c r="I3" t="s">
        <v>13712</v>
      </c>
      <c r="J3" t="s">
        <v>13713</v>
      </c>
      <c r="K3" t="s">
        <v>13714</v>
      </c>
      <c r="L3" t="s">
        <v>13715</v>
      </c>
      <c r="M3" t="s">
        <v>94</v>
      </c>
      <c r="N3" t="s">
        <v>95</v>
      </c>
      <c r="O3" t="s">
        <v>13716</v>
      </c>
      <c r="P3" t="s">
        <v>13717</v>
      </c>
    </row>
    <row r="4" spans="2:16">
      <c r="B4" t="s">
        <v>13718</v>
      </c>
    </row>
    <row r="5" spans="2:16">
      <c r="B5" t="s">
        <v>13719</v>
      </c>
      <c r="D5">
        <v>1</v>
      </c>
      <c r="E5" t="s">
        <v>112</v>
      </c>
      <c r="F5">
        <v>50</v>
      </c>
      <c r="G5" t="s">
        <v>13720</v>
      </c>
      <c r="H5" t="s">
        <v>13720</v>
      </c>
      <c r="J5" t="s">
        <v>13721</v>
      </c>
    </row>
    <row r="6" spans="2:16">
      <c r="D6" t="s">
        <v>13722</v>
      </c>
      <c r="E6" t="s">
        <v>13723</v>
      </c>
      <c r="J6" t="s">
        <v>13721</v>
      </c>
    </row>
    <row r="7" spans="2:16">
      <c r="D7" t="s">
        <v>13724</v>
      </c>
      <c r="E7" t="s">
        <v>695</v>
      </c>
      <c r="J7" t="s">
        <v>13721</v>
      </c>
    </row>
    <row r="8" spans="2:16">
      <c r="D8">
        <v>7</v>
      </c>
      <c r="E8" t="s">
        <v>157</v>
      </c>
      <c r="F8">
        <v>12</v>
      </c>
      <c r="J8" t="s">
        <v>13725</v>
      </c>
    </row>
    <row r="9" spans="2:16">
      <c r="E9" t="s">
        <v>13723</v>
      </c>
      <c r="J9" t="s">
        <v>13725</v>
      </c>
    </row>
    <row r="10" spans="2:16">
      <c r="E10" t="s">
        <v>695</v>
      </c>
      <c r="J10" t="s">
        <v>13725</v>
      </c>
    </row>
    <row r="11" spans="2:16">
      <c r="E11" t="s">
        <v>13726</v>
      </c>
      <c r="J11" t="s">
        <v>13725</v>
      </c>
    </row>
    <row r="12" spans="2:16">
      <c r="E12" t="s">
        <v>953</v>
      </c>
      <c r="J12" t="s">
        <v>13725</v>
      </c>
    </row>
    <row r="13" spans="2:16">
      <c r="E13" t="s">
        <v>147</v>
      </c>
      <c r="J13" t="s">
        <v>13725</v>
      </c>
    </row>
    <row r="14" spans="2:16">
      <c r="B14" t="s">
        <v>13727</v>
      </c>
      <c r="C14">
        <v>37833</v>
      </c>
      <c r="D14">
        <v>7</v>
      </c>
      <c r="E14" t="s">
        <v>13728</v>
      </c>
      <c r="F14" t="s">
        <v>13729</v>
      </c>
      <c r="J14" t="s">
        <v>13730</v>
      </c>
    </row>
    <row r="15" spans="2:16">
      <c r="C15">
        <v>37833</v>
      </c>
      <c r="D15">
        <v>3</v>
      </c>
      <c r="E15" t="s">
        <v>13731</v>
      </c>
      <c r="F15">
        <v>2</v>
      </c>
      <c r="J15" t="s">
        <v>13732</v>
      </c>
    </row>
    <row r="16" spans="2:16">
      <c r="C16">
        <v>37833</v>
      </c>
      <c r="D16">
        <v>4</v>
      </c>
      <c r="E16" t="s">
        <v>13731</v>
      </c>
      <c r="F16">
        <v>2</v>
      </c>
      <c r="J16" t="s">
        <v>13732</v>
      </c>
    </row>
    <row r="17" spans="3:10">
      <c r="C17">
        <v>37833</v>
      </c>
      <c r="D17">
        <v>1</v>
      </c>
      <c r="E17" t="s">
        <v>122</v>
      </c>
      <c r="F17">
        <v>44</v>
      </c>
      <c r="G17" t="s">
        <v>13720</v>
      </c>
      <c r="H17" t="s">
        <v>13720</v>
      </c>
      <c r="J17" t="s">
        <v>13733</v>
      </c>
    </row>
    <row r="18" spans="3:10">
      <c r="C18">
        <v>37833</v>
      </c>
      <c r="D18">
        <v>1</v>
      </c>
      <c r="E18" t="s">
        <v>122</v>
      </c>
      <c r="F18">
        <v>45</v>
      </c>
      <c r="G18" t="s">
        <v>13720</v>
      </c>
      <c r="H18" t="s">
        <v>13720</v>
      </c>
      <c r="J18" t="s">
        <v>13733</v>
      </c>
    </row>
    <row r="19" spans="3:10">
      <c r="C19">
        <v>37833</v>
      </c>
      <c r="D19">
        <v>1</v>
      </c>
      <c r="E19" t="s">
        <v>580</v>
      </c>
      <c r="F19">
        <v>59</v>
      </c>
      <c r="J19" t="s">
        <v>13734</v>
      </c>
    </row>
    <row r="20" spans="3:10">
      <c r="C20">
        <v>37833</v>
      </c>
      <c r="D20">
        <v>1</v>
      </c>
      <c r="E20" t="s">
        <v>120</v>
      </c>
      <c r="F20">
        <v>35</v>
      </c>
      <c r="G20" t="s">
        <v>13720</v>
      </c>
      <c r="H20" t="s">
        <v>13720</v>
      </c>
      <c r="J20" t="s">
        <v>13735</v>
      </c>
    </row>
    <row r="21" spans="3:10">
      <c r="C21">
        <v>37833</v>
      </c>
      <c r="D21">
        <v>6</v>
      </c>
      <c r="E21" t="s">
        <v>13736</v>
      </c>
      <c r="F21">
        <v>16</v>
      </c>
      <c r="G21" t="s">
        <v>13720</v>
      </c>
      <c r="H21" t="s">
        <v>13720</v>
      </c>
      <c r="J21" t="s">
        <v>13737</v>
      </c>
    </row>
    <row r="22" spans="3:10">
      <c r="C22">
        <v>37833</v>
      </c>
      <c r="D22">
        <v>7</v>
      </c>
      <c r="E22" t="s">
        <v>143</v>
      </c>
      <c r="F22">
        <v>72</v>
      </c>
      <c r="G22" t="s">
        <v>13720</v>
      </c>
      <c r="H22" t="s">
        <v>13720</v>
      </c>
      <c r="J22" t="s">
        <v>13738</v>
      </c>
    </row>
    <row r="23" spans="3:10">
      <c r="C23">
        <v>37837</v>
      </c>
      <c r="D23">
        <v>8</v>
      </c>
      <c r="E23" t="s">
        <v>112</v>
      </c>
      <c r="F23">
        <v>31</v>
      </c>
      <c r="J23" t="s">
        <v>13739</v>
      </c>
    </row>
    <row r="24" spans="3:10">
      <c r="C24">
        <v>37837</v>
      </c>
      <c r="D24" t="s">
        <v>13740</v>
      </c>
      <c r="E24" t="s">
        <v>580</v>
      </c>
      <c r="F24">
        <v>1</v>
      </c>
      <c r="J24" t="s">
        <v>13741</v>
      </c>
    </row>
    <row r="25" spans="3:10">
      <c r="C25">
        <v>37838</v>
      </c>
      <c r="D25">
        <v>1</v>
      </c>
      <c r="E25" t="s">
        <v>114</v>
      </c>
      <c r="F25">
        <v>21</v>
      </c>
      <c r="H25" t="s">
        <v>13720</v>
      </c>
      <c r="I25" t="s">
        <v>13720</v>
      </c>
      <c r="J25" t="s">
        <v>13742</v>
      </c>
    </row>
    <row r="26" spans="3:10">
      <c r="C26">
        <v>37838</v>
      </c>
      <c r="D26">
        <v>1</v>
      </c>
      <c r="E26" t="s">
        <v>120</v>
      </c>
      <c r="F26">
        <v>21</v>
      </c>
      <c r="H26" t="s">
        <v>13720</v>
      </c>
      <c r="I26" t="s">
        <v>13720</v>
      </c>
      <c r="J26" t="s">
        <v>13743</v>
      </c>
    </row>
    <row r="27" spans="3:10">
      <c r="C27">
        <v>37838</v>
      </c>
      <c r="D27" t="s">
        <v>13724</v>
      </c>
      <c r="E27" t="s">
        <v>13744</v>
      </c>
      <c r="F27">
        <v>1003</v>
      </c>
      <c r="H27" t="s">
        <v>13720</v>
      </c>
      <c r="J27" t="s">
        <v>13745</v>
      </c>
    </row>
    <row r="28" spans="3:10">
      <c r="C28">
        <v>37839</v>
      </c>
      <c r="D28">
        <v>4</v>
      </c>
      <c r="E28" t="s">
        <v>580</v>
      </c>
      <c r="F28">
        <v>2</v>
      </c>
      <c r="J28" t="s">
        <v>13746</v>
      </c>
    </row>
    <row r="29" spans="3:10">
      <c r="C29">
        <v>37839</v>
      </c>
      <c r="D29">
        <v>6</v>
      </c>
      <c r="E29" t="s">
        <v>143</v>
      </c>
      <c r="F29" t="s">
        <v>13747</v>
      </c>
      <c r="J29" t="s">
        <v>13746</v>
      </c>
    </row>
    <row r="30" spans="3:10">
      <c r="C30">
        <v>37839</v>
      </c>
      <c r="D30">
        <v>7</v>
      </c>
      <c r="E30" t="s">
        <v>13748</v>
      </c>
      <c r="F30">
        <v>42</v>
      </c>
      <c r="J30" t="s">
        <v>13749</v>
      </c>
    </row>
    <row r="31" spans="3:10">
      <c r="C31">
        <v>37839</v>
      </c>
      <c r="D31">
        <v>7</v>
      </c>
      <c r="E31" t="s">
        <v>13750</v>
      </c>
      <c r="F31">
        <v>22</v>
      </c>
      <c r="J31" t="s">
        <v>13751</v>
      </c>
    </row>
    <row r="32" spans="3:10">
      <c r="C32">
        <v>37839</v>
      </c>
      <c r="D32">
        <v>8</v>
      </c>
      <c r="E32" t="s">
        <v>580</v>
      </c>
      <c r="F32">
        <v>54</v>
      </c>
      <c r="J32" t="s">
        <v>13752</v>
      </c>
    </row>
    <row r="33" spans="2:10">
      <c r="C33">
        <v>37839</v>
      </c>
      <c r="D33" t="s">
        <v>13753</v>
      </c>
      <c r="E33" t="s">
        <v>13750</v>
      </c>
      <c r="F33" t="s">
        <v>13754</v>
      </c>
      <c r="J33" t="s">
        <v>13755</v>
      </c>
    </row>
    <row r="34" spans="2:10">
      <c r="C34">
        <v>37840</v>
      </c>
      <c r="D34" t="s">
        <v>13753</v>
      </c>
      <c r="E34" t="s">
        <v>695</v>
      </c>
      <c r="F34">
        <v>1912</v>
      </c>
      <c r="I34" t="s">
        <v>13720</v>
      </c>
      <c r="J34" t="s">
        <v>13756</v>
      </c>
    </row>
    <row r="35" spans="2:10">
      <c r="C35">
        <v>37840</v>
      </c>
      <c r="D35">
        <v>8</v>
      </c>
      <c r="E35" t="s">
        <v>953</v>
      </c>
      <c r="F35">
        <v>41</v>
      </c>
      <c r="G35" t="s">
        <v>13720</v>
      </c>
      <c r="H35" t="s">
        <v>13720</v>
      </c>
      <c r="J35" t="s">
        <v>13757</v>
      </c>
    </row>
    <row r="36" spans="2:10">
      <c r="C36">
        <v>37840</v>
      </c>
      <c r="D36">
        <v>6</v>
      </c>
      <c r="E36" t="s">
        <v>695</v>
      </c>
      <c r="F36">
        <v>6</v>
      </c>
      <c r="J36" t="s">
        <v>13758</v>
      </c>
    </row>
    <row r="37" spans="2:10">
      <c r="C37">
        <v>37840</v>
      </c>
      <c r="D37">
        <v>6</v>
      </c>
      <c r="E37" t="s">
        <v>147</v>
      </c>
      <c r="F37">
        <v>6</v>
      </c>
      <c r="J37" t="s">
        <v>13758</v>
      </c>
    </row>
    <row r="38" spans="2:10">
      <c r="C38">
        <v>37840</v>
      </c>
      <c r="D38">
        <v>6</v>
      </c>
      <c r="E38" t="s">
        <v>695</v>
      </c>
      <c r="F38">
        <v>9</v>
      </c>
      <c r="J38" t="s">
        <v>13759</v>
      </c>
    </row>
    <row r="39" spans="2:10">
      <c r="C39">
        <v>37840</v>
      </c>
      <c r="D39">
        <v>6</v>
      </c>
      <c r="E39" t="s">
        <v>147</v>
      </c>
      <c r="F39">
        <v>9</v>
      </c>
      <c r="J39" t="s">
        <v>13759</v>
      </c>
    </row>
    <row r="40" spans="2:10">
      <c r="C40">
        <v>37845</v>
      </c>
      <c r="D40" t="s">
        <v>13760</v>
      </c>
      <c r="E40" t="s">
        <v>13750</v>
      </c>
      <c r="F40">
        <v>3</v>
      </c>
      <c r="J40" t="s">
        <v>13761</v>
      </c>
    </row>
    <row r="41" spans="2:10">
      <c r="C41">
        <v>37845</v>
      </c>
      <c r="D41">
        <v>7</v>
      </c>
      <c r="E41" t="s">
        <v>580</v>
      </c>
      <c r="F41">
        <v>72</v>
      </c>
      <c r="J41" t="s">
        <v>13762</v>
      </c>
    </row>
    <row r="42" spans="2:10">
      <c r="B42" t="s">
        <v>13763</v>
      </c>
      <c r="C42">
        <v>37852</v>
      </c>
      <c r="D42" t="s">
        <v>13753</v>
      </c>
      <c r="E42" t="s">
        <v>13750</v>
      </c>
      <c r="F42">
        <v>365</v>
      </c>
      <c r="I42" t="s">
        <v>13720</v>
      </c>
      <c r="J42" t="s">
        <v>13764</v>
      </c>
    </row>
    <row r="43" spans="2:10">
      <c r="C43">
        <v>37852</v>
      </c>
      <c r="D43">
        <v>4</v>
      </c>
      <c r="E43" t="s">
        <v>124</v>
      </c>
      <c r="F43">
        <v>51</v>
      </c>
      <c r="J43" t="s">
        <v>13765</v>
      </c>
    </row>
    <row r="44" spans="2:10">
      <c r="C44">
        <v>37852</v>
      </c>
      <c r="D44">
        <v>4</v>
      </c>
      <c r="E44" t="s">
        <v>124</v>
      </c>
      <c r="F44">
        <v>52</v>
      </c>
      <c r="J44" t="s">
        <v>13765</v>
      </c>
    </row>
    <row r="45" spans="2:10">
      <c r="C45">
        <v>37852</v>
      </c>
      <c r="D45">
        <v>3</v>
      </c>
      <c r="E45" t="s">
        <v>112</v>
      </c>
      <c r="F45">
        <v>51</v>
      </c>
      <c r="J45" t="s">
        <v>13765</v>
      </c>
    </row>
    <row r="46" spans="2:10">
      <c r="C46">
        <v>37852</v>
      </c>
      <c r="D46">
        <v>3</v>
      </c>
      <c r="E46" t="s">
        <v>112</v>
      </c>
      <c r="F46">
        <v>52</v>
      </c>
      <c r="J46" t="s">
        <v>13765</v>
      </c>
    </row>
    <row r="47" spans="2:10">
      <c r="C47">
        <v>37852</v>
      </c>
      <c r="D47" t="s">
        <v>13766</v>
      </c>
      <c r="J47" t="s">
        <v>13767</v>
      </c>
    </row>
    <row r="48" spans="2:10">
      <c r="C48">
        <v>37852</v>
      </c>
      <c r="D48" t="s">
        <v>13768</v>
      </c>
      <c r="J48" t="s">
        <v>13767</v>
      </c>
    </row>
    <row r="49" spans="2:10">
      <c r="C49">
        <v>37854</v>
      </c>
      <c r="D49" t="s">
        <v>13722</v>
      </c>
      <c r="E49" t="s">
        <v>157</v>
      </c>
      <c r="F49">
        <v>816</v>
      </c>
      <c r="G49" t="s">
        <v>13720</v>
      </c>
      <c r="J49" t="s">
        <v>13767</v>
      </c>
    </row>
    <row r="50" spans="2:10">
      <c r="C50">
        <v>37854</v>
      </c>
      <c r="D50" t="s">
        <v>13724</v>
      </c>
      <c r="E50" t="s">
        <v>147</v>
      </c>
      <c r="F50">
        <v>884</v>
      </c>
      <c r="H50" t="s">
        <v>13720</v>
      </c>
      <c r="J50" t="s">
        <v>13769</v>
      </c>
    </row>
    <row r="51" spans="2:10">
      <c r="C51">
        <v>37854</v>
      </c>
      <c r="D51" t="s">
        <v>13722</v>
      </c>
      <c r="E51" t="s">
        <v>157</v>
      </c>
      <c r="F51">
        <v>740</v>
      </c>
      <c r="G51" t="s">
        <v>13720</v>
      </c>
      <c r="J51" t="s">
        <v>13770</v>
      </c>
    </row>
    <row r="52" spans="2:10">
      <c r="C52">
        <v>37854</v>
      </c>
      <c r="D52" t="s">
        <v>13722</v>
      </c>
      <c r="E52" t="s">
        <v>157</v>
      </c>
      <c r="F52">
        <v>741</v>
      </c>
      <c r="G52" t="s">
        <v>13720</v>
      </c>
      <c r="J52" t="s">
        <v>13771</v>
      </c>
    </row>
    <row r="53" spans="2:10">
      <c r="C53">
        <v>37854</v>
      </c>
      <c r="D53" t="s">
        <v>13724</v>
      </c>
      <c r="E53" t="s">
        <v>147</v>
      </c>
      <c r="F53">
        <v>657</v>
      </c>
      <c r="H53" t="s">
        <v>13720</v>
      </c>
      <c r="J53" t="s">
        <v>13772</v>
      </c>
    </row>
    <row r="54" spans="2:10">
      <c r="C54">
        <v>37854</v>
      </c>
      <c r="D54" t="s">
        <v>13724</v>
      </c>
      <c r="E54" t="s">
        <v>147</v>
      </c>
      <c r="F54">
        <v>658</v>
      </c>
      <c r="H54" t="s">
        <v>13720</v>
      </c>
      <c r="J54" t="s">
        <v>13773</v>
      </c>
    </row>
    <row r="55" spans="2:10">
      <c r="C55">
        <v>37867</v>
      </c>
      <c r="D55" t="s">
        <v>13766</v>
      </c>
      <c r="J55" t="s">
        <v>13774</v>
      </c>
    </row>
    <row r="56" spans="2:10">
      <c r="C56">
        <v>37867</v>
      </c>
      <c r="D56" t="s">
        <v>13768</v>
      </c>
      <c r="J56" t="s">
        <v>13774</v>
      </c>
    </row>
    <row r="57" spans="2:10">
      <c r="C57">
        <v>37867</v>
      </c>
      <c r="D57" t="s">
        <v>13722</v>
      </c>
      <c r="F57">
        <v>817</v>
      </c>
      <c r="J57" t="s">
        <v>13775</v>
      </c>
    </row>
    <row r="58" spans="2:10">
      <c r="B58" t="s">
        <v>13776</v>
      </c>
      <c r="C58">
        <v>37868</v>
      </c>
      <c r="D58" t="s">
        <v>13760</v>
      </c>
      <c r="E58" t="s">
        <v>127</v>
      </c>
      <c r="F58">
        <v>45</v>
      </c>
      <c r="J58" t="s">
        <v>13777</v>
      </c>
    </row>
    <row r="59" spans="2:10">
      <c r="B59" t="s">
        <v>13778</v>
      </c>
      <c r="C59">
        <v>37886</v>
      </c>
      <c r="D59">
        <v>1</v>
      </c>
      <c r="J59" t="s">
        <v>13779</v>
      </c>
    </row>
    <row r="60" spans="2:10">
      <c r="C60">
        <v>37886</v>
      </c>
      <c r="D60">
        <v>1</v>
      </c>
      <c r="E60" t="s">
        <v>122</v>
      </c>
      <c r="F60">
        <v>21</v>
      </c>
      <c r="J60" t="s">
        <v>13780</v>
      </c>
    </row>
    <row r="61" spans="2:10">
      <c r="C61">
        <v>37886</v>
      </c>
      <c r="D61">
        <v>1</v>
      </c>
      <c r="E61" t="s">
        <v>122</v>
      </c>
      <c r="F61">
        <v>45</v>
      </c>
      <c r="J61" t="s">
        <v>13781</v>
      </c>
    </row>
    <row r="62" spans="2:10">
      <c r="C62">
        <v>37886</v>
      </c>
      <c r="D62">
        <v>1</v>
      </c>
      <c r="E62" t="s">
        <v>122</v>
      </c>
      <c r="F62">
        <v>46</v>
      </c>
      <c r="J62" t="s">
        <v>13782</v>
      </c>
    </row>
    <row r="63" spans="2:10">
      <c r="C63">
        <v>37886</v>
      </c>
      <c r="D63">
        <v>2</v>
      </c>
      <c r="E63" t="s">
        <v>143</v>
      </c>
      <c r="F63">
        <v>1</v>
      </c>
      <c r="J63" t="s">
        <v>13783</v>
      </c>
    </row>
    <row r="64" spans="2:10">
      <c r="C64">
        <v>37886</v>
      </c>
      <c r="D64">
        <v>2</v>
      </c>
      <c r="E64" t="s">
        <v>13723</v>
      </c>
      <c r="F64">
        <v>2</v>
      </c>
      <c r="J64" t="s">
        <v>13784</v>
      </c>
    </row>
    <row r="65" spans="3:10">
      <c r="C65">
        <v>37886</v>
      </c>
      <c r="D65">
        <v>2</v>
      </c>
      <c r="E65" t="s">
        <v>122</v>
      </c>
      <c r="F65">
        <v>11</v>
      </c>
      <c r="J65" t="s">
        <v>13785</v>
      </c>
    </row>
    <row r="66" spans="3:10">
      <c r="C66">
        <v>37886</v>
      </c>
      <c r="D66">
        <v>2</v>
      </c>
      <c r="E66" t="s">
        <v>122</v>
      </c>
      <c r="F66">
        <v>24</v>
      </c>
      <c r="J66" t="s">
        <v>13786</v>
      </c>
    </row>
    <row r="67" spans="3:10">
      <c r="C67">
        <v>37886</v>
      </c>
      <c r="D67">
        <v>2</v>
      </c>
      <c r="E67" t="s">
        <v>122</v>
      </c>
      <c r="F67">
        <v>39</v>
      </c>
      <c r="J67" t="s">
        <v>13787</v>
      </c>
    </row>
    <row r="68" spans="3:10">
      <c r="C68">
        <v>37886</v>
      </c>
      <c r="D68">
        <v>2</v>
      </c>
      <c r="E68" t="s">
        <v>122</v>
      </c>
      <c r="F68">
        <v>41</v>
      </c>
      <c r="J68" t="s">
        <v>13788</v>
      </c>
    </row>
    <row r="69" spans="3:10">
      <c r="C69">
        <v>37886</v>
      </c>
      <c r="D69">
        <v>3</v>
      </c>
      <c r="E69" t="s">
        <v>122</v>
      </c>
      <c r="F69">
        <v>11</v>
      </c>
      <c r="J69" t="s">
        <v>13785</v>
      </c>
    </row>
    <row r="70" spans="3:10">
      <c r="C70">
        <v>37886</v>
      </c>
      <c r="D70">
        <v>3</v>
      </c>
      <c r="E70" t="s">
        <v>122</v>
      </c>
      <c r="F70">
        <v>24</v>
      </c>
      <c r="J70" t="s">
        <v>13786</v>
      </c>
    </row>
    <row r="71" spans="3:10">
      <c r="C71">
        <v>37886</v>
      </c>
      <c r="D71">
        <v>3</v>
      </c>
      <c r="E71" t="s">
        <v>122</v>
      </c>
      <c r="F71">
        <v>39</v>
      </c>
      <c r="J71" t="s">
        <v>13787</v>
      </c>
    </row>
    <row r="72" spans="3:10">
      <c r="C72">
        <v>37886</v>
      </c>
      <c r="D72">
        <v>3</v>
      </c>
      <c r="E72" t="s">
        <v>122</v>
      </c>
      <c r="F72">
        <v>41</v>
      </c>
      <c r="J72" t="s">
        <v>13788</v>
      </c>
    </row>
    <row r="73" spans="3:10">
      <c r="C73">
        <v>37886</v>
      </c>
      <c r="D73">
        <v>3</v>
      </c>
      <c r="E73" t="s">
        <v>13750</v>
      </c>
      <c r="F73">
        <v>1</v>
      </c>
      <c r="J73" t="s">
        <v>13789</v>
      </c>
    </row>
    <row r="74" spans="3:10">
      <c r="C74">
        <v>37886</v>
      </c>
      <c r="D74">
        <v>3</v>
      </c>
      <c r="E74" t="s">
        <v>580</v>
      </c>
      <c r="F74">
        <v>2</v>
      </c>
      <c r="J74" t="s">
        <v>13790</v>
      </c>
    </row>
    <row r="75" spans="3:10">
      <c r="C75">
        <v>37886</v>
      </c>
      <c r="D75">
        <v>3</v>
      </c>
      <c r="E75" t="s">
        <v>695</v>
      </c>
      <c r="F75">
        <v>2</v>
      </c>
      <c r="J75" t="s">
        <v>13791</v>
      </c>
    </row>
    <row r="76" spans="3:10">
      <c r="C76">
        <v>37886</v>
      </c>
      <c r="D76">
        <v>3</v>
      </c>
      <c r="E76" t="s">
        <v>953</v>
      </c>
      <c r="F76">
        <v>2</v>
      </c>
      <c r="J76" t="s">
        <v>13792</v>
      </c>
    </row>
    <row r="77" spans="3:10">
      <c r="C77">
        <v>37886</v>
      </c>
      <c r="D77">
        <v>3</v>
      </c>
      <c r="E77" t="s">
        <v>738</v>
      </c>
      <c r="F77">
        <v>2</v>
      </c>
      <c r="J77" t="s">
        <v>13793</v>
      </c>
    </row>
    <row r="78" spans="3:10">
      <c r="C78">
        <v>37886</v>
      </c>
      <c r="D78">
        <v>3</v>
      </c>
      <c r="E78" t="s">
        <v>695</v>
      </c>
      <c r="F78">
        <v>67</v>
      </c>
      <c r="J78" t="s">
        <v>13794</v>
      </c>
    </row>
    <row r="79" spans="3:10">
      <c r="C79">
        <v>37886</v>
      </c>
      <c r="D79">
        <v>3</v>
      </c>
      <c r="E79" t="s">
        <v>695</v>
      </c>
      <c r="F79">
        <v>68</v>
      </c>
      <c r="J79" t="s">
        <v>13795</v>
      </c>
    </row>
    <row r="80" spans="3:10">
      <c r="C80">
        <v>37886</v>
      </c>
      <c r="D80">
        <v>4</v>
      </c>
      <c r="E80" t="s">
        <v>122</v>
      </c>
      <c r="F80">
        <v>11</v>
      </c>
      <c r="J80" t="s">
        <v>13785</v>
      </c>
    </row>
    <row r="81" spans="3:10">
      <c r="C81">
        <v>37886</v>
      </c>
      <c r="D81">
        <v>4</v>
      </c>
      <c r="E81" t="s">
        <v>122</v>
      </c>
      <c r="F81">
        <v>24</v>
      </c>
      <c r="J81" t="s">
        <v>13786</v>
      </c>
    </row>
    <row r="82" spans="3:10">
      <c r="C82">
        <v>37886</v>
      </c>
      <c r="D82">
        <v>4</v>
      </c>
      <c r="E82" t="s">
        <v>122</v>
      </c>
      <c r="F82">
        <v>39</v>
      </c>
      <c r="J82" t="s">
        <v>13787</v>
      </c>
    </row>
    <row r="83" spans="3:10">
      <c r="C83">
        <v>37886</v>
      </c>
      <c r="D83">
        <v>4</v>
      </c>
      <c r="E83" t="s">
        <v>122</v>
      </c>
      <c r="F83">
        <v>41</v>
      </c>
      <c r="J83" t="s">
        <v>13788</v>
      </c>
    </row>
    <row r="84" spans="3:10">
      <c r="C84">
        <v>37886</v>
      </c>
      <c r="D84">
        <v>4</v>
      </c>
      <c r="E84" t="s">
        <v>13750</v>
      </c>
      <c r="F84">
        <v>1</v>
      </c>
      <c r="J84" t="s">
        <v>13796</v>
      </c>
    </row>
    <row r="85" spans="3:10">
      <c r="C85">
        <v>37886</v>
      </c>
      <c r="D85">
        <v>4</v>
      </c>
      <c r="E85" t="s">
        <v>580</v>
      </c>
      <c r="F85">
        <v>2</v>
      </c>
      <c r="J85" t="s">
        <v>13797</v>
      </c>
    </row>
    <row r="86" spans="3:10">
      <c r="C86">
        <v>37886</v>
      </c>
      <c r="D86">
        <v>4</v>
      </c>
      <c r="E86" t="s">
        <v>695</v>
      </c>
      <c r="F86">
        <v>2</v>
      </c>
      <c r="J86" t="s">
        <v>13798</v>
      </c>
    </row>
    <row r="87" spans="3:10">
      <c r="C87">
        <v>37886</v>
      </c>
      <c r="D87">
        <v>4</v>
      </c>
      <c r="E87" t="s">
        <v>953</v>
      </c>
      <c r="F87">
        <v>2</v>
      </c>
      <c r="J87" t="s">
        <v>13799</v>
      </c>
    </row>
    <row r="88" spans="3:10">
      <c r="C88">
        <v>37886</v>
      </c>
      <c r="D88">
        <v>4</v>
      </c>
      <c r="E88" t="s">
        <v>738</v>
      </c>
      <c r="F88">
        <v>2</v>
      </c>
      <c r="J88" t="s">
        <v>13800</v>
      </c>
    </row>
    <row r="89" spans="3:10">
      <c r="C89">
        <v>37886</v>
      </c>
      <c r="D89">
        <v>4</v>
      </c>
      <c r="E89" t="s">
        <v>13750</v>
      </c>
      <c r="F89">
        <v>67</v>
      </c>
      <c r="J89" t="s">
        <v>13801</v>
      </c>
    </row>
    <row r="90" spans="3:10">
      <c r="C90">
        <v>37886</v>
      </c>
      <c r="D90" t="s">
        <v>13740</v>
      </c>
      <c r="E90" t="s">
        <v>13750</v>
      </c>
      <c r="J90" t="s">
        <v>13802</v>
      </c>
    </row>
    <row r="91" spans="3:10">
      <c r="C91">
        <v>37886</v>
      </c>
      <c r="D91" t="s">
        <v>13803</v>
      </c>
      <c r="J91" t="s">
        <v>13804</v>
      </c>
    </row>
    <row r="92" spans="3:10">
      <c r="C92">
        <v>37886</v>
      </c>
      <c r="D92" t="s">
        <v>13760</v>
      </c>
      <c r="E92" t="s">
        <v>580</v>
      </c>
      <c r="F92">
        <v>21</v>
      </c>
      <c r="J92" t="s">
        <v>13805</v>
      </c>
    </row>
    <row r="93" spans="3:10">
      <c r="C93">
        <v>37886</v>
      </c>
      <c r="D93" t="s">
        <v>13806</v>
      </c>
      <c r="E93" t="s">
        <v>580</v>
      </c>
      <c r="F93">
        <v>22</v>
      </c>
      <c r="J93" t="s">
        <v>13805</v>
      </c>
    </row>
    <row r="94" spans="3:10">
      <c r="C94">
        <v>37886</v>
      </c>
      <c r="D94">
        <v>6</v>
      </c>
      <c r="E94" t="s">
        <v>143</v>
      </c>
      <c r="F94">
        <v>4</v>
      </c>
      <c r="J94" t="s">
        <v>13807</v>
      </c>
    </row>
    <row r="95" spans="3:10">
      <c r="C95">
        <v>37886</v>
      </c>
      <c r="D95">
        <v>6</v>
      </c>
      <c r="E95" t="s">
        <v>143</v>
      </c>
      <c r="F95">
        <v>7</v>
      </c>
      <c r="J95" t="s">
        <v>13807</v>
      </c>
    </row>
    <row r="96" spans="3:10">
      <c r="C96">
        <v>37886</v>
      </c>
      <c r="D96">
        <v>6</v>
      </c>
      <c r="E96" t="s">
        <v>143</v>
      </c>
      <c r="F96">
        <v>20</v>
      </c>
      <c r="J96" t="s">
        <v>13808</v>
      </c>
    </row>
    <row r="97" spans="3:10">
      <c r="C97">
        <v>37886</v>
      </c>
      <c r="D97">
        <v>6</v>
      </c>
      <c r="E97" t="s">
        <v>13748</v>
      </c>
      <c r="F97">
        <v>20</v>
      </c>
      <c r="J97" t="s">
        <v>13809</v>
      </c>
    </row>
    <row r="98" spans="3:10">
      <c r="C98">
        <v>37886</v>
      </c>
      <c r="D98">
        <v>6</v>
      </c>
      <c r="E98" t="s">
        <v>112</v>
      </c>
      <c r="F98">
        <v>20</v>
      </c>
      <c r="J98" t="s">
        <v>13809</v>
      </c>
    </row>
    <row r="99" spans="3:10">
      <c r="C99">
        <v>37886</v>
      </c>
      <c r="D99">
        <v>6</v>
      </c>
      <c r="E99" t="s">
        <v>580</v>
      </c>
      <c r="F99">
        <v>25</v>
      </c>
      <c r="J99" t="s">
        <v>13810</v>
      </c>
    </row>
    <row r="100" spans="3:10">
      <c r="C100">
        <v>37886</v>
      </c>
      <c r="D100">
        <v>6</v>
      </c>
      <c r="E100" t="s">
        <v>580</v>
      </c>
      <c r="F100">
        <v>28</v>
      </c>
      <c r="J100" t="s">
        <v>13811</v>
      </c>
    </row>
    <row r="101" spans="3:10">
      <c r="C101">
        <v>37886</v>
      </c>
      <c r="D101">
        <v>6</v>
      </c>
      <c r="E101" t="s">
        <v>157</v>
      </c>
      <c r="F101">
        <v>23</v>
      </c>
      <c r="J101" t="s">
        <v>13812</v>
      </c>
    </row>
    <row r="102" spans="3:10">
      <c r="C102">
        <v>37886</v>
      </c>
      <c r="D102">
        <v>6</v>
      </c>
      <c r="E102" t="s">
        <v>13726</v>
      </c>
      <c r="F102">
        <v>23</v>
      </c>
      <c r="J102" t="s">
        <v>13812</v>
      </c>
    </row>
    <row r="103" spans="3:10">
      <c r="C103">
        <v>37886</v>
      </c>
      <c r="D103">
        <v>7</v>
      </c>
      <c r="E103" t="s">
        <v>143</v>
      </c>
      <c r="F103">
        <v>4</v>
      </c>
      <c r="J103" t="s">
        <v>13813</v>
      </c>
    </row>
    <row r="104" spans="3:10">
      <c r="C104">
        <v>37886</v>
      </c>
      <c r="D104">
        <v>7</v>
      </c>
      <c r="E104" t="s">
        <v>143</v>
      </c>
      <c r="F104">
        <v>5</v>
      </c>
      <c r="J104" t="s">
        <v>13814</v>
      </c>
    </row>
    <row r="105" spans="3:10">
      <c r="C105">
        <v>37886</v>
      </c>
      <c r="D105">
        <v>7</v>
      </c>
      <c r="E105" t="s">
        <v>143</v>
      </c>
      <c r="F105">
        <v>10</v>
      </c>
      <c r="J105" t="s">
        <v>13815</v>
      </c>
    </row>
    <row r="106" spans="3:10">
      <c r="C106">
        <v>37886</v>
      </c>
      <c r="D106">
        <v>7</v>
      </c>
      <c r="E106" t="s">
        <v>143</v>
      </c>
      <c r="F106">
        <v>13</v>
      </c>
      <c r="J106" t="s">
        <v>13816</v>
      </c>
    </row>
    <row r="107" spans="3:10">
      <c r="C107">
        <v>37886</v>
      </c>
      <c r="D107">
        <v>7</v>
      </c>
      <c r="E107" t="s">
        <v>143</v>
      </c>
      <c r="F107">
        <v>14</v>
      </c>
      <c r="J107" t="s">
        <v>13817</v>
      </c>
    </row>
    <row r="108" spans="3:10">
      <c r="C108">
        <v>37886</v>
      </c>
      <c r="D108">
        <v>7</v>
      </c>
      <c r="E108" t="s">
        <v>143</v>
      </c>
      <c r="F108">
        <v>19</v>
      </c>
      <c r="J108" t="s">
        <v>13815</v>
      </c>
    </row>
    <row r="109" spans="3:10">
      <c r="C109">
        <v>37886</v>
      </c>
      <c r="D109">
        <v>7</v>
      </c>
      <c r="E109" t="s">
        <v>143</v>
      </c>
      <c r="F109">
        <v>21</v>
      </c>
      <c r="J109" t="s">
        <v>13818</v>
      </c>
    </row>
    <row r="110" spans="3:10">
      <c r="C110">
        <v>37886</v>
      </c>
      <c r="D110">
        <v>7</v>
      </c>
      <c r="E110" t="s">
        <v>122</v>
      </c>
      <c r="F110">
        <v>20</v>
      </c>
      <c r="J110" t="s">
        <v>13819</v>
      </c>
    </row>
    <row r="111" spans="3:10">
      <c r="C111">
        <v>37886</v>
      </c>
      <c r="D111">
        <v>7</v>
      </c>
      <c r="E111" t="s">
        <v>13748</v>
      </c>
      <c r="F111">
        <v>20</v>
      </c>
      <c r="J111" t="s">
        <v>13819</v>
      </c>
    </row>
    <row r="112" spans="3:10">
      <c r="C112">
        <v>37886</v>
      </c>
      <c r="D112">
        <v>7</v>
      </c>
      <c r="E112" t="s">
        <v>13750</v>
      </c>
      <c r="F112">
        <v>23</v>
      </c>
      <c r="J112" t="s">
        <v>13820</v>
      </c>
    </row>
    <row r="113" spans="3:10">
      <c r="C113">
        <v>37886</v>
      </c>
      <c r="D113">
        <v>7</v>
      </c>
      <c r="E113" t="s">
        <v>143</v>
      </c>
      <c r="F113">
        <v>29</v>
      </c>
      <c r="J113" t="s">
        <v>13821</v>
      </c>
    </row>
    <row r="114" spans="3:10">
      <c r="C114">
        <v>37886</v>
      </c>
      <c r="D114">
        <v>7</v>
      </c>
      <c r="E114" t="s">
        <v>143</v>
      </c>
      <c r="F114">
        <v>30</v>
      </c>
      <c r="J114" t="s">
        <v>13822</v>
      </c>
    </row>
    <row r="115" spans="3:10">
      <c r="C115">
        <v>37886</v>
      </c>
      <c r="D115">
        <v>7</v>
      </c>
      <c r="E115" t="s">
        <v>13750</v>
      </c>
      <c r="F115">
        <v>40</v>
      </c>
      <c r="J115" t="s">
        <v>13823</v>
      </c>
    </row>
    <row r="116" spans="3:10">
      <c r="C116">
        <v>37886</v>
      </c>
      <c r="D116">
        <v>7</v>
      </c>
      <c r="E116" t="s">
        <v>127</v>
      </c>
      <c r="F116">
        <v>42</v>
      </c>
      <c r="J116" t="s">
        <v>13824</v>
      </c>
    </row>
    <row r="117" spans="3:10">
      <c r="C117">
        <v>37886</v>
      </c>
      <c r="D117">
        <v>7</v>
      </c>
      <c r="E117" t="s">
        <v>143</v>
      </c>
      <c r="F117">
        <v>45</v>
      </c>
      <c r="J117" t="s">
        <v>13825</v>
      </c>
    </row>
    <row r="118" spans="3:10">
      <c r="C118">
        <v>37886</v>
      </c>
      <c r="D118">
        <v>7</v>
      </c>
      <c r="E118" t="s">
        <v>122</v>
      </c>
      <c r="F118">
        <v>52</v>
      </c>
      <c r="J118" t="s">
        <v>13826</v>
      </c>
    </row>
    <row r="119" spans="3:10">
      <c r="C119">
        <v>37886</v>
      </c>
      <c r="D119">
        <v>7</v>
      </c>
      <c r="E119" t="s">
        <v>157</v>
      </c>
      <c r="F119">
        <v>62</v>
      </c>
      <c r="J119" t="s">
        <v>13827</v>
      </c>
    </row>
    <row r="120" spans="3:10">
      <c r="C120">
        <v>37886</v>
      </c>
      <c r="D120">
        <v>7</v>
      </c>
      <c r="E120" t="s">
        <v>13726</v>
      </c>
      <c r="F120">
        <v>62</v>
      </c>
      <c r="J120" t="s">
        <v>13828</v>
      </c>
    </row>
    <row r="121" spans="3:10">
      <c r="C121">
        <v>37886</v>
      </c>
      <c r="D121">
        <v>7</v>
      </c>
      <c r="E121" t="s">
        <v>143</v>
      </c>
      <c r="F121">
        <v>72</v>
      </c>
      <c r="J121" t="s">
        <v>13829</v>
      </c>
    </row>
    <row r="122" spans="3:10">
      <c r="C122">
        <v>37887</v>
      </c>
      <c r="D122">
        <v>8</v>
      </c>
      <c r="E122" t="s">
        <v>143</v>
      </c>
      <c r="F122">
        <v>37</v>
      </c>
      <c r="J122" t="s">
        <v>13830</v>
      </c>
    </row>
    <row r="123" spans="3:10">
      <c r="C123">
        <v>37887</v>
      </c>
      <c r="D123">
        <v>8</v>
      </c>
      <c r="E123" t="s">
        <v>143</v>
      </c>
      <c r="F123">
        <v>38</v>
      </c>
      <c r="J123" t="s">
        <v>13831</v>
      </c>
    </row>
    <row r="124" spans="3:10">
      <c r="C124">
        <v>37887</v>
      </c>
      <c r="D124">
        <v>8</v>
      </c>
      <c r="E124" t="s">
        <v>143</v>
      </c>
      <c r="F124">
        <v>39</v>
      </c>
      <c r="J124" t="s">
        <v>13832</v>
      </c>
    </row>
    <row r="125" spans="3:10">
      <c r="C125">
        <v>37887</v>
      </c>
      <c r="D125">
        <v>8</v>
      </c>
      <c r="E125" t="s">
        <v>143</v>
      </c>
      <c r="F125">
        <v>40</v>
      </c>
      <c r="J125" t="s">
        <v>13833</v>
      </c>
    </row>
    <row r="126" spans="3:10">
      <c r="C126">
        <v>37887</v>
      </c>
      <c r="D126">
        <v>8</v>
      </c>
      <c r="E126" t="s">
        <v>695</v>
      </c>
      <c r="F126">
        <v>47</v>
      </c>
      <c r="J126" t="s">
        <v>13834</v>
      </c>
    </row>
    <row r="127" spans="3:10">
      <c r="C127">
        <v>37887</v>
      </c>
      <c r="D127">
        <v>8</v>
      </c>
      <c r="E127" t="s">
        <v>112</v>
      </c>
      <c r="F127">
        <v>47</v>
      </c>
      <c r="J127" t="s">
        <v>13834</v>
      </c>
    </row>
    <row r="128" spans="3:10">
      <c r="C128">
        <v>37887</v>
      </c>
      <c r="D128">
        <v>1</v>
      </c>
      <c r="E128" t="s">
        <v>122</v>
      </c>
      <c r="F128">
        <v>26</v>
      </c>
      <c r="J128" t="s">
        <v>13835</v>
      </c>
    </row>
    <row r="129" spans="3:10">
      <c r="C129">
        <v>37887</v>
      </c>
      <c r="D129">
        <v>1</v>
      </c>
      <c r="E129" t="s">
        <v>122</v>
      </c>
      <c r="F129">
        <v>63</v>
      </c>
      <c r="J129" t="s">
        <v>13836</v>
      </c>
    </row>
    <row r="130" spans="3:10">
      <c r="C130">
        <v>37887</v>
      </c>
      <c r="D130">
        <v>1</v>
      </c>
      <c r="E130" t="s">
        <v>953</v>
      </c>
      <c r="F130">
        <v>29</v>
      </c>
      <c r="J130" t="s">
        <v>13837</v>
      </c>
    </row>
    <row r="131" spans="3:10">
      <c r="C131">
        <v>37887</v>
      </c>
      <c r="D131">
        <v>1</v>
      </c>
      <c r="E131" t="s">
        <v>112</v>
      </c>
      <c r="F131">
        <v>51</v>
      </c>
      <c r="J131" t="s">
        <v>13838</v>
      </c>
    </row>
    <row r="132" spans="3:10">
      <c r="C132">
        <v>37887</v>
      </c>
      <c r="D132">
        <v>2</v>
      </c>
      <c r="E132" t="s">
        <v>580</v>
      </c>
      <c r="F132">
        <v>64</v>
      </c>
      <c r="J132" t="s">
        <v>13837</v>
      </c>
    </row>
    <row r="133" spans="3:10">
      <c r="C133">
        <v>37887</v>
      </c>
      <c r="D133">
        <v>3</v>
      </c>
      <c r="E133" t="s">
        <v>13750</v>
      </c>
      <c r="F133">
        <v>65</v>
      </c>
      <c r="J133" t="s">
        <v>13839</v>
      </c>
    </row>
    <row r="134" spans="3:10">
      <c r="C134">
        <v>37887</v>
      </c>
      <c r="D134">
        <v>3</v>
      </c>
      <c r="E134" t="s">
        <v>695</v>
      </c>
      <c r="F134">
        <v>65</v>
      </c>
      <c r="J134" t="s">
        <v>13840</v>
      </c>
    </row>
    <row r="135" spans="3:10">
      <c r="C135">
        <v>37887</v>
      </c>
      <c r="D135">
        <v>3</v>
      </c>
      <c r="E135" t="s">
        <v>13748</v>
      </c>
      <c r="F135">
        <v>67</v>
      </c>
      <c r="J135" t="s">
        <v>13841</v>
      </c>
    </row>
    <row r="136" spans="3:10">
      <c r="C136">
        <v>37887</v>
      </c>
      <c r="D136">
        <v>3</v>
      </c>
      <c r="E136" t="s">
        <v>13748</v>
      </c>
      <c r="F136">
        <v>68</v>
      </c>
      <c r="J136" t="s">
        <v>13841</v>
      </c>
    </row>
    <row r="137" spans="3:10">
      <c r="C137">
        <v>37887</v>
      </c>
      <c r="D137">
        <v>1</v>
      </c>
      <c r="E137" t="s">
        <v>580</v>
      </c>
      <c r="F137">
        <v>56</v>
      </c>
      <c r="J137" t="s">
        <v>13842</v>
      </c>
    </row>
    <row r="138" spans="3:10">
      <c r="C138">
        <v>37887</v>
      </c>
      <c r="D138">
        <v>1</v>
      </c>
      <c r="E138" t="s">
        <v>953</v>
      </c>
      <c r="F138">
        <v>35</v>
      </c>
      <c r="J138" t="s">
        <v>13843</v>
      </c>
    </row>
    <row r="139" spans="3:10">
      <c r="C139">
        <v>37887</v>
      </c>
      <c r="D139">
        <v>7</v>
      </c>
      <c r="E139" t="s">
        <v>13750</v>
      </c>
      <c r="F139">
        <v>22</v>
      </c>
      <c r="J139" t="s">
        <v>13844</v>
      </c>
    </row>
    <row r="140" spans="3:10">
      <c r="C140">
        <v>37887</v>
      </c>
      <c r="D140">
        <v>8</v>
      </c>
      <c r="E140" t="s">
        <v>580</v>
      </c>
      <c r="F140">
        <v>54</v>
      </c>
      <c r="J140" t="s">
        <v>13845</v>
      </c>
    </row>
    <row r="141" spans="3:10">
      <c r="C141">
        <v>37893</v>
      </c>
      <c r="D141" t="s">
        <v>13760</v>
      </c>
      <c r="E141" t="s">
        <v>143</v>
      </c>
      <c r="F141">
        <v>11</v>
      </c>
      <c r="J141" t="s">
        <v>13846</v>
      </c>
    </row>
    <row r="142" spans="3:10">
      <c r="C142">
        <v>37893</v>
      </c>
      <c r="D142" t="s">
        <v>13740</v>
      </c>
      <c r="E142" t="s">
        <v>13750</v>
      </c>
      <c r="F142">
        <v>58</v>
      </c>
      <c r="J142" t="s">
        <v>13847</v>
      </c>
    </row>
    <row r="143" spans="3:10">
      <c r="C143">
        <v>37893</v>
      </c>
      <c r="D143" t="s">
        <v>13740</v>
      </c>
      <c r="E143" t="s">
        <v>13750</v>
      </c>
      <c r="F143">
        <v>11</v>
      </c>
      <c r="J143" t="s">
        <v>13848</v>
      </c>
    </row>
    <row r="144" spans="3:10">
      <c r="C144">
        <v>37893</v>
      </c>
      <c r="D144" t="s">
        <v>13740</v>
      </c>
      <c r="E144" t="s">
        <v>13750</v>
      </c>
      <c r="F144">
        <v>12</v>
      </c>
      <c r="J144" t="s">
        <v>13849</v>
      </c>
    </row>
    <row r="145" spans="3:10">
      <c r="C145">
        <v>37919</v>
      </c>
      <c r="D145" t="s">
        <v>13740</v>
      </c>
      <c r="E145" t="s">
        <v>13750</v>
      </c>
      <c r="F145">
        <v>442</v>
      </c>
      <c r="J145" t="s">
        <v>13850</v>
      </c>
    </row>
    <row r="146" spans="3:10">
      <c r="C146">
        <v>37921</v>
      </c>
      <c r="D146" t="s">
        <v>13753</v>
      </c>
      <c r="E146" t="s">
        <v>13851</v>
      </c>
      <c r="F146" t="s">
        <v>580</v>
      </c>
      <c r="I146" t="s">
        <v>13720</v>
      </c>
      <c r="J146" t="s">
        <v>13852</v>
      </c>
    </row>
    <row r="147" spans="3:10">
      <c r="C147">
        <v>37922</v>
      </c>
      <c r="D147" t="s">
        <v>13853</v>
      </c>
      <c r="E147" t="s">
        <v>13854</v>
      </c>
      <c r="F147" t="s">
        <v>13854</v>
      </c>
      <c r="J147" t="s">
        <v>13855</v>
      </c>
    </row>
    <row r="148" spans="3:10">
      <c r="C148">
        <v>37922</v>
      </c>
      <c r="D148">
        <v>4</v>
      </c>
      <c r="E148">
        <v>62</v>
      </c>
      <c r="F148" t="s">
        <v>13856</v>
      </c>
      <c r="J148" t="s">
        <v>13857</v>
      </c>
    </row>
    <row r="149" spans="3:10">
      <c r="C149">
        <v>37922</v>
      </c>
      <c r="D149">
        <v>8</v>
      </c>
      <c r="E149">
        <v>48</v>
      </c>
      <c r="F149" t="s">
        <v>695</v>
      </c>
      <c r="G149" t="s">
        <v>13720</v>
      </c>
      <c r="J149" t="s">
        <v>13858</v>
      </c>
    </row>
    <row r="150" spans="3:10">
      <c r="C150">
        <v>37922</v>
      </c>
      <c r="D150">
        <v>8</v>
      </c>
      <c r="E150">
        <v>48</v>
      </c>
      <c r="F150" t="s">
        <v>112</v>
      </c>
      <c r="G150" t="s">
        <v>13720</v>
      </c>
      <c r="J150" t="s">
        <v>13859</v>
      </c>
    </row>
    <row r="151" spans="3:10">
      <c r="C151">
        <v>37922</v>
      </c>
      <c r="D151">
        <v>1</v>
      </c>
      <c r="E151">
        <v>21</v>
      </c>
      <c r="F151" t="s">
        <v>13860</v>
      </c>
      <c r="J151" t="s">
        <v>13861</v>
      </c>
    </row>
    <row r="152" spans="3:10">
      <c r="C152">
        <v>37922</v>
      </c>
      <c r="D152">
        <v>8</v>
      </c>
      <c r="E152">
        <v>32</v>
      </c>
      <c r="F152" t="s">
        <v>147</v>
      </c>
      <c r="J152" t="s">
        <v>13862</v>
      </c>
    </row>
    <row r="153" spans="3:10">
      <c r="C153">
        <v>37922</v>
      </c>
      <c r="D153">
        <v>8</v>
      </c>
      <c r="E153">
        <v>32</v>
      </c>
      <c r="F153" t="s">
        <v>13863</v>
      </c>
      <c r="J153" t="s">
        <v>13864</v>
      </c>
    </row>
    <row r="154" spans="3:10">
      <c r="C154">
        <v>37922</v>
      </c>
      <c r="D154">
        <v>8</v>
      </c>
      <c r="E154">
        <v>54</v>
      </c>
      <c r="F154" t="s">
        <v>13748</v>
      </c>
      <c r="J154" t="s">
        <v>13865</v>
      </c>
    </row>
    <row r="155" spans="3:10">
      <c r="C155">
        <v>37922</v>
      </c>
      <c r="D155">
        <v>8</v>
      </c>
      <c r="E155">
        <v>48</v>
      </c>
      <c r="F155" t="s">
        <v>695</v>
      </c>
      <c r="G155" t="s">
        <v>13720</v>
      </c>
      <c r="J155" t="s">
        <v>13866</v>
      </c>
    </row>
    <row r="156" spans="3:10">
      <c r="C156">
        <v>37922</v>
      </c>
      <c r="D156">
        <v>8</v>
      </c>
      <c r="E156">
        <v>48</v>
      </c>
      <c r="F156" t="s">
        <v>112</v>
      </c>
      <c r="G156" t="s">
        <v>13720</v>
      </c>
      <c r="J156" t="s">
        <v>13859</v>
      </c>
    </row>
    <row r="157" spans="3:10">
      <c r="C157">
        <v>37922</v>
      </c>
      <c r="D157">
        <v>7</v>
      </c>
      <c r="E157">
        <v>4</v>
      </c>
      <c r="F157" t="s">
        <v>157</v>
      </c>
      <c r="G157" t="s">
        <v>13720</v>
      </c>
      <c r="J157" t="s">
        <v>13867</v>
      </c>
    </row>
    <row r="158" spans="3:10">
      <c r="C158">
        <v>37922</v>
      </c>
      <c r="D158">
        <v>7</v>
      </c>
      <c r="E158">
        <v>5</v>
      </c>
      <c r="F158" t="s">
        <v>157</v>
      </c>
      <c r="G158" t="s">
        <v>13720</v>
      </c>
      <c r="J158" t="s">
        <v>13868</v>
      </c>
    </row>
    <row r="159" spans="3:10">
      <c r="C159">
        <v>37922</v>
      </c>
      <c r="D159">
        <v>7</v>
      </c>
      <c r="E159">
        <v>13</v>
      </c>
      <c r="F159" t="s">
        <v>157</v>
      </c>
      <c r="G159" t="s">
        <v>13720</v>
      </c>
      <c r="J159" t="s">
        <v>13869</v>
      </c>
    </row>
    <row r="160" spans="3:10">
      <c r="C160">
        <v>37922</v>
      </c>
      <c r="D160">
        <v>7</v>
      </c>
      <c r="E160">
        <v>14</v>
      </c>
      <c r="F160" t="s">
        <v>157</v>
      </c>
      <c r="G160" t="s">
        <v>13720</v>
      </c>
      <c r="J160" t="s">
        <v>13870</v>
      </c>
    </row>
    <row r="161" spans="2:14">
      <c r="C161">
        <v>37922</v>
      </c>
      <c r="D161">
        <v>7</v>
      </c>
      <c r="E161">
        <v>4</v>
      </c>
      <c r="F161" t="s">
        <v>13726</v>
      </c>
      <c r="G161" t="s">
        <v>13720</v>
      </c>
      <c r="J161" t="s">
        <v>13871</v>
      </c>
    </row>
    <row r="162" spans="2:14">
      <c r="C162">
        <v>37922</v>
      </c>
      <c r="D162">
        <v>7</v>
      </c>
      <c r="E162">
        <v>5</v>
      </c>
      <c r="F162" t="s">
        <v>13726</v>
      </c>
      <c r="G162" t="s">
        <v>13720</v>
      </c>
      <c r="J162" t="s">
        <v>13872</v>
      </c>
    </row>
    <row r="163" spans="2:14">
      <c r="C163">
        <v>37922</v>
      </c>
      <c r="D163">
        <v>7</v>
      </c>
      <c r="E163">
        <v>13</v>
      </c>
      <c r="F163" t="s">
        <v>13726</v>
      </c>
      <c r="G163" t="s">
        <v>13720</v>
      </c>
      <c r="J163" t="s">
        <v>13873</v>
      </c>
    </row>
    <row r="164" spans="2:14">
      <c r="C164">
        <v>37922</v>
      </c>
      <c r="D164">
        <v>7</v>
      </c>
      <c r="E164">
        <v>14</v>
      </c>
      <c r="F164" t="s">
        <v>13726</v>
      </c>
      <c r="G164" t="s">
        <v>13720</v>
      </c>
      <c r="J164" t="s">
        <v>13874</v>
      </c>
    </row>
    <row r="165" spans="2:14">
      <c r="B165" t="s">
        <v>13875</v>
      </c>
      <c r="C165">
        <v>37928</v>
      </c>
      <c r="D165" t="s">
        <v>13722</v>
      </c>
      <c r="E165" t="s">
        <v>114</v>
      </c>
      <c r="F165">
        <v>2224</v>
      </c>
      <c r="J165" t="s">
        <v>13876</v>
      </c>
      <c r="N165" t="s">
        <v>13877</v>
      </c>
    </row>
    <row r="166" spans="2:14">
      <c r="B166" t="s">
        <v>13878</v>
      </c>
      <c r="C166">
        <v>37929</v>
      </c>
      <c r="D166" t="s">
        <v>13753</v>
      </c>
      <c r="E166" t="s">
        <v>122</v>
      </c>
      <c r="F166">
        <v>2153</v>
      </c>
      <c r="I166" t="s">
        <v>13720</v>
      </c>
      <c r="J166" t="s">
        <v>13879</v>
      </c>
    </row>
    <row r="167" spans="2:14">
      <c r="C167">
        <v>37929</v>
      </c>
      <c r="D167" t="s">
        <v>13753</v>
      </c>
      <c r="E167" t="s">
        <v>122</v>
      </c>
      <c r="F167">
        <v>2154</v>
      </c>
      <c r="I167" t="s">
        <v>13720</v>
      </c>
      <c r="J167" t="s">
        <v>13880</v>
      </c>
    </row>
    <row r="168" spans="2:14">
      <c r="C168">
        <v>37929</v>
      </c>
      <c r="D168">
        <v>6</v>
      </c>
      <c r="E168" t="s">
        <v>13726</v>
      </c>
      <c r="F168">
        <v>38</v>
      </c>
      <c r="J168" t="s">
        <v>13881</v>
      </c>
    </row>
    <row r="169" spans="2:14">
      <c r="C169">
        <v>37929</v>
      </c>
      <c r="D169" t="s">
        <v>13753</v>
      </c>
      <c r="E169" t="s">
        <v>143</v>
      </c>
      <c r="F169">
        <v>2153</v>
      </c>
      <c r="I169" t="s">
        <v>13720</v>
      </c>
      <c r="J169" t="s">
        <v>13882</v>
      </c>
    </row>
    <row r="170" spans="2:14">
      <c r="C170">
        <v>37929</v>
      </c>
      <c r="D170" t="s">
        <v>13753</v>
      </c>
      <c r="E170" t="s">
        <v>143</v>
      </c>
      <c r="F170">
        <v>2154</v>
      </c>
      <c r="I170" t="s">
        <v>13720</v>
      </c>
      <c r="J170" t="s">
        <v>13883</v>
      </c>
    </row>
    <row r="171" spans="2:14">
      <c r="C171">
        <v>37929</v>
      </c>
      <c r="D171" t="s">
        <v>13722</v>
      </c>
      <c r="E171" t="s">
        <v>114</v>
      </c>
      <c r="F171">
        <v>2240</v>
      </c>
      <c r="J171" t="s">
        <v>13884</v>
      </c>
    </row>
    <row r="172" spans="2:14">
      <c r="C172">
        <v>37929</v>
      </c>
      <c r="D172" t="s">
        <v>13753</v>
      </c>
      <c r="E172" t="s">
        <v>157</v>
      </c>
      <c r="F172">
        <v>51</v>
      </c>
      <c r="J172" t="s">
        <v>13885</v>
      </c>
    </row>
    <row r="173" spans="2:14">
      <c r="C173">
        <v>37929</v>
      </c>
      <c r="D173" t="s">
        <v>13753</v>
      </c>
      <c r="E173" t="s">
        <v>157</v>
      </c>
      <c r="F173">
        <v>52</v>
      </c>
      <c r="J173" t="s">
        <v>13886</v>
      </c>
    </row>
    <row r="174" spans="2:14">
      <c r="C174">
        <v>37929</v>
      </c>
      <c r="D174" t="s">
        <v>13753</v>
      </c>
      <c r="E174" t="s">
        <v>143</v>
      </c>
      <c r="F174">
        <v>269</v>
      </c>
      <c r="J174" t="s">
        <v>13887</v>
      </c>
    </row>
    <row r="175" spans="2:14">
      <c r="B175" t="s">
        <v>13888</v>
      </c>
      <c r="C175">
        <v>37938</v>
      </c>
      <c r="D175" t="s">
        <v>13753</v>
      </c>
      <c r="E175" t="s">
        <v>580</v>
      </c>
      <c r="F175" t="s">
        <v>13889</v>
      </c>
      <c r="J175" t="s">
        <v>13890</v>
      </c>
    </row>
    <row r="176" spans="2:14">
      <c r="C176">
        <v>37929</v>
      </c>
      <c r="D176" t="s">
        <v>13753</v>
      </c>
      <c r="E176" t="s">
        <v>143</v>
      </c>
      <c r="F176">
        <v>2153</v>
      </c>
      <c r="J176" t="s">
        <v>13891</v>
      </c>
    </row>
    <row r="177" spans="2:10">
      <c r="C177">
        <v>37929</v>
      </c>
      <c r="D177" t="s">
        <v>13753</v>
      </c>
      <c r="E177" t="s">
        <v>143</v>
      </c>
      <c r="F177">
        <v>2154</v>
      </c>
      <c r="J177" t="s">
        <v>13892</v>
      </c>
    </row>
    <row r="178" spans="2:10">
      <c r="C178">
        <v>37929</v>
      </c>
      <c r="D178" t="s">
        <v>13753</v>
      </c>
      <c r="E178" t="s">
        <v>122</v>
      </c>
      <c r="F178">
        <v>2153</v>
      </c>
      <c r="J178" t="s">
        <v>13893</v>
      </c>
    </row>
    <row r="179" spans="2:10">
      <c r="C179">
        <v>37929</v>
      </c>
      <c r="D179" t="s">
        <v>13753</v>
      </c>
      <c r="E179" t="s">
        <v>122</v>
      </c>
      <c r="F179">
        <v>2154</v>
      </c>
      <c r="J179" t="s">
        <v>13894</v>
      </c>
    </row>
    <row r="180" spans="2:10">
      <c r="C180">
        <v>37952</v>
      </c>
      <c r="D180">
        <v>1</v>
      </c>
      <c r="E180" t="s">
        <v>122</v>
      </c>
      <c r="F180">
        <v>21</v>
      </c>
      <c r="J180" t="s">
        <v>13895</v>
      </c>
    </row>
    <row r="181" spans="2:10">
      <c r="C181">
        <v>37952</v>
      </c>
      <c r="D181">
        <v>1</v>
      </c>
      <c r="E181" t="s">
        <v>953</v>
      </c>
      <c r="F181">
        <v>21</v>
      </c>
      <c r="J181" t="s">
        <v>13896</v>
      </c>
    </row>
    <row r="182" spans="2:10">
      <c r="C182">
        <v>37952</v>
      </c>
      <c r="D182" t="s">
        <v>13897</v>
      </c>
      <c r="E182" t="s">
        <v>13750</v>
      </c>
      <c r="F182" t="s">
        <v>13898</v>
      </c>
      <c r="J182" t="s">
        <v>13899</v>
      </c>
    </row>
    <row r="183" spans="2:10">
      <c r="B183" t="s">
        <v>13900</v>
      </c>
      <c r="C183">
        <v>37952</v>
      </c>
      <c r="D183" t="s">
        <v>13897</v>
      </c>
      <c r="E183" t="s">
        <v>13750</v>
      </c>
      <c r="F183">
        <v>84</v>
      </c>
      <c r="J183" t="s">
        <v>13901</v>
      </c>
    </row>
    <row r="184" spans="2:10">
      <c r="B184" t="s">
        <v>13902</v>
      </c>
      <c r="C184">
        <v>37964</v>
      </c>
      <c r="D184" t="s">
        <v>13753</v>
      </c>
      <c r="E184" t="s">
        <v>122</v>
      </c>
      <c r="F184">
        <v>273</v>
      </c>
      <c r="J184" t="s">
        <v>13903</v>
      </c>
    </row>
    <row r="185" spans="2:10">
      <c r="C185">
        <v>37964</v>
      </c>
      <c r="D185" t="s">
        <v>13753</v>
      </c>
      <c r="E185" t="s">
        <v>122</v>
      </c>
      <c r="F185">
        <v>320</v>
      </c>
      <c r="J185" t="s">
        <v>13904</v>
      </c>
    </row>
    <row r="186" spans="2:10">
      <c r="C186">
        <v>37964</v>
      </c>
      <c r="D186" t="s">
        <v>13753</v>
      </c>
      <c r="E186" t="s">
        <v>122</v>
      </c>
      <c r="F186">
        <v>326</v>
      </c>
      <c r="J186" t="s">
        <v>13905</v>
      </c>
    </row>
    <row r="187" spans="2:10">
      <c r="C187">
        <v>37964</v>
      </c>
      <c r="D187" t="s">
        <v>13753</v>
      </c>
      <c r="E187" t="s">
        <v>122</v>
      </c>
      <c r="F187">
        <v>371</v>
      </c>
      <c r="J187" t="s">
        <v>13906</v>
      </c>
    </row>
    <row r="188" spans="2:10">
      <c r="C188">
        <v>37964</v>
      </c>
      <c r="D188" t="s">
        <v>13499</v>
      </c>
      <c r="E188" t="s">
        <v>13907</v>
      </c>
      <c r="F188" t="s">
        <v>13908</v>
      </c>
      <c r="J188" t="s">
        <v>13909</v>
      </c>
    </row>
    <row r="189" spans="2:10">
      <c r="B189" t="s">
        <v>13910</v>
      </c>
      <c r="C189">
        <v>37634</v>
      </c>
      <c r="D189" t="s">
        <v>13753</v>
      </c>
      <c r="E189" t="s">
        <v>580</v>
      </c>
      <c r="F189">
        <v>70</v>
      </c>
      <c r="I189" t="s">
        <v>13720</v>
      </c>
      <c r="J189" t="s">
        <v>13911</v>
      </c>
    </row>
    <row r="190" spans="2:10">
      <c r="C190">
        <v>37634</v>
      </c>
      <c r="D190" t="s">
        <v>13753</v>
      </c>
      <c r="E190" t="s">
        <v>580</v>
      </c>
      <c r="F190">
        <v>109</v>
      </c>
      <c r="I190" t="s">
        <v>13720</v>
      </c>
      <c r="J190" t="s">
        <v>13911</v>
      </c>
    </row>
    <row r="191" spans="2:10">
      <c r="C191">
        <v>37634</v>
      </c>
      <c r="D191" t="s">
        <v>13753</v>
      </c>
      <c r="E191" t="s">
        <v>143</v>
      </c>
      <c r="F191">
        <v>113</v>
      </c>
      <c r="I191" t="s">
        <v>13720</v>
      </c>
      <c r="J191" t="s">
        <v>13912</v>
      </c>
    </row>
    <row r="192" spans="2:10">
      <c r="C192">
        <v>37634</v>
      </c>
      <c r="D192" t="s">
        <v>13753</v>
      </c>
      <c r="E192" t="s">
        <v>143</v>
      </c>
      <c r="F192">
        <v>162</v>
      </c>
      <c r="I192" t="s">
        <v>13720</v>
      </c>
      <c r="J192" t="s">
        <v>13913</v>
      </c>
    </row>
    <row r="193" spans="3:10">
      <c r="C193">
        <v>37634</v>
      </c>
      <c r="D193" t="s">
        <v>13753</v>
      </c>
      <c r="E193" t="s">
        <v>143</v>
      </c>
      <c r="F193">
        <v>168</v>
      </c>
      <c r="I193" t="s">
        <v>13720</v>
      </c>
      <c r="J193" t="s">
        <v>13912</v>
      </c>
    </row>
    <row r="194" spans="3:10">
      <c r="C194">
        <v>37634</v>
      </c>
      <c r="D194" t="s">
        <v>13753</v>
      </c>
      <c r="E194" t="s">
        <v>143</v>
      </c>
      <c r="F194">
        <v>216</v>
      </c>
      <c r="I194" t="s">
        <v>13720</v>
      </c>
      <c r="J194" t="s">
        <v>13913</v>
      </c>
    </row>
    <row r="195" spans="3:10">
      <c r="C195">
        <v>37634</v>
      </c>
      <c r="D195" t="s">
        <v>13753</v>
      </c>
      <c r="E195" t="s">
        <v>143</v>
      </c>
      <c r="F195">
        <v>218</v>
      </c>
      <c r="I195" t="s">
        <v>13720</v>
      </c>
      <c r="J195" t="s">
        <v>13912</v>
      </c>
    </row>
    <row r="196" spans="3:10">
      <c r="C196">
        <v>37634</v>
      </c>
      <c r="D196" t="s">
        <v>13753</v>
      </c>
      <c r="E196" t="s">
        <v>143</v>
      </c>
      <c r="F196">
        <v>267</v>
      </c>
      <c r="I196" t="s">
        <v>13720</v>
      </c>
      <c r="J196" t="s">
        <v>13913</v>
      </c>
    </row>
    <row r="197" spans="3:10">
      <c r="C197">
        <v>37634</v>
      </c>
      <c r="D197" t="s">
        <v>13753</v>
      </c>
      <c r="E197" t="s">
        <v>122</v>
      </c>
      <c r="F197">
        <v>273</v>
      </c>
      <c r="I197" t="s">
        <v>13720</v>
      </c>
      <c r="J197" t="s">
        <v>13914</v>
      </c>
    </row>
    <row r="198" spans="3:10">
      <c r="C198">
        <v>37634</v>
      </c>
      <c r="D198" t="s">
        <v>13753</v>
      </c>
      <c r="E198" t="s">
        <v>143</v>
      </c>
      <c r="F198">
        <v>274</v>
      </c>
      <c r="I198" t="s">
        <v>13720</v>
      </c>
      <c r="J198" t="s">
        <v>13912</v>
      </c>
    </row>
    <row r="199" spans="3:10">
      <c r="C199">
        <v>37634</v>
      </c>
      <c r="D199" t="s">
        <v>13753</v>
      </c>
      <c r="E199" t="s">
        <v>122</v>
      </c>
      <c r="F199">
        <v>320</v>
      </c>
      <c r="I199" t="s">
        <v>13720</v>
      </c>
      <c r="J199" t="s">
        <v>13915</v>
      </c>
    </row>
    <row r="200" spans="3:10">
      <c r="C200">
        <v>37634</v>
      </c>
      <c r="D200" t="s">
        <v>13753</v>
      </c>
      <c r="E200" t="s">
        <v>143</v>
      </c>
      <c r="F200">
        <v>321</v>
      </c>
      <c r="I200" t="s">
        <v>13720</v>
      </c>
      <c r="J200" t="s">
        <v>13913</v>
      </c>
    </row>
    <row r="201" spans="3:10">
      <c r="C201">
        <v>37634</v>
      </c>
      <c r="D201" t="s">
        <v>13753</v>
      </c>
      <c r="E201" t="s">
        <v>122</v>
      </c>
      <c r="F201">
        <v>326</v>
      </c>
      <c r="I201" t="s">
        <v>13720</v>
      </c>
      <c r="J201" t="s">
        <v>13916</v>
      </c>
    </row>
    <row r="202" spans="3:10">
      <c r="C202">
        <v>37634</v>
      </c>
      <c r="D202" t="s">
        <v>13753</v>
      </c>
      <c r="E202" t="s">
        <v>143</v>
      </c>
      <c r="F202">
        <v>327</v>
      </c>
      <c r="I202" t="s">
        <v>13720</v>
      </c>
      <c r="J202" t="s">
        <v>13912</v>
      </c>
    </row>
    <row r="203" spans="3:10">
      <c r="C203">
        <v>37634</v>
      </c>
      <c r="D203" t="s">
        <v>13753</v>
      </c>
      <c r="E203" t="s">
        <v>122</v>
      </c>
      <c r="F203">
        <v>371</v>
      </c>
      <c r="I203" t="s">
        <v>13720</v>
      </c>
      <c r="J203" t="s">
        <v>13917</v>
      </c>
    </row>
    <row r="204" spans="3:10">
      <c r="C204">
        <v>37634</v>
      </c>
      <c r="D204" t="s">
        <v>13753</v>
      </c>
      <c r="E204" t="s">
        <v>143</v>
      </c>
      <c r="F204">
        <v>372</v>
      </c>
      <c r="I204" t="s">
        <v>13720</v>
      </c>
      <c r="J204" t="s">
        <v>13913</v>
      </c>
    </row>
    <row r="205" spans="3:10">
      <c r="C205">
        <v>37634</v>
      </c>
      <c r="D205" t="s">
        <v>13753</v>
      </c>
      <c r="E205" t="s">
        <v>143</v>
      </c>
      <c r="F205">
        <v>375</v>
      </c>
      <c r="I205" t="s">
        <v>13720</v>
      </c>
      <c r="J205" t="s">
        <v>13912</v>
      </c>
    </row>
    <row r="206" spans="3:10">
      <c r="C206">
        <v>37634</v>
      </c>
      <c r="D206" t="s">
        <v>13753</v>
      </c>
      <c r="E206" t="s">
        <v>143</v>
      </c>
      <c r="F206">
        <v>421</v>
      </c>
      <c r="I206" t="s">
        <v>13720</v>
      </c>
      <c r="J206" t="s">
        <v>13913</v>
      </c>
    </row>
    <row r="207" spans="3:10">
      <c r="C207">
        <v>37634</v>
      </c>
      <c r="D207" t="s">
        <v>13753</v>
      </c>
      <c r="E207" t="s">
        <v>143</v>
      </c>
      <c r="F207">
        <v>428</v>
      </c>
      <c r="I207" t="s">
        <v>13720</v>
      </c>
      <c r="J207" t="s">
        <v>13912</v>
      </c>
    </row>
    <row r="208" spans="3:10">
      <c r="C208">
        <v>37634</v>
      </c>
      <c r="D208" t="s">
        <v>13753</v>
      </c>
      <c r="E208" t="s">
        <v>143</v>
      </c>
      <c r="F208">
        <v>470</v>
      </c>
      <c r="I208" t="s">
        <v>13720</v>
      </c>
      <c r="J208" t="s">
        <v>13913</v>
      </c>
    </row>
    <row r="209" spans="2:10">
      <c r="C209">
        <v>37635</v>
      </c>
      <c r="D209" t="s">
        <v>13753</v>
      </c>
      <c r="E209" t="s">
        <v>13918</v>
      </c>
      <c r="F209">
        <v>2480</v>
      </c>
      <c r="I209" t="s">
        <v>13720</v>
      </c>
      <c r="J209" t="s">
        <v>13919</v>
      </c>
    </row>
    <row r="210" spans="2:10">
      <c r="C210">
        <v>38007</v>
      </c>
      <c r="D210">
        <v>7</v>
      </c>
      <c r="E210" t="s">
        <v>13920</v>
      </c>
      <c r="F210" t="s">
        <v>13921</v>
      </c>
      <c r="I210" t="s">
        <v>13720</v>
      </c>
      <c r="J210" t="s">
        <v>13922</v>
      </c>
    </row>
    <row r="211" spans="2:10">
      <c r="C211">
        <v>38015</v>
      </c>
      <c r="D211" t="s">
        <v>12597</v>
      </c>
      <c r="J211" t="s">
        <v>13923</v>
      </c>
    </row>
    <row r="212" spans="2:10">
      <c r="C212">
        <v>38014</v>
      </c>
      <c r="D212" t="s">
        <v>13740</v>
      </c>
      <c r="E212" t="s">
        <v>13924</v>
      </c>
      <c r="F212" t="s">
        <v>13925</v>
      </c>
      <c r="I212" t="s">
        <v>13720</v>
      </c>
      <c r="J212" t="s">
        <v>13926</v>
      </c>
    </row>
    <row r="213" spans="2:10">
      <c r="B213" t="s">
        <v>13927</v>
      </c>
      <c r="C213">
        <v>38020</v>
      </c>
      <c r="D213" t="s">
        <v>12597</v>
      </c>
      <c r="J213" t="s">
        <v>13928</v>
      </c>
    </row>
    <row r="214" spans="2:10">
      <c r="C214">
        <v>38020</v>
      </c>
      <c r="D214" t="s">
        <v>13724</v>
      </c>
      <c r="E214" t="s">
        <v>13929</v>
      </c>
      <c r="F214">
        <v>645647</v>
      </c>
      <c r="H214" t="s">
        <v>13720</v>
      </c>
      <c r="J214" t="s">
        <v>13930</v>
      </c>
    </row>
    <row r="215" spans="2:10" ht="13">
      <c r="B215" t="s">
        <v>13931</v>
      </c>
      <c r="C215">
        <v>38023</v>
      </c>
      <c r="D215" t="s">
        <v>13753</v>
      </c>
      <c r="E215" t="s">
        <v>143</v>
      </c>
      <c r="F215">
        <v>331</v>
      </c>
      <c r="I215" t="s">
        <v>13720</v>
      </c>
      <c r="J215" t="s">
        <v>13932</v>
      </c>
    </row>
    <row r="216" spans="2:10">
      <c r="C216">
        <v>38023</v>
      </c>
      <c r="D216">
        <v>1</v>
      </c>
      <c r="E216" t="s">
        <v>143</v>
      </c>
      <c r="F216">
        <v>1</v>
      </c>
      <c r="J216" t="s">
        <v>13933</v>
      </c>
    </row>
    <row r="217" spans="2:10">
      <c r="C217">
        <v>38023</v>
      </c>
      <c r="D217" t="s">
        <v>13740</v>
      </c>
      <c r="E217" t="s">
        <v>157</v>
      </c>
      <c r="F217">
        <v>30</v>
      </c>
      <c r="J217" t="s">
        <v>13934</v>
      </c>
    </row>
    <row r="218" spans="2:10">
      <c r="C218">
        <v>38023</v>
      </c>
      <c r="E218" t="s">
        <v>157</v>
      </c>
      <c r="F218">
        <v>80</v>
      </c>
      <c r="J218" t="s">
        <v>13934</v>
      </c>
    </row>
    <row r="219" spans="2:10">
      <c r="C219">
        <v>38023</v>
      </c>
      <c r="E219" t="s">
        <v>157</v>
      </c>
      <c r="F219">
        <v>174</v>
      </c>
      <c r="J219" t="s">
        <v>13935</v>
      </c>
    </row>
    <row r="220" spans="2:10">
      <c r="C220">
        <v>38023</v>
      </c>
      <c r="E220" t="s">
        <v>157</v>
      </c>
      <c r="F220">
        <v>224</v>
      </c>
      <c r="J220" t="s">
        <v>13936</v>
      </c>
    </row>
    <row r="221" spans="2:10">
      <c r="C221">
        <v>38023</v>
      </c>
      <c r="E221" t="s">
        <v>157</v>
      </c>
      <c r="F221">
        <v>396</v>
      </c>
      <c r="J221" t="s">
        <v>13937</v>
      </c>
    </row>
    <row r="222" spans="2:10">
      <c r="C222">
        <v>38023</v>
      </c>
      <c r="E222" t="s">
        <v>157</v>
      </c>
      <c r="F222">
        <v>445</v>
      </c>
      <c r="J222" t="s">
        <v>13938</v>
      </c>
    </row>
    <row r="223" spans="2:10">
      <c r="C223">
        <v>38023</v>
      </c>
      <c r="E223" t="s">
        <v>157</v>
      </c>
      <c r="F223">
        <v>446</v>
      </c>
      <c r="J223" t="s">
        <v>13938</v>
      </c>
    </row>
    <row r="224" spans="2:10">
      <c r="C224">
        <v>38023</v>
      </c>
      <c r="D224">
        <v>3</v>
      </c>
      <c r="E224" t="s">
        <v>13939</v>
      </c>
      <c r="F224" t="s">
        <v>13940</v>
      </c>
      <c r="J224" t="s">
        <v>13941</v>
      </c>
    </row>
    <row r="225" spans="2:10">
      <c r="C225">
        <v>38023</v>
      </c>
      <c r="D225">
        <v>4</v>
      </c>
      <c r="E225" t="s">
        <v>13939</v>
      </c>
      <c r="F225" t="s">
        <v>13942</v>
      </c>
      <c r="J225" t="s">
        <v>13941</v>
      </c>
    </row>
    <row r="226" spans="2:10">
      <c r="C226">
        <v>38023</v>
      </c>
      <c r="D226" t="s">
        <v>12597</v>
      </c>
      <c r="J226" t="s">
        <v>13943</v>
      </c>
    </row>
    <row r="227" spans="2:10">
      <c r="B227" t="s">
        <v>13944</v>
      </c>
      <c r="C227">
        <v>38026</v>
      </c>
      <c r="D227" t="s">
        <v>13722</v>
      </c>
      <c r="E227" t="s">
        <v>13945</v>
      </c>
      <c r="F227" t="s">
        <v>13946</v>
      </c>
      <c r="J227" t="s">
        <v>13947</v>
      </c>
    </row>
    <row r="228" spans="2:10" ht="13">
      <c r="C228">
        <v>38026</v>
      </c>
      <c r="D228" t="s">
        <v>13753</v>
      </c>
      <c r="E228" t="s">
        <v>580</v>
      </c>
      <c r="F228" t="s">
        <v>13948</v>
      </c>
      <c r="J228" t="s">
        <v>13949</v>
      </c>
    </row>
    <row r="229" spans="2:10">
      <c r="C229">
        <v>38027</v>
      </c>
      <c r="D229" t="s">
        <v>12597</v>
      </c>
      <c r="J229" t="s">
        <v>13950</v>
      </c>
    </row>
    <row r="230" spans="2:10">
      <c r="C230">
        <v>38027</v>
      </c>
      <c r="D230" t="s">
        <v>12597</v>
      </c>
      <c r="J230" t="s">
        <v>13951</v>
      </c>
    </row>
    <row r="231" spans="2:10">
      <c r="B231" t="s">
        <v>13952</v>
      </c>
      <c r="C231">
        <v>38030</v>
      </c>
      <c r="D231" t="s">
        <v>13724</v>
      </c>
      <c r="E231" t="s">
        <v>147</v>
      </c>
      <c r="F231" t="s">
        <v>13953</v>
      </c>
      <c r="J231" t="s">
        <v>13954</v>
      </c>
    </row>
    <row r="232" spans="2:10">
      <c r="C232">
        <v>38030</v>
      </c>
      <c r="D232" t="s">
        <v>13724</v>
      </c>
      <c r="E232" t="s">
        <v>147</v>
      </c>
      <c r="F232" t="s">
        <v>13955</v>
      </c>
      <c r="J232" t="s">
        <v>13954</v>
      </c>
    </row>
    <row r="233" spans="2:10">
      <c r="C233">
        <v>38030</v>
      </c>
      <c r="D233" t="s">
        <v>13724</v>
      </c>
      <c r="E233" t="s">
        <v>147</v>
      </c>
      <c r="F233" t="s">
        <v>13956</v>
      </c>
      <c r="J233" t="s">
        <v>13954</v>
      </c>
    </row>
    <row r="234" spans="2:10">
      <c r="C234">
        <v>38030</v>
      </c>
      <c r="D234" t="s">
        <v>13724</v>
      </c>
      <c r="E234" t="s">
        <v>147</v>
      </c>
      <c r="F234" t="s">
        <v>13957</v>
      </c>
      <c r="J234" t="s">
        <v>13954</v>
      </c>
    </row>
    <row r="235" spans="2:10">
      <c r="C235">
        <v>38030</v>
      </c>
      <c r="D235" t="s">
        <v>13724</v>
      </c>
      <c r="E235" t="s">
        <v>147</v>
      </c>
      <c r="F235" t="s">
        <v>13958</v>
      </c>
      <c r="J235" t="s">
        <v>13954</v>
      </c>
    </row>
    <row r="236" spans="2:10">
      <c r="C236">
        <v>38030</v>
      </c>
      <c r="D236" t="s">
        <v>13724</v>
      </c>
      <c r="E236" t="s">
        <v>147</v>
      </c>
      <c r="F236" t="s">
        <v>13959</v>
      </c>
      <c r="J236" t="s">
        <v>13954</v>
      </c>
    </row>
    <row r="237" spans="2:10">
      <c r="B237" t="s">
        <v>13960</v>
      </c>
      <c r="C237">
        <v>38034</v>
      </c>
      <c r="D237" t="s">
        <v>13961</v>
      </c>
      <c r="E237" t="s">
        <v>13962</v>
      </c>
      <c r="F237">
        <v>63</v>
      </c>
      <c r="J237" t="s">
        <v>13963</v>
      </c>
    </row>
    <row r="238" spans="2:10">
      <c r="C238">
        <v>38034</v>
      </c>
      <c r="D238" t="s">
        <v>13964</v>
      </c>
      <c r="E238" t="s">
        <v>13962</v>
      </c>
      <c r="F238">
        <v>63</v>
      </c>
      <c r="J238" t="s">
        <v>13963</v>
      </c>
    </row>
    <row r="239" spans="2:10">
      <c r="B239" t="s">
        <v>13965</v>
      </c>
      <c r="C239">
        <v>38035</v>
      </c>
      <c r="D239" t="s">
        <v>13753</v>
      </c>
      <c r="E239" t="s">
        <v>580</v>
      </c>
      <c r="F239" t="s">
        <v>13966</v>
      </c>
      <c r="J239" t="s">
        <v>13967</v>
      </c>
    </row>
    <row r="240" spans="2:10">
      <c r="C240">
        <v>38035</v>
      </c>
      <c r="D240" t="s">
        <v>13753</v>
      </c>
      <c r="E240" t="s">
        <v>114</v>
      </c>
      <c r="F240" t="s">
        <v>13968</v>
      </c>
      <c r="J240" t="s">
        <v>13969</v>
      </c>
    </row>
    <row r="241" spans="3:10">
      <c r="C241">
        <v>38035</v>
      </c>
      <c r="D241" t="s">
        <v>13970</v>
      </c>
      <c r="E241" t="s">
        <v>114</v>
      </c>
      <c r="F241">
        <v>23</v>
      </c>
      <c r="J241" t="s">
        <v>13971</v>
      </c>
    </row>
    <row r="242" spans="3:10">
      <c r="C242">
        <v>38035</v>
      </c>
      <c r="D242" t="s">
        <v>13970</v>
      </c>
      <c r="E242" t="s">
        <v>114</v>
      </c>
      <c r="F242">
        <v>24</v>
      </c>
      <c r="J242" t="s">
        <v>13972</v>
      </c>
    </row>
    <row r="243" spans="3:10">
      <c r="C243">
        <v>38035</v>
      </c>
      <c r="D243" t="s">
        <v>13970</v>
      </c>
      <c r="E243" t="s">
        <v>114</v>
      </c>
      <c r="F243">
        <v>25</v>
      </c>
      <c r="J243" t="s">
        <v>13973</v>
      </c>
    </row>
    <row r="244" spans="3:10">
      <c r="C244">
        <v>38035</v>
      </c>
      <c r="D244" t="s">
        <v>13970</v>
      </c>
      <c r="E244" t="s">
        <v>114</v>
      </c>
      <c r="F244">
        <v>26</v>
      </c>
      <c r="J244" t="s">
        <v>13974</v>
      </c>
    </row>
    <row r="245" spans="3:10">
      <c r="C245">
        <v>38035</v>
      </c>
      <c r="D245" t="s">
        <v>13970</v>
      </c>
      <c r="E245" t="s">
        <v>114</v>
      </c>
      <c r="F245">
        <v>27</v>
      </c>
      <c r="J245" t="s">
        <v>13975</v>
      </c>
    </row>
    <row r="246" spans="3:10">
      <c r="C246">
        <v>38035</v>
      </c>
      <c r="D246" t="s">
        <v>13970</v>
      </c>
      <c r="E246" t="s">
        <v>114</v>
      </c>
      <c r="F246">
        <v>28</v>
      </c>
      <c r="J246" t="s">
        <v>13976</v>
      </c>
    </row>
    <row r="247" spans="3:10">
      <c r="C247">
        <v>38035</v>
      </c>
      <c r="D247" t="s">
        <v>13970</v>
      </c>
      <c r="E247" t="s">
        <v>114</v>
      </c>
      <c r="F247">
        <v>29</v>
      </c>
      <c r="J247" t="s">
        <v>13977</v>
      </c>
    </row>
    <row r="248" spans="3:10">
      <c r="C248">
        <v>38035</v>
      </c>
      <c r="D248" t="s">
        <v>13753</v>
      </c>
      <c r="E248" t="s">
        <v>13978</v>
      </c>
      <c r="F248">
        <v>2191</v>
      </c>
      <c r="J248" t="s">
        <v>13979</v>
      </c>
    </row>
    <row r="249" spans="3:10">
      <c r="C249">
        <v>38035</v>
      </c>
      <c r="D249" t="s">
        <v>13753</v>
      </c>
      <c r="E249" t="s">
        <v>13978</v>
      </c>
      <c r="F249">
        <v>2192</v>
      </c>
      <c r="J249" t="s">
        <v>13979</v>
      </c>
    </row>
    <row r="250" spans="3:10">
      <c r="C250">
        <v>38035</v>
      </c>
      <c r="D250" t="s">
        <v>13753</v>
      </c>
      <c r="E250" t="s">
        <v>13978</v>
      </c>
      <c r="F250">
        <v>2193</v>
      </c>
      <c r="J250" t="s">
        <v>13979</v>
      </c>
    </row>
    <row r="251" spans="3:10">
      <c r="C251">
        <v>38035</v>
      </c>
      <c r="D251" t="s">
        <v>13753</v>
      </c>
      <c r="E251" t="s">
        <v>13978</v>
      </c>
      <c r="F251">
        <v>2194</v>
      </c>
      <c r="J251" t="s">
        <v>13979</v>
      </c>
    </row>
    <row r="252" spans="3:10">
      <c r="C252">
        <v>38035</v>
      </c>
      <c r="D252" t="s">
        <v>13753</v>
      </c>
      <c r="E252" t="s">
        <v>13978</v>
      </c>
      <c r="F252">
        <v>2195</v>
      </c>
      <c r="J252" t="s">
        <v>13979</v>
      </c>
    </row>
    <row r="253" spans="3:10">
      <c r="C253">
        <v>38035</v>
      </c>
      <c r="D253" t="s">
        <v>13753</v>
      </c>
      <c r="E253" t="s">
        <v>13978</v>
      </c>
      <c r="F253">
        <v>2264</v>
      </c>
      <c r="J253" t="s">
        <v>13980</v>
      </c>
    </row>
    <row r="254" spans="3:10">
      <c r="C254">
        <v>38035</v>
      </c>
      <c r="D254" t="s">
        <v>13753</v>
      </c>
      <c r="E254" t="s">
        <v>13978</v>
      </c>
      <c r="F254">
        <v>2265</v>
      </c>
      <c r="J254" t="s">
        <v>13980</v>
      </c>
    </row>
    <row r="255" spans="3:10">
      <c r="C255">
        <v>38035</v>
      </c>
      <c r="D255" t="s">
        <v>13981</v>
      </c>
      <c r="E255" t="s">
        <v>13981</v>
      </c>
      <c r="F255" t="s">
        <v>13981</v>
      </c>
      <c r="J255" t="s">
        <v>13982</v>
      </c>
    </row>
    <row r="256" spans="3:10">
      <c r="C256">
        <v>38035</v>
      </c>
      <c r="D256" t="s">
        <v>13740</v>
      </c>
      <c r="E256" t="s">
        <v>143</v>
      </c>
      <c r="F256">
        <v>573</v>
      </c>
      <c r="J256" t="s">
        <v>13983</v>
      </c>
    </row>
    <row r="257" spans="2:10">
      <c r="C257">
        <v>38035</v>
      </c>
      <c r="D257" t="s">
        <v>13713</v>
      </c>
      <c r="E257" t="s">
        <v>13750</v>
      </c>
      <c r="F257">
        <v>67</v>
      </c>
      <c r="J257" t="s">
        <v>13984</v>
      </c>
    </row>
    <row r="258" spans="2:10">
      <c r="C258">
        <v>38036</v>
      </c>
      <c r="D258" t="s">
        <v>13740</v>
      </c>
      <c r="E258" t="s">
        <v>13985</v>
      </c>
      <c r="F258">
        <v>558</v>
      </c>
      <c r="J258" t="s">
        <v>13986</v>
      </c>
    </row>
    <row r="259" spans="2:10">
      <c r="C259">
        <v>38036</v>
      </c>
      <c r="D259" t="s">
        <v>13753</v>
      </c>
      <c r="E259" t="s">
        <v>695</v>
      </c>
      <c r="F259">
        <v>2153</v>
      </c>
      <c r="J259" t="s">
        <v>13987</v>
      </c>
    </row>
    <row r="260" spans="2:10">
      <c r="C260">
        <v>38036</v>
      </c>
      <c r="D260" t="s">
        <v>13753</v>
      </c>
      <c r="E260" t="s">
        <v>695</v>
      </c>
      <c r="F260">
        <v>2154</v>
      </c>
      <c r="J260" t="s">
        <v>13988</v>
      </c>
    </row>
    <row r="261" spans="2:10">
      <c r="C261">
        <v>38036</v>
      </c>
      <c r="D261" t="s">
        <v>13753</v>
      </c>
      <c r="E261" t="s">
        <v>13748</v>
      </c>
      <c r="F261">
        <v>2153</v>
      </c>
      <c r="J261" t="s">
        <v>13989</v>
      </c>
    </row>
    <row r="262" spans="2:10">
      <c r="C262">
        <v>38036</v>
      </c>
      <c r="D262" t="s">
        <v>13753</v>
      </c>
      <c r="E262" t="s">
        <v>13748</v>
      </c>
      <c r="F262">
        <v>2154</v>
      </c>
      <c r="J262" t="s">
        <v>13990</v>
      </c>
    </row>
    <row r="263" spans="2:10">
      <c r="B263" t="s">
        <v>13991</v>
      </c>
      <c r="C263">
        <v>38040</v>
      </c>
      <c r="D263" t="s">
        <v>13753</v>
      </c>
      <c r="E263" t="s">
        <v>143</v>
      </c>
      <c r="F263">
        <v>2334</v>
      </c>
      <c r="J263" t="s">
        <v>13992</v>
      </c>
    </row>
    <row r="264" spans="2:10">
      <c r="C264">
        <v>38041</v>
      </c>
      <c r="D264" t="s">
        <v>13753</v>
      </c>
      <c r="E264" t="s">
        <v>143</v>
      </c>
      <c r="F264">
        <v>2335</v>
      </c>
      <c r="J264" t="s">
        <v>13993</v>
      </c>
    </row>
    <row r="265" spans="2:10">
      <c r="C265">
        <v>38042</v>
      </c>
      <c r="D265" t="s">
        <v>13753</v>
      </c>
      <c r="E265" t="s">
        <v>143</v>
      </c>
      <c r="F265">
        <v>2336</v>
      </c>
      <c r="J265" t="s">
        <v>13993</v>
      </c>
    </row>
    <row r="266" spans="2:10">
      <c r="C266">
        <v>38043</v>
      </c>
      <c r="D266" t="s">
        <v>12597</v>
      </c>
      <c r="F266" t="s">
        <v>13994</v>
      </c>
      <c r="J266" t="s">
        <v>13995</v>
      </c>
    </row>
    <row r="267" spans="2:10">
      <c r="C267">
        <v>38042</v>
      </c>
      <c r="D267" t="s">
        <v>13753</v>
      </c>
      <c r="E267" t="s">
        <v>13996</v>
      </c>
      <c r="F267">
        <v>50</v>
      </c>
      <c r="J267" t="s">
        <v>13997</v>
      </c>
    </row>
    <row r="268" spans="2:10">
      <c r="C268">
        <v>38042</v>
      </c>
      <c r="D268" t="s">
        <v>13970</v>
      </c>
      <c r="F268" t="s">
        <v>13998</v>
      </c>
      <c r="J268" t="s">
        <v>13999</v>
      </c>
    </row>
    <row r="269" spans="2:10">
      <c r="C269">
        <v>38042</v>
      </c>
      <c r="D269" t="s">
        <v>13753</v>
      </c>
      <c r="E269" t="s">
        <v>13996</v>
      </c>
      <c r="F269">
        <v>51</v>
      </c>
      <c r="J269" t="s">
        <v>14000</v>
      </c>
    </row>
    <row r="270" spans="2:10">
      <c r="C270">
        <v>38042</v>
      </c>
      <c r="D270" t="s">
        <v>14001</v>
      </c>
      <c r="E270" t="s">
        <v>14002</v>
      </c>
      <c r="F270" t="s">
        <v>14003</v>
      </c>
      <c r="J270" t="s">
        <v>14004</v>
      </c>
    </row>
    <row r="271" spans="2:10">
      <c r="C271">
        <v>38043</v>
      </c>
      <c r="D271" t="s">
        <v>14005</v>
      </c>
      <c r="E271" t="s">
        <v>147</v>
      </c>
      <c r="F271">
        <v>4</v>
      </c>
      <c r="J271" t="s">
        <v>14006</v>
      </c>
    </row>
    <row r="272" spans="2:10">
      <c r="C272">
        <v>38043</v>
      </c>
      <c r="D272" t="s">
        <v>14005</v>
      </c>
      <c r="E272" t="s">
        <v>147</v>
      </c>
      <c r="F272">
        <v>5</v>
      </c>
      <c r="J272" t="s">
        <v>14006</v>
      </c>
    </row>
    <row r="273" spans="3:10">
      <c r="C273">
        <v>38043</v>
      </c>
      <c r="D273" t="s">
        <v>14005</v>
      </c>
      <c r="E273" t="s">
        <v>147</v>
      </c>
      <c r="F273">
        <v>7</v>
      </c>
      <c r="J273" t="s">
        <v>14006</v>
      </c>
    </row>
    <row r="274" spans="3:10">
      <c r="C274">
        <v>38043</v>
      </c>
      <c r="D274" t="s">
        <v>14005</v>
      </c>
      <c r="E274" t="s">
        <v>147</v>
      </c>
      <c r="F274">
        <v>8</v>
      </c>
      <c r="J274" t="s">
        <v>14006</v>
      </c>
    </row>
    <row r="275" spans="3:10" hidden="1">
      <c r="C275">
        <v>38043</v>
      </c>
      <c r="D275" t="s">
        <v>14007</v>
      </c>
      <c r="J275" t="s">
        <v>14008</v>
      </c>
    </row>
    <row r="276" spans="3:10" hidden="1">
      <c r="C276">
        <v>38047</v>
      </c>
      <c r="D276" t="s">
        <v>14007</v>
      </c>
      <c r="J276" t="s">
        <v>14009</v>
      </c>
    </row>
    <row r="277" spans="3:10">
      <c r="C277">
        <v>38047</v>
      </c>
      <c r="D277" t="s">
        <v>13964</v>
      </c>
      <c r="E277" t="s">
        <v>120</v>
      </c>
      <c r="F277">
        <v>63</v>
      </c>
      <c r="J277" t="s">
        <v>14010</v>
      </c>
    </row>
    <row r="278" spans="3:10">
      <c r="C278">
        <v>38047</v>
      </c>
      <c r="D278" t="s">
        <v>13753</v>
      </c>
      <c r="E278" t="s">
        <v>13996</v>
      </c>
      <c r="F278">
        <v>162</v>
      </c>
      <c r="G278" t="s">
        <v>13961</v>
      </c>
      <c r="I278" t="s">
        <v>14011</v>
      </c>
      <c r="J278" t="s">
        <v>14012</v>
      </c>
    </row>
    <row r="279" spans="3:10">
      <c r="C279">
        <v>38047</v>
      </c>
      <c r="D279" t="s">
        <v>13753</v>
      </c>
      <c r="E279" t="s">
        <v>13996</v>
      </c>
      <c r="F279">
        <v>216</v>
      </c>
      <c r="G279" t="s">
        <v>13961</v>
      </c>
      <c r="I279" t="s">
        <v>14013</v>
      </c>
      <c r="J279" t="s">
        <v>14012</v>
      </c>
    </row>
    <row r="280" spans="3:10">
      <c r="C280">
        <v>38047</v>
      </c>
      <c r="D280" t="s">
        <v>13753</v>
      </c>
      <c r="E280" t="s">
        <v>13996</v>
      </c>
      <c r="F280">
        <v>267</v>
      </c>
      <c r="G280" t="s">
        <v>13961</v>
      </c>
      <c r="I280" t="s">
        <v>14014</v>
      </c>
      <c r="J280" t="s">
        <v>14012</v>
      </c>
    </row>
    <row r="281" spans="3:10">
      <c r="C281">
        <v>38047</v>
      </c>
      <c r="D281" t="s">
        <v>13753</v>
      </c>
      <c r="E281" t="s">
        <v>13996</v>
      </c>
      <c r="F281">
        <v>321</v>
      </c>
      <c r="G281" t="s">
        <v>13964</v>
      </c>
      <c r="I281" t="s">
        <v>14011</v>
      </c>
      <c r="J281" t="s">
        <v>14012</v>
      </c>
    </row>
    <row r="282" spans="3:10">
      <c r="C282">
        <v>38047</v>
      </c>
      <c r="D282" t="s">
        <v>13753</v>
      </c>
      <c r="E282" t="s">
        <v>13996</v>
      </c>
      <c r="F282">
        <v>372</v>
      </c>
      <c r="G282" t="s">
        <v>13964</v>
      </c>
      <c r="I282" t="s">
        <v>14013</v>
      </c>
      <c r="J282" t="s">
        <v>14012</v>
      </c>
    </row>
    <row r="283" spans="3:10">
      <c r="C283">
        <v>38047</v>
      </c>
      <c r="D283" t="s">
        <v>13753</v>
      </c>
      <c r="E283" t="s">
        <v>13996</v>
      </c>
      <c r="F283">
        <v>421</v>
      </c>
      <c r="G283" t="s">
        <v>13964</v>
      </c>
      <c r="I283" t="s">
        <v>14014</v>
      </c>
      <c r="J283" t="s">
        <v>14012</v>
      </c>
    </row>
    <row r="284" spans="3:10">
      <c r="C284">
        <v>38047</v>
      </c>
      <c r="D284" t="s">
        <v>13964</v>
      </c>
      <c r="E284" t="s">
        <v>738</v>
      </c>
      <c r="F284">
        <v>63</v>
      </c>
      <c r="J284" t="s">
        <v>14015</v>
      </c>
    </row>
    <row r="285" spans="3:10">
      <c r="C285">
        <v>38047</v>
      </c>
      <c r="D285" t="s">
        <v>13753</v>
      </c>
      <c r="E285" t="s">
        <v>13996</v>
      </c>
      <c r="F285">
        <v>113</v>
      </c>
      <c r="G285" t="s">
        <v>13961</v>
      </c>
      <c r="I285" t="s">
        <v>14016</v>
      </c>
      <c r="J285" t="s">
        <v>14017</v>
      </c>
    </row>
    <row r="286" spans="3:10">
      <c r="C286">
        <v>38047</v>
      </c>
      <c r="D286" t="s">
        <v>13753</v>
      </c>
      <c r="E286" t="s">
        <v>13996</v>
      </c>
      <c r="F286">
        <v>168</v>
      </c>
      <c r="G286" t="s">
        <v>13961</v>
      </c>
      <c r="I286" t="s">
        <v>14018</v>
      </c>
      <c r="J286" t="s">
        <v>14017</v>
      </c>
    </row>
    <row r="287" spans="3:10">
      <c r="C287">
        <v>38047</v>
      </c>
      <c r="D287" t="s">
        <v>13753</v>
      </c>
      <c r="E287" t="s">
        <v>13996</v>
      </c>
      <c r="F287">
        <v>218</v>
      </c>
      <c r="G287" t="s">
        <v>13961</v>
      </c>
      <c r="I287" t="s">
        <v>14019</v>
      </c>
      <c r="J287" t="s">
        <v>14017</v>
      </c>
    </row>
    <row r="288" spans="3:10">
      <c r="C288">
        <v>38047</v>
      </c>
      <c r="D288" t="s">
        <v>13753</v>
      </c>
      <c r="E288" t="s">
        <v>13996</v>
      </c>
      <c r="F288">
        <v>274</v>
      </c>
      <c r="G288" t="s">
        <v>13964</v>
      </c>
      <c r="I288" t="s">
        <v>14016</v>
      </c>
      <c r="J288" t="s">
        <v>14017</v>
      </c>
    </row>
    <row r="289" spans="3:10">
      <c r="C289">
        <v>38047</v>
      </c>
      <c r="D289" t="s">
        <v>13753</v>
      </c>
      <c r="E289" t="s">
        <v>13996</v>
      </c>
      <c r="F289">
        <v>327</v>
      </c>
      <c r="G289" t="s">
        <v>13964</v>
      </c>
      <c r="I289" t="s">
        <v>14018</v>
      </c>
      <c r="J289" t="s">
        <v>14017</v>
      </c>
    </row>
    <row r="290" spans="3:10">
      <c r="C290">
        <v>38047</v>
      </c>
      <c r="D290" t="s">
        <v>13753</v>
      </c>
      <c r="E290" t="s">
        <v>13996</v>
      </c>
      <c r="F290">
        <v>375</v>
      </c>
      <c r="G290" t="s">
        <v>13964</v>
      </c>
      <c r="I290" t="s">
        <v>14019</v>
      </c>
      <c r="J290" t="s">
        <v>14017</v>
      </c>
    </row>
    <row r="291" spans="3:10">
      <c r="C291">
        <v>38047</v>
      </c>
      <c r="D291" t="s">
        <v>13753</v>
      </c>
      <c r="E291" t="s">
        <v>13996</v>
      </c>
      <c r="F291">
        <v>428</v>
      </c>
      <c r="G291" t="s">
        <v>13964</v>
      </c>
      <c r="I291" t="s">
        <v>14020</v>
      </c>
      <c r="J291" t="s">
        <v>14017</v>
      </c>
    </row>
    <row r="292" spans="3:10">
      <c r="C292">
        <v>38047</v>
      </c>
      <c r="D292" t="s">
        <v>13753</v>
      </c>
      <c r="E292" t="s">
        <v>13996</v>
      </c>
      <c r="F292">
        <v>470</v>
      </c>
      <c r="G292" t="s">
        <v>13964</v>
      </c>
      <c r="I292" t="s">
        <v>14021</v>
      </c>
      <c r="J292" t="s">
        <v>14017</v>
      </c>
    </row>
    <row r="293" spans="3:10">
      <c r="C293">
        <v>38047</v>
      </c>
      <c r="D293" t="s">
        <v>13740</v>
      </c>
      <c r="E293" t="s">
        <v>157</v>
      </c>
      <c r="F293">
        <v>178</v>
      </c>
      <c r="J293" t="s">
        <v>14022</v>
      </c>
    </row>
    <row r="294" spans="3:10">
      <c r="C294">
        <v>38047</v>
      </c>
      <c r="D294" t="s">
        <v>13740</v>
      </c>
      <c r="E294" t="s">
        <v>157</v>
      </c>
      <c r="F294">
        <v>128</v>
      </c>
      <c r="J294" t="s">
        <v>14023</v>
      </c>
    </row>
    <row r="295" spans="3:10">
      <c r="C295">
        <v>38047</v>
      </c>
      <c r="D295" t="s">
        <v>13740</v>
      </c>
      <c r="E295" t="s">
        <v>14024</v>
      </c>
      <c r="F295">
        <v>444</v>
      </c>
      <c r="J295" t="s">
        <v>14025</v>
      </c>
    </row>
    <row r="296" spans="3:10">
      <c r="C296">
        <v>38047</v>
      </c>
      <c r="D296" t="s">
        <v>13753</v>
      </c>
      <c r="E296" t="s">
        <v>13996</v>
      </c>
      <c r="F296">
        <v>2235</v>
      </c>
      <c r="J296" t="s">
        <v>14026</v>
      </c>
    </row>
    <row r="297" spans="3:10">
      <c r="C297">
        <v>38047</v>
      </c>
      <c r="D297" t="s">
        <v>14027</v>
      </c>
      <c r="E297" t="s">
        <v>695</v>
      </c>
      <c r="F297">
        <v>10</v>
      </c>
      <c r="J297" t="s">
        <v>14028</v>
      </c>
    </row>
    <row r="298" spans="3:10">
      <c r="C298">
        <v>38047</v>
      </c>
      <c r="D298" t="s">
        <v>14027</v>
      </c>
      <c r="E298" t="s">
        <v>695</v>
      </c>
      <c r="F298">
        <v>11</v>
      </c>
      <c r="J298" t="s">
        <v>14029</v>
      </c>
    </row>
    <row r="299" spans="3:10">
      <c r="C299">
        <v>38047</v>
      </c>
      <c r="D299" t="s">
        <v>14027</v>
      </c>
      <c r="E299" t="s">
        <v>695</v>
      </c>
      <c r="F299">
        <v>19</v>
      </c>
      <c r="J299" t="s">
        <v>14030</v>
      </c>
    </row>
    <row r="300" spans="3:10">
      <c r="C300">
        <v>38047</v>
      </c>
      <c r="D300" t="s">
        <v>14027</v>
      </c>
      <c r="E300" t="s">
        <v>695</v>
      </c>
      <c r="F300">
        <v>20</v>
      </c>
      <c r="J300" t="s">
        <v>14031</v>
      </c>
    </row>
    <row r="301" spans="3:10">
      <c r="C301">
        <v>38047</v>
      </c>
      <c r="D301" t="s">
        <v>14001</v>
      </c>
      <c r="E301" t="s">
        <v>14002</v>
      </c>
      <c r="F301">
        <v>1095</v>
      </c>
      <c r="J301" t="s">
        <v>14032</v>
      </c>
    </row>
    <row r="302" spans="3:10">
      <c r="C302">
        <v>38047</v>
      </c>
      <c r="D302" t="s">
        <v>14001</v>
      </c>
      <c r="E302" t="s">
        <v>14002</v>
      </c>
      <c r="F302">
        <v>1096</v>
      </c>
      <c r="J302" t="s">
        <v>14033</v>
      </c>
    </row>
    <row r="303" spans="3:10">
      <c r="C303">
        <v>38047</v>
      </c>
      <c r="D303" t="s">
        <v>14001</v>
      </c>
      <c r="E303" t="s">
        <v>14002</v>
      </c>
      <c r="F303">
        <v>1158</v>
      </c>
      <c r="J303" t="s">
        <v>14034</v>
      </c>
    </row>
    <row r="304" spans="3:10">
      <c r="C304">
        <v>38047</v>
      </c>
      <c r="D304" t="s">
        <v>14001</v>
      </c>
      <c r="E304" t="s">
        <v>14002</v>
      </c>
      <c r="F304">
        <v>1159</v>
      </c>
      <c r="J304" t="s">
        <v>14035</v>
      </c>
    </row>
    <row r="305" spans="3:10">
      <c r="C305">
        <v>38047</v>
      </c>
      <c r="D305" t="s">
        <v>14001</v>
      </c>
      <c r="E305" t="s">
        <v>14002</v>
      </c>
      <c r="F305">
        <v>1208</v>
      </c>
      <c r="J305" t="s">
        <v>14036</v>
      </c>
    </row>
    <row r="306" spans="3:10">
      <c r="C306">
        <v>38047</v>
      </c>
      <c r="D306" t="s">
        <v>14001</v>
      </c>
      <c r="E306" t="s">
        <v>14002</v>
      </c>
      <c r="F306">
        <v>1209</v>
      </c>
      <c r="J306" t="s">
        <v>14037</v>
      </c>
    </row>
    <row r="307" spans="3:10">
      <c r="C307">
        <v>38047</v>
      </c>
      <c r="D307" t="s">
        <v>14001</v>
      </c>
      <c r="E307" t="s">
        <v>14002</v>
      </c>
      <c r="F307">
        <v>1264</v>
      </c>
      <c r="J307" t="s">
        <v>14038</v>
      </c>
    </row>
    <row r="308" spans="3:10">
      <c r="C308">
        <v>38047</v>
      </c>
      <c r="D308" t="s">
        <v>14001</v>
      </c>
      <c r="E308" t="s">
        <v>14002</v>
      </c>
      <c r="F308">
        <v>1265</v>
      </c>
      <c r="J308" t="s">
        <v>14039</v>
      </c>
    </row>
    <row r="309" spans="3:10">
      <c r="C309">
        <v>38047</v>
      </c>
      <c r="D309" t="s">
        <v>14001</v>
      </c>
      <c r="E309" t="s">
        <v>14002</v>
      </c>
      <c r="F309">
        <v>1323</v>
      </c>
      <c r="J309" t="s">
        <v>14040</v>
      </c>
    </row>
    <row r="310" spans="3:10">
      <c r="C310">
        <v>38047</v>
      </c>
      <c r="D310" t="s">
        <v>14001</v>
      </c>
      <c r="E310" t="s">
        <v>14002</v>
      </c>
      <c r="F310">
        <v>1324</v>
      </c>
      <c r="J310" t="s">
        <v>14041</v>
      </c>
    </row>
    <row r="311" spans="3:10">
      <c r="C311">
        <v>38047</v>
      </c>
      <c r="D311" t="s">
        <v>14001</v>
      </c>
      <c r="E311" t="s">
        <v>14002</v>
      </c>
      <c r="F311">
        <v>1382</v>
      </c>
      <c r="J311" t="s">
        <v>14042</v>
      </c>
    </row>
    <row r="312" spans="3:10">
      <c r="C312">
        <v>38047</v>
      </c>
      <c r="D312" t="s">
        <v>14001</v>
      </c>
      <c r="E312" t="s">
        <v>14002</v>
      </c>
      <c r="F312">
        <v>1383</v>
      </c>
      <c r="J312" t="s">
        <v>14043</v>
      </c>
    </row>
    <row r="313" spans="3:10">
      <c r="C313">
        <v>38047</v>
      </c>
      <c r="D313" t="s">
        <v>14001</v>
      </c>
      <c r="E313" t="s">
        <v>14002</v>
      </c>
      <c r="F313">
        <v>1438</v>
      </c>
      <c r="J313" t="s">
        <v>14044</v>
      </c>
    </row>
    <row r="314" spans="3:10">
      <c r="C314">
        <v>38047</v>
      </c>
      <c r="D314" t="s">
        <v>14001</v>
      </c>
      <c r="E314" t="s">
        <v>14002</v>
      </c>
      <c r="F314">
        <v>1439</v>
      </c>
      <c r="J314" t="s">
        <v>14045</v>
      </c>
    </row>
    <row r="315" spans="3:10">
      <c r="C315">
        <v>38047</v>
      </c>
      <c r="D315" t="s">
        <v>14001</v>
      </c>
      <c r="E315" t="s">
        <v>14002</v>
      </c>
      <c r="F315">
        <v>1491</v>
      </c>
      <c r="J315" t="s">
        <v>14046</v>
      </c>
    </row>
    <row r="316" spans="3:10">
      <c r="C316">
        <v>38047</v>
      </c>
      <c r="D316" t="s">
        <v>14001</v>
      </c>
      <c r="E316" t="s">
        <v>14002</v>
      </c>
      <c r="F316">
        <v>1492</v>
      </c>
      <c r="J316" t="s">
        <v>14047</v>
      </c>
    </row>
    <row r="317" spans="3:10">
      <c r="C317">
        <v>38047</v>
      </c>
      <c r="D317" t="s">
        <v>14001</v>
      </c>
      <c r="E317" t="s">
        <v>14002</v>
      </c>
      <c r="F317">
        <v>1544</v>
      </c>
      <c r="J317" t="s">
        <v>14048</v>
      </c>
    </row>
    <row r="318" spans="3:10">
      <c r="C318">
        <v>38047</v>
      </c>
      <c r="D318" t="s">
        <v>14001</v>
      </c>
      <c r="E318" t="s">
        <v>14002</v>
      </c>
      <c r="F318">
        <v>1545</v>
      </c>
      <c r="J318" t="s">
        <v>14049</v>
      </c>
    </row>
    <row r="319" spans="3:10">
      <c r="C319">
        <v>38047</v>
      </c>
      <c r="D319" t="s">
        <v>14001</v>
      </c>
      <c r="E319" t="s">
        <v>14002</v>
      </c>
      <c r="F319">
        <v>1594</v>
      </c>
      <c r="J319" t="s">
        <v>14050</v>
      </c>
    </row>
    <row r="320" spans="3:10">
      <c r="C320">
        <v>38047</v>
      </c>
      <c r="D320" t="s">
        <v>14001</v>
      </c>
      <c r="E320" t="s">
        <v>14002</v>
      </c>
      <c r="F320">
        <v>1595</v>
      </c>
      <c r="J320" t="s">
        <v>14051</v>
      </c>
    </row>
    <row r="321" spans="3:10">
      <c r="C321">
        <v>38047</v>
      </c>
      <c r="D321" t="s">
        <v>14001</v>
      </c>
      <c r="E321" t="s">
        <v>122</v>
      </c>
      <c r="F321">
        <v>815</v>
      </c>
      <c r="J321" t="s">
        <v>14052</v>
      </c>
    </row>
    <row r="322" spans="3:10">
      <c r="C322">
        <v>38047</v>
      </c>
      <c r="D322" t="s">
        <v>14001</v>
      </c>
      <c r="E322" t="s">
        <v>122</v>
      </c>
      <c r="F322">
        <v>985</v>
      </c>
      <c r="J322" t="s">
        <v>14053</v>
      </c>
    </row>
    <row r="323" spans="3:10">
      <c r="C323">
        <v>38047</v>
      </c>
      <c r="D323" t="s">
        <v>14001</v>
      </c>
      <c r="E323" t="s">
        <v>122</v>
      </c>
      <c r="F323">
        <v>986</v>
      </c>
      <c r="J323" t="s">
        <v>14054</v>
      </c>
    </row>
    <row r="324" spans="3:10">
      <c r="C324">
        <v>38047</v>
      </c>
      <c r="D324" t="s">
        <v>14001</v>
      </c>
      <c r="E324" t="s">
        <v>122</v>
      </c>
      <c r="F324">
        <v>987</v>
      </c>
      <c r="J324" t="s">
        <v>14055</v>
      </c>
    </row>
    <row r="325" spans="3:10">
      <c r="C325">
        <v>38047</v>
      </c>
      <c r="D325" t="s">
        <v>14001</v>
      </c>
      <c r="E325" t="s">
        <v>122</v>
      </c>
      <c r="F325">
        <v>988</v>
      </c>
      <c r="J325" t="s">
        <v>14056</v>
      </c>
    </row>
    <row r="326" spans="3:10">
      <c r="C326">
        <v>38047</v>
      </c>
      <c r="D326" t="s">
        <v>14001</v>
      </c>
      <c r="E326" t="s">
        <v>122</v>
      </c>
      <c r="F326">
        <v>989</v>
      </c>
      <c r="J326" t="s">
        <v>14057</v>
      </c>
    </row>
    <row r="327" spans="3:10">
      <c r="C327">
        <v>38047</v>
      </c>
      <c r="D327" t="s">
        <v>14001</v>
      </c>
      <c r="E327" t="s">
        <v>122</v>
      </c>
      <c r="F327">
        <v>990</v>
      </c>
      <c r="J327" t="s">
        <v>14058</v>
      </c>
    </row>
    <row r="328" spans="3:10">
      <c r="C328">
        <v>38047</v>
      </c>
      <c r="D328" t="s">
        <v>14001</v>
      </c>
      <c r="E328" t="s">
        <v>122</v>
      </c>
      <c r="F328">
        <v>991</v>
      </c>
      <c r="J328" t="s">
        <v>14059</v>
      </c>
    </row>
    <row r="329" spans="3:10">
      <c r="C329">
        <v>38047</v>
      </c>
      <c r="D329" t="s">
        <v>14001</v>
      </c>
      <c r="E329" t="s">
        <v>122</v>
      </c>
      <c r="F329">
        <v>992</v>
      </c>
      <c r="J329" t="s">
        <v>14060</v>
      </c>
    </row>
    <row r="330" spans="3:10">
      <c r="C330">
        <v>38047</v>
      </c>
      <c r="D330" t="s">
        <v>14001</v>
      </c>
      <c r="E330" t="s">
        <v>122</v>
      </c>
      <c r="F330">
        <v>993</v>
      </c>
      <c r="J330" t="s">
        <v>14061</v>
      </c>
    </row>
    <row r="331" spans="3:10">
      <c r="C331">
        <v>38047</v>
      </c>
      <c r="D331" t="s">
        <v>14001</v>
      </c>
      <c r="E331" t="s">
        <v>122</v>
      </c>
      <c r="F331">
        <v>994</v>
      </c>
      <c r="J331" t="s">
        <v>14062</v>
      </c>
    </row>
    <row r="332" spans="3:10">
      <c r="C332">
        <v>38047</v>
      </c>
      <c r="D332" t="s">
        <v>14027</v>
      </c>
      <c r="E332" t="s">
        <v>114</v>
      </c>
      <c r="F332">
        <v>61</v>
      </c>
      <c r="J332" t="s">
        <v>14063</v>
      </c>
    </row>
    <row r="333" spans="3:10">
      <c r="C333">
        <v>38047</v>
      </c>
      <c r="D333" t="s">
        <v>13970</v>
      </c>
      <c r="E333" t="s">
        <v>13723</v>
      </c>
      <c r="F333">
        <v>51</v>
      </c>
      <c r="J333" t="s">
        <v>14064</v>
      </c>
    </row>
    <row r="334" spans="3:10">
      <c r="C334">
        <v>38047</v>
      </c>
      <c r="D334" t="s">
        <v>13970</v>
      </c>
      <c r="E334" t="s">
        <v>13723</v>
      </c>
      <c r="F334">
        <v>52</v>
      </c>
      <c r="J334" t="s">
        <v>14065</v>
      </c>
    </row>
    <row r="335" spans="3:10">
      <c r="C335">
        <v>38047</v>
      </c>
      <c r="D335" t="s">
        <v>13970</v>
      </c>
      <c r="E335" t="s">
        <v>13723</v>
      </c>
      <c r="F335">
        <v>53</v>
      </c>
      <c r="J335" t="s">
        <v>14066</v>
      </c>
    </row>
    <row r="336" spans="3:10">
      <c r="C336">
        <v>38047</v>
      </c>
      <c r="D336" t="s">
        <v>13970</v>
      </c>
      <c r="E336" t="s">
        <v>13723</v>
      </c>
      <c r="F336">
        <v>54</v>
      </c>
      <c r="J336" t="s">
        <v>14067</v>
      </c>
    </row>
    <row r="337" spans="3:10">
      <c r="C337">
        <v>38047</v>
      </c>
      <c r="D337" t="s">
        <v>13970</v>
      </c>
      <c r="E337" t="s">
        <v>13723</v>
      </c>
      <c r="F337">
        <v>55</v>
      </c>
      <c r="J337" t="s">
        <v>14068</v>
      </c>
    </row>
    <row r="338" spans="3:10">
      <c r="C338">
        <v>38047</v>
      </c>
      <c r="D338" t="s">
        <v>13970</v>
      </c>
      <c r="E338" t="s">
        <v>13723</v>
      </c>
      <c r="F338">
        <v>56</v>
      </c>
      <c r="J338" t="s">
        <v>14069</v>
      </c>
    </row>
    <row r="339" spans="3:10">
      <c r="C339">
        <v>38047</v>
      </c>
      <c r="D339" t="s">
        <v>13970</v>
      </c>
      <c r="E339" t="s">
        <v>13723</v>
      </c>
      <c r="F339">
        <v>57</v>
      </c>
      <c r="J339" t="s">
        <v>14070</v>
      </c>
    </row>
    <row r="340" spans="3:10">
      <c r="C340">
        <v>38047</v>
      </c>
      <c r="D340" t="s">
        <v>13970</v>
      </c>
      <c r="E340" t="s">
        <v>13723</v>
      </c>
      <c r="F340">
        <v>58</v>
      </c>
      <c r="J340" t="s">
        <v>14071</v>
      </c>
    </row>
    <row r="341" spans="3:10">
      <c r="C341">
        <v>38047</v>
      </c>
      <c r="D341" t="s">
        <v>13970</v>
      </c>
      <c r="E341" t="s">
        <v>13723</v>
      </c>
      <c r="F341">
        <v>59</v>
      </c>
      <c r="J341" t="s">
        <v>14072</v>
      </c>
    </row>
    <row r="342" spans="3:10">
      <c r="C342">
        <v>38047</v>
      </c>
      <c r="D342" t="s">
        <v>13970</v>
      </c>
      <c r="E342" t="s">
        <v>120</v>
      </c>
      <c r="F342">
        <v>13</v>
      </c>
      <c r="J342" t="s">
        <v>14073</v>
      </c>
    </row>
    <row r="343" spans="3:10">
      <c r="C343">
        <v>38047</v>
      </c>
      <c r="D343" t="s">
        <v>14001</v>
      </c>
      <c r="E343" t="s">
        <v>122</v>
      </c>
      <c r="F343">
        <v>1015</v>
      </c>
      <c r="J343" t="s">
        <v>14074</v>
      </c>
    </row>
    <row r="344" spans="3:10">
      <c r="C344">
        <v>38047</v>
      </c>
      <c r="D344" t="s">
        <v>13970</v>
      </c>
      <c r="E344" t="s">
        <v>120</v>
      </c>
      <c r="F344">
        <v>12</v>
      </c>
      <c r="J344" t="s">
        <v>14075</v>
      </c>
    </row>
    <row r="345" spans="3:10">
      <c r="C345">
        <v>38047</v>
      </c>
      <c r="D345" t="s">
        <v>14001</v>
      </c>
      <c r="E345" t="s">
        <v>122</v>
      </c>
      <c r="F345">
        <v>1014</v>
      </c>
      <c r="J345" t="s">
        <v>14076</v>
      </c>
    </row>
    <row r="346" spans="3:10">
      <c r="C346">
        <v>38047</v>
      </c>
      <c r="D346" t="s">
        <v>14027</v>
      </c>
      <c r="E346" t="s">
        <v>114</v>
      </c>
      <c r="F346">
        <v>62</v>
      </c>
      <c r="J346" t="s">
        <v>14077</v>
      </c>
    </row>
    <row r="347" spans="3:10">
      <c r="C347">
        <v>38047</v>
      </c>
      <c r="D347" t="s">
        <v>13722</v>
      </c>
      <c r="E347" t="s">
        <v>695</v>
      </c>
      <c r="F347">
        <v>2157</v>
      </c>
      <c r="J347" t="s">
        <v>14078</v>
      </c>
    </row>
    <row r="348" spans="3:10">
      <c r="C348">
        <v>38047</v>
      </c>
      <c r="D348" t="s">
        <v>13722</v>
      </c>
      <c r="E348" t="s">
        <v>114</v>
      </c>
      <c r="F348">
        <v>2157</v>
      </c>
      <c r="J348" t="s">
        <v>14079</v>
      </c>
    </row>
    <row r="349" spans="3:10">
      <c r="C349">
        <v>38047</v>
      </c>
      <c r="D349" t="s">
        <v>14001</v>
      </c>
      <c r="E349" t="s">
        <v>122</v>
      </c>
      <c r="F349">
        <v>2683</v>
      </c>
      <c r="J349" t="s">
        <v>14080</v>
      </c>
    </row>
    <row r="350" spans="3:10">
      <c r="C350">
        <v>38047</v>
      </c>
      <c r="D350" t="s">
        <v>13722</v>
      </c>
      <c r="E350" t="s">
        <v>695</v>
      </c>
      <c r="F350">
        <v>2165</v>
      </c>
      <c r="J350" t="s">
        <v>14081</v>
      </c>
    </row>
    <row r="351" spans="3:10">
      <c r="C351">
        <v>38047</v>
      </c>
      <c r="D351" t="s">
        <v>13722</v>
      </c>
      <c r="E351" t="s">
        <v>114</v>
      </c>
      <c r="F351">
        <v>2165</v>
      </c>
      <c r="J351" t="s">
        <v>14082</v>
      </c>
    </row>
    <row r="352" spans="3:10">
      <c r="C352">
        <v>38047</v>
      </c>
      <c r="D352" t="s">
        <v>14001</v>
      </c>
      <c r="E352" t="s">
        <v>122</v>
      </c>
      <c r="F352">
        <v>2692</v>
      </c>
      <c r="J352" t="s">
        <v>14083</v>
      </c>
    </row>
    <row r="353" spans="3:10">
      <c r="C353">
        <v>38047</v>
      </c>
      <c r="D353" t="s">
        <v>13961</v>
      </c>
      <c r="E353" t="s">
        <v>580</v>
      </c>
      <c r="F353">
        <v>63</v>
      </c>
      <c r="I353" t="s">
        <v>14016</v>
      </c>
      <c r="J353" t="s">
        <v>14084</v>
      </c>
    </row>
    <row r="354" spans="3:10">
      <c r="C354">
        <v>38047</v>
      </c>
      <c r="D354" t="s">
        <v>13961</v>
      </c>
      <c r="E354" t="s">
        <v>157</v>
      </c>
      <c r="F354">
        <v>63</v>
      </c>
      <c r="I354" t="s">
        <v>14011</v>
      </c>
      <c r="J354" t="s">
        <v>14084</v>
      </c>
    </row>
    <row r="355" spans="3:10">
      <c r="C355">
        <v>38047</v>
      </c>
      <c r="D355" t="s">
        <v>13961</v>
      </c>
      <c r="E355" t="s">
        <v>695</v>
      </c>
      <c r="F355">
        <v>63</v>
      </c>
      <c r="I355" t="s">
        <v>14018</v>
      </c>
      <c r="J355" t="s">
        <v>14084</v>
      </c>
    </row>
    <row r="356" spans="3:10">
      <c r="C356">
        <v>38047</v>
      </c>
      <c r="D356" t="s">
        <v>13961</v>
      </c>
      <c r="E356" t="s">
        <v>13748</v>
      </c>
      <c r="F356">
        <v>63</v>
      </c>
      <c r="I356" t="s">
        <v>14013</v>
      </c>
      <c r="J356" t="s">
        <v>14084</v>
      </c>
    </row>
    <row r="357" spans="3:10">
      <c r="C357">
        <v>38047</v>
      </c>
      <c r="D357" t="s">
        <v>13961</v>
      </c>
      <c r="E357" t="s">
        <v>953</v>
      </c>
      <c r="F357">
        <v>63</v>
      </c>
      <c r="I357" t="s">
        <v>14019</v>
      </c>
      <c r="J357" t="s">
        <v>14084</v>
      </c>
    </row>
    <row r="358" spans="3:10">
      <c r="C358">
        <v>38047</v>
      </c>
      <c r="D358" t="s">
        <v>13961</v>
      </c>
      <c r="E358" t="s">
        <v>127</v>
      </c>
      <c r="F358">
        <v>63</v>
      </c>
      <c r="I358" t="s">
        <v>14014</v>
      </c>
      <c r="J358" t="s">
        <v>14084</v>
      </c>
    </row>
    <row r="359" spans="3:10">
      <c r="C359">
        <v>38047</v>
      </c>
      <c r="D359" t="s">
        <v>13964</v>
      </c>
      <c r="E359" t="s">
        <v>580</v>
      </c>
      <c r="F359">
        <v>63</v>
      </c>
      <c r="I359" t="s">
        <v>14016</v>
      </c>
      <c r="J359" t="s">
        <v>14084</v>
      </c>
    </row>
    <row r="360" spans="3:10">
      <c r="C360">
        <v>38047</v>
      </c>
      <c r="D360" t="s">
        <v>13964</v>
      </c>
      <c r="E360" t="s">
        <v>157</v>
      </c>
      <c r="F360">
        <v>63</v>
      </c>
      <c r="I360" t="s">
        <v>14011</v>
      </c>
      <c r="J360" t="s">
        <v>14084</v>
      </c>
    </row>
    <row r="361" spans="3:10">
      <c r="C361">
        <v>38047</v>
      </c>
      <c r="D361" t="s">
        <v>13964</v>
      </c>
      <c r="E361" t="s">
        <v>13748</v>
      </c>
      <c r="F361">
        <v>63</v>
      </c>
      <c r="I361" t="s">
        <v>14013</v>
      </c>
      <c r="J361" t="s">
        <v>14084</v>
      </c>
    </row>
    <row r="362" spans="3:10">
      <c r="C362">
        <v>38047</v>
      </c>
      <c r="D362" t="s">
        <v>13964</v>
      </c>
      <c r="E362" t="s">
        <v>695</v>
      </c>
      <c r="F362">
        <v>63</v>
      </c>
      <c r="I362" t="s">
        <v>14018</v>
      </c>
      <c r="J362" t="s">
        <v>14084</v>
      </c>
    </row>
    <row r="363" spans="3:10">
      <c r="C363">
        <v>38047</v>
      </c>
      <c r="D363" t="s">
        <v>13964</v>
      </c>
      <c r="E363" t="s">
        <v>953</v>
      </c>
      <c r="F363">
        <v>63</v>
      </c>
      <c r="I363" t="s">
        <v>14019</v>
      </c>
      <c r="J363" t="s">
        <v>14084</v>
      </c>
    </row>
    <row r="364" spans="3:10">
      <c r="C364">
        <v>38047</v>
      </c>
      <c r="D364" t="s">
        <v>13964</v>
      </c>
      <c r="E364" t="s">
        <v>127</v>
      </c>
      <c r="F364">
        <v>63</v>
      </c>
      <c r="I364" t="s">
        <v>14014</v>
      </c>
      <c r="J364" t="s">
        <v>14084</v>
      </c>
    </row>
    <row r="365" spans="3:10">
      <c r="C365">
        <v>38047</v>
      </c>
      <c r="D365" t="s">
        <v>12597</v>
      </c>
      <c r="J365" t="s">
        <v>14085</v>
      </c>
    </row>
    <row r="366" spans="3:10">
      <c r="C366">
        <v>38049</v>
      </c>
      <c r="D366" t="s">
        <v>14027</v>
      </c>
      <c r="E366" t="s">
        <v>695</v>
      </c>
      <c r="F366">
        <v>4</v>
      </c>
      <c r="H366">
        <v>2150</v>
      </c>
      <c r="J366" t="s">
        <v>14086</v>
      </c>
    </row>
    <row r="367" spans="3:10">
      <c r="C367">
        <v>38049</v>
      </c>
      <c r="D367" t="s">
        <v>14027</v>
      </c>
      <c r="E367" t="s">
        <v>695</v>
      </c>
      <c r="F367">
        <v>5</v>
      </c>
      <c r="H367">
        <v>2151</v>
      </c>
      <c r="J367" t="s">
        <v>14087</v>
      </c>
    </row>
    <row r="368" spans="3:10">
      <c r="C368">
        <v>38049</v>
      </c>
      <c r="D368" t="s">
        <v>14027</v>
      </c>
      <c r="E368" t="s">
        <v>695</v>
      </c>
      <c r="F368">
        <v>6</v>
      </c>
      <c r="H368">
        <v>2152</v>
      </c>
      <c r="J368" t="s">
        <v>14088</v>
      </c>
    </row>
    <row r="369" spans="3:10">
      <c r="C369">
        <v>38049</v>
      </c>
      <c r="D369" t="s">
        <v>14027</v>
      </c>
      <c r="E369" t="s">
        <v>695</v>
      </c>
      <c r="F369">
        <v>10</v>
      </c>
      <c r="H369">
        <v>2156</v>
      </c>
      <c r="J369" t="s">
        <v>14089</v>
      </c>
    </row>
    <row r="370" spans="3:10">
      <c r="C370">
        <v>38049</v>
      </c>
      <c r="D370" t="s">
        <v>14027</v>
      </c>
      <c r="E370" t="s">
        <v>695</v>
      </c>
      <c r="F370">
        <v>11</v>
      </c>
      <c r="H370">
        <v>2157</v>
      </c>
      <c r="J370" t="s">
        <v>14090</v>
      </c>
    </row>
    <row r="371" spans="3:10">
      <c r="C371">
        <v>38049</v>
      </c>
      <c r="D371" t="s">
        <v>14027</v>
      </c>
      <c r="E371" t="s">
        <v>695</v>
      </c>
      <c r="F371">
        <v>13</v>
      </c>
      <c r="H371">
        <v>2158</v>
      </c>
      <c r="J371" t="s">
        <v>14091</v>
      </c>
    </row>
    <row r="372" spans="3:10">
      <c r="C372">
        <v>38049</v>
      </c>
      <c r="D372" t="s">
        <v>14027</v>
      </c>
      <c r="E372" t="s">
        <v>695</v>
      </c>
      <c r="F372">
        <v>14</v>
      </c>
      <c r="H372">
        <v>2159</v>
      </c>
      <c r="J372" t="s">
        <v>14092</v>
      </c>
    </row>
    <row r="373" spans="3:10">
      <c r="C373">
        <v>38049</v>
      </c>
      <c r="D373" t="s">
        <v>14027</v>
      </c>
      <c r="E373" t="s">
        <v>695</v>
      </c>
      <c r="F373">
        <v>15</v>
      </c>
      <c r="H373">
        <v>2160</v>
      </c>
      <c r="J373" t="s">
        <v>14093</v>
      </c>
    </row>
    <row r="374" spans="3:10">
      <c r="C374">
        <v>38049</v>
      </c>
      <c r="D374" t="s">
        <v>14027</v>
      </c>
      <c r="E374" t="s">
        <v>695</v>
      </c>
      <c r="F374">
        <v>19</v>
      </c>
      <c r="H374">
        <v>2164</v>
      </c>
      <c r="J374" t="s">
        <v>14094</v>
      </c>
    </row>
    <row r="375" spans="3:10">
      <c r="C375">
        <v>38049</v>
      </c>
      <c r="D375" t="s">
        <v>14027</v>
      </c>
      <c r="E375" t="s">
        <v>695</v>
      </c>
      <c r="F375">
        <v>20</v>
      </c>
      <c r="H375">
        <v>2165</v>
      </c>
      <c r="J375" t="s">
        <v>14095</v>
      </c>
    </row>
    <row r="376" spans="3:10">
      <c r="C376">
        <v>38049</v>
      </c>
      <c r="D376" t="s">
        <v>13722</v>
      </c>
      <c r="E376" t="s">
        <v>14096</v>
      </c>
      <c r="F376">
        <v>2094</v>
      </c>
      <c r="G376">
        <v>2065</v>
      </c>
      <c r="H376" t="s">
        <v>9368</v>
      </c>
      <c r="J376" t="s">
        <v>14097</v>
      </c>
    </row>
    <row r="377" spans="3:10">
      <c r="C377">
        <v>38049</v>
      </c>
      <c r="D377" t="s">
        <v>13722</v>
      </c>
      <c r="E377" t="s">
        <v>14096</v>
      </c>
      <c r="F377">
        <v>2179</v>
      </c>
      <c r="G377">
        <v>2150</v>
      </c>
      <c r="H377">
        <v>806</v>
      </c>
      <c r="J377" t="s">
        <v>14098</v>
      </c>
    </row>
    <row r="378" spans="3:10">
      <c r="C378">
        <v>38049</v>
      </c>
      <c r="D378" t="s">
        <v>13722</v>
      </c>
      <c r="E378" t="s">
        <v>14096</v>
      </c>
      <c r="F378">
        <v>2180</v>
      </c>
      <c r="G378">
        <v>2151</v>
      </c>
      <c r="H378">
        <v>807</v>
      </c>
      <c r="J378" t="s">
        <v>14099</v>
      </c>
    </row>
    <row r="379" spans="3:10">
      <c r="C379">
        <v>38049</v>
      </c>
      <c r="D379" t="s">
        <v>13722</v>
      </c>
      <c r="E379" t="s">
        <v>14096</v>
      </c>
      <c r="F379">
        <v>2186</v>
      </c>
      <c r="G379">
        <v>2157</v>
      </c>
      <c r="H379">
        <v>855</v>
      </c>
      <c r="J379" t="s">
        <v>14100</v>
      </c>
    </row>
    <row r="380" spans="3:10">
      <c r="C380">
        <v>38049</v>
      </c>
      <c r="D380" t="s">
        <v>13722</v>
      </c>
      <c r="E380" t="s">
        <v>14096</v>
      </c>
      <c r="F380">
        <v>2187</v>
      </c>
      <c r="G380">
        <v>2158</v>
      </c>
      <c r="H380">
        <v>808</v>
      </c>
      <c r="J380" t="s">
        <v>14101</v>
      </c>
    </row>
    <row r="381" spans="3:10">
      <c r="C381">
        <v>38049</v>
      </c>
      <c r="D381" t="s">
        <v>13722</v>
      </c>
      <c r="E381" t="s">
        <v>14096</v>
      </c>
      <c r="F381">
        <v>2188</v>
      </c>
      <c r="G381">
        <v>2159</v>
      </c>
      <c r="H381">
        <v>809</v>
      </c>
      <c r="J381" t="s">
        <v>14102</v>
      </c>
    </row>
    <row r="382" spans="3:10">
      <c r="C382">
        <v>38049</v>
      </c>
      <c r="D382" t="s">
        <v>14005</v>
      </c>
      <c r="E382" t="s">
        <v>695</v>
      </c>
      <c r="F382">
        <v>4</v>
      </c>
      <c r="H382">
        <v>2065</v>
      </c>
      <c r="J382" t="s">
        <v>14103</v>
      </c>
    </row>
    <row r="383" spans="3:10">
      <c r="C383">
        <v>38049</v>
      </c>
      <c r="D383" t="s">
        <v>14005</v>
      </c>
      <c r="E383" t="s">
        <v>695</v>
      </c>
      <c r="F383">
        <v>5</v>
      </c>
      <c r="H383">
        <v>2066</v>
      </c>
      <c r="J383" t="s">
        <v>14104</v>
      </c>
    </row>
    <row r="384" spans="3:10">
      <c r="C384">
        <v>38049</v>
      </c>
      <c r="D384" t="s">
        <v>14005</v>
      </c>
      <c r="E384" t="s">
        <v>695</v>
      </c>
      <c r="F384">
        <v>7</v>
      </c>
      <c r="H384">
        <v>2071</v>
      </c>
      <c r="J384" t="s">
        <v>14105</v>
      </c>
    </row>
    <row r="385" spans="3:10">
      <c r="C385">
        <v>38049</v>
      </c>
      <c r="D385" t="s">
        <v>14005</v>
      </c>
      <c r="E385" t="s">
        <v>695</v>
      </c>
      <c r="F385">
        <v>8</v>
      </c>
      <c r="H385">
        <v>2072</v>
      </c>
      <c r="J385" t="s">
        <v>14106</v>
      </c>
    </row>
    <row r="386" spans="3:10">
      <c r="C386">
        <v>38049</v>
      </c>
      <c r="D386" t="s">
        <v>14005</v>
      </c>
      <c r="E386" t="s">
        <v>114</v>
      </c>
      <c r="F386">
        <v>4</v>
      </c>
      <c r="J386" t="s">
        <v>14107</v>
      </c>
    </row>
    <row r="387" spans="3:10">
      <c r="C387">
        <v>38049</v>
      </c>
      <c r="D387" t="s">
        <v>14005</v>
      </c>
      <c r="E387" t="s">
        <v>114</v>
      </c>
      <c r="F387">
        <v>5</v>
      </c>
      <c r="J387" t="s">
        <v>14108</v>
      </c>
    </row>
    <row r="388" spans="3:10">
      <c r="C388">
        <v>38049</v>
      </c>
      <c r="D388" t="s">
        <v>14005</v>
      </c>
      <c r="E388" t="s">
        <v>114</v>
      </c>
      <c r="F388">
        <v>7</v>
      </c>
      <c r="J388" t="s">
        <v>14109</v>
      </c>
    </row>
    <row r="389" spans="3:10">
      <c r="C389">
        <v>38049</v>
      </c>
      <c r="D389" t="s">
        <v>14005</v>
      </c>
      <c r="E389" t="s">
        <v>114</v>
      </c>
      <c r="F389">
        <v>8</v>
      </c>
      <c r="J389" t="s">
        <v>14110</v>
      </c>
    </row>
    <row r="390" spans="3:10">
      <c r="C390">
        <v>38049</v>
      </c>
      <c r="D390" t="s">
        <v>14005</v>
      </c>
      <c r="E390" t="s">
        <v>147</v>
      </c>
      <c r="F390">
        <v>4</v>
      </c>
      <c r="H390">
        <v>2065</v>
      </c>
      <c r="J390" t="s">
        <v>14111</v>
      </c>
    </row>
    <row r="391" spans="3:10">
      <c r="C391">
        <v>38049</v>
      </c>
      <c r="D391" t="s">
        <v>14005</v>
      </c>
      <c r="E391" t="s">
        <v>147</v>
      </c>
      <c r="F391">
        <v>5</v>
      </c>
      <c r="H391">
        <v>2066</v>
      </c>
      <c r="J391" t="s">
        <v>14112</v>
      </c>
    </row>
    <row r="392" spans="3:10">
      <c r="C392">
        <v>38049</v>
      </c>
      <c r="D392" t="s">
        <v>14005</v>
      </c>
      <c r="E392" t="s">
        <v>147</v>
      </c>
      <c r="F392">
        <v>7</v>
      </c>
      <c r="H392">
        <v>2071</v>
      </c>
      <c r="J392" t="s">
        <v>14113</v>
      </c>
    </row>
    <row r="393" spans="3:10">
      <c r="C393">
        <v>38049</v>
      </c>
      <c r="D393" t="s">
        <v>14005</v>
      </c>
      <c r="E393" t="s">
        <v>147</v>
      </c>
      <c r="F393">
        <v>8</v>
      </c>
      <c r="H393">
        <v>2072</v>
      </c>
      <c r="J393" t="s">
        <v>14114</v>
      </c>
    </row>
    <row r="394" spans="3:10">
      <c r="C394">
        <v>38049</v>
      </c>
      <c r="D394" t="s">
        <v>14027</v>
      </c>
      <c r="E394" t="s">
        <v>147</v>
      </c>
      <c r="F394">
        <v>74</v>
      </c>
      <c r="J394" t="s">
        <v>14115</v>
      </c>
    </row>
    <row r="395" spans="3:10">
      <c r="C395">
        <v>38049</v>
      </c>
      <c r="D395" t="s">
        <v>14116</v>
      </c>
      <c r="E395" t="s">
        <v>14117</v>
      </c>
      <c r="F395">
        <v>51</v>
      </c>
      <c r="J395" t="s">
        <v>14118</v>
      </c>
    </row>
    <row r="396" spans="3:10">
      <c r="C396">
        <v>38049</v>
      </c>
      <c r="D396" t="s">
        <v>14116</v>
      </c>
      <c r="E396" t="s">
        <v>127</v>
      </c>
      <c r="F396">
        <v>51</v>
      </c>
      <c r="G396">
        <v>2055</v>
      </c>
      <c r="J396" t="s">
        <v>14119</v>
      </c>
    </row>
    <row r="397" spans="3:10">
      <c r="C397">
        <v>38050</v>
      </c>
      <c r="D397" t="s">
        <v>13722</v>
      </c>
      <c r="E397" t="s">
        <v>14120</v>
      </c>
      <c r="F397">
        <v>2703</v>
      </c>
      <c r="G397">
        <v>2703</v>
      </c>
      <c r="J397" t="s">
        <v>14121</v>
      </c>
    </row>
    <row r="398" spans="3:10">
      <c r="C398">
        <v>38050</v>
      </c>
      <c r="D398" t="s">
        <v>13722</v>
      </c>
      <c r="E398" t="s">
        <v>14120</v>
      </c>
      <c r="F398">
        <v>2704</v>
      </c>
      <c r="G398">
        <v>2704</v>
      </c>
      <c r="J398" t="s">
        <v>14122</v>
      </c>
    </row>
    <row r="399" spans="3:10">
      <c r="C399">
        <v>38050</v>
      </c>
      <c r="D399" t="s">
        <v>13722</v>
      </c>
      <c r="E399" t="s">
        <v>14123</v>
      </c>
      <c r="F399">
        <v>849</v>
      </c>
      <c r="G399">
        <v>2703</v>
      </c>
      <c r="J399" t="s">
        <v>14124</v>
      </c>
    </row>
    <row r="400" spans="3:10">
      <c r="C400">
        <v>38050</v>
      </c>
      <c r="D400" t="s">
        <v>13722</v>
      </c>
      <c r="E400" t="s">
        <v>14123</v>
      </c>
      <c r="F400">
        <v>905</v>
      </c>
      <c r="G400">
        <v>2704</v>
      </c>
      <c r="J400" t="s">
        <v>14125</v>
      </c>
    </row>
    <row r="401" spans="2:10">
      <c r="C401">
        <v>38050</v>
      </c>
      <c r="D401" t="s">
        <v>13722</v>
      </c>
      <c r="E401" t="s">
        <v>14120</v>
      </c>
      <c r="F401">
        <v>1279</v>
      </c>
      <c r="G401">
        <v>2702</v>
      </c>
      <c r="J401" t="s">
        <v>14126</v>
      </c>
    </row>
    <row r="402" spans="2:10">
      <c r="B402" t="s">
        <v>14127</v>
      </c>
      <c r="C402">
        <v>38054</v>
      </c>
      <c r="D402" t="s">
        <v>14027</v>
      </c>
      <c r="E402" t="s">
        <v>114</v>
      </c>
      <c r="F402">
        <v>62</v>
      </c>
      <c r="J402" t="s">
        <v>14128</v>
      </c>
    </row>
    <row r="403" spans="2:10">
      <c r="C403">
        <v>38052</v>
      </c>
      <c r="D403" t="s">
        <v>13740</v>
      </c>
      <c r="E403" t="s">
        <v>580</v>
      </c>
      <c r="F403" t="s">
        <v>14129</v>
      </c>
      <c r="H403" t="s">
        <v>12672</v>
      </c>
      <c r="J403" t="s">
        <v>14130</v>
      </c>
    </row>
    <row r="404" spans="2:10">
      <c r="C404">
        <v>38052</v>
      </c>
      <c r="D404" t="s">
        <v>13753</v>
      </c>
      <c r="E404" t="s">
        <v>14131</v>
      </c>
      <c r="F404">
        <v>123</v>
      </c>
      <c r="J404" t="s">
        <v>14132</v>
      </c>
    </row>
    <row r="405" spans="2:10">
      <c r="C405">
        <v>38052</v>
      </c>
      <c r="D405" t="s">
        <v>13753</v>
      </c>
      <c r="E405" t="s">
        <v>14131</v>
      </c>
      <c r="F405">
        <v>177</v>
      </c>
      <c r="J405" t="s">
        <v>14132</v>
      </c>
    </row>
    <row r="406" spans="2:10">
      <c r="C406">
        <v>38052</v>
      </c>
      <c r="D406" t="s">
        <v>13753</v>
      </c>
      <c r="E406" t="s">
        <v>14131</v>
      </c>
      <c r="F406">
        <v>228</v>
      </c>
      <c r="J406" t="s">
        <v>14132</v>
      </c>
    </row>
    <row r="407" spans="2:10">
      <c r="C407">
        <v>38052</v>
      </c>
      <c r="D407" t="s">
        <v>13753</v>
      </c>
      <c r="E407" t="s">
        <v>14131</v>
      </c>
      <c r="F407">
        <v>283</v>
      </c>
      <c r="J407" t="s">
        <v>14132</v>
      </c>
    </row>
    <row r="408" spans="2:10">
      <c r="C408">
        <v>38052</v>
      </c>
      <c r="D408" t="s">
        <v>13753</v>
      </c>
      <c r="E408" t="s">
        <v>14131</v>
      </c>
      <c r="F408">
        <v>333</v>
      </c>
      <c r="J408" t="s">
        <v>14132</v>
      </c>
    </row>
    <row r="409" spans="2:10">
      <c r="C409">
        <v>38052</v>
      </c>
      <c r="D409" t="s">
        <v>13753</v>
      </c>
      <c r="E409" t="s">
        <v>14131</v>
      </c>
      <c r="F409">
        <v>383</v>
      </c>
      <c r="J409" t="s">
        <v>14132</v>
      </c>
    </row>
    <row r="410" spans="2:10">
      <c r="C410">
        <v>38052</v>
      </c>
      <c r="D410" t="s">
        <v>13722</v>
      </c>
      <c r="E410" t="s">
        <v>14133</v>
      </c>
      <c r="F410" t="s">
        <v>13946</v>
      </c>
      <c r="J410" t="s">
        <v>14134</v>
      </c>
    </row>
    <row r="411" spans="2:10">
      <c r="C411">
        <v>38052</v>
      </c>
      <c r="D411" t="s">
        <v>13722</v>
      </c>
      <c r="E411" t="s">
        <v>14135</v>
      </c>
      <c r="F411">
        <v>18</v>
      </c>
      <c r="J411" t="s">
        <v>14136</v>
      </c>
    </row>
    <row r="412" spans="2:10">
      <c r="B412" t="s">
        <v>14137</v>
      </c>
      <c r="C412">
        <v>38055</v>
      </c>
      <c r="D412" t="s">
        <v>13740</v>
      </c>
      <c r="E412" t="s">
        <v>157</v>
      </c>
      <c r="F412">
        <v>529</v>
      </c>
      <c r="J412" t="s">
        <v>14138</v>
      </c>
    </row>
    <row r="413" spans="2:10">
      <c r="C413">
        <v>38055</v>
      </c>
      <c r="D413" t="s">
        <v>13740</v>
      </c>
      <c r="E413" t="s">
        <v>157</v>
      </c>
      <c r="F413">
        <v>530</v>
      </c>
      <c r="J413" t="s">
        <v>14138</v>
      </c>
    </row>
    <row r="414" spans="2:10">
      <c r="C414">
        <v>38055</v>
      </c>
      <c r="D414" t="s">
        <v>13740</v>
      </c>
      <c r="E414" t="s">
        <v>157</v>
      </c>
      <c r="F414">
        <v>541</v>
      </c>
      <c r="J414" t="s">
        <v>14139</v>
      </c>
    </row>
    <row r="415" spans="2:10">
      <c r="C415">
        <v>38055</v>
      </c>
      <c r="D415" t="s">
        <v>13740</v>
      </c>
      <c r="E415" t="s">
        <v>157</v>
      </c>
      <c r="F415">
        <v>542</v>
      </c>
      <c r="J415" t="s">
        <v>14140</v>
      </c>
    </row>
    <row r="416" spans="2:10">
      <c r="C416">
        <v>38055</v>
      </c>
      <c r="D416" t="s">
        <v>13740</v>
      </c>
      <c r="E416" t="s">
        <v>157</v>
      </c>
      <c r="F416">
        <v>543</v>
      </c>
      <c r="J416" t="s">
        <v>14141</v>
      </c>
    </row>
    <row r="417" spans="2:10">
      <c r="C417">
        <v>38055</v>
      </c>
      <c r="D417" t="s">
        <v>13753</v>
      </c>
      <c r="E417" t="s">
        <v>13750</v>
      </c>
      <c r="F417">
        <v>273</v>
      </c>
      <c r="H417" t="s">
        <v>13964</v>
      </c>
      <c r="I417" t="s">
        <v>14142</v>
      </c>
      <c r="J417" t="s">
        <v>14143</v>
      </c>
    </row>
    <row r="418" spans="2:10">
      <c r="C418">
        <v>38055</v>
      </c>
      <c r="D418" t="s">
        <v>13753</v>
      </c>
      <c r="E418" t="s">
        <v>13750</v>
      </c>
      <c r="F418">
        <v>320</v>
      </c>
      <c r="H418" t="s">
        <v>13964</v>
      </c>
      <c r="I418" t="s">
        <v>14144</v>
      </c>
      <c r="J418" t="s">
        <v>14143</v>
      </c>
    </row>
    <row r="419" spans="2:10">
      <c r="C419">
        <v>38055</v>
      </c>
      <c r="D419" t="s">
        <v>13753</v>
      </c>
      <c r="E419" t="s">
        <v>13750</v>
      </c>
      <c r="F419">
        <v>326</v>
      </c>
      <c r="H419" t="s">
        <v>13964</v>
      </c>
      <c r="I419" t="s">
        <v>14145</v>
      </c>
      <c r="J419" t="s">
        <v>14143</v>
      </c>
    </row>
    <row r="420" spans="2:10">
      <c r="C420">
        <v>38055</v>
      </c>
      <c r="D420" t="s">
        <v>13753</v>
      </c>
      <c r="E420" t="s">
        <v>13750</v>
      </c>
      <c r="F420">
        <v>371</v>
      </c>
      <c r="H420" t="s">
        <v>13964</v>
      </c>
      <c r="I420" t="s">
        <v>14146</v>
      </c>
      <c r="J420" t="s">
        <v>14143</v>
      </c>
    </row>
    <row r="421" spans="2:10">
      <c r="C421">
        <v>38055</v>
      </c>
      <c r="D421" t="s">
        <v>12597</v>
      </c>
      <c r="J421" t="s">
        <v>14147</v>
      </c>
    </row>
    <row r="422" spans="2:10">
      <c r="B422" t="s">
        <v>14148</v>
      </c>
      <c r="C422">
        <v>38057</v>
      </c>
      <c r="D422" t="s">
        <v>13753</v>
      </c>
      <c r="E422" t="s">
        <v>122</v>
      </c>
      <c r="F422">
        <v>108</v>
      </c>
      <c r="H422" t="s">
        <v>14149</v>
      </c>
      <c r="J422" t="s">
        <v>14150</v>
      </c>
    </row>
    <row r="423" spans="2:10">
      <c r="C423">
        <v>38057</v>
      </c>
      <c r="D423" t="s">
        <v>13753</v>
      </c>
      <c r="E423" t="s">
        <v>122</v>
      </c>
      <c r="F423">
        <v>115</v>
      </c>
      <c r="H423" t="s">
        <v>14151</v>
      </c>
      <c r="J423" t="s">
        <v>14152</v>
      </c>
    </row>
    <row r="424" spans="2:10">
      <c r="C424">
        <v>38065</v>
      </c>
      <c r="D424" t="s">
        <v>14005</v>
      </c>
      <c r="E424" t="s">
        <v>695</v>
      </c>
      <c r="F424">
        <v>66</v>
      </c>
      <c r="J424" t="s">
        <v>14153</v>
      </c>
    </row>
    <row r="425" spans="2:10">
      <c r="C425">
        <v>38065</v>
      </c>
      <c r="D425" t="s">
        <v>14005</v>
      </c>
      <c r="E425" t="s">
        <v>147</v>
      </c>
      <c r="F425">
        <v>66</v>
      </c>
      <c r="J425" t="s">
        <v>14154</v>
      </c>
    </row>
    <row r="426" spans="2:10">
      <c r="C426">
        <v>38065</v>
      </c>
      <c r="D426" t="s">
        <v>13970</v>
      </c>
      <c r="F426" t="s">
        <v>14155</v>
      </c>
      <c r="J426" t="s">
        <v>14156</v>
      </c>
    </row>
    <row r="427" spans="2:10">
      <c r="C427">
        <v>38065</v>
      </c>
      <c r="D427" t="s">
        <v>13970</v>
      </c>
      <c r="F427">
        <v>20</v>
      </c>
      <c r="J427" t="s">
        <v>14157</v>
      </c>
    </row>
    <row r="428" spans="2:10">
      <c r="C428">
        <v>38065</v>
      </c>
      <c r="D428" t="s">
        <v>13970</v>
      </c>
      <c r="F428">
        <v>21</v>
      </c>
      <c r="J428" t="s">
        <v>14157</v>
      </c>
    </row>
    <row r="429" spans="2:10">
      <c r="C429">
        <v>38065</v>
      </c>
      <c r="D429" t="s">
        <v>13970</v>
      </c>
      <c r="F429">
        <v>22</v>
      </c>
      <c r="J429" t="s">
        <v>14157</v>
      </c>
    </row>
    <row r="430" spans="2:10">
      <c r="C430">
        <v>38065</v>
      </c>
      <c r="D430" t="s">
        <v>12597</v>
      </c>
      <c r="J430" t="s">
        <v>14158</v>
      </c>
    </row>
    <row r="431" spans="2:10">
      <c r="C431">
        <v>38065</v>
      </c>
      <c r="D431" t="s">
        <v>14159</v>
      </c>
      <c r="G431" t="s">
        <v>14160</v>
      </c>
      <c r="J431" t="s">
        <v>14161</v>
      </c>
    </row>
    <row r="432" spans="2:10">
      <c r="C432">
        <v>38069</v>
      </c>
      <c r="D432" t="s">
        <v>14027</v>
      </c>
      <c r="E432" t="s">
        <v>14162</v>
      </c>
      <c r="F432">
        <v>63</v>
      </c>
      <c r="J432" t="s">
        <v>14163</v>
      </c>
    </row>
    <row r="433" spans="3:10">
      <c r="C433">
        <v>38069</v>
      </c>
      <c r="D433" t="s">
        <v>13713</v>
      </c>
      <c r="E433" t="s">
        <v>143</v>
      </c>
      <c r="F433">
        <v>64</v>
      </c>
      <c r="G433" t="s">
        <v>14164</v>
      </c>
      <c r="H433" t="s">
        <v>14165</v>
      </c>
      <c r="J433" t="s">
        <v>14166</v>
      </c>
    </row>
    <row r="434" spans="3:10">
      <c r="C434">
        <v>38069</v>
      </c>
      <c r="D434" t="s">
        <v>13713</v>
      </c>
      <c r="E434" t="s">
        <v>143</v>
      </c>
      <c r="F434">
        <v>65</v>
      </c>
      <c r="G434" t="s">
        <v>14167</v>
      </c>
      <c r="H434" t="s">
        <v>14165</v>
      </c>
      <c r="J434" t="s">
        <v>14166</v>
      </c>
    </row>
    <row r="435" spans="3:10">
      <c r="C435">
        <v>38069</v>
      </c>
      <c r="D435" t="s">
        <v>13753</v>
      </c>
      <c r="E435" t="s">
        <v>116</v>
      </c>
      <c r="F435">
        <v>38</v>
      </c>
      <c r="G435" t="s">
        <v>14168</v>
      </c>
      <c r="H435" t="s">
        <v>14169</v>
      </c>
      <c r="J435" t="s">
        <v>14170</v>
      </c>
    </row>
    <row r="436" spans="3:10">
      <c r="C436">
        <v>38069</v>
      </c>
      <c r="D436" t="s">
        <v>13713</v>
      </c>
      <c r="E436" t="s">
        <v>143</v>
      </c>
      <c r="F436">
        <v>7</v>
      </c>
      <c r="G436" t="s">
        <v>14171</v>
      </c>
      <c r="H436" t="s">
        <v>14172</v>
      </c>
      <c r="J436" t="s">
        <v>14173</v>
      </c>
    </row>
    <row r="437" spans="3:10">
      <c r="C437">
        <v>38069</v>
      </c>
      <c r="D437" t="s">
        <v>13740</v>
      </c>
      <c r="E437" t="s">
        <v>14024</v>
      </c>
      <c r="F437">
        <v>3</v>
      </c>
      <c r="J437" t="s">
        <v>14174</v>
      </c>
    </row>
    <row r="438" spans="3:10">
      <c r="C438">
        <v>38069</v>
      </c>
      <c r="D438" t="s">
        <v>13740</v>
      </c>
      <c r="E438" t="s">
        <v>14024</v>
      </c>
      <c r="F438">
        <v>8</v>
      </c>
      <c r="J438" t="s">
        <v>14175</v>
      </c>
    </row>
    <row r="439" spans="3:10">
      <c r="C439">
        <v>38069</v>
      </c>
      <c r="D439" t="s">
        <v>13740</v>
      </c>
      <c r="E439" t="s">
        <v>14024</v>
      </c>
      <c r="F439">
        <v>11</v>
      </c>
      <c r="J439" t="s">
        <v>14176</v>
      </c>
    </row>
    <row r="440" spans="3:10">
      <c r="C440">
        <v>38069</v>
      </c>
      <c r="D440" t="s">
        <v>13740</v>
      </c>
      <c r="E440" t="s">
        <v>14024</v>
      </c>
      <c r="F440">
        <v>23</v>
      </c>
      <c r="J440" t="s">
        <v>14177</v>
      </c>
    </row>
    <row r="441" spans="3:10">
      <c r="C441">
        <v>38069</v>
      </c>
      <c r="D441" t="s">
        <v>13740</v>
      </c>
      <c r="E441" t="s">
        <v>14024</v>
      </c>
      <c r="F441">
        <v>24</v>
      </c>
      <c r="J441" t="s">
        <v>14177</v>
      </c>
    </row>
    <row r="442" spans="3:10">
      <c r="C442">
        <v>38069</v>
      </c>
      <c r="D442" t="s">
        <v>13740</v>
      </c>
      <c r="E442" t="s">
        <v>14024</v>
      </c>
      <c r="F442">
        <v>25</v>
      </c>
      <c r="J442" t="s">
        <v>14177</v>
      </c>
    </row>
    <row r="443" spans="3:10">
      <c r="C443">
        <v>38069</v>
      </c>
      <c r="D443" t="s">
        <v>13740</v>
      </c>
      <c r="E443" t="s">
        <v>14024</v>
      </c>
      <c r="F443">
        <v>29</v>
      </c>
      <c r="J443" t="s">
        <v>14178</v>
      </c>
    </row>
    <row r="444" spans="3:10">
      <c r="C444">
        <v>38069</v>
      </c>
      <c r="D444" t="s">
        <v>13740</v>
      </c>
      <c r="E444" t="s">
        <v>14024</v>
      </c>
      <c r="F444">
        <v>30</v>
      </c>
      <c r="J444" t="s">
        <v>14179</v>
      </c>
    </row>
    <row r="445" spans="3:10">
      <c r="C445">
        <v>38069</v>
      </c>
      <c r="D445" t="s">
        <v>13740</v>
      </c>
      <c r="E445" t="s">
        <v>14024</v>
      </c>
      <c r="F445">
        <v>34</v>
      </c>
      <c r="J445" t="s">
        <v>14180</v>
      </c>
    </row>
    <row r="446" spans="3:10">
      <c r="C446">
        <v>38069</v>
      </c>
      <c r="D446" t="s">
        <v>13740</v>
      </c>
      <c r="E446" t="s">
        <v>14024</v>
      </c>
      <c r="F446">
        <v>35</v>
      </c>
      <c r="J446" t="s">
        <v>14180</v>
      </c>
    </row>
    <row r="447" spans="3:10">
      <c r="C447">
        <v>38069</v>
      </c>
      <c r="D447" t="s">
        <v>13740</v>
      </c>
      <c r="E447" t="s">
        <v>14024</v>
      </c>
      <c r="F447">
        <v>36</v>
      </c>
      <c r="J447" t="s">
        <v>14178</v>
      </c>
    </row>
    <row r="448" spans="3:10">
      <c r="C448">
        <v>38069</v>
      </c>
      <c r="D448" t="s">
        <v>13740</v>
      </c>
      <c r="E448" t="s">
        <v>14024</v>
      </c>
      <c r="F448">
        <v>37</v>
      </c>
      <c r="J448" t="s">
        <v>14181</v>
      </c>
    </row>
    <row r="449" spans="3:10">
      <c r="C449">
        <v>38069</v>
      </c>
      <c r="D449" t="s">
        <v>13740</v>
      </c>
      <c r="E449" t="s">
        <v>14024</v>
      </c>
      <c r="F449">
        <v>42</v>
      </c>
      <c r="J449" t="s">
        <v>14182</v>
      </c>
    </row>
    <row r="450" spans="3:10">
      <c r="C450">
        <v>38069</v>
      </c>
      <c r="D450" t="s">
        <v>13740</v>
      </c>
      <c r="E450" t="s">
        <v>14024</v>
      </c>
      <c r="F450">
        <v>44</v>
      </c>
      <c r="J450" t="s">
        <v>14183</v>
      </c>
    </row>
    <row r="451" spans="3:10">
      <c r="C451">
        <v>38069</v>
      </c>
      <c r="D451" t="s">
        <v>13740</v>
      </c>
      <c r="E451" t="s">
        <v>14024</v>
      </c>
      <c r="F451">
        <v>45</v>
      </c>
      <c r="J451" t="s">
        <v>14184</v>
      </c>
    </row>
    <row r="452" spans="3:10">
      <c r="C452">
        <v>38069</v>
      </c>
      <c r="D452" t="s">
        <v>13740</v>
      </c>
      <c r="E452" t="s">
        <v>14024</v>
      </c>
      <c r="F452">
        <v>46</v>
      </c>
      <c r="J452" t="s">
        <v>14185</v>
      </c>
    </row>
    <row r="453" spans="3:10">
      <c r="C453">
        <v>38069</v>
      </c>
      <c r="D453" t="s">
        <v>13740</v>
      </c>
      <c r="E453" t="s">
        <v>14024</v>
      </c>
      <c r="F453">
        <v>53</v>
      </c>
      <c r="J453" t="s">
        <v>14186</v>
      </c>
    </row>
    <row r="454" spans="3:10">
      <c r="C454">
        <v>38069</v>
      </c>
      <c r="D454" t="s">
        <v>13740</v>
      </c>
      <c r="E454" t="s">
        <v>14024</v>
      </c>
      <c r="F454">
        <v>54</v>
      </c>
      <c r="J454" t="s">
        <v>14174</v>
      </c>
    </row>
    <row r="455" spans="3:10">
      <c r="C455">
        <v>38069</v>
      </c>
      <c r="D455" t="s">
        <v>13740</v>
      </c>
      <c r="E455" t="s">
        <v>14024</v>
      </c>
      <c r="F455">
        <v>70</v>
      </c>
      <c r="J455" t="s">
        <v>14187</v>
      </c>
    </row>
    <row r="456" spans="3:10">
      <c r="C456">
        <v>38069</v>
      </c>
      <c r="D456" t="s">
        <v>13740</v>
      </c>
      <c r="E456" t="s">
        <v>14024</v>
      </c>
      <c r="F456">
        <v>71</v>
      </c>
      <c r="J456" t="s">
        <v>14187</v>
      </c>
    </row>
    <row r="457" spans="3:10">
      <c r="C457">
        <v>38069</v>
      </c>
      <c r="D457" t="s">
        <v>13740</v>
      </c>
      <c r="E457" t="s">
        <v>14024</v>
      </c>
      <c r="F457">
        <v>73</v>
      </c>
      <c r="J457" t="s">
        <v>14188</v>
      </c>
    </row>
    <row r="458" spans="3:10">
      <c r="C458">
        <v>38069</v>
      </c>
      <c r="D458" t="s">
        <v>13740</v>
      </c>
      <c r="E458" t="s">
        <v>14024</v>
      </c>
      <c r="F458">
        <v>75</v>
      </c>
      <c r="J458" t="s">
        <v>14189</v>
      </c>
    </row>
    <row r="459" spans="3:10">
      <c r="C459">
        <v>38069</v>
      </c>
      <c r="D459" t="s">
        <v>13740</v>
      </c>
      <c r="E459" t="s">
        <v>14024</v>
      </c>
      <c r="F459">
        <v>79</v>
      </c>
      <c r="J459" t="s">
        <v>14178</v>
      </c>
    </row>
    <row r="460" spans="3:10">
      <c r="C460">
        <v>38069</v>
      </c>
      <c r="D460" t="s">
        <v>13740</v>
      </c>
      <c r="E460" t="s">
        <v>14024</v>
      </c>
      <c r="F460">
        <v>80</v>
      </c>
      <c r="J460" t="s">
        <v>14179</v>
      </c>
    </row>
    <row r="461" spans="3:10">
      <c r="C461">
        <v>38069</v>
      </c>
      <c r="D461" t="s">
        <v>13740</v>
      </c>
      <c r="E461" t="s">
        <v>14024</v>
      </c>
      <c r="F461">
        <v>84</v>
      </c>
      <c r="J461" t="s">
        <v>14190</v>
      </c>
    </row>
    <row r="462" spans="3:10">
      <c r="C462">
        <v>38069</v>
      </c>
      <c r="D462" t="s">
        <v>13740</v>
      </c>
      <c r="E462" t="s">
        <v>14024</v>
      </c>
      <c r="F462">
        <v>85</v>
      </c>
      <c r="J462" t="s">
        <v>14180</v>
      </c>
    </row>
    <row r="463" spans="3:10">
      <c r="C463">
        <v>38069</v>
      </c>
      <c r="D463" t="s">
        <v>13740</v>
      </c>
      <c r="E463" t="s">
        <v>14024</v>
      </c>
      <c r="F463">
        <v>86</v>
      </c>
      <c r="J463" t="s">
        <v>14180</v>
      </c>
    </row>
    <row r="464" spans="3:10">
      <c r="C464">
        <v>38069</v>
      </c>
      <c r="D464" t="s">
        <v>13740</v>
      </c>
      <c r="E464" t="s">
        <v>14024</v>
      </c>
      <c r="F464">
        <v>87</v>
      </c>
      <c r="J464" t="s">
        <v>14178</v>
      </c>
    </row>
    <row r="465" spans="3:10">
      <c r="C465">
        <v>38069</v>
      </c>
      <c r="D465" t="s">
        <v>13740</v>
      </c>
      <c r="E465" t="s">
        <v>14024</v>
      </c>
      <c r="F465">
        <v>92</v>
      </c>
      <c r="J465" t="s">
        <v>14182</v>
      </c>
    </row>
    <row r="466" spans="3:10">
      <c r="C466">
        <v>38069</v>
      </c>
      <c r="D466" t="s">
        <v>13740</v>
      </c>
      <c r="E466" t="s">
        <v>14024</v>
      </c>
      <c r="F466">
        <v>94</v>
      </c>
      <c r="J466" t="s">
        <v>14183</v>
      </c>
    </row>
    <row r="467" spans="3:10">
      <c r="C467">
        <v>38069</v>
      </c>
      <c r="D467" t="s">
        <v>13740</v>
      </c>
      <c r="E467" t="s">
        <v>14024</v>
      </c>
      <c r="F467">
        <v>95</v>
      </c>
      <c r="J467" t="s">
        <v>14184</v>
      </c>
    </row>
    <row r="468" spans="3:10">
      <c r="C468">
        <v>38069</v>
      </c>
      <c r="D468" t="s">
        <v>13740</v>
      </c>
      <c r="E468" t="s">
        <v>14024</v>
      </c>
      <c r="F468">
        <v>96</v>
      </c>
      <c r="J468" t="s">
        <v>14185</v>
      </c>
    </row>
    <row r="469" spans="3:10">
      <c r="C469">
        <v>38069</v>
      </c>
      <c r="D469" t="s">
        <v>13740</v>
      </c>
      <c r="E469" t="s">
        <v>14024</v>
      </c>
      <c r="F469">
        <v>103</v>
      </c>
      <c r="J469" t="s">
        <v>14191</v>
      </c>
    </row>
    <row r="470" spans="3:10">
      <c r="C470">
        <v>38069</v>
      </c>
      <c r="D470" t="s">
        <v>13740</v>
      </c>
      <c r="E470" t="s">
        <v>14024</v>
      </c>
      <c r="F470">
        <v>121</v>
      </c>
      <c r="J470" t="s">
        <v>14192</v>
      </c>
    </row>
    <row r="471" spans="3:10">
      <c r="C471">
        <v>38069</v>
      </c>
      <c r="D471" t="s">
        <v>13740</v>
      </c>
      <c r="E471" t="s">
        <v>14024</v>
      </c>
      <c r="F471">
        <v>123</v>
      </c>
      <c r="J471" t="s">
        <v>14193</v>
      </c>
    </row>
    <row r="472" spans="3:10">
      <c r="C472">
        <v>38069</v>
      </c>
      <c r="D472" t="s">
        <v>13740</v>
      </c>
      <c r="E472" t="s">
        <v>14024</v>
      </c>
      <c r="F472">
        <v>124</v>
      </c>
      <c r="J472" t="s">
        <v>14192</v>
      </c>
    </row>
    <row r="473" spans="3:10">
      <c r="C473">
        <v>38069</v>
      </c>
      <c r="D473" t="s">
        <v>13740</v>
      </c>
      <c r="E473" t="s">
        <v>14024</v>
      </c>
      <c r="F473">
        <v>125</v>
      </c>
      <c r="J473" t="s">
        <v>14192</v>
      </c>
    </row>
    <row r="474" spans="3:10">
      <c r="C474">
        <v>38069</v>
      </c>
      <c r="D474" t="s">
        <v>13740</v>
      </c>
      <c r="E474" t="s">
        <v>14024</v>
      </c>
      <c r="F474">
        <v>142</v>
      </c>
      <c r="J474" t="s">
        <v>14194</v>
      </c>
    </row>
    <row r="475" spans="3:10">
      <c r="C475">
        <v>38069</v>
      </c>
      <c r="D475" t="s">
        <v>13740</v>
      </c>
      <c r="E475" t="s">
        <v>14024</v>
      </c>
      <c r="F475">
        <v>144</v>
      </c>
      <c r="J475" t="s">
        <v>14195</v>
      </c>
    </row>
    <row r="476" spans="3:10">
      <c r="C476">
        <v>38069</v>
      </c>
      <c r="D476" t="s">
        <v>13740</v>
      </c>
      <c r="E476" t="s">
        <v>14024</v>
      </c>
      <c r="F476">
        <v>145</v>
      </c>
      <c r="J476" t="s">
        <v>14196</v>
      </c>
    </row>
    <row r="477" spans="3:10">
      <c r="C477">
        <v>38069</v>
      </c>
      <c r="D477" t="s">
        <v>13740</v>
      </c>
      <c r="E477" t="s">
        <v>14024</v>
      </c>
      <c r="F477">
        <v>146</v>
      </c>
      <c r="J477" t="s">
        <v>14196</v>
      </c>
    </row>
    <row r="478" spans="3:10">
      <c r="C478">
        <v>38069</v>
      </c>
      <c r="D478" t="s">
        <v>13740</v>
      </c>
      <c r="E478" t="s">
        <v>14024</v>
      </c>
      <c r="F478">
        <v>173</v>
      </c>
      <c r="J478" t="s">
        <v>14197</v>
      </c>
    </row>
    <row r="479" spans="3:10">
      <c r="C479">
        <v>38069</v>
      </c>
      <c r="D479" t="s">
        <v>13740</v>
      </c>
      <c r="E479" t="s">
        <v>14024</v>
      </c>
      <c r="F479">
        <v>175</v>
      </c>
      <c r="J479" t="s">
        <v>14192</v>
      </c>
    </row>
    <row r="480" spans="3:10">
      <c r="C480">
        <v>38069</v>
      </c>
      <c r="D480" t="s">
        <v>13740</v>
      </c>
      <c r="E480" t="s">
        <v>14024</v>
      </c>
      <c r="F480">
        <v>194</v>
      </c>
      <c r="J480" t="s">
        <v>14198</v>
      </c>
    </row>
    <row r="481" spans="3:10">
      <c r="C481">
        <v>38069</v>
      </c>
      <c r="D481" t="s">
        <v>13740</v>
      </c>
      <c r="E481" t="s">
        <v>14024</v>
      </c>
      <c r="F481">
        <v>195</v>
      </c>
      <c r="J481" t="s">
        <v>14196</v>
      </c>
    </row>
    <row r="482" spans="3:10">
      <c r="C482">
        <v>38069</v>
      </c>
      <c r="D482" t="s">
        <v>13740</v>
      </c>
      <c r="E482" t="s">
        <v>14024</v>
      </c>
      <c r="F482">
        <v>196</v>
      </c>
      <c r="J482" t="s">
        <v>14196</v>
      </c>
    </row>
    <row r="483" spans="3:10">
      <c r="C483">
        <v>38069</v>
      </c>
      <c r="D483" t="s">
        <v>13740</v>
      </c>
      <c r="E483" t="s">
        <v>14024</v>
      </c>
      <c r="F483">
        <v>221</v>
      </c>
      <c r="J483" t="s">
        <v>14199</v>
      </c>
    </row>
    <row r="484" spans="3:10">
      <c r="C484">
        <v>38069</v>
      </c>
      <c r="D484" t="s">
        <v>13740</v>
      </c>
      <c r="E484" t="s">
        <v>14024</v>
      </c>
      <c r="F484">
        <v>223</v>
      </c>
      <c r="J484" t="s">
        <v>14199</v>
      </c>
    </row>
    <row r="485" spans="3:10">
      <c r="C485">
        <v>38069</v>
      </c>
      <c r="D485" t="s">
        <v>13740</v>
      </c>
      <c r="E485" t="s">
        <v>14024</v>
      </c>
      <c r="F485">
        <v>224</v>
      </c>
      <c r="J485" t="s">
        <v>14200</v>
      </c>
    </row>
    <row r="486" spans="3:10">
      <c r="C486">
        <v>38069</v>
      </c>
      <c r="D486" t="s">
        <v>13740</v>
      </c>
      <c r="E486" t="s">
        <v>14024</v>
      </c>
      <c r="F486">
        <v>225</v>
      </c>
      <c r="J486" t="s">
        <v>14200</v>
      </c>
    </row>
    <row r="487" spans="3:10">
      <c r="C487">
        <v>38069</v>
      </c>
      <c r="D487" t="s">
        <v>13740</v>
      </c>
      <c r="E487" t="s">
        <v>14024</v>
      </c>
      <c r="F487">
        <v>242</v>
      </c>
      <c r="J487" t="s">
        <v>14201</v>
      </c>
    </row>
    <row r="488" spans="3:10">
      <c r="C488">
        <v>38069</v>
      </c>
      <c r="D488" t="s">
        <v>13740</v>
      </c>
      <c r="E488" t="s">
        <v>14024</v>
      </c>
      <c r="F488">
        <v>244</v>
      </c>
      <c r="J488" t="s">
        <v>14202</v>
      </c>
    </row>
    <row r="489" spans="3:10">
      <c r="C489">
        <v>38069</v>
      </c>
      <c r="D489" t="s">
        <v>13740</v>
      </c>
      <c r="E489" t="s">
        <v>14024</v>
      </c>
      <c r="F489">
        <v>245</v>
      </c>
      <c r="J489" t="s">
        <v>14202</v>
      </c>
    </row>
    <row r="490" spans="3:10">
      <c r="C490">
        <v>38069</v>
      </c>
      <c r="D490" t="s">
        <v>13740</v>
      </c>
      <c r="E490" t="s">
        <v>14024</v>
      </c>
      <c r="F490">
        <v>246</v>
      </c>
      <c r="J490" t="s">
        <v>14202</v>
      </c>
    </row>
    <row r="491" spans="3:10">
      <c r="C491">
        <v>38069</v>
      </c>
      <c r="D491" t="s">
        <v>13740</v>
      </c>
      <c r="E491" t="s">
        <v>14024</v>
      </c>
      <c r="F491">
        <v>270</v>
      </c>
      <c r="J491" t="s">
        <v>14203</v>
      </c>
    </row>
    <row r="492" spans="3:10">
      <c r="C492">
        <v>38069</v>
      </c>
      <c r="D492" t="s">
        <v>13740</v>
      </c>
      <c r="E492" t="s">
        <v>14024</v>
      </c>
      <c r="F492">
        <v>271</v>
      </c>
      <c r="J492" t="s">
        <v>14204</v>
      </c>
    </row>
    <row r="493" spans="3:10">
      <c r="C493">
        <v>38069</v>
      </c>
      <c r="D493" t="s">
        <v>13740</v>
      </c>
      <c r="E493" t="s">
        <v>14024</v>
      </c>
      <c r="F493">
        <v>273</v>
      </c>
      <c r="J493" t="s">
        <v>14204</v>
      </c>
    </row>
    <row r="494" spans="3:10">
      <c r="C494">
        <v>38069</v>
      </c>
      <c r="D494" t="s">
        <v>13740</v>
      </c>
      <c r="E494" t="s">
        <v>14024</v>
      </c>
      <c r="F494">
        <v>274</v>
      </c>
      <c r="J494" t="s">
        <v>14204</v>
      </c>
    </row>
    <row r="495" spans="3:10">
      <c r="C495">
        <v>38069</v>
      </c>
      <c r="D495" t="s">
        <v>13740</v>
      </c>
      <c r="E495" t="s">
        <v>14024</v>
      </c>
      <c r="F495">
        <v>275</v>
      </c>
      <c r="J495" t="s">
        <v>14204</v>
      </c>
    </row>
    <row r="496" spans="3:10">
      <c r="C496">
        <v>38069</v>
      </c>
      <c r="D496" t="s">
        <v>13740</v>
      </c>
      <c r="E496" t="s">
        <v>14024</v>
      </c>
      <c r="F496">
        <v>291</v>
      </c>
      <c r="J496" t="s">
        <v>14203</v>
      </c>
    </row>
    <row r="497" spans="3:10">
      <c r="C497">
        <v>38069</v>
      </c>
      <c r="D497" t="s">
        <v>13740</v>
      </c>
      <c r="E497" t="s">
        <v>14024</v>
      </c>
      <c r="F497">
        <v>292</v>
      </c>
      <c r="J497" t="s">
        <v>14187</v>
      </c>
    </row>
    <row r="498" spans="3:10">
      <c r="C498">
        <v>38069</v>
      </c>
      <c r="D498" t="s">
        <v>13740</v>
      </c>
      <c r="E498" t="s">
        <v>14024</v>
      </c>
      <c r="F498">
        <v>294</v>
      </c>
      <c r="J498" t="s">
        <v>14187</v>
      </c>
    </row>
    <row r="499" spans="3:10">
      <c r="C499">
        <v>38069</v>
      </c>
      <c r="D499" t="s">
        <v>13740</v>
      </c>
      <c r="E499" t="s">
        <v>14024</v>
      </c>
      <c r="F499">
        <v>295</v>
      </c>
      <c r="J499" t="s">
        <v>14187</v>
      </c>
    </row>
    <row r="500" spans="3:10">
      <c r="C500">
        <v>38069</v>
      </c>
      <c r="D500" t="s">
        <v>13740</v>
      </c>
      <c r="E500" t="s">
        <v>14024</v>
      </c>
      <c r="F500">
        <v>296</v>
      </c>
      <c r="J500" t="s">
        <v>14187</v>
      </c>
    </row>
    <row r="501" spans="3:10">
      <c r="C501">
        <v>38069</v>
      </c>
      <c r="D501" t="s">
        <v>13740</v>
      </c>
      <c r="E501" t="s">
        <v>14024</v>
      </c>
      <c r="F501">
        <v>304</v>
      </c>
      <c r="J501" t="s">
        <v>14205</v>
      </c>
    </row>
    <row r="502" spans="3:10">
      <c r="C502">
        <v>38069</v>
      </c>
      <c r="D502" t="s">
        <v>13740</v>
      </c>
      <c r="E502" t="s">
        <v>14024</v>
      </c>
      <c r="F502">
        <v>307</v>
      </c>
      <c r="J502" t="s">
        <v>14206</v>
      </c>
    </row>
    <row r="503" spans="3:10">
      <c r="C503">
        <v>38069</v>
      </c>
      <c r="D503" t="s">
        <v>13740</v>
      </c>
      <c r="E503" t="s">
        <v>14024</v>
      </c>
      <c r="F503">
        <v>323</v>
      </c>
      <c r="J503" t="s">
        <v>14207</v>
      </c>
    </row>
    <row r="504" spans="3:10">
      <c r="C504">
        <v>38069</v>
      </c>
      <c r="D504" t="s">
        <v>13740</v>
      </c>
      <c r="E504" t="s">
        <v>14024</v>
      </c>
      <c r="F504">
        <v>324</v>
      </c>
      <c r="J504" t="s">
        <v>14207</v>
      </c>
    </row>
    <row r="505" spans="3:10">
      <c r="C505">
        <v>38069</v>
      </c>
      <c r="D505" t="s">
        <v>13740</v>
      </c>
      <c r="E505" t="s">
        <v>14024</v>
      </c>
      <c r="F505">
        <v>325</v>
      </c>
      <c r="J505" t="s">
        <v>14207</v>
      </c>
    </row>
    <row r="506" spans="3:10">
      <c r="C506">
        <v>38069</v>
      </c>
      <c r="D506" t="s">
        <v>13740</v>
      </c>
      <c r="E506" t="s">
        <v>14024</v>
      </c>
      <c r="F506">
        <v>394</v>
      </c>
      <c r="J506" t="s">
        <v>14208</v>
      </c>
    </row>
    <row r="507" spans="3:10">
      <c r="C507">
        <v>38069</v>
      </c>
      <c r="D507" t="s">
        <v>13740</v>
      </c>
      <c r="E507" t="s">
        <v>14024</v>
      </c>
      <c r="F507">
        <v>395</v>
      </c>
      <c r="J507" t="s">
        <v>14208</v>
      </c>
    </row>
    <row r="508" spans="3:10">
      <c r="C508">
        <v>38069</v>
      </c>
      <c r="D508" t="s">
        <v>13740</v>
      </c>
      <c r="E508" t="s">
        <v>14024</v>
      </c>
      <c r="F508">
        <v>396</v>
      </c>
      <c r="J508" t="s">
        <v>14208</v>
      </c>
    </row>
    <row r="509" spans="3:10">
      <c r="C509">
        <v>38069</v>
      </c>
      <c r="D509" t="s">
        <v>13740</v>
      </c>
      <c r="E509" t="s">
        <v>14024</v>
      </c>
      <c r="F509">
        <v>427</v>
      </c>
      <c r="J509" t="s">
        <v>14209</v>
      </c>
    </row>
    <row r="510" spans="3:10">
      <c r="C510">
        <v>38069</v>
      </c>
      <c r="D510" t="s">
        <v>13740</v>
      </c>
      <c r="E510" t="s">
        <v>14024</v>
      </c>
      <c r="F510">
        <v>442</v>
      </c>
      <c r="J510" t="s">
        <v>14210</v>
      </c>
    </row>
    <row r="511" spans="3:10">
      <c r="C511">
        <v>38069</v>
      </c>
      <c r="D511" t="s">
        <v>13740</v>
      </c>
      <c r="E511" t="s">
        <v>14024</v>
      </c>
      <c r="F511">
        <v>444</v>
      </c>
      <c r="J511" t="s">
        <v>14211</v>
      </c>
    </row>
    <row r="512" spans="3:10">
      <c r="C512">
        <v>38069</v>
      </c>
      <c r="D512" t="s">
        <v>13740</v>
      </c>
      <c r="E512" t="s">
        <v>14024</v>
      </c>
      <c r="F512">
        <v>445</v>
      </c>
      <c r="J512" t="s">
        <v>14211</v>
      </c>
    </row>
    <row r="513" spans="3:10">
      <c r="C513">
        <v>38069</v>
      </c>
      <c r="D513" t="s">
        <v>13740</v>
      </c>
      <c r="E513" t="s">
        <v>14024</v>
      </c>
      <c r="F513">
        <v>446</v>
      </c>
      <c r="J513" t="s">
        <v>14211</v>
      </c>
    </row>
    <row r="514" spans="3:10">
      <c r="C514">
        <v>38069</v>
      </c>
      <c r="D514" t="s">
        <v>13740</v>
      </c>
      <c r="E514" t="s">
        <v>14024</v>
      </c>
      <c r="F514">
        <v>448</v>
      </c>
      <c r="J514" t="s">
        <v>14212</v>
      </c>
    </row>
    <row r="515" spans="3:10">
      <c r="C515">
        <v>38069</v>
      </c>
      <c r="D515" t="s">
        <v>13740</v>
      </c>
      <c r="E515" t="s">
        <v>14024</v>
      </c>
      <c r="F515">
        <v>449</v>
      </c>
      <c r="J515" t="s">
        <v>14212</v>
      </c>
    </row>
    <row r="516" spans="3:10">
      <c r="C516">
        <v>38069</v>
      </c>
      <c r="D516" t="s">
        <v>13740</v>
      </c>
      <c r="E516" t="s">
        <v>14024</v>
      </c>
      <c r="F516">
        <v>504</v>
      </c>
      <c r="J516" t="s">
        <v>14213</v>
      </c>
    </row>
    <row r="517" spans="3:10">
      <c r="C517">
        <v>38069</v>
      </c>
      <c r="D517" t="s">
        <v>13740</v>
      </c>
      <c r="E517" t="s">
        <v>14024</v>
      </c>
      <c r="F517">
        <v>505</v>
      </c>
      <c r="J517" t="s">
        <v>14214</v>
      </c>
    </row>
    <row r="518" spans="3:10">
      <c r="C518">
        <v>38069</v>
      </c>
      <c r="D518" t="s">
        <v>13740</v>
      </c>
      <c r="E518" t="s">
        <v>14024</v>
      </c>
      <c r="F518">
        <v>541</v>
      </c>
      <c r="J518" t="s">
        <v>14215</v>
      </c>
    </row>
    <row r="519" spans="3:10">
      <c r="C519">
        <v>38069</v>
      </c>
      <c r="D519" t="s">
        <v>13740</v>
      </c>
      <c r="E519" t="s">
        <v>14024</v>
      </c>
      <c r="F519">
        <v>542</v>
      </c>
      <c r="J519" t="s">
        <v>14215</v>
      </c>
    </row>
    <row r="520" spans="3:10">
      <c r="C520">
        <v>38069</v>
      </c>
      <c r="D520" t="s">
        <v>13740</v>
      </c>
      <c r="E520" t="s">
        <v>14024</v>
      </c>
      <c r="F520">
        <v>543</v>
      </c>
      <c r="J520" t="s">
        <v>14215</v>
      </c>
    </row>
    <row r="521" spans="3:10">
      <c r="C521">
        <v>38069</v>
      </c>
      <c r="D521" t="s">
        <v>13740</v>
      </c>
      <c r="E521" t="s">
        <v>14024</v>
      </c>
      <c r="F521">
        <v>545</v>
      </c>
      <c r="J521" t="s">
        <v>14216</v>
      </c>
    </row>
    <row r="522" spans="3:10">
      <c r="C522">
        <v>38069</v>
      </c>
      <c r="D522" t="s">
        <v>13740</v>
      </c>
      <c r="E522" t="s">
        <v>14024</v>
      </c>
      <c r="F522">
        <v>11</v>
      </c>
      <c r="J522" t="s">
        <v>14217</v>
      </c>
    </row>
    <row r="523" spans="3:10">
      <c r="C523">
        <v>38069</v>
      </c>
      <c r="D523" t="s">
        <v>13740</v>
      </c>
      <c r="E523" t="s">
        <v>14024</v>
      </c>
      <c r="F523">
        <v>12</v>
      </c>
      <c r="J523" t="s">
        <v>14176</v>
      </c>
    </row>
    <row r="524" spans="3:10">
      <c r="C524">
        <v>38069</v>
      </c>
      <c r="D524" t="s">
        <v>13740</v>
      </c>
      <c r="E524" t="s">
        <v>14024</v>
      </c>
      <c r="F524">
        <v>509</v>
      </c>
      <c r="J524" t="s">
        <v>14218</v>
      </c>
    </row>
    <row r="525" spans="3:10">
      <c r="C525">
        <v>38069</v>
      </c>
      <c r="D525" t="s">
        <v>13740</v>
      </c>
      <c r="E525" t="s">
        <v>14024</v>
      </c>
      <c r="F525">
        <v>510</v>
      </c>
      <c r="J525" t="s">
        <v>14219</v>
      </c>
    </row>
    <row r="526" spans="3:10">
      <c r="C526">
        <v>38069</v>
      </c>
      <c r="D526" t="s">
        <v>13740</v>
      </c>
      <c r="E526" t="s">
        <v>13750</v>
      </c>
      <c r="F526">
        <v>270</v>
      </c>
      <c r="J526" t="s">
        <v>14220</v>
      </c>
    </row>
    <row r="527" spans="3:10">
      <c r="C527">
        <v>38069</v>
      </c>
      <c r="D527" t="s">
        <v>13740</v>
      </c>
      <c r="E527" t="s">
        <v>13750</v>
      </c>
      <c r="F527">
        <v>291</v>
      </c>
      <c r="J527" t="s">
        <v>14220</v>
      </c>
    </row>
    <row r="528" spans="3:10">
      <c r="C528">
        <v>38069</v>
      </c>
      <c r="D528" t="s">
        <v>13740</v>
      </c>
      <c r="E528" t="s">
        <v>13750</v>
      </c>
      <c r="F528">
        <v>307</v>
      </c>
      <c r="J528" t="s">
        <v>14221</v>
      </c>
    </row>
    <row r="529" spans="1:10">
      <c r="C529">
        <v>37706</v>
      </c>
      <c r="D529" t="s">
        <v>13753</v>
      </c>
      <c r="E529" t="s">
        <v>14222</v>
      </c>
      <c r="F529">
        <v>110</v>
      </c>
      <c r="G529" t="s">
        <v>14223</v>
      </c>
      <c r="J529" t="s">
        <v>14224</v>
      </c>
    </row>
    <row r="530" spans="1:10">
      <c r="C530">
        <v>37706</v>
      </c>
      <c r="D530" t="s">
        <v>13713</v>
      </c>
      <c r="E530" t="s">
        <v>14225</v>
      </c>
      <c r="F530">
        <v>68</v>
      </c>
      <c r="G530" t="s">
        <v>14223</v>
      </c>
      <c r="J530" t="s">
        <v>14226</v>
      </c>
    </row>
    <row r="531" spans="1:10">
      <c r="C531">
        <v>37706</v>
      </c>
      <c r="D531" t="s">
        <v>13713</v>
      </c>
      <c r="E531" t="s">
        <v>13750</v>
      </c>
      <c r="F531">
        <v>2</v>
      </c>
      <c r="J531" t="s">
        <v>14227</v>
      </c>
    </row>
    <row r="532" spans="1:10">
      <c r="C532">
        <v>37706</v>
      </c>
      <c r="D532" t="s">
        <v>13753</v>
      </c>
      <c r="E532" t="s">
        <v>13723</v>
      </c>
      <c r="F532" t="s">
        <v>14228</v>
      </c>
      <c r="J532" t="s">
        <v>14229</v>
      </c>
    </row>
    <row r="533" spans="1:10">
      <c r="B533" t="s">
        <v>14230</v>
      </c>
      <c r="C533">
        <v>38072</v>
      </c>
      <c r="D533" t="s">
        <v>14231</v>
      </c>
      <c r="E533" t="s">
        <v>13981</v>
      </c>
      <c r="F533" t="s">
        <v>13981</v>
      </c>
      <c r="J533" t="s">
        <v>14232</v>
      </c>
    </row>
    <row r="534" spans="1:10">
      <c r="C534">
        <v>38082</v>
      </c>
      <c r="D534" t="s">
        <v>12597</v>
      </c>
      <c r="J534" t="s">
        <v>14233</v>
      </c>
    </row>
    <row r="535" spans="1:10">
      <c r="C535">
        <v>38082</v>
      </c>
      <c r="D535" t="s">
        <v>12597</v>
      </c>
      <c r="J535" t="s">
        <v>14234</v>
      </c>
    </row>
    <row r="536" spans="1:10">
      <c r="B536" t="s">
        <v>14235</v>
      </c>
      <c r="C536">
        <v>38084</v>
      </c>
      <c r="D536" t="s">
        <v>12597</v>
      </c>
      <c r="J536" t="s">
        <v>14236</v>
      </c>
    </row>
    <row r="537" spans="1:10">
      <c r="C537">
        <v>38084</v>
      </c>
      <c r="D537" t="s">
        <v>12597</v>
      </c>
      <c r="J537" t="s">
        <v>14237</v>
      </c>
    </row>
    <row r="538" spans="1:10">
      <c r="A538">
        <v>38091</v>
      </c>
      <c r="B538" t="s">
        <v>14238</v>
      </c>
      <c r="C538">
        <v>38090</v>
      </c>
      <c r="D538" t="s">
        <v>13722</v>
      </c>
      <c r="E538" t="s">
        <v>14239</v>
      </c>
      <c r="F538">
        <v>10</v>
      </c>
      <c r="J538" t="s">
        <v>14240</v>
      </c>
    </row>
    <row r="539" spans="1:10">
      <c r="C539">
        <v>38091</v>
      </c>
      <c r="D539" t="s">
        <v>13753</v>
      </c>
      <c r="E539" t="s">
        <v>14241</v>
      </c>
      <c r="F539" t="s">
        <v>14242</v>
      </c>
      <c r="G539" t="s">
        <v>14243</v>
      </c>
      <c r="J539" t="s">
        <v>14244</v>
      </c>
    </row>
    <row r="540" spans="1:10">
      <c r="C540">
        <v>38091</v>
      </c>
      <c r="D540" t="s">
        <v>13753</v>
      </c>
      <c r="E540" t="s">
        <v>14241</v>
      </c>
      <c r="F540" t="s">
        <v>14245</v>
      </c>
      <c r="G540" t="s">
        <v>14243</v>
      </c>
      <c r="J540" t="s">
        <v>14246</v>
      </c>
    </row>
    <row r="541" spans="1:10">
      <c r="C541">
        <v>38091</v>
      </c>
      <c r="D541" t="s">
        <v>13753</v>
      </c>
      <c r="E541" t="s">
        <v>14241</v>
      </c>
      <c r="F541" t="s">
        <v>14247</v>
      </c>
      <c r="G541" t="s">
        <v>14243</v>
      </c>
      <c r="J541" t="s">
        <v>14248</v>
      </c>
    </row>
    <row r="542" spans="1:10">
      <c r="C542">
        <v>38091</v>
      </c>
      <c r="D542" t="s">
        <v>13740</v>
      </c>
      <c r="E542" t="s">
        <v>122</v>
      </c>
      <c r="F542">
        <v>44</v>
      </c>
      <c r="H542" t="s">
        <v>163</v>
      </c>
      <c r="J542" t="s">
        <v>14249</v>
      </c>
    </row>
    <row r="543" spans="1:10">
      <c r="C543">
        <v>38091</v>
      </c>
      <c r="D543" t="s">
        <v>13740</v>
      </c>
      <c r="E543" t="s">
        <v>122</v>
      </c>
      <c r="F543">
        <v>427</v>
      </c>
      <c r="H543" t="s">
        <v>618</v>
      </c>
      <c r="J543" t="s">
        <v>14250</v>
      </c>
    </row>
    <row r="544" spans="1:10">
      <c r="B544" t="s">
        <v>14251</v>
      </c>
      <c r="C544">
        <v>38096</v>
      </c>
      <c r="D544" t="s">
        <v>13724</v>
      </c>
      <c r="E544" t="s">
        <v>112</v>
      </c>
      <c r="F544" t="s">
        <v>14252</v>
      </c>
      <c r="J544" t="s">
        <v>14253</v>
      </c>
    </row>
    <row r="545" spans="1:10">
      <c r="A545">
        <v>38096</v>
      </c>
      <c r="B545" t="s">
        <v>14254</v>
      </c>
      <c r="C545">
        <v>38097</v>
      </c>
      <c r="D545" t="s">
        <v>14005</v>
      </c>
      <c r="E545" t="s">
        <v>14255</v>
      </c>
      <c r="F545" t="s">
        <v>14256</v>
      </c>
      <c r="J545" t="s">
        <v>14257</v>
      </c>
    </row>
    <row r="546" spans="1:10">
      <c r="C546">
        <v>38097</v>
      </c>
      <c r="D546" t="s">
        <v>14005</v>
      </c>
      <c r="E546" t="s">
        <v>14255</v>
      </c>
      <c r="F546">
        <v>38</v>
      </c>
      <c r="J546" t="s">
        <v>14258</v>
      </c>
    </row>
    <row r="547" spans="1:10">
      <c r="C547">
        <v>38098</v>
      </c>
      <c r="D547" t="s">
        <v>13740</v>
      </c>
      <c r="E547" t="s">
        <v>580</v>
      </c>
      <c r="F547">
        <v>1</v>
      </c>
      <c r="J547" t="s">
        <v>14259</v>
      </c>
    </row>
    <row r="548" spans="1:10">
      <c r="C548">
        <v>38098</v>
      </c>
      <c r="D548" t="s">
        <v>13740</v>
      </c>
      <c r="E548" t="s">
        <v>580</v>
      </c>
      <c r="F548">
        <v>571</v>
      </c>
      <c r="J548" t="s">
        <v>14260</v>
      </c>
    </row>
    <row r="549" spans="1:10">
      <c r="C549">
        <v>38098</v>
      </c>
      <c r="D549" t="s">
        <v>12597</v>
      </c>
      <c r="J549" t="s">
        <v>14261</v>
      </c>
    </row>
    <row r="550" spans="1:10">
      <c r="C550">
        <v>38098</v>
      </c>
      <c r="D550" t="s">
        <v>12597</v>
      </c>
      <c r="J550" t="s">
        <v>14262</v>
      </c>
    </row>
    <row r="551" spans="1:10">
      <c r="C551">
        <v>38098</v>
      </c>
      <c r="D551" t="s">
        <v>12597</v>
      </c>
      <c r="J551" t="s">
        <v>14263</v>
      </c>
    </row>
    <row r="552" spans="1:10">
      <c r="C552">
        <v>38098</v>
      </c>
      <c r="D552" t="s">
        <v>12597</v>
      </c>
      <c r="J552" t="s">
        <v>14264</v>
      </c>
    </row>
    <row r="553" spans="1:10">
      <c r="C553">
        <v>38098</v>
      </c>
      <c r="D553" t="s">
        <v>12597</v>
      </c>
      <c r="J553" t="s">
        <v>14265</v>
      </c>
    </row>
    <row r="554" spans="1:10">
      <c r="B554" t="s">
        <v>14266</v>
      </c>
      <c r="C554">
        <v>38103</v>
      </c>
      <c r="D554" t="s">
        <v>12597</v>
      </c>
      <c r="J554" t="s">
        <v>14267</v>
      </c>
    </row>
    <row r="555" spans="1:10">
      <c r="C555">
        <v>38103</v>
      </c>
      <c r="D555" t="s">
        <v>13740</v>
      </c>
      <c r="J555" t="s">
        <v>14268</v>
      </c>
    </row>
    <row r="556" spans="1:10">
      <c r="C556">
        <v>38105</v>
      </c>
      <c r="D556" t="s">
        <v>13724</v>
      </c>
      <c r="E556" t="s">
        <v>14002</v>
      </c>
      <c r="F556">
        <v>664</v>
      </c>
      <c r="J556" t="s">
        <v>14269</v>
      </c>
    </row>
    <row r="557" spans="1:10">
      <c r="C557">
        <v>38105</v>
      </c>
      <c r="D557" t="s">
        <v>13753</v>
      </c>
      <c r="E557" t="s">
        <v>14270</v>
      </c>
      <c r="F557" t="s">
        <v>14271</v>
      </c>
      <c r="G557" t="s">
        <v>14272</v>
      </c>
      <c r="H557" t="s">
        <v>14273</v>
      </c>
      <c r="J557" t="s">
        <v>14274</v>
      </c>
    </row>
    <row r="558" spans="1:10">
      <c r="C558">
        <v>38105</v>
      </c>
      <c r="D558" t="s">
        <v>13753</v>
      </c>
      <c r="E558" t="s">
        <v>14270</v>
      </c>
      <c r="F558" t="s">
        <v>14275</v>
      </c>
      <c r="G558" t="s">
        <v>14272</v>
      </c>
      <c r="H558" t="s">
        <v>14276</v>
      </c>
      <c r="J558" t="s">
        <v>14274</v>
      </c>
    </row>
    <row r="559" spans="1:10">
      <c r="C559">
        <v>38105</v>
      </c>
      <c r="D559" t="s">
        <v>13753</v>
      </c>
      <c r="E559" t="s">
        <v>14270</v>
      </c>
      <c r="F559" t="s">
        <v>14277</v>
      </c>
      <c r="G559" t="s">
        <v>14272</v>
      </c>
      <c r="H559" t="s">
        <v>14278</v>
      </c>
      <c r="J559" t="s">
        <v>14274</v>
      </c>
    </row>
    <row r="560" spans="1:10">
      <c r="C560">
        <v>38105</v>
      </c>
      <c r="D560" t="s">
        <v>13753</v>
      </c>
      <c r="E560" t="s">
        <v>14270</v>
      </c>
      <c r="F560" t="s">
        <v>14279</v>
      </c>
      <c r="G560" t="s">
        <v>14272</v>
      </c>
      <c r="H560" t="s">
        <v>14280</v>
      </c>
      <c r="J560" t="s">
        <v>14274</v>
      </c>
    </row>
    <row r="561" spans="3:10">
      <c r="C561">
        <v>38105</v>
      </c>
      <c r="D561" t="s">
        <v>13753</v>
      </c>
      <c r="E561" t="s">
        <v>14270</v>
      </c>
      <c r="F561" t="s">
        <v>14281</v>
      </c>
      <c r="G561" t="s">
        <v>14272</v>
      </c>
      <c r="H561" t="s">
        <v>14282</v>
      </c>
      <c r="J561" t="s">
        <v>14274</v>
      </c>
    </row>
    <row r="562" spans="3:10">
      <c r="C562">
        <v>38105</v>
      </c>
      <c r="D562" t="s">
        <v>13753</v>
      </c>
      <c r="E562" t="s">
        <v>14270</v>
      </c>
      <c r="F562" t="s">
        <v>14283</v>
      </c>
      <c r="G562" t="s">
        <v>14272</v>
      </c>
      <c r="H562" t="s">
        <v>14284</v>
      </c>
      <c r="J562" t="s">
        <v>14274</v>
      </c>
    </row>
    <row r="563" spans="3:10">
      <c r="C563">
        <v>38105</v>
      </c>
      <c r="D563" t="s">
        <v>13753</v>
      </c>
      <c r="E563" t="s">
        <v>14270</v>
      </c>
      <c r="F563" t="s">
        <v>14285</v>
      </c>
      <c r="G563" t="s">
        <v>14272</v>
      </c>
      <c r="H563" t="s">
        <v>14286</v>
      </c>
      <c r="J563" t="s">
        <v>14274</v>
      </c>
    </row>
    <row r="564" spans="3:10" ht="13">
      <c r="C564">
        <v>38105</v>
      </c>
      <c r="D564" t="s">
        <v>13753</v>
      </c>
      <c r="E564" t="s">
        <v>143</v>
      </c>
      <c r="F564">
        <v>2250</v>
      </c>
      <c r="J564" t="s">
        <v>14287</v>
      </c>
    </row>
    <row r="565" spans="3:10" ht="13">
      <c r="C565">
        <v>38105</v>
      </c>
      <c r="D565" t="s">
        <v>13753</v>
      </c>
      <c r="E565" t="s">
        <v>143</v>
      </c>
      <c r="F565">
        <v>2270</v>
      </c>
      <c r="J565" t="s">
        <v>14288</v>
      </c>
    </row>
    <row r="566" spans="3:10">
      <c r="C566">
        <v>38106</v>
      </c>
      <c r="D566" t="s">
        <v>14005</v>
      </c>
      <c r="E566" t="s">
        <v>695</v>
      </c>
      <c r="F566">
        <v>4</v>
      </c>
      <c r="J566" t="s">
        <v>14289</v>
      </c>
    </row>
    <row r="567" spans="3:10">
      <c r="C567">
        <v>38106</v>
      </c>
      <c r="D567" t="s">
        <v>14005</v>
      </c>
      <c r="E567" t="s">
        <v>695</v>
      </c>
      <c r="F567">
        <v>5</v>
      </c>
      <c r="J567" t="s">
        <v>14289</v>
      </c>
    </row>
    <row r="568" spans="3:10">
      <c r="C568">
        <v>38106</v>
      </c>
      <c r="D568" t="s">
        <v>14005</v>
      </c>
      <c r="E568" t="s">
        <v>695</v>
      </c>
      <c r="F568">
        <v>7</v>
      </c>
      <c r="J568" t="s">
        <v>14289</v>
      </c>
    </row>
    <row r="569" spans="3:10">
      <c r="C569">
        <v>38106</v>
      </c>
      <c r="D569" t="s">
        <v>14005</v>
      </c>
      <c r="E569" t="s">
        <v>695</v>
      </c>
      <c r="F569">
        <v>8</v>
      </c>
      <c r="J569" t="s">
        <v>14289</v>
      </c>
    </row>
    <row r="570" spans="3:10">
      <c r="C570">
        <v>38112</v>
      </c>
      <c r="D570" t="s">
        <v>13740</v>
      </c>
      <c r="E570" t="s">
        <v>14290</v>
      </c>
      <c r="F570">
        <v>58</v>
      </c>
      <c r="J570" t="s">
        <v>14291</v>
      </c>
    </row>
    <row r="571" spans="3:10">
      <c r="C571">
        <v>38112</v>
      </c>
      <c r="D571" t="s">
        <v>14292</v>
      </c>
      <c r="E571" t="s">
        <v>143</v>
      </c>
      <c r="F571">
        <v>11</v>
      </c>
      <c r="J571" t="s">
        <v>14293</v>
      </c>
    </row>
    <row r="572" spans="3:10">
      <c r="C572">
        <v>38119</v>
      </c>
      <c r="D572" t="s">
        <v>13722</v>
      </c>
      <c r="E572" t="s">
        <v>14096</v>
      </c>
      <c r="F572">
        <v>2216</v>
      </c>
      <c r="J572" t="s">
        <v>14294</v>
      </c>
    </row>
    <row r="573" spans="3:10">
      <c r="C573">
        <v>38128</v>
      </c>
      <c r="D573" t="s">
        <v>14027</v>
      </c>
      <c r="E573" t="s">
        <v>157</v>
      </c>
      <c r="F573">
        <v>72</v>
      </c>
      <c r="J573" t="s">
        <v>14295</v>
      </c>
    </row>
    <row r="574" spans="3:10">
      <c r="C574">
        <v>38128</v>
      </c>
      <c r="D574" t="s">
        <v>14027</v>
      </c>
      <c r="E574" t="s">
        <v>13723</v>
      </c>
      <c r="F574">
        <v>72</v>
      </c>
      <c r="J574" t="s">
        <v>14296</v>
      </c>
    </row>
    <row r="575" spans="3:10">
      <c r="C575">
        <v>38128</v>
      </c>
      <c r="D575" t="s">
        <v>14027</v>
      </c>
      <c r="E575" t="s">
        <v>695</v>
      </c>
      <c r="F575">
        <v>72</v>
      </c>
      <c r="J575" t="s">
        <v>14297</v>
      </c>
    </row>
    <row r="576" spans="3:10">
      <c r="C576">
        <v>38128</v>
      </c>
      <c r="D576" t="s">
        <v>14027</v>
      </c>
      <c r="E576" t="s">
        <v>127</v>
      </c>
      <c r="F576">
        <v>79</v>
      </c>
      <c r="J576" t="s">
        <v>14298</v>
      </c>
    </row>
    <row r="577" spans="2:10">
      <c r="C577">
        <v>38132</v>
      </c>
      <c r="D577" t="s">
        <v>13970</v>
      </c>
      <c r="E577" t="s">
        <v>114</v>
      </c>
      <c r="F577" t="s">
        <v>14299</v>
      </c>
      <c r="J577" t="s">
        <v>14300</v>
      </c>
    </row>
    <row r="578" spans="2:10">
      <c r="C578">
        <v>38132</v>
      </c>
      <c r="D578" t="s">
        <v>12597</v>
      </c>
      <c r="J578" t="s">
        <v>14301</v>
      </c>
    </row>
    <row r="579" spans="2:10">
      <c r="C579">
        <v>38132</v>
      </c>
      <c r="D579" t="s">
        <v>13753</v>
      </c>
      <c r="E579" t="s">
        <v>143</v>
      </c>
      <c r="F579">
        <v>2325</v>
      </c>
      <c r="J579" t="s">
        <v>14302</v>
      </c>
    </row>
    <row r="580" spans="2:10">
      <c r="C580">
        <v>38132</v>
      </c>
      <c r="D580" t="s">
        <v>13753</v>
      </c>
      <c r="E580" t="s">
        <v>143</v>
      </c>
      <c r="F580">
        <v>2326</v>
      </c>
      <c r="J580" t="s">
        <v>14303</v>
      </c>
    </row>
    <row r="581" spans="2:10">
      <c r="C581">
        <v>38132</v>
      </c>
      <c r="D581" t="s">
        <v>13753</v>
      </c>
      <c r="E581" t="s">
        <v>143</v>
      </c>
      <c r="F581">
        <v>2327</v>
      </c>
      <c r="J581" t="s">
        <v>14304</v>
      </c>
    </row>
    <row r="582" spans="2:10">
      <c r="C582">
        <v>38134</v>
      </c>
      <c r="D582" t="s">
        <v>12597</v>
      </c>
      <c r="J582" t="s">
        <v>14305</v>
      </c>
    </row>
    <row r="583" spans="2:10">
      <c r="B583" t="s">
        <v>14306</v>
      </c>
      <c r="C583">
        <v>38152</v>
      </c>
      <c r="D583" t="s">
        <v>13753</v>
      </c>
      <c r="E583" t="s">
        <v>13996</v>
      </c>
      <c r="F583" t="s">
        <v>14307</v>
      </c>
      <c r="G583" t="s">
        <v>14308</v>
      </c>
      <c r="H583" t="s">
        <v>14309</v>
      </c>
      <c r="I583" t="s">
        <v>14310</v>
      </c>
      <c r="J583" t="s">
        <v>14311</v>
      </c>
    </row>
    <row r="584" spans="2:10">
      <c r="C584">
        <v>38152</v>
      </c>
      <c r="D584" t="s">
        <v>13753</v>
      </c>
      <c r="E584" t="s">
        <v>13996</v>
      </c>
      <c r="F584" t="s">
        <v>14312</v>
      </c>
      <c r="G584" t="s">
        <v>14308</v>
      </c>
      <c r="H584" t="s">
        <v>14309</v>
      </c>
      <c r="I584" t="s">
        <v>14313</v>
      </c>
      <c r="J584" t="s">
        <v>14311</v>
      </c>
    </row>
    <row r="585" spans="2:10">
      <c r="C585">
        <v>38152</v>
      </c>
      <c r="D585" t="s">
        <v>13753</v>
      </c>
      <c r="E585" t="s">
        <v>13996</v>
      </c>
      <c r="F585" t="s">
        <v>14314</v>
      </c>
      <c r="G585" t="s">
        <v>14308</v>
      </c>
      <c r="H585" t="s">
        <v>14315</v>
      </c>
      <c r="I585" t="s">
        <v>14316</v>
      </c>
      <c r="J585" t="s">
        <v>14311</v>
      </c>
    </row>
    <row r="586" spans="2:10">
      <c r="C586">
        <v>38152</v>
      </c>
      <c r="D586" t="s">
        <v>13753</v>
      </c>
      <c r="E586" t="s">
        <v>13996</v>
      </c>
      <c r="F586" t="s">
        <v>14317</v>
      </c>
      <c r="G586" t="s">
        <v>14308</v>
      </c>
      <c r="H586" t="s">
        <v>14318</v>
      </c>
      <c r="I586" t="s">
        <v>14316</v>
      </c>
      <c r="J586" t="s">
        <v>14311</v>
      </c>
    </row>
    <row r="587" spans="2:10">
      <c r="C587">
        <v>38152</v>
      </c>
      <c r="D587" t="s">
        <v>13753</v>
      </c>
      <c r="E587" t="s">
        <v>13996</v>
      </c>
      <c r="F587" t="s">
        <v>14319</v>
      </c>
      <c r="G587" t="s">
        <v>14308</v>
      </c>
      <c r="H587" t="s">
        <v>14320</v>
      </c>
      <c r="I587" t="s">
        <v>14316</v>
      </c>
      <c r="J587" t="s">
        <v>14311</v>
      </c>
    </row>
    <row r="588" spans="2:10">
      <c r="C588">
        <v>38152</v>
      </c>
      <c r="D588" t="s">
        <v>13753</v>
      </c>
      <c r="E588" t="s">
        <v>13996</v>
      </c>
      <c r="F588" t="s">
        <v>14321</v>
      </c>
      <c r="G588" t="s">
        <v>14308</v>
      </c>
      <c r="H588" t="s">
        <v>14322</v>
      </c>
      <c r="I588" t="s">
        <v>14316</v>
      </c>
      <c r="J588" t="s">
        <v>14311</v>
      </c>
    </row>
    <row r="589" spans="2:10">
      <c r="C589">
        <v>38152</v>
      </c>
      <c r="D589" t="s">
        <v>13753</v>
      </c>
      <c r="E589" t="s">
        <v>13996</v>
      </c>
      <c r="F589" t="s">
        <v>14323</v>
      </c>
      <c r="G589" t="s">
        <v>14308</v>
      </c>
      <c r="H589" t="s">
        <v>14324</v>
      </c>
      <c r="I589" t="s">
        <v>14316</v>
      </c>
      <c r="J589" t="s">
        <v>14311</v>
      </c>
    </row>
    <row r="590" spans="2:10">
      <c r="C590">
        <v>38152</v>
      </c>
      <c r="D590" t="s">
        <v>13753</v>
      </c>
      <c r="E590" t="s">
        <v>13996</v>
      </c>
      <c r="F590" t="s">
        <v>14325</v>
      </c>
      <c r="G590" t="s">
        <v>14308</v>
      </c>
      <c r="H590" t="s">
        <v>14326</v>
      </c>
      <c r="I590" t="s">
        <v>14316</v>
      </c>
      <c r="J590" t="s">
        <v>14311</v>
      </c>
    </row>
    <row r="591" spans="2:10">
      <c r="C591">
        <v>38152</v>
      </c>
      <c r="D591" t="s">
        <v>13753</v>
      </c>
      <c r="E591" t="s">
        <v>13996</v>
      </c>
      <c r="F591" t="s">
        <v>14327</v>
      </c>
      <c r="G591" t="s">
        <v>14308</v>
      </c>
      <c r="H591" t="s">
        <v>14328</v>
      </c>
      <c r="I591" t="s">
        <v>14329</v>
      </c>
      <c r="J591" t="s">
        <v>14330</v>
      </c>
    </row>
    <row r="592" spans="2:10">
      <c r="C592">
        <v>38153</v>
      </c>
      <c r="D592" t="s">
        <v>13740</v>
      </c>
      <c r="E592" t="s">
        <v>122</v>
      </c>
      <c r="F592">
        <v>39</v>
      </c>
      <c r="J592" t="s">
        <v>14331</v>
      </c>
    </row>
    <row r="593" spans="2:10">
      <c r="C593">
        <v>38153</v>
      </c>
      <c r="D593" t="s">
        <v>13740</v>
      </c>
      <c r="E593" t="s">
        <v>157</v>
      </c>
      <c r="F593">
        <v>156</v>
      </c>
      <c r="J593" t="s">
        <v>14332</v>
      </c>
    </row>
    <row r="594" spans="2:10">
      <c r="C594">
        <v>38159</v>
      </c>
      <c r="D594" t="s">
        <v>12597</v>
      </c>
      <c r="J594" t="s">
        <v>14333</v>
      </c>
    </row>
    <row r="595" spans="2:10">
      <c r="B595" t="s">
        <v>14334</v>
      </c>
      <c r="C595">
        <v>38187</v>
      </c>
      <c r="D595" t="s">
        <v>13740</v>
      </c>
      <c r="E595" t="s">
        <v>122</v>
      </c>
      <c r="F595">
        <v>227</v>
      </c>
      <c r="J595" t="s">
        <v>14335</v>
      </c>
    </row>
    <row r="596" spans="2:10">
      <c r="C596">
        <v>38187</v>
      </c>
      <c r="D596" t="s">
        <v>13740</v>
      </c>
      <c r="E596" t="s">
        <v>157</v>
      </c>
      <c r="F596">
        <v>57</v>
      </c>
      <c r="J596" t="s">
        <v>14336</v>
      </c>
    </row>
    <row r="597" spans="2:10">
      <c r="C597">
        <v>38190</v>
      </c>
      <c r="D597" t="s">
        <v>13753</v>
      </c>
      <c r="E597" t="s">
        <v>14337</v>
      </c>
      <c r="F597" t="s">
        <v>14338</v>
      </c>
      <c r="G597" t="s">
        <v>14339</v>
      </c>
      <c r="H597">
        <v>63</v>
      </c>
      <c r="I597" t="s">
        <v>14340</v>
      </c>
      <c r="J597" t="s">
        <v>14341</v>
      </c>
    </row>
    <row r="598" spans="2:10">
      <c r="C598">
        <v>38190</v>
      </c>
      <c r="D598" t="s">
        <v>13753</v>
      </c>
      <c r="E598" t="s">
        <v>14337</v>
      </c>
      <c r="F598" t="s">
        <v>14342</v>
      </c>
      <c r="G598" t="s">
        <v>14343</v>
      </c>
      <c r="H598">
        <v>63</v>
      </c>
      <c r="I598" t="s">
        <v>14340</v>
      </c>
      <c r="J598" t="s">
        <v>14341</v>
      </c>
    </row>
    <row r="599" spans="2:10">
      <c r="C599">
        <v>38190</v>
      </c>
      <c r="D599" t="s">
        <v>13713</v>
      </c>
      <c r="E599" t="s">
        <v>13750</v>
      </c>
      <c r="F599">
        <v>71</v>
      </c>
      <c r="J599" t="s">
        <v>14344</v>
      </c>
    </row>
    <row r="600" spans="2:10">
      <c r="C600">
        <v>38190</v>
      </c>
      <c r="D600" t="s">
        <v>13753</v>
      </c>
      <c r="E600" t="s">
        <v>13996</v>
      </c>
      <c r="F600">
        <v>2193</v>
      </c>
      <c r="G600" t="s">
        <v>14027</v>
      </c>
      <c r="H600">
        <v>74</v>
      </c>
      <c r="I600" t="s">
        <v>122</v>
      </c>
      <c r="J600" t="s">
        <v>14345</v>
      </c>
    </row>
    <row r="601" spans="2:10">
      <c r="C601">
        <v>38190</v>
      </c>
      <c r="D601" t="s">
        <v>13753</v>
      </c>
      <c r="E601" t="s">
        <v>14337</v>
      </c>
      <c r="F601">
        <v>2064</v>
      </c>
      <c r="G601" t="s">
        <v>14005</v>
      </c>
      <c r="H601">
        <v>17</v>
      </c>
      <c r="I601" t="s">
        <v>157</v>
      </c>
      <c r="J601" t="s">
        <v>14346</v>
      </c>
    </row>
    <row r="602" spans="2:10">
      <c r="C602">
        <v>38190</v>
      </c>
      <c r="D602" t="s">
        <v>13713</v>
      </c>
      <c r="E602" t="s">
        <v>13750</v>
      </c>
      <c r="F602">
        <v>72</v>
      </c>
      <c r="J602" t="s">
        <v>14347</v>
      </c>
    </row>
    <row r="603" spans="2:10">
      <c r="C603">
        <v>38190</v>
      </c>
      <c r="D603" t="s">
        <v>13753</v>
      </c>
      <c r="E603" t="s">
        <v>14348</v>
      </c>
      <c r="F603">
        <v>282</v>
      </c>
      <c r="G603" t="s">
        <v>13964</v>
      </c>
      <c r="H603" t="s">
        <v>14349</v>
      </c>
      <c r="I603" t="s">
        <v>725</v>
      </c>
      <c r="J603" t="s">
        <v>14350</v>
      </c>
    </row>
    <row r="604" spans="2:10">
      <c r="C604">
        <v>38190</v>
      </c>
      <c r="D604" t="s">
        <v>13753</v>
      </c>
      <c r="E604" t="s">
        <v>14348</v>
      </c>
      <c r="F604">
        <v>283</v>
      </c>
      <c r="G604" t="s">
        <v>13964</v>
      </c>
      <c r="H604" t="s">
        <v>14351</v>
      </c>
      <c r="I604" t="s">
        <v>729</v>
      </c>
      <c r="J604" t="s">
        <v>14350</v>
      </c>
    </row>
    <row r="605" spans="2:10">
      <c r="C605">
        <v>38190</v>
      </c>
      <c r="D605" t="s">
        <v>13753</v>
      </c>
      <c r="E605" t="s">
        <v>14348</v>
      </c>
      <c r="F605">
        <v>284</v>
      </c>
      <c r="G605" t="s">
        <v>13964</v>
      </c>
      <c r="H605" t="s">
        <v>14352</v>
      </c>
      <c r="I605" t="s">
        <v>733</v>
      </c>
      <c r="J605" t="s">
        <v>14350</v>
      </c>
    </row>
    <row r="606" spans="2:10">
      <c r="C606">
        <v>38190</v>
      </c>
      <c r="D606" t="s">
        <v>13753</v>
      </c>
      <c r="E606" t="s">
        <v>14348</v>
      </c>
      <c r="F606">
        <v>325</v>
      </c>
      <c r="G606" t="s">
        <v>13964</v>
      </c>
      <c r="H606" t="s">
        <v>14353</v>
      </c>
      <c r="I606" t="s">
        <v>740</v>
      </c>
      <c r="J606" t="s">
        <v>14350</v>
      </c>
    </row>
    <row r="607" spans="2:10">
      <c r="C607">
        <v>38190</v>
      </c>
      <c r="D607" t="s">
        <v>13753</v>
      </c>
      <c r="E607" t="s">
        <v>14348</v>
      </c>
      <c r="F607">
        <v>326</v>
      </c>
      <c r="G607" t="s">
        <v>13964</v>
      </c>
      <c r="H607" t="s">
        <v>14354</v>
      </c>
      <c r="I607" t="s">
        <v>744</v>
      </c>
      <c r="J607" t="s">
        <v>14350</v>
      </c>
    </row>
    <row r="608" spans="2:10">
      <c r="C608">
        <v>38190</v>
      </c>
      <c r="D608" t="s">
        <v>13753</v>
      </c>
      <c r="E608" t="s">
        <v>14348</v>
      </c>
      <c r="F608">
        <v>327</v>
      </c>
      <c r="G608" t="s">
        <v>13964</v>
      </c>
      <c r="H608" t="s">
        <v>14355</v>
      </c>
      <c r="I608" t="s">
        <v>749</v>
      </c>
      <c r="J608" t="s">
        <v>14350</v>
      </c>
    </row>
    <row r="609" spans="3:10">
      <c r="C609">
        <v>38190</v>
      </c>
      <c r="D609" t="s">
        <v>13753</v>
      </c>
      <c r="E609" t="s">
        <v>14348</v>
      </c>
      <c r="F609">
        <v>383</v>
      </c>
      <c r="G609" t="s">
        <v>13964</v>
      </c>
      <c r="H609" t="s">
        <v>14356</v>
      </c>
      <c r="I609">
        <v>462</v>
      </c>
      <c r="J609" t="s">
        <v>14350</v>
      </c>
    </row>
    <row r="610" spans="3:10">
      <c r="C610">
        <v>38190</v>
      </c>
      <c r="D610" t="s">
        <v>13753</v>
      </c>
      <c r="E610" t="s">
        <v>14348</v>
      </c>
      <c r="F610">
        <v>384</v>
      </c>
      <c r="G610" t="s">
        <v>13964</v>
      </c>
      <c r="H610" t="s">
        <v>14357</v>
      </c>
      <c r="I610">
        <v>463</v>
      </c>
      <c r="J610" t="s">
        <v>14350</v>
      </c>
    </row>
    <row r="611" spans="3:10">
      <c r="C611">
        <v>38190</v>
      </c>
      <c r="D611" t="s">
        <v>13753</v>
      </c>
      <c r="E611" t="s">
        <v>14348</v>
      </c>
      <c r="F611">
        <v>425</v>
      </c>
      <c r="G611" t="s">
        <v>13964</v>
      </c>
      <c r="H611" t="s">
        <v>14358</v>
      </c>
      <c r="I611">
        <v>470</v>
      </c>
      <c r="J611" t="s">
        <v>14350</v>
      </c>
    </row>
    <row r="612" spans="3:10">
      <c r="C612">
        <v>38190</v>
      </c>
      <c r="D612" t="s">
        <v>13753</v>
      </c>
      <c r="E612" t="s">
        <v>14348</v>
      </c>
      <c r="F612">
        <v>426</v>
      </c>
      <c r="G612" t="s">
        <v>13964</v>
      </c>
      <c r="H612" t="s">
        <v>14359</v>
      </c>
      <c r="I612">
        <v>471</v>
      </c>
      <c r="J612" t="s">
        <v>14350</v>
      </c>
    </row>
    <row r="613" spans="3:10">
      <c r="C613">
        <v>38190</v>
      </c>
      <c r="D613" t="s">
        <v>13753</v>
      </c>
      <c r="E613" t="s">
        <v>14348</v>
      </c>
      <c r="F613">
        <v>427</v>
      </c>
      <c r="G613" t="s">
        <v>13964</v>
      </c>
      <c r="H613" t="s">
        <v>14360</v>
      </c>
      <c r="I613">
        <v>472</v>
      </c>
      <c r="J613" t="s">
        <v>14350</v>
      </c>
    </row>
    <row r="614" spans="3:10">
      <c r="C614">
        <v>38190</v>
      </c>
      <c r="D614" t="s">
        <v>13753</v>
      </c>
      <c r="E614" t="s">
        <v>14348</v>
      </c>
      <c r="F614">
        <v>428</v>
      </c>
      <c r="G614" t="s">
        <v>13964</v>
      </c>
      <c r="H614" t="s">
        <v>14361</v>
      </c>
      <c r="I614">
        <v>473</v>
      </c>
      <c r="J614" t="s">
        <v>14350</v>
      </c>
    </row>
    <row r="615" spans="3:10">
      <c r="C615">
        <v>38190</v>
      </c>
      <c r="D615" t="s">
        <v>13713</v>
      </c>
      <c r="E615" t="s">
        <v>13750</v>
      </c>
      <c r="F615">
        <v>73</v>
      </c>
      <c r="J615" t="s">
        <v>14362</v>
      </c>
    </row>
    <row r="616" spans="3:10">
      <c r="C616">
        <v>38190</v>
      </c>
      <c r="D616" t="s">
        <v>13740</v>
      </c>
      <c r="F616">
        <v>563</v>
      </c>
      <c r="I616" t="s">
        <v>725</v>
      </c>
      <c r="J616" t="s">
        <v>14363</v>
      </c>
    </row>
    <row r="617" spans="3:10">
      <c r="C617">
        <v>38190</v>
      </c>
      <c r="D617" t="s">
        <v>13740</v>
      </c>
      <c r="F617">
        <v>564</v>
      </c>
      <c r="I617" t="s">
        <v>729</v>
      </c>
      <c r="J617" t="s">
        <v>14363</v>
      </c>
    </row>
    <row r="618" spans="3:10">
      <c r="C618">
        <v>38190</v>
      </c>
      <c r="D618" t="s">
        <v>13740</v>
      </c>
      <c r="F618">
        <v>565</v>
      </c>
      <c r="I618" t="s">
        <v>733</v>
      </c>
      <c r="J618" t="s">
        <v>14363</v>
      </c>
    </row>
    <row r="619" spans="3:10">
      <c r="C619">
        <v>38190</v>
      </c>
      <c r="D619" t="s">
        <v>13740</v>
      </c>
      <c r="F619">
        <v>566</v>
      </c>
      <c r="I619" t="s">
        <v>740</v>
      </c>
      <c r="J619" t="s">
        <v>14363</v>
      </c>
    </row>
    <row r="620" spans="3:10">
      <c r="C620">
        <v>38190</v>
      </c>
      <c r="D620" t="s">
        <v>13740</v>
      </c>
      <c r="F620">
        <v>567</v>
      </c>
      <c r="I620" t="s">
        <v>744</v>
      </c>
      <c r="J620" t="s">
        <v>14363</v>
      </c>
    </row>
    <row r="621" spans="3:10">
      <c r="C621">
        <v>38190</v>
      </c>
      <c r="D621" t="s">
        <v>13740</v>
      </c>
      <c r="F621">
        <v>568</v>
      </c>
      <c r="I621" t="s">
        <v>749</v>
      </c>
      <c r="J621" t="s">
        <v>14363</v>
      </c>
    </row>
    <row r="622" spans="3:10">
      <c r="C622">
        <v>38190</v>
      </c>
      <c r="D622" t="s">
        <v>13740</v>
      </c>
      <c r="F622">
        <v>569</v>
      </c>
      <c r="I622">
        <v>462</v>
      </c>
      <c r="J622" t="s">
        <v>14363</v>
      </c>
    </row>
    <row r="623" spans="3:10">
      <c r="C623">
        <v>38190</v>
      </c>
      <c r="D623" t="s">
        <v>13740</v>
      </c>
      <c r="F623">
        <v>570</v>
      </c>
      <c r="I623">
        <v>463</v>
      </c>
      <c r="J623" t="s">
        <v>14363</v>
      </c>
    </row>
    <row r="624" spans="3:10">
      <c r="C624">
        <v>38190</v>
      </c>
      <c r="D624" t="s">
        <v>13740</v>
      </c>
      <c r="F624">
        <v>572</v>
      </c>
      <c r="I624">
        <v>470</v>
      </c>
      <c r="J624" t="s">
        <v>14363</v>
      </c>
    </row>
    <row r="625" spans="2:10">
      <c r="C625">
        <v>38190</v>
      </c>
      <c r="D625" t="s">
        <v>13740</v>
      </c>
      <c r="F625">
        <v>573</v>
      </c>
      <c r="I625">
        <v>471</v>
      </c>
      <c r="J625" t="s">
        <v>14363</v>
      </c>
    </row>
    <row r="626" spans="2:10">
      <c r="C626">
        <v>38190</v>
      </c>
      <c r="D626" t="s">
        <v>13740</v>
      </c>
      <c r="F626">
        <v>574</v>
      </c>
      <c r="I626">
        <v>472</v>
      </c>
      <c r="J626" t="s">
        <v>14363</v>
      </c>
    </row>
    <row r="627" spans="2:10">
      <c r="C627">
        <v>38190</v>
      </c>
      <c r="D627" t="s">
        <v>13740</v>
      </c>
      <c r="F627">
        <v>575</v>
      </c>
      <c r="I627">
        <v>473</v>
      </c>
      <c r="J627" t="s">
        <v>14363</v>
      </c>
    </row>
    <row r="628" spans="2:10">
      <c r="C628">
        <v>38190</v>
      </c>
      <c r="D628" t="s">
        <v>13753</v>
      </c>
      <c r="E628" t="s">
        <v>122</v>
      </c>
      <c r="F628" t="s">
        <v>14364</v>
      </c>
      <c r="G628" t="s">
        <v>14365</v>
      </c>
      <c r="H628" t="s">
        <v>14366</v>
      </c>
      <c r="I628" t="s">
        <v>147</v>
      </c>
      <c r="J628" t="s">
        <v>14367</v>
      </c>
    </row>
    <row r="629" spans="2:10">
      <c r="C629">
        <v>38190</v>
      </c>
      <c r="D629" t="s">
        <v>13753</v>
      </c>
      <c r="E629" t="s">
        <v>122</v>
      </c>
      <c r="F629" t="s">
        <v>14368</v>
      </c>
      <c r="G629" t="s">
        <v>14365</v>
      </c>
      <c r="H629" t="s">
        <v>14366</v>
      </c>
      <c r="I629" t="s">
        <v>112</v>
      </c>
      <c r="J629" t="s">
        <v>14367</v>
      </c>
    </row>
    <row r="630" spans="2:10">
      <c r="C630">
        <v>38190</v>
      </c>
      <c r="D630" t="s">
        <v>13753</v>
      </c>
      <c r="E630" t="s">
        <v>122</v>
      </c>
      <c r="F630" t="s">
        <v>14369</v>
      </c>
      <c r="G630" t="s">
        <v>14365</v>
      </c>
      <c r="H630" t="s">
        <v>14370</v>
      </c>
      <c r="I630" t="s">
        <v>745</v>
      </c>
      <c r="J630" t="s">
        <v>14367</v>
      </c>
    </row>
    <row r="631" spans="2:10">
      <c r="C631">
        <v>38190</v>
      </c>
      <c r="D631" t="s">
        <v>13753</v>
      </c>
      <c r="E631" t="s">
        <v>13996</v>
      </c>
      <c r="F631">
        <v>110</v>
      </c>
      <c r="J631" t="s">
        <v>14371</v>
      </c>
    </row>
    <row r="632" spans="2:10">
      <c r="C632">
        <v>38190</v>
      </c>
      <c r="D632" t="s">
        <v>13753</v>
      </c>
      <c r="E632" t="s">
        <v>14337</v>
      </c>
      <c r="F632">
        <v>111</v>
      </c>
      <c r="J632" t="s">
        <v>14372</v>
      </c>
    </row>
    <row r="633" spans="2:10">
      <c r="C633">
        <v>38190</v>
      </c>
      <c r="D633" t="s">
        <v>13713</v>
      </c>
      <c r="E633" t="s">
        <v>13750</v>
      </c>
      <c r="F633">
        <v>69</v>
      </c>
      <c r="J633" t="s">
        <v>14373</v>
      </c>
    </row>
    <row r="634" spans="2:10">
      <c r="C634">
        <v>38190</v>
      </c>
      <c r="D634" t="s">
        <v>13713</v>
      </c>
      <c r="E634" t="s">
        <v>13750</v>
      </c>
      <c r="F634">
        <v>70</v>
      </c>
      <c r="J634" t="s">
        <v>14374</v>
      </c>
    </row>
    <row r="635" spans="2:10">
      <c r="C635">
        <v>38191</v>
      </c>
      <c r="D635" t="s">
        <v>12597</v>
      </c>
      <c r="J635" t="s">
        <v>14375</v>
      </c>
    </row>
    <row r="636" spans="2:10">
      <c r="C636">
        <v>38190</v>
      </c>
      <c r="D636" t="s">
        <v>13753</v>
      </c>
      <c r="E636" t="s">
        <v>695</v>
      </c>
      <c r="F636" t="s">
        <v>14376</v>
      </c>
      <c r="J636" t="s">
        <v>14377</v>
      </c>
    </row>
    <row r="637" spans="2:10">
      <c r="B637" t="s">
        <v>14378</v>
      </c>
      <c r="C637">
        <v>38204</v>
      </c>
      <c r="D637" t="s">
        <v>13740</v>
      </c>
      <c r="F637">
        <v>571</v>
      </c>
      <c r="J637" t="s">
        <v>14379</v>
      </c>
    </row>
    <row r="638" spans="2:10">
      <c r="C638">
        <v>38204</v>
      </c>
      <c r="D638" t="s">
        <v>13740</v>
      </c>
      <c r="E638" t="s">
        <v>14290</v>
      </c>
      <c r="F638">
        <v>58</v>
      </c>
      <c r="J638" t="s">
        <v>14380</v>
      </c>
    </row>
    <row r="639" spans="2:10">
      <c r="C639">
        <v>38204</v>
      </c>
      <c r="D639" t="s">
        <v>14381</v>
      </c>
      <c r="E639" t="s">
        <v>143</v>
      </c>
      <c r="F639">
        <v>11</v>
      </c>
      <c r="J639" t="s">
        <v>14382</v>
      </c>
    </row>
    <row r="640" spans="2:10">
      <c r="C640">
        <v>38204</v>
      </c>
      <c r="D640" t="s">
        <v>13753</v>
      </c>
      <c r="E640" t="s">
        <v>122</v>
      </c>
      <c r="F640">
        <v>2200</v>
      </c>
      <c r="J640" t="s">
        <v>14383</v>
      </c>
    </row>
    <row r="641" spans="2:10">
      <c r="C641">
        <v>38204</v>
      </c>
      <c r="D641" t="s">
        <v>13753</v>
      </c>
      <c r="E641" t="s">
        <v>13748</v>
      </c>
      <c r="F641">
        <v>2200</v>
      </c>
      <c r="J641" t="s">
        <v>14384</v>
      </c>
    </row>
    <row r="642" spans="2:10">
      <c r="B642" t="s">
        <v>14385</v>
      </c>
      <c r="C642">
        <v>38224</v>
      </c>
      <c r="D642" t="s">
        <v>13740</v>
      </c>
      <c r="E642" t="s">
        <v>14290</v>
      </c>
      <c r="F642">
        <v>12</v>
      </c>
      <c r="J642" t="s">
        <v>14386</v>
      </c>
    </row>
    <row r="643" spans="2:10">
      <c r="C643">
        <v>38224</v>
      </c>
      <c r="D643" t="s">
        <v>13740</v>
      </c>
      <c r="E643" t="s">
        <v>13750</v>
      </c>
      <c r="F643">
        <v>27</v>
      </c>
      <c r="J643" t="s">
        <v>14387</v>
      </c>
    </row>
    <row r="644" spans="2:10">
      <c r="C644">
        <v>38224</v>
      </c>
      <c r="D644" t="s">
        <v>13740</v>
      </c>
      <c r="E644" t="s">
        <v>14290</v>
      </c>
      <c r="F644">
        <v>59</v>
      </c>
      <c r="J644" t="s">
        <v>14388</v>
      </c>
    </row>
    <row r="645" spans="2:10">
      <c r="C645">
        <v>38224</v>
      </c>
      <c r="D645" t="s">
        <v>13740</v>
      </c>
      <c r="E645" t="s">
        <v>14290</v>
      </c>
      <c r="F645">
        <v>60</v>
      </c>
      <c r="J645" t="s">
        <v>14389</v>
      </c>
    </row>
    <row r="646" spans="2:10">
      <c r="C646">
        <v>38224</v>
      </c>
      <c r="D646" t="s">
        <v>13740</v>
      </c>
      <c r="E646" t="s">
        <v>13750</v>
      </c>
      <c r="F646">
        <v>77</v>
      </c>
      <c r="J646" t="s">
        <v>14390</v>
      </c>
    </row>
    <row r="647" spans="2:10">
      <c r="C647">
        <v>38224</v>
      </c>
      <c r="D647" t="s">
        <v>13740</v>
      </c>
      <c r="E647" t="s">
        <v>14290</v>
      </c>
      <c r="F647">
        <v>157</v>
      </c>
      <c r="J647" t="s">
        <v>14391</v>
      </c>
    </row>
    <row r="648" spans="2:10">
      <c r="C648">
        <v>38224</v>
      </c>
      <c r="D648" t="s">
        <v>13740</v>
      </c>
      <c r="E648" t="s">
        <v>14290</v>
      </c>
      <c r="F648">
        <v>179</v>
      </c>
      <c r="J648" t="s">
        <v>14392</v>
      </c>
    </row>
    <row r="649" spans="2:10">
      <c r="C649">
        <v>38225</v>
      </c>
      <c r="D649" t="s">
        <v>14292</v>
      </c>
      <c r="E649" t="s">
        <v>143</v>
      </c>
      <c r="F649">
        <v>5</v>
      </c>
      <c r="J649" t="s">
        <v>14393</v>
      </c>
    </row>
    <row r="650" spans="2:10">
      <c r="C650">
        <v>38225</v>
      </c>
      <c r="D650" t="s">
        <v>14292</v>
      </c>
      <c r="E650" t="s">
        <v>143</v>
      </c>
      <c r="F650">
        <v>6</v>
      </c>
      <c r="J650" t="s">
        <v>14394</v>
      </c>
    </row>
    <row r="651" spans="2:10">
      <c r="C651">
        <v>38225</v>
      </c>
      <c r="D651" t="s">
        <v>14292</v>
      </c>
      <c r="E651" t="s">
        <v>143</v>
      </c>
      <c r="F651">
        <v>13</v>
      </c>
      <c r="J651" t="s">
        <v>14395</v>
      </c>
    </row>
    <row r="652" spans="2:10">
      <c r="C652">
        <v>38225</v>
      </c>
      <c r="D652" t="s">
        <v>14292</v>
      </c>
      <c r="E652" t="s">
        <v>143</v>
      </c>
      <c r="F652">
        <v>26</v>
      </c>
      <c r="J652" t="s">
        <v>14396</v>
      </c>
    </row>
    <row r="653" spans="2:10">
      <c r="C653">
        <v>38225</v>
      </c>
      <c r="D653" t="s">
        <v>14292</v>
      </c>
      <c r="E653" t="s">
        <v>143</v>
      </c>
      <c r="F653">
        <v>38</v>
      </c>
      <c r="J653" t="s">
        <v>14397</v>
      </c>
    </row>
    <row r="654" spans="2:10">
      <c r="C654">
        <v>38225</v>
      </c>
      <c r="D654" t="s">
        <v>12597</v>
      </c>
      <c r="J654" t="s">
        <v>14398</v>
      </c>
    </row>
    <row r="655" spans="2:10">
      <c r="C655">
        <v>38225</v>
      </c>
      <c r="D655" t="s">
        <v>12597</v>
      </c>
      <c r="J655" t="s">
        <v>14399</v>
      </c>
    </row>
    <row r="656" spans="2:10">
      <c r="B656" t="s">
        <v>14400</v>
      </c>
      <c r="C656">
        <v>38230</v>
      </c>
      <c r="D656" t="s">
        <v>14365</v>
      </c>
      <c r="J656" t="s">
        <v>14401</v>
      </c>
    </row>
    <row r="657" spans="2:10">
      <c r="C657">
        <v>38230</v>
      </c>
      <c r="D657" t="s">
        <v>14365</v>
      </c>
      <c r="E657" t="s">
        <v>14402</v>
      </c>
      <c r="F657" t="s">
        <v>14403</v>
      </c>
      <c r="J657" t="s">
        <v>14404</v>
      </c>
    </row>
    <row r="658" spans="2:10">
      <c r="C658">
        <v>38230</v>
      </c>
      <c r="D658" t="s">
        <v>14365</v>
      </c>
      <c r="E658" t="s">
        <v>13748</v>
      </c>
      <c r="F658" t="s">
        <v>14405</v>
      </c>
      <c r="J658" t="s">
        <v>14406</v>
      </c>
    </row>
    <row r="659" spans="2:10">
      <c r="C659">
        <v>38230</v>
      </c>
      <c r="D659" t="s">
        <v>14365</v>
      </c>
      <c r="E659" t="s">
        <v>127</v>
      </c>
      <c r="F659" t="s">
        <v>14405</v>
      </c>
      <c r="J659" t="s">
        <v>14406</v>
      </c>
    </row>
    <row r="660" spans="2:10">
      <c r="C660">
        <v>38230</v>
      </c>
      <c r="D660" t="s">
        <v>14365</v>
      </c>
      <c r="E660" t="s">
        <v>738</v>
      </c>
      <c r="F660" t="s">
        <v>14405</v>
      </c>
      <c r="J660" t="s">
        <v>14406</v>
      </c>
    </row>
    <row r="661" spans="2:10">
      <c r="C661">
        <v>38230</v>
      </c>
      <c r="D661" t="s">
        <v>14365</v>
      </c>
      <c r="E661" t="s">
        <v>120</v>
      </c>
      <c r="F661" t="s">
        <v>14405</v>
      </c>
      <c r="J661" t="s">
        <v>14406</v>
      </c>
    </row>
    <row r="662" spans="2:10">
      <c r="C662">
        <v>38231</v>
      </c>
      <c r="D662" t="s">
        <v>13740</v>
      </c>
      <c r="E662" t="s">
        <v>14290</v>
      </c>
      <c r="F662">
        <v>280</v>
      </c>
      <c r="G662" t="s">
        <v>14407</v>
      </c>
      <c r="H662" t="s">
        <v>319</v>
      </c>
      <c r="I662" t="s">
        <v>14408</v>
      </c>
      <c r="J662" t="s">
        <v>14409</v>
      </c>
    </row>
    <row r="663" spans="2:10">
      <c r="C663">
        <v>38233</v>
      </c>
      <c r="D663" t="s">
        <v>14027</v>
      </c>
      <c r="E663" t="s">
        <v>14410</v>
      </c>
      <c r="F663">
        <v>72</v>
      </c>
      <c r="G663" t="s">
        <v>14411</v>
      </c>
      <c r="J663" t="s">
        <v>14412</v>
      </c>
    </row>
    <row r="664" spans="2:10">
      <c r="C664">
        <v>38233</v>
      </c>
      <c r="D664" t="s">
        <v>13753</v>
      </c>
      <c r="E664" t="s">
        <v>14337</v>
      </c>
      <c r="F664" t="s">
        <v>14413</v>
      </c>
      <c r="J664" t="s">
        <v>14414</v>
      </c>
    </row>
    <row r="665" spans="2:10">
      <c r="C665">
        <v>38250</v>
      </c>
      <c r="D665" t="s">
        <v>13722</v>
      </c>
      <c r="F665">
        <v>121</v>
      </c>
      <c r="J665" t="s">
        <v>14415</v>
      </c>
    </row>
    <row r="666" spans="2:10">
      <c r="C666">
        <v>38250</v>
      </c>
      <c r="D666" t="s">
        <v>13970</v>
      </c>
      <c r="E666" t="s">
        <v>14416</v>
      </c>
      <c r="F666" t="s">
        <v>14417</v>
      </c>
      <c r="J666" t="s">
        <v>14418</v>
      </c>
    </row>
    <row r="667" spans="2:10">
      <c r="C667">
        <v>38250</v>
      </c>
      <c r="D667" t="s">
        <v>13970</v>
      </c>
      <c r="E667" t="s">
        <v>738</v>
      </c>
      <c r="F667">
        <v>48</v>
      </c>
      <c r="J667" t="s">
        <v>14419</v>
      </c>
    </row>
    <row r="668" spans="2:10">
      <c r="C668">
        <v>38251</v>
      </c>
      <c r="D668" t="s">
        <v>13970</v>
      </c>
      <c r="E668" t="s">
        <v>14416</v>
      </c>
      <c r="F668" t="s">
        <v>14417</v>
      </c>
      <c r="J668" t="s">
        <v>14420</v>
      </c>
    </row>
    <row r="669" spans="2:10">
      <c r="C669">
        <v>38251</v>
      </c>
      <c r="D669" t="s">
        <v>13970</v>
      </c>
      <c r="E669" t="s">
        <v>738</v>
      </c>
      <c r="F669">
        <v>47</v>
      </c>
      <c r="J669" t="s">
        <v>14421</v>
      </c>
    </row>
    <row r="670" spans="2:10">
      <c r="B670" t="s">
        <v>14422</v>
      </c>
      <c r="C670">
        <v>38261</v>
      </c>
      <c r="D670" t="s">
        <v>13753</v>
      </c>
      <c r="E670" t="s">
        <v>143</v>
      </c>
      <c r="F670">
        <v>273</v>
      </c>
      <c r="G670">
        <v>1</v>
      </c>
      <c r="J670" t="s">
        <v>14423</v>
      </c>
    </row>
    <row r="671" spans="2:10">
      <c r="C671">
        <v>38261</v>
      </c>
      <c r="D671" t="s">
        <v>13961</v>
      </c>
      <c r="E671" t="s">
        <v>13723</v>
      </c>
      <c r="F671" t="s">
        <v>14424</v>
      </c>
      <c r="G671">
        <v>1</v>
      </c>
      <c r="J671" t="s">
        <v>14425</v>
      </c>
    </row>
    <row r="672" spans="2:10">
      <c r="C672">
        <v>38261</v>
      </c>
      <c r="D672" t="s">
        <v>13961</v>
      </c>
      <c r="E672" t="s">
        <v>112</v>
      </c>
      <c r="F672" t="s">
        <v>14426</v>
      </c>
      <c r="G672">
        <v>1</v>
      </c>
      <c r="J672" t="s">
        <v>14425</v>
      </c>
    </row>
    <row r="673" spans="2:10">
      <c r="C673">
        <v>38261</v>
      </c>
      <c r="D673" t="s">
        <v>13964</v>
      </c>
      <c r="E673" t="s">
        <v>122</v>
      </c>
      <c r="F673" t="s">
        <v>14426</v>
      </c>
      <c r="G673">
        <v>1</v>
      </c>
      <c r="J673" t="s">
        <v>14425</v>
      </c>
    </row>
    <row r="674" spans="2:10">
      <c r="C674">
        <v>38261</v>
      </c>
      <c r="D674" t="s">
        <v>13964</v>
      </c>
      <c r="E674" t="s">
        <v>13723</v>
      </c>
      <c r="F674" t="s">
        <v>14426</v>
      </c>
      <c r="G674">
        <v>1</v>
      </c>
      <c r="J674" t="s">
        <v>14425</v>
      </c>
    </row>
    <row r="675" spans="2:10">
      <c r="C675">
        <v>38995</v>
      </c>
      <c r="D675" t="s">
        <v>13740</v>
      </c>
      <c r="E675" t="s">
        <v>157</v>
      </c>
      <c r="F675">
        <v>427</v>
      </c>
      <c r="G675">
        <v>2</v>
      </c>
      <c r="H675" t="s">
        <v>14427</v>
      </c>
      <c r="J675" t="s">
        <v>14428</v>
      </c>
    </row>
    <row r="676" spans="2:10">
      <c r="C676">
        <v>38268</v>
      </c>
      <c r="D676" t="s">
        <v>14365</v>
      </c>
      <c r="E676" t="s">
        <v>14429</v>
      </c>
      <c r="F676" t="s">
        <v>14430</v>
      </c>
      <c r="G676">
        <v>3</v>
      </c>
      <c r="J676" t="s">
        <v>14431</v>
      </c>
    </row>
    <row r="677" spans="2:10">
      <c r="C677">
        <v>38274</v>
      </c>
      <c r="D677" t="s">
        <v>13753</v>
      </c>
      <c r="E677" t="s">
        <v>127</v>
      </c>
      <c r="F677" t="s">
        <v>14432</v>
      </c>
      <c r="G677">
        <v>4</v>
      </c>
      <c r="J677" t="s">
        <v>14433</v>
      </c>
    </row>
    <row r="678" spans="2:10">
      <c r="B678" t="s">
        <v>14434</v>
      </c>
      <c r="C678">
        <v>38289</v>
      </c>
    </row>
    <row r="679" spans="2:10">
      <c r="B679" t="s">
        <v>14435</v>
      </c>
      <c r="C679">
        <v>38300</v>
      </c>
      <c r="D679" t="s">
        <v>14381</v>
      </c>
      <c r="E679" t="s">
        <v>143</v>
      </c>
      <c r="F679" t="s">
        <v>14436</v>
      </c>
      <c r="J679" t="s">
        <v>14437</v>
      </c>
    </row>
    <row r="680" spans="2:10">
      <c r="C680">
        <v>38359</v>
      </c>
      <c r="D680" t="s">
        <v>13740</v>
      </c>
      <c r="E680" t="s">
        <v>14438</v>
      </c>
      <c r="F680" t="s">
        <v>14439</v>
      </c>
      <c r="J680" t="s">
        <v>14440</v>
      </c>
    </row>
    <row r="681" spans="2:10">
      <c r="B681" t="s">
        <v>14434</v>
      </c>
      <c r="C681">
        <v>38359</v>
      </c>
    </row>
    <row r="682" spans="2:10">
      <c r="B682" t="s">
        <v>14441</v>
      </c>
      <c r="C682">
        <v>38328</v>
      </c>
      <c r="D682" t="s">
        <v>13740</v>
      </c>
      <c r="E682" t="s">
        <v>157</v>
      </c>
      <c r="F682">
        <v>157</v>
      </c>
      <c r="G682">
        <v>1</v>
      </c>
      <c r="H682" t="s">
        <v>14442</v>
      </c>
      <c r="I682">
        <v>404</v>
      </c>
      <c r="J682" t="s">
        <v>14443</v>
      </c>
    </row>
    <row r="683" spans="2:10">
      <c r="C683">
        <v>38328</v>
      </c>
      <c r="D683" t="s">
        <v>13740</v>
      </c>
      <c r="E683" t="s">
        <v>157</v>
      </c>
      <c r="F683">
        <v>84</v>
      </c>
      <c r="G683">
        <v>2</v>
      </c>
      <c r="H683" t="s">
        <v>14444</v>
      </c>
      <c r="I683">
        <v>430</v>
      </c>
      <c r="J683" t="s">
        <v>14445</v>
      </c>
    </row>
    <row r="684" spans="2:10">
      <c r="C684">
        <v>38328</v>
      </c>
      <c r="D684" t="s">
        <v>13753</v>
      </c>
      <c r="E684" t="s">
        <v>13996</v>
      </c>
      <c r="F684">
        <v>1945</v>
      </c>
      <c r="G684">
        <v>3</v>
      </c>
      <c r="H684" t="s">
        <v>14381</v>
      </c>
      <c r="I684">
        <v>24</v>
      </c>
      <c r="J684" t="s">
        <v>14446</v>
      </c>
    </row>
    <row r="685" spans="2:10">
      <c r="C685">
        <v>38328</v>
      </c>
      <c r="D685" t="s">
        <v>13713</v>
      </c>
      <c r="E685" t="s">
        <v>13750</v>
      </c>
      <c r="F685">
        <v>74</v>
      </c>
      <c r="G685">
        <v>3</v>
      </c>
      <c r="J685" t="s">
        <v>14447</v>
      </c>
    </row>
    <row r="686" spans="2:10">
      <c r="C686">
        <v>38328</v>
      </c>
      <c r="D686" t="s">
        <v>13753</v>
      </c>
      <c r="E686" t="s">
        <v>13996</v>
      </c>
      <c r="F686">
        <v>1964</v>
      </c>
      <c r="G686">
        <v>4</v>
      </c>
      <c r="H686" t="s">
        <v>14381</v>
      </c>
      <c r="I686">
        <v>43</v>
      </c>
      <c r="J686" t="s">
        <v>14448</v>
      </c>
    </row>
    <row r="687" spans="2:10">
      <c r="C687">
        <v>38328</v>
      </c>
      <c r="D687" t="s">
        <v>13713</v>
      </c>
      <c r="E687" t="s">
        <v>13750</v>
      </c>
      <c r="F687">
        <v>75</v>
      </c>
      <c r="G687">
        <v>4</v>
      </c>
      <c r="J687" t="s">
        <v>14449</v>
      </c>
    </row>
    <row r="688" spans="2:10">
      <c r="C688">
        <v>38329</v>
      </c>
      <c r="D688" t="s">
        <v>14450</v>
      </c>
      <c r="E688" t="s">
        <v>143</v>
      </c>
      <c r="F688">
        <v>3</v>
      </c>
      <c r="G688">
        <v>5</v>
      </c>
      <c r="J688" t="s">
        <v>14451</v>
      </c>
    </row>
    <row r="689" spans="3:10">
      <c r="C689">
        <v>38329</v>
      </c>
      <c r="D689" t="s">
        <v>14450</v>
      </c>
      <c r="E689" t="s">
        <v>14452</v>
      </c>
      <c r="F689" t="s">
        <v>14453</v>
      </c>
      <c r="G689">
        <v>5</v>
      </c>
      <c r="J689" t="s">
        <v>14454</v>
      </c>
    </row>
    <row r="690" spans="3:10">
      <c r="C690">
        <v>38329</v>
      </c>
      <c r="D690" t="s">
        <v>13713</v>
      </c>
      <c r="E690" t="s">
        <v>13750</v>
      </c>
      <c r="F690">
        <v>76</v>
      </c>
      <c r="G690">
        <v>5</v>
      </c>
      <c r="J690" t="s">
        <v>14455</v>
      </c>
    </row>
    <row r="691" spans="3:10">
      <c r="C691">
        <v>38329</v>
      </c>
      <c r="D691" t="s">
        <v>13753</v>
      </c>
      <c r="E691" t="s">
        <v>14222</v>
      </c>
      <c r="F691">
        <v>2</v>
      </c>
      <c r="G691">
        <v>5</v>
      </c>
      <c r="H691" t="s">
        <v>14450</v>
      </c>
      <c r="I691" t="s">
        <v>14456</v>
      </c>
      <c r="J691" t="s">
        <v>14457</v>
      </c>
    </row>
    <row r="692" spans="3:10">
      <c r="C692">
        <v>38329</v>
      </c>
      <c r="D692" t="s">
        <v>13722</v>
      </c>
      <c r="E692" t="s">
        <v>14458</v>
      </c>
      <c r="F692">
        <v>2235</v>
      </c>
      <c r="G692">
        <v>5</v>
      </c>
      <c r="H692" t="s">
        <v>14450</v>
      </c>
      <c r="I692" t="s">
        <v>14459</v>
      </c>
      <c r="J692" t="s">
        <v>14460</v>
      </c>
    </row>
    <row r="693" spans="3:10">
      <c r="C693">
        <v>38329</v>
      </c>
      <c r="D693" t="s">
        <v>13724</v>
      </c>
      <c r="E693" t="s">
        <v>14461</v>
      </c>
      <c r="F693">
        <v>4</v>
      </c>
      <c r="G693">
        <v>5</v>
      </c>
      <c r="H693" t="s">
        <v>14450</v>
      </c>
      <c r="I693" t="s">
        <v>14462</v>
      </c>
      <c r="J693" t="s">
        <v>14463</v>
      </c>
    </row>
    <row r="694" spans="3:10">
      <c r="C694">
        <v>38331</v>
      </c>
      <c r="D694" t="s">
        <v>13753</v>
      </c>
      <c r="E694" t="s">
        <v>13723</v>
      </c>
      <c r="F694" t="s">
        <v>14464</v>
      </c>
      <c r="G694">
        <v>5</v>
      </c>
      <c r="J694" t="s">
        <v>14465</v>
      </c>
    </row>
    <row r="695" spans="3:10">
      <c r="C695">
        <v>38336</v>
      </c>
      <c r="D695" t="s">
        <v>12597</v>
      </c>
      <c r="G695">
        <v>6</v>
      </c>
      <c r="J695" t="s">
        <v>14466</v>
      </c>
    </row>
    <row r="696" spans="3:10">
      <c r="C696">
        <v>38335</v>
      </c>
      <c r="D696" t="s">
        <v>13713</v>
      </c>
      <c r="E696" t="s">
        <v>13750</v>
      </c>
      <c r="F696">
        <v>60</v>
      </c>
      <c r="G696">
        <v>7</v>
      </c>
      <c r="H696" t="s">
        <v>14467</v>
      </c>
      <c r="I696" t="s">
        <v>14468</v>
      </c>
      <c r="J696" t="s">
        <v>14469</v>
      </c>
    </row>
    <row r="697" spans="3:10">
      <c r="C697">
        <v>38335</v>
      </c>
      <c r="D697" t="s">
        <v>13713</v>
      </c>
      <c r="E697" t="s">
        <v>13750</v>
      </c>
      <c r="F697">
        <v>77</v>
      </c>
      <c r="G697">
        <v>8</v>
      </c>
      <c r="H697" t="s">
        <v>14470</v>
      </c>
      <c r="I697" t="s">
        <v>14471</v>
      </c>
      <c r="J697" t="s">
        <v>14472</v>
      </c>
    </row>
    <row r="698" spans="3:10">
      <c r="C698">
        <v>38335</v>
      </c>
      <c r="D698" t="s">
        <v>13753</v>
      </c>
      <c r="E698" t="s">
        <v>13996</v>
      </c>
      <c r="F698">
        <v>108</v>
      </c>
      <c r="G698">
        <v>8</v>
      </c>
      <c r="H698" t="s">
        <v>14450</v>
      </c>
      <c r="I698" t="s">
        <v>14473</v>
      </c>
      <c r="J698" t="s">
        <v>14474</v>
      </c>
    </row>
    <row r="699" spans="3:10">
      <c r="C699">
        <v>38335</v>
      </c>
      <c r="D699" t="s">
        <v>13753</v>
      </c>
      <c r="E699" t="s">
        <v>13996</v>
      </c>
      <c r="F699">
        <v>124</v>
      </c>
      <c r="G699">
        <v>8</v>
      </c>
      <c r="H699" t="s">
        <v>14339</v>
      </c>
      <c r="I699" t="s">
        <v>14475</v>
      </c>
      <c r="J699" t="s">
        <v>14474</v>
      </c>
    </row>
    <row r="700" spans="3:10">
      <c r="C700">
        <v>38335</v>
      </c>
      <c r="D700" t="s">
        <v>13753</v>
      </c>
      <c r="E700" t="s">
        <v>13996</v>
      </c>
      <c r="F700">
        <v>169</v>
      </c>
      <c r="G700">
        <v>8</v>
      </c>
      <c r="H700" t="s">
        <v>14339</v>
      </c>
      <c r="I700" t="s">
        <v>14476</v>
      </c>
      <c r="J700" t="s">
        <v>14474</v>
      </c>
    </row>
    <row r="701" spans="3:10">
      <c r="C701">
        <v>38336</v>
      </c>
      <c r="D701" t="s">
        <v>12597</v>
      </c>
      <c r="G701">
        <v>9</v>
      </c>
      <c r="J701" t="s">
        <v>14477</v>
      </c>
    </row>
    <row r="702" spans="3:10">
      <c r="C702">
        <v>38357</v>
      </c>
      <c r="D702" t="s">
        <v>13713</v>
      </c>
      <c r="E702" t="s">
        <v>13750</v>
      </c>
      <c r="F702">
        <v>78</v>
      </c>
      <c r="G702">
        <v>10</v>
      </c>
      <c r="J702" t="s">
        <v>14478</v>
      </c>
    </row>
    <row r="703" spans="3:10">
      <c r="C703">
        <v>38357</v>
      </c>
      <c r="D703" t="s">
        <v>13753</v>
      </c>
      <c r="E703" t="s">
        <v>14337</v>
      </c>
      <c r="F703">
        <v>110</v>
      </c>
      <c r="G703">
        <v>10</v>
      </c>
      <c r="H703" t="s">
        <v>14479</v>
      </c>
      <c r="I703" t="s">
        <v>14480</v>
      </c>
      <c r="J703" t="s">
        <v>14481</v>
      </c>
    </row>
    <row r="704" spans="3:10">
      <c r="C704">
        <v>38357</v>
      </c>
      <c r="D704" t="s">
        <v>13713</v>
      </c>
      <c r="E704" t="s">
        <v>13750</v>
      </c>
      <c r="F704">
        <v>79</v>
      </c>
      <c r="G704">
        <v>11</v>
      </c>
      <c r="J704" t="s">
        <v>14482</v>
      </c>
    </row>
    <row r="705" spans="2:10">
      <c r="C705">
        <v>38357</v>
      </c>
      <c r="D705" t="s">
        <v>13713</v>
      </c>
      <c r="E705" t="s">
        <v>13750</v>
      </c>
      <c r="F705">
        <v>80</v>
      </c>
      <c r="G705">
        <v>11</v>
      </c>
      <c r="J705" t="s">
        <v>14483</v>
      </c>
    </row>
    <row r="706" spans="2:10">
      <c r="C706">
        <v>38357</v>
      </c>
      <c r="D706" t="s">
        <v>13753</v>
      </c>
      <c r="E706" t="s">
        <v>14348</v>
      </c>
      <c r="F706">
        <v>4</v>
      </c>
      <c r="G706">
        <v>11</v>
      </c>
      <c r="H706" t="s">
        <v>13970</v>
      </c>
      <c r="I706" t="s">
        <v>14484</v>
      </c>
      <c r="J706" t="s">
        <v>14485</v>
      </c>
    </row>
    <row r="707" spans="2:10">
      <c r="C707">
        <v>38359</v>
      </c>
      <c r="D707" t="s">
        <v>13724</v>
      </c>
      <c r="E707" t="s">
        <v>122</v>
      </c>
      <c r="F707">
        <v>4</v>
      </c>
      <c r="G707">
        <v>12</v>
      </c>
      <c r="H707" t="s">
        <v>13970</v>
      </c>
      <c r="I707" t="s">
        <v>14486</v>
      </c>
      <c r="J707" t="s">
        <v>14487</v>
      </c>
    </row>
    <row r="708" spans="2:10">
      <c r="C708">
        <v>38366</v>
      </c>
      <c r="D708" t="s">
        <v>13740</v>
      </c>
      <c r="E708" t="s">
        <v>122</v>
      </c>
      <c r="F708">
        <v>39</v>
      </c>
      <c r="G708">
        <v>13</v>
      </c>
      <c r="H708" t="s">
        <v>14488</v>
      </c>
      <c r="I708">
        <v>435</v>
      </c>
      <c r="J708" t="s">
        <v>14489</v>
      </c>
    </row>
    <row r="709" spans="2:10">
      <c r="C709">
        <v>38366</v>
      </c>
      <c r="D709" t="s">
        <v>13740</v>
      </c>
      <c r="E709" t="s">
        <v>14490</v>
      </c>
      <c r="F709">
        <v>380</v>
      </c>
      <c r="G709">
        <v>14</v>
      </c>
      <c r="H709" t="s">
        <v>14491</v>
      </c>
      <c r="I709">
        <v>426</v>
      </c>
      <c r="J709" t="s">
        <v>14492</v>
      </c>
    </row>
    <row r="710" spans="2:10">
      <c r="C710">
        <v>38373</v>
      </c>
      <c r="D710" t="s">
        <v>13740</v>
      </c>
      <c r="E710" t="s">
        <v>14490</v>
      </c>
      <c r="F710">
        <v>327</v>
      </c>
      <c r="G710">
        <v>15</v>
      </c>
      <c r="H710" t="s">
        <v>14493</v>
      </c>
      <c r="I710">
        <v>423</v>
      </c>
      <c r="J710" t="s">
        <v>14494</v>
      </c>
    </row>
    <row r="711" spans="2:10">
      <c r="C711">
        <v>38376</v>
      </c>
      <c r="D711" t="s">
        <v>13753</v>
      </c>
      <c r="E711" t="s">
        <v>13996</v>
      </c>
      <c r="F711">
        <v>1945</v>
      </c>
      <c r="G711">
        <v>16</v>
      </c>
      <c r="H711" t="s">
        <v>14381</v>
      </c>
      <c r="I711">
        <v>24</v>
      </c>
      <c r="J711" t="s">
        <v>14495</v>
      </c>
    </row>
    <row r="712" spans="2:10">
      <c r="C712">
        <v>38376</v>
      </c>
      <c r="D712" t="s">
        <v>13753</v>
      </c>
      <c r="E712" t="s">
        <v>13996</v>
      </c>
      <c r="F712">
        <v>1964</v>
      </c>
      <c r="G712">
        <v>17</v>
      </c>
      <c r="H712" t="s">
        <v>14381</v>
      </c>
      <c r="I712">
        <v>43</v>
      </c>
      <c r="J712" t="s">
        <v>14495</v>
      </c>
    </row>
    <row r="713" spans="2:10">
      <c r="C713">
        <v>38377</v>
      </c>
      <c r="D713" t="s">
        <v>12597</v>
      </c>
      <c r="J713" t="s">
        <v>14496</v>
      </c>
    </row>
    <row r="714" spans="2:10">
      <c r="B714" t="s">
        <v>14497</v>
      </c>
      <c r="C714">
        <v>38384</v>
      </c>
      <c r="D714" t="s">
        <v>13970</v>
      </c>
      <c r="E714" t="s">
        <v>143</v>
      </c>
      <c r="F714">
        <v>3</v>
      </c>
      <c r="G714">
        <v>1</v>
      </c>
      <c r="J714" t="s">
        <v>14498</v>
      </c>
    </row>
    <row r="715" spans="2:10">
      <c r="C715">
        <v>38384</v>
      </c>
      <c r="D715" t="s">
        <v>12597</v>
      </c>
      <c r="G715">
        <v>2</v>
      </c>
      <c r="J715" t="s">
        <v>14499</v>
      </c>
    </row>
    <row r="716" spans="2:10">
      <c r="B716" t="s">
        <v>14500</v>
      </c>
      <c r="C716">
        <v>38385</v>
      </c>
      <c r="D716" t="s">
        <v>13740</v>
      </c>
      <c r="E716" t="s">
        <v>122</v>
      </c>
      <c r="F716">
        <v>31</v>
      </c>
      <c r="J716" t="s">
        <v>14501</v>
      </c>
    </row>
    <row r="717" spans="2:10">
      <c r="C717">
        <v>38385</v>
      </c>
      <c r="D717" t="s">
        <v>13740</v>
      </c>
      <c r="E717" t="s">
        <v>122</v>
      </c>
      <c r="F717">
        <v>81</v>
      </c>
      <c r="J717" t="s">
        <v>14502</v>
      </c>
    </row>
    <row r="718" spans="2:10">
      <c r="C718">
        <v>38385</v>
      </c>
      <c r="D718" t="s">
        <v>12597</v>
      </c>
      <c r="H718" t="s">
        <v>13970</v>
      </c>
      <c r="J718" t="s">
        <v>14503</v>
      </c>
    </row>
    <row r="719" spans="2:10">
      <c r="B719" t="s">
        <v>14504</v>
      </c>
      <c r="C719">
        <v>38386</v>
      </c>
      <c r="D719" t="s">
        <v>13970</v>
      </c>
      <c r="F719" t="s">
        <v>14505</v>
      </c>
    </row>
    <row r="720" spans="2:10">
      <c r="B720" t="s">
        <v>14434</v>
      </c>
      <c r="C720">
        <v>38386</v>
      </c>
    </row>
    <row r="721" spans="2:10">
      <c r="B721" t="s">
        <v>14506</v>
      </c>
      <c r="C721">
        <v>38387</v>
      </c>
      <c r="D721" t="s">
        <v>14381</v>
      </c>
      <c r="E721" t="s">
        <v>580</v>
      </c>
      <c r="F721">
        <v>38</v>
      </c>
      <c r="I721" t="s">
        <v>557</v>
      </c>
      <c r="J721" t="s">
        <v>14507</v>
      </c>
    </row>
    <row r="722" spans="2:10">
      <c r="C722">
        <v>38406</v>
      </c>
      <c r="D722" t="s">
        <v>12597</v>
      </c>
      <c r="J722" t="s">
        <v>14508</v>
      </c>
    </row>
    <row r="723" spans="2:10">
      <c r="C723">
        <v>38406</v>
      </c>
      <c r="D723" t="s">
        <v>13740</v>
      </c>
      <c r="E723" t="s">
        <v>122</v>
      </c>
      <c r="F723">
        <v>9</v>
      </c>
      <c r="H723" t="s">
        <v>14488</v>
      </c>
      <c r="J723" t="s">
        <v>14509</v>
      </c>
    </row>
    <row r="724" spans="2:10">
      <c r="C724">
        <v>38406</v>
      </c>
      <c r="D724" t="s">
        <v>13740</v>
      </c>
      <c r="E724" t="s">
        <v>122</v>
      </c>
      <c r="F724">
        <v>10</v>
      </c>
      <c r="H724" t="s">
        <v>14488</v>
      </c>
      <c r="J724" t="s">
        <v>14510</v>
      </c>
    </row>
    <row r="725" spans="2:10">
      <c r="C725">
        <v>38406</v>
      </c>
      <c r="D725" t="s">
        <v>13740</v>
      </c>
      <c r="E725" t="s">
        <v>157</v>
      </c>
      <c r="F725">
        <v>178</v>
      </c>
      <c r="H725" t="s">
        <v>14442</v>
      </c>
      <c r="J725" t="s">
        <v>14511</v>
      </c>
    </row>
    <row r="726" spans="2:10">
      <c r="C726">
        <v>38406</v>
      </c>
      <c r="D726" t="s">
        <v>13740</v>
      </c>
      <c r="E726" t="s">
        <v>122</v>
      </c>
      <c r="F726">
        <v>254</v>
      </c>
      <c r="H726" t="s">
        <v>14512</v>
      </c>
      <c r="J726" t="s">
        <v>14513</v>
      </c>
    </row>
    <row r="727" spans="2:10">
      <c r="B727" t="s">
        <v>14434</v>
      </c>
      <c r="C727">
        <v>38406</v>
      </c>
      <c r="D727" t="s">
        <v>13740</v>
      </c>
      <c r="E727" t="s">
        <v>157</v>
      </c>
      <c r="F727">
        <v>280</v>
      </c>
      <c r="H727" t="s">
        <v>14512</v>
      </c>
      <c r="J727" t="s">
        <v>14514</v>
      </c>
    </row>
    <row r="728" spans="2:10">
      <c r="B728" t="s">
        <v>14515</v>
      </c>
      <c r="C728">
        <v>38411</v>
      </c>
      <c r="D728" t="s">
        <v>13961</v>
      </c>
      <c r="E728" t="s">
        <v>114</v>
      </c>
      <c r="F728" t="s">
        <v>14516</v>
      </c>
      <c r="J728" t="s">
        <v>14517</v>
      </c>
    </row>
    <row r="729" spans="2:10">
      <c r="B729" t="s">
        <v>14518</v>
      </c>
      <c r="C729">
        <v>38425</v>
      </c>
      <c r="D729" t="s">
        <v>13970</v>
      </c>
      <c r="E729" t="s">
        <v>738</v>
      </c>
      <c r="F729">
        <v>8</v>
      </c>
      <c r="J729" t="s">
        <v>14519</v>
      </c>
    </row>
    <row r="730" spans="2:10">
      <c r="C730">
        <v>38432</v>
      </c>
      <c r="D730" t="s">
        <v>13753</v>
      </c>
      <c r="E730" t="s">
        <v>580</v>
      </c>
      <c r="F730">
        <v>71</v>
      </c>
      <c r="J730" t="s">
        <v>14520</v>
      </c>
    </row>
    <row r="731" spans="2:10">
      <c r="C731">
        <v>38432</v>
      </c>
      <c r="D731" t="s">
        <v>13713</v>
      </c>
    </row>
    <row r="732" spans="2:10">
      <c r="C732">
        <v>38432</v>
      </c>
      <c r="D732" t="s">
        <v>13740</v>
      </c>
      <c r="F732">
        <v>179</v>
      </c>
    </row>
    <row r="733" spans="2:10">
      <c r="C733">
        <v>38432</v>
      </c>
      <c r="D733" t="s">
        <v>13740</v>
      </c>
      <c r="F733">
        <v>427</v>
      </c>
    </row>
    <row r="734" spans="2:10">
      <c r="C734">
        <v>38432</v>
      </c>
      <c r="D734" t="s">
        <v>13753</v>
      </c>
      <c r="E734" t="s">
        <v>14337</v>
      </c>
      <c r="F734">
        <v>71</v>
      </c>
      <c r="H734" t="s">
        <v>13970</v>
      </c>
      <c r="I734" t="s">
        <v>14521</v>
      </c>
      <c r="J734" t="s">
        <v>14520</v>
      </c>
    </row>
    <row r="735" spans="2:10">
      <c r="C735">
        <v>38432</v>
      </c>
      <c r="D735" t="s">
        <v>13713</v>
      </c>
      <c r="F735">
        <v>81</v>
      </c>
      <c r="J735" t="s">
        <v>14522</v>
      </c>
    </row>
    <row r="736" spans="2:10">
      <c r="C736">
        <v>38432</v>
      </c>
      <c r="D736" t="s">
        <v>13740</v>
      </c>
      <c r="E736" t="s">
        <v>157</v>
      </c>
      <c r="F736">
        <v>179</v>
      </c>
      <c r="H736" t="s">
        <v>14523</v>
      </c>
      <c r="I736">
        <v>425</v>
      </c>
      <c r="J736" t="s">
        <v>14524</v>
      </c>
    </row>
    <row r="737" spans="2:10">
      <c r="C737">
        <v>38432</v>
      </c>
      <c r="D737" t="s">
        <v>13740</v>
      </c>
      <c r="E737" t="s">
        <v>157</v>
      </c>
      <c r="F737">
        <v>427</v>
      </c>
      <c r="H737" t="s">
        <v>14525</v>
      </c>
      <c r="I737">
        <v>423</v>
      </c>
      <c r="J737" t="s">
        <v>14526</v>
      </c>
    </row>
    <row r="738" spans="2:10">
      <c r="C738">
        <v>38435</v>
      </c>
      <c r="D738" t="s">
        <v>13713</v>
      </c>
      <c r="E738" t="s">
        <v>13726</v>
      </c>
      <c r="F738">
        <v>68</v>
      </c>
      <c r="J738" t="s">
        <v>14527</v>
      </c>
    </row>
    <row r="739" spans="2:10">
      <c r="C739">
        <v>38435</v>
      </c>
      <c r="D739" t="s">
        <v>12597</v>
      </c>
      <c r="J739" t="s">
        <v>14528</v>
      </c>
    </row>
    <row r="740" spans="2:10">
      <c r="C740">
        <v>38440</v>
      </c>
      <c r="D740" t="s">
        <v>13970</v>
      </c>
      <c r="E740" t="s">
        <v>143</v>
      </c>
      <c r="F740">
        <v>3</v>
      </c>
      <c r="J740" t="s">
        <v>14529</v>
      </c>
    </row>
    <row r="741" spans="2:10">
      <c r="C741">
        <v>38440</v>
      </c>
      <c r="D741" t="s">
        <v>13753</v>
      </c>
      <c r="E741" t="s">
        <v>122</v>
      </c>
      <c r="F741">
        <v>2</v>
      </c>
      <c r="J741" t="s">
        <v>14530</v>
      </c>
    </row>
    <row r="742" spans="2:10">
      <c r="C742">
        <v>38440</v>
      </c>
      <c r="D742" t="s">
        <v>13740</v>
      </c>
      <c r="F742">
        <v>13</v>
      </c>
      <c r="H742" t="s">
        <v>14531</v>
      </c>
      <c r="I742">
        <v>410</v>
      </c>
      <c r="J742" t="s">
        <v>14532</v>
      </c>
    </row>
    <row r="743" spans="2:10">
      <c r="C743">
        <v>38440</v>
      </c>
      <c r="D743" t="s">
        <v>13740</v>
      </c>
      <c r="F743">
        <v>61</v>
      </c>
      <c r="H743" t="s">
        <v>14533</v>
      </c>
      <c r="I743">
        <v>408</v>
      </c>
      <c r="J743" t="s">
        <v>14534</v>
      </c>
    </row>
    <row r="744" spans="2:10">
      <c r="B744" t="s">
        <v>14434</v>
      </c>
      <c r="C744">
        <v>38441</v>
      </c>
    </row>
    <row r="745" spans="2:10">
      <c r="B745" t="s">
        <v>14535</v>
      </c>
      <c r="C745">
        <v>38442</v>
      </c>
      <c r="D745" t="s">
        <v>12597</v>
      </c>
      <c r="J745" t="s">
        <v>14536</v>
      </c>
    </row>
    <row r="746" spans="2:10">
      <c r="B746" t="s">
        <v>14434</v>
      </c>
      <c r="C746">
        <v>38442</v>
      </c>
    </row>
    <row r="747" spans="2:10">
      <c r="B747" t="s">
        <v>14537</v>
      </c>
      <c r="C747">
        <v>38443</v>
      </c>
      <c r="D747" t="s">
        <v>13740</v>
      </c>
      <c r="E747" t="s">
        <v>14538</v>
      </c>
      <c r="F747">
        <v>13</v>
      </c>
      <c r="H747" t="s">
        <v>14531</v>
      </c>
      <c r="I747">
        <v>410</v>
      </c>
      <c r="J747" t="s">
        <v>14539</v>
      </c>
    </row>
    <row r="748" spans="2:10">
      <c r="C748">
        <v>38443</v>
      </c>
      <c r="D748" t="s">
        <v>13740</v>
      </c>
      <c r="E748" t="s">
        <v>14538</v>
      </c>
      <c r="F748">
        <v>40</v>
      </c>
      <c r="H748" t="s">
        <v>14531</v>
      </c>
      <c r="I748">
        <v>436</v>
      </c>
      <c r="J748" t="s">
        <v>14532</v>
      </c>
    </row>
    <row r="749" spans="2:10">
      <c r="C749">
        <v>38443</v>
      </c>
      <c r="D749" t="s">
        <v>14292</v>
      </c>
      <c r="E749" t="s">
        <v>143</v>
      </c>
      <c r="F749">
        <v>36</v>
      </c>
      <c r="H749" t="s">
        <v>14292</v>
      </c>
      <c r="I749">
        <v>430</v>
      </c>
      <c r="J749" t="s">
        <v>14540</v>
      </c>
    </row>
    <row r="750" spans="2:10">
      <c r="C750">
        <v>38443</v>
      </c>
      <c r="D750" t="s">
        <v>14292</v>
      </c>
      <c r="E750" t="s">
        <v>143</v>
      </c>
      <c r="F750">
        <v>19</v>
      </c>
      <c r="H750" t="s">
        <v>14292</v>
      </c>
      <c r="I750">
        <v>415</v>
      </c>
      <c r="J750" t="s">
        <v>14541</v>
      </c>
    </row>
    <row r="751" spans="2:10">
      <c r="B751" t="s">
        <v>14434</v>
      </c>
      <c r="C751">
        <v>38446</v>
      </c>
    </row>
    <row r="752" spans="2:10">
      <c r="B752" t="s">
        <v>14542</v>
      </c>
      <c r="C752">
        <v>38453</v>
      </c>
      <c r="D752" t="s">
        <v>13713</v>
      </c>
      <c r="E752" t="s">
        <v>13750</v>
      </c>
      <c r="F752">
        <v>79</v>
      </c>
      <c r="H752" t="s">
        <v>14450</v>
      </c>
      <c r="I752" t="s">
        <v>14543</v>
      </c>
      <c r="J752" t="s">
        <v>14544</v>
      </c>
    </row>
    <row r="753" spans="2:21">
      <c r="C753">
        <v>38454</v>
      </c>
      <c r="D753" t="s">
        <v>13970</v>
      </c>
      <c r="E753" t="s">
        <v>738</v>
      </c>
      <c r="F753">
        <v>8</v>
      </c>
      <c r="J753" t="s">
        <v>14545</v>
      </c>
    </row>
    <row r="754" spans="2:21">
      <c r="C754">
        <v>38468</v>
      </c>
      <c r="D754" t="s">
        <v>13740</v>
      </c>
      <c r="E754" t="s">
        <v>14546</v>
      </c>
      <c r="F754" t="s">
        <v>14547</v>
      </c>
      <c r="J754" t="s">
        <v>14548</v>
      </c>
      <c r="Q754" t="s">
        <v>14549</v>
      </c>
      <c r="R754">
        <v>38069</v>
      </c>
      <c r="S754" t="s">
        <v>12600</v>
      </c>
      <c r="T754">
        <v>9000</v>
      </c>
      <c r="U754">
        <v>33000</v>
      </c>
    </row>
    <row r="755" spans="2:21">
      <c r="B755" t="s">
        <v>14434</v>
      </c>
      <c r="C755">
        <v>38470</v>
      </c>
      <c r="Q755" t="s">
        <v>12604</v>
      </c>
      <c r="R755">
        <v>37987</v>
      </c>
      <c r="S755" t="s">
        <v>12605</v>
      </c>
      <c r="T755">
        <v>14000</v>
      </c>
      <c r="U755">
        <v>34000</v>
      </c>
    </row>
    <row r="756" spans="2:21">
      <c r="B756" t="s">
        <v>14550</v>
      </c>
      <c r="C756">
        <v>38496</v>
      </c>
      <c r="D756" t="s">
        <v>13740</v>
      </c>
      <c r="E756" t="s">
        <v>14551</v>
      </c>
      <c r="F756">
        <v>89</v>
      </c>
      <c r="H756" t="s">
        <v>14533</v>
      </c>
      <c r="I756">
        <v>435</v>
      </c>
      <c r="J756" t="s">
        <v>14552</v>
      </c>
      <c r="Q756" t="s">
        <v>14553</v>
      </c>
      <c r="R756">
        <v>37987</v>
      </c>
      <c r="S756" t="s">
        <v>12610</v>
      </c>
      <c r="T756">
        <v>14000</v>
      </c>
      <c r="U756">
        <v>40000</v>
      </c>
    </row>
    <row r="757" spans="2:21">
      <c r="B757" t="s">
        <v>14434</v>
      </c>
      <c r="C757">
        <v>38502</v>
      </c>
      <c r="Q757" t="s">
        <v>14554</v>
      </c>
      <c r="R757">
        <v>38406</v>
      </c>
      <c r="S757" t="s">
        <v>12630</v>
      </c>
      <c r="T757">
        <v>8000</v>
      </c>
      <c r="U757">
        <v>33000</v>
      </c>
    </row>
    <row r="758" spans="2:21">
      <c r="B758" t="s">
        <v>14555</v>
      </c>
      <c r="C758">
        <v>38511</v>
      </c>
      <c r="D758" t="s">
        <v>13722</v>
      </c>
      <c r="E758" t="s">
        <v>114</v>
      </c>
      <c r="F758">
        <v>2232</v>
      </c>
      <c r="J758" t="s">
        <v>14556</v>
      </c>
      <c r="Q758" t="s">
        <v>14557</v>
      </c>
      <c r="R758">
        <v>38406</v>
      </c>
      <c r="S758" t="s">
        <v>12635</v>
      </c>
      <c r="T758">
        <v>8000</v>
      </c>
      <c r="U758">
        <v>33000</v>
      </c>
    </row>
    <row r="759" spans="2:21">
      <c r="C759">
        <v>38511</v>
      </c>
      <c r="D759" t="s">
        <v>13722</v>
      </c>
      <c r="E759" t="s">
        <v>114</v>
      </c>
      <c r="F759">
        <v>2233</v>
      </c>
      <c r="J759" t="s">
        <v>14558</v>
      </c>
      <c r="Q759" t="s">
        <v>14559</v>
      </c>
      <c r="R759">
        <v>38069</v>
      </c>
      <c r="S759" t="s">
        <v>12640</v>
      </c>
      <c r="T759">
        <v>11000</v>
      </c>
      <c r="U759">
        <v>33000</v>
      </c>
    </row>
    <row r="760" spans="2:21">
      <c r="C760">
        <v>38511</v>
      </c>
      <c r="D760" t="s">
        <v>13970</v>
      </c>
      <c r="E760" t="s">
        <v>143</v>
      </c>
      <c r="F760">
        <v>3</v>
      </c>
      <c r="J760" t="s">
        <v>14560</v>
      </c>
      <c r="Q760" t="s">
        <v>14561</v>
      </c>
      <c r="R760">
        <v>38224</v>
      </c>
      <c r="S760" t="s">
        <v>12644</v>
      </c>
      <c r="T760">
        <v>14000</v>
      </c>
      <c r="U760">
        <v>35000</v>
      </c>
    </row>
    <row r="761" spans="2:21">
      <c r="C761">
        <v>38511</v>
      </c>
      <c r="D761" t="s">
        <v>13724</v>
      </c>
      <c r="E761" t="s">
        <v>122</v>
      </c>
      <c r="F761">
        <v>4</v>
      </c>
      <c r="J761" t="s">
        <v>14562</v>
      </c>
      <c r="Q761" t="s">
        <v>14563</v>
      </c>
      <c r="R761">
        <v>38224</v>
      </c>
      <c r="S761" t="s">
        <v>12694</v>
      </c>
      <c r="T761">
        <v>16000</v>
      </c>
      <c r="U761">
        <v>45000</v>
      </c>
    </row>
    <row r="762" spans="2:21">
      <c r="C762">
        <v>38511</v>
      </c>
      <c r="D762" t="s">
        <v>13753</v>
      </c>
      <c r="E762" t="s">
        <v>122</v>
      </c>
      <c r="F762">
        <v>2</v>
      </c>
      <c r="J762" t="s">
        <v>14564</v>
      </c>
      <c r="Q762" t="s">
        <v>12728</v>
      </c>
      <c r="R762">
        <v>38385</v>
      </c>
      <c r="S762" t="s">
        <v>12707</v>
      </c>
      <c r="T762">
        <v>15000</v>
      </c>
      <c r="U762">
        <v>48000</v>
      </c>
    </row>
    <row r="763" spans="2:21">
      <c r="C763">
        <v>38511</v>
      </c>
      <c r="D763" t="s">
        <v>12597</v>
      </c>
      <c r="J763" t="s">
        <v>14565</v>
      </c>
      <c r="Q763" t="s">
        <v>14566</v>
      </c>
      <c r="R763">
        <v>37987</v>
      </c>
      <c r="S763" t="s">
        <v>12711</v>
      </c>
      <c r="T763">
        <v>20000</v>
      </c>
      <c r="U763">
        <v>65000</v>
      </c>
    </row>
    <row r="764" spans="2:21">
      <c r="B764" t="s">
        <v>14434</v>
      </c>
      <c r="C764">
        <v>38532</v>
      </c>
      <c r="Q764" t="s">
        <v>14566</v>
      </c>
      <c r="R764">
        <v>37987</v>
      </c>
      <c r="S764" t="s">
        <v>12711</v>
      </c>
      <c r="T764">
        <v>20000</v>
      </c>
      <c r="U764">
        <v>65000</v>
      </c>
    </row>
    <row r="765" spans="2:21">
      <c r="B765" t="s">
        <v>14567</v>
      </c>
      <c r="C765">
        <v>38547</v>
      </c>
      <c r="D765" t="s">
        <v>13753</v>
      </c>
      <c r="E765" t="s">
        <v>14348</v>
      </c>
      <c r="F765">
        <v>4</v>
      </c>
      <c r="J765" t="s">
        <v>14568</v>
      </c>
      <c r="Q765" t="s">
        <v>12715</v>
      </c>
      <c r="R765">
        <v>37987</v>
      </c>
      <c r="S765" t="s">
        <v>12716</v>
      </c>
      <c r="T765">
        <v>24000</v>
      </c>
      <c r="U765">
        <v>70000</v>
      </c>
    </row>
    <row r="766" spans="2:21">
      <c r="C766">
        <v>38548</v>
      </c>
      <c r="D766" t="s">
        <v>13753</v>
      </c>
      <c r="E766" t="s">
        <v>14569</v>
      </c>
      <c r="F766" t="s">
        <v>14570</v>
      </c>
      <c r="H766" t="s">
        <v>14571</v>
      </c>
      <c r="I766" t="s">
        <v>14572</v>
      </c>
      <c r="J766" t="s">
        <v>14573</v>
      </c>
      <c r="Q766" t="s">
        <v>14574</v>
      </c>
      <c r="R766">
        <v>38069</v>
      </c>
      <c r="S766" t="s">
        <v>12760</v>
      </c>
      <c r="T766">
        <v>9000</v>
      </c>
      <c r="U766">
        <v>35000</v>
      </c>
    </row>
    <row r="767" spans="2:21">
      <c r="D767" t="s">
        <v>13753</v>
      </c>
      <c r="E767" t="s">
        <v>14569</v>
      </c>
      <c r="F767" t="s">
        <v>14575</v>
      </c>
      <c r="H767" t="s">
        <v>14576</v>
      </c>
      <c r="I767" t="s">
        <v>14577</v>
      </c>
      <c r="J767" t="s">
        <v>14573</v>
      </c>
      <c r="Q767" t="s">
        <v>14578</v>
      </c>
      <c r="R767">
        <v>38069</v>
      </c>
      <c r="S767" t="s">
        <v>12761</v>
      </c>
      <c r="T767">
        <v>9000</v>
      </c>
      <c r="U767">
        <v>33000</v>
      </c>
    </row>
    <row r="768" spans="2:21">
      <c r="D768" t="s">
        <v>13753</v>
      </c>
      <c r="E768" t="s">
        <v>14569</v>
      </c>
      <c r="F768" t="s">
        <v>14579</v>
      </c>
      <c r="H768" t="s">
        <v>14580</v>
      </c>
      <c r="I768" t="s">
        <v>14581</v>
      </c>
      <c r="J768" t="s">
        <v>14573</v>
      </c>
      <c r="Q768" t="s">
        <v>14582</v>
      </c>
      <c r="R768">
        <v>37987</v>
      </c>
      <c r="S768" t="s">
        <v>12762</v>
      </c>
      <c r="T768">
        <v>14000</v>
      </c>
      <c r="U768">
        <v>34000</v>
      </c>
    </row>
    <row r="769" spans="2:21">
      <c r="D769" t="s">
        <v>13753</v>
      </c>
      <c r="E769" t="s">
        <v>14569</v>
      </c>
      <c r="F769" t="s">
        <v>14583</v>
      </c>
      <c r="H769" t="s">
        <v>14584</v>
      </c>
      <c r="I769" t="s">
        <v>14585</v>
      </c>
      <c r="J769" t="s">
        <v>14573</v>
      </c>
      <c r="Q769" t="s">
        <v>14586</v>
      </c>
      <c r="R769">
        <v>38203</v>
      </c>
      <c r="S769" t="s">
        <v>12765</v>
      </c>
      <c r="T769">
        <v>10000</v>
      </c>
      <c r="U769">
        <v>33000</v>
      </c>
    </row>
    <row r="770" spans="2:21">
      <c r="D770" t="s">
        <v>13713</v>
      </c>
      <c r="E770" t="s">
        <v>13750</v>
      </c>
      <c r="F770">
        <v>82</v>
      </c>
      <c r="J770" t="s">
        <v>14587</v>
      </c>
      <c r="Q770" t="s">
        <v>14588</v>
      </c>
      <c r="R770">
        <v>38224</v>
      </c>
      <c r="S770" t="s">
        <v>12766</v>
      </c>
      <c r="T770">
        <v>14000</v>
      </c>
      <c r="U770">
        <v>35000</v>
      </c>
    </row>
    <row r="771" spans="2:21">
      <c r="B771" t="s">
        <v>14434</v>
      </c>
      <c r="C771">
        <v>38562</v>
      </c>
      <c r="Q771" t="s">
        <v>14589</v>
      </c>
      <c r="R771">
        <v>38224</v>
      </c>
      <c r="S771" t="s">
        <v>12767</v>
      </c>
      <c r="T771">
        <v>18000</v>
      </c>
      <c r="U771">
        <v>35000</v>
      </c>
    </row>
    <row r="772" spans="2:21">
      <c r="B772" t="s">
        <v>14590</v>
      </c>
      <c r="C772">
        <v>38566</v>
      </c>
      <c r="D772" t="s">
        <v>13753</v>
      </c>
      <c r="E772" t="s">
        <v>14591</v>
      </c>
      <c r="F772">
        <v>2267</v>
      </c>
      <c r="G772" t="s">
        <v>14027</v>
      </c>
      <c r="H772" t="s">
        <v>13726</v>
      </c>
      <c r="I772">
        <v>33</v>
      </c>
      <c r="J772" t="s">
        <v>14592</v>
      </c>
      <c r="Q772" t="s">
        <v>14593</v>
      </c>
      <c r="R772">
        <v>38440</v>
      </c>
      <c r="S772" t="s">
        <v>12768</v>
      </c>
      <c r="T772">
        <v>20000</v>
      </c>
      <c r="U772">
        <v>40000</v>
      </c>
    </row>
    <row r="773" spans="2:21">
      <c r="C773">
        <v>38566</v>
      </c>
      <c r="D773" t="s">
        <v>13753</v>
      </c>
      <c r="E773" t="s">
        <v>14591</v>
      </c>
      <c r="F773">
        <v>2268</v>
      </c>
      <c r="G773" t="s">
        <v>14027</v>
      </c>
      <c r="H773" t="s">
        <v>13726</v>
      </c>
      <c r="I773">
        <v>34</v>
      </c>
      <c r="J773" t="s">
        <v>14592</v>
      </c>
      <c r="Q773" t="s">
        <v>14594</v>
      </c>
      <c r="R773">
        <v>38224</v>
      </c>
      <c r="S773" t="s">
        <v>12785</v>
      </c>
      <c r="T773">
        <v>16000</v>
      </c>
      <c r="U773">
        <v>45000</v>
      </c>
    </row>
    <row r="774" spans="2:21">
      <c r="C774">
        <v>38566</v>
      </c>
      <c r="D774" t="s">
        <v>13740</v>
      </c>
      <c r="E774" t="s">
        <v>14595</v>
      </c>
      <c r="F774" t="s">
        <v>14596</v>
      </c>
      <c r="J774" t="s">
        <v>14597</v>
      </c>
      <c r="Q774" t="s">
        <v>14598</v>
      </c>
      <c r="R774">
        <v>38385</v>
      </c>
      <c r="S774" t="s">
        <v>12795</v>
      </c>
      <c r="T774">
        <v>15000</v>
      </c>
      <c r="U774">
        <v>48000</v>
      </c>
    </row>
    <row r="775" spans="2:21">
      <c r="C775">
        <v>38566</v>
      </c>
      <c r="D775" t="s">
        <v>13740</v>
      </c>
      <c r="E775" t="s">
        <v>14599</v>
      </c>
      <c r="F775">
        <v>38</v>
      </c>
      <c r="G775" t="s">
        <v>14531</v>
      </c>
      <c r="H775" t="s">
        <v>580</v>
      </c>
      <c r="I775">
        <v>39</v>
      </c>
      <c r="J775" t="s">
        <v>14600</v>
      </c>
      <c r="Q775" t="s">
        <v>14601</v>
      </c>
      <c r="R775">
        <v>37987</v>
      </c>
      <c r="S775" t="s">
        <v>12797</v>
      </c>
      <c r="T775">
        <v>20000</v>
      </c>
      <c r="U775">
        <v>65000</v>
      </c>
    </row>
    <row r="776" spans="2:21">
      <c r="C776">
        <v>38593</v>
      </c>
      <c r="D776" t="s">
        <v>13740</v>
      </c>
      <c r="E776" t="s">
        <v>580</v>
      </c>
      <c r="F776">
        <v>280</v>
      </c>
      <c r="J776" t="s">
        <v>14602</v>
      </c>
      <c r="Q776" t="s">
        <v>14603</v>
      </c>
      <c r="R776">
        <v>37987</v>
      </c>
      <c r="S776" t="s">
        <v>12799</v>
      </c>
      <c r="T776">
        <v>30000</v>
      </c>
      <c r="U776">
        <v>65000</v>
      </c>
    </row>
    <row r="777" spans="2:21">
      <c r="C777">
        <v>38594</v>
      </c>
      <c r="D777" t="s">
        <v>14027</v>
      </c>
      <c r="E777" t="s">
        <v>157</v>
      </c>
      <c r="F777">
        <v>30</v>
      </c>
      <c r="J777" t="s">
        <v>14604</v>
      </c>
      <c r="Q777" t="s">
        <v>14605</v>
      </c>
      <c r="R777">
        <v>37987</v>
      </c>
      <c r="S777" t="s">
        <v>12841</v>
      </c>
      <c r="T777">
        <v>16000</v>
      </c>
      <c r="U777">
        <v>45000</v>
      </c>
    </row>
    <row r="778" spans="2:21">
      <c r="B778" t="s">
        <v>14434</v>
      </c>
      <c r="C778">
        <v>38594</v>
      </c>
      <c r="Q778" t="s">
        <v>14606</v>
      </c>
      <c r="R778">
        <v>37987</v>
      </c>
      <c r="S778" t="s">
        <v>12842</v>
      </c>
      <c r="T778">
        <v>14000</v>
      </c>
      <c r="U778">
        <v>55000</v>
      </c>
    </row>
    <row r="779" spans="2:21">
      <c r="B779" t="s">
        <v>14607</v>
      </c>
      <c r="C779">
        <v>38595</v>
      </c>
      <c r="D779" t="s">
        <v>14027</v>
      </c>
      <c r="E779" t="s">
        <v>157</v>
      </c>
      <c r="F779" t="s">
        <v>14608</v>
      </c>
      <c r="J779" t="s">
        <v>14609</v>
      </c>
      <c r="Q779" t="s">
        <v>14610</v>
      </c>
      <c r="R779">
        <v>38406</v>
      </c>
      <c r="S779" t="s">
        <v>14408</v>
      </c>
      <c r="T779">
        <v>20000</v>
      </c>
      <c r="U779">
        <v>50000</v>
      </c>
    </row>
    <row r="780" spans="2:21">
      <c r="D780" t="s">
        <v>14027</v>
      </c>
      <c r="E780" t="s">
        <v>157</v>
      </c>
      <c r="F780">
        <v>91</v>
      </c>
      <c r="J780" t="s">
        <v>14611</v>
      </c>
      <c r="Q780" t="s">
        <v>14612</v>
      </c>
      <c r="R780">
        <v>37987</v>
      </c>
      <c r="S780" t="s">
        <v>13162</v>
      </c>
      <c r="T780">
        <v>30000</v>
      </c>
      <c r="U780">
        <v>65000</v>
      </c>
    </row>
    <row r="781" spans="2:21">
      <c r="C781">
        <v>38596</v>
      </c>
      <c r="D781" t="s">
        <v>12597</v>
      </c>
      <c r="E781" t="s">
        <v>14613</v>
      </c>
      <c r="F781">
        <v>719</v>
      </c>
      <c r="H781" t="s">
        <v>14614</v>
      </c>
      <c r="J781" t="s">
        <v>14615</v>
      </c>
      <c r="Q781" t="s">
        <v>14616</v>
      </c>
      <c r="R781">
        <v>37987</v>
      </c>
      <c r="S781" t="s">
        <v>13163</v>
      </c>
      <c r="T781">
        <v>30000</v>
      </c>
      <c r="U781">
        <v>65000</v>
      </c>
    </row>
    <row r="782" spans="2:21">
      <c r="D782" t="s">
        <v>12597</v>
      </c>
      <c r="E782" t="s">
        <v>14613</v>
      </c>
      <c r="F782">
        <v>720</v>
      </c>
      <c r="H782" t="s">
        <v>14614</v>
      </c>
      <c r="J782" t="s">
        <v>14617</v>
      </c>
      <c r="Q782" t="s">
        <v>14618</v>
      </c>
      <c r="R782">
        <v>38373</v>
      </c>
      <c r="S782" t="s">
        <v>13183</v>
      </c>
      <c r="T782">
        <v>30000</v>
      </c>
      <c r="U782">
        <v>65000</v>
      </c>
    </row>
    <row r="783" spans="2:21">
      <c r="B783" t="s">
        <v>14434</v>
      </c>
      <c r="C783">
        <v>38596</v>
      </c>
      <c r="Q783" t="s">
        <v>14619</v>
      </c>
      <c r="R783">
        <v>38366</v>
      </c>
      <c r="S783" t="s">
        <v>13087</v>
      </c>
      <c r="T783">
        <v>30000</v>
      </c>
      <c r="U783">
        <v>65000</v>
      </c>
    </row>
    <row r="784" spans="2:21">
      <c r="B784" t="s">
        <v>14620</v>
      </c>
      <c r="C784">
        <v>38601</v>
      </c>
      <c r="D784" t="s">
        <v>14027</v>
      </c>
      <c r="E784" t="s">
        <v>157</v>
      </c>
      <c r="F784">
        <v>30</v>
      </c>
      <c r="J784" t="s">
        <v>14621</v>
      </c>
      <c r="Q784" t="s">
        <v>14622</v>
      </c>
      <c r="R784">
        <v>37987</v>
      </c>
      <c r="S784" t="s">
        <v>13027</v>
      </c>
      <c r="T784">
        <v>30000</v>
      </c>
      <c r="U784">
        <v>75000</v>
      </c>
    </row>
    <row r="785" spans="2:21">
      <c r="B785" t="s">
        <v>14434</v>
      </c>
      <c r="C785">
        <v>38601</v>
      </c>
    </row>
    <row r="786" spans="2:21">
      <c r="B786" t="s">
        <v>14623</v>
      </c>
      <c r="C786">
        <v>38602</v>
      </c>
      <c r="D786" t="s">
        <v>13713</v>
      </c>
      <c r="E786" t="s">
        <v>13750</v>
      </c>
      <c r="F786">
        <v>7</v>
      </c>
      <c r="J786" t="s">
        <v>14624</v>
      </c>
      <c r="Q786" t="s">
        <v>14625</v>
      </c>
      <c r="R786">
        <v>37987</v>
      </c>
      <c r="T786">
        <v>12000</v>
      </c>
      <c r="U786">
        <v>80000</v>
      </c>
    </row>
    <row r="787" spans="2:21">
      <c r="C787">
        <v>38608</v>
      </c>
      <c r="D787" t="s">
        <v>13740</v>
      </c>
      <c r="E787" t="s">
        <v>14551</v>
      </c>
      <c r="F787">
        <v>158</v>
      </c>
      <c r="G787" t="s">
        <v>14523</v>
      </c>
      <c r="I787">
        <v>405</v>
      </c>
      <c r="J787" t="s">
        <v>14626</v>
      </c>
      <c r="Q787" t="s">
        <v>14625</v>
      </c>
      <c r="R787">
        <v>37987</v>
      </c>
      <c r="T787">
        <v>12000</v>
      </c>
      <c r="U787">
        <v>80000</v>
      </c>
    </row>
    <row r="788" spans="2:21">
      <c r="E788" t="s">
        <v>13750</v>
      </c>
      <c r="F788">
        <v>203</v>
      </c>
      <c r="G788" t="s">
        <v>14627</v>
      </c>
      <c r="I788">
        <v>400</v>
      </c>
      <c r="J788" t="s">
        <v>14628</v>
      </c>
    </row>
    <row r="789" spans="2:21">
      <c r="E789" t="s">
        <v>14551</v>
      </c>
      <c r="F789">
        <v>258</v>
      </c>
      <c r="G789" t="s">
        <v>14407</v>
      </c>
      <c r="I789">
        <v>405</v>
      </c>
      <c r="J789" t="s">
        <v>14629</v>
      </c>
    </row>
    <row r="790" spans="2:21">
      <c r="E790" t="s">
        <v>13750</v>
      </c>
      <c r="F790">
        <v>259</v>
      </c>
      <c r="G790" t="s">
        <v>14407</v>
      </c>
      <c r="I790">
        <v>406</v>
      </c>
      <c r="J790" t="s">
        <v>14630</v>
      </c>
    </row>
    <row r="791" spans="2:21">
      <c r="E791" t="s">
        <v>13750</v>
      </c>
      <c r="F791">
        <v>260</v>
      </c>
      <c r="G791" t="s">
        <v>14407</v>
      </c>
      <c r="I791">
        <v>407</v>
      </c>
      <c r="J791" t="s">
        <v>14631</v>
      </c>
    </row>
    <row r="792" spans="2:21">
      <c r="E792" t="s">
        <v>14551</v>
      </c>
      <c r="F792">
        <v>265</v>
      </c>
      <c r="G792" t="s">
        <v>14407</v>
      </c>
      <c r="I792">
        <v>412</v>
      </c>
      <c r="J792" t="s">
        <v>14632</v>
      </c>
    </row>
    <row r="793" spans="2:21">
      <c r="E793" t="s">
        <v>14551</v>
      </c>
      <c r="F793">
        <v>266</v>
      </c>
      <c r="G793" t="s">
        <v>14407</v>
      </c>
      <c r="I793">
        <v>413</v>
      </c>
      <c r="J793" t="s">
        <v>14633</v>
      </c>
    </row>
    <row r="794" spans="2:21">
      <c r="E794" t="s">
        <v>14551</v>
      </c>
      <c r="F794">
        <v>279</v>
      </c>
      <c r="G794" t="s">
        <v>14407</v>
      </c>
      <c r="I794">
        <v>425</v>
      </c>
      <c r="J794" t="s">
        <v>14634</v>
      </c>
    </row>
    <row r="795" spans="2:21">
      <c r="E795" t="s">
        <v>14551</v>
      </c>
      <c r="F795">
        <v>281</v>
      </c>
      <c r="G795" t="s">
        <v>14407</v>
      </c>
      <c r="I795">
        <v>427</v>
      </c>
      <c r="J795" t="s">
        <v>14635</v>
      </c>
    </row>
    <row r="796" spans="2:21">
      <c r="E796" t="s">
        <v>14551</v>
      </c>
      <c r="F796">
        <v>282</v>
      </c>
      <c r="G796" t="s">
        <v>14407</v>
      </c>
      <c r="I796">
        <v>428</v>
      </c>
      <c r="J796" t="s">
        <v>14636</v>
      </c>
    </row>
    <row r="797" spans="2:21">
      <c r="D797" t="s">
        <v>14292</v>
      </c>
      <c r="E797" t="s">
        <v>143</v>
      </c>
      <c r="F797">
        <v>14</v>
      </c>
      <c r="G797" t="s">
        <v>14292</v>
      </c>
      <c r="I797">
        <v>410</v>
      </c>
      <c r="J797" t="s">
        <v>14637</v>
      </c>
    </row>
    <row r="798" spans="2:21">
      <c r="E798" t="s">
        <v>143</v>
      </c>
      <c r="F798">
        <v>30</v>
      </c>
      <c r="G798" t="s">
        <v>14292</v>
      </c>
      <c r="I798">
        <v>424</v>
      </c>
      <c r="J798" t="s">
        <v>14638</v>
      </c>
    </row>
    <row r="799" spans="2:21">
      <c r="E799" t="s">
        <v>143</v>
      </c>
      <c r="F799">
        <v>37</v>
      </c>
      <c r="G799" t="s">
        <v>14292</v>
      </c>
      <c r="I799">
        <v>431</v>
      </c>
      <c r="J799" t="s">
        <v>14639</v>
      </c>
    </row>
    <row r="800" spans="2:21">
      <c r="E800" t="s">
        <v>143</v>
      </c>
      <c r="F800">
        <v>38</v>
      </c>
      <c r="G800" t="s">
        <v>14292</v>
      </c>
      <c r="I800">
        <v>432</v>
      </c>
      <c r="J800" t="s">
        <v>14640</v>
      </c>
    </row>
    <row r="801" spans="2:10">
      <c r="D801" t="s">
        <v>13740</v>
      </c>
      <c r="E801" t="s">
        <v>122</v>
      </c>
      <c r="F801">
        <v>12</v>
      </c>
      <c r="G801" t="s">
        <v>14531</v>
      </c>
      <c r="I801">
        <v>409</v>
      </c>
      <c r="J801" t="s">
        <v>14641</v>
      </c>
    </row>
    <row r="802" spans="2:10">
      <c r="E802" t="s">
        <v>122</v>
      </c>
      <c r="F802">
        <v>58</v>
      </c>
      <c r="G802" t="s">
        <v>14533</v>
      </c>
      <c r="I802">
        <v>405</v>
      </c>
      <c r="J802" t="s">
        <v>14642</v>
      </c>
    </row>
    <row r="803" spans="2:10">
      <c r="E803" t="s">
        <v>122</v>
      </c>
      <c r="F803">
        <v>59</v>
      </c>
      <c r="G803" t="s">
        <v>14533</v>
      </c>
      <c r="I803">
        <v>406</v>
      </c>
      <c r="J803" t="s">
        <v>14641</v>
      </c>
    </row>
    <row r="804" spans="2:10">
      <c r="E804" t="s">
        <v>122</v>
      </c>
      <c r="F804">
        <v>179</v>
      </c>
      <c r="G804" t="s">
        <v>14523</v>
      </c>
      <c r="I804">
        <v>425</v>
      </c>
      <c r="J804" t="s">
        <v>14643</v>
      </c>
    </row>
    <row r="805" spans="2:10">
      <c r="B805" t="s">
        <v>14434</v>
      </c>
      <c r="C805">
        <v>38624</v>
      </c>
    </row>
    <row r="806" spans="2:10">
      <c r="B806" t="s">
        <v>14644</v>
      </c>
      <c r="C806">
        <v>38627</v>
      </c>
      <c r="D806" t="s">
        <v>14381</v>
      </c>
      <c r="E806" t="s">
        <v>580</v>
      </c>
      <c r="F806">
        <v>30</v>
      </c>
      <c r="G806" t="s">
        <v>14381</v>
      </c>
      <c r="I806" t="s">
        <v>14645</v>
      </c>
      <c r="J806" t="s">
        <v>14646</v>
      </c>
    </row>
    <row r="807" spans="2:10">
      <c r="D807" t="s">
        <v>14339</v>
      </c>
      <c r="E807" t="s">
        <v>14647</v>
      </c>
      <c r="F807">
        <v>63</v>
      </c>
      <c r="J807" t="s">
        <v>14648</v>
      </c>
    </row>
    <row r="808" spans="2:10">
      <c r="D808" t="s">
        <v>14343</v>
      </c>
      <c r="E808" t="s">
        <v>14647</v>
      </c>
      <c r="F808">
        <v>63</v>
      </c>
      <c r="J808" t="s">
        <v>14648</v>
      </c>
    </row>
    <row r="809" spans="2:10">
      <c r="B809" t="s">
        <v>14434</v>
      </c>
      <c r="C809">
        <v>38656</v>
      </c>
    </row>
    <row r="810" spans="2:10">
      <c r="B810" t="s">
        <v>14649</v>
      </c>
      <c r="C810">
        <v>38657</v>
      </c>
      <c r="J810" t="s">
        <v>14650</v>
      </c>
    </row>
    <row r="811" spans="2:10">
      <c r="B811" t="s">
        <v>14434</v>
      </c>
      <c r="C811">
        <v>38657</v>
      </c>
    </row>
    <row r="812" spans="2:10">
      <c r="B812" t="s">
        <v>14651</v>
      </c>
      <c r="C812">
        <v>38664</v>
      </c>
      <c r="D812" t="s">
        <v>13740</v>
      </c>
      <c r="E812" t="s">
        <v>13750</v>
      </c>
      <c r="F812">
        <v>303</v>
      </c>
      <c r="J812" t="s">
        <v>14652</v>
      </c>
    </row>
    <row r="813" spans="2:10">
      <c r="C813">
        <v>38664</v>
      </c>
      <c r="D813" t="s">
        <v>13740</v>
      </c>
      <c r="E813" t="s">
        <v>13750</v>
      </c>
      <c r="F813">
        <v>305</v>
      </c>
      <c r="J813" t="s">
        <v>14653</v>
      </c>
    </row>
    <row r="814" spans="2:10">
      <c r="C814">
        <v>38664</v>
      </c>
      <c r="D814" t="s">
        <v>13740</v>
      </c>
      <c r="E814" t="s">
        <v>13750</v>
      </c>
      <c r="F814">
        <v>306</v>
      </c>
      <c r="J814" t="s">
        <v>14654</v>
      </c>
    </row>
    <row r="815" spans="2:10">
      <c r="C815">
        <v>38664</v>
      </c>
      <c r="D815" t="s">
        <v>13740</v>
      </c>
      <c r="E815" t="s">
        <v>14551</v>
      </c>
      <c r="F815">
        <v>308</v>
      </c>
      <c r="J815" t="s">
        <v>14655</v>
      </c>
    </row>
    <row r="816" spans="2:10">
      <c r="C816">
        <v>38673</v>
      </c>
      <c r="D816" t="s">
        <v>13753</v>
      </c>
      <c r="E816" t="s">
        <v>14656</v>
      </c>
      <c r="F816">
        <v>78</v>
      </c>
      <c r="J816" t="s">
        <v>14657</v>
      </c>
    </row>
    <row r="817" spans="2:10">
      <c r="C817">
        <v>38673</v>
      </c>
      <c r="D817" t="s">
        <v>13713</v>
      </c>
      <c r="E817" t="s">
        <v>14658</v>
      </c>
      <c r="F817" t="s">
        <v>14659</v>
      </c>
      <c r="J817" t="s">
        <v>14660</v>
      </c>
    </row>
    <row r="818" spans="2:10">
      <c r="C818">
        <v>38677</v>
      </c>
      <c r="D818" t="s">
        <v>13753</v>
      </c>
      <c r="E818" t="s">
        <v>157</v>
      </c>
      <c r="F818">
        <v>78</v>
      </c>
      <c r="J818" t="s">
        <v>14661</v>
      </c>
    </row>
    <row r="819" spans="2:10">
      <c r="C819">
        <v>38677</v>
      </c>
      <c r="D819" t="s">
        <v>13713</v>
      </c>
      <c r="E819" t="s">
        <v>14658</v>
      </c>
      <c r="F819">
        <v>85</v>
      </c>
      <c r="J819" t="s">
        <v>14662</v>
      </c>
    </row>
    <row r="820" spans="2:10">
      <c r="C820">
        <v>38685</v>
      </c>
      <c r="D820" t="s">
        <v>13753</v>
      </c>
      <c r="E820" t="s">
        <v>14663</v>
      </c>
      <c r="F820" t="s">
        <v>14664</v>
      </c>
      <c r="J820" t="s">
        <v>14665</v>
      </c>
    </row>
    <row r="821" spans="2:10">
      <c r="D821" t="s">
        <v>13753</v>
      </c>
      <c r="E821" t="s">
        <v>14663</v>
      </c>
      <c r="F821" t="s">
        <v>14666</v>
      </c>
      <c r="J821" t="s">
        <v>14665</v>
      </c>
    </row>
    <row r="822" spans="2:10">
      <c r="D822" t="s">
        <v>13753</v>
      </c>
      <c r="E822" t="s">
        <v>14663</v>
      </c>
      <c r="F822" t="s">
        <v>14667</v>
      </c>
      <c r="J822" t="s">
        <v>14665</v>
      </c>
    </row>
    <row r="823" spans="2:10">
      <c r="D823" t="s">
        <v>13753</v>
      </c>
      <c r="E823" t="s">
        <v>14663</v>
      </c>
      <c r="F823" t="s">
        <v>14668</v>
      </c>
      <c r="J823" t="s">
        <v>14665</v>
      </c>
    </row>
    <row r="824" spans="2:10">
      <c r="D824" t="s">
        <v>13713</v>
      </c>
      <c r="E824" t="s">
        <v>13750</v>
      </c>
      <c r="F824">
        <v>82</v>
      </c>
      <c r="J824" t="s">
        <v>14669</v>
      </c>
    </row>
    <row r="825" spans="2:10">
      <c r="D825" t="s">
        <v>13753</v>
      </c>
      <c r="E825" t="s">
        <v>14670</v>
      </c>
      <c r="F825">
        <v>109</v>
      </c>
      <c r="J825" t="s">
        <v>14671</v>
      </c>
    </row>
    <row r="826" spans="2:10">
      <c r="D826" t="s">
        <v>13753</v>
      </c>
      <c r="E826" t="s">
        <v>14670</v>
      </c>
      <c r="F826">
        <v>125</v>
      </c>
      <c r="J826" t="s">
        <v>14671</v>
      </c>
    </row>
    <row r="827" spans="2:10">
      <c r="D827" t="s">
        <v>13753</v>
      </c>
      <c r="E827" t="s">
        <v>14670</v>
      </c>
      <c r="F827">
        <v>170</v>
      </c>
      <c r="J827" t="s">
        <v>14671</v>
      </c>
    </row>
    <row r="828" spans="2:10">
      <c r="D828" t="s">
        <v>13713</v>
      </c>
      <c r="E828" t="s">
        <v>13750</v>
      </c>
      <c r="F828">
        <v>77</v>
      </c>
      <c r="J828" t="s">
        <v>14672</v>
      </c>
    </row>
    <row r="829" spans="2:10">
      <c r="D829" t="s">
        <v>13753</v>
      </c>
      <c r="E829" t="s">
        <v>14673</v>
      </c>
      <c r="F829">
        <v>2</v>
      </c>
      <c r="J829" t="s">
        <v>14665</v>
      </c>
    </row>
    <row r="830" spans="2:10">
      <c r="D830" t="s">
        <v>13713</v>
      </c>
      <c r="E830" t="s">
        <v>13750</v>
      </c>
      <c r="F830">
        <v>76</v>
      </c>
      <c r="J830" t="s">
        <v>14669</v>
      </c>
    </row>
    <row r="831" spans="2:10">
      <c r="C831">
        <v>38686</v>
      </c>
      <c r="D831" t="s">
        <v>12597</v>
      </c>
      <c r="J831" t="s">
        <v>14674</v>
      </c>
    </row>
    <row r="832" spans="2:10">
      <c r="B832" t="s">
        <v>14434</v>
      </c>
      <c r="C832">
        <v>38686</v>
      </c>
    </row>
    <row r="833" spans="2:10">
      <c r="B833" t="s">
        <v>14675</v>
      </c>
      <c r="C833">
        <v>38694</v>
      </c>
      <c r="D833" t="s">
        <v>13740</v>
      </c>
      <c r="E833" t="s">
        <v>122</v>
      </c>
      <c r="F833">
        <v>158</v>
      </c>
      <c r="J833" t="s">
        <v>14676</v>
      </c>
    </row>
    <row r="834" spans="2:10">
      <c r="B834" t="s">
        <v>14434</v>
      </c>
      <c r="C834">
        <v>38715</v>
      </c>
    </row>
    <row r="835" spans="2:10">
      <c r="B835" t="s">
        <v>14677</v>
      </c>
      <c r="C835">
        <v>38720</v>
      </c>
      <c r="D835" t="s">
        <v>13722</v>
      </c>
      <c r="E835" t="s">
        <v>14678</v>
      </c>
      <c r="F835">
        <v>1</v>
      </c>
      <c r="J835" t="s">
        <v>14679</v>
      </c>
    </row>
    <row r="836" spans="2:10">
      <c r="B836" t="s">
        <v>14434</v>
      </c>
      <c r="C836">
        <v>38720</v>
      </c>
    </row>
    <row r="837" spans="2:10">
      <c r="B837" t="s">
        <v>14680</v>
      </c>
      <c r="C837">
        <v>38721</v>
      </c>
      <c r="D837" t="s">
        <v>14681</v>
      </c>
    </row>
    <row r="838" spans="2:10">
      <c r="C838">
        <v>38742</v>
      </c>
      <c r="D838" t="s">
        <v>14682</v>
      </c>
      <c r="J838" t="s">
        <v>14683</v>
      </c>
    </row>
    <row r="839" spans="2:10">
      <c r="B839" t="s">
        <v>14434</v>
      </c>
      <c r="C839">
        <v>38749</v>
      </c>
      <c r="J839" t="s">
        <v>14684</v>
      </c>
    </row>
    <row r="840" spans="2:10">
      <c r="B840" t="s">
        <v>14685</v>
      </c>
      <c r="C840">
        <v>38750</v>
      </c>
      <c r="D840" t="s">
        <v>13753</v>
      </c>
      <c r="E840" t="s">
        <v>13996</v>
      </c>
      <c r="F840">
        <v>19</v>
      </c>
      <c r="H840" t="s">
        <v>13970</v>
      </c>
      <c r="I840" t="s">
        <v>14686</v>
      </c>
      <c r="J840" t="s">
        <v>14687</v>
      </c>
    </row>
    <row r="841" spans="2:10">
      <c r="C841">
        <v>38750</v>
      </c>
      <c r="D841" t="s">
        <v>13753</v>
      </c>
      <c r="E841" t="s">
        <v>13996</v>
      </c>
      <c r="F841">
        <v>33</v>
      </c>
      <c r="H841" t="s">
        <v>13970</v>
      </c>
      <c r="I841" t="s">
        <v>14688</v>
      </c>
      <c r="J841" t="s">
        <v>14687</v>
      </c>
    </row>
    <row r="842" spans="2:10">
      <c r="C842">
        <v>38754</v>
      </c>
      <c r="D842" t="s">
        <v>13970</v>
      </c>
      <c r="E842" t="s">
        <v>112</v>
      </c>
      <c r="F842">
        <v>93</v>
      </c>
      <c r="J842" t="s">
        <v>14689</v>
      </c>
    </row>
    <row r="843" spans="2:10">
      <c r="C843">
        <v>38754</v>
      </c>
      <c r="D843" t="s">
        <v>13970</v>
      </c>
      <c r="E843" t="s">
        <v>738</v>
      </c>
      <c r="F843">
        <v>48</v>
      </c>
      <c r="J843" t="s">
        <v>14690</v>
      </c>
    </row>
    <row r="844" spans="2:10">
      <c r="C844">
        <v>38768</v>
      </c>
      <c r="D844" t="s">
        <v>13753</v>
      </c>
      <c r="E844" t="s">
        <v>14337</v>
      </c>
      <c r="F844" t="s">
        <v>14664</v>
      </c>
      <c r="G844" t="s">
        <v>13964</v>
      </c>
      <c r="H844" t="s">
        <v>580</v>
      </c>
      <c r="I844" t="s">
        <v>14426</v>
      </c>
      <c r="J844" t="s">
        <v>14691</v>
      </c>
    </row>
    <row r="845" spans="2:10">
      <c r="C845">
        <v>38768</v>
      </c>
      <c r="D845" t="s">
        <v>13753</v>
      </c>
      <c r="E845" t="s">
        <v>14337</v>
      </c>
      <c r="F845" t="s">
        <v>14666</v>
      </c>
      <c r="G845" t="s">
        <v>13964</v>
      </c>
      <c r="H845" t="s">
        <v>157</v>
      </c>
      <c r="I845" t="s">
        <v>14426</v>
      </c>
      <c r="J845" t="s">
        <v>14691</v>
      </c>
    </row>
    <row r="846" spans="2:10">
      <c r="C846">
        <v>38768</v>
      </c>
      <c r="D846" t="s">
        <v>13753</v>
      </c>
      <c r="E846" t="s">
        <v>14337</v>
      </c>
      <c r="F846" t="s">
        <v>14667</v>
      </c>
      <c r="G846" t="s">
        <v>13964</v>
      </c>
      <c r="H846" t="s">
        <v>953</v>
      </c>
      <c r="I846" t="s">
        <v>14692</v>
      </c>
      <c r="J846" t="s">
        <v>14691</v>
      </c>
    </row>
    <row r="847" spans="2:10">
      <c r="C847">
        <v>38768</v>
      </c>
      <c r="D847" t="s">
        <v>13753</v>
      </c>
      <c r="E847" t="s">
        <v>14337</v>
      </c>
      <c r="F847" t="s">
        <v>14668</v>
      </c>
      <c r="G847" t="s">
        <v>13964</v>
      </c>
      <c r="H847" t="s">
        <v>127</v>
      </c>
      <c r="I847" t="s">
        <v>14424</v>
      </c>
      <c r="J847" t="s">
        <v>14691</v>
      </c>
    </row>
    <row r="848" spans="2:10">
      <c r="C848">
        <v>38768</v>
      </c>
      <c r="D848" t="s">
        <v>13713</v>
      </c>
      <c r="E848" t="s">
        <v>14693</v>
      </c>
      <c r="F848">
        <v>86</v>
      </c>
      <c r="J848" t="s">
        <v>14694</v>
      </c>
    </row>
    <row r="849" spans="2:10">
      <c r="B849" t="s">
        <v>14434</v>
      </c>
      <c r="C849">
        <v>38776</v>
      </c>
    </row>
    <row r="850" spans="2:10">
      <c r="B850" t="s">
        <v>14695</v>
      </c>
      <c r="C850">
        <v>38813</v>
      </c>
      <c r="D850" t="s">
        <v>13713</v>
      </c>
      <c r="F850">
        <v>87</v>
      </c>
      <c r="J850" t="s">
        <v>14696</v>
      </c>
    </row>
    <row r="851" spans="2:10">
      <c r="C851">
        <v>38813</v>
      </c>
      <c r="D851" t="s">
        <v>13740</v>
      </c>
      <c r="E851" t="s">
        <v>14697</v>
      </c>
      <c r="F851" t="s">
        <v>14698</v>
      </c>
      <c r="J851" t="s">
        <v>14699</v>
      </c>
    </row>
    <row r="852" spans="2:10">
      <c r="C852">
        <v>38813</v>
      </c>
      <c r="D852" t="s">
        <v>13753</v>
      </c>
      <c r="E852" t="s">
        <v>14700</v>
      </c>
      <c r="F852" t="s">
        <v>14664</v>
      </c>
      <c r="J852" t="s">
        <v>14701</v>
      </c>
    </row>
    <row r="853" spans="2:10">
      <c r="C853">
        <v>38813</v>
      </c>
      <c r="D853" t="s">
        <v>13753</v>
      </c>
      <c r="E853" t="s">
        <v>14700</v>
      </c>
      <c r="F853" t="s">
        <v>14666</v>
      </c>
      <c r="J853" t="s">
        <v>14701</v>
      </c>
    </row>
    <row r="854" spans="2:10">
      <c r="C854">
        <v>38813</v>
      </c>
      <c r="D854" t="s">
        <v>13753</v>
      </c>
      <c r="E854" t="s">
        <v>14700</v>
      </c>
      <c r="F854" t="s">
        <v>14667</v>
      </c>
      <c r="J854" t="s">
        <v>14701</v>
      </c>
    </row>
    <row r="855" spans="2:10">
      <c r="C855">
        <v>38813</v>
      </c>
      <c r="D855" t="s">
        <v>13753</v>
      </c>
      <c r="E855" t="s">
        <v>14700</v>
      </c>
      <c r="F855" t="s">
        <v>14668</v>
      </c>
      <c r="J855" t="s">
        <v>14701</v>
      </c>
    </row>
    <row r="856" spans="2:10">
      <c r="C856">
        <v>38818</v>
      </c>
      <c r="D856" t="s">
        <v>13753</v>
      </c>
      <c r="E856" t="s">
        <v>14337</v>
      </c>
      <c r="F856">
        <v>1217</v>
      </c>
      <c r="G856" t="s">
        <v>14407</v>
      </c>
      <c r="H856" t="s">
        <v>14702</v>
      </c>
      <c r="I856">
        <v>20</v>
      </c>
      <c r="J856" t="s">
        <v>14703</v>
      </c>
    </row>
    <row r="857" spans="2:10">
      <c r="C857">
        <v>38818</v>
      </c>
      <c r="D857" t="s">
        <v>13753</v>
      </c>
      <c r="E857" t="s">
        <v>14337</v>
      </c>
      <c r="F857">
        <v>1265</v>
      </c>
      <c r="G857" t="s">
        <v>14407</v>
      </c>
      <c r="H857" t="s">
        <v>14702</v>
      </c>
      <c r="I857">
        <v>20</v>
      </c>
      <c r="J857" t="s">
        <v>14703</v>
      </c>
    </row>
    <row r="858" spans="2:10">
      <c r="C858">
        <v>38818</v>
      </c>
      <c r="D858" t="s">
        <v>13753</v>
      </c>
      <c r="E858" t="s">
        <v>14704</v>
      </c>
      <c r="F858">
        <v>1312</v>
      </c>
      <c r="G858" t="s">
        <v>14407</v>
      </c>
      <c r="H858" t="s">
        <v>14702</v>
      </c>
      <c r="I858">
        <v>20</v>
      </c>
      <c r="J858" t="s">
        <v>14703</v>
      </c>
    </row>
    <row r="859" spans="2:10">
      <c r="C859">
        <v>38818</v>
      </c>
      <c r="D859" t="s">
        <v>13753</v>
      </c>
      <c r="E859" t="s">
        <v>14337</v>
      </c>
      <c r="F859">
        <v>1239</v>
      </c>
      <c r="G859" t="s">
        <v>14407</v>
      </c>
      <c r="H859" t="s">
        <v>14702</v>
      </c>
      <c r="I859">
        <v>42</v>
      </c>
      <c r="J859" t="s">
        <v>14703</v>
      </c>
    </row>
    <row r="860" spans="2:10">
      <c r="C860">
        <v>38818</v>
      </c>
      <c r="D860" t="s">
        <v>13753</v>
      </c>
      <c r="E860" t="s">
        <v>14337</v>
      </c>
      <c r="F860">
        <v>1287</v>
      </c>
      <c r="G860" t="s">
        <v>14407</v>
      </c>
      <c r="H860" t="s">
        <v>14702</v>
      </c>
      <c r="I860">
        <v>42</v>
      </c>
      <c r="J860" t="s">
        <v>14703</v>
      </c>
    </row>
    <row r="861" spans="2:10">
      <c r="C861">
        <v>38818</v>
      </c>
      <c r="D861" t="s">
        <v>13753</v>
      </c>
      <c r="E861" t="s">
        <v>14704</v>
      </c>
      <c r="F861">
        <v>1334</v>
      </c>
      <c r="G861" t="s">
        <v>14407</v>
      </c>
      <c r="H861" t="s">
        <v>14702</v>
      </c>
      <c r="I861">
        <v>42</v>
      </c>
      <c r="J861" t="s">
        <v>14703</v>
      </c>
    </row>
    <row r="862" spans="2:10">
      <c r="B862" t="s">
        <v>14434</v>
      </c>
      <c r="C862">
        <v>38818</v>
      </c>
    </row>
    <row r="863" spans="2:10">
      <c r="B863" t="s">
        <v>14705</v>
      </c>
      <c r="C863">
        <v>38845</v>
      </c>
      <c r="D863" t="s">
        <v>13740</v>
      </c>
      <c r="E863" t="s">
        <v>157</v>
      </c>
      <c r="F863">
        <v>35</v>
      </c>
      <c r="J863" t="s">
        <v>14706</v>
      </c>
    </row>
    <row r="864" spans="2:10">
      <c r="C864">
        <v>38845</v>
      </c>
      <c r="D864" t="s">
        <v>13740</v>
      </c>
      <c r="E864" t="s">
        <v>157</v>
      </c>
      <c r="F864">
        <v>36</v>
      </c>
      <c r="J864" t="s">
        <v>14707</v>
      </c>
    </row>
    <row r="865" spans="2:10">
      <c r="C865">
        <v>38845</v>
      </c>
      <c r="D865" t="s">
        <v>13740</v>
      </c>
      <c r="E865" t="s">
        <v>157</v>
      </c>
      <c r="F865">
        <v>85</v>
      </c>
      <c r="J865" t="s">
        <v>14706</v>
      </c>
    </row>
    <row r="866" spans="2:10">
      <c r="C866">
        <v>38845</v>
      </c>
      <c r="D866" t="s">
        <v>13740</v>
      </c>
      <c r="E866" t="s">
        <v>157</v>
      </c>
      <c r="F866">
        <v>86</v>
      </c>
      <c r="J866" t="s">
        <v>14706</v>
      </c>
    </row>
    <row r="867" spans="2:10">
      <c r="C867">
        <v>38845</v>
      </c>
      <c r="D867" t="s">
        <v>13740</v>
      </c>
      <c r="E867" t="s">
        <v>157</v>
      </c>
      <c r="F867">
        <v>87</v>
      </c>
      <c r="J867" t="s">
        <v>14707</v>
      </c>
    </row>
    <row r="868" spans="2:10">
      <c r="B868" t="s">
        <v>14434</v>
      </c>
      <c r="C868">
        <v>38868</v>
      </c>
    </row>
    <row r="869" spans="2:10">
      <c r="B869" t="s">
        <v>14708</v>
      </c>
      <c r="C869">
        <v>38874</v>
      </c>
      <c r="D869" t="s">
        <v>14027</v>
      </c>
      <c r="E869" t="s">
        <v>14709</v>
      </c>
      <c r="F869" t="s">
        <v>14710</v>
      </c>
      <c r="J869" t="s">
        <v>14711</v>
      </c>
    </row>
    <row r="870" spans="2:10">
      <c r="C870">
        <v>38895</v>
      </c>
      <c r="D870" t="s">
        <v>13753</v>
      </c>
      <c r="E870" t="s">
        <v>13996</v>
      </c>
      <c r="F870">
        <v>78</v>
      </c>
      <c r="J870" t="s">
        <v>14712</v>
      </c>
    </row>
    <row r="871" spans="2:10">
      <c r="C871">
        <v>38895</v>
      </c>
      <c r="D871" t="s">
        <v>13713</v>
      </c>
      <c r="E871" t="s">
        <v>14713</v>
      </c>
      <c r="F871">
        <v>88</v>
      </c>
      <c r="J871" t="s">
        <v>14714</v>
      </c>
    </row>
    <row r="872" spans="2:10">
      <c r="C872">
        <v>38895</v>
      </c>
      <c r="D872" t="s">
        <v>13713</v>
      </c>
      <c r="E872" t="s">
        <v>14713</v>
      </c>
      <c r="F872">
        <v>83</v>
      </c>
      <c r="J872" t="s">
        <v>14715</v>
      </c>
    </row>
    <row r="873" spans="2:10">
      <c r="C873">
        <v>38895</v>
      </c>
      <c r="D873" t="s">
        <v>13753</v>
      </c>
      <c r="E873" t="s">
        <v>14348</v>
      </c>
      <c r="F873">
        <v>78</v>
      </c>
      <c r="J873" t="s">
        <v>14716</v>
      </c>
    </row>
    <row r="874" spans="2:10">
      <c r="C874">
        <v>38895</v>
      </c>
      <c r="D874" t="s">
        <v>13713</v>
      </c>
      <c r="E874" t="s">
        <v>14713</v>
      </c>
      <c r="F874" t="s">
        <v>14717</v>
      </c>
      <c r="J874" t="s">
        <v>14715</v>
      </c>
    </row>
    <row r="875" spans="2:10">
      <c r="C875">
        <v>38895</v>
      </c>
      <c r="D875" t="s">
        <v>13753</v>
      </c>
      <c r="E875" t="s">
        <v>14255</v>
      </c>
      <c r="F875">
        <v>78</v>
      </c>
      <c r="J875" t="s">
        <v>14718</v>
      </c>
    </row>
    <row r="876" spans="2:10">
      <c r="B876" t="s">
        <v>14434</v>
      </c>
      <c r="C876">
        <v>38898</v>
      </c>
    </row>
    <row r="877" spans="2:10">
      <c r="B877" t="s">
        <v>14719</v>
      </c>
      <c r="C877">
        <v>38904</v>
      </c>
      <c r="D877" t="s">
        <v>13740</v>
      </c>
      <c r="E877" t="s">
        <v>157</v>
      </c>
      <c r="F877">
        <v>60</v>
      </c>
      <c r="J877" t="s">
        <v>14720</v>
      </c>
    </row>
    <row r="878" spans="2:10">
      <c r="C878">
        <v>38904</v>
      </c>
      <c r="D878" t="s">
        <v>13753</v>
      </c>
      <c r="E878" t="s">
        <v>14721</v>
      </c>
      <c r="F878">
        <v>2308</v>
      </c>
      <c r="J878" t="s">
        <v>14722</v>
      </c>
    </row>
    <row r="879" spans="2:10">
      <c r="C879">
        <v>38904</v>
      </c>
      <c r="D879" t="s">
        <v>13753</v>
      </c>
      <c r="E879" t="s">
        <v>14721</v>
      </c>
      <c r="F879">
        <v>2324</v>
      </c>
      <c r="J879" t="s">
        <v>14723</v>
      </c>
    </row>
    <row r="880" spans="2:10">
      <c r="C880">
        <v>38904</v>
      </c>
      <c r="D880" t="s">
        <v>13713</v>
      </c>
      <c r="E880" t="s">
        <v>14713</v>
      </c>
      <c r="F880" t="s">
        <v>14724</v>
      </c>
      <c r="J880" t="s">
        <v>14725</v>
      </c>
    </row>
    <row r="881" spans="2:10">
      <c r="C881">
        <v>38910</v>
      </c>
      <c r="D881" t="s">
        <v>13753</v>
      </c>
      <c r="E881" t="s">
        <v>13996</v>
      </c>
      <c r="F881">
        <v>2308</v>
      </c>
      <c r="J881" t="s">
        <v>14726</v>
      </c>
    </row>
    <row r="882" spans="2:10">
      <c r="C882">
        <v>38910</v>
      </c>
      <c r="D882" t="s">
        <v>13753</v>
      </c>
      <c r="E882" t="s">
        <v>14337</v>
      </c>
      <c r="F882">
        <v>2324</v>
      </c>
      <c r="J882" t="s">
        <v>14727</v>
      </c>
    </row>
    <row r="883" spans="2:10">
      <c r="C883">
        <v>38910</v>
      </c>
      <c r="D883" t="s">
        <v>13713</v>
      </c>
      <c r="E883" t="s">
        <v>14713</v>
      </c>
      <c r="F883" t="s">
        <v>14728</v>
      </c>
      <c r="J883" t="s">
        <v>14729</v>
      </c>
    </row>
    <row r="884" spans="2:10">
      <c r="C884">
        <v>38929</v>
      </c>
      <c r="D884" t="s">
        <v>13753</v>
      </c>
      <c r="E884" t="s">
        <v>14721</v>
      </c>
      <c r="F884">
        <v>2308</v>
      </c>
      <c r="J884" t="s">
        <v>14730</v>
      </c>
    </row>
    <row r="885" spans="2:10">
      <c r="C885">
        <v>38929</v>
      </c>
      <c r="D885" t="s">
        <v>13753</v>
      </c>
      <c r="E885" t="s">
        <v>14721</v>
      </c>
      <c r="F885">
        <v>2324</v>
      </c>
      <c r="J885" t="s">
        <v>14730</v>
      </c>
    </row>
    <row r="886" spans="2:10">
      <c r="B886" t="s">
        <v>14434</v>
      </c>
      <c r="C886">
        <v>38929</v>
      </c>
    </row>
    <row r="887" spans="2:10">
      <c r="B887" t="s">
        <v>14731</v>
      </c>
      <c r="C887">
        <v>38933</v>
      </c>
      <c r="D887" t="s">
        <v>13753</v>
      </c>
      <c r="E887" t="s">
        <v>143</v>
      </c>
      <c r="F887">
        <v>2324</v>
      </c>
      <c r="J887" t="s">
        <v>14732</v>
      </c>
    </row>
    <row r="888" spans="2:10">
      <c r="C888">
        <v>38933</v>
      </c>
      <c r="D888" t="s">
        <v>13753</v>
      </c>
      <c r="E888" t="s">
        <v>157</v>
      </c>
      <c r="F888">
        <v>2308</v>
      </c>
      <c r="J888" t="s">
        <v>14733</v>
      </c>
    </row>
    <row r="889" spans="2:10">
      <c r="C889">
        <v>38933</v>
      </c>
      <c r="D889" t="s">
        <v>13753</v>
      </c>
      <c r="E889" t="s">
        <v>157</v>
      </c>
      <c r="F889">
        <v>2324</v>
      </c>
      <c r="J889" t="s">
        <v>14734</v>
      </c>
    </row>
    <row r="890" spans="2:10">
      <c r="C890">
        <v>38933</v>
      </c>
      <c r="D890" t="s">
        <v>13753</v>
      </c>
      <c r="E890" t="s">
        <v>157</v>
      </c>
      <c r="F890">
        <v>2308</v>
      </c>
      <c r="J890" t="s">
        <v>14735</v>
      </c>
    </row>
    <row r="891" spans="2:10">
      <c r="C891">
        <v>38933</v>
      </c>
      <c r="D891" t="s">
        <v>13753</v>
      </c>
      <c r="E891" t="s">
        <v>157</v>
      </c>
      <c r="F891">
        <v>2324</v>
      </c>
      <c r="J891" t="s">
        <v>14735</v>
      </c>
    </row>
    <row r="892" spans="2:10">
      <c r="B892" t="s">
        <v>14434</v>
      </c>
      <c r="C892">
        <v>38959</v>
      </c>
    </row>
    <row r="893" spans="2:10">
      <c r="B893" t="s">
        <v>14736</v>
      </c>
    </row>
    <row r="894" spans="2:10">
      <c r="B894" t="s">
        <v>14737</v>
      </c>
      <c r="C894">
        <v>39036</v>
      </c>
      <c r="D894" t="s">
        <v>13740</v>
      </c>
      <c r="E894" t="s">
        <v>14538</v>
      </c>
      <c r="F894" t="s">
        <v>14738</v>
      </c>
      <c r="J894" t="s">
        <v>14739</v>
      </c>
    </row>
    <row r="895" spans="2:10">
      <c r="C895">
        <v>39033</v>
      </c>
      <c r="D895" t="s">
        <v>13722</v>
      </c>
      <c r="E895" t="s">
        <v>14416</v>
      </c>
      <c r="F895">
        <v>1625</v>
      </c>
      <c r="J895" t="s">
        <v>14740</v>
      </c>
    </row>
    <row r="896" spans="2:10">
      <c r="C896">
        <v>39033</v>
      </c>
      <c r="D896" t="s">
        <v>13722</v>
      </c>
      <c r="E896" t="s">
        <v>14416</v>
      </c>
      <c r="F896">
        <v>1630</v>
      </c>
      <c r="J896" t="s">
        <v>14741</v>
      </c>
    </row>
    <row r="897" spans="3:10">
      <c r="C897">
        <v>39033</v>
      </c>
      <c r="D897" t="s">
        <v>13722</v>
      </c>
      <c r="E897" t="s">
        <v>14416</v>
      </c>
      <c r="F897">
        <v>1639</v>
      </c>
      <c r="J897" t="s">
        <v>14742</v>
      </c>
    </row>
    <row r="898" spans="3:10">
      <c r="C898">
        <v>39033</v>
      </c>
      <c r="D898" t="s">
        <v>13722</v>
      </c>
      <c r="E898" t="s">
        <v>14416</v>
      </c>
      <c r="F898">
        <v>1649</v>
      </c>
      <c r="J898" t="s">
        <v>14743</v>
      </c>
    </row>
    <row r="899" spans="3:10">
      <c r="C899">
        <v>39033</v>
      </c>
      <c r="D899" t="s">
        <v>13722</v>
      </c>
      <c r="E899" t="s">
        <v>14744</v>
      </c>
      <c r="F899">
        <v>2146</v>
      </c>
      <c r="J899" t="s">
        <v>14745</v>
      </c>
    </row>
    <row r="900" spans="3:10">
      <c r="C900">
        <v>39033</v>
      </c>
      <c r="D900" t="s">
        <v>13722</v>
      </c>
      <c r="E900" t="s">
        <v>14744</v>
      </c>
      <c r="F900">
        <v>2150</v>
      </c>
      <c r="J900" t="s">
        <v>14746</v>
      </c>
    </row>
    <row r="901" spans="3:10">
      <c r="C901">
        <v>39033</v>
      </c>
      <c r="D901" t="s">
        <v>13722</v>
      </c>
      <c r="E901" t="s">
        <v>14744</v>
      </c>
      <c r="F901">
        <v>2157</v>
      </c>
      <c r="J901" t="s">
        <v>14747</v>
      </c>
    </row>
    <row r="902" spans="3:10">
      <c r="C902">
        <v>39033</v>
      </c>
      <c r="D902" t="s">
        <v>13722</v>
      </c>
      <c r="E902" t="s">
        <v>14744</v>
      </c>
      <c r="F902">
        <v>2159</v>
      </c>
      <c r="J902" t="s">
        <v>14748</v>
      </c>
    </row>
    <row r="903" spans="3:10">
      <c r="C903">
        <v>39033</v>
      </c>
      <c r="E903" t="s">
        <v>14749</v>
      </c>
      <c r="F903" t="s">
        <v>12597</v>
      </c>
      <c r="H903" t="s">
        <v>14750</v>
      </c>
      <c r="J903" t="s">
        <v>14751</v>
      </c>
    </row>
    <row r="904" spans="3:10">
      <c r="C904">
        <v>39033</v>
      </c>
      <c r="E904" t="s">
        <v>14749</v>
      </c>
      <c r="F904" t="s">
        <v>12597</v>
      </c>
      <c r="H904" t="s">
        <v>14750</v>
      </c>
      <c r="J904" t="s">
        <v>14752</v>
      </c>
    </row>
    <row r="905" spans="3:10">
      <c r="C905">
        <v>39033</v>
      </c>
      <c r="E905" t="s">
        <v>14749</v>
      </c>
      <c r="F905" t="s">
        <v>12597</v>
      </c>
      <c r="H905" t="s">
        <v>14750</v>
      </c>
      <c r="J905" t="s">
        <v>14753</v>
      </c>
    </row>
    <row r="906" spans="3:10">
      <c r="C906">
        <v>39033</v>
      </c>
      <c r="E906" t="s">
        <v>14749</v>
      </c>
      <c r="F906" t="s">
        <v>12597</v>
      </c>
      <c r="H906" t="s">
        <v>14750</v>
      </c>
      <c r="J906" t="s">
        <v>14754</v>
      </c>
    </row>
    <row r="907" spans="3:10">
      <c r="C907">
        <v>39033</v>
      </c>
      <c r="E907" t="s">
        <v>14749</v>
      </c>
      <c r="F907" t="s">
        <v>12597</v>
      </c>
      <c r="H907" t="s">
        <v>14750</v>
      </c>
      <c r="J907" t="s">
        <v>14755</v>
      </c>
    </row>
    <row r="908" spans="3:10">
      <c r="C908">
        <v>39033</v>
      </c>
      <c r="E908" t="s">
        <v>14749</v>
      </c>
      <c r="F908" t="s">
        <v>12597</v>
      </c>
      <c r="H908" t="s">
        <v>14750</v>
      </c>
      <c r="J908" t="s">
        <v>14756</v>
      </c>
    </row>
    <row r="909" spans="3:10">
      <c r="C909">
        <v>39033</v>
      </c>
      <c r="E909" t="s">
        <v>14749</v>
      </c>
      <c r="F909" t="s">
        <v>12597</v>
      </c>
      <c r="H909" t="s">
        <v>14750</v>
      </c>
      <c r="J909" t="s">
        <v>14757</v>
      </c>
    </row>
    <row r="910" spans="3:10">
      <c r="C910">
        <v>39033</v>
      </c>
      <c r="E910" t="s">
        <v>14749</v>
      </c>
      <c r="F910" t="s">
        <v>12597</v>
      </c>
      <c r="H910" t="s">
        <v>14750</v>
      </c>
      <c r="J910" t="s">
        <v>14758</v>
      </c>
    </row>
    <row r="911" spans="3:10">
      <c r="C911">
        <v>39033</v>
      </c>
      <c r="E911" t="s">
        <v>14749</v>
      </c>
      <c r="F911" t="s">
        <v>12597</v>
      </c>
      <c r="H911" t="s">
        <v>14750</v>
      </c>
      <c r="J911" t="s">
        <v>14759</v>
      </c>
    </row>
    <row r="912" spans="3:10">
      <c r="C912">
        <v>39033</v>
      </c>
      <c r="E912" t="s">
        <v>14749</v>
      </c>
      <c r="F912" t="s">
        <v>12597</v>
      </c>
      <c r="H912" t="s">
        <v>14750</v>
      </c>
      <c r="J912" t="s">
        <v>14760</v>
      </c>
    </row>
    <row r="913" spans="3:10">
      <c r="C913">
        <v>39033</v>
      </c>
      <c r="E913" t="s">
        <v>14749</v>
      </c>
      <c r="F913" t="s">
        <v>12597</v>
      </c>
      <c r="H913" t="s">
        <v>14750</v>
      </c>
      <c r="J913" t="s">
        <v>14761</v>
      </c>
    </row>
    <row r="914" spans="3:10">
      <c r="C914">
        <v>39033</v>
      </c>
      <c r="E914" t="s">
        <v>14749</v>
      </c>
      <c r="F914" t="s">
        <v>12597</v>
      </c>
      <c r="H914" t="s">
        <v>14750</v>
      </c>
      <c r="J914" t="s">
        <v>14762</v>
      </c>
    </row>
    <row r="915" spans="3:10">
      <c r="C915">
        <v>39033</v>
      </c>
      <c r="E915" t="s">
        <v>14749</v>
      </c>
      <c r="F915" t="s">
        <v>12597</v>
      </c>
      <c r="H915" t="s">
        <v>14750</v>
      </c>
      <c r="J915" t="s">
        <v>14763</v>
      </c>
    </row>
    <row r="916" spans="3:10">
      <c r="C916">
        <v>39033</v>
      </c>
      <c r="E916" t="s">
        <v>14749</v>
      </c>
      <c r="F916" t="s">
        <v>12597</v>
      </c>
      <c r="H916" t="s">
        <v>14764</v>
      </c>
      <c r="J916" t="s">
        <v>14765</v>
      </c>
    </row>
    <row r="917" spans="3:10">
      <c r="C917">
        <v>39033</v>
      </c>
      <c r="D917" t="s">
        <v>14027</v>
      </c>
      <c r="E917" t="s">
        <v>14766</v>
      </c>
      <c r="F917">
        <v>8</v>
      </c>
      <c r="J917" t="s">
        <v>14767</v>
      </c>
    </row>
    <row r="918" spans="3:10">
      <c r="C918">
        <v>39033</v>
      </c>
      <c r="D918" t="s">
        <v>14027</v>
      </c>
      <c r="E918" t="s">
        <v>14766</v>
      </c>
      <c r="F918">
        <v>18</v>
      </c>
      <c r="J918" t="s">
        <v>14768</v>
      </c>
    </row>
    <row r="919" spans="3:10">
      <c r="C919">
        <v>39033</v>
      </c>
      <c r="D919" t="s">
        <v>13753</v>
      </c>
      <c r="E919" t="s">
        <v>14222</v>
      </c>
      <c r="F919">
        <v>2261</v>
      </c>
      <c r="H919" t="s">
        <v>14027</v>
      </c>
      <c r="I919" t="s">
        <v>14769</v>
      </c>
      <c r="J919" t="s">
        <v>14770</v>
      </c>
    </row>
    <row r="920" spans="3:10">
      <c r="C920">
        <v>39033</v>
      </c>
      <c r="D920" t="s">
        <v>13753</v>
      </c>
      <c r="E920" t="s">
        <v>14222</v>
      </c>
      <c r="F920">
        <v>2267</v>
      </c>
      <c r="H920" t="s">
        <v>14027</v>
      </c>
      <c r="I920" t="s">
        <v>14771</v>
      </c>
      <c r="J920" t="s">
        <v>14772</v>
      </c>
    </row>
    <row r="921" spans="3:10">
      <c r="C921">
        <v>39033</v>
      </c>
      <c r="D921" t="s">
        <v>13753</v>
      </c>
      <c r="E921" t="s">
        <v>14222</v>
      </c>
      <c r="F921">
        <v>2286</v>
      </c>
      <c r="H921" t="s">
        <v>14027</v>
      </c>
      <c r="I921" t="s">
        <v>14773</v>
      </c>
      <c r="J921" t="s">
        <v>14774</v>
      </c>
    </row>
    <row r="922" spans="3:10">
      <c r="C922">
        <v>39033</v>
      </c>
      <c r="D922" t="s">
        <v>13753</v>
      </c>
      <c r="E922" t="s">
        <v>14222</v>
      </c>
      <c r="F922">
        <v>2293</v>
      </c>
      <c r="H922" t="s">
        <v>14027</v>
      </c>
      <c r="I922" t="s">
        <v>14775</v>
      </c>
      <c r="J922" t="s">
        <v>14776</v>
      </c>
    </row>
    <row r="923" spans="3:10">
      <c r="C923">
        <v>39033</v>
      </c>
      <c r="D923" t="s">
        <v>13724</v>
      </c>
      <c r="E923" t="s">
        <v>14777</v>
      </c>
      <c r="F923">
        <v>2669</v>
      </c>
      <c r="G923" t="s">
        <v>14027</v>
      </c>
      <c r="H923">
        <v>822</v>
      </c>
      <c r="I923" t="s">
        <v>98</v>
      </c>
      <c r="J923" t="s">
        <v>14778</v>
      </c>
    </row>
    <row r="924" spans="3:10">
      <c r="C924">
        <v>39033</v>
      </c>
      <c r="D924" t="s">
        <v>13724</v>
      </c>
      <c r="E924" t="s">
        <v>14777</v>
      </c>
      <c r="F924">
        <v>2674</v>
      </c>
      <c r="G924" t="s">
        <v>14027</v>
      </c>
      <c r="H924">
        <v>823</v>
      </c>
      <c r="I924" t="s">
        <v>98</v>
      </c>
      <c r="J924" t="s">
        <v>14778</v>
      </c>
    </row>
    <row r="925" spans="3:10">
      <c r="C925">
        <v>39033</v>
      </c>
      <c r="D925" t="s">
        <v>13724</v>
      </c>
      <c r="E925" t="s">
        <v>14777</v>
      </c>
      <c r="F925">
        <v>2683</v>
      </c>
      <c r="G925" t="s">
        <v>14027</v>
      </c>
      <c r="H925">
        <v>822</v>
      </c>
      <c r="I925" t="s">
        <v>14779</v>
      </c>
      <c r="J925" t="s">
        <v>14778</v>
      </c>
    </row>
    <row r="926" spans="3:10">
      <c r="C926">
        <v>39033</v>
      </c>
      <c r="D926" t="s">
        <v>13724</v>
      </c>
      <c r="E926" t="s">
        <v>14777</v>
      </c>
      <c r="F926">
        <v>2693</v>
      </c>
      <c r="G926" t="s">
        <v>14027</v>
      </c>
      <c r="H926">
        <v>823</v>
      </c>
      <c r="I926" t="s">
        <v>14779</v>
      </c>
      <c r="J926" t="s">
        <v>14778</v>
      </c>
    </row>
    <row r="927" spans="3:10">
      <c r="C927">
        <v>39063</v>
      </c>
      <c r="D927" t="s">
        <v>13753</v>
      </c>
      <c r="E927" t="s">
        <v>14780</v>
      </c>
      <c r="F927">
        <v>2270</v>
      </c>
      <c r="G927" t="s">
        <v>14027</v>
      </c>
      <c r="H927" t="s">
        <v>14781</v>
      </c>
      <c r="J927" t="s">
        <v>14782</v>
      </c>
    </row>
    <row r="928" spans="3:10">
      <c r="C928">
        <v>39063</v>
      </c>
      <c r="D928" t="s">
        <v>13753</v>
      </c>
      <c r="E928" t="s">
        <v>14780</v>
      </c>
      <c r="F928">
        <v>2271</v>
      </c>
      <c r="G928" t="s">
        <v>14027</v>
      </c>
      <c r="H928" t="s">
        <v>14783</v>
      </c>
      <c r="J928" t="s">
        <v>14782</v>
      </c>
    </row>
    <row r="929" spans="3:10">
      <c r="C929">
        <v>39069</v>
      </c>
      <c r="D929" t="s">
        <v>13753</v>
      </c>
      <c r="E929" t="s">
        <v>157</v>
      </c>
      <c r="F929">
        <v>2312</v>
      </c>
      <c r="J929" t="s">
        <v>14784</v>
      </c>
    </row>
    <row r="930" spans="3:10">
      <c r="C930">
        <v>39069</v>
      </c>
      <c r="D930" t="s">
        <v>13753</v>
      </c>
      <c r="E930" t="s">
        <v>157</v>
      </c>
      <c r="F930">
        <v>2328</v>
      </c>
      <c r="J930" t="s">
        <v>14785</v>
      </c>
    </row>
    <row r="931" spans="3:10">
      <c r="C931">
        <v>39074</v>
      </c>
      <c r="D931" t="s">
        <v>13753</v>
      </c>
      <c r="E931" t="s">
        <v>157</v>
      </c>
      <c r="F931">
        <v>2328</v>
      </c>
      <c r="J931" t="s">
        <v>14786</v>
      </c>
    </row>
    <row r="932" spans="3:10">
      <c r="C932">
        <v>39090</v>
      </c>
      <c r="D932" t="s">
        <v>13740</v>
      </c>
      <c r="E932" t="s">
        <v>14787</v>
      </c>
      <c r="F932">
        <v>3</v>
      </c>
      <c r="J932" t="s">
        <v>14788</v>
      </c>
    </row>
    <row r="933" spans="3:10">
      <c r="C933">
        <v>39090</v>
      </c>
      <c r="D933" t="s">
        <v>13740</v>
      </c>
      <c r="E933" t="s">
        <v>14787</v>
      </c>
      <c r="F933">
        <v>121</v>
      </c>
      <c r="J933" t="s">
        <v>14788</v>
      </c>
    </row>
    <row r="934" spans="3:10">
      <c r="C934">
        <v>39090</v>
      </c>
      <c r="D934" t="s">
        <v>13740</v>
      </c>
      <c r="E934" t="s">
        <v>157</v>
      </c>
      <c r="F934">
        <v>171</v>
      </c>
      <c r="J934" t="s">
        <v>14789</v>
      </c>
    </row>
    <row r="935" spans="3:10">
      <c r="C935">
        <v>39090</v>
      </c>
      <c r="D935" t="s">
        <v>13740</v>
      </c>
      <c r="E935" t="s">
        <v>14787</v>
      </c>
      <c r="F935">
        <v>204</v>
      </c>
      <c r="J935" t="s">
        <v>14788</v>
      </c>
    </row>
    <row r="936" spans="3:10">
      <c r="C936">
        <v>39090</v>
      </c>
      <c r="D936" t="s">
        <v>13740</v>
      </c>
      <c r="E936" t="s">
        <v>122</v>
      </c>
      <c r="F936">
        <v>266</v>
      </c>
      <c r="J936" t="s">
        <v>14790</v>
      </c>
    </row>
    <row r="937" spans="3:10">
      <c r="C937">
        <v>39090</v>
      </c>
      <c r="D937" t="s">
        <v>13740</v>
      </c>
      <c r="E937" t="s">
        <v>14787</v>
      </c>
      <c r="F937">
        <v>278</v>
      </c>
      <c r="J937" t="s">
        <v>14788</v>
      </c>
    </row>
    <row r="938" spans="3:10">
      <c r="C938">
        <v>39090</v>
      </c>
      <c r="D938" t="s">
        <v>13740</v>
      </c>
      <c r="E938" t="s">
        <v>14787</v>
      </c>
      <c r="F938">
        <v>377</v>
      </c>
      <c r="J938" t="s">
        <v>14788</v>
      </c>
    </row>
    <row r="939" spans="3:10">
      <c r="C939">
        <v>39090</v>
      </c>
      <c r="D939" t="s">
        <v>13740</v>
      </c>
      <c r="E939" t="s">
        <v>157</v>
      </c>
      <c r="F939">
        <v>537</v>
      </c>
      <c r="J939" t="s">
        <v>14791</v>
      </c>
    </row>
    <row r="940" spans="3:10">
      <c r="C940">
        <v>39105</v>
      </c>
      <c r="D940" t="s">
        <v>13970</v>
      </c>
      <c r="E940" t="s">
        <v>143</v>
      </c>
      <c r="F940">
        <v>1</v>
      </c>
      <c r="J940" t="s">
        <v>14792</v>
      </c>
    </row>
    <row r="941" spans="3:10">
      <c r="C941">
        <v>39105</v>
      </c>
      <c r="D941" t="s">
        <v>14005</v>
      </c>
      <c r="E941" t="s">
        <v>14793</v>
      </c>
      <c r="F941">
        <v>66</v>
      </c>
      <c r="J941" t="s">
        <v>14794</v>
      </c>
    </row>
    <row r="942" spans="3:10">
      <c r="C942">
        <v>39105</v>
      </c>
      <c r="D942" t="s">
        <v>14005</v>
      </c>
      <c r="E942" t="s">
        <v>147</v>
      </c>
      <c r="F942">
        <v>66</v>
      </c>
      <c r="J942" t="s">
        <v>14795</v>
      </c>
    </row>
    <row r="943" spans="3:10">
      <c r="C943">
        <v>39105</v>
      </c>
      <c r="D943" t="s">
        <v>13753</v>
      </c>
      <c r="E943" t="s">
        <v>143</v>
      </c>
      <c r="F943">
        <v>284</v>
      </c>
      <c r="J943" t="s">
        <v>14796</v>
      </c>
    </row>
    <row r="944" spans="3:10">
      <c r="C944">
        <v>39105</v>
      </c>
      <c r="D944" t="s">
        <v>13753</v>
      </c>
      <c r="E944" t="s">
        <v>143</v>
      </c>
      <c r="F944">
        <v>285</v>
      </c>
      <c r="J944" t="s">
        <v>14796</v>
      </c>
    </row>
    <row r="945" spans="3:10">
      <c r="C945">
        <v>39105</v>
      </c>
      <c r="D945" t="s">
        <v>13753</v>
      </c>
      <c r="E945" t="s">
        <v>143</v>
      </c>
      <c r="F945" t="s">
        <v>14797</v>
      </c>
      <c r="J945" t="s">
        <v>14796</v>
      </c>
    </row>
    <row r="946" spans="3:10">
      <c r="C946">
        <v>39105</v>
      </c>
      <c r="D946" t="s">
        <v>13753</v>
      </c>
      <c r="E946" t="s">
        <v>580</v>
      </c>
      <c r="F946">
        <v>435</v>
      </c>
      <c r="J946" t="s">
        <v>14798</v>
      </c>
    </row>
    <row r="947" spans="3:10">
      <c r="C947">
        <v>39105</v>
      </c>
      <c r="D947" t="s">
        <v>13753</v>
      </c>
      <c r="E947" t="s">
        <v>114</v>
      </c>
      <c r="F947">
        <v>435</v>
      </c>
      <c r="J947" t="s">
        <v>14798</v>
      </c>
    </row>
    <row r="948" spans="3:10">
      <c r="C948">
        <v>39105</v>
      </c>
      <c r="D948" t="s">
        <v>13753</v>
      </c>
      <c r="E948" t="s">
        <v>14799</v>
      </c>
      <c r="F948">
        <v>473</v>
      </c>
      <c r="J948" t="s">
        <v>14800</v>
      </c>
    </row>
    <row r="949" spans="3:10">
      <c r="C949">
        <v>39105</v>
      </c>
      <c r="D949" t="s">
        <v>13753</v>
      </c>
      <c r="E949" t="s">
        <v>14787</v>
      </c>
      <c r="F949" t="s">
        <v>14801</v>
      </c>
      <c r="J949" t="s">
        <v>14796</v>
      </c>
    </row>
    <row r="950" spans="3:10">
      <c r="C950">
        <v>39105</v>
      </c>
      <c r="D950" t="s">
        <v>13753</v>
      </c>
      <c r="E950" t="s">
        <v>13750</v>
      </c>
      <c r="F950">
        <v>857</v>
      </c>
      <c r="J950" t="s">
        <v>14802</v>
      </c>
    </row>
    <row r="951" spans="3:10">
      <c r="C951">
        <v>39105</v>
      </c>
      <c r="D951" t="s">
        <v>13753</v>
      </c>
      <c r="E951" t="s">
        <v>14803</v>
      </c>
      <c r="F951">
        <v>857</v>
      </c>
      <c r="J951" t="s">
        <v>14804</v>
      </c>
    </row>
    <row r="952" spans="3:10">
      <c r="C952">
        <v>39105</v>
      </c>
      <c r="D952" t="s">
        <v>13753</v>
      </c>
      <c r="E952" t="s">
        <v>143</v>
      </c>
      <c r="F952">
        <v>858</v>
      </c>
      <c r="J952" t="s">
        <v>14805</v>
      </c>
    </row>
    <row r="953" spans="3:10">
      <c r="C953">
        <v>39105</v>
      </c>
      <c r="D953" t="s">
        <v>13753</v>
      </c>
      <c r="E953" t="s">
        <v>580</v>
      </c>
      <c r="F953">
        <v>858</v>
      </c>
      <c r="J953" t="s">
        <v>14806</v>
      </c>
    </row>
    <row r="954" spans="3:10">
      <c r="C954">
        <v>39105</v>
      </c>
      <c r="D954" t="s">
        <v>13753</v>
      </c>
      <c r="E954" t="s">
        <v>695</v>
      </c>
      <c r="F954">
        <v>858</v>
      </c>
      <c r="J954" t="s">
        <v>14807</v>
      </c>
    </row>
    <row r="955" spans="3:10">
      <c r="C955">
        <v>39105</v>
      </c>
      <c r="D955" t="s">
        <v>13753</v>
      </c>
      <c r="E955" t="s">
        <v>695</v>
      </c>
      <c r="F955">
        <v>861</v>
      </c>
      <c r="J955" t="s">
        <v>14796</v>
      </c>
    </row>
    <row r="956" spans="3:10">
      <c r="C956">
        <v>39105</v>
      </c>
      <c r="D956" t="s">
        <v>13753</v>
      </c>
      <c r="E956" t="s">
        <v>127</v>
      </c>
      <c r="F956">
        <v>930</v>
      </c>
      <c r="J956" t="s">
        <v>14807</v>
      </c>
    </row>
    <row r="957" spans="3:10">
      <c r="C957">
        <v>39105</v>
      </c>
      <c r="D957" t="s">
        <v>13753</v>
      </c>
      <c r="E957" t="s">
        <v>127</v>
      </c>
      <c r="F957">
        <v>934</v>
      </c>
      <c r="J957" t="s">
        <v>14807</v>
      </c>
    </row>
    <row r="958" spans="3:10">
      <c r="C958">
        <v>39105</v>
      </c>
      <c r="D958" t="s">
        <v>13753</v>
      </c>
      <c r="E958" t="s">
        <v>127</v>
      </c>
      <c r="F958">
        <v>951</v>
      </c>
      <c r="J958" t="s">
        <v>14807</v>
      </c>
    </row>
    <row r="959" spans="3:10">
      <c r="C959">
        <v>39105</v>
      </c>
      <c r="D959" t="s">
        <v>13753</v>
      </c>
      <c r="E959" t="s">
        <v>127</v>
      </c>
      <c r="F959">
        <v>955</v>
      </c>
      <c r="J959" t="s">
        <v>14807</v>
      </c>
    </row>
    <row r="960" spans="3:10">
      <c r="C960">
        <v>39105</v>
      </c>
      <c r="D960" t="s">
        <v>13753</v>
      </c>
      <c r="E960" t="s">
        <v>127</v>
      </c>
      <c r="F960">
        <v>1220</v>
      </c>
      <c r="J960" t="s">
        <v>14807</v>
      </c>
    </row>
    <row r="961" spans="3:10">
      <c r="C961">
        <v>39105</v>
      </c>
      <c r="D961" t="s">
        <v>13753</v>
      </c>
      <c r="E961" t="s">
        <v>127</v>
      </c>
      <c r="F961">
        <v>1224</v>
      </c>
      <c r="J961" t="s">
        <v>14807</v>
      </c>
    </row>
    <row r="962" spans="3:10">
      <c r="C962">
        <v>39105</v>
      </c>
      <c r="D962" t="s">
        <v>13753</v>
      </c>
      <c r="E962" t="s">
        <v>127</v>
      </c>
      <c r="F962">
        <v>1241</v>
      </c>
      <c r="J962" t="s">
        <v>14807</v>
      </c>
    </row>
    <row r="963" spans="3:10">
      <c r="C963">
        <v>39105</v>
      </c>
      <c r="D963" t="s">
        <v>13753</v>
      </c>
      <c r="E963" t="s">
        <v>127</v>
      </c>
      <c r="F963">
        <v>1245</v>
      </c>
      <c r="J963" t="s">
        <v>14807</v>
      </c>
    </row>
    <row r="964" spans="3:10">
      <c r="C964">
        <v>39105</v>
      </c>
      <c r="D964" t="s">
        <v>13753</v>
      </c>
      <c r="E964" t="s">
        <v>127</v>
      </c>
      <c r="F964">
        <v>1558</v>
      </c>
      <c r="J964" t="s">
        <v>14807</v>
      </c>
    </row>
    <row r="965" spans="3:10">
      <c r="C965">
        <v>39105</v>
      </c>
      <c r="D965" t="s">
        <v>13753</v>
      </c>
      <c r="E965" t="s">
        <v>127</v>
      </c>
      <c r="F965">
        <v>1562</v>
      </c>
      <c r="J965" t="s">
        <v>14807</v>
      </c>
    </row>
    <row r="966" spans="3:10">
      <c r="C966">
        <v>39105</v>
      </c>
      <c r="D966" t="s">
        <v>13753</v>
      </c>
      <c r="E966" t="s">
        <v>127</v>
      </c>
      <c r="F966">
        <v>1579</v>
      </c>
      <c r="J966" t="s">
        <v>14807</v>
      </c>
    </row>
    <row r="967" spans="3:10">
      <c r="C967">
        <v>39105</v>
      </c>
      <c r="D967" t="s">
        <v>13753</v>
      </c>
      <c r="E967" t="s">
        <v>127</v>
      </c>
      <c r="F967">
        <v>1583</v>
      </c>
      <c r="J967" t="s">
        <v>14807</v>
      </c>
    </row>
    <row r="968" spans="3:10">
      <c r="C968">
        <v>39105</v>
      </c>
      <c r="D968" t="s">
        <v>13753</v>
      </c>
      <c r="E968" t="s">
        <v>127</v>
      </c>
      <c r="F968">
        <v>1655</v>
      </c>
      <c r="J968" t="s">
        <v>14807</v>
      </c>
    </row>
    <row r="969" spans="3:10">
      <c r="C969">
        <v>39105</v>
      </c>
      <c r="D969" t="s">
        <v>13753</v>
      </c>
      <c r="E969" t="s">
        <v>127</v>
      </c>
      <c r="F969">
        <v>1659</v>
      </c>
      <c r="J969" t="s">
        <v>14807</v>
      </c>
    </row>
    <row r="970" spans="3:10">
      <c r="C970">
        <v>39105</v>
      </c>
      <c r="D970" t="s">
        <v>13753</v>
      </c>
      <c r="E970" t="s">
        <v>127</v>
      </c>
      <c r="F970">
        <v>1676</v>
      </c>
      <c r="J970" t="s">
        <v>14807</v>
      </c>
    </row>
    <row r="971" spans="3:10">
      <c r="C971">
        <v>39105</v>
      </c>
      <c r="D971" t="s">
        <v>13753</v>
      </c>
      <c r="E971" t="s">
        <v>127</v>
      </c>
      <c r="F971">
        <v>1680</v>
      </c>
      <c r="J971" t="s">
        <v>14807</v>
      </c>
    </row>
    <row r="972" spans="3:10">
      <c r="C972">
        <v>39105</v>
      </c>
      <c r="D972" t="s">
        <v>13753</v>
      </c>
      <c r="E972" t="s">
        <v>127</v>
      </c>
      <c r="F972">
        <v>1681</v>
      </c>
      <c r="J972" t="s">
        <v>14807</v>
      </c>
    </row>
    <row r="973" spans="3:10">
      <c r="C973">
        <v>39105</v>
      </c>
      <c r="D973" t="s">
        <v>13753</v>
      </c>
      <c r="E973" t="s">
        <v>114</v>
      </c>
      <c r="F973" t="s">
        <v>14808</v>
      </c>
      <c r="J973" t="s">
        <v>14796</v>
      </c>
    </row>
    <row r="974" spans="3:10">
      <c r="C974">
        <v>39105</v>
      </c>
      <c r="D974" t="s">
        <v>13753</v>
      </c>
      <c r="E974" t="s">
        <v>114</v>
      </c>
      <c r="F974" t="s">
        <v>14809</v>
      </c>
      <c r="J974" t="s">
        <v>14796</v>
      </c>
    </row>
    <row r="975" spans="3:10">
      <c r="C975">
        <v>39105</v>
      </c>
      <c r="D975" t="s">
        <v>13753</v>
      </c>
      <c r="E975" t="s">
        <v>114</v>
      </c>
      <c r="F975" t="s">
        <v>14810</v>
      </c>
      <c r="J975" t="s">
        <v>14796</v>
      </c>
    </row>
    <row r="976" spans="3:10">
      <c r="C976">
        <v>39105</v>
      </c>
      <c r="D976" t="s">
        <v>13753</v>
      </c>
      <c r="E976" t="s">
        <v>114</v>
      </c>
      <c r="F976" t="s">
        <v>14811</v>
      </c>
      <c r="J976" t="s">
        <v>14796</v>
      </c>
    </row>
    <row r="977" spans="3:10">
      <c r="C977">
        <v>39105</v>
      </c>
      <c r="D977" t="s">
        <v>13753</v>
      </c>
      <c r="E977" t="s">
        <v>114</v>
      </c>
      <c r="F977">
        <v>2141</v>
      </c>
      <c r="J977" t="s">
        <v>14796</v>
      </c>
    </row>
    <row r="978" spans="3:10">
      <c r="C978">
        <v>39105</v>
      </c>
      <c r="D978" t="s">
        <v>13753</v>
      </c>
      <c r="E978" t="s">
        <v>114</v>
      </c>
      <c r="F978" t="s">
        <v>14812</v>
      </c>
      <c r="J978" t="s">
        <v>14796</v>
      </c>
    </row>
    <row r="979" spans="3:10">
      <c r="C979">
        <v>39105</v>
      </c>
      <c r="D979" t="s">
        <v>13753</v>
      </c>
      <c r="E979" t="s">
        <v>114</v>
      </c>
      <c r="F979">
        <v>2154</v>
      </c>
      <c r="J979" t="s">
        <v>14796</v>
      </c>
    </row>
    <row r="980" spans="3:10">
      <c r="C980">
        <v>39105</v>
      </c>
      <c r="D980" t="s">
        <v>13753</v>
      </c>
      <c r="E980" t="s">
        <v>114</v>
      </c>
      <c r="F980" t="s">
        <v>14813</v>
      </c>
      <c r="J980" t="s">
        <v>14796</v>
      </c>
    </row>
    <row r="981" spans="3:10">
      <c r="C981">
        <v>39105</v>
      </c>
      <c r="D981" t="s">
        <v>13753</v>
      </c>
      <c r="E981" t="s">
        <v>114</v>
      </c>
      <c r="F981">
        <v>2161</v>
      </c>
      <c r="J981" t="s">
        <v>14796</v>
      </c>
    </row>
    <row r="982" spans="3:10">
      <c r="C982">
        <v>39105</v>
      </c>
      <c r="D982" t="s">
        <v>13753</v>
      </c>
      <c r="E982" t="s">
        <v>114</v>
      </c>
      <c r="F982" t="s">
        <v>14814</v>
      </c>
      <c r="J982" t="s">
        <v>14796</v>
      </c>
    </row>
    <row r="983" spans="3:10">
      <c r="C983">
        <v>39105</v>
      </c>
      <c r="D983" t="s">
        <v>13753</v>
      </c>
      <c r="E983" t="s">
        <v>114</v>
      </c>
      <c r="F983" t="s">
        <v>14815</v>
      </c>
      <c r="J983" t="s">
        <v>14796</v>
      </c>
    </row>
    <row r="984" spans="3:10">
      <c r="C984">
        <v>39105</v>
      </c>
      <c r="D984" t="s">
        <v>13753</v>
      </c>
      <c r="E984" t="s">
        <v>580</v>
      </c>
      <c r="F984">
        <v>2261</v>
      </c>
      <c r="J984" t="s">
        <v>14796</v>
      </c>
    </row>
    <row r="985" spans="3:10">
      <c r="C985">
        <v>39105</v>
      </c>
      <c r="D985" t="s">
        <v>13753</v>
      </c>
      <c r="E985" t="s">
        <v>14816</v>
      </c>
      <c r="F985">
        <v>2267</v>
      </c>
      <c r="J985" t="s">
        <v>14796</v>
      </c>
    </row>
    <row r="986" spans="3:10">
      <c r="C986">
        <v>39105</v>
      </c>
      <c r="D986" t="s">
        <v>13753</v>
      </c>
      <c r="E986" t="s">
        <v>147</v>
      </c>
      <c r="F986">
        <v>2367</v>
      </c>
      <c r="J986" t="s">
        <v>14796</v>
      </c>
    </row>
    <row r="987" spans="3:10">
      <c r="C987">
        <v>39105</v>
      </c>
      <c r="D987" t="s">
        <v>13722</v>
      </c>
      <c r="E987" t="s">
        <v>14817</v>
      </c>
      <c r="F987">
        <v>2155</v>
      </c>
      <c r="J987" t="s">
        <v>14796</v>
      </c>
    </row>
    <row r="988" spans="3:10">
      <c r="C988">
        <v>39105</v>
      </c>
      <c r="D988" t="s">
        <v>13722</v>
      </c>
      <c r="E988" t="s">
        <v>14817</v>
      </c>
      <c r="F988">
        <v>2221</v>
      </c>
      <c r="J988" t="s">
        <v>14796</v>
      </c>
    </row>
    <row r="989" spans="3:10">
      <c r="C989">
        <v>39105</v>
      </c>
      <c r="D989" t="s">
        <v>13722</v>
      </c>
      <c r="E989" t="s">
        <v>13723</v>
      </c>
      <c r="F989">
        <v>2228</v>
      </c>
      <c r="J989" t="s">
        <v>14818</v>
      </c>
    </row>
    <row r="990" spans="3:10">
      <c r="C990">
        <v>39105</v>
      </c>
      <c r="D990" t="s">
        <v>13722</v>
      </c>
      <c r="E990" t="s">
        <v>122</v>
      </c>
      <c r="F990">
        <v>2230</v>
      </c>
      <c r="J990" t="s">
        <v>14819</v>
      </c>
    </row>
    <row r="991" spans="3:10">
      <c r="C991">
        <v>39105</v>
      </c>
      <c r="D991" t="s">
        <v>13722</v>
      </c>
      <c r="E991" t="s">
        <v>13748</v>
      </c>
      <c r="F991">
        <v>2234</v>
      </c>
      <c r="J991" t="s">
        <v>14819</v>
      </c>
    </row>
    <row r="992" spans="3:10">
      <c r="C992">
        <v>39105</v>
      </c>
      <c r="D992" t="s">
        <v>13722</v>
      </c>
      <c r="E992" t="s">
        <v>122</v>
      </c>
      <c r="F992">
        <v>2255</v>
      </c>
      <c r="J992" t="s">
        <v>14796</v>
      </c>
    </row>
    <row r="993" spans="2:16">
      <c r="C993">
        <v>39108</v>
      </c>
      <c r="D993" t="s">
        <v>13740</v>
      </c>
      <c r="E993" t="s">
        <v>122</v>
      </c>
      <c r="F993">
        <v>428</v>
      </c>
      <c r="J993" t="s">
        <v>14820</v>
      </c>
    </row>
    <row r="994" spans="2:16">
      <c r="C994">
        <v>39112</v>
      </c>
      <c r="D994" t="s">
        <v>14005</v>
      </c>
      <c r="E994" t="s">
        <v>14821</v>
      </c>
      <c r="F994">
        <v>7</v>
      </c>
      <c r="J994" t="s">
        <v>14822</v>
      </c>
    </row>
    <row r="995" spans="2:16">
      <c r="C995">
        <v>39113</v>
      </c>
      <c r="D995" t="s">
        <v>13740</v>
      </c>
      <c r="E995" t="s">
        <v>14599</v>
      </c>
      <c r="F995" t="s">
        <v>14823</v>
      </c>
      <c r="J995" t="s">
        <v>14824</v>
      </c>
    </row>
    <row r="996" spans="2:16">
      <c r="B996" t="s">
        <v>14434</v>
      </c>
      <c r="C996">
        <v>39113</v>
      </c>
    </row>
    <row r="997" spans="2:16">
      <c r="B997" t="s">
        <v>14825</v>
      </c>
      <c r="C997">
        <v>39121</v>
      </c>
      <c r="D997" t="s">
        <v>14005</v>
      </c>
      <c r="E997" t="s">
        <v>14826</v>
      </c>
      <c r="F997" t="s">
        <v>14827</v>
      </c>
      <c r="J997" t="s">
        <v>14828</v>
      </c>
    </row>
    <row r="998" spans="2:16">
      <c r="C998">
        <v>39121</v>
      </c>
      <c r="D998" t="s">
        <v>13740</v>
      </c>
      <c r="E998" t="s">
        <v>143</v>
      </c>
      <c r="F998">
        <v>643</v>
      </c>
      <c r="J998" t="s">
        <v>14829</v>
      </c>
    </row>
    <row r="999" spans="2:16">
      <c r="C999">
        <v>39174</v>
      </c>
      <c r="D999" t="s">
        <v>13970</v>
      </c>
      <c r="J999" t="s">
        <v>14830</v>
      </c>
      <c r="P999" t="s">
        <v>14831</v>
      </c>
    </row>
    <row r="1000" spans="2:16">
      <c r="C1000">
        <v>39174</v>
      </c>
      <c r="D1000" t="s">
        <v>14027</v>
      </c>
      <c r="J1000" t="s">
        <v>14830</v>
      </c>
      <c r="P1000" t="s">
        <v>14831</v>
      </c>
    </row>
    <row r="1001" spans="2:16">
      <c r="C1001">
        <v>39177</v>
      </c>
      <c r="D1001" t="s">
        <v>13970</v>
      </c>
      <c r="J1001" t="s">
        <v>14832</v>
      </c>
      <c r="P1001" t="s">
        <v>14831</v>
      </c>
    </row>
    <row r="1002" spans="2:16" ht="13">
      <c r="C1002">
        <v>39177</v>
      </c>
      <c r="D1002" t="s">
        <v>14005</v>
      </c>
      <c r="J1002" t="s">
        <v>14833</v>
      </c>
      <c r="P1002" t="s">
        <v>14831</v>
      </c>
    </row>
    <row r="1003" spans="2:16">
      <c r="C1003">
        <v>39211</v>
      </c>
      <c r="D1003" t="s">
        <v>13970</v>
      </c>
      <c r="E1003" t="s">
        <v>122</v>
      </c>
      <c r="F1003">
        <v>10</v>
      </c>
      <c r="J1003" t="s">
        <v>14834</v>
      </c>
      <c r="P1003" t="s">
        <v>14831</v>
      </c>
    </row>
    <row r="1004" spans="2:16">
      <c r="D1004" t="s">
        <v>14005</v>
      </c>
      <c r="E1004" t="s">
        <v>580</v>
      </c>
      <c r="F1004" t="s">
        <v>14835</v>
      </c>
      <c r="J1004" t="s">
        <v>14836</v>
      </c>
      <c r="P1004" t="s">
        <v>14831</v>
      </c>
    </row>
    <row r="1005" spans="2:16">
      <c r="C1005">
        <v>39227</v>
      </c>
      <c r="D1005" t="s">
        <v>12597</v>
      </c>
      <c r="E1005" t="s">
        <v>14749</v>
      </c>
      <c r="F1005" t="s">
        <v>14837</v>
      </c>
      <c r="J1005" t="s">
        <v>14838</v>
      </c>
      <c r="P1005" t="s">
        <v>14831</v>
      </c>
    </row>
    <row r="1006" spans="2:16">
      <c r="B1006" t="s">
        <v>14839</v>
      </c>
      <c r="C1006">
        <v>39317</v>
      </c>
      <c r="D1006" t="s">
        <v>12597</v>
      </c>
      <c r="J1006" t="s">
        <v>14840</v>
      </c>
      <c r="P1006" t="s">
        <v>14841</v>
      </c>
    </row>
    <row r="1007" spans="2:16">
      <c r="B1007" t="s">
        <v>14842</v>
      </c>
      <c r="C1007">
        <v>39365</v>
      </c>
      <c r="D1007" t="s">
        <v>13722</v>
      </c>
      <c r="E1007" t="s">
        <v>14843</v>
      </c>
      <c r="F1007" t="s">
        <v>14844</v>
      </c>
      <c r="J1007" t="s">
        <v>14845</v>
      </c>
      <c r="P1007" t="s">
        <v>14831</v>
      </c>
    </row>
    <row r="1008" spans="2:16">
      <c r="B1008" t="s">
        <v>14846</v>
      </c>
      <c r="C1008">
        <v>39352</v>
      </c>
      <c r="D1008" t="s">
        <v>14847</v>
      </c>
      <c r="F1008" t="s">
        <v>14848</v>
      </c>
      <c r="J1008" t="s">
        <v>14849</v>
      </c>
      <c r="P1008" t="s">
        <v>14831</v>
      </c>
    </row>
    <row r="1009" spans="2:16">
      <c r="C1009">
        <v>39352</v>
      </c>
      <c r="D1009" t="s">
        <v>12597</v>
      </c>
      <c r="E1009" t="s">
        <v>14749</v>
      </c>
      <c r="F1009">
        <v>170</v>
      </c>
      <c r="J1009" t="s">
        <v>14850</v>
      </c>
      <c r="P1009" t="s">
        <v>14831</v>
      </c>
    </row>
    <row r="1010" spans="2:16">
      <c r="C1010">
        <v>39352</v>
      </c>
      <c r="D1010" t="s">
        <v>12597</v>
      </c>
      <c r="J1010" t="s">
        <v>14851</v>
      </c>
      <c r="P1010" t="s">
        <v>14831</v>
      </c>
    </row>
    <row r="1011" spans="2:16">
      <c r="C1011">
        <v>39352</v>
      </c>
      <c r="D1011" t="s">
        <v>12597</v>
      </c>
      <c r="E1011" t="s">
        <v>14749</v>
      </c>
      <c r="F1011">
        <v>244</v>
      </c>
      <c r="J1011" t="s">
        <v>14852</v>
      </c>
      <c r="P1011" t="s">
        <v>14831</v>
      </c>
    </row>
    <row r="1012" spans="2:16">
      <c r="C1012">
        <v>39357</v>
      </c>
      <c r="D1012" t="s">
        <v>13740</v>
      </c>
      <c r="J1012" t="s">
        <v>14853</v>
      </c>
      <c r="P1012" t="s">
        <v>14831</v>
      </c>
    </row>
    <row r="1013" spans="2:16">
      <c r="C1013">
        <v>39358</v>
      </c>
      <c r="D1013" t="s">
        <v>14027</v>
      </c>
      <c r="E1013" t="s">
        <v>127</v>
      </c>
      <c r="F1013">
        <v>89</v>
      </c>
      <c r="J1013" t="s">
        <v>14854</v>
      </c>
      <c r="P1013" t="s">
        <v>14831</v>
      </c>
    </row>
    <row r="1014" spans="2:16">
      <c r="B1014" t="s">
        <v>14434</v>
      </c>
      <c r="C1014">
        <v>39386</v>
      </c>
    </row>
    <row r="1015" spans="2:16">
      <c r="B1015" t="s">
        <v>14855</v>
      </c>
      <c r="C1015">
        <v>39462</v>
      </c>
      <c r="D1015" t="s">
        <v>12597</v>
      </c>
      <c r="E1015" t="s">
        <v>14856</v>
      </c>
      <c r="J1015" t="s">
        <v>14857</v>
      </c>
      <c r="P1015" t="s">
        <v>14831</v>
      </c>
    </row>
    <row r="1016" spans="2:16">
      <c r="C1016">
        <v>39462</v>
      </c>
      <c r="D1016" t="s">
        <v>13981</v>
      </c>
      <c r="J1016" t="s">
        <v>14858</v>
      </c>
      <c r="P1016" t="s">
        <v>14831</v>
      </c>
    </row>
    <row r="1017" spans="2:16">
      <c r="C1017">
        <v>39462</v>
      </c>
      <c r="D1017" t="s">
        <v>12597</v>
      </c>
      <c r="E1017" t="s">
        <v>14859</v>
      </c>
      <c r="J1017" t="s">
        <v>14860</v>
      </c>
      <c r="P1017" t="s">
        <v>14831</v>
      </c>
    </row>
    <row r="1018" spans="2:16">
      <c r="C1018">
        <v>39462</v>
      </c>
      <c r="D1018" t="s">
        <v>12597</v>
      </c>
      <c r="E1018" t="s">
        <v>14861</v>
      </c>
      <c r="F1018" t="s">
        <v>14862</v>
      </c>
      <c r="J1018" t="s">
        <v>14863</v>
      </c>
      <c r="P1018" t="s">
        <v>14831</v>
      </c>
    </row>
    <row r="1019" spans="2:16">
      <c r="C1019">
        <v>39462</v>
      </c>
      <c r="D1019" t="s">
        <v>12597</v>
      </c>
      <c r="E1019" t="s">
        <v>14864</v>
      </c>
      <c r="J1019" t="s">
        <v>14865</v>
      </c>
      <c r="P1019" t="s">
        <v>14831</v>
      </c>
    </row>
    <row r="1020" spans="2:16">
      <c r="C1020">
        <v>39462</v>
      </c>
      <c r="D1020" t="s">
        <v>12597</v>
      </c>
      <c r="E1020" t="s">
        <v>14859</v>
      </c>
      <c r="J1020" t="s">
        <v>14866</v>
      </c>
      <c r="P1020" t="s">
        <v>14831</v>
      </c>
    </row>
    <row r="1021" spans="2:16">
      <c r="B1021" t="s">
        <v>14867</v>
      </c>
      <c r="C1021">
        <v>39128</v>
      </c>
      <c r="J1021" t="s">
        <v>14868</v>
      </c>
      <c r="P1021" t="s">
        <v>14831</v>
      </c>
    </row>
    <row r="1022" spans="2:16">
      <c r="B1022" t="s">
        <v>14434</v>
      </c>
    </row>
    <row r="1023" spans="2:16">
      <c r="B1023" t="s">
        <v>14869</v>
      </c>
      <c r="C1023">
        <v>39736</v>
      </c>
      <c r="D1023" t="s">
        <v>13713</v>
      </c>
      <c r="F1023">
        <v>93</v>
      </c>
      <c r="J1023" t="s">
        <v>14870</v>
      </c>
      <c r="P1023" t="s">
        <v>14831</v>
      </c>
    </row>
    <row r="1024" spans="2:16">
      <c r="C1024">
        <v>39736</v>
      </c>
      <c r="D1024" t="s">
        <v>13753</v>
      </c>
      <c r="E1024" t="s">
        <v>157</v>
      </c>
      <c r="F1024">
        <v>103</v>
      </c>
      <c r="J1024" t="s">
        <v>14871</v>
      </c>
      <c r="P1024" t="s">
        <v>14831</v>
      </c>
    </row>
    <row r="1025" spans="2:16">
      <c r="C1025">
        <v>39736</v>
      </c>
      <c r="D1025" t="s">
        <v>13740</v>
      </c>
      <c r="J1025" t="s">
        <v>14872</v>
      </c>
      <c r="P1025" t="s">
        <v>14831</v>
      </c>
    </row>
    <row r="1026" spans="2:16" ht="13">
      <c r="C1026">
        <v>39758</v>
      </c>
      <c r="D1026" t="s">
        <v>13740</v>
      </c>
      <c r="E1026" t="s">
        <v>14787</v>
      </c>
      <c r="F1026" t="s">
        <v>14873</v>
      </c>
      <c r="J1026" t="s">
        <v>14874</v>
      </c>
      <c r="P1026" t="s">
        <v>14831</v>
      </c>
    </row>
    <row r="1027" spans="2:16">
      <c r="B1027" t="s">
        <v>14434</v>
      </c>
      <c r="C1027">
        <v>39758</v>
      </c>
    </row>
    <row r="1028" spans="2:16">
      <c r="B1028" t="s">
        <v>14875</v>
      </c>
      <c r="C1028">
        <v>39818</v>
      </c>
      <c r="D1028" t="s">
        <v>13722</v>
      </c>
      <c r="J1028" t="s">
        <v>14876</v>
      </c>
      <c r="P1028" t="s">
        <v>14831</v>
      </c>
    </row>
    <row r="1029" spans="2:16">
      <c r="C1029">
        <v>39818</v>
      </c>
      <c r="D1029" t="s">
        <v>13740</v>
      </c>
      <c r="J1029" t="s">
        <v>14877</v>
      </c>
      <c r="P1029" t="s">
        <v>14831</v>
      </c>
    </row>
    <row r="1030" spans="2:16">
      <c r="C1030">
        <v>39818</v>
      </c>
      <c r="D1030" t="s">
        <v>13740</v>
      </c>
      <c r="E1030" t="s">
        <v>14787</v>
      </c>
      <c r="F1030" t="s">
        <v>14873</v>
      </c>
      <c r="J1030" t="s">
        <v>14878</v>
      </c>
      <c r="P1030" t="s">
        <v>14831</v>
      </c>
    </row>
    <row r="1031" spans="2:16">
      <c r="C1031">
        <v>39840</v>
      </c>
      <c r="D1031" t="s">
        <v>13753</v>
      </c>
      <c r="F1031">
        <v>78</v>
      </c>
      <c r="J1031" t="s">
        <v>14879</v>
      </c>
      <c r="P1031" t="s">
        <v>14831</v>
      </c>
    </row>
    <row r="1032" spans="2:16">
      <c r="C1032">
        <v>39840</v>
      </c>
      <c r="D1032" t="s">
        <v>13753</v>
      </c>
      <c r="F1032" t="s">
        <v>14880</v>
      </c>
      <c r="J1032" t="s">
        <v>14881</v>
      </c>
      <c r="P1032" t="s">
        <v>14831</v>
      </c>
    </row>
    <row r="1033" spans="2:16">
      <c r="C1033">
        <v>39840</v>
      </c>
      <c r="D1033" t="s">
        <v>13753</v>
      </c>
      <c r="F1033">
        <v>104107</v>
      </c>
      <c r="J1033" t="s">
        <v>14882</v>
      </c>
      <c r="P1033" t="s">
        <v>14831</v>
      </c>
    </row>
    <row r="1034" spans="2:16">
      <c r="C1034">
        <v>39840</v>
      </c>
      <c r="D1034" t="s">
        <v>13713</v>
      </c>
      <c r="F1034">
        <v>95</v>
      </c>
      <c r="J1034" t="s">
        <v>14883</v>
      </c>
      <c r="P1034" t="s">
        <v>14831</v>
      </c>
    </row>
    <row r="1035" spans="2:16">
      <c r="C1035">
        <v>39840</v>
      </c>
      <c r="D1035" t="s">
        <v>13713</v>
      </c>
      <c r="F1035">
        <v>85</v>
      </c>
      <c r="J1035" t="s">
        <v>14884</v>
      </c>
      <c r="P1035" t="s">
        <v>14831</v>
      </c>
    </row>
    <row r="1036" spans="2:16">
      <c r="C1036">
        <v>39841</v>
      </c>
      <c r="D1036" t="s">
        <v>13713</v>
      </c>
      <c r="F1036">
        <v>96</v>
      </c>
      <c r="J1036" t="s">
        <v>14885</v>
      </c>
      <c r="P1036" t="s">
        <v>14831</v>
      </c>
    </row>
    <row r="1037" spans="2:16">
      <c r="B1037" t="s">
        <v>14434</v>
      </c>
      <c r="C1037">
        <v>39844</v>
      </c>
    </row>
    <row r="1038" spans="2:16">
      <c r="B1038" t="s">
        <v>14886</v>
      </c>
      <c r="C1038">
        <v>39864</v>
      </c>
      <c r="D1038" t="s">
        <v>13740</v>
      </c>
      <c r="E1038" t="s">
        <v>157</v>
      </c>
      <c r="F1038">
        <v>8</v>
      </c>
      <c r="J1038" t="s">
        <v>14887</v>
      </c>
      <c r="P1038" t="s">
        <v>14831</v>
      </c>
    </row>
    <row r="1039" spans="2:16">
      <c r="B1039" t="s">
        <v>14434</v>
      </c>
    </row>
    <row r="1040" spans="2:16">
      <c r="B1040" t="s">
        <v>14888</v>
      </c>
      <c r="C1040">
        <v>40050</v>
      </c>
      <c r="D1040" t="s">
        <v>12597</v>
      </c>
      <c r="J1040" t="s">
        <v>14889</v>
      </c>
      <c r="P1040" t="s">
        <v>14831</v>
      </c>
    </row>
    <row r="1041" spans="2:16">
      <c r="B1041" t="s">
        <v>14434</v>
      </c>
    </row>
    <row r="1042" spans="2:16">
      <c r="B1042" t="s">
        <v>14890</v>
      </c>
      <c r="C1042">
        <v>40147</v>
      </c>
      <c r="D1042" t="s">
        <v>13740</v>
      </c>
      <c r="J1042" t="s">
        <v>14877</v>
      </c>
      <c r="P1042" t="s">
        <v>14831</v>
      </c>
    </row>
    <row r="1043" spans="2:16">
      <c r="C1043">
        <v>40147</v>
      </c>
      <c r="D1043" t="s">
        <v>13740</v>
      </c>
      <c r="J1043" t="s">
        <v>14891</v>
      </c>
      <c r="P1043" t="s">
        <v>14831</v>
      </c>
    </row>
    <row r="1044" spans="2:16">
      <c r="B1044" t="s">
        <v>14434</v>
      </c>
      <c r="C1044">
        <v>40147</v>
      </c>
    </row>
    <row r="1045" spans="2:16">
      <c r="B1045" t="s">
        <v>14892</v>
      </c>
    </row>
    <row r="1046" spans="2:16">
      <c r="C1046">
        <v>40193</v>
      </c>
      <c r="D1046" t="s">
        <v>13753</v>
      </c>
      <c r="E1046" t="s">
        <v>143</v>
      </c>
      <c r="F1046" t="s">
        <v>14893</v>
      </c>
      <c r="J1046" t="s">
        <v>14894</v>
      </c>
      <c r="P1046" t="s">
        <v>14895</v>
      </c>
    </row>
    <row r="1047" spans="2:16">
      <c r="B1047" t="s">
        <v>14896</v>
      </c>
    </row>
    <row r="1048" spans="2:16">
      <c r="C1048">
        <v>40259</v>
      </c>
      <c r="D1048" t="s">
        <v>13740</v>
      </c>
      <c r="E1048" t="s">
        <v>14897</v>
      </c>
      <c r="F1048">
        <v>511</v>
      </c>
      <c r="J1048" t="s">
        <v>14898</v>
      </c>
      <c r="P1048" t="s">
        <v>14895</v>
      </c>
    </row>
    <row r="1049" spans="2:16">
      <c r="B1049" t="s">
        <v>14899</v>
      </c>
    </row>
    <row r="1050" spans="2:16">
      <c r="C1050">
        <v>40294</v>
      </c>
      <c r="J1050" t="s">
        <v>14900</v>
      </c>
      <c r="P1050" t="s">
        <v>14895</v>
      </c>
    </row>
    <row r="1051" spans="2:16">
      <c r="C1051">
        <v>40294</v>
      </c>
      <c r="D1051" t="s">
        <v>13740</v>
      </c>
      <c r="E1051" t="s">
        <v>14901</v>
      </c>
      <c r="F1051" t="s">
        <v>14902</v>
      </c>
      <c r="J1051" t="s">
        <v>14903</v>
      </c>
      <c r="P1051" t="s">
        <v>14895</v>
      </c>
    </row>
    <row r="1052" spans="2:16">
      <c r="B1052" t="s">
        <v>14434</v>
      </c>
    </row>
    <row r="1053" spans="2:16">
      <c r="B1053" t="s">
        <v>14904</v>
      </c>
      <c r="C1053">
        <v>40436</v>
      </c>
      <c r="D1053" t="s">
        <v>12597</v>
      </c>
      <c r="E1053" t="s">
        <v>14749</v>
      </c>
      <c r="J1053" t="s">
        <v>14905</v>
      </c>
      <c r="P1053" t="s">
        <v>14906</v>
      </c>
    </row>
    <row r="1054" spans="2:16">
      <c r="B1054" t="s">
        <v>14434</v>
      </c>
    </row>
    <row r="1055" spans="2:16">
      <c r="B1055" t="s">
        <v>14907</v>
      </c>
      <c r="C1055">
        <v>40497</v>
      </c>
      <c r="D1055" t="s">
        <v>13740</v>
      </c>
      <c r="E1055" t="s">
        <v>14908</v>
      </c>
      <c r="F1055">
        <v>3</v>
      </c>
      <c r="G1055" t="s">
        <v>14909</v>
      </c>
      <c r="J1055" t="s">
        <v>14910</v>
      </c>
      <c r="P1055" t="s">
        <v>14906</v>
      </c>
    </row>
    <row r="1056" spans="2:16">
      <c r="C1056">
        <v>40497</v>
      </c>
      <c r="D1056" t="s">
        <v>13740</v>
      </c>
      <c r="E1056" t="s">
        <v>14908</v>
      </c>
      <c r="F1056">
        <v>28</v>
      </c>
      <c r="G1056" t="s">
        <v>14909</v>
      </c>
      <c r="J1056" t="s">
        <v>14911</v>
      </c>
      <c r="P1056" t="s">
        <v>14906</v>
      </c>
    </row>
    <row r="1057" spans="3:16">
      <c r="C1057">
        <v>40497</v>
      </c>
      <c r="D1057" t="s">
        <v>13740</v>
      </c>
      <c r="E1057" t="s">
        <v>14908</v>
      </c>
      <c r="F1057">
        <v>155</v>
      </c>
      <c r="G1057" t="s">
        <v>14909</v>
      </c>
      <c r="J1057" t="s">
        <v>14912</v>
      </c>
      <c r="P1057" t="s">
        <v>14906</v>
      </c>
    </row>
    <row r="1058" spans="3:16">
      <c r="C1058">
        <v>40497</v>
      </c>
      <c r="D1058" t="s">
        <v>13740</v>
      </c>
      <c r="E1058" t="s">
        <v>157</v>
      </c>
      <c r="F1058">
        <v>35</v>
      </c>
      <c r="G1058" t="s">
        <v>14909</v>
      </c>
      <c r="J1058" t="s">
        <v>14913</v>
      </c>
      <c r="P1058" t="s">
        <v>14906</v>
      </c>
    </row>
    <row r="1059" spans="3:16">
      <c r="C1059">
        <v>40497</v>
      </c>
      <c r="D1059" t="s">
        <v>13740</v>
      </c>
      <c r="E1059" t="s">
        <v>157</v>
      </c>
      <c r="F1059">
        <v>86</v>
      </c>
      <c r="G1059" t="s">
        <v>14909</v>
      </c>
      <c r="J1059" t="s">
        <v>14914</v>
      </c>
      <c r="P1059" t="s">
        <v>14906</v>
      </c>
    </row>
    <row r="1060" spans="3:16">
      <c r="C1060">
        <v>40497</v>
      </c>
      <c r="D1060" t="s">
        <v>13740</v>
      </c>
      <c r="E1060" t="s">
        <v>14908</v>
      </c>
      <c r="F1060" t="s">
        <v>14915</v>
      </c>
      <c r="G1060" t="s">
        <v>14909</v>
      </c>
      <c r="J1060" t="s">
        <v>14916</v>
      </c>
      <c r="P1060" t="s">
        <v>14906</v>
      </c>
    </row>
    <row r="1061" spans="3:16">
      <c r="C1061">
        <v>40497</v>
      </c>
      <c r="D1061" t="s">
        <v>13740</v>
      </c>
      <c r="E1061" t="s">
        <v>14908</v>
      </c>
      <c r="F1061" t="s">
        <v>14917</v>
      </c>
      <c r="G1061" t="s">
        <v>14909</v>
      </c>
      <c r="J1061" t="s">
        <v>14918</v>
      </c>
      <c r="P1061" t="s">
        <v>14906</v>
      </c>
    </row>
    <row r="1062" spans="3:16">
      <c r="C1062">
        <v>40497</v>
      </c>
      <c r="D1062" t="s">
        <v>13740</v>
      </c>
      <c r="E1062" t="s">
        <v>14908</v>
      </c>
      <c r="F1062" t="s">
        <v>14919</v>
      </c>
      <c r="G1062" t="s">
        <v>14909</v>
      </c>
      <c r="J1062" t="s">
        <v>14920</v>
      </c>
      <c r="P1062" t="s">
        <v>14906</v>
      </c>
    </row>
    <row r="1063" spans="3:16">
      <c r="C1063">
        <v>40497</v>
      </c>
      <c r="D1063" t="s">
        <v>13740</v>
      </c>
      <c r="E1063" t="s">
        <v>14908</v>
      </c>
      <c r="F1063">
        <v>506</v>
      </c>
      <c r="G1063" t="s">
        <v>14909</v>
      </c>
      <c r="J1063" t="s">
        <v>14921</v>
      </c>
      <c r="P1063" t="s">
        <v>14906</v>
      </c>
    </row>
    <row r="1064" spans="3:16">
      <c r="C1064">
        <v>40497</v>
      </c>
      <c r="D1064" t="s">
        <v>13740</v>
      </c>
      <c r="E1064" t="s">
        <v>14908</v>
      </c>
      <c r="F1064">
        <v>510</v>
      </c>
      <c r="G1064" t="s">
        <v>14909</v>
      </c>
      <c r="J1064" t="s">
        <v>14922</v>
      </c>
      <c r="P1064" t="s">
        <v>14906</v>
      </c>
    </row>
    <row r="1065" spans="3:16">
      <c r="C1065">
        <v>40497</v>
      </c>
      <c r="D1065" t="s">
        <v>13740</v>
      </c>
      <c r="E1065" t="s">
        <v>14908</v>
      </c>
      <c r="F1065">
        <v>515</v>
      </c>
      <c r="G1065" t="s">
        <v>14909</v>
      </c>
      <c r="J1065" t="s">
        <v>14923</v>
      </c>
      <c r="P1065" t="s">
        <v>14906</v>
      </c>
    </row>
    <row r="1066" spans="3:16">
      <c r="C1066">
        <v>40497</v>
      </c>
      <c r="D1066" t="s">
        <v>13740</v>
      </c>
      <c r="E1066" t="s">
        <v>14908</v>
      </c>
      <c r="F1066">
        <v>516</v>
      </c>
      <c r="G1066" t="s">
        <v>14909</v>
      </c>
      <c r="J1066" t="s">
        <v>14923</v>
      </c>
      <c r="P1066" t="s">
        <v>14906</v>
      </c>
    </row>
    <row r="1067" spans="3:16">
      <c r="C1067">
        <v>40497</v>
      </c>
      <c r="D1067" t="s">
        <v>13740</v>
      </c>
      <c r="E1067" t="s">
        <v>14908</v>
      </c>
      <c r="F1067">
        <v>528</v>
      </c>
      <c r="G1067" t="s">
        <v>14909</v>
      </c>
      <c r="J1067" t="s">
        <v>14923</v>
      </c>
      <c r="P1067" t="s">
        <v>14906</v>
      </c>
    </row>
    <row r="1068" spans="3:16">
      <c r="C1068">
        <v>40497</v>
      </c>
      <c r="D1068" t="s">
        <v>13740</v>
      </c>
      <c r="E1068" t="s">
        <v>14908</v>
      </c>
      <c r="F1068">
        <v>533</v>
      </c>
      <c r="G1068" t="s">
        <v>14909</v>
      </c>
      <c r="J1068" t="s">
        <v>14924</v>
      </c>
      <c r="P1068" t="s">
        <v>14906</v>
      </c>
    </row>
    <row r="1069" spans="3:16">
      <c r="C1069">
        <v>40497</v>
      </c>
      <c r="D1069" t="s">
        <v>13740</v>
      </c>
      <c r="E1069" t="s">
        <v>14908</v>
      </c>
      <c r="F1069">
        <v>535</v>
      </c>
      <c r="G1069" t="s">
        <v>14909</v>
      </c>
      <c r="J1069" t="s">
        <v>14925</v>
      </c>
      <c r="P1069" t="s">
        <v>14906</v>
      </c>
    </row>
    <row r="1070" spans="3:16">
      <c r="C1070">
        <v>40497</v>
      </c>
      <c r="D1070" t="s">
        <v>13740</v>
      </c>
      <c r="E1070" t="s">
        <v>14908</v>
      </c>
      <c r="F1070">
        <v>536</v>
      </c>
      <c r="G1070" t="s">
        <v>14909</v>
      </c>
      <c r="J1070" t="s">
        <v>14923</v>
      </c>
      <c r="P1070" t="s">
        <v>14906</v>
      </c>
    </row>
    <row r="1071" spans="3:16">
      <c r="C1071">
        <v>40497</v>
      </c>
      <c r="D1071" t="s">
        <v>13740</v>
      </c>
      <c r="E1071" t="s">
        <v>14908</v>
      </c>
      <c r="F1071">
        <v>538</v>
      </c>
      <c r="G1071" t="s">
        <v>14909</v>
      </c>
      <c r="J1071" t="s">
        <v>14923</v>
      </c>
      <c r="P1071" t="s">
        <v>14906</v>
      </c>
    </row>
    <row r="1072" spans="3:16">
      <c r="C1072">
        <v>40504</v>
      </c>
      <c r="D1072" t="s">
        <v>13740</v>
      </c>
      <c r="E1072" t="s">
        <v>14926</v>
      </c>
      <c r="F1072">
        <v>505</v>
      </c>
      <c r="G1072" t="s">
        <v>14909</v>
      </c>
      <c r="J1072" t="s">
        <v>14927</v>
      </c>
      <c r="P1072" t="s">
        <v>14906</v>
      </c>
    </row>
    <row r="1073" spans="2:16">
      <c r="C1073">
        <v>40504</v>
      </c>
      <c r="D1073" t="s">
        <v>13740</v>
      </c>
      <c r="E1073" t="s">
        <v>14926</v>
      </c>
      <c r="F1073">
        <v>524</v>
      </c>
      <c r="G1073" t="s">
        <v>14909</v>
      </c>
      <c r="J1073" t="s">
        <v>14928</v>
      </c>
      <c r="P1073" t="s">
        <v>14906</v>
      </c>
    </row>
    <row r="1074" spans="2:16">
      <c r="C1074">
        <v>40566</v>
      </c>
      <c r="D1074" t="s">
        <v>13740</v>
      </c>
      <c r="E1074" t="s">
        <v>14908</v>
      </c>
      <c r="F1074">
        <v>5</v>
      </c>
      <c r="G1074" t="s">
        <v>14909</v>
      </c>
      <c r="J1074" t="s">
        <v>14929</v>
      </c>
      <c r="P1074" t="s">
        <v>14906</v>
      </c>
    </row>
    <row r="1075" spans="2:16">
      <c r="C1075">
        <v>40566</v>
      </c>
      <c r="D1075" t="s">
        <v>13740</v>
      </c>
      <c r="E1075" t="s">
        <v>14908</v>
      </c>
      <c r="F1075">
        <v>7</v>
      </c>
      <c r="G1075" t="s">
        <v>14909</v>
      </c>
      <c r="J1075" t="s">
        <v>14930</v>
      </c>
      <c r="P1075" t="s">
        <v>14906</v>
      </c>
    </row>
    <row r="1076" spans="2:16">
      <c r="C1076">
        <v>40566</v>
      </c>
      <c r="D1076" t="s">
        <v>13740</v>
      </c>
      <c r="E1076" t="s">
        <v>14908</v>
      </c>
      <c r="F1076">
        <v>518</v>
      </c>
      <c r="G1076" t="s">
        <v>14931</v>
      </c>
      <c r="J1076" t="s">
        <v>14932</v>
      </c>
      <c r="P1076" t="s">
        <v>14906</v>
      </c>
    </row>
    <row r="1077" spans="2:16">
      <c r="B1077" t="s">
        <v>14434</v>
      </c>
    </row>
    <row r="1078" spans="2:16">
      <c r="B1078" t="s">
        <v>14933</v>
      </c>
      <c r="C1078">
        <v>40598</v>
      </c>
      <c r="D1078" t="s">
        <v>12597</v>
      </c>
      <c r="E1078" t="s">
        <v>14934</v>
      </c>
      <c r="J1078" t="s">
        <v>14935</v>
      </c>
      <c r="P1078" t="s">
        <v>14906</v>
      </c>
    </row>
    <row r="1079" spans="2:16">
      <c r="C1079">
        <v>40598</v>
      </c>
      <c r="D1079" t="s">
        <v>14936</v>
      </c>
      <c r="J1079" t="s">
        <v>14937</v>
      </c>
      <c r="P1079" t="s">
        <v>14906</v>
      </c>
    </row>
    <row r="1080" spans="2:16">
      <c r="C1080">
        <v>40598</v>
      </c>
      <c r="D1080" t="s">
        <v>12597</v>
      </c>
      <c r="E1080" t="s">
        <v>14859</v>
      </c>
      <c r="F1080" t="s">
        <v>14938</v>
      </c>
      <c r="J1080" t="s">
        <v>14939</v>
      </c>
      <c r="P1080" t="s">
        <v>14906</v>
      </c>
    </row>
    <row r="1081" spans="2:16">
      <c r="C1081">
        <v>40598</v>
      </c>
      <c r="D1081" t="s">
        <v>12597</v>
      </c>
      <c r="E1081" t="s">
        <v>14940</v>
      </c>
      <c r="F1081" t="s">
        <v>14941</v>
      </c>
      <c r="J1081" t="s">
        <v>14942</v>
      </c>
      <c r="P1081" t="s">
        <v>14906</v>
      </c>
    </row>
    <row r="1082" spans="2:16">
      <c r="C1082">
        <v>40598</v>
      </c>
      <c r="D1082" t="s">
        <v>12597</v>
      </c>
      <c r="E1082" t="s">
        <v>14943</v>
      </c>
      <c r="F1082" t="s">
        <v>14944</v>
      </c>
      <c r="J1082" t="s">
        <v>14945</v>
      </c>
      <c r="P1082" t="s">
        <v>14906</v>
      </c>
    </row>
    <row r="1083" spans="2:16">
      <c r="C1083">
        <v>40598</v>
      </c>
      <c r="D1083" t="s">
        <v>12597</v>
      </c>
      <c r="E1083" t="s">
        <v>14749</v>
      </c>
      <c r="F1083" t="s">
        <v>14946</v>
      </c>
      <c r="J1083" t="s">
        <v>14947</v>
      </c>
      <c r="P1083" t="s">
        <v>14906</v>
      </c>
    </row>
    <row r="1084" spans="2:16">
      <c r="C1084">
        <v>40598</v>
      </c>
      <c r="D1084" t="s">
        <v>12597</v>
      </c>
      <c r="E1084" t="s">
        <v>14749</v>
      </c>
      <c r="F1084" t="s">
        <v>14946</v>
      </c>
      <c r="J1084" t="s">
        <v>14948</v>
      </c>
      <c r="P1084" t="s">
        <v>14906</v>
      </c>
    </row>
    <row r="1085" spans="2:16">
      <c r="C1085">
        <v>40598</v>
      </c>
      <c r="D1085" t="s">
        <v>12597</v>
      </c>
      <c r="E1085" t="s">
        <v>14749</v>
      </c>
      <c r="J1085" t="s">
        <v>14949</v>
      </c>
      <c r="P1085" t="s">
        <v>14906</v>
      </c>
    </row>
    <row r="1086" spans="2:16">
      <c r="C1086">
        <v>40598</v>
      </c>
      <c r="D1086" t="s">
        <v>12597</v>
      </c>
      <c r="E1086" t="s">
        <v>14749</v>
      </c>
      <c r="F1086" t="s">
        <v>14946</v>
      </c>
      <c r="J1086" t="s">
        <v>14950</v>
      </c>
      <c r="P1086" t="s">
        <v>14906</v>
      </c>
    </row>
    <row r="1087" spans="2:16">
      <c r="C1087">
        <v>40598</v>
      </c>
      <c r="D1087" t="s">
        <v>12597</v>
      </c>
      <c r="E1087" t="s">
        <v>14749</v>
      </c>
      <c r="F1087" t="s">
        <v>14946</v>
      </c>
      <c r="J1087" t="s">
        <v>14951</v>
      </c>
      <c r="P1087" t="s">
        <v>14906</v>
      </c>
    </row>
    <row r="1088" spans="2:16">
      <c r="C1088">
        <v>40598</v>
      </c>
      <c r="D1088" t="s">
        <v>12597</v>
      </c>
      <c r="E1088" t="s">
        <v>14749</v>
      </c>
      <c r="F1088" t="s">
        <v>14946</v>
      </c>
      <c r="J1088" t="s">
        <v>14952</v>
      </c>
      <c r="P1088" t="s">
        <v>14906</v>
      </c>
    </row>
    <row r="1089" spans="3:16">
      <c r="C1089">
        <v>40598</v>
      </c>
      <c r="D1089" t="s">
        <v>12597</v>
      </c>
      <c r="E1089" t="s">
        <v>14749</v>
      </c>
      <c r="F1089" t="s">
        <v>14946</v>
      </c>
      <c r="J1089" t="s">
        <v>14953</v>
      </c>
      <c r="P1089" t="s">
        <v>14906</v>
      </c>
    </row>
    <row r="1090" spans="3:16">
      <c r="C1090">
        <v>40598</v>
      </c>
      <c r="D1090" t="s">
        <v>12597</v>
      </c>
      <c r="E1090" t="s">
        <v>14749</v>
      </c>
      <c r="F1090" t="s">
        <v>14946</v>
      </c>
      <c r="J1090" t="s">
        <v>14954</v>
      </c>
      <c r="P1090" t="s">
        <v>14906</v>
      </c>
    </row>
    <row r="1091" spans="3:16">
      <c r="C1091">
        <v>40598</v>
      </c>
      <c r="D1091" t="s">
        <v>12597</v>
      </c>
      <c r="E1091" t="s">
        <v>14749</v>
      </c>
      <c r="F1091" t="s">
        <v>14946</v>
      </c>
      <c r="J1091" t="s">
        <v>14955</v>
      </c>
      <c r="P1091" t="s">
        <v>14906</v>
      </c>
    </row>
    <row r="1092" spans="3:16">
      <c r="C1092">
        <v>40598</v>
      </c>
      <c r="D1092" t="s">
        <v>12597</v>
      </c>
      <c r="E1092" t="s">
        <v>14749</v>
      </c>
      <c r="F1092" t="s">
        <v>14956</v>
      </c>
      <c r="J1092" t="s">
        <v>14957</v>
      </c>
      <c r="P1092" t="s">
        <v>14906</v>
      </c>
    </row>
    <row r="1093" spans="3:16">
      <c r="C1093">
        <v>40598</v>
      </c>
      <c r="D1093" t="s">
        <v>12597</v>
      </c>
      <c r="E1093" t="s">
        <v>14749</v>
      </c>
      <c r="F1093" t="s">
        <v>14956</v>
      </c>
      <c r="J1093" t="s">
        <v>14958</v>
      </c>
      <c r="P1093" t="s">
        <v>14906</v>
      </c>
    </row>
    <row r="1094" spans="3:16">
      <c r="C1094">
        <v>40598</v>
      </c>
      <c r="D1094" t="s">
        <v>12597</v>
      </c>
      <c r="E1094" t="s">
        <v>14749</v>
      </c>
      <c r="F1094" t="s">
        <v>14956</v>
      </c>
      <c r="J1094" t="s">
        <v>14959</v>
      </c>
      <c r="P1094" t="s">
        <v>14906</v>
      </c>
    </row>
    <row r="1095" spans="3:16">
      <c r="C1095">
        <v>40599</v>
      </c>
      <c r="D1095" t="s">
        <v>12597</v>
      </c>
      <c r="E1095" t="s">
        <v>14749</v>
      </c>
      <c r="J1095" t="s">
        <v>14960</v>
      </c>
      <c r="P1095" t="s">
        <v>14906</v>
      </c>
    </row>
    <row r="1096" spans="3:16">
      <c r="C1096">
        <v>40599</v>
      </c>
      <c r="D1096" t="s">
        <v>12597</v>
      </c>
      <c r="E1096" t="s">
        <v>14859</v>
      </c>
      <c r="J1096" t="s">
        <v>14961</v>
      </c>
      <c r="P1096" t="s">
        <v>14906</v>
      </c>
    </row>
    <row r="1097" spans="3:16">
      <c r="C1097">
        <v>40599</v>
      </c>
      <c r="D1097" t="s">
        <v>12597</v>
      </c>
      <c r="E1097" t="s">
        <v>14859</v>
      </c>
      <c r="F1097" t="s">
        <v>14962</v>
      </c>
      <c r="J1097" t="s">
        <v>14963</v>
      </c>
      <c r="P1097" t="s">
        <v>14906</v>
      </c>
    </row>
    <row r="1098" spans="3:16">
      <c r="C1098">
        <v>40599</v>
      </c>
      <c r="D1098" t="s">
        <v>12597</v>
      </c>
      <c r="E1098" t="s">
        <v>14859</v>
      </c>
      <c r="J1098" t="s">
        <v>14964</v>
      </c>
      <c r="P1098" t="s">
        <v>14906</v>
      </c>
    </row>
    <row r="1099" spans="3:16">
      <c r="C1099">
        <v>40599</v>
      </c>
      <c r="D1099" t="s">
        <v>12597</v>
      </c>
      <c r="E1099" t="s">
        <v>14859</v>
      </c>
      <c r="F1099" t="s">
        <v>14965</v>
      </c>
      <c r="J1099" t="s">
        <v>14966</v>
      </c>
      <c r="P1099" t="s">
        <v>14906</v>
      </c>
    </row>
    <row r="1100" spans="3:16">
      <c r="C1100">
        <v>40599</v>
      </c>
      <c r="D1100" t="s">
        <v>12597</v>
      </c>
      <c r="E1100" t="s">
        <v>14859</v>
      </c>
      <c r="F1100" t="s">
        <v>14967</v>
      </c>
      <c r="J1100" t="s">
        <v>14968</v>
      </c>
      <c r="P1100" t="s">
        <v>14906</v>
      </c>
    </row>
    <row r="1101" spans="3:16">
      <c r="C1101">
        <v>40599</v>
      </c>
      <c r="D1101" t="s">
        <v>12597</v>
      </c>
      <c r="E1101" t="s">
        <v>14859</v>
      </c>
      <c r="F1101" t="s">
        <v>14969</v>
      </c>
      <c r="J1101" t="s">
        <v>14970</v>
      </c>
      <c r="P1101" t="s">
        <v>14906</v>
      </c>
    </row>
    <row r="1102" spans="3:16">
      <c r="C1102">
        <v>40599</v>
      </c>
      <c r="D1102" t="s">
        <v>12597</v>
      </c>
      <c r="E1102" t="s">
        <v>14749</v>
      </c>
      <c r="F1102" t="s">
        <v>14971</v>
      </c>
      <c r="J1102" t="s">
        <v>14972</v>
      </c>
      <c r="P1102" t="s">
        <v>14906</v>
      </c>
    </row>
    <row r="1103" spans="3:16">
      <c r="C1103">
        <v>40599</v>
      </c>
      <c r="D1103" t="s">
        <v>12597</v>
      </c>
      <c r="E1103" t="s">
        <v>14749</v>
      </c>
      <c r="F1103" t="s">
        <v>14971</v>
      </c>
      <c r="J1103" t="s">
        <v>14973</v>
      </c>
      <c r="P1103" t="s">
        <v>14906</v>
      </c>
    </row>
    <row r="1104" spans="3:16">
      <c r="C1104">
        <v>40599</v>
      </c>
      <c r="D1104" t="s">
        <v>12597</v>
      </c>
      <c r="E1104" t="s">
        <v>14749</v>
      </c>
      <c r="F1104" t="s">
        <v>14971</v>
      </c>
      <c r="J1104" t="s">
        <v>14974</v>
      </c>
      <c r="P1104" t="s">
        <v>14906</v>
      </c>
    </row>
    <row r="1105" spans="3:16">
      <c r="C1105">
        <v>40599</v>
      </c>
      <c r="D1105" t="s">
        <v>12597</v>
      </c>
      <c r="E1105" t="s">
        <v>14749</v>
      </c>
      <c r="F1105" t="s">
        <v>14971</v>
      </c>
      <c r="J1105" t="s">
        <v>14975</v>
      </c>
      <c r="P1105" t="s">
        <v>14906</v>
      </c>
    </row>
    <row r="1106" spans="3:16">
      <c r="C1106">
        <v>40599</v>
      </c>
      <c r="D1106" t="s">
        <v>12597</v>
      </c>
      <c r="E1106" t="s">
        <v>14976</v>
      </c>
      <c r="F1106" t="s">
        <v>14977</v>
      </c>
      <c r="J1106" t="s">
        <v>14978</v>
      </c>
      <c r="P1106" t="s">
        <v>14906</v>
      </c>
    </row>
    <row r="1107" spans="3:16">
      <c r="C1107">
        <v>40599</v>
      </c>
      <c r="D1107" t="s">
        <v>12597</v>
      </c>
      <c r="E1107" t="s">
        <v>14979</v>
      </c>
      <c r="F1107" t="s">
        <v>14980</v>
      </c>
      <c r="J1107" t="s">
        <v>14981</v>
      </c>
      <c r="P1107" t="s">
        <v>14906</v>
      </c>
    </row>
    <row r="1108" spans="3:16">
      <c r="C1108">
        <v>40599</v>
      </c>
      <c r="D1108" t="s">
        <v>12597</v>
      </c>
      <c r="E1108" t="s">
        <v>14979</v>
      </c>
      <c r="F1108" t="s">
        <v>14980</v>
      </c>
      <c r="J1108" t="s">
        <v>14982</v>
      </c>
      <c r="P1108" t="s">
        <v>14906</v>
      </c>
    </row>
    <row r="1109" spans="3:16">
      <c r="C1109">
        <v>40599</v>
      </c>
      <c r="D1109" t="s">
        <v>12597</v>
      </c>
      <c r="E1109" t="s">
        <v>14979</v>
      </c>
      <c r="F1109" t="s">
        <v>14980</v>
      </c>
      <c r="J1109" t="s">
        <v>14983</v>
      </c>
      <c r="P1109" t="s">
        <v>14906</v>
      </c>
    </row>
    <row r="1110" spans="3:16">
      <c r="C1110">
        <v>40599</v>
      </c>
      <c r="D1110" t="s">
        <v>12597</v>
      </c>
      <c r="E1110" t="s">
        <v>14979</v>
      </c>
      <c r="F1110" t="s">
        <v>14980</v>
      </c>
      <c r="J1110" t="s">
        <v>14984</v>
      </c>
      <c r="P1110" t="s">
        <v>14906</v>
      </c>
    </row>
    <row r="1111" spans="3:16">
      <c r="C1111">
        <v>40599</v>
      </c>
      <c r="D1111" t="s">
        <v>12597</v>
      </c>
      <c r="E1111" t="s">
        <v>14979</v>
      </c>
      <c r="F1111" t="s">
        <v>14985</v>
      </c>
      <c r="J1111" t="s">
        <v>14986</v>
      </c>
      <c r="P1111" t="s">
        <v>14906</v>
      </c>
    </row>
    <row r="1112" spans="3:16">
      <c r="C1112">
        <v>40599</v>
      </c>
      <c r="D1112" t="s">
        <v>12597</v>
      </c>
      <c r="E1112" t="s">
        <v>14979</v>
      </c>
      <c r="F1112" t="s">
        <v>14985</v>
      </c>
      <c r="J1112" t="s">
        <v>14987</v>
      </c>
      <c r="P1112" t="s">
        <v>14906</v>
      </c>
    </row>
    <row r="1113" spans="3:16">
      <c r="C1113">
        <v>40599</v>
      </c>
      <c r="D1113" t="s">
        <v>12597</v>
      </c>
      <c r="E1113" t="s">
        <v>14749</v>
      </c>
      <c r="J1113" t="s">
        <v>14988</v>
      </c>
      <c r="P1113" t="s">
        <v>14906</v>
      </c>
    </row>
    <row r="1114" spans="3:16">
      <c r="C1114">
        <v>40599</v>
      </c>
      <c r="D1114" t="s">
        <v>12597</v>
      </c>
      <c r="E1114" t="s">
        <v>14749</v>
      </c>
      <c r="J1114" t="s">
        <v>14989</v>
      </c>
      <c r="P1114" t="s">
        <v>14906</v>
      </c>
    </row>
    <row r="1115" spans="3:16">
      <c r="C1115">
        <v>40599</v>
      </c>
      <c r="D1115" t="s">
        <v>12597</v>
      </c>
      <c r="E1115" t="s">
        <v>14749</v>
      </c>
      <c r="J1115" t="s">
        <v>14990</v>
      </c>
      <c r="P1115" t="s">
        <v>14906</v>
      </c>
    </row>
    <row r="1116" spans="3:16">
      <c r="C1116">
        <v>40599</v>
      </c>
      <c r="D1116" t="s">
        <v>12597</v>
      </c>
      <c r="E1116" t="s">
        <v>14749</v>
      </c>
      <c r="J1116" t="s">
        <v>14991</v>
      </c>
      <c r="P1116" t="s">
        <v>14906</v>
      </c>
    </row>
    <row r="1117" spans="3:16">
      <c r="C1117">
        <v>40599</v>
      </c>
      <c r="D1117" t="s">
        <v>12597</v>
      </c>
      <c r="E1117" t="s">
        <v>14749</v>
      </c>
      <c r="J1117" t="s">
        <v>14992</v>
      </c>
      <c r="P1117" t="s">
        <v>14906</v>
      </c>
    </row>
    <row r="1118" spans="3:16">
      <c r="C1118">
        <v>40599</v>
      </c>
      <c r="D1118" t="s">
        <v>13713</v>
      </c>
      <c r="E1118" t="s">
        <v>14993</v>
      </c>
      <c r="F1118" t="s">
        <v>14994</v>
      </c>
      <c r="J1118" t="s">
        <v>14995</v>
      </c>
      <c r="P1118" t="s">
        <v>14906</v>
      </c>
    </row>
    <row r="1119" spans="3:16">
      <c r="C1119">
        <v>40599</v>
      </c>
      <c r="D1119" t="s">
        <v>13713</v>
      </c>
      <c r="E1119" t="s">
        <v>14996</v>
      </c>
      <c r="F1119" t="s">
        <v>14997</v>
      </c>
      <c r="J1119" t="s">
        <v>14998</v>
      </c>
      <c r="P1119" t="s">
        <v>14906</v>
      </c>
    </row>
    <row r="1120" spans="3:16">
      <c r="C1120">
        <v>40599</v>
      </c>
      <c r="D1120" t="s">
        <v>13740</v>
      </c>
      <c r="J1120" t="s">
        <v>14999</v>
      </c>
      <c r="P1120" t="s">
        <v>14906</v>
      </c>
    </row>
    <row r="1121" spans="2:16">
      <c r="C1121">
        <v>40616</v>
      </c>
      <c r="D1121" t="s">
        <v>12597</v>
      </c>
      <c r="E1121" t="s">
        <v>14749</v>
      </c>
      <c r="F1121" t="s">
        <v>15000</v>
      </c>
      <c r="J1121" t="s">
        <v>15001</v>
      </c>
      <c r="P1121" t="s">
        <v>14906</v>
      </c>
    </row>
    <row r="1122" spans="2:16">
      <c r="C1122">
        <v>40634</v>
      </c>
      <c r="D1122" t="s">
        <v>15002</v>
      </c>
      <c r="E1122" t="s">
        <v>15002</v>
      </c>
      <c r="F1122" t="s">
        <v>15002</v>
      </c>
      <c r="J1122" t="s">
        <v>15003</v>
      </c>
      <c r="P1122" t="s">
        <v>14906</v>
      </c>
    </row>
    <row r="1123" spans="2:16">
      <c r="C1123">
        <v>40648</v>
      </c>
      <c r="J1123" t="s">
        <v>15004</v>
      </c>
    </row>
    <row r="1124" spans="2:16">
      <c r="B1124" t="s">
        <v>14434</v>
      </c>
    </row>
    <row r="1125" spans="2:16" ht="13">
      <c r="B1125" t="s">
        <v>15005</v>
      </c>
      <c r="C1125">
        <v>40680</v>
      </c>
      <c r="D1125" t="s">
        <v>12597</v>
      </c>
      <c r="E1125" t="s">
        <v>14979</v>
      </c>
      <c r="F1125" t="s">
        <v>14980</v>
      </c>
      <c r="J1125" t="s">
        <v>15006</v>
      </c>
      <c r="P1125" t="s">
        <v>14906</v>
      </c>
    </row>
    <row r="1126" spans="2:16">
      <c r="B1126" t="s">
        <v>14434</v>
      </c>
    </row>
    <row r="1127" spans="2:16">
      <c r="B1127" t="s">
        <v>15007</v>
      </c>
      <c r="C1127">
        <v>40710</v>
      </c>
      <c r="D1127" t="s">
        <v>12597</v>
      </c>
      <c r="E1127" t="s">
        <v>14749</v>
      </c>
      <c r="F1127" t="s">
        <v>15008</v>
      </c>
      <c r="J1127" t="s">
        <v>15009</v>
      </c>
      <c r="P1127" t="s">
        <v>14906</v>
      </c>
    </row>
    <row r="1128" spans="2:16">
      <c r="C1128">
        <v>40710</v>
      </c>
      <c r="D1128" t="s">
        <v>12597</v>
      </c>
      <c r="E1128" t="s">
        <v>15002</v>
      </c>
      <c r="F1128" t="s">
        <v>15002</v>
      </c>
      <c r="J1128" t="s">
        <v>15010</v>
      </c>
      <c r="P1128" t="s">
        <v>14906</v>
      </c>
    </row>
    <row r="1129" spans="2:16">
      <c r="B1129" t="s">
        <v>14434</v>
      </c>
    </row>
    <row r="1130" spans="2:16">
      <c r="B1130" t="s">
        <v>15011</v>
      </c>
      <c r="C1130">
        <v>40884</v>
      </c>
      <c r="D1130" t="s">
        <v>13740</v>
      </c>
      <c r="E1130" t="s">
        <v>14908</v>
      </c>
      <c r="F1130">
        <v>211</v>
      </c>
      <c r="G1130" t="s">
        <v>14931</v>
      </c>
      <c r="J1130" t="s">
        <v>15012</v>
      </c>
      <c r="P1130" t="s">
        <v>14906</v>
      </c>
    </row>
    <row r="1131" spans="2:16">
      <c r="C1131">
        <v>40884</v>
      </c>
      <c r="D1131" t="s">
        <v>13740</v>
      </c>
      <c r="E1131" t="s">
        <v>14908</v>
      </c>
      <c r="F1131">
        <v>212</v>
      </c>
      <c r="G1131" t="s">
        <v>14931</v>
      </c>
      <c r="J1131" t="s">
        <v>15013</v>
      </c>
      <c r="P1131" t="s">
        <v>14906</v>
      </c>
    </row>
    <row r="1132" spans="2:16">
      <c r="C1132">
        <v>40933</v>
      </c>
      <c r="D1132" t="s">
        <v>12597</v>
      </c>
      <c r="E1132" t="s">
        <v>14749</v>
      </c>
      <c r="F1132" t="s">
        <v>15000</v>
      </c>
      <c r="J1132" t="s">
        <v>15014</v>
      </c>
      <c r="P1132" t="s">
        <v>14906</v>
      </c>
    </row>
    <row r="1133" spans="2:16">
      <c r="B1133" t="s">
        <v>14434</v>
      </c>
    </row>
    <row r="1134" spans="2:16" ht="13">
      <c r="B1134" t="s">
        <v>15015</v>
      </c>
      <c r="C1134">
        <v>40998</v>
      </c>
      <c r="D1134" t="s">
        <v>12597</v>
      </c>
      <c r="E1134" t="s">
        <v>14979</v>
      </c>
      <c r="F1134" t="s">
        <v>14985</v>
      </c>
      <c r="J1134" t="s">
        <v>15016</v>
      </c>
      <c r="P1134" t="s">
        <v>15017</v>
      </c>
    </row>
    <row r="1135" spans="2:16">
      <c r="B1135" t="s">
        <v>14434</v>
      </c>
    </row>
    <row r="1136" spans="2:16">
      <c r="B1136" t="s">
        <v>15018</v>
      </c>
      <c r="C1136">
        <v>41108</v>
      </c>
      <c r="D1136" t="s">
        <v>13740</v>
      </c>
      <c r="E1136" t="s">
        <v>14908</v>
      </c>
      <c r="F1136">
        <v>32</v>
      </c>
      <c r="G1136" t="s">
        <v>14931</v>
      </c>
      <c r="J1136" t="s">
        <v>15019</v>
      </c>
      <c r="P1136" t="s">
        <v>14906</v>
      </c>
    </row>
    <row r="1137" spans="2:16">
      <c r="C1137">
        <v>41108</v>
      </c>
      <c r="D1137" t="s">
        <v>13740</v>
      </c>
      <c r="E1137" t="s">
        <v>14908</v>
      </c>
      <c r="F1137">
        <v>534</v>
      </c>
      <c r="G1137" t="s">
        <v>14931</v>
      </c>
      <c r="J1137" t="s">
        <v>15020</v>
      </c>
      <c r="P1137" t="s">
        <v>14906</v>
      </c>
    </row>
    <row r="1138" spans="2:16">
      <c r="B1138" t="s">
        <v>14434</v>
      </c>
    </row>
    <row r="1139" spans="2:16">
      <c r="B1139" t="s">
        <v>15021</v>
      </c>
      <c r="C1139">
        <v>41337</v>
      </c>
      <c r="D1139" t="s">
        <v>13740</v>
      </c>
      <c r="E1139" t="s">
        <v>14908</v>
      </c>
      <c r="F1139">
        <v>182</v>
      </c>
      <c r="G1139" t="s">
        <v>15022</v>
      </c>
      <c r="J1139" t="s">
        <v>15023</v>
      </c>
      <c r="P1139" t="s">
        <v>15024</v>
      </c>
    </row>
    <row r="1140" spans="2:16">
      <c r="C1140">
        <v>41337</v>
      </c>
      <c r="D1140" t="s">
        <v>13740</v>
      </c>
      <c r="E1140" t="s">
        <v>14908</v>
      </c>
      <c r="F1140">
        <v>534</v>
      </c>
      <c r="G1140" t="s">
        <v>15022</v>
      </c>
      <c r="J1140" t="s">
        <v>15025</v>
      </c>
      <c r="P1140" t="s">
        <v>15024</v>
      </c>
    </row>
    <row r="1141" spans="2:16">
      <c r="B1141" t="s">
        <v>14434</v>
      </c>
    </row>
    <row r="1142" spans="2:16">
      <c r="B1142" t="s">
        <v>15026</v>
      </c>
      <c r="C1142">
        <v>41379</v>
      </c>
      <c r="D1142" t="s">
        <v>13753</v>
      </c>
      <c r="E1142" t="s">
        <v>15027</v>
      </c>
      <c r="F1142" t="s">
        <v>13981</v>
      </c>
      <c r="J1142" t="s">
        <v>15028</v>
      </c>
    </row>
    <row r="1143" spans="2:16">
      <c r="C1143">
        <v>41379</v>
      </c>
      <c r="D1143" t="s">
        <v>13753</v>
      </c>
      <c r="E1143" t="s">
        <v>13723</v>
      </c>
      <c r="F1143" t="s">
        <v>13981</v>
      </c>
      <c r="J1143" t="s">
        <v>15029</v>
      </c>
    </row>
    <row r="1144" spans="2:16" ht="13">
      <c r="C1144">
        <v>41379</v>
      </c>
      <c r="D1144" t="s">
        <v>12597</v>
      </c>
      <c r="E1144" t="s">
        <v>15030</v>
      </c>
      <c r="F1144" t="s">
        <v>15031</v>
      </c>
      <c r="J1144" t="s">
        <v>15032</v>
      </c>
    </row>
    <row r="1145" spans="2:16" ht="13">
      <c r="C1145">
        <v>41379</v>
      </c>
      <c r="D1145" t="s">
        <v>12597</v>
      </c>
      <c r="E1145" t="s">
        <v>14976</v>
      </c>
      <c r="F1145" t="s">
        <v>15033</v>
      </c>
      <c r="J1145" t="s">
        <v>15034</v>
      </c>
    </row>
    <row r="1146" spans="2:16">
      <c r="C1146">
        <v>41029</v>
      </c>
      <c r="D1146" t="s">
        <v>12597</v>
      </c>
      <c r="E1146" t="s">
        <v>14859</v>
      </c>
      <c r="F1146" t="s">
        <v>14962</v>
      </c>
      <c r="J1146" t="s">
        <v>15035</v>
      </c>
    </row>
    <row r="1147" spans="2:16">
      <c r="C1147">
        <v>41402</v>
      </c>
      <c r="D1147" t="s">
        <v>13740</v>
      </c>
      <c r="E1147" t="s">
        <v>157</v>
      </c>
      <c r="F1147">
        <v>3</v>
      </c>
      <c r="J1147" t="s">
        <v>15036</v>
      </c>
    </row>
    <row r="1148" spans="2:16">
      <c r="F1148">
        <v>4</v>
      </c>
      <c r="J1148" t="s">
        <v>15037</v>
      </c>
    </row>
    <row r="1149" spans="2:16">
      <c r="F1149">
        <v>5</v>
      </c>
      <c r="J1149" t="s">
        <v>15038</v>
      </c>
    </row>
    <row r="1150" spans="2:16">
      <c r="F1150">
        <v>6</v>
      </c>
      <c r="J1150" t="s">
        <v>15037</v>
      </c>
    </row>
    <row r="1151" spans="2:16">
      <c r="F1151">
        <v>7</v>
      </c>
      <c r="J1151" t="s">
        <v>15038</v>
      </c>
    </row>
    <row r="1152" spans="2:16">
      <c r="F1152">
        <v>8</v>
      </c>
      <c r="J1152" t="s">
        <v>15039</v>
      </c>
    </row>
    <row r="1153" spans="6:10">
      <c r="F1153">
        <v>9</v>
      </c>
      <c r="J1153" t="s">
        <v>15040</v>
      </c>
    </row>
    <row r="1154" spans="6:10">
      <c r="F1154">
        <v>13</v>
      </c>
      <c r="J1154" t="s">
        <v>15041</v>
      </c>
    </row>
    <row r="1155" spans="6:10">
      <c r="F1155">
        <v>14</v>
      </c>
      <c r="J1155" t="s">
        <v>15042</v>
      </c>
    </row>
    <row r="1156" spans="6:10">
      <c r="F1156">
        <v>28</v>
      </c>
      <c r="J1156" t="s">
        <v>15043</v>
      </c>
    </row>
    <row r="1157" spans="6:10">
      <c r="F1157">
        <f>F1156+1</f>
        <v>29</v>
      </c>
      <c r="J1157" t="s">
        <v>15044</v>
      </c>
    </row>
    <row r="1158" spans="6:10">
      <c r="F1158">
        <f t="shared" ref="F1158:F1166" si="0">F1157+1</f>
        <v>30</v>
      </c>
      <c r="J1158" t="s">
        <v>15037</v>
      </c>
    </row>
    <row r="1159" spans="6:10">
      <c r="F1159">
        <f t="shared" si="0"/>
        <v>31</v>
      </c>
      <c r="J1159" t="s">
        <v>15044</v>
      </c>
    </row>
    <row r="1160" spans="6:10">
      <c r="F1160">
        <f t="shared" si="0"/>
        <v>32</v>
      </c>
      <c r="J1160" t="s">
        <v>15043</v>
      </c>
    </row>
    <row r="1161" spans="6:10">
      <c r="F1161">
        <f t="shared" si="0"/>
        <v>33</v>
      </c>
      <c r="J1161" t="s">
        <v>15045</v>
      </c>
    </row>
    <row r="1162" spans="6:10">
      <c r="F1162">
        <f t="shared" si="0"/>
        <v>34</v>
      </c>
      <c r="J1162" t="s">
        <v>15046</v>
      </c>
    </row>
    <row r="1163" spans="6:10">
      <c r="F1163">
        <f t="shared" si="0"/>
        <v>35</v>
      </c>
      <c r="J1163" t="s">
        <v>15047</v>
      </c>
    </row>
    <row r="1164" spans="6:10">
      <c r="F1164">
        <f>F1163+1</f>
        <v>36</v>
      </c>
      <c r="J1164" t="s">
        <v>15047</v>
      </c>
    </row>
    <row r="1165" spans="6:10">
      <c r="F1165">
        <f t="shared" si="0"/>
        <v>37</v>
      </c>
      <c r="J1165" t="s">
        <v>15036</v>
      </c>
    </row>
    <row r="1166" spans="6:10">
      <c r="F1166">
        <f t="shared" si="0"/>
        <v>38</v>
      </c>
      <c r="J1166" t="s">
        <v>15048</v>
      </c>
    </row>
    <row r="1167" spans="6:10">
      <c r="F1167">
        <v>78</v>
      </c>
      <c r="J1167" t="s">
        <v>15048</v>
      </c>
    </row>
    <row r="1168" spans="6:10">
      <c r="F1168">
        <v>79</v>
      </c>
      <c r="J1168" t="s">
        <v>15046</v>
      </c>
    </row>
    <row r="1169" spans="6:10">
      <c r="F1169">
        <v>80</v>
      </c>
      <c r="J1169" t="s">
        <v>15048</v>
      </c>
    </row>
    <row r="1170" spans="6:10">
      <c r="F1170">
        <v>84</v>
      </c>
      <c r="J1170" t="s">
        <v>15049</v>
      </c>
    </row>
    <row r="1171" spans="6:10">
      <c r="F1171">
        <v>85</v>
      </c>
      <c r="J1171" t="s">
        <v>15050</v>
      </c>
    </row>
    <row r="1172" spans="6:10">
      <c r="F1172">
        <v>86</v>
      </c>
      <c r="J1172" t="s">
        <v>15047</v>
      </c>
    </row>
    <row r="1173" spans="6:10">
      <c r="F1173">
        <v>87</v>
      </c>
      <c r="J1173" t="s">
        <v>15047</v>
      </c>
    </row>
    <row r="1174" spans="6:10">
      <c r="F1174">
        <v>90</v>
      </c>
      <c r="J1174" t="s">
        <v>15044</v>
      </c>
    </row>
    <row r="1175" spans="6:10">
      <c r="F1175">
        <v>153</v>
      </c>
      <c r="J1175" t="s">
        <v>15044</v>
      </c>
    </row>
    <row r="1176" spans="6:10">
      <c r="F1176">
        <v>154</v>
      </c>
      <c r="J1176" t="s">
        <v>15051</v>
      </c>
    </row>
    <row r="1177" spans="6:10">
      <c r="F1177">
        <v>155</v>
      </c>
      <c r="J1177" t="s">
        <v>15051</v>
      </c>
    </row>
    <row r="1178" spans="6:10">
      <c r="F1178">
        <v>157</v>
      </c>
      <c r="J1178" t="s">
        <v>15037</v>
      </c>
    </row>
    <row r="1179" spans="6:10">
      <c r="F1179">
        <v>158</v>
      </c>
      <c r="J1179" t="s">
        <v>15044</v>
      </c>
    </row>
    <row r="1180" spans="6:10">
      <c r="F1180">
        <v>180</v>
      </c>
      <c r="J1180" t="s">
        <v>15046</v>
      </c>
    </row>
    <row r="1181" spans="6:10">
      <c r="F1181">
        <v>182</v>
      </c>
      <c r="J1181" t="s">
        <v>15043</v>
      </c>
    </row>
    <row r="1182" spans="6:10">
      <c r="F1182">
        <v>204</v>
      </c>
      <c r="J1182" t="s">
        <v>15046</v>
      </c>
    </row>
    <row r="1183" spans="6:10">
      <c r="F1183">
        <v>205</v>
      </c>
      <c r="J1183" t="s">
        <v>15049</v>
      </c>
    </row>
    <row r="1184" spans="6:10">
      <c r="F1184">
        <v>206</v>
      </c>
      <c r="J1184" t="s">
        <v>15052</v>
      </c>
    </row>
    <row r="1185" spans="3:16">
      <c r="F1185">
        <v>209</v>
      </c>
      <c r="J1185" t="s">
        <v>15053</v>
      </c>
    </row>
    <row r="1186" spans="3:16">
      <c r="F1186">
        <v>210</v>
      </c>
      <c r="J1186" t="s">
        <v>15045</v>
      </c>
    </row>
    <row r="1187" spans="3:16">
      <c r="F1187">
        <v>211</v>
      </c>
      <c r="J1187" t="s">
        <v>15045</v>
      </c>
    </row>
    <row r="1188" spans="3:16">
      <c r="F1188">
        <v>226</v>
      </c>
      <c r="J1188" t="s">
        <v>15054</v>
      </c>
    </row>
    <row r="1189" spans="3:16">
      <c r="F1189">
        <v>227</v>
      </c>
      <c r="J1189" t="s">
        <v>15054</v>
      </c>
    </row>
    <row r="1190" spans="3:16">
      <c r="F1190">
        <v>228</v>
      </c>
      <c r="J1190" t="s">
        <v>15054</v>
      </c>
    </row>
    <row r="1191" spans="3:16">
      <c r="F1191">
        <v>229</v>
      </c>
      <c r="J1191" t="s">
        <v>15055</v>
      </c>
    </row>
    <row r="1192" spans="3:16">
      <c r="C1192" t="s">
        <v>14434</v>
      </c>
    </row>
    <row r="1193" spans="3:16" ht="14.5">
      <c r="C1193">
        <v>41480</v>
      </c>
      <c r="D1193" t="s">
        <v>13722</v>
      </c>
      <c r="E1193" t="s">
        <v>15056</v>
      </c>
      <c r="F1193">
        <v>2709</v>
      </c>
      <c r="J1193" t="s">
        <v>15057</v>
      </c>
      <c r="P1193" t="s">
        <v>15058</v>
      </c>
    </row>
    <row r="1194" spans="3:16" ht="14.5">
      <c r="C1194">
        <v>41480</v>
      </c>
      <c r="D1194" t="s">
        <v>13722</v>
      </c>
      <c r="E1194" t="s">
        <v>15059</v>
      </c>
      <c r="F1194">
        <v>1243</v>
      </c>
      <c r="J1194" t="s">
        <v>15060</v>
      </c>
      <c r="P1194" t="s">
        <v>15058</v>
      </c>
    </row>
    <row r="1195" spans="3:16" ht="14.5">
      <c r="C1195">
        <v>41480</v>
      </c>
      <c r="D1195" t="s">
        <v>13961</v>
      </c>
      <c r="E1195" t="s">
        <v>15061</v>
      </c>
      <c r="F1195">
        <v>69</v>
      </c>
      <c r="J1195" t="s">
        <v>15062</v>
      </c>
      <c r="P1195" t="s">
        <v>15058</v>
      </c>
    </row>
    <row r="1196" spans="3:16" ht="14.5">
      <c r="C1196">
        <v>41480</v>
      </c>
      <c r="D1196" t="s">
        <v>13961</v>
      </c>
      <c r="E1196" t="s">
        <v>15063</v>
      </c>
      <c r="F1196">
        <v>69</v>
      </c>
      <c r="J1196" t="s">
        <v>15064</v>
      </c>
      <c r="P1196" t="s">
        <v>15058</v>
      </c>
    </row>
    <row r="1197" spans="3:16" ht="14.5">
      <c r="C1197">
        <v>41480</v>
      </c>
      <c r="D1197" t="s">
        <v>12597</v>
      </c>
      <c r="E1197" t="s">
        <v>14749</v>
      </c>
      <c r="J1197" t="s">
        <v>15065</v>
      </c>
      <c r="P1197" t="s">
        <v>15058</v>
      </c>
    </row>
    <row r="1198" spans="3:16" ht="14.5">
      <c r="C1198">
        <v>41480</v>
      </c>
      <c r="D1198" t="s">
        <v>14847</v>
      </c>
      <c r="E1198" t="s">
        <v>15061</v>
      </c>
      <c r="F1198">
        <v>1609</v>
      </c>
      <c r="J1198" t="s">
        <v>15066</v>
      </c>
      <c r="P1198" t="s">
        <v>15058</v>
      </c>
    </row>
    <row r="1199" spans="3:16" ht="14.5">
      <c r="C1199">
        <v>41480</v>
      </c>
      <c r="D1199" t="s">
        <v>12597</v>
      </c>
      <c r="E1199" t="s">
        <v>14749</v>
      </c>
      <c r="J1199" t="s">
        <v>15067</v>
      </c>
      <c r="P1199" t="s">
        <v>15058</v>
      </c>
    </row>
    <row r="1200" spans="3:16" ht="14.5">
      <c r="C1200">
        <v>41485</v>
      </c>
      <c r="D1200" t="s">
        <v>13961</v>
      </c>
      <c r="E1200" t="s">
        <v>953</v>
      </c>
      <c r="F1200">
        <v>71</v>
      </c>
      <c r="J1200" t="s">
        <v>15068</v>
      </c>
      <c r="P1200" t="s">
        <v>15058</v>
      </c>
    </row>
    <row r="1201" spans="2:16" ht="14.5">
      <c r="C1201">
        <v>41485</v>
      </c>
      <c r="D1201" t="s">
        <v>13961</v>
      </c>
      <c r="E1201" t="s">
        <v>127</v>
      </c>
      <c r="F1201">
        <v>71</v>
      </c>
      <c r="J1201" t="s">
        <v>15069</v>
      </c>
      <c r="P1201" t="s">
        <v>15058</v>
      </c>
    </row>
    <row r="1202" spans="2:16">
      <c r="C1202">
        <v>41500</v>
      </c>
      <c r="D1202" t="s">
        <v>14027</v>
      </c>
      <c r="E1202" t="s">
        <v>15070</v>
      </c>
      <c r="F1202">
        <v>103</v>
      </c>
      <c r="J1202" t="s">
        <v>15071</v>
      </c>
      <c r="P1202" t="s">
        <v>14906</v>
      </c>
    </row>
    <row r="1203" spans="2:16">
      <c r="C1203">
        <v>41500</v>
      </c>
      <c r="D1203" t="s">
        <v>14027</v>
      </c>
      <c r="E1203" t="s">
        <v>157</v>
      </c>
      <c r="F1203">
        <v>102</v>
      </c>
      <c r="J1203" t="s">
        <v>15072</v>
      </c>
      <c r="P1203" t="s">
        <v>14906</v>
      </c>
    </row>
    <row r="1204" spans="2:16">
      <c r="B1204" t="s">
        <v>14434</v>
      </c>
    </row>
    <row r="1205" spans="2:16">
      <c r="B1205" t="s">
        <v>15073</v>
      </c>
      <c r="C1205">
        <v>41288</v>
      </c>
      <c r="D1205" t="s">
        <v>13740</v>
      </c>
      <c r="E1205" t="s">
        <v>14908</v>
      </c>
      <c r="F1205" t="s">
        <v>15074</v>
      </c>
      <c r="G1205" t="s">
        <v>15075</v>
      </c>
      <c r="J1205" t="s">
        <v>15076</v>
      </c>
      <c r="P1205" t="s">
        <v>15077</v>
      </c>
    </row>
    <row r="1206" spans="2:16">
      <c r="C1206">
        <v>41288</v>
      </c>
      <c r="D1206" t="s">
        <v>13740</v>
      </c>
      <c r="E1206" t="s">
        <v>157</v>
      </c>
      <c r="F1206" t="s">
        <v>15078</v>
      </c>
      <c r="G1206" t="s">
        <v>15079</v>
      </c>
      <c r="J1206" t="s">
        <v>15080</v>
      </c>
      <c r="P1206" t="s">
        <v>15081</v>
      </c>
    </row>
    <row r="1207" spans="2:16">
      <c r="B1207" t="s">
        <v>14434</v>
      </c>
    </row>
    <row r="1208" spans="2:16">
      <c r="C1208" t="s">
        <v>15082</v>
      </c>
      <c r="D1208" t="s">
        <v>15083</v>
      </c>
      <c r="E1208" t="s">
        <v>15084</v>
      </c>
      <c r="F1208" t="s">
        <v>15002</v>
      </c>
      <c r="J1208" t="s">
        <v>15085</v>
      </c>
      <c r="K1208" t="s">
        <v>15086</v>
      </c>
      <c r="P1208" t="s">
        <v>15081</v>
      </c>
    </row>
    <row r="1209" spans="2:16">
      <c r="C1209" t="s">
        <v>15082</v>
      </c>
      <c r="D1209" t="s">
        <v>12597</v>
      </c>
      <c r="E1209" t="s">
        <v>15087</v>
      </c>
      <c r="J1209" t="s">
        <v>15088</v>
      </c>
      <c r="K1209" t="s">
        <v>15086</v>
      </c>
      <c r="P1209" t="s">
        <v>15081</v>
      </c>
    </row>
    <row r="1210" spans="2:16">
      <c r="B1210" t="s">
        <v>15089</v>
      </c>
    </row>
    <row r="1211" spans="2:16">
      <c r="B1211" t="s">
        <v>14434</v>
      </c>
    </row>
    <row r="1212" spans="2:16" ht="75">
      <c r="B1212" t="s">
        <v>15090</v>
      </c>
      <c r="D1212" t="s">
        <v>12597</v>
      </c>
      <c r="E1212" t="s">
        <v>14979</v>
      </c>
      <c r="F1212" t="s">
        <v>14985</v>
      </c>
      <c r="J1212" s="749" t="s">
        <v>15091</v>
      </c>
      <c r="K1212" t="s">
        <v>15058</v>
      </c>
      <c r="P1212" t="s">
        <v>15058</v>
      </c>
    </row>
    <row r="1213" spans="2:16" s="2179" customFormat="1">
      <c r="C1213" s="2180">
        <v>41829</v>
      </c>
      <c r="D1213" s="2181" t="s">
        <v>13740</v>
      </c>
      <c r="E1213" s="2181" t="s">
        <v>14897</v>
      </c>
      <c r="F1213" s="2181" t="s">
        <v>15092</v>
      </c>
      <c r="G1213" s="2181"/>
      <c r="H1213" s="2181"/>
      <c r="I1213" s="2181"/>
      <c r="J1213" s="2179" t="s">
        <v>15093</v>
      </c>
      <c r="P1213" s="2179" t="s">
        <v>15081</v>
      </c>
    </row>
    <row r="1214" spans="2:16">
      <c r="B1214" t="s">
        <v>14434</v>
      </c>
    </row>
    <row r="1215" spans="2:16" ht="112.5">
      <c r="B1215" t="s">
        <v>15094</v>
      </c>
      <c r="C1215" s="2182">
        <v>41878</v>
      </c>
      <c r="D1215" t="s">
        <v>15083</v>
      </c>
      <c r="E1215" t="s">
        <v>14979</v>
      </c>
      <c r="F1215" t="s">
        <v>14985</v>
      </c>
      <c r="J1215" s="749" t="s">
        <v>15095</v>
      </c>
      <c r="P1215" t="s">
        <v>15058</v>
      </c>
    </row>
    <row r="1216" spans="2:16">
      <c r="B1216" s="654" t="s">
        <v>15096</v>
      </c>
      <c r="C1216" s="2182">
        <v>41950</v>
      </c>
      <c r="D1216" t="s">
        <v>13740</v>
      </c>
      <c r="E1216" s="654" t="s">
        <v>15097</v>
      </c>
      <c r="F1216">
        <v>214</v>
      </c>
      <c r="G1216" s="654" t="s">
        <v>15098</v>
      </c>
      <c r="J1216" s="654" t="s">
        <v>15099</v>
      </c>
      <c r="P1216" s="654" t="s">
        <v>15024</v>
      </c>
    </row>
    <row r="1217" spans="2:16">
      <c r="C1217" s="2182">
        <v>41950</v>
      </c>
      <c r="D1217" t="s">
        <v>13740</v>
      </c>
      <c r="E1217" s="654" t="s">
        <v>15097</v>
      </c>
      <c r="F1217">
        <v>215</v>
      </c>
      <c r="G1217" s="654" t="s">
        <v>15098</v>
      </c>
      <c r="J1217" s="654" t="s">
        <v>15100</v>
      </c>
      <c r="P1217" s="654" t="s">
        <v>15024</v>
      </c>
    </row>
    <row r="1218" spans="2:16">
      <c r="B1218" s="654" t="s">
        <v>15101</v>
      </c>
      <c r="C1218" s="2182">
        <v>42382</v>
      </c>
      <c r="D1218" t="s">
        <v>13740</v>
      </c>
      <c r="E1218" s="2859" t="s">
        <v>15102</v>
      </c>
      <c r="F1218" s="2860"/>
      <c r="G1218" s="2860"/>
      <c r="H1218" s="2860"/>
      <c r="I1218" s="2861"/>
      <c r="P1218" s="654" t="s">
        <v>15103</v>
      </c>
    </row>
    <row r="1219" spans="2:16">
      <c r="E1219" s="2187" t="s">
        <v>12593</v>
      </c>
      <c r="F1219" s="2188"/>
      <c r="G1219" s="2189" t="s">
        <v>12594</v>
      </c>
      <c r="H1219" s="2189" t="s">
        <v>12595</v>
      </c>
      <c r="I1219" s="2190" t="s">
        <v>13316</v>
      </c>
    </row>
    <row r="1220" spans="2:16">
      <c r="E1220" s="2186" t="s">
        <v>15104</v>
      </c>
      <c r="F1220" s="2185" t="s">
        <v>12630</v>
      </c>
      <c r="G1220" s="2183">
        <v>10</v>
      </c>
      <c r="H1220" s="2183">
        <v>100</v>
      </c>
      <c r="I1220" s="2193"/>
    </row>
    <row r="1221" spans="2:16">
      <c r="E1221" s="2186" t="s">
        <v>15104</v>
      </c>
      <c r="F1221" s="2185" t="s">
        <v>12644</v>
      </c>
      <c r="G1221" s="2183">
        <v>10</v>
      </c>
      <c r="H1221" s="2183">
        <v>100</v>
      </c>
      <c r="I1221" s="2193"/>
    </row>
    <row r="1222" spans="2:16">
      <c r="E1222" s="2186"/>
      <c r="F1222" s="1"/>
      <c r="G1222" s="2183"/>
      <c r="H1222" s="2183"/>
      <c r="I1222" s="2193"/>
    </row>
    <row r="1223" spans="2:16">
      <c r="E1223" s="2194" t="s">
        <v>12593</v>
      </c>
      <c r="F1223" s="2188"/>
      <c r="G1223" s="2191" t="s">
        <v>12594</v>
      </c>
      <c r="H1223" s="2191" t="s">
        <v>12595</v>
      </c>
      <c r="I1223" s="2190" t="s">
        <v>13316</v>
      </c>
    </row>
    <row r="1224" spans="2:16">
      <c r="E1224" s="2186" t="s">
        <v>15104</v>
      </c>
      <c r="F1224" s="2185" t="s">
        <v>12694</v>
      </c>
      <c r="G1224" s="2183">
        <v>10</v>
      </c>
      <c r="H1224" s="2183">
        <v>100</v>
      </c>
      <c r="I1224" s="2193"/>
    </row>
    <row r="1225" spans="2:16">
      <c r="E1225" s="2186" t="s">
        <v>15104</v>
      </c>
      <c r="F1225" s="2185" t="s">
        <v>12729</v>
      </c>
      <c r="G1225" s="2183">
        <v>10</v>
      </c>
      <c r="H1225" s="2183">
        <v>100</v>
      </c>
      <c r="I1225" s="2193"/>
    </row>
    <row r="1226" spans="2:16">
      <c r="E1226" s="2186" t="s">
        <v>15104</v>
      </c>
      <c r="F1226" s="2185" t="s">
        <v>12739</v>
      </c>
      <c r="G1226" s="2183">
        <v>10</v>
      </c>
      <c r="H1226" s="2183">
        <v>100</v>
      </c>
      <c r="I1226" s="2193"/>
    </row>
    <row r="1227" spans="2:16">
      <c r="E1227" s="2195"/>
      <c r="F1227" s="1"/>
      <c r="G1227" s="1"/>
      <c r="H1227" s="1"/>
      <c r="I1227" s="2193"/>
    </row>
    <row r="1228" spans="2:16">
      <c r="E1228" s="2194" t="s">
        <v>15105</v>
      </c>
      <c r="F1228" s="2188"/>
      <c r="G1228" s="2191" t="s">
        <v>12594</v>
      </c>
      <c r="H1228" s="2191" t="s">
        <v>12595</v>
      </c>
      <c r="I1228" s="2192" t="s">
        <v>13316</v>
      </c>
    </row>
    <row r="1229" spans="2:16">
      <c r="E1229" s="2186" t="s">
        <v>15104</v>
      </c>
      <c r="F1229" s="2185" t="s">
        <v>12760</v>
      </c>
      <c r="G1229" s="2183">
        <v>8000</v>
      </c>
      <c r="H1229" s="2183">
        <v>35000</v>
      </c>
      <c r="I1229" s="2196" t="s">
        <v>15106</v>
      </c>
    </row>
    <row r="1230" spans="2:16">
      <c r="E1230" s="2197" t="s">
        <v>15104</v>
      </c>
      <c r="F1230" s="2185" t="s">
        <v>12765</v>
      </c>
      <c r="G1230" s="2183">
        <v>8000</v>
      </c>
      <c r="H1230" s="2183">
        <v>25000</v>
      </c>
      <c r="I1230" s="2196" t="s">
        <v>15107</v>
      </c>
    </row>
    <row r="1231" spans="2:16">
      <c r="E1231" s="2186" t="s">
        <v>15104</v>
      </c>
      <c r="F1231" s="2185" t="s">
        <v>12766</v>
      </c>
      <c r="G1231" s="2183">
        <v>9000</v>
      </c>
      <c r="H1231" s="2183">
        <v>35000</v>
      </c>
      <c r="I1231" s="2196" t="s">
        <v>15108</v>
      </c>
    </row>
    <row r="1232" spans="2:16">
      <c r="E1232" s="2186" t="s">
        <v>15104</v>
      </c>
      <c r="F1232" s="2185" t="s">
        <v>12767</v>
      </c>
      <c r="G1232" s="2183">
        <v>13000</v>
      </c>
      <c r="H1232" s="2183">
        <v>48000</v>
      </c>
      <c r="I1232" s="2196" t="s">
        <v>15109</v>
      </c>
    </row>
    <row r="1233" spans="5:9">
      <c r="E1233" s="2186" t="s">
        <v>15104</v>
      </c>
      <c r="F1233" s="2185" t="s">
        <v>12768</v>
      </c>
      <c r="G1233" s="2183">
        <v>18000</v>
      </c>
      <c r="H1233" s="2183">
        <v>40000</v>
      </c>
      <c r="I1233" s="2196" t="s">
        <v>15110</v>
      </c>
    </row>
    <row r="1234" spans="5:9">
      <c r="E1234" s="2186" t="s">
        <v>15104</v>
      </c>
      <c r="F1234" s="2185" t="s">
        <v>12769</v>
      </c>
      <c r="G1234" s="2183">
        <v>20000</v>
      </c>
      <c r="H1234" s="2183">
        <v>60000</v>
      </c>
      <c r="I1234" s="2196" t="s">
        <v>15111</v>
      </c>
    </row>
    <row r="1235" spans="5:9">
      <c r="E1235" s="2186"/>
      <c r="F1235" s="1"/>
      <c r="G1235" s="2183"/>
      <c r="H1235" s="2183"/>
      <c r="I1235" s="2193"/>
    </row>
    <row r="1236" spans="5:9">
      <c r="E1236" s="2194" t="s">
        <v>15105</v>
      </c>
      <c r="F1236" s="2188"/>
      <c r="G1236" s="2191" t="s">
        <v>12594</v>
      </c>
      <c r="H1236" s="2191" t="s">
        <v>12595</v>
      </c>
      <c r="I1236" s="2190" t="s">
        <v>13316</v>
      </c>
    </row>
    <row r="1237" spans="5:9">
      <c r="E1237" s="2186" t="s">
        <v>15104</v>
      </c>
      <c r="F1237" s="2184" t="s">
        <v>12785</v>
      </c>
      <c r="G1237" s="2183">
        <v>10</v>
      </c>
      <c r="H1237" s="2183">
        <v>100</v>
      </c>
      <c r="I1237" s="2193"/>
    </row>
    <row r="1238" spans="5:9">
      <c r="E1238" s="2186" t="s">
        <v>15104</v>
      </c>
      <c r="F1238" s="2185" t="s">
        <v>12805</v>
      </c>
      <c r="G1238" s="2183">
        <v>10</v>
      </c>
      <c r="H1238" s="2183">
        <v>100</v>
      </c>
      <c r="I1238" s="2196"/>
    </row>
    <row r="1239" spans="5:9">
      <c r="E1239" s="2195"/>
      <c r="F1239" s="1"/>
      <c r="G1239" s="1"/>
      <c r="H1239" s="1"/>
      <c r="I1239" s="2193"/>
    </row>
    <row r="1240" spans="5:9">
      <c r="E1240" s="2194" t="s">
        <v>12862</v>
      </c>
      <c r="F1240" s="2188"/>
      <c r="G1240" s="2191" t="s">
        <v>12594</v>
      </c>
      <c r="H1240" s="2191" t="s">
        <v>12595</v>
      </c>
      <c r="I1240" s="2190" t="s">
        <v>13316</v>
      </c>
    </row>
    <row r="1241" spans="5:9">
      <c r="E1241" s="2186" t="s">
        <v>12906</v>
      </c>
      <c r="F1241" s="2185" t="s">
        <v>12907</v>
      </c>
      <c r="G1241" s="2183">
        <v>25000</v>
      </c>
      <c r="H1241" s="2183">
        <v>70000</v>
      </c>
      <c r="I1241" s="2196" t="s">
        <v>553</v>
      </c>
    </row>
    <row r="1242" spans="5:9">
      <c r="E1242" s="2186"/>
      <c r="F1242" s="1"/>
      <c r="G1242" s="1"/>
      <c r="H1242" s="1"/>
      <c r="I1242" s="2193"/>
    </row>
    <row r="1243" spans="5:9">
      <c r="E1243" s="2194" t="s">
        <v>12621</v>
      </c>
      <c r="F1243" s="2188"/>
      <c r="G1243" s="2191" t="s">
        <v>12594</v>
      </c>
      <c r="H1243" s="2191" t="s">
        <v>12595</v>
      </c>
      <c r="I1243" s="2190" t="s">
        <v>13316</v>
      </c>
    </row>
    <row r="1244" spans="5:9">
      <c r="E1244" s="2186" t="s">
        <v>15104</v>
      </c>
      <c r="F1244" s="2185" t="s">
        <v>12925</v>
      </c>
      <c r="G1244" s="2183">
        <v>10</v>
      </c>
      <c r="H1244" s="2183">
        <v>100</v>
      </c>
      <c r="I1244" s="2193"/>
    </row>
    <row r="1245" spans="5:9">
      <c r="E1245" s="2186" t="s">
        <v>15104</v>
      </c>
      <c r="F1245" s="2185" t="s">
        <v>12933</v>
      </c>
      <c r="G1245" s="2183">
        <v>10</v>
      </c>
      <c r="H1245" s="2183">
        <v>100</v>
      </c>
      <c r="I1245" s="2193"/>
    </row>
    <row r="1246" spans="5:9">
      <c r="E1246" s="2186" t="s">
        <v>15104</v>
      </c>
      <c r="F1246" s="2185" t="s">
        <v>12937</v>
      </c>
      <c r="G1246" s="2183">
        <v>10</v>
      </c>
      <c r="H1246" s="2183">
        <v>100</v>
      </c>
      <c r="I1246" s="2193"/>
    </row>
    <row r="1247" spans="5:9">
      <c r="E1247" s="2186"/>
      <c r="F1247" s="1"/>
      <c r="G1247" s="2183"/>
      <c r="H1247" s="2183"/>
      <c r="I1247" s="2193"/>
    </row>
    <row r="1248" spans="5:9">
      <c r="E1248" s="2194" t="s">
        <v>12621</v>
      </c>
      <c r="F1248" s="2188"/>
      <c r="G1248" s="2191" t="s">
        <v>12594</v>
      </c>
      <c r="H1248" s="2191" t="s">
        <v>12595</v>
      </c>
      <c r="I1248" s="2190" t="s">
        <v>13316</v>
      </c>
    </row>
    <row r="1249" spans="5:9">
      <c r="E1249" s="2186" t="s">
        <v>12978</v>
      </c>
      <c r="F1249" s="2185" t="s">
        <v>12979</v>
      </c>
      <c r="G1249" s="2183">
        <v>30000</v>
      </c>
      <c r="H1249" s="2183">
        <v>80000</v>
      </c>
      <c r="I1249" s="2196" t="s">
        <v>556</v>
      </c>
    </row>
    <row r="1250" spans="5:9">
      <c r="E1250" s="2198"/>
      <c r="I1250" s="2199"/>
    </row>
    <row r="1251" spans="5:9">
      <c r="E1251" s="2186"/>
      <c r="F1251" s="1"/>
      <c r="G1251" s="2183"/>
      <c r="H1251" s="2183"/>
      <c r="I1251" s="2193"/>
    </row>
    <row r="1252" spans="5:9">
      <c r="E1252" s="2194" t="s">
        <v>15112</v>
      </c>
      <c r="F1252" s="2188"/>
      <c r="G1252" s="2191" t="s">
        <v>12594</v>
      </c>
      <c r="H1252" s="2191" t="s">
        <v>12595</v>
      </c>
      <c r="I1252" s="2190" t="s">
        <v>13316</v>
      </c>
    </row>
    <row r="1253" spans="5:9">
      <c r="E1253" s="2186" t="s">
        <v>15104</v>
      </c>
      <c r="F1253" s="2185" t="s">
        <v>13022</v>
      </c>
      <c r="G1253" s="2183">
        <v>10</v>
      </c>
      <c r="H1253" s="2183">
        <v>100</v>
      </c>
      <c r="I1253" s="2193"/>
    </row>
    <row r="1254" spans="5:9">
      <c r="E1254" s="2186" t="s">
        <v>15104</v>
      </c>
      <c r="F1254" s="2185" t="s">
        <v>13023</v>
      </c>
      <c r="G1254" s="2183">
        <v>10</v>
      </c>
      <c r="H1254" s="2183">
        <v>100</v>
      </c>
      <c r="I1254" s="2193"/>
    </row>
    <row r="1255" spans="5:9">
      <c r="E1255" s="2186" t="s">
        <v>15104</v>
      </c>
      <c r="F1255" s="2185" t="s">
        <v>13025</v>
      </c>
      <c r="G1255" s="2183">
        <v>10</v>
      </c>
      <c r="H1255" s="2183">
        <v>100</v>
      </c>
      <c r="I1255" s="2193"/>
    </row>
    <row r="1256" spans="5:9">
      <c r="E1256" s="2186" t="s">
        <v>15104</v>
      </c>
      <c r="F1256" s="2185" t="s">
        <v>13027</v>
      </c>
      <c r="G1256" s="2183">
        <v>10</v>
      </c>
      <c r="H1256" s="2183">
        <v>100</v>
      </c>
      <c r="I1256" s="2193"/>
    </row>
    <row r="1257" spans="5:9">
      <c r="E1257" s="2195"/>
      <c r="F1257" s="1"/>
      <c r="G1257" s="2183"/>
      <c r="H1257" s="2183"/>
      <c r="I1257" s="2193"/>
    </row>
    <row r="1258" spans="5:9">
      <c r="E1258" s="2194" t="s">
        <v>13253</v>
      </c>
      <c r="F1258" s="2188"/>
      <c r="G1258" s="2191" t="s">
        <v>12594</v>
      </c>
      <c r="H1258" s="2191" t="s">
        <v>12595</v>
      </c>
      <c r="I1258" s="2190" t="s">
        <v>13316</v>
      </c>
    </row>
    <row r="1259" spans="5:9">
      <c r="E1259" s="2186" t="s">
        <v>15104</v>
      </c>
      <c r="F1259" s="2185" t="s">
        <v>13255</v>
      </c>
      <c r="G1259" s="2183">
        <v>10</v>
      </c>
      <c r="H1259" s="2183">
        <v>100</v>
      </c>
      <c r="I1259" s="2193"/>
    </row>
    <row r="1260" spans="5:9">
      <c r="E1260" s="2186" t="s">
        <v>15104</v>
      </c>
      <c r="F1260" s="2185" t="s">
        <v>13257</v>
      </c>
      <c r="G1260" s="2183">
        <v>10</v>
      </c>
      <c r="H1260" s="2183">
        <v>100</v>
      </c>
      <c r="I1260" s="2193"/>
    </row>
    <row r="1261" spans="5:9">
      <c r="E1261" s="2186" t="s">
        <v>12604</v>
      </c>
      <c r="F1261" s="2185" t="s">
        <v>13259</v>
      </c>
      <c r="G1261" s="2183">
        <v>10</v>
      </c>
      <c r="H1261" s="2183">
        <v>999999</v>
      </c>
      <c r="I1261" s="2193"/>
    </row>
    <row r="1262" spans="5:9">
      <c r="E1262" s="2186" t="s">
        <v>15113</v>
      </c>
      <c r="F1262" s="2185" t="s">
        <v>13266</v>
      </c>
      <c r="G1262" s="2183">
        <v>10</v>
      </c>
      <c r="H1262" s="2183">
        <v>999999</v>
      </c>
      <c r="I1262" s="2193"/>
    </row>
    <row r="1263" spans="5:9">
      <c r="E1263" s="2197" t="s">
        <v>15104</v>
      </c>
      <c r="F1263" s="2185" t="s">
        <v>13267</v>
      </c>
      <c r="G1263" s="2183">
        <v>10</v>
      </c>
      <c r="H1263" s="2183">
        <v>100</v>
      </c>
      <c r="I1263" s="2193"/>
    </row>
    <row r="1264" spans="5:9">
      <c r="E1264" s="2186" t="s">
        <v>15104</v>
      </c>
      <c r="F1264" s="2185" t="s">
        <v>13276</v>
      </c>
      <c r="G1264" s="2183">
        <v>10</v>
      </c>
      <c r="H1264" s="2183">
        <v>100</v>
      </c>
      <c r="I1264" s="2193"/>
    </row>
    <row r="1265" spans="2:16">
      <c r="E1265" s="2186"/>
      <c r="F1265" s="1"/>
      <c r="G1265" s="2183"/>
      <c r="H1265" s="2183"/>
      <c r="I1265" s="2193"/>
    </row>
    <row r="1266" spans="2:16">
      <c r="E1266" s="2194" t="s">
        <v>13253</v>
      </c>
      <c r="F1266" s="2188"/>
      <c r="G1266" s="2191" t="s">
        <v>12594</v>
      </c>
      <c r="H1266" s="2191" t="s">
        <v>12595</v>
      </c>
      <c r="I1266" s="2190" t="s">
        <v>13316</v>
      </c>
    </row>
    <row r="1267" spans="2:16">
      <c r="E1267" s="2186" t="s">
        <v>15104</v>
      </c>
      <c r="F1267" s="2185" t="s">
        <v>13286</v>
      </c>
      <c r="G1267" s="2183">
        <v>10</v>
      </c>
      <c r="H1267" s="2183">
        <v>100</v>
      </c>
      <c r="I1267" s="2193"/>
    </row>
    <row r="1268" spans="2:16">
      <c r="E1268" s="2186" t="s">
        <v>15104</v>
      </c>
      <c r="F1268" s="2185" t="s">
        <v>13302</v>
      </c>
      <c r="G1268" s="2183">
        <v>10</v>
      </c>
      <c r="H1268" s="2183">
        <v>100</v>
      </c>
      <c r="I1268" s="2193"/>
    </row>
    <row r="1269" spans="2:16">
      <c r="E1269" s="2186" t="s">
        <v>15114</v>
      </c>
      <c r="F1269" s="2185" t="s">
        <v>13304</v>
      </c>
      <c r="G1269" s="2183">
        <v>10</v>
      </c>
      <c r="H1269" s="2183">
        <v>999999</v>
      </c>
      <c r="I1269" s="2193"/>
    </row>
    <row r="1270" spans="2:16">
      <c r="E1270" s="2200" t="s">
        <v>15104</v>
      </c>
      <c r="F1270" s="2201" t="s">
        <v>13305</v>
      </c>
      <c r="G1270" s="2202">
        <v>10</v>
      </c>
      <c r="H1270" s="2202">
        <v>100</v>
      </c>
      <c r="I1270" s="2203"/>
    </row>
    <row r="1271" spans="2:16">
      <c r="B1271" s="654" t="s">
        <v>15115</v>
      </c>
    </row>
    <row r="1272" spans="2:16" ht="62.5">
      <c r="B1272" s="654" t="s">
        <v>15116</v>
      </c>
      <c r="C1272" s="2182">
        <v>42450</v>
      </c>
      <c r="D1272" t="s">
        <v>15083</v>
      </c>
      <c r="E1272" t="s">
        <v>15083</v>
      </c>
      <c r="F1272" t="s">
        <v>15083</v>
      </c>
      <c r="H1272" t="s">
        <v>14859</v>
      </c>
      <c r="I1272" t="s">
        <v>14969</v>
      </c>
      <c r="J1272" s="749" t="s">
        <v>15117</v>
      </c>
      <c r="K1272" t="s">
        <v>15118</v>
      </c>
      <c r="P1272" s="654" t="s">
        <v>15118</v>
      </c>
    </row>
    <row r="1274" spans="2:16">
      <c r="B1274" s="654" t="s">
        <v>15119</v>
      </c>
      <c r="C1274" s="2182">
        <v>42604</v>
      </c>
      <c r="D1274" t="s">
        <v>15120</v>
      </c>
      <c r="E1274" t="s">
        <v>15121</v>
      </c>
      <c r="F1274" t="s">
        <v>15122</v>
      </c>
      <c r="J1274" t="s">
        <v>15123</v>
      </c>
      <c r="P1274" t="s">
        <v>15024</v>
      </c>
    </row>
    <row r="1275" spans="2:16">
      <c r="B1275" s="654"/>
      <c r="C1275" s="2182"/>
    </row>
    <row r="1276" spans="2:16">
      <c r="B1276" s="654" t="s">
        <v>15124</v>
      </c>
      <c r="C1276" s="2182">
        <v>42696</v>
      </c>
      <c r="D1276" t="s">
        <v>15120</v>
      </c>
      <c r="E1276" s="2862" t="s">
        <v>15102</v>
      </c>
      <c r="F1276" s="2863"/>
      <c r="G1276" s="2863"/>
      <c r="H1276" s="2863"/>
      <c r="I1276" s="2864"/>
      <c r="P1276" t="s">
        <v>15125</v>
      </c>
    </row>
    <row r="1277" spans="2:16">
      <c r="E1277" s="2204" t="s">
        <v>12593</v>
      </c>
      <c r="F1277" s="2205"/>
      <c r="G1277" s="2206" t="s">
        <v>12594</v>
      </c>
      <c r="H1277" s="2206" t="s">
        <v>12595</v>
      </c>
      <c r="I1277" s="2207" t="s">
        <v>13316</v>
      </c>
    </row>
    <row r="1278" spans="2:16">
      <c r="E1278" s="2208" t="s">
        <v>15126</v>
      </c>
      <c r="F1278" s="2209" t="s">
        <v>12635</v>
      </c>
      <c r="G1278" s="2210">
        <v>30000</v>
      </c>
      <c r="H1278" s="2210">
        <v>55000</v>
      </c>
      <c r="I1278" s="2211" t="s">
        <v>532</v>
      </c>
    </row>
    <row r="1279" spans="2:16" ht="13">
      <c r="E1279" s="2212"/>
      <c r="F1279" s="2212"/>
      <c r="G1279" s="2212"/>
      <c r="H1279" s="2212"/>
      <c r="I1279" s="2212"/>
    </row>
    <row r="1280" spans="2:16">
      <c r="E1280" s="2213" t="s">
        <v>12593</v>
      </c>
      <c r="F1280" s="2214"/>
      <c r="G1280" s="2215" t="s">
        <v>12594</v>
      </c>
      <c r="H1280" s="2215" t="s">
        <v>12595</v>
      </c>
      <c r="I1280" s="2216" t="s">
        <v>13316</v>
      </c>
    </row>
    <row r="1281" spans="5:9" ht="13">
      <c r="E1281" s="2208" t="s">
        <v>15104</v>
      </c>
      <c r="F1281" s="2209" t="s">
        <v>12696</v>
      </c>
      <c r="G1281" s="2210">
        <v>10</v>
      </c>
      <c r="H1281" s="2210">
        <v>100</v>
      </c>
      <c r="I1281" s="2212"/>
    </row>
    <row r="1282" spans="5:9" ht="13">
      <c r="E1282" s="2212"/>
      <c r="F1282" s="2212"/>
      <c r="G1282" s="2212"/>
      <c r="H1282" s="2212"/>
      <c r="I1282" s="2212"/>
    </row>
    <row r="1283" spans="5:9">
      <c r="E1283" s="2213" t="s">
        <v>12862</v>
      </c>
      <c r="F1283" s="2214"/>
      <c r="G1283" s="2215" t="s">
        <v>12594</v>
      </c>
      <c r="H1283" s="2215" t="s">
        <v>12595</v>
      </c>
      <c r="I1283" s="2216" t="s">
        <v>13316</v>
      </c>
    </row>
    <row r="1284" spans="5:9">
      <c r="E1284" s="2209" t="s">
        <v>12868</v>
      </c>
      <c r="F1284" s="2209" t="s">
        <v>12869</v>
      </c>
      <c r="G1284" s="2210">
        <v>15000</v>
      </c>
      <c r="H1284" s="2217">
        <v>75000</v>
      </c>
      <c r="I1284" s="2211" t="s">
        <v>15127</v>
      </c>
    </row>
    <row r="1285" spans="5:9" ht="13">
      <c r="E1285" s="2208" t="s">
        <v>15104</v>
      </c>
      <c r="F1285" s="2209" t="s">
        <v>12871</v>
      </c>
      <c r="G1285" s="2210">
        <v>10</v>
      </c>
      <c r="H1285" s="2210">
        <v>100</v>
      </c>
      <c r="I1285" s="2212"/>
    </row>
    <row r="1286" spans="5:9" ht="13">
      <c r="E1286" s="2208" t="s">
        <v>15104</v>
      </c>
      <c r="F1286" s="2209" t="s">
        <v>12872</v>
      </c>
      <c r="G1286" s="2210">
        <v>10</v>
      </c>
      <c r="H1286" s="2210">
        <v>100</v>
      </c>
      <c r="I1286" s="2212"/>
    </row>
    <row r="1287" spans="5:9" ht="13">
      <c r="E1287" s="2212"/>
      <c r="F1287" s="2212"/>
      <c r="G1287" s="2212"/>
      <c r="H1287" s="2212"/>
      <c r="I1287" s="2212"/>
    </row>
    <row r="1288" spans="5:9">
      <c r="E1288" s="2213" t="s">
        <v>12621</v>
      </c>
      <c r="F1288" s="2214"/>
      <c r="G1288" s="2215" t="s">
        <v>12594</v>
      </c>
      <c r="H1288" s="2215" t="s">
        <v>12595</v>
      </c>
      <c r="I1288" s="2216" t="s">
        <v>13316</v>
      </c>
    </row>
    <row r="1289" spans="5:9">
      <c r="E1289" s="2209" t="s">
        <v>12938</v>
      </c>
      <c r="F1289" s="2209" t="s">
        <v>12939</v>
      </c>
      <c r="G1289" s="2210">
        <v>25000</v>
      </c>
      <c r="H1289" s="2217">
        <v>100000</v>
      </c>
      <c r="I1289" s="2211" t="s">
        <v>15128</v>
      </c>
    </row>
    <row r="1290" spans="5:9" ht="13">
      <c r="E1290" s="2212"/>
      <c r="F1290" s="2212"/>
      <c r="G1290" s="2212"/>
      <c r="H1290" s="2212"/>
      <c r="I1290" s="2212"/>
    </row>
    <row r="1291" spans="5:9">
      <c r="E1291" s="2213" t="s">
        <v>12621</v>
      </c>
      <c r="F1291" s="2214"/>
      <c r="G1291" s="2215" t="s">
        <v>12594</v>
      </c>
      <c r="H1291" s="2215" t="s">
        <v>12595</v>
      </c>
      <c r="I1291" s="2216" t="s">
        <v>13316</v>
      </c>
    </row>
    <row r="1292" spans="5:9" ht="13">
      <c r="E1292" s="2208" t="s">
        <v>15104</v>
      </c>
      <c r="F1292" s="2209" t="s">
        <v>12967</v>
      </c>
      <c r="G1292" s="2210">
        <v>10</v>
      </c>
      <c r="H1292" s="2210">
        <v>100</v>
      </c>
      <c r="I1292" s="2212"/>
    </row>
    <row r="1293" spans="5:9" ht="13">
      <c r="E1293" s="2212"/>
      <c r="F1293" s="2212"/>
      <c r="G1293" s="2212"/>
      <c r="H1293" s="2212"/>
      <c r="I1293" s="2212"/>
    </row>
    <row r="1294" spans="5:9">
      <c r="E1294" s="2213" t="s">
        <v>13253</v>
      </c>
      <c r="F1294" s="2214"/>
      <c r="G1294" s="2215" t="s">
        <v>12594</v>
      </c>
      <c r="H1294" s="2215" t="s">
        <v>12595</v>
      </c>
      <c r="I1294" s="2216" t="s">
        <v>13316</v>
      </c>
    </row>
    <row r="1295" spans="5:9" ht="13">
      <c r="E1295" s="2208" t="s">
        <v>15129</v>
      </c>
      <c r="F1295" s="2209" t="s">
        <v>13263</v>
      </c>
      <c r="G1295" s="2217">
        <v>10</v>
      </c>
      <c r="H1295" s="2217">
        <v>999999</v>
      </c>
      <c r="I1295" s="2212"/>
    </row>
    <row r="1297" spans="2:16">
      <c r="C1297" s="2218">
        <v>42776</v>
      </c>
      <c r="D1297" s="14" t="s">
        <v>13713</v>
      </c>
      <c r="E1297" s="14" t="s">
        <v>14993</v>
      </c>
      <c r="F1297" s="14">
        <v>84</v>
      </c>
      <c r="G1297" s="14"/>
      <c r="H1297" s="14" t="s">
        <v>15130</v>
      </c>
      <c r="I1297" s="14"/>
      <c r="J1297" s="2219" t="s">
        <v>15131</v>
      </c>
      <c r="K1297" s="654" t="s">
        <v>15132</v>
      </c>
      <c r="P1297" s="654" t="s">
        <v>15132</v>
      </c>
    </row>
    <row r="1298" spans="2:16">
      <c r="C1298" s="2218">
        <v>42776</v>
      </c>
      <c r="D1298" s="14" t="s">
        <v>12597</v>
      </c>
      <c r="E1298" s="14" t="s">
        <v>14976</v>
      </c>
      <c r="F1298" s="14" t="s">
        <v>15133</v>
      </c>
      <c r="G1298" s="14"/>
      <c r="H1298" s="14" t="s">
        <v>15130</v>
      </c>
      <c r="I1298" s="14"/>
      <c r="J1298" s="2219" t="s">
        <v>15134</v>
      </c>
      <c r="K1298" s="654" t="s">
        <v>15132</v>
      </c>
      <c r="P1298" s="654" t="s">
        <v>15132</v>
      </c>
    </row>
    <row r="1299" spans="2:16">
      <c r="C1299" s="2218">
        <v>42776</v>
      </c>
      <c r="D1299" s="14" t="s">
        <v>12597</v>
      </c>
      <c r="E1299" s="14" t="s">
        <v>14864</v>
      </c>
      <c r="F1299" s="14" t="s">
        <v>15135</v>
      </c>
      <c r="G1299" s="14"/>
      <c r="H1299" s="14" t="s">
        <v>15130</v>
      </c>
      <c r="I1299" s="14"/>
      <c r="J1299" s="2219" t="s">
        <v>15136</v>
      </c>
      <c r="K1299" s="654" t="s">
        <v>15132</v>
      </c>
      <c r="P1299" s="654" t="s">
        <v>15132</v>
      </c>
    </row>
    <row r="1300" spans="2:16">
      <c r="C1300" s="2218">
        <v>42776</v>
      </c>
      <c r="D1300" s="14" t="s">
        <v>12597</v>
      </c>
      <c r="E1300" s="14" t="s">
        <v>14859</v>
      </c>
      <c r="F1300" s="14" t="s">
        <v>15137</v>
      </c>
      <c r="G1300" s="14"/>
      <c r="H1300" s="14" t="s">
        <v>15130</v>
      </c>
      <c r="I1300" s="14"/>
      <c r="J1300" s="2219" t="s">
        <v>15138</v>
      </c>
      <c r="K1300" s="654" t="s">
        <v>15132</v>
      </c>
      <c r="P1300" s="654" t="s">
        <v>15132</v>
      </c>
    </row>
    <row r="1301" spans="2:16" ht="25">
      <c r="C1301" s="2218">
        <v>42776</v>
      </c>
      <c r="D1301" s="14" t="s">
        <v>12597</v>
      </c>
      <c r="E1301" s="14" t="s">
        <v>14749</v>
      </c>
      <c r="F1301" s="14" t="s">
        <v>15139</v>
      </c>
      <c r="G1301" s="14"/>
      <c r="H1301" s="14" t="s">
        <v>15130</v>
      </c>
      <c r="I1301" s="14"/>
      <c r="J1301" s="2219" t="s">
        <v>15140</v>
      </c>
      <c r="K1301" s="654" t="s">
        <v>15132</v>
      </c>
      <c r="P1301" s="654" t="s">
        <v>15132</v>
      </c>
    </row>
    <row r="1302" spans="2:16">
      <c r="C1302" s="2218">
        <v>42776</v>
      </c>
      <c r="D1302" s="14" t="s">
        <v>13981</v>
      </c>
      <c r="E1302" s="14"/>
      <c r="F1302" s="14"/>
      <c r="G1302" s="14"/>
      <c r="H1302" s="14" t="s">
        <v>15130</v>
      </c>
      <c r="I1302" s="14"/>
      <c r="J1302" s="2219" t="s">
        <v>15141</v>
      </c>
      <c r="K1302" s="654" t="s">
        <v>15132</v>
      </c>
      <c r="P1302" s="654" t="s">
        <v>15132</v>
      </c>
    </row>
    <row r="1304" spans="2:16">
      <c r="B1304" s="654" t="s">
        <v>15142</v>
      </c>
      <c r="C1304" s="2182">
        <v>43059</v>
      </c>
      <c r="D1304" s="14" t="s">
        <v>13713</v>
      </c>
      <c r="E1304" s="14" t="s">
        <v>14993</v>
      </c>
      <c r="F1304" s="14">
        <v>84</v>
      </c>
      <c r="G1304" s="14"/>
      <c r="H1304" s="14"/>
      <c r="I1304" s="14"/>
      <c r="J1304" s="2219" t="s">
        <v>15143</v>
      </c>
      <c r="P1304" t="s">
        <v>15144</v>
      </c>
    </row>
    <row r="1305" spans="2:16">
      <c r="C1305" s="2182">
        <v>43059</v>
      </c>
      <c r="D1305" s="14" t="s">
        <v>12597</v>
      </c>
      <c r="E1305" s="14" t="s">
        <v>14976</v>
      </c>
      <c r="F1305" s="14" t="s">
        <v>15133</v>
      </c>
      <c r="G1305" s="14"/>
      <c r="H1305" s="14"/>
      <c r="I1305" s="14"/>
      <c r="J1305" s="2219" t="s">
        <v>15145</v>
      </c>
      <c r="P1305" t="s">
        <v>15144</v>
      </c>
    </row>
    <row r="1306" spans="2:16">
      <c r="C1306" s="2182">
        <v>43059</v>
      </c>
      <c r="D1306" s="14" t="s">
        <v>12597</v>
      </c>
      <c r="E1306" s="14" t="s">
        <v>14864</v>
      </c>
      <c r="F1306" s="14" t="s">
        <v>15135</v>
      </c>
      <c r="G1306" s="14"/>
      <c r="H1306" s="14"/>
      <c r="I1306" s="14"/>
      <c r="J1306" s="2219" t="s">
        <v>15146</v>
      </c>
      <c r="P1306" t="s">
        <v>15144</v>
      </c>
    </row>
    <row r="1307" spans="2:16">
      <c r="C1307" s="2182">
        <v>43059</v>
      </c>
      <c r="D1307" s="14" t="s">
        <v>12597</v>
      </c>
      <c r="E1307" s="14" t="s">
        <v>14859</v>
      </c>
      <c r="F1307" s="14" t="s">
        <v>15137</v>
      </c>
      <c r="G1307" s="14"/>
      <c r="H1307" s="14"/>
      <c r="I1307" s="14"/>
      <c r="J1307" s="2219" t="s">
        <v>15147</v>
      </c>
      <c r="P1307" t="s">
        <v>15144</v>
      </c>
    </row>
    <row r="1308" spans="2:16" ht="25">
      <c r="C1308" s="2182">
        <v>43059</v>
      </c>
      <c r="D1308" s="14" t="s">
        <v>12597</v>
      </c>
      <c r="E1308" s="14" t="s">
        <v>14749</v>
      </c>
      <c r="F1308" s="14" t="s">
        <v>15139</v>
      </c>
      <c r="G1308" s="14"/>
      <c r="H1308" s="14"/>
      <c r="I1308" s="14"/>
      <c r="J1308" s="2219" t="s">
        <v>15148</v>
      </c>
      <c r="P1308" t="s">
        <v>15144</v>
      </c>
    </row>
    <row r="1309" spans="2:16">
      <c r="C1309" s="2182">
        <v>43077</v>
      </c>
      <c r="D1309" s="14" t="s">
        <v>12597</v>
      </c>
      <c r="E1309" s="14" t="s">
        <v>15030</v>
      </c>
      <c r="J1309" s="2219" t="s">
        <v>15149</v>
      </c>
      <c r="P1309" s="654" t="s">
        <v>15144</v>
      </c>
    </row>
    <row r="1310" spans="2:16">
      <c r="B1310" s="654" t="s">
        <v>15150</v>
      </c>
      <c r="C1310" s="2182">
        <v>43133</v>
      </c>
      <c r="J1310" s="2219" t="s">
        <v>15151</v>
      </c>
      <c r="P1310" s="654" t="s">
        <v>15024</v>
      </c>
    </row>
    <row r="1311" spans="2:16">
      <c r="C1311" s="2182">
        <v>43140</v>
      </c>
      <c r="D1311" s="14" t="s">
        <v>13740</v>
      </c>
      <c r="J1311" s="2219" t="s">
        <v>15152</v>
      </c>
      <c r="P1311" s="654" t="s">
        <v>15024</v>
      </c>
    </row>
    <row r="1313" spans="2:16">
      <c r="B1313" t="s">
        <v>15153</v>
      </c>
    </row>
    <row r="1314" spans="2:16">
      <c r="C1314" s="2182">
        <v>43151</v>
      </c>
      <c r="D1314" t="s">
        <v>12597</v>
      </c>
      <c r="E1314" t="s">
        <v>15154</v>
      </c>
      <c r="F1314" t="s">
        <v>14985</v>
      </c>
      <c r="G1314" t="s">
        <v>15155</v>
      </c>
      <c r="J1314" t="s">
        <v>15156</v>
      </c>
      <c r="P1314" t="s">
        <v>15132</v>
      </c>
    </row>
    <row r="1315" spans="2:16">
      <c r="D1315" t="s">
        <v>12597</v>
      </c>
      <c r="E1315" t="s">
        <v>15154</v>
      </c>
      <c r="F1315" t="s">
        <v>15157</v>
      </c>
      <c r="G1315" t="s">
        <v>15155</v>
      </c>
      <c r="J1315" t="s">
        <v>15158</v>
      </c>
      <c r="P1315" t="s">
        <v>15132</v>
      </c>
    </row>
    <row r="1316" spans="2:16">
      <c r="D1316" t="s">
        <v>12597</v>
      </c>
      <c r="E1316" t="s">
        <v>14749</v>
      </c>
      <c r="F1316" t="s">
        <v>15159</v>
      </c>
      <c r="G1316" t="s">
        <v>15155</v>
      </c>
      <c r="J1316" t="s">
        <v>15160</v>
      </c>
      <c r="P1316" t="s">
        <v>15132</v>
      </c>
    </row>
    <row r="1318" spans="2:16">
      <c r="C1318" s="2182">
        <v>43259</v>
      </c>
      <c r="E1318" t="s">
        <v>15120</v>
      </c>
      <c r="J1318" t="s">
        <v>15161</v>
      </c>
      <c r="P1318" t="s">
        <v>15024</v>
      </c>
    </row>
    <row r="1319" spans="2:16">
      <c r="C1319" s="2182">
        <v>43420</v>
      </c>
      <c r="E1319" s="654" t="s">
        <v>15120</v>
      </c>
      <c r="J1319" s="654" t="s">
        <v>15162</v>
      </c>
      <c r="P1319" s="654" t="s">
        <v>15163</v>
      </c>
    </row>
    <row r="1320" spans="2:16">
      <c r="B1320" t="s">
        <v>15164</v>
      </c>
      <c r="C1320" s="2182">
        <v>43489</v>
      </c>
      <c r="E1320" s="654" t="s">
        <v>15120</v>
      </c>
      <c r="J1320" s="654" t="s">
        <v>15165</v>
      </c>
      <c r="P1320" s="654" t="s">
        <v>15024</v>
      </c>
    </row>
    <row r="1322" spans="2:16">
      <c r="C1322" s="2182">
        <v>43641</v>
      </c>
      <c r="E1322" s="654" t="s">
        <v>15120</v>
      </c>
      <c r="F1322">
        <v>208</v>
      </c>
      <c r="J1322" t="s">
        <v>15166</v>
      </c>
      <c r="P1322" t="s">
        <v>15024</v>
      </c>
    </row>
    <row r="1324" spans="2:16">
      <c r="C1324" s="2182">
        <v>43747</v>
      </c>
      <c r="E1324" s="654" t="s">
        <v>15120</v>
      </c>
      <c r="J1324" t="s">
        <v>15167</v>
      </c>
      <c r="P1324" t="s">
        <v>15024</v>
      </c>
    </row>
    <row r="1325" spans="2:16">
      <c r="J1325" t="s">
        <v>15168</v>
      </c>
      <c r="P1325" t="s">
        <v>15024</v>
      </c>
    </row>
    <row r="1326" spans="2:16">
      <c r="J1326" t="s">
        <v>15169</v>
      </c>
      <c r="P1326" t="s">
        <v>15024</v>
      </c>
    </row>
    <row r="1328" spans="2:16">
      <c r="B1328" t="s">
        <v>15170</v>
      </c>
      <c r="C1328" s="2182">
        <v>43802</v>
      </c>
      <c r="E1328" t="s">
        <v>15120</v>
      </c>
      <c r="J1328" s="654" t="s">
        <v>15171</v>
      </c>
      <c r="P1328" s="654" t="s">
        <v>15024</v>
      </c>
    </row>
    <row r="1331" spans="2:16">
      <c r="C1331" s="2182">
        <v>43871</v>
      </c>
      <c r="D1331" t="s">
        <v>15120</v>
      </c>
      <c r="E1331" t="s">
        <v>157</v>
      </c>
      <c r="F1331">
        <v>582</v>
      </c>
      <c r="J1331" t="s">
        <v>15172</v>
      </c>
      <c r="P1331" t="s">
        <v>15024</v>
      </c>
    </row>
    <row r="1333" spans="2:16">
      <c r="B1333" t="s">
        <v>15173</v>
      </c>
      <c r="J1333" t="s">
        <v>15174</v>
      </c>
      <c r="P1333" t="s">
        <v>15024</v>
      </c>
    </row>
    <row r="1334" spans="2:16">
      <c r="C1334" s="2182">
        <v>44293</v>
      </c>
      <c r="D1334" t="s">
        <v>15120</v>
      </c>
      <c r="E1334" s="654" t="s">
        <v>157</v>
      </c>
      <c r="F1334" s="654" t="s">
        <v>15175</v>
      </c>
      <c r="J1334" s="654" t="s">
        <v>15176</v>
      </c>
      <c r="P1334" s="654" t="s">
        <v>15024</v>
      </c>
    </row>
    <row r="1336" spans="2:16">
      <c r="C1336" s="2182">
        <v>44293</v>
      </c>
      <c r="D1336" s="654" t="s">
        <v>14450</v>
      </c>
      <c r="J1336" s="654" t="s">
        <v>15177</v>
      </c>
      <c r="P1336" s="654" t="s">
        <v>15024</v>
      </c>
    </row>
    <row r="1338" spans="2:16">
      <c r="C1338" s="2182">
        <v>44340</v>
      </c>
      <c r="D1338" t="s">
        <v>15178</v>
      </c>
      <c r="F1338" t="s">
        <v>157</v>
      </c>
      <c r="J1338" t="s">
        <v>15179</v>
      </c>
    </row>
    <row r="1340" spans="2:16">
      <c r="C1340" s="2182">
        <v>44351</v>
      </c>
      <c r="D1340" t="s">
        <v>15180</v>
      </c>
      <c r="E1340" t="s">
        <v>157</v>
      </c>
      <c r="F1340">
        <v>582</v>
      </c>
      <c r="J1340" t="s">
        <v>15181</v>
      </c>
    </row>
    <row r="1342" spans="2:16">
      <c r="B1342" t="s">
        <v>15182</v>
      </c>
      <c r="C1342" s="2182">
        <v>44474</v>
      </c>
      <c r="D1342" t="s">
        <v>15180</v>
      </c>
    </row>
    <row r="1344" spans="2:16">
      <c r="D1344" t="s">
        <v>15180</v>
      </c>
      <c r="E1344" t="s">
        <v>15183</v>
      </c>
      <c r="F1344">
        <v>232</v>
      </c>
      <c r="J1344" t="s">
        <v>15184</v>
      </c>
      <c r="P1344" t="s">
        <v>15024</v>
      </c>
    </row>
    <row r="1346" spans="2:16">
      <c r="D1346" t="s">
        <v>15180</v>
      </c>
      <c r="E1346" t="s">
        <v>15183</v>
      </c>
      <c r="F1346">
        <v>89</v>
      </c>
      <c r="J1346" t="s">
        <v>15185</v>
      </c>
      <c r="P1346" t="s">
        <v>15024</v>
      </c>
    </row>
    <row r="1348" spans="2:16" ht="37.5">
      <c r="C1348" s="2182">
        <v>44489</v>
      </c>
      <c r="D1348" s="654" t="s">
        <v>14450</v>
      </c>
      <c r="E1348" s="654" t="s">
        <v>15186</v>
      </c>
      <c r="F1348" s="654" t="s">
        <v>15187</v>
      </c>
      <c r="J1348" s="2219" t="s">
        <v>15188</v>
      </c>
      <c r="P1348" s="654" t="s">
        <v>15024</v>
      </c>
    </row>
    <row r="1350" spans="2:16">
      <c r="C1350" s="2182">
        <v>44679</v>
      </c>
      <c r="D1350" t="s">
        <v>15180</v>
      </c>
      <c r="E1350" s="654" t="s">
        <v>157</v>
      </c>
      <c r="F1350" s="654" t="s">
        <v>15189</v>
      </c>
      <c r="J1350" s="654" t="s">
        <v>15190</v>
      </c>
      <c r="P1350" s="654" t="s">
        <v>15024</v>
      </c>
    </row>
    <row r="1352" spans="2:16">
      <c r="D1352" t="s">
        <v>15180</v>
      </c>
      <c r="E1352" s="654" t="s">
        <v>13985</v>
      </c>
      <c r="F1352" s="654" t="s">
        <v>15191</v>
      </c>
      <c r="J1352" s="654" t="s">
        <v>15192</v>
      </c>
      <c r="P1352" s="654" t="s">
        <v>15024</v>
      </c>
    </row>
    <row r="1353" spans="2:16" ht="37.5">
      <c r="B1353" t="s">
        <v>15193</v>
      </c>
      <c r="C1353" s="2182">
        <v>44721</v>
      </c>
      <c r="J1353" s="749" t="s">
        <v>15194</v>
      </c>
      <c r="P1353" s="654" t="s">
        <v>15195</v>
      </c>
    </row>
    <row r="1354" spans="2:16">
      <c r="C1354" s="2182">
        <v>44754</v>
      </c>
      <c r="J1354" s="654" t="s">
        <v>15196</v>
      </c>
      <c r="P1354" s="654" t="s">
        <v>15195</v>
      </c>
    </row>
    <row r="1355" spans="2:16">
      <c r="C1355" s="2182">
        <v>44782</v>
      </c>
      <c r="J1355" s="654" t="s">
        <v>15197</v>
      </c>
      <c r="P1355" s="654" t="s">
        <v>15195</v>
      </c>
    </row>
    <row r="1357" spans="2:16">
      <c r="B1357" t="s">
        <v>15198</v>
      </c>
      <c r="C1357" s="2182">
        <v>44925</v>
      </c>
      <c r="J1357" t="s">
        <v>15199</v>
      </c>
      <c r="P1357" t="s">
        <v>15024</v>
      </c>
    </row>
    <row r="1359" spans="2:16">
      <c r="C1359" s="2182">
        <v>44986</v>
      </c>
      <c r="D1359" s="820" t="s">
        <v>13722</v>
      </c>
      <c r="E1359" s="820" t="s">
        <v>15056</v>
      </c>
      <c r="F1359" s="820" t="s">
        <v>15200</v>
      </c>
      <c r="G1359" s="820"/>
      <c r="H1359" s="820"/>
      <c r="I1359" s="820" t="s">
        <v>15201</v>
      </c>
      <c r="J1359" s="820" t="s">
        <v>15202</v>
      </c>
      <c r="P1359" s="654" t="s">
        <v>15203</v>
      </c>
    </row>
    <row r="1360" spans="2:16">
      <c r="C1360" s="2182">
        <v>44986</v>
      </c>
      <c r="D1360" s="820" t="s">
        <v>13722</v>
      </c>
      <c r="E1360" s="820" t="s">
        <v>15056</v>
      </c>
      <c r="F1360" s="820" t="s">
        <v>15204</v>
      </c>
      <c r="G1360" s="820"/>
      <c r="H1360" s="820"/>
      <c r="I1360" s="820" t="s">
        <v>15201</v>
      </c>
      <c r="J1360" s="820" t="s">
        <v>15205</v>
      </c>
      <c r="P1360" s="654" t="s">
        <v>15203</v>
      </c>
    </row>
    <row r="1361" spans="3:16" ht="25">
      <c r="C1361" s="2182">
        <v>44986</v>
      </c>
      <c r="D1361" s="820" t="s">
        <v>13722</v>
      </c>
      <c r="E1361" s="820" t="s">
        <v>14744</v>
      </c>
      <c r="F1361" s="820" t="s">
        <v>15206</v>
      </c>
      <c r="G1361" s="820"/>
      <c r="H1361" s="820"/>
      <c r="I1361" s="2175" t="s">
        <v>15201</v>
      </c>
      <c r="J1361" s="2260" t="s">
        <v>15207</v>
      </c>
      <c r="P1361" s="654" t="s">
        <v>15203</v>
      </c>
    </row>
    <row r="1362" spans="3:16" ht="25">
      <c r="C1362" s="2182">
        <v>44986</v>
      </c>
      <c r="D1362" s="820" t="s">
        <v>13722</v>
      </c>
      <c r="E1362" s="820" t="s">
        <v>14744</v>
      </c>
      <c r="F1362" s="820" t="s">
        <v>15208</v>
      </c>
      <c r="G1362" s="820"/>
      <c r="H1362" s="820"/>
      <c r="I1362" s="2175" t="s">
        <v>15201</v>
      </c>
      <c r="J1362" s="2260" t="s">
        <v>15209</v>
      </c>
      <c r="P1362" s="654" t="s">
        <v>15203</v>
      </c>
    </row>
    <row r="1363" spans="3:16" ht="25">
      <c r="C1363" s="2182">
        <v>44986</v>
      </c>
      <c r="D1363" s="820" t="s">
        <v>13722</v>
      </c>
      <c r="E1363" s="820" t="s">
        <v>15056</v>
      </c>
      <c r="F1363" s="820" t="s">
        <v>15210</v>
      </c>
      <c r="G1363" s="820"/>
      <c r="H1363" s="820"/>
      <c r="I1363" s="2175" t="s">
        <v>15201</v>
      </c>
      <c r="J1363" s="2260" t="s">
        <v>15211</v>
      </c>
      <c r="P1363" s="654" t="s">
        <v>15203</v>
      </c>
    </row>
    <row r="1364" spans="3:16" ht="25">
      <c r="C1364" s="2182">
        <v>44986</v>
      </c>
      <c r="D1364" s="820" t="s">
        <v>13722</v>
      </c>
      <c r="E1364" s="820" t="s">
        <v>15056</v>
      </c>
      <c r="F1364" s="820" t="s">
        <v>15212</v>
      </c>
      <c r="G1364" s="820"/>
      <c r="H1364" s="820"/>
      <c r="I1364" s="2175" t="s">
        <v>15201</v>
      </c>
      <c r="J1364" s="2260" t="s">
        <v>15213</v>
      </c>
      <c r="P1364" s="654" t="s">
        <v>15203</v>
      </c>
    </row>
    <row r="1365" spans="3:16" ht="50">
      <c r="C1365" s="2182">
        <v>44986</v>
      </c>
      <c r="D1365" s="820" t="s">
        <v>13722</v>
      </c>
      <c r="E1365" s="820" t="s">
        <v>15056</v>
      </c>
      <c r="F1365" s="820" t="s">
        <v>15214</v>
      </c>
      <c r="G1365" s="820"/>
      <c r="H1365" s="820"/>
      <c r="I1365" s="2175"/>
      <c r="J1365" s="2260" t="s">
        <v>15215</v>
      </c>
      <c r="P1365" s="654" t="s">
        <v>15203</v>
      </c>
    </row>
    <row r="1366" spans="3:16" ht="50">
      <c r="C1366" s="2182">
        <v>44986</v>
      </c>
      <c r="D1366" s="820" t="s">
        <v>13722</v>
      </c>
      <c r="E1366" s="820" t="s">
        <v>14744</v>
      </c>
      <c r="F1366" s="820" t="s">
        <v>15216</v>
      </c>
      <c r="G1366" s="820"/>
      <c r="H1366" s="820"/>
      <c r="I1366" s="820"/>
      <c r="J1366" s="2260" t="s">
        <v>15217</v>
      </c>
      <c r="P1366" s="654" t="s">
        <v>15203</v>
      </c>
    </row>
    <row r="1367" spans="3:16">
      <c r="C1367" s="2182">
        <v>44986</v>
      </c>
      <c r="D1367" s="820" t="s">
        <v>14027</v>
      </c>
      <c r="E1367" s="820" t="s">
        <v>143</v>
      </c>
      <c r="F1367" s="820" t="s">
        <v>15218</v>
      </c>
      <c r="G1367" s="820"/>
      <c r="H1367" s="820"/>
      <c r="I1367" s="2175" t="s">
        <v>15201</v>
      </c>
      <c r="J1367" s="820" t="s">
        <v>15219</v>
      </c>
      <c r="P1367" s="654" t="s">
        <v>15203</v>
      </c>
    </row>
    <row r="1368" spans="3:16">
      <c r="C1368" s="2182">
        <v>44986</v>
      </c>
      <c r="D1368" s="820" t="s">
        <v>14027</v>
      </c>
      <c r="E1368" s="820" t="s">
        <v>14697</v>
      </c>
      <c r="F1368" s="820">
        <v>30</v>
      </c>
      <c r="G1368" s="820"/>
      <c r="H1368" s="820"/>
      <c r="I1368" s="2175" t="s">
        <v>15201</v>
      </c>
      <c r="J1368" s="820" t="s">
        <v>15220</v>
      </c>
      <c r="P1368" s="654" t="s">
        <v>15203</v>
      </c>
    </row>
    <row r="1369" spans="3:16">
      <c r="C1369" s="2182">
        <v>44986</v>
      </c>
      <c r="D1369" s="820" t="s">
        <v>14027</v>
      </c>
      <c r="E1369" s="820" t="s">
        <v>15221</v>
      </c>
      <c r="F1369" s="820">
        <v>32</v>
      </c>
      <c r="G1369" s="820"/>
      <c r="H1369" s="820"/>
      <c r="I1369" s="2175" t="s">
        <v>15201</v>
      </c>
      <c r="J1369" s="2261" t="s">
        <v>15222</v>
      </c>
      <c r="P1369" s="654" t="s">
        <v>15203</v>
      </c>
    </row>
    <row r="1370" spans="3:16">
      <c r="C1370" s="2182">
        <v>44986</v>
      </c>
      <c r="D1370" s="820" t="s">
        <v>14027</v>
      </c>
      <c r="E1370" s="820" t="s">
        <v>15223</v>
      </c>
      <c r="F1370" s="820">
        <v>49</v>
      </c>
      <c r="G1370" s="820"/>
      <c r="H1370" s="820"/>
      <c r="I1370" s="2175" t="s">
        <v>15201</v>
      </c>
      <c r="J1370" s="820" t="s">
        <v>15224</v>
      </c>
      <c r="P1370" s="654" t="s">
        <v>15203</v>
      </c>
    </row>
    <row r="1371" spans="3:16">
      <c r="C1371" s="2182">
        <v>44986</v>
      </c>
      <c r="D1371" s="820" t="s">
        <v>14027</v>
      </c>
      <c r="E1371" s="820"/>
      <c r="F1371" s="820" t="s">
        <v>15225</v>
      </c>
      <c r="G1371" s="820"/>
      <c r="H1371" s="820"/>
      <c r="I1371" s="2175" t="s">
        <v>15201</v>
      </c>
      <c r="J1371" s="820" t="s">
        <v>15226</v>
      </c>
      <c r="P1371" s="654" t="s">
        <v>15203</v>
      </c>
    </row>
    <row r="1372" spans="3:16">
      <c r="C1372" s="2182">
        <v>44986</v>
      </c>
      <c r="D1372" s="820" t="s">
        <v>14027</v>
      </c>
      <c r="E1372" s="820"/>
      <c r="F1372" s="820" t="s">
        <v>15227</v>
      </c>
      <c r="G1372" s="820"/>
      <c r="H1372" s="820"/>
      <c r="I1372" s="2175" t="s">
        <v>15201</v>
      </c>
      <c r="J1372" s="820" t="s">
        <v>15228</v>
      </c>
      <c r="P1372" s="654" t="s">
        <v>15203</v>
      </c>
    </row>
    <row r="1373" spans="3:16">
      <c r="C1373" s="2182">
        <v>44986</v>
      </c>
      <c r="D1373" s="820" t="s">
        <v>14027</v>
      </c>
      <c r="E1373" s="820"/>
      <c r="F1373" s="820">
        <v>82</v>
      </c>
      <c r="G1373" s="820"/>
      <c r="H1373" s="820"/>
      <c r="I1373" s="2175" t="s">
        <v>15201</v>
      </c>
      <c r="J1373" s="820" t="s">
        <v>15229</v>
      </c>
      <c r="P1373" s="654" t="s">
        <v>15203</v>
      </c>
    </row>
    <row r="1374" spans="3:16">
      <c r="C1374" s="2182">
        <v>44986</v>
      </c>
      <c r="D1374" s="820" t="s">
        <v>14847</v>
      </c>
      <c r="E1374" s="820" t="s">
        <v>15061</v>
      </c>
      <c r="F1374" s="2262" t="s">
        <v>15230</v>
      </c>
      <c r="G1374" s="820"/>
      <c r="H1374" s="820"/>
      <c r="I1374" s="2175" t="s">
        <v>15201</v>
      </c>
      <c r="J1374" s="820" t="s">
        <v>15231</v>
      </c>
      <c r="P1374" s="654" t="s">
        <v>15203</v>
      </c>
    </row>
    <row r="1375" spans="3:16">
      <c r="C1375" s="2182">
        <v>44986</v>
      </c>
      <c r="D1375" s="820" t="s">
        <v>14847</v>
      </c>
      <c r="E1375" s="820" t="s">
        <v>15061</v>
      </c>
      <c r="F1375" s="820" t="s">
        <v>15232</v>
      </c>
      <c r="G1375" s="820"/>
      <c r="H1375" s="820"/>
      <c r="I1375" s="2175" t="s">
        <v>15201</v>
      </c>
      <c r="J1375" s="820" t="s">
        <v>15233</v>
      </c>
      <c r="P1375" s="654" t="s">
        <v>15203</v>
      </c>
    </row>
    <row r="1376" spans="3:16">
      <c r="C1376" s="2182">
        <v>44986</v>
      </c>
      <c r="D1376" s="820" t="s">
        <v>14847</v>
      </c>
      <c r="E1376" s="820" t="s">
        <v>15061</v>
      </c>
      <c r="F1376" s="2175" t="s">
        <v>15234</v>
      </c>
      <c r="G1376" s="820"/>
      <c r="H1376" s="820"/>
      <c r="I1376" s="2175"/>
      <c r="J1376" s="820" t="s">
        <v>15235</v>
      </c>
      <c r="P1376" s="654" t="s">
        <v>15203</v>
      </c>
    </row>
    <row r="1377" spans="3:16">
      <c r="C1377" s="2182">
        <v>44986</v>
      </c>
      <c r="D1377" s="820" t="s">
        <v>14847</v>
      </c>
      <c r="E1377" s="820" t="s">
        <v>15061</v>
      </c>
      <c r="F1377" s="2175" t="s">
        <v>15236</v>
      </c>
      <c r="G1377" s="820"/>
      <c r="H1377" s="820"/>
      <c r="I1377" s="2175" t="s">
        <v>15201</v>
      </c>
      <c r="J1377" s="820" t="s">
        <v>15237</v>
      </c>
      <c r="P1377" s="654" t="s">
        <v>15203</v>
      </c>
    </row>
    <row r="1378" spans="3:16">
      <c r="C1378" s="2182">
        <v>44986</v>
      </c>
      <c r="D1378" s="820" t="s">
        <v>14847</v>
      </c>
      <c r="E1378" s="820" t="s">
        <v>15061</v>
      </c>
      <c r="F1378" s="2175" t="s">
        <v>15238</v>
      </c>
      <c r="G1378" s="820"/>
      <c r="H1378" s="820"/>
      <c r="I1378" s="2175" t="s">
        <v>15201</v>
      </c>
      <c r="J1378" s="820" t="s">
        <v>15239</v>
      </c>
      <c r="P1378" s="654" t="s">
        <v>15203</v>
      </c>
    </row>
    <row r="1379" spans="3:16">
      <c r="C1379" s="2182">
        <v>44986</v>
      </c>
      <c r="D1379" s="820" t="s">
        <v>15240</v>
      </c>
      <c r="E1379" s="820" t="s">
        <v>15241</v>
      </c>
      <c r="F1379" s="820" t="s">
        <v>15242</v>
      </c>
      <c r="G1379" s="820"/>
      <c r="H1379" s="820"/>
      <c r="I1379" s="2175" t="s">
        <v>15201</v>
      </c>
      <c r="J1379" s="820" t="s">
        <v>15243</v>
      </c>
      <c r="P1379" s="654" t="s">
        <v>15203</v>
      </c>
    </row>
    <row r="1380" spans="3:16">
      <c r="C1380" s="2182">
        <v>44986</v>
      </c>
      <c r="D1380" s="820" t="s">
        <v>15240</v>
      </c>
      <c r="E1380" s="820" t="s">
        <v>15241</v>
      </c>
      <c r="F1380" s="820" t="s">
        <v>15244</v>
      </c>
      <c r="G1380" s="820"/>
      <c r="H1380" s="820"/>
      <c r="I1380" s="2175" t="s">
        <v>15201</v>
      </c>
      <c r="J1380" s="820" t="s">
        <v>15245</v>
      </c>
      <c r="P1380" s="654" t="s">
        <v>15203</v>
      </c>
    </row>
    <row r="1381" spans="3:16">
      <c r="C1381" s="2182">
        <v>44986</v>
      </c>
      <c r="D1381" s="820" t="s">
        <v>13753</v>
      </c>
      <c r="E1381" s="820" t="s">
        <v>14241</v>
      </c>
      <c r="F1381" s="820">
        <v>2199</v>
      </c>
      <c r="G1381" s="820"/>
      <c r="H1381" s="820"/>
      <c r="I1381" s="2175" t="s">
        <v>15201</v>
      </c>
      <c r="J1381" s="820" t="s">
        <v>15246</v>
      </c>
      <c r="P1381" s="654" t="s">
        <v>15203</v>
      </c>
    </row>
    <row r="1382" spans="3:16">
      <c r="C1382" s="2182">
        <v>44986</v>
      </c>
      <c r="D1382" s="820" t="s">
        <v>13753</v>
      </c>
      <c r="E1382" s="820" t="s">
        <v>14241</v>
      </c>
      <c r="F1382" s="820">
        <v>2202</v>
      </c>
      <c r="G1382" s="820"/>
      <c r="H1382" s="820"/>
      <c r="I1382" s="2175" t="s">
        <v>15201</v>
      </c>
      <c r="J1382" s="820" t="s">
        <v>15247</v>
      </c>
      <c r="P1382" s="654" t="s">
        <v>15203</v>
      </c>
    </row>
    <row r="1383" spans="3:16">
      <c r="C1383" s="2182">
        <v>44986</v>
      </c>
      <c r="D1383" s="820" t="s">
        <v>14450</v>
      </c>
      <c r="E1383" s="820" t="s">
        <v>114</v>
      </c>
      <c r="F1383" s="820">
        <v>24</v>
      </c>
      <c r="G1383" s="820"/>
      <c r="H1383" s="820"/>
      <c r="I1383" s="2175" t="s">
        <v>15201</v>
      </c>
      <c r="J1383" s="820" t="s">
        <v>15248</v>
      </c>
      <c r="P1383" s="654" t="s">
        <v>15203</v>
      </c>
    </row>
    <row r="1384" spans="3:16">
      <c r="C1384" s="2182">
        <v>44986</v>
      </c>
      <c r="D1384" s="820" t="s">
        <v>14450</v>
      </c>
      <c r="E1384" s="820" t="s">
        <v>114</v>
      </c>
      <c r="F1384" s="820">
        <v>25</v>
      </c>
      <c r="G1384" s="820"/>
      <c r="H1384" s="820"/>
      <c r="I1384" s="2175" t="s">
        <v>15201</v>
      </c>
      <c r="J1384" s="820" t="s">
        <v>15249</v>
      </c>
      <c r="P1384" s="654" t="s">
        <v>15203</v>
      </c>
    </row>
    <row r="1385" spans="3:16">
      <c r="C1385" s="2182">
        <v>44986</v>
      </c>
      <c r="D1385" s="820" t="s">
        <v>14450</v>
      </c>
      <c r="E1385" s="820" t="s">
        <v>13723</v>
      </c>
      <c r="F1385" s="820">
        <v>24</v>
      </c>
      <c r="G1385" s="820"/>
      <c r="H1385" s="820"/>
      <c r="I1385" s="2175" t="s">
        <v>15201</v>
      </c>
      <c r="J1385" s="820" t="s">
        <v>15250</v>
      </c>
      <c r="P1385" s="654" t="s">
        <v>15203</v>
      </c>
    </row>
    <row r="1386" spans="3:16">
      <c r="C1386" s="2182">
        <v>44986</v>
      </c>
      <c r="D1386" s="820" t="s">
        <v>14450</v>
      </c>
      <c r="E1386" s="820" t="s">
        <v>13723</v>
      </c>
      <c r="F1386" s="820">
        <v>25</v>
      </c>
      <c r="G1386" s="820"/>
      <c r="H1386" s="820"/>
      <c r="I1386" s="2175" t="s">
        <v>15201</v>
      </c>
      <c r="J1386" s="820" t="s">
        <v>15251</v>
      </c>
      <c r="P1386" s="654" t="s">
        <v>15203</v>
      </c>
    </row>
    <row r="1387" spans="3:16">
      <c r="C1387" s="2182">
        <v>44986</v>
      </c>
      <c r="D1387" s="820" t="s">
        <v>15240</v>
      </c>
      <c r="E1387" s="820" t="s">
        <v>15241</v>
      </c>
      <c r="F1387" s="820" t="s">
        <v>15252</v>
      </c>
      <c r="G1387" s="820"/>
      <c r="H1387" s="820"/>
      <c r="I1387" s="820"/>
      <c r="J1387" s="820" t="s">
        <v>15253</v>
      </c>
      <c r="P1387" s="654" t="s">
        <v>15203</v>
      </c>
    </row>
    <row r="1388" spans="3:16">
      <c r="C1388" s="2182">
        <v>44986</v>
      </c>
      <c r="D1388" s="820"/>
      <c r="E1388" s="820"/>
      <c r="F1388" s="820"/>
      <c r="G1388" s="820"/>
      <c r="H1388" s="820"/>
      <c r="I1388" s="820"/>
      <c r="J1388" s="820"/>
      <c r="P1388" s="654"/>
    </row>
    <row r="1389" spans="3:16">
      <c r="C1389" s="2182">
        <v>44986</v>
      </c>
      <c r="D1389" s="820" t="s">
        <v>12597</v>
      </c>
      <c r="E1389" s="820" t="s">
        <v>14749</v>
      </c>
      <c r="F1389" s="820" t="s">
        <v>15254</v>
      </c>
      <c r="G1389" s="820" t="s">
        <v>15255</v>
      </c>
      <c r="H1389" s="820" t="s">
        <v>15256</v>
      </c>
      <c r="I1389" s="820"/>
      <c r="J1389" s="820"/>
      <c r="P1389" s="654" t="s">
        <v>15203</v>
      </c>
    </row>
    <row r="1390" spans="3:16">
      <c r="C1390" s="2182"/>
      <c r="D1390" s="820"/>
      <c r="E1390" s="820"/>
      <c r="F1390" s="820"/>
      <c r="G1390" s="820"/>
      <c r="H1390" s="820" t="s">
        <v>15257</v>
      </c>
      <c r="I1390" s="820"/>
      <c r="J1390" s="820"/>
      <c r="P1390" s="654" t="s">
        <v>15203</v>
      </c>
    </row>
    <row r="1391" spans="3:16">
      <c r="C1391" s="2182"/>
      <c r="D1391" s="820"/>
      <c r="E1391" s="820"/>
      <c r="F1391" s="820"/>
      <c r="G1391" s="820"/>
      <c r="H1391" s="820"/>
      <c r="I1391" s="820"/>
      <c r="J1391" s="820"/>
      <c r="P1391" s="654"/>
    </row>
    <row r="1392" spans="3:16" ht="37.5">
      <c r="C1392" s="2182">
        <v>44986</v>
      </c>
      <c r="D1392" s="2260" t="s">
        <v>15258</v>
      </c>
      <c r="E1392" s="820"/>
      <c r="F1392" s="820"/>
      <c r="G1392" s="820"/>
      <c r="H1392" s="2175" t="s">
        <v>15259</v>
      </c>
      <c r="I1392" s="2175" t="s">
        <v>15201</v>
      </c>
      <c r="J1392" s="2261" t="s">
        <v>15260</v>
      </c>
      <c r="P1392" s="654" t="s">
        <v>15203</v>
      </c>
    </row>
    <row r="1393" spans="3:16">
      <c r="C1393" s="2182"/>
      <c r="D1393" s="820"/>
      <c r="E1393" s="820"/>
      <c r="F1393" s="820"/>
      <c r="G1393" s="820"/>
      <c r="H1393" s="2263" t="s">
        <v>15261</v>
      </c>
      <c r="I1393" s="2264" t="s">
        <v>15262</v>
      </c>
      <c r="J1393" s="2265" t="s">
        <v>15263</v>
      </c>
      <c r="P1393" s="654" t="s">
        <v>15203</v>
      </c>
    </row>
    <row r="1394" spans="3:16">
      <c r="C1394" s="2182"/>
      <c r="D1394" s="820"/>
      <c r="E1394" s="820"/>
      <c r="F1394" s="820"/>
      <c r="G1394" s="820"/>
      <c r="H1394" s="2266" t="s">
        <v>15264</v>
      </c>
      <c r="I1394" s="820" t="s">
        <v>15265</v>
      </c>
      <c r="J1394" s="2273" t="s">
        <v>15266</v>
      </c>
      <c r="P1394" s="654" t="s">
        <v>15203</v>
      </c>
    </row>
    <row r="1395" spans="3:16">
      <c r="C1395" s="2182"/>
      <c r="D1395" s="820"/>
      <c r="E1395" s="820"/>
      <c r="F1395" s="820"/>
      <c r="G1395" s="820"/>
      <c r="H1395" s="2266" t="s">
        <v>15267</v>
      </c>
      <c r="I1395" s="820" t="s">
        <v>15268</v>
      </c>
      <c r="J1395" s="2273" t="s">
        <v>15269</v>
      </c>
      <c r="P1395" s="654" t="s">
        <v>15203</v>
      </c>
    </row>
    <row r="1396" spans="3:16">
      <c r="C1396" s="2182"/>
      <c r="D1396" s="820"/>
      <c r="E1396" s="820"/>
      <c r="F1396" s="820"/>
      <c r="G1396" s="820"/>
      <c r="H1396" s="2266" t="s">
        <v>15270</v>
      </c>
      <c r="I1396" s="820" t="s">
        <v>15271</v>
      </c>
      <c r="J1396" s="2273" t="s">
        <v>15272</v>
      </c>
      <c r="P1396" s="654" t="s">
        <v>15203</v>
      </c>
    </row>
    <row r="1397" spans="3:16">
      <c r="C1397" s="2182"/>
      <c r="D1397" s="820"/>
      <c r="E1397" s="820"/>
      <c r="F1397" s="820"/>
      <c r="G1397" s="820"/>
      <c r="H1397" s="2266" t="s">
        <v>15273</v>
      </c>
      <c r="I1397" s="820" t="s">
        <v>15274</v>
      </c>
      <c r="J1397" s="2273" t="s">
        <v>15275</v>
      </c>
      <c r="P1397" s="654" t="s">
        <v>15203</v>
      </c>
    </row>
    <row r="1398" spans="3:16">
      <c r="C1398" s="2182"/>
      <c r="D1398" s="820"/>
      <c r="E1398" s="820"/>
      <c r="F1398" s="820"/>
      <c r="G1398" s="820"/>
      <c r="H1398" s="2266" t="s">
        <v>15276</v>
      </c>
      <c r="I1398" s="820" t="s">
        <v>15274</v>
      </c>
      <c r="J1398" s="2273" t="s">
        <v>15277</v>
      </c>
      <c r="P1398" s="654" t="s">
        <v>15203</v>
      </c>
    </row>
    <row r="1399" spans="3:16">
      <c r="C1399" s="2182"/>
      <c r="D1399" s="820"/>
      <c r="E1399" s="820"/>
      <c r="F1399" s="820"/>
      <c r="G1399" s="820"/>
      <c r="H1399" s="2266" t="s">
        <v>15278</v>
      </c>
      <c r="I1399" s="820" t="s">
        <v>15274</v>
      </c>
      <c r="J1399" s="2273" t="s">
        <v>15279</v>
      </c>
      <c r="P1399" s="654" t="s">
        <v>15203</v>
      </c>
    </row>
    <row r="1400" spans="3:16">
      <c r="C1400" s="2182"/>
      <c r="D1400" s="820"/>
      <c r="E1400" s="820"/>
      <c r="F1400" s="820"/>
      <c r="G1400" s="820"/>
      <c r="H1400" s="2266" t="s">
        <v>15280</v>
      </c>
      <c r="I1400" s="820" t="s">
        <v>15281</v>
      </c>
      <c r="J1400" s="2273" t="s">
        <v>15282</v>
      </c>
      <c r="P1400" s="654" t="s">
        <v>15203</v>
      </c>
    </row>
    <row r="1401" spans="3:16">
      <c r="C1401" s="2182"/>
      <c r="D1401" s="820"/>
      <c r="E1401" s="820"/>
      <c r="F1401" s="820"/>
      <c r="G1401" s="820"/>
      <c r="H1401" s="2266" t="s">
        <v>15283</v>
      </c>
      <c r="I1401" s="820" t="s">
        <v>15274</v>
      </c>
      <c r="J1401" s="2273" t="s">
        <v>15284</v>
      </c>
      <c r="P1401" s="654" t="s">
        <v>15203</v>
      </c>
    </row>
    <row r="1402" spans="3:16">
      <c r="C1402" s="2182"/>
      <c r="D1402" s="820"/>
      <c r="E1402" s="820"/>
      <c r="F1402" s="820"/>
      <c r="G1402" s="820"/>
      <c r="H1402" s="2266" t="s">
        <v>13806</v>
      </c>
      <c r="I1402" s="2175" t="s">
        <v>15285</v>
      </c>
      <c r="J1402" s="2273" t="s">
        <v>15286</v>
      </c>
      <c r="P1402" s="654" t="s">
        <v>15203</v>
      </c>
    </row>
    <row r="1403" spans="3:16">
      <c r="C1403" s="2182"/>
      <c r="D1403" s="820"/>
      <c r="E1403" s="820"/>
      <c r="F1403" s="820"/>
      <c r="G1403" s="820"/>
      <c r="H1403" s="2266" t="s">
        <v>15287</v>
      </c>
      <c r="I1403" s="820" t="s">
        <v>15288</v>
      </c>
      <c r="J1403" s="2273" t="s">
        <v>15289</v>
      </c>
      <c r="P1403" s="654" t="s">
        <v>15203</v>
      </c>
    </row>
    <row r="1404" spans="3:16">
      <c r="C1404" s="2182"/>
      <c r="D1404" s="820"/>
      <c r="E1404" s="820"/>
      <c r="F1404" s="820"/>
      <c r="G1404" s="820"/>
      <c r="H1404" s="2267" t="s">
        <v>15290</v>
      </c>
      <c r="I1404" s="2268" t="s">
        <v>15291</v>
      </c>
      <c r="J1404" s="2274" t="s">
        <v>15292</v>
      </c>
      <c r="P1404" s="654" t="s">
        <v>15203</v>
      </c>
    </row>
    <row r="1405" spans="3:16">
      <c r="C1405" s="2182">
        <v>44986</v>
      </c>
      <c r="D1405" s="2175" t="s">
        <v>15293</v>
      </c>
      <c r="E1405" s="820"/>
      <c r="F1405" s="820"/>
      <c r="G1405" s="820"/>
      <c r="H1405" s="2275" t="s">
        <v>15259</v>
      </c>
      <c r="I1405" s="2275" t="s">
        <v>15201</v>
      </c>
      <c r="J1405" s="2275" t="s">
        <v>15294</v>
      </c>
      <c r="P1405" s="654" t="s">
        <v>15203</v>
      </c>
    </row>
    <row r="1406" spans="3:16">
      <c r="C1406" s="2182"/>
      <c r="D1406" s="2175"/>
      <c r="E1406" s="2175"/>
      <c r="F1406" s="2175"/>
      <c r="G1406" s="820"/>
      <c r="H1406" s="2175"/>
      <c r="I1406" s="2175"/>
      <c r="J1406" s="820"/>
      <c r="P1406" s="654"/>
    </row>
    <row r="1407" spans="3:16">
      <c r="C1407" s="2182">
        <v>44986</v>
      </c>
      <c r="D1407" s="2175" t="s">
        <v>15295</v>
      </c>
      <c r="E1407" s="820"/>
      <c r="F1407" s="820"/>
      <c r="G1407" s="820"/>
      <c r="H1407" s="2175" t="s">
        <v>15259</v>
      </c>
      <c r="I1407" s="2175" t="s">
        <v>15201</v>
      </c>
      <c r="J1407" s="2175" t="s">
        <v>15296</v>
      </c>
      <c r="P1407" s="654" t="s">
        <v>15203</v>
      </c>
    </row>
    <row r="1408" spans="3:16">
      <c r="C1408" s="2182"/>
      <c r="D1408" s="820"/>
      <c r="E1408" s="820"/>
      <c r="F1408" s="820"/>
      <c r="G1408" s="820"/>
      <c r="H1408" s="820"/>
      <c r="I1408" s="820"/>
      <c r="J1408" s="820"/>
      <c r="P1408" s="654"/>
    </row>
    <row r="1409" spans="3:16">
      <c r="C1409" s="2182">
        <v>44986</v>
      </c>
      <c r="D1409" s="820" t="s">
        <v>15297</v>
      </c>
      <c r="E1409" s="820" t="s">
        <v>15298</v>
      </c>
      <c r="F1409" s="820" t="s">
        <v>15299</v>
      </c>
      <c r="G1409" s="820"/>
      <c r="H1409" s="820"/>
      <c r="I1409" s="820"/>
      <c r="J1409" s="2269" t="s">
        <v>15300</v>
      </c>
      <c r="P1409" s="654" t="s">
        <v>15203</v>
      </c>
    </row>
    <row r="1410" spans="3:16">
      <c r="C1410" s="2182">
        <v>44986</v>
      </c>
      <c r="D1410" s="820" t="s">
        <v>14479</v>
      </c>
      <c r="E1410" s="820" t="s">
        <v>15301</v>
      </c>
      <c r="F1410" s="820">
        <v>73</v>
      </c>
      <c r="G1410" s="820"/>
      <c r="H1410" s="820"/>
      <c r="I1410" s="820"/>
      <c r="J1410" s="820" t="s">
        <v>15302</v>
      </c>
      <c r="P1410" s="654" t="s">
        <v>15203</v>
      </c>
    </row>
    <row r="1411" spans="3:16">
      <c r="C1411" s="2182">
        <v>44986</v>
      </c>
      <c r="D1411" s="820" t="s">
        <v>13961</v>
      </c>
      <c r="E1411" s="820" t="s">
        <v>15303</v>
      </c>
      <c r="F1411" s="820" t="s">
        <v>15304</v>
      </c>
      <c r="G1411" s="820"/>
      <c r="H1411" s="820"/>
      <c r="I1411" s="820"/>
      <c r="J1411" s="820" t="s">
        <v>15305</v>
      </c>
      <c r="P1411" s="654" t="s">
        <v>15203</v>
      </c>
    </row>
    <row r="1412" spans="3:16">
      <c r="C1412" s="2182">
        <v>44986</v>
      </c>
      <c r="D1412" s="820" t="s">
        <v>14005</v>
      </c>
      <c r="E1412" s="820" t="s">
        <v>15306</v>
      </c>
      <c r="F1412" s="820" t="s">
        <v>15307</v>
      </c>
      <c r="G1412" s="820"/>
      <c r="H1412" s="820"/>
      <c r="I1412" s="820"/>
      <c r="J1412" s="820" t="s">
        <v>15305</v>
      </c>
      <c r="P1412" s="654" t="s">
        <v>15203</v>
      </c>
    </row>
    <row r="1413" spans="3:16">
      <c r="C1413" s="2182">
        <v>44986</v>
      </c>
      <c r="D1413" s="820" t="s">
        <v>14005</v>
      </c>
      <c r="E1413" s="820" t="s">
        <v>15308</v>
      </c>
      <c r="F1413" s="820" t="s">
        <v>15309</v>
      </c>
      <c r="G1413" s="820"/>
      <c r="H1413" s="820"/>
      <c r="I1413" s="820"/>
      <c r="J1413" s="820" t="s">
        <v>15305</v>
      </c>
      <c r="P1413" s="654" t="s">
        <v>15203</v>
      </c>
    </row>
    <row r="1414" spans="3:16">
      <c r="C1414" s="2182"/>
      <c r="D1414" s="820"/>
      <c r="E1414" s="820"/>
      <c r="F1414" s="820"/>
      <c r="G1414" s="820"/>
      <c r="H1414" s="820"/>
      <c r="I1414" s="820"/>
      <c r="J1414" s="820"/>
      <c r="P1414" s="654"/>
    </row>
    <row r="1415" spans="3:16">
      <c r="C1415" s="2182">
        <v>44986</v>
      </c>
      <c r="D1415" s="820" t="s">
        <v>15310</v>
      </c>
      <c r="E1415" s="820" t="s">
        <v>15311</v>
      </c>
      <c r="F1415" s="820">
        <v>13</v>
      </c>
      <c r="G1415" s="820"/>
      <c r="H1415" s="820"/>
      <c r="I1415" s="820"/>
      <c r="J1415" s="820" t="s">
        <v>15312</v>
      </c>
      <c r="P1415" s="654" t="s">
        <v>15203</v>
      </c>
    </row>
    <row r="1416" spans="3:16">
      <c r="C1416" s="2182">
        <v>44986</v>
      </c>
      <c r="D1416" s="820" t="s">
        <v>15310</v>
      </c>
      <c r="E1416" s="820" t="s">
        <v>15311</v>
      </c>
      <c r="F1416" s="820">
        <v>24</v>
      </c>
      <c r="G1416" s="820"/>
      <c r="H1416" s="820"/>
      <c r="I1416" s="820"/>
      <c r="J1416" s="820" t="s">
        <v>15312</v>
      </c>
      <c r="P1416" s="654" t="s">
        <v>15203</v>
      </c>
    </row>
    <row r="1417" spans="3:16">
      <c r="C1417" s="2182">
        <v>44986</v>
      </c>
      <c r="D1417" s="820" t="s">
        <v>15310</v>
      </c>
      <c r="E1417" s="820" t="s">
        <v>15313</v>
      </c>
      <c r="F1417" s="820" t="s">
        <v>15314</v>
      </c>
      <c r="G1417" s="820"/>
      <c r="H1417" s="820"/>
      <c r="I1417" s="820"/>
      <c r="J1417" s="820" t="s">
        <v>15312</v>
      </c>
      <c r="P1417" s="654" t="s">
        <v>15203</v>
      </c>
    </row>
    <row r="1418" spans="3:16">
      <c r="C1418" s="2182"/>
      <c r="D1418" s="820"/>
      <c r="E1418" s="820"/>
      <c r="F1418" s="820"/>
      <c r="G1418" s="820"/>
      <c r="H1418" s="820"/>
      <c r="I1418" s="820"/>
      <c r="J1418" s="820"/>
      <c r="P1418" s="654"/>
    </row>
    <row r="1419" spans="3:16">
      <c r="C1419" s="2182">
        <v>44986</v>
      </c>
      <c r="D1419" s="820" t="s">
        <v>13740</v>
      </c>
      <c r="E1419" s="820" t="s">
        <v>15315</v>
      </c>
      <c r="F1419" s="820" t="s">
        <v>15316</v>
      </c>
      <c r="G1419" s="820"/>
      <c r="H1419" s="820"/>
      <c r="I1419" s="820"/>
      <c r="J1419" s="2270" t="s">
        <v>15317</v>
      </c>
      <c r="P1419" s="654" t="s">
        <v>15203</v>
      </c>
    </row>
    <row r="1420" spans="3:16" ht="37.5">
      <c r="C1420" s="2182">
        <v>44986</v>
      </c>
      <c r="D1420" s="820" t="s">
        <v>13740</v>
      </c>
      <c r="E1420" s="820" t="s">
        <v>14490</v>
      </c>
      <c r="F1420" s="2271" t="s">
        <v>15318</v>
      </c>
      <c r="G1420" s="820"/>
      <c r="H1420" s="2175" t="s">
        <v>15319</v>
      </c>
      <c r="I1420" s="2175" t="s">
        <v>15201</v>
      </c>
      <c r="J1420" s="2261" t="s">
        <v>15320</v>
      </c>
      <c r="P1420" s="654" t="s">
        <v>15203</v>
      </c>
    </row>
    <row r="1421" spans="3:16">
      <c r="C1421" s="2182">
        <v>44986</v>
      </c>
      <c r="D1421" s="820" t="s">
        <v>13740</v>
      </c>
      <c r="E1421" s="820" t="s">
        <v>14490</v>
      </c>
      <c r="F1421" s="820" t="s">
        <v>15321</v>
      </c>
      <c r="G1421" s="820"/>
      <c r="H1421" s="2175"/>
      <c r="I1421" s="2175" t="s">
        <v>15201</v>
      </c>
      <c r="J1421" s="820" t="s">
        <v>15322</v>
      </c>
      <c r="P1421" s="654" t="s">
        <v>15203</v>
      </c>
    </row>
    <row r="1422" spans="3:16">
      <c r="C1422" s="2182">
        <v>44986</v>
      </c>
      <c r="D1422" s="820" t="s">
        <v>13740</v>
      </c>
      <c r="E1422" s="820" t="s">
        <v>14490</v>
      </c>
      <c r="F1422" s="820" t="s">
        <v>15323</v>
      </c>
      <c r="G1422" s="820"/>
      <c r="H1422" s="2175"/>
      <c r="I1422" s="2175" t="s">
        <v>15201</v>
      </c>
      <c r="J1422" s="2260" t="s">
        <v>15324</v>
      </c>
      <c r="P1422" s="654" t="s">
        <v>15203</v>
      </c>
    </row>
    <row r="1423" spans="3:16">
      <c r="C1423" s="2182">
        <v>44986</v>
      </c>
      <c r="D1423" s="820" t="s">
        <v>13740</v>
      </c>
      <c r="E1423" s="820" t="s">
        <v>14490</v>
      </c>
      <c r="F1423" s="820" t="s">
        <v>15325</v>
      </c>
      <c r="G1423" s="820"/>
      <c r="H1423" s="2175"/>
      <c r="I1423" s="2175" t="s">
        <v>15201</v>
      </c>
      <c r="J1423" s="820" t="s">
        <v>15326</v>
      </c>
      <c r="P1423" s="654" t="s">
        <v>15203</v>
      </c>
    </row>
    <row r="1424" spans="3:16">
      <c r="C1424" s="2182">
        <v>44986</v>
      </c>
      <c r="D1424" s="820" t="s">
        <v>13740</v>
      </c>
      <c r="E1424" s="820" t="s">
        <v>14490</v>
      </c>
      <c r="F1424" s="820">
        <v>79</v>
      </c>
      <c r="G1424" s="820"/>
      <c r="H1424" s="2175" t="s">
        <v>15327</v>
      </c>
      <c r="I1424" s="2175" t="s">
        <v>15201</v>
      </c>
      <c r="J1424" s="820" t="s">
        <v>15328</v>
      </c>
      <c r="P1424" s="654" t="s">
        <v>15203</v>
      </c>
    </row>
    <row r="1425" spans="3:16">
      <c r="C1425" s="2182">
        <v>44986</v>
      </c>
      <c r="D1425" s="820" t="s">
        <v>13740</v>
      </c>
      <c r="E1425" s="820" t="s">
        <v>14490</v>
      </c>
      <c r="F1425" s="820">
        <v>80</v>
      </c>
      <c r="G1425" s="820"/>
      <c r="H1425" s="2175"/>
      <c r="I1425" s="2175" t="s">
        <v>15201</v>
      </c>
      <c r="J1425" s="820" t="s">
        <v>15329</v>
      </c>
      <c r="P1425" s="654" t="s">
        <v>15203</v>
      </c>
    </row>
    <row r="1426" spans="3:16">
      <c r="C1426" s="2182">
        <v>44986</v>
      </c>
      <c r="D1426" s="820" t="s">
        <v>13740</v>
      </c>
      <c r="E1426" s="820" t="s">
        <v>14490</v>
      </c>
      <c r="F1426" s="820">
        <v>81</v>
      </c>
      <c r="G1426" s="820"/>
      <c r="H1426" s="2175"/>
      <c r="I1426" s="2175" t="s">
        <v>15201</v>
      </c>
      <c r="J1426" s="820" t="s">
        <v>15330</v>
      </c>
      <c r="P1426" s="654" t="s">
        <v>15203</v>
      </c>
    </row>
    <row r="1427" spans="3:16">
      <c r="C1427" s="2182">
        <v>44986</v>
      </c>
      <c r="D1427" s="820" t="s">
        <v>13740</v>
      </c>
      <c r="E1427" s="820" t="s">
        <v>14490</v>
      </c>
      <c r="F1427" s="820">
        <v>303</v>
      </c>
      <c r="G1427" s="820"/>
      <c r="H1427" s="2175"/>
      <c r="I1427" s="2175" t="s">
        <v>15201</v>
      </c>
      <c r="J1427" s="820" t="s">
        <v>15331</v>
      </c>
      <c r="P1427" s="654" t="s">
        <v>15203</v>
      </c>
    </row>
    <row r="1428" spans="3:16">
      <c r="C1428" s="2182">
        <v>44986</v>
      </c>
      <c r="D1428" s="820" t="s">
        <v>13740</v>
      </c>
      <c r="E1428" s="820" t="s">
        <v>14490</v>
      </c>
      <c r="F1428" s="820">
        <v>127</v>
      </c>
      <c r="G1428" s="820"/>
      <c r="H1428" s="2175"/>
      <c r="I1428" s="2175" t="s">
        <v>15201</v>
      </c>
      <c r="J1428" s="820" t="s">
        <v>15332</v>
      </c>
      <c r="P1428" s="654" t="s">
        <v>15203</v>
      </c>
    </row>
    <row r="1429" spans="3:16">
      <c r="C1429" s="2182">
        <v>44986</v>
      </c>
      <c r="D1429" s="820" t="s">
        <v>13740</v>
      </c>
      <c r="E1429" s="820" t="s">
        <v>14490</v>
      </c>
      <c r="F1429" s="820">
        <v>378</v>
      </c>
      <c r="G1429" s="820"/>
      <c r="H1429" s="2175"/>
      <c r="I1429" s="2175" t="s">
        <v>15201</v>
      </c>
      <c r="J1429" s="820" t="s">
        <v>15333</v>
      </c>
      <c r="P1429" s="654" t="s">
        <v>15203</v>
      </c>
    </row>
    <row r="1430" spans="3:16">
      <c r="C1430" s="2182">
        <v>44986</v>
      </c>
      <c r="D1430" s="820" t="s">
        <v>13740</v>
      </c>
      <c r="E1430" s="820" t="s">
        <v>14490</v>
      </c>
      <c r="F1430" s="820">
        <v>238</v>
      </c>
      <c r="G1430" s="820"/>
      <c r="H1430" s="2175"/>
      <c r="I1430" s="2175" t="s">
        <v>15201</v>
      </c>
      <c r="J1430" s="820" t="s">
        <v>15334</v>
      </c>
      <c r="P1430" s="654" t="s">
        <v>15203</v>
      </c>
    </row>
    <row r="1431" spans="3:16">
      <c r="C1431" s="2182">
        <v>44986</v>
      </c>
      <c r="D1431" s="820" t="s">
        <v>13740</v>
      </c>
      <c r="E1431" s="820" t="s">
        <v>14490</v>
      </c>
      <c r="F1431" s="820">
        <v>537</v>
      </c>
      <c r="G1431" s="820"/>
      <c r="H1431" s="820"/>
      <c r="I1431" s="2175" t="s">
        <v>15201</v>
      </c>
      <c r="J1431" s="2175" t="s">
        <v>15335</v>
      </c>
      <c r="P1431" s="654" t="s">
        <v>15203</v>
      </c>
    </row>
    <row r="1432" spans="3:16">
      <c r="C1432" s="2182">
        <v>44986</v>
      </c>
      <c r="D1432" s="820" t="s">
        <v>13740</v>
      </c>
      <c r="E1432" s="820" t="s">
        <v>14490</v>
      </c>
      <c r="F1432" s="820">
        <v>538</v>
      </c>
      <c r="G1432" s="820"/>
      <c r="H1432" s="820"/>
      <c r="I1432" s="2175" t="s">
        <v>15201</v>
      </c>
      <c r="J1432" s="2175" t="s">
        <v>15336</v>
      </c>
      <c r="P1432" s="654" t="s">
        <v>15203</v>
      </c>
    </row>
    <row r="1433" spans="3:16">
      <c r="C1433" s="2182">
        <v>44986</v>
      </c>
      <c r="D1433" s="820" t="s">
        <v>13740</v>
      </c>
      <c r="E1433" s="820" t="s">
        <v>14490</v>
      </c>
      <c r="F1433" s="820">
        <v>379</v>
      </c>
      <c r="G1433" s="820"/>
      <c r="H1433" s="2175"/>
      <c r="I1433" s="2175" t="s">
        <v>15201</v>
      </c>
      <c r="J1433" s="820" t="s">
        <v>15337</v>
      </c>
      <c r="P1433" s="654" t="s">
        <v>15203</v>
      </c>
    </row>
    <row r="1436" spans="3:16">
      <c r="C1436" s="2182">
        <v>45069</v>
      </c>
      <c r="D1436" s="820" t="s">
        <v>15120</v>
      </c>
      <c r="E1436" s="820" t="s">
        <v>157</v>
      </c>
      <c r="F1436" s="820">
        <v>238</v>
      </c>
      <c r="J1436" s="820" t="s">
        <v>15338</v>
      </c>
      <c r="P1436" t="s">
        <v>15024</v>
      </c>
    </row>
    <row r="1438" spans="3:16">
      <c r="C1438" s="2182">
        <v>45103</v>
      </c>
      <c r="D1438" t="s">
        <v>15120</v>
      </c>
      <c r="E1438" t="s">
        <v>157</v>
      </c>
      <c r="F1438" t="s">
        <v>15339</v>
      </c>
      <c r="J1438" t="s">
        <v>15340</v>
      </c>
      <c r="P1438" t="s">
        <v>15024</v>
      </c>
    </row>
    <row r="1440" spans="3:16">
      <c r="C1440" s="2182">
        <v>45126</v>
      </c>
      <c r="D1440" t="s">
        <v>15120</v>
      </c>
      <c r="E1440" t="s">
        <v>15121</v>
      </c>
      <c r="F1440" t="s">
        <v>15341</v>
      </c>
      <c r="J1440" t="s">
        <v>15342</v>
      </c>
      <c r="K1440" t="s">
        <v>15343</v>
      </c>
      <c r="P1440" s="654" t="s">
        <v>15343</v>
      </c>
    </row>
    <row r="1442" spans="2:16">
      <c r="B1442">
        <v>2.21</v>
      </c>
      <c r="C1442" s="2182">
        <v>45176</v>
      </c>
      <c r="D1442" t="s">
        <v>13740</v>
      </c>
      <c r="E1442" t="s">
        <v>15344</v>
      </c>
      <c r="F1442" t="s">
        <v>15345</v>
      </c>
      <c r="J1442" t="s">
        <v>15346</v>
      </c>
      <c r="P1442" t="s">
        <v>15347</v>
      </c>
    </row>
    <row r="1443" spans="2:16">
      <c r="C1443" s="2182">
        <v>45292</v>
      </c>
      <c r="D1443" t="s">
        <v>14005</v>
      </c>
      <c r="F1443" t="s">
        <v>15348</v>
      </c>
      <c r="J1443" t="s">
        <v>15349</v>
      </c>
      <c r="P1443" t="s">
        <v>15350</v>
      </c>
    </row>
    <row r="1444" spans="2:16">
      <c r="C1444" s="2182">
        <v>45292</v>
      </c>
      <c r="D1444" t="s">
        <v>14005</v>
      </c>
      <c r="F1444" t="s">
        <v>15351</v>
      </c>
      <c r="J1444" t="s">
        <v>15352</v>
      </c>
      <c r="P1444" t="s">
        <v>15350</v>
      </c>
    </row>
    <row r="1445" spans="2:16">
      <c r="C1445" s="2182">
        <v>45292</v>
      </c>
      <c r="D1445" t="s">
        <v>13722</v>
      </c>
      <c r="E1445" t="s">
        <v>14416</v>
      </c>
      <c r="F1445" t="s">
        <v>15353</v>
      </c>
      <c r="J1445" t="s">
        <v>15354</v>
      </c>
      <c r="P1445" t="s">
        <v>15350</v>
      </c>
    </row>
    <row r="1446" spans="2:16">
      <c r="C1446" s="2182">
        <v>45292</v>
      </c>
      <c r="D1446" t="s">
        <v>13722</v>
      </c>
      <c r="E1446" t="s">
        <v>14416</v>
      </c>
      <c r="F1446" t="s">
        <v>15355</v>
      </c>
      <c r="J1446" t="s">
        <v>15356</v>
      </c>
      <c r="P1446" t="s">
        <v>15350</v>
      </c>
    </row>
    <row r="1447" spans="2:16">
      <c r="C1447" s="2182">
        <v>45292</v>
      </c>
      <c r="P1447" t="s">
        <v>15350</v>
      </c>
    </row>
    <row r="1448" spans="2:16">
      <c r="C1448" s="2182">
        <v>45292</v>
      </c>
      <c r="D1448" t="s">
        <v>13722</v>
      </c>
      <c r="E1448" t="s">
        <v>14744</v>
      </c>
      <c r="F1448" t="s">
        <v>15357</v>
      </c>
      <c r="J1448" t="s">
        <v>15358</v>
      </c>
      <c r="P1448" t="s">
        <v>15350</v>
      </c>
    </row>
    <row r="1449" spans="2:16">
      <c r="C1449" s="2182">
        <v>45292</v>
      </c>
      <c r="D1449" t="s">
        <v>13722</v>
      </c>
      <c r="E1449" t="s">
        <v>14744</v>
      </c>
      <c r="F1449" t="s">
        <v>15359</v>
      </c>
      <c r="J1449" t="s">
        <v>15360</v>
      </c>
      <c r="P1449" t="s">
        <v>15350</v>
      </c>
    </row>
    <row r="1450" spans="2:16">
      <c r="C1450" s="2182">
        <v>45292</v>
      </c>
      <c r="D1450" t="s">
        <v>13722</v>
      </c>
      <c r="E1450" t="s">
        <v>14744</v>
      </c>
      <c r="F1450" t="s">
        <v>15361</v>
      </c>
      <c r="J1450" t="s">
        <v>15362</v>
      </c>
      <c r="P1450" t="s">
        <v>15350</v>
      </c>
    </row>
    <row r="1451" spans="2:16">
      <c r="C1451" s="2182">
        <v>45292</v>
      </c>
      <c r="D1451" t="s">
        <v>13722</v>
      </c>
      <c r="E1451" t="s">
        <v>14744</v>
      </c>
      <c r="F1451" t="s">
        <v>15363</v>
      </c>
      <c r="J1451" t="s">
        <v>15364</v>
      </c>
      <c r="P1451" t="s">
        <v>15350</v>
      </c>
    </row>
    <row r="1452" spans="2:16">
      <c r="C1452" s="2182">
        <v>45292</v>
      </c>
      <c r="D1452" t="s">
        <v>13722</v>
      </c>
      <c r="E1452" t="s">
        <v>14744</v>
      </c>
      <c r="F1452" t="s">
        <v>15365</v>
      </c>
      <c r="J1452" t="s">
        <v>15366</v>
      </c>
      <c r="P1452" t="s">
        <v>15350</v>
      </c>
    </row>
    <row r="1453" spans="2:16">
      <c r="C1453" s="2182">
        <v>45292</v>
      </c>
      <c r="D1453" t="s">
        <v>13724</v>
      </c>
      <c r="E1453" t="s">
        <v>15061</v>
      </c>
      <c r="F1453" t="s">
        <v>15367</v>
      </c>
      <c r="J1453" t="s">
        <v>15368</v>
      </c>
      <c r="P1453" t="s">
        <v>15350</v>
      </c>
    </row>
    <row r="1454" spans="2:16">
      <c r="C1454" s="2182">
        <v>45292</v>
      </c>
      <c r="D1454" t="s">
        <v>13724</v>
      </c>
      <c r="E1454" t="s">
        <v>15061</v>
      </c>
      <c r="F1454" t="s">
        <v>15369</v>
      </c>
      <c r="J1454" t="s">
        <v>15370</v>
      </c>
      <c r="P1454" t="s">
        <v>15350</v>
      </c>
    </row>
    <row r="1455" spans="2:16">
      <c r="C1455" s="2182">
        <v>45292</v>
      </c>
      <c r="D1455" t="s">
        <v>13724</v>
      </c>
      <c r="E1455" t="s">
        <v>15061</v>
      </c>
      <c r="F1455" t="s">
        <v>15371</v>
      </c>
      <c r="J1455" t="s">
        <v>15372</v>
      </c>
      <c r="P1455" t="s">
        <v>15350</v>
      </c>
    </row>
    <row r="1456" spans="2:16">
      <c r="C1456" s="2182">
        <v>45292</v>
      </c>
      <c r="D1456" t="s">
        <v>13724</v>
      </c>
      <c r="E1456" t="s">
        <v>15061</v>
      </c>
      <c r="F1456" t="s">
        <v>15373</v>
      </c>
      <c r="J1456" t="s">
        <v>15374</v>
      </c>
      <c r="P1456" t="s">
        <v>15350</v>
      </c>
    </row>
    <row r="1457" spans="3:16">
      <c r="C1457" s="2182">
        <v>45292</v>
      </c>
      <c r="D1457" t="s">
        <v>13724</v>
      </c>
      <c r="E1457" t="s">
        <v>15061</v>
      </c>
      <c r="F1457" t="s">
        <v>15375</v>
      </c>
      <c r="J1457" t="s">
        <v>15376</v>
      </c>
      <c r="P1457" t="s">
        <v>15350</v>
      </c>
    </row>
    <row r="1458" spans="3:16">
      <c r="C1458" s="2182">
        <v>45292</v>
      </c>
      <c r="D1458" t="s">
        <v>12597</v>
      </c>
      <c r="E1458" t="s">
        <v>14749</v>
      </c>
      <c r="J1458" t="s">
        <v>15377</v>
      </c>
      <c r="P1458" t="s">
        <v>15350</v>
      </c>
    </row>
    <row r="1459" spans="3:16">
      <c r="C1459" s="2182">
        <v>45292</v>
      </c>
      <c r="D1459" t="s">
        <v>12597</v>
      </c>
      <c r="E1459" t="s">
        <v>14749</v>
      </c>
      <c r="J1459" t="s">
        <v>15378</v>
      </c>
      <c r="P1459" t="s">
        <v>15350</v>
      </c>
    </row>
    <row r="1460" spans="3:16">
      <c r="C1460" s="2182">
        <v>45292</v>
      </c>
      <c r="D1460" t="s">
        <v>13753</v>
      </c>
      <c r="E1460" t="s">
        <v>15379</v>
      </c>
      <c r="F1460" t="s">
        <v>15380</v>
      </c>
      <c r="J1460" t="s">
        <v>15381</v>
      </c>
      <c r="P1460" t="s">
        <v>15350</v>
      </c>
    </row>
    <row r="1461" spans="3:16">
      <c r="C1461" s="2182">
        <v>45292</v>
      </c>
      <c r="D1461" t="s">
        <v>13753</v>
      </c>
      <c r="E1461" t="s">
        <v>15379</v>
      </c>
      <c r="F1461" t="s">
        <v>15382</v>
      </c>
      <c r="J1461" t="s">
        <v>15383</v>
      </c>
      <c r="P1461" t="s">
        <v>15350</v>
      </c>
    </row>
    <row r="1462" spans="3:16">
      <c r="C1462" s="2182">
        <v>45292</v>
      </c>
      <c r="D1462" t="s">
        <v>13753</v>
      </c>
      <c r="E1462" t="s">
        <v>15384</v>
      </c>
      <c r="F1462" t="s">
        <v>15385</v>
      </c>
      <c r="J1462" t="s">
        <v>15386</v>
      </c>
      <c r="P1462" t="s">
        <v>15350</v>
      </c>
    </row>
    <row r="1463" spans="3:16">
      <c r="C1463" s="2182">
        <v>45292</v>
      </c>
      <c r="D1463" t="s">
        <v>13740</v>
      </c>
      <c r="F1463" t="s">
        <v>15387</v>
      </c>
      <c r="J1463" t="s">
        <v>15388</v>
      </c>
      <c r="P1463" t="s">
        <v>15350</v>
      </c>
    </row>
    <row r="1464" spans="3:16">
      <c r="C1464" s="2182">
        <v>45292</v>
      </c>
      <c r="D1464" t="s">
        <v>13753</v>
      </c>
      <c r="E1464" t="s">
        <v>127</v>
      </c>
      <c r="F1464" t="s">
        <v>15389</v>
      </c>
      <c r="J1464" t="s">
        <v>15390</v>
      </c>
      <c r="P1464" t="s">
        <v>15350</v>
      </c>
    </row>
    <row r="1465" spans="3:16">
      <c r="C1465" s="2182">
        <v>45292</v>
      </c>
      <c r="D1465" t="s">
        <v>13753</v>
      </c>
      <c r="E1465" t="s">
        <v>15379</v>
      </c>
      <c r="F1465" t="s">
        <v>15391</v>
      </c>
      <c r="J1465" t="s">
        <v>15392</v>
      </c>
      <c r="P1465" t="s">
        <v>15350</v>
      </c>
    </row>
    <row r="1466" spans="3:16">
      <c r="C1466" s="2182">
        <v>45292</v>
      </c>
      <c r="D1466" t="s">
        <v>13753</v>
      </c>
      <c r="E1466" t="s">
        <v>15379</v>
      </c>
      <c r="F1466" t="s">
        <v>15393</v>
      </c>
      <c r="J1466" t="s">
        <v>15394</v>
      </c>
      <c r="P1466" t="s">
        <v>15350</v>
      </c>
    </row>
    <row r="1467" spans="3:16">
      <c r="C1467" s="2182">
        <v>45292</v>
      </c>
      <c r="D1467" t="s">
        <v>15395</v>
      </c>
      <c r="E1467" t="s">
        <v>15396</v>
      </c>
      <c r="J1467" t="s">
        <v>15397</v>
      </c>
      <c r="P1467" t="s">
        <v>15350</v>
      </c>
    </row>
    <row r="1468" spans="3:16">
      <c r="C1468" s="2182">
        <v>45292</v>
      </c>
      <c r="D1468" t="s">
        <v>13740</v>
      </c>
      <c r="E1468" t="s">
        <v>15384</v>
      </c>
      <c r="J1468" t="s">
        <v>15398</v>
      </c>
      <c r="P1468" t="s">
        <v>15350</v>
      </c>
    </row>
    <row r="1469" spans="3:16">
      <c r="C1469" s="2182">
        <v>45292</v>
      </c>
      <c r="D1469" t="s">
        <v>15399</v>
      </c>
      <c r="E1469" t="s">
        <v>15396</v>
      </c>
      <c r="F1469" t="s">
        <v>15396</v>
      </c>
      <c r="J1469" t="s">
        <v>15400</v>
      </c>
    </row>
    <row r="1470" spans="3:16">
      <c r="C1470" s="2182">
        <v>45292</v>
      </c>
      <c r="D1470" t="s">
        <v>13722</v>
      </c>
      <c r="E1470" t="s">
        <v>14744</v>
      </c>
      <c r="F1470" t="s">
        <v>15401</v>
      </c>
      <c r="J1470" t="s">
        <v>15402</v>
      </c>
      <c r="P1470" t="s">
        <v>15350</v>
      </c>
    </row>
    <row r="1471" spans="3:16">
      <c r="C1471" s="2182">
        <v>45292</v>
      </c>
      <c r="D1471" t="s">
        <v>13722</v>
      </c>
      <c r="E1471" t="s">
        <v>14416</v>
      </c>
      <c r="F1471" t="s">
        <v>15403</v>
      </c>
      <c r="J1471" t="s">
        <v>15404</v>
      </c>
      <c r="P1471" t="s">
        <v>15350</v>
      </c>
    </row>
    <row r="1472" spans="3:16">
      <c r="C1472" s="2182">
        <v>45292</v>
      </c>
      <c r="D1472" t="s">
        <v>13722</v>
      </c>
      <c r="E1472" t="s">
        <v>14744</v>
      </c>
      <c r="F1472" t="s">
        <v>15401</v>
      </c>
      <c r="J1472" t="s">
        <v>15405</v>
      </c>
      <c r="P1472" t="s">
        <v>15350</v>
      </c>
    </row>
    <row r="1473" spans="3:16">
      <c r="C1473" s="2182">
        <v>45292</v>
      </c>
      <c r="D1473" t="s">
        <v>13722</v>
      </c>
      <c r="E1473" t="s">
        <v>14744</v>
      </c>
      <c r="F1473" t="s">
        <v>15406</v>
      </c>
      <c r="J1473" t="s">
        <v>15407</v>
      </c>
      <c r="P1473" t="s">
        <v>15350</v>
      </c>
    </row>
    <row r="1474" spans="3:16">
      <c r="C1474" s="2182">
        <v>45292</v>
      </c>
      <c r="D1474" t="s">
        <v>13722</v>
      </c>
      <c r="E1474" t="s">
        <v>14744</v>
      </c>
      <c r="F1474" t="s">
        <v>15408</v>
      </c>
      <c r="J1474" t="s">
        <v>15409</v>
      </c>
      <c r="P1474" t="s">
        <v>15350</v>
      </c>
    </row>
    <row r="1475" spans="3:16">
      <c r="C1475" s="2182">
        <v>45292</v>
      </c>
      <c r="D1475" t="s">
        <v>13722</v>
      </c>
      <c r="E1475" t="s">
        <v>14744</v>
      </c>
      <c r="F1475" t="s">
        <v>15410</v>
      </c>
      <c r="J1475" t="s">
        <v>15411</v>
      </c>
      <c r="P1475" t="s">
        <v>15350</v>
      </c>
    </row>
    <row r="1476" spans="3:16">
      <c r="C1476" s="2182">
        <v>45292</v>
      </c>
    </row>
    <row r="1477" spans="3:16">
      <c r="C1477" s="2182">
        <v>45292</v>
      </c>
      <c r="D1477" t="s">
        <v>13722</v>
      </c>
      <c r="E1477" t="s">
        <v>14744</v>
      </c>
      <c r="J1477" t="s">
        <v>15412</v>
      </c>
      <c r="P1477" t="s">
        <v>15350</v>
      </c>
    </row>
    <row r="1478" spans="3:16">
      <c r="C1478" s="2182">
        <v>45292</v>
      </c>
      <c r="D1478" t="s">
        <v>13722</v>
      </c>
      <c r="E1478" t="s">
        <v>14744</v>
      </c>
      <c r="J1478" t="s">
        <v>15413</v>
      </c>
      <c r="P1478" t="s">
        <v>15350</v>
      </c>
    </row>
    <row r="1479" spans="3:16">
      <c r="C1479" s="2182">
        <v>45292</v>
      </c>
      <c r="D1479" t="s">
        <v>13724</v>
      </c>
      <c r="E1479" t="s">
        <v>15414</v>
      </c>
      <c r="F1479" t="s">
        <v>15415</v>
      </c>
      <c r="J1479" t="s">
        <v>15416</v>
      </c>
      <c r="P1479" t="s">
        <v>15350</v>
      </c>
    </row>
    <row r="1480" spans="3:16">
      <c r="C1480" s="2182">
        <v>45292</v>
      </c>
      <c r="D1480" t="s">
        <v>13724</v>
      </c>
      <c r="E1480" t="s">
        <v>15414</v>
      </c>
      <c r="F1480" t="s">
        <v>15417</v>
      </c>
      <c r="J1480" t="s">
        <v>15418</v>
      </c>
      <c r="P1480" t="s">
        <v>15350</v>
      </c>
    </row>
    <row r="1481" spans="3:16">
      <c r="C1481" s="2182">
        <v>45292</v>
      </c>
      <c r="D1481" t="s">
        <v>13724</v>
      </c>
      <c r="E1481" t="s">
        <v>15414</v>
      </c>
      <c r="F1481" t="s">
        <v>15419</v>
      </c>
      <c r="J1481" t="s">
        <v>15420</v>
      </c>
      <c r="P1481" t="s">
        <v>15350</v>
      </c>
    </row>
    <row r="1482" spans="3:16">
      <c r="C1482" s="2182">
        <v>45292</v>
      </c>
      <c r="D1482" t="s">
        <v>13724</v>
      </c>
      <c r="E1482" t="s">
        <v>15414</v>
      </c>
      <c r="F1482" t="s">
        <v>15421</v>
      </c>
      <c r="J1482" t="s">
        <v>15422</v>
      </c>
      <c r="P1482" t="s">
        <v>15350</v>
      </c>
    </row>
    <row r="1483" spans="3:16">
      <c r="C1483" s="2182">
        <v>45292</v>
      </c>
      <c r="D1483" t="s">
        <v>13724</v>
      </c>
      <c r="E1483" t="s">
        <v>147</v>
      </c>
      <c r="F1483" t="s">
        <v>15423</v>
      </c>
      <c r="J1483" t="s">
        <v>15424</v>
      </c>
      <c r="P1483" t="s">
        <v>15350</v>
      </c>
    </row>
    <row r="1484" spans="3:16">
      <c r="C1484" s="2182">
        <v>45292</v>
      </c>
      <c r="D1484" t="s">
        <v>13724</v>
      </c>
      <c r="E1484" t="s">
        <v>15425</v>
      </c>
      <c r="F1484" t="s">
        <v>15426</v>
      </c>
      <c r="J1484" t="s">
        <v>15427</v>
      </c>
      <c r="P1484" t="s">
        <v>15350</v>
      </c>
    </row>
    <row r="1485" spans="3:16">
      <c r="C1485" s="2182">
        <v>45292</v>
      </c>
      <c r="D1485" t="s">
        <v>13724</v>
      </c>
      <c r="E1485" t="s">
        <v>15414</v>
      </c>
      <c r="F1485" t="s">
        <v>15428</v>
      </c>
      <c r="J1485" t="s">
        <v>15429</v>
      </c>
      <c r="P1485" t="s">
        <v>15350</v>
      </c>
    </row>
    <row r="1486" spans="3:16">
      <c r="C1486" s="2182">
        <v>45292</v>
      </c>
      <c r="D1486" t="s">
        <v>13753</v>
      </c>
      <c r="E1486" t="s">
        <v>13981</v>
      </c>
      <c r="F1486" t="s">
        <v>15430</v>
      </c>
      <c r="J1486" t="s">
        <v>15431</v>
      </c>
      <c r="P1486" t="s">
        <v>15350</v>
      </c>
    </row>
    <row r="1487" spans="3:16">
      <c r="C1487" s="2182">
        <v>45292</v>
      </c>
      <c r="D1487" t="s">
        <v>13753</v>
      </c>
      <c r="E1487" t="s">
        <v>13981</v>
      </c>
      <c r="F1487" t="s">
        <v>15432</v>
      </c>
      <c r="J1487" t="s">
        <v>15433</v>
      </c>
      <c r="P1487" t="s">
        <v>15350</v>
      </c>
    </row>
    <row r="1488" spans="3:16">
      <c r="C1488" s="2182">
        <v>45292</v>
      </c>
      <c r="P1488" t="s">
        <v>15350</v>
      </c>
    </row>
    <row r="1489" spans="3:16">
      <c r="C1489" s="2182">
        <v>45292</v>
      </c>
      <c r="D1489" t="s">
        <v>12597</v>
      </c>
      <c r="E1489" t="s">
        <v>14749</v>
      </c>
      <c r="J1489" t="s">
        <v>15434</v>
      </c>
      <c r="P1489" t="s">
        <v>15350</v>
      </c>
    </row>
    <row r="1490" spans="3:16">
      <c r="C1490" s="2182">
        <v>45292</v>
      </c>
      <c r="D1490" t="s">
        <v>12597</v>
      </c>
      <c r="E1490" t="s">
        <v>14749</v>
      </c>
      <c r="J1490" t="s">
        <v>15435</v>
      </c>
      <c r="P1490" t="s">
        <v>15350</v>
      </c>
    </row>
    <row r="1491" spans="3:16">
      <c r="C1491" s="2182">
        <v>45292</v>
      </c>
      <c r="D1491" t="s">
        <v>12597</v>
      </c>
      <c r="E1491" t="s">
        <v>15436</v>
      </c>
      <c r="J1491" t="s">
        <v>15437</v>
      </c>
      <c r="P1491" t="s">
        <v>15350</v>
      </c>
    </row>
    <row r="1492" spans="3:16">
      <c r="C1492" s="2182">
        <v>45292</v>
      </c>
      <c r="D1492" t="s">
        <v>12597</v>
      </c>
      <c r="E1492" t="s">
        <v>15438</v>
      </c>
      <c r="J1492" t="s">
        <v>15439</v>
      </c>
      <c r="P1492" t="s">
        <v>15350</v>
      </c>
    </row>
    <row r="1493" spans="3:16">
      <c r="C1493" s="2182">
        <v>45292</v>
      </c>
      <c r="D1493" t="s">
        <v>15440</v>
      </c>
      <c r="E1493" t="s">
        <v>122</v>
      </c>
      <c r="F1493" t="s">
        <v>15441</v>
      </c>
      <c r="J1493" t="s">
        <v>15442</v>
      </c>
      <c r="P1493" t="s">
        <v>15350</v>
      </c>
    </row>
    <row r="1494" spans="3:16">
      <c r="C1494" s="2182">
        <v>45292</v>
      </c>
      <c r="D1494" t="s">
        <v>13753</v>
      </c>
      <c r="E1494" t="s">
        <v>122</v>
      </c>
      <c r="F1494" t="s">
        <v>15443</v>
      </c>
      <c r="J1494" t="s">
        <v>15444</v>
      </c>
      <c r="P1494" t="s">
        <v>15350</v>
      </c>
    </row>
    <row r="1495" spans="3:16">
      <c r="C1495" s="2182">
        <v>45292</v>
      </c>
      <c r="D1495" t="s">
        <v>12597</v>
      </c>
      <c r="E1495" t="s">
        <v>15445</v>
      </c>
      <c r="F1495" t="s">
        <v>15446</v>
      </c>
      <c r="J1495" t="s">
        <v>15447</v>
      </c>
      <c r="P1495" t="s">
        <v>15350</v>
      </c>
    </row>
    <row r="1496" spans="3:16">
      <c r="C1496" s="2182">
        <v>45292</v>
      </c>
      <c r="D1496" t="s">
        <v>12597</v>
      </c>
      <c r="E1496" t="s">
        <v>14749</v>
      </c>
      <c r="F1496" t="s">
        <v>15448</v>
      </c>
      <c r="J1496" t="s">
        <v>15449</v>
      </c>
      <c r="P1496" t="s">
        <v>15350</v>
      </c>
    </row>
    <row r="1499" spans="3:16">
      <c r="C1499" s="2182">
        <v>45349</v>
      </c>
      <c r="D1499" t="s">
        <v>15450</v>
      </c>
      <c r="E1499" t="s">
        <v>157</v>
      </c>
      <c r="F1499" t="s">
        <v>15451</v>
      </c>
      <c r="J1499" t="s">
        <v>15452</v>
      </c>
      <c r="P1499" t="s">
        <v>15024</v>
      </c>
    </row>
    <row r="1500" spans="3:16">
      <c r="C1500" s="2182">
        <v>45350</v>
      </c>
      <c r="D1500" s="654" t="s">
        <v>13713</v>
      </c>
      <c r="E1500" s="654" t="s">
        <v>13750</v>
      </c>
      <c r="F1500" s="654" t="s">
        <v>15453</v>
      </c>
      <c r="J1500" t="s">
        <v>15454</v>
      </c>
      <c r="P1500" s="654" t="s">
        <v>15350</v>
      </c>
    </row>
    <row r="1501" spans="3:16">
      <c r="D1501" s="654" t="s">
        <v>13964</v>
      </c>
      <c r="E1501" s="654" t="s">
        <v>15063</v>
      </c>
      <c r="F1501">
        <v>62</v>
      </c>
      <c r="J1501" t="s">
        <v>15455</v>
      </c>
      <c r="P1501" s="654" t="s">
        <v>15350</v>
      </c>
    </row>
    <row r="1502" spans="3:16">
      <c r="D1502" s="654" t="s">
        <v>13753</v>
      </c>
      <c r="E1502" s="654" t="s">
        <v>14241</v>
      </c>
      <c r="F1502">
        <v>323</v>
      </c>
      <c r="J1502" t="s">
        <v>15456</v>
      </c>
      <c r="P1502" s="654" t="s">
        <v>15350</v>
      </c>
    </row>
    <row r="1503" spans="3:16">
      <c r="D1503" s="654" t="s">
        <v>15457</v>
      </c>
      <c r="E1503" s="654" t="s">
        <v>14241</v>
      </c>
      <c r="F1503" s="654" t="s">
        <v>15451</v>
      </c>
      <c r="J1503" t="s">
        <v>15458</v>
      </c>
      <c r="P1503" s="654" t="s">
        <v>15350</v>
      </c>
    </row>
    <row r="1504" spans="3:16" ht="14.5">
      <c r="C1504" s="2182">
        <v>45376</v>
      </c>
      <c r="D1504" s="14" t="s">
        <v>12597</v>
      </c>
      <c r="E1504" s="14" t="s">
        <v>14979</v>
      </c>
      <c r="F1504" s="14" t="s">
        <v>14985</v>
      </c>
      <c r="G1504" s="14"/>
      <c r="J1504" s="2559" t="s">
        <v>15459</v>
      </c>
      <c r="P1504" s="654" t="s">
        <v>15350</v>
      </c>
    </row>
    <row r="1505" spans="3:16" ht="14.5">
      <c r="D1505" s="14" t="s">
        <v>12597</v>
      </c>
      <c r="E1505" s="14" t="s">
        <v>14979</v>
      </c>
      <c r="F1505" s="14" t="s">
        <v>15460</v>
      </c>
      <c r="G1505" s="14"/>
      <c r="J1505" s="2559" t="s">
        <v>15461</v>
      </c>
      <c r="P1505" s="654" t="s">
        <v>15350</v>
      </c>
    </row>
    <row r="1506" spans="3:16" ht="14.5">
      <c r="D1506" s="14" t="s">
        <v>12597</v>
      </c>
      <c r="E1506" s="14" t="s">
        <v>14979</v>
      </c>
      <c r="F1506" s="14" t="s">
        <v>15462</v>
      </c>
      <c r="G1506" s="14"/>
      <c r="J1506" s="2559" t="s">
        <v>15463</v>
      </c>
      <c r="P1506" s="654" t="s">
        <v>15350</v>
      </c>
    </row>
    <row r="1507" spans="3:16" ht="14.5">
      <c r="D1507" s="14" t="s">
        <v>12597</v>
      </c>
      <c r="E1507" s="14" t="s">
        <v>14979</v>
      </c>
      <c r="F1507" s="14" t="s">
        <v>15157</v>
      </c>
      <c r="G1507" s="14"/>
      <c r="J1507" s="2559" t="s">
        <v>15464</v>
      </c>
      <c r="P1507" s="654" t="s">
        <v>15350</v>
      </c>
    </row>
    <row r="1508" spans="3:16" ht="14.5">
      <c r="D1508" s="14" t="s">
        <v>12597</v>
      </c>
      <c r="E1508" s="14" t="s">
        <v>14749</v>
      </c>
      <c r="F1508" s="14" t="s">
        <v>15465</v>
      </c>
      <c r="G1508" s="14"/>
      <c r="J1508" s="2559" t="s">
        <v>15466</v>
      </c>
      <c r="P1508" s="654" t="s">
        <v>15350</v>
      </c>
    </row>
    <row r="1509" spans="3:16" ht="14.5">
      <c r="D1509" s="14" t="s">
        <v>12597</v>
      </c>
      <c r="E1509" s="14" t="s">
        <v>14749</v>
      </c>
      <c r="F1509" s="14" t="s">
        <v>15465</v>
      </c>
      <c r="G1509" s="14"/>
      <c r="J1509" s="2559" t="s">
        <v>15467</v>
      </c>
      <c r="P1509" s="654" t="s">
        <v>15350</v>
      </c>
    </row>
    <row r="1510" spans="3:16" ht="14.5">
      <c r="D1510" s="14" t="s">
        <v>12597</v>
      </c>
      <c r="E1510" s="14" t="s">
        <v>14859</v>
      </c>
      <c r="F1510" s="14" t="s">
        <v>14962</v>
      </c>
      <c r="G1510" s="14"/>
      <c r="J1510" s="2559" t="s">
        <v>15468</v>
      </c>
      <c r="P1510" s="654" t="s">
        <v>15350</v>
      </c>
    </row>
    <row r="1512" spans="3:16" ht="14.5">
      <c r="C1512" s="2182">
        <v>45400</v>
      </c>
      <c r="D1512" s="14" t="s">
        <v>13740</v>
      </c>
      <c r="E1512" s="2560" t="s">
        <v>15469</v>
      </c>
      <c r="F1512">
        <v>566</v>
      </c>
      <c r="J1512" s="2559" t="s">
        <v>15470</v>
      </c>
      <c r="P1512" s="654" t="s">
        <v>15203</v>
      </c>
    </row>
    <row r="1514" spans="3:16">
      <c r="C1514" s="2182">
        <v>45483</v>
      </c>
      <c r="D1514" t="s">
        <v>13740</v>
      </c>
      <c r="E1514" t="s">
        <v>15183</v>
      </c>
      <c r="F1514">
        <v>328</v>
      </c>
      <c r="J1514" s="654" t="s">
        <v>15471</v>
      </c>
      <c r="K1514" t="s">
        <v>15203</v>
      </c>
      <c r="P1514" s="654" t="s">
        <v>15472</v>
      </c>
    </row>
    <row r="1515" spans="3:16">
      <c r="C1515" s="2182">
        <v>45485</v>
      </c>
      <c r="D1515" t="s">
        <v>13740</v>
      </c>
      <c r="E1515" t="s">
        <v>14901</v>
      </c>
      <c r="F1515" t="s">
        <v>15473</v>
      </c>
      <c r="J1515" t="s">
        <v>15474</v>
      </c>
      <c r="K1515" t="s">
        <v>15203</v>
      </c>
      <c r="P1515" s="654" t="s">
        <v>15472</v>
      </c>
    </row>
    <row r="1516" spans="3:16">
      <c r="C1516" s="2182">
        <v>45485</v>
      </c>
      <c r="D1516" t="s">
        <v>13740</v>
      </c>
      <c r="E1516" t="s">
        <v>14901</v>
      </c>
      <c r="F1516">
        <v>639</v>
      </c>
      <c r="J1516" t="s">
        <v>15475</v>
      </c>
      <c r="K1516" t="s">
        <v>15203</v>
      </c>
      <c r="P1516" s="654" t="s">
        <v>15472</v>
      </c>
    </row>
    <row r="1518" spans="3:16">
      <c r="C1518" s="2182">
        <v>45560</v>
      </c>
      <c r="D1518" t="s">
        <v>13740</v>
      </c>
      <c r="E1518" s="654" t="s">
        <v>13985</v>
      </c>
      <c r="F1518">
        <v>330</v>
      </c>
      <c r="J1518" s="654" t="s">
        <v>15476</v>
      </c>
      <c r="P1518" s="654" t="s">
        <v>15347</v>
      </c>
    </row>
    <row r="1520" spans="3:16">
      <c r="C1520" s="2182">
        <v>45560</v>
      </c>
      <c r="D1520" t="s">
        <v>13740</v>
      </c>
      <c r="E1520" s="654" t="s">
        <v>157</v>
      </c>
      <c r="F1520">
        <v>637</v>
      </c>
      <c r="J1520" s="654" t="s">
        <v>15477</v>
      </c>
      <c r="P1520" s="654" t="s">
        <v>15347</v>
      </c>
    </row>
    <row r="1522" spans="2:16">
      <c r="B1522" t="s">
        <v>13479</v>
      </c>
      <c r="C1522" s="2182">
        <v>45586</v>
      </c>
      <c r="D1522" t="s">
        <v>13740</v>
      </c>
      <c r="E1522" s="654" t="s">
        <v>14697</v>
      </c>
      <c r="F1522">
        <v>331</v>
      </c>
      <c r="J1522" t="s">
        <v>15478</v>
      </c>
    </row>
    <row r="1524" spans="2:16">
      <c r="C1524" s="2182">
        <v>45686</v>
      </c>
      <c r="D1524" t="s">
        <v>13740</v>
      </c>
      <c r="E1524" s="654" t="s">
        <v>14697</v>
      </c>
      <c r="F1524">
        <v>331</v>
      </c>
      <c r="J1524" t="s">
        <v>15479</v>
      </c>
    </row>
    <row r="1526" spans="2:16">
      <c r="C1526" s="2182">
        <v>45686</v>
      </c>
      <c r="D1526" t="s">
        <v>13740</v>
      </c>
      <c r="E1526" s="654" t="s">
        <v>122</v>
      </c>
      <c r="F1526" t="s">
        <v>15480</v>
      </c>
      <c r="J1526" t="s">
        <v>15481</v>
      </c>
    </row>
    <row r="1529" spans="2:16">
      <c r="C1529" s="2182">
        <v>45701</v>
      </c>
      <c r="D1529" s="654" t="s">
        <v>15482</v>
      </c>
      <c r="E1529" s="654" t="s">
        <v>15483</v>
      </c>
      <c r="F1529">
        <v>54</v>
      </c>
      <c r="J1529" s="654" t="s">
        <v>15484</v>
      </c>
      <c r="P1529" t="s">
        <v>15024</v>
      </c>
    </row>
    <row r="1531" spans="2:16">
      <c r="C1531" s="2182">
        <v>45701</v>
      </c>
      <c r="D1531" s="654" t="s">
        <v>15485</v>
      </c>
      <c r="E1531" s="654" t="s">
        <v>15486</v>
      </c>
      <c r="F1531" t="s">
        <v>15487</v>
      </c>
      <c r="J1531" s="654" t="s">
        <v>15488</v>
      </c>
      <c r="P1531" t="s">
        <v>15024</v>
      </c>
    </row>
    <row r="1533" spans="2:16">
      <c r="C1533" s="2182">
        <v>45749</v>
      </c>
      <c r="D1533" t="s">
        <v>13753</v>
      </c>
      <c r="E1533" t="s">
        <v>15489</v>
      </c>
      <c r="F1533">
        <v>101</v>
      </c>
      <c r="J1533" t="s">
        <v>15490</v>
      </c>
      <c r="P1533" t="s">
        <v>15203</v>
      </c>
    </row>
  </sheetData>
  <mergeCells count="2">
    <mergeCell ref="E1218:I1218"/>
    <mergeCell ref="E1276:I1276"/>
  </mergeCells>
  <phoneticPr fontId="0" type="noConversion"/>
  <pageMargins left="0.75" right="0.75" top="1" bottom="1" header="0.5" footer="0.5"/>
  <pageSetup orientation="portrait"/>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6"/>
  <dimension ref="A1:Y778"/>
  <sheetViews>
    <sheetView showRowColHeaders="0" workbookViewId="0">
      <selection activeCell="Y1" sqref="Y1"/>
    </sheetView>
  </sheetViews>
  <sheetFormatPr baseColWidth="10" defaultColWidth="8.7265625" defaultRowHeight="12.5"/>
  <cols>
    <col min="1" max="3" width="18.1796875" bestFit="1" customWidth="1"/>
    <col min="4" max="6" width="19.1796875" bestFit="1" customWidth="1"/>
  </cols>
  <sheetData>
    <row r="1" spans="1:25">
      <c r="A1">
        <v>1</v>
      </c>
      <c r="B1">
        <v>2.2200000000000002</v>
      </c>
      <c r="C1">
        <v>2.2200000000000002</v>
      </c>
      <c r="D1">
        <v>3471</v>
      </c>
      <c r="E1">
        <v>0</v>
      </c>
      <c r="F1">
        <v>1</v>
      </c>
      <c r="G1" t="s">
        <v>15491</v>
      </c>
      <c r="H1" t="s">
        <v>15492</v>
      </c>
      <c r="I1" t="s">
        <v>15493</v>
      </c>
      <c r="J1">
        <v>38</v>
      </c>
      <c r="K1">
        <v>37</v>
      </c>
      <c r="L1">
        <v>10</v>
      </c>
      <c r="M1">
        <v>4585</v>
      </c>
      <c r="N1">
        <v>11</v>
      </c>
      <c r="O1">
        <v>844000</v>
      </c>
      <c r="P1">
        <v>202504</v>
      </c>
      <c r="Q1" t="s">
        <v>15494</v>
      </c>
      <c r="R1">
        <v>24593020</v>
      </c>
      <c r="S1">
        <v>44724.833333333336</v>
      </c>
      <c r="T1" t="s">
        <v>15495</v>
      </c>
      <c r="W1" t="s">
        <v>15496</v>
      </c>
      <c r="X1" t="s">
        <v>15497</v>
      </c>
      <c r="Y1" t="s">
        <v>15497</v>
      </c>
    </row>
    <row r="2" spans="1:25">
      <c r="A2">
        <v>2</v>
      </c>
      <c r="B2">
        <v>319719</v>
      </c>
      <c r="C2">
        <v>319719</v>
      </c>
      <c r="D2">
        <v>3493</v>
      </c>
      <c r="E2">
        <v>1</v>
      </c>
      <c r="F2">
        <v>2</v>
      </c>
      <c r="G2" t="s">
        <v>15491</v>
      </c>
      <c r="H2" t="s">
        <v>15498</v>
      </c>
      <c r="I2" t="s">
        <v>15499</v>
      </c>
      <c r="J2">
        <v>53</v>
      </c>
      <c r="K2">
        <v>39</v>
      </c>
      <c r="L2">
        <v>9</v>
      </c>
      <c r="M2">
        <v>103456</v>
      </c>
      <c r="N2">
        <v>12</v>
      </c>
      <c r="O2">
        <v>0</v>
      </c>
    </row>
    <row r="3" spans="1:25">
      <c r="A3">
        <v>3</v>
      </c>
      <c r="B3">
        <v>1600</v>
      </c>
      <c r="C3">
        <v>1600</v>
      </c>
      <c r="D3">
        <v>3494</v>
      </c>
      <c r="E3">
        <v>2</v>
      </c>
      <c r="F3">
        <v>5</v>
      </c>
      <c r="G3" t="s">
        <v>15491</v>
      </c>
      <c r="H3" t="s">
        <v>15500</v>
      </c>
      <c r="I3" t="s">
        <v>15501</v>
      </c>
      <c r="J3">
        <v>65</v>
      </c>
      <c r="K3">
        <v>56</v>
      </c>
      <c r="L3">
        <v>17</v>
      </c>
      <c r="M3">
        <v>232589</v>
      </c>
      <c r="N3">
        <v>8446</v>
      </c>
      <c r="O3">
        <v>998</v>
      </c>
    </row>
    <row r="4" spans="1:25">
      <c r="A4">
        <v>6</v>
      </c>
      <c r="B4">
        <v>1</v>
      </c>
      <c r="C4">
        <v>1</v>
      </c>
      <c r="D4">
        <v>3495</v>
      </c>
      <c r="E4">
        <v>0</v>
      </c>
      <c r="F4">
        <v>3</v>
      </c>
      <c r="G4" t="s">
        <v>15491</v>
      </c>
      <c r="H4" t="s">
        <v>15502</v>
      </c>
      <c r="I4" t="s">
        <v>15503</v>
      </c>
      <c r="J4" t="s">
        <v>15494</v>
      </c>
      <c r="K4" t="s">
        <v>15494</v>
      </c>
      <c r="L4" t="s">
        <v>15494</v>
      </c>
      <c r="M4" t="s">
        <v>15494</v>
      </c>
    </row>
    <row r="5" spans="1:25">
      <c r="A5">
        <v>7</v>
      </c>
      <c r="B5">
        <v>1</v>
      </c>
      <c r="C5">
        <v>1</v>
      </c>
      <c r="D5">
        <v>3496</v>
      </c>
      <c r="E5">
        <v>9</v>
      </c>
      <c r="F5">
        <v>15</v>
      </c>
      <c r="G5" t="s">
        <v>15491</v>
      </c>
      <c r="H5" t="s">
        <v>15494</v>
      </c>
      <c r="I5" t="s">
        <v>15504</v>
      </c>
      <c r="J5" t="s">
        <v>15494</v>
      </c>
      <c r="K5" t="s">
        <v>15494</v>
      </c>
      <c r="L5" t="s">
        <v>15494</v>
      </c>
      <c r="M5" t="s">
        <v>15494</v>
      </c>
    </row>
    <row r="6" spans="1:25">
      <c r="A6">
        <v>9</v>
      </c>
      <c r="B6">
        <v>422000</v>
      </c>
      <c r="C6">
        <v>422000</v>
      </c>
      <c r="D6">
        <v>3497</v>
      </c>
      <c r="E6">
        <v>1</v>
      </c>
      <c r="F6">
        <v>2</v>
      </c>
      <c r="G6" t="s">
        <v>15491</v>
      </c>
      <c r="H6" t="s">
        <v>15505</v>
      </c>
      <c r="I6" t="s">
        <v>15506</v>
      </c>
      <c r="J6" t="s">
        <v>15494</v>
      </c>
      <c r="K6" t="s">
        <v>15494</v>
      </c>
      <c r="L6" t="s">
        <v>15494</v>
      </c>
      <c r="M6" t="s">
        <v>15494</v>
      </c>
    </row>
    <row r="7" spans="1:25">
      <c r="A7">
        <v>10</v>
      </c>
      <c r="B7">
        <v>1338470</v>
      </c>
      <c r="C7">
        <v>1338470</v>
      </c>
      <c r="D7">
        <v>3499</v>
      </c>
      <c r="E7">
        <v>2</v>
      </c>
      <c r="F7">
        <v>3</v>
      </c>
      <c r="G7" t="s">
        <v>15491</v>
      </c>
      <c r="H7" t="s">
        <v>15507</v>
      </c>
      <c r="I7" t="s">
        <v>15508</v>
      </c>
      <c r="J7" t="s">
        <v>15494</v>
      </c>
      <c r="K7" t="s">
        <v>15494</v>
      </c>
      <c r="L7" t="s">
        <v>15494</v>
      </c>
      <c r="M7" t="s">
        <v>15494</v>
      </c>
    </row>
    <row r="8" spans="1:25">
      <c r="A8">
        <v>11</v>
      </c>
      <c r="B8">
        <v>844000</v>
      </c>
      <c r="C8">
        <v>844000</v>
      </c>
      <c r="D8">
        <v>3526</v>
      </c>
      <c r="E8">
        <v>0</v>
      </c>
      <c r="F8">
        <v>1</v>
      </c>
      <c r="G8" t="s">
        <v>15491</v>
      </c>
      <c r="H8" t="s">
        <v>15509</v>
      </c>
      <c r="I8" t="s">
        <v>15510</v>
      </c>
      <c r="J8" t="s">
        <v>15494</v>
      </c>
      <c r="K8" t="s">
        <v>15494</v>
      </c>
      <c r="L8" t="s">
        <v>15494</v>
      </c>
      <c r="M8" t="s">
        <v>15494</v>
      </c>
    </row>
    <row r="9" spans="1:25">
      <c r="A9">
        <v>13</v>
      </c>
      <c r="B9">
        <v>131.5</v>
      </c>
      <c r="C9">
        <v>131.5</v>
      </c>
      <c r="D9">
        <v>3527</v>
      </c>
      <c r="E9">
        <v>1</v>
      </c>
      <c r="F9">
        <v>4</v>
      </c>
      <c r="I9" t="s">
        <v>15511</v>
      </c>
      <c r="J9" t="s">
        <v>15494</v>
      </c>
      <c r="K9" t="s">
        <v>15494</v>
      </c>
      <c r="L9" t="s">
        <v>15494</v>
      </c>
      <c r="M9" t="s">
        <v>15494</v>
      </c>
    </row>
    <row r="10" spans="1:25">
      <c r="A10">
        <v>14</v>
      </c>
      <c r="B10">
        <v>131.5</v>
      </c>
      <c r="C10">
        <v>131.5</v>
      </c>
      <c r="D10">
        <v>3528</v>
      </c>
      <c r="E10">
        <v>1</v>
      </c>
      <c r="F10">
        <v>3</v>
      </c>
      <c r="I10" t="s">
        <v>15512</v>
      </c>
      <c r="J10" t="s">
        <v>15494</v>
      </c>
      <c r="K10" t="s">
        <v>15494</v>
      </c>
      <c r="L10" t="s">
        <v>15494</v>
      </c>
      <c r="M10" t="s">
        <v>15494</v>
      </c>
    </row>
    <row r="11" spans="1:25">
      <c r="A11">
        <v>15</v>
      </c>
      <c r="B11">
        <v>131.5</v>
      </c>
      <c r="C11">
        <v>131.5</v>
      </c>
      <c r="D11">
        <v>3595</v>
      </c>
      <c r="E11">
        <v>1</v>
      </c>
      <c r="F11">
        <v>1</v>
      </c>
      <c r="I11" t="s">
        <v>15513</v>
      </c>
      <c r="J11" t="s">
        <v>15494</v>
      </c>
      <c r="K11" t="s">
        <v>15494</v>
      </c>
      <c r="L11" t="s">
        <v>15494</v>
      </c>
      <c r="M11" t="s">
        <v>15494</v>
      </c>
    </row>
    <row r="12" spans="1:25">
      <c r="A12">
        <v>19</v>
      </c>
      <c r="B12">
        <v>94.4</v>
      </c>
      <c r="C12">
        <v>94.4</v>
      </c>
      <c r="D12">
        <v>3597</v>
      </c>
      <c r="E12">
        <v>1</v>
      </c>
      <c r="F12">
        <v>1</v>
      </c>
      <c r="I12" t="s">
        <v>15514</v>
      </c>
      <c r="J12" t="s">
        <v>15494</v>
      </c>
      <c r="K12" t="s">
        <v>15494</v>
      </c>
      <c r="L12" t="s">
        <v>15494</v>
      </c>
      <c r="M12" t="s">
        <v>15494</v>
      </c>
    </row>
    <row r="13" spans="1:25">
      <c r="A13">
        <v>20</v>
      </c>
      <c r="B13">
        <v>131.5</v>
      </c>
      <c r="C13">
        <v>131.5</v>
      </c>
      <c r="D13">
        <v>3599</v>
      </c>
      <c r="E13">
        <v>2</v>
      </c>
      <c r="F13">
        <v>2</v>
      </c>
    </row>
    <row r="14" spans="1:25">
      <c r="A14">
        <v>22</v>
      </c>
      <c r="B14">
        <v>75</v>
      </c>
      <c r="C14">
        <v>75</v>
      </c>
      <c r="D14">
        <v>3600</v>
      </c>
      <c r="E14">
        <v>1</v>
      </c>
      <c r="F14">
        <v>6</v>
      </c>
    </row>
    <row r="15" spans="1:25">
      <c r="A15">
        <v>23</v>
      </c>
      <c r="B15">
        <v>75</v>
      </c>
      <c r="C15">
        <v>75</v>
      </c>
      <c r="D15">
        <v>3631</v>
      </c>
      <c r="E15">
        <v>4</v>
      </c>
      <c r="F15">
        <v>13</v>
      </c>
    </row>
    <row r="16" spans="1:25">
      <c r="A16">
        <v>24</v>
      </c>
      <c r="B16">
        <v>75</v>
      </c>
      <c r="C16">
        <v>75</v>
      </c>
      <c r="D16">
        <v>3636</v>
      </c>
      <c r="E16">
        <v>1</v>
      </c>
      <c r="F16">
        <v>10</v>
      </c>
    </row>
    <row r="17" spans="1:6">
      <c r="A17">
        <v>25</v>
      </c>
      <c r="B17">
        <v>0</v>
      </c>
      <c r="C17">
        <v>1</v>
      </c>
      <c r="D17">
        <v>3637</v>
      </c>
      <c r="E17">
        <v>4</v>
      </c>
      <c r="F17">
        <v>6</v>
      </c>
    </row>
    <row r="18" spans="1:6">
      <c r="A18">
        <v>29</v>
      </c>
      <c r="B18">
        <v>0</v>
      </c>
      <c r="C18">
        <v>1</v>
      </c>
      <c r="D18">
        <v>3638</v>
      </c>
      <c r="E18">
        <v>1</v>
      </c>
      <c r="F18">
        <v>5</v>
      </c>
    </row>
    <row r="19" spans="1:6">
      <c r="A19">
        <v>30</v>
      </c>
      <c r="B19">
        <v>15</v>
      </c>
      <c r="C19">
        <v>30</v>
      </c>
      <c r="D19">
        <v>3664</v>
      </c>
      <c r="E19">
        <v>1</v>
      </c>
      <c r="F19">
        <v>2</v>
      </c>
    </row>
    <row r="20" spans="1:6">
      <c r="A20">
        <v>32</v>
      </c>
      <c r="B20">
        <v>9</v>
      </c>
      <c r="C20">
        <v>24</v>
      </c>
      <c r="D20">
        <v>3665</v>
      </c>
      <c r="E20">
        <v>2</v>
      </c>
      <c r="F20">
        <v>2</v>
      </c>
    </row>
    <row r="21" spans="1:6">
      <c r="A21">
        <v>34</v>
      </c>
      <c r="B21">
        <v>24</v>
      </c>
      <c r="C21">
        <v>54</v>
      </c>
      <c r="D21">
        <v>3666</v>
      </c>
      <c r="E21">
        <v>1</v>
      </c>
      <c r="F21">
        <v>1</v>
      </c>
    </row>
    <row r="22" spans="1:6">
      <c r="A22">
        <v>36</v>
      </c>
      <c r="B22">
        <v>24</v>
      </c>
      <c r="C22">
        <v>55</v>
      </c>
      <c r="D22">
        <v>3700</v>
      </c>
      <c r="E22">
        <v>0</v>
      </c>
      <c r="F22">
        <v>5</v>
      </c>
    </row>
    <row r="23" spans="1:6">
      <c r="A23">
        <v>42</v>
      </c>
      <c r="B23">
        <v>2</v>
      </c>
      <c r="C23">
        <v>8</v>
      </c>
      <c r="D23">
        <v>3735</v>
      </c>
      <c r="E23">
        <v>1</v>
      </c>
      <c r="F23">
        <v>2</v>
      </c>
    </row>
    <row r="24" spans="1:6">
      <c r="A24">
        <v>46</v>
      </c>
      <c r="B24">
        <v>2</v>
      </c>
      <c r="C24">
        <v>8</v>
      </c>
      <c r="D24">
        <v>3737</v>
      </c>
      <c r="E24">
        <v>4</v>
      </c>
      <c r="F24">
        <v>4</v>
      </c>
    </row>
    <row r="25" spans="1:6">
      <c r="A25">
        <v>48</v>
      </c>
      <c r="B25">
        <v>2</v>
      </c>
      <c r="C25">
        <v>8</v>
      </c>
      <c r="D25">
        <v>3741</v>
      </c>
      <c r="E25">
        <v>0</v>
      </c>
      <c r="F25">
        <v>3</v>
      </c>
    </row>
    <row r="26" spans="1:6">
      <c r="A26">
        <v>66</v>
      </c>
      <c r="B26">
        <v>5</v>
      </c>
      <c r="C26">
        <v>10</v>
      </c>
      <c r="D26">
        <v>3742</v>
      </c>
      <c r="E26">
        <v>11</v>
      </c>
      <c r="F26">
        <v>22</v>
      </c>
    </row>
    <row r="27" spans="1:6">
      <c r="A27">
        <v>70</v>
      </c>
      <c r="B27">
        <v>5</v>
      </c>
      <c r="C27">
        <v>10</v>
      </c>
      <c r="D27">
        <v>3743</v>
      </c>
      <c r="E27">
        <v>4</v>
      </c>
      <c r="F27">
        <v>7</v>
      </c>
    </row>
    <row r="28" spans="1:6">
      <c r="A28">
        <v>72</v>
      </c>
      <c r="B28">
        <v>5</v>
      </c>
      <c r="C28">
        <v>10</v>
      </c>
      <c r="D28">
        <v>3747</v>
      </c>
      <c r="E28">
        <v>0</v>
      </c>
      <c r="F28">
        <v>1</v>
      </c>
    </row>
    <row r="29" spans="1:6">
      <c r="A29">
        <v>78</v>
      </c>
      <c r="B29">
        <v>10</v>
      </c>
      <c r="C29">
        <v>34</v>
      </c>
      <c r="D29">
        <v>3961</v>
      </c>
      <c r="E29">
        <v>0</v>
      </c>
      <c r="F29">
        <v>33144</v>
      </c>
    </row>
    <row r="30" spans="1:6">
      <c r="A30">
        <v>82</v>
      </c>
      <c r="B30">
        <v>10</v>
      </c>
      <c r="C30">
        <v>34</v>
      </c>
      <c r="D30">
        <v>3983</v>
      </c>
      <c r="E30">
        <v>66085</v>
      </c>
      <c r="F30">
        <v>127215</v>
      </c>
    </row>
    <row r="31" spans="1:6">
      <c r="A31">
        <v>84</v>
      </c>
      <c r="B31">
        <v>10</v>
      </c>
      <c r="C31">
        <v>34</v>
      </c>
      <c r="D31">
        <v>3984</v>
      </c>
      <c r="E31">
        <v>62099</v>
      </c>
      <c r="F31">
        <v>152450</v>
      </c>
    </row>
    <row r="32" spans="1:6">
      <c r="A32">
        <v>90</v>
      </c>
      <c r="B32">
        <v>4</v>
      </c>
      <c r="C32">
        <v>5</v>
      </c>
      <c r="D32">
        <v>3985</v>
      </c>
      <c r="E32">
        <v>0</v>
      </c>
      <c r="F32">
        <v>283459</v>
      </c>
    </row>
    <row r="33" spans="1:6">
      <c r="A33">
        <v>94</v>
      </c>
      <c r="B33">
        <v>4</v>
      </c>
      <c r="C33">
        <v>5</v>
      </c>
      <c r="D33">
        <v>3986</v>
      </c>
      <c r="E33">
        <v>634584</v>
      </c>
      <c r="F33">
        <v>1069303</v>
      </c>
    </row>
    <row r="34" spans="1:6">
      <c r="A34">
        <v>96</v>
      </c>
      <c r="B34">
        <v>4</v>
      </c>
      <c r="C34">
        <v>5</v>
      </c>
      <c r="D34">
        <v>3987</v>
      </c>
      <c r="E34">
        <v>81915</v>
      </c>
      <c r="F34">
        <v>155399</v>
      </c>
    </row>
    <row r="35" spans="1:6">
      <c r="A35">
        <v>102</v>
      </c>
      <c r="B35">
        <v>0</v>
      </c>
      <c r="C35">
        <v>5</v>
      </c>
      <c r="D35">
        <v>3989</v>
      </c>
      <c r="E35">
        <v>94993</v>
      </c>
      <c r="F35">
        <v>140466</v>
      </c>
    </row>
    <row r="36" spans="1:6">
      <c r="A36">
        <v>106</v>
      </c>
      <c r="B36">
        <v>0</v>
      </c>
      <c r="C36">
        <v>5</v>
      </c>
      <c r="D36">
        <v>3996</v>
      </c>
      <c r="E36">
        <v>0</v>
      </c>
      <c r="F36">
        <v>-1856</v>
      </c>
    </row>
    <row r="37" spans="1:6">
      <c r="A37">
        <v>108</v>
      </c>
      <c r="B37">
        <v>0</v>
      </c>
      <c r="C37">
        <v>5</v>
      </c>
      <c r="D37">
        <v>4018</v>
      </c>
      <c r="E37">
        <v>2877</v>
      </c>
      <c r="F37">
        <v>4953</v>
      </c>
    </row>
    <row r="38" spans="1:6">
      <c r="A38">
        <v>114</v>
      </c>
      <c r="B38">
        <v>20</v>
      </c>
      <c r="C38">
        <v>39</v>
      </c>
      <c r="D38">
        <v>4019</v>
      </c>
      <c r="E38">
        <v>611</v>
      </c>
      <c r="F38">
        <v>3607</v>
      </c>
    </row>
    <row r="39" spans="1:6">
      <c r="A39">
        <v>118</v>
      </c>
      <c r="B39">
        <v>20</v>
      </c>
      <c r="C39">
        <v>39</v>
      </c>
      <c r="D39">
        <v>4020</v>
      </c>
      <c r="E39">
        <v>-930</v>
      </c>
      <c r="F39">
        <v>9863</v>
      </c>
    </row>
    <row r="40" spans="1:6">
      <c r="A40">
        <v>120</v>
      </c>
      <c r="B40">
        <v>20</v>
      </c>
      <c r="C40">
        <v>39</v>
      </c>
      <c r="D40">
        <v>4021</v>
      </c>
      <c r="E40">
        <v>18368</v>
      </c>
      <c r="F40">
        <v>46793</v>
      </c>
    </row>
    <row r="41" spans="1:6">
      <c r="A41">
        <v>158</v>
      </c>
      <c r="B41">
        <v>45848</v>
      </c>
      <c r="C41">
        <v>45848</v>
      </c>
      <c r="D41">
        <v>4022</v>
      </c>
      <c r="E41">
        <v>2515</v>
      </c>
      <c r="F41">
        <v>5751</v>
      </c>
    </row>
    <row r="42" spans="1:6">
      <c r="A42">
        <v>183</v>
      </c>
      <c r="B42">
        <v>45848</v>
      </c>
      <c r="C42">
        <v>45848</v>
      </c>
      <c r="D42">
        <v>4024</v>
      </c>
      <c r="E42">
        <v>3828</v>
      </c>
      <c r="F42">
        <v>4749</v>
      </c>
    </row>
    <row r="43" spans="1:6">
      <c r="A43">
        <v>201</v>
      </c>
      <c r="B43">
        <v>-712</v>
      </c>
      <c r="C43">
        <v>-712</v>
      </c>
      <c r="D43">
        <v>4051</v>
      </c>
      <c r="E43">
        <v>0</v>
      </c>
      <c r="F43">
        <v>64477</v>
      </c>
    </row>
    <row r="44" spans="1:6">
      <c r="A44">
        <v>226</v>
      </c>
      <c r="B44">
        <v>-712</v>
      </c>
      <c r="C44">
        <v>-712</v>
      </c>
      <c r="D44">
        <v>4052</v>
      </c>
      <c r="E44">
        <v>51099</v>
      </c>
      <c r="F44">
        <v>223256</v>
      </c>
    </row>
    <row r="45" spans="1:6">
      <c r="A45">
        <v>246</v>
      </c>
      <c r="B45">
        <v>3688</v>
      </c>
      <c r="C45">
        <v>7293</v>
      </c>
      <c r="D45">
        <v>4053</v>
      </c>
      <c r="E45">
        <v>86859</v>
      </c>
      <c r="F45">
        <v>288896</v>
      </c>
    </row>
    <row r="46" spans="1:6">
      <c r="A46">
        <v>262</v>
      </c>
      <c r="B46">
        <v>1</v>
      </c>
      <c r="C46">
        <v>1</v>
      </c>
      <c r="D46">
        <v>4086</v>
      </c>
      <c r="E46">
        <v>420</v>
      </c>
      <c r="F46">
        <v>1146</v>
      </c>
    </row>
    <row r="47" spans="1:6">
      <c r="A47">
        <v>287</v>
      </c>
      <c r="B47">
        <v>1</v>
      </c>
      <c r="C47">
        <v>1</v>
      </c>
      <c r="D47">
        <v>4087</v>
      </c>
      <c r="E47">
        <v>1775</v>
      </c>
      <c r="F47">
        <v>3652</v>
      </c>
    </row>
    <row r="48" spans="1:6">
      <c r="A48">
        <v>291</v>
      </c>
      <c r="B48">
        <v>10</v>
      </c>
      <c r="C48">
        <v>25</v>
      </c>
      <c r="D48">
        <v>4088</v>
      </c>
      <c r="E48">
        <v>3662</v>
      </c>
      <c r="F48">
        <v>12551</v>
      </c>
    </row>
    <row r="49" spans="1:6">
      <c r="A49">
        <v>293</v>
      </c>
      <c r="B49">
        <v>7</v>
      </c>
      <c r="C49">
        <v>15</v>
      </c>
      <c r="D49">
        <v>4190</v>
      </c>
      <c r="E49">
        <v>31744</v>
      </c>
      <c r="F49">
        <v>31744</v>
      </c>
    </row>
    <row r="50" spans="1:6">
      <c r="A50">
        <v>295</v>
      </c>
      <c r="B50">
        <v>8806</v>
      </c>
      <c r="C50">
        <v>19020</v>
      </c>
      <c r="D50">
        <v>4192</v>
      </c>
      <c r="E50">
        <v>59739</v>
      </c>
      <c r="F50">
        <v>59739</v>
      </c>
    </row>
    <row r="51" spans="1:6">
      <c r="A51">
        <v>297</v>
      </c>
      <c r="B51">
        <v>10</v>
      </c>
      <c r="C51">
        <v>21</v>
      </c>
      <c r="D51">
        <v>4194</v>
      </c>
      <c r="E51">
        <v>72232</v>
      </c>
      <c r="F51">
        <v>72232</v>
      </c>
    </row>
    <row r="52" spans="1:6">
      <c r="A52">
        <v>299</v>
      </c>
      <c r="B52">
        <v>13160</v>
      </c>
      <c r="C52">
        <v>26103</v>
      </c>
      <c r="D52">
        <v>4195</v>
      </c>
      <c r="E52">
        <v>45848</v>
      </c>
      <c r="F52">
        <v>273275</v>
      </c>
    </row>
    <row r="53" spans="1:6">
      <c r="A53">
        <v>300</v>
      </c>
      <c r="B53">
        <v>17</v>
      </c>
      <c r="C53">
        <v>36</v>
      </c>
      <c r="D53">
        <v>4225</v>
      </c>
      <c r="E53">
        <v>1045</v>
      </c>
      <c r="F53">
        <v>1045</v>
      </c>
    </row>
    <row r="54" spans="1:6">
      <c r="A54">
        <v>301</v>
      </c>
      <c r="B54">
        <v>68</v>
      </c>
      <c r="C54">
        <v>201</v>
      </c>
      <c r="D54">
        <v>4227</v>
      </c>
      <c r="E54">
        <v>687</v>
      </c>
      <c r="F54">
        <v>687</v>
      </c>
    </row>
    <row r="55" spans="1:6">
      <c r="A55">
        <v>302</v>
      </c>
      <c r="B55">
        <v>0</v>
      </c>
      <c r="C55">
        <v>15</v>
      </c>
      <c r="D55">
        <v>4229</v>
      </c>
      <c r="E55">
        <v>3564</v>
      </c>
      <c r="F55">
        <v>3564</v>
      </c>
    </row>
    <row r="56" spans="1:6">
      <c r="A56">
        <v>303</v>
      </c>
      <c r="B56">
        <v>2</v>
      </c>
      <c r="C56">
        <v>7</v>
      </c>
      <c r="D56">
        <v>4230</v>
      </c>
      <c r="E56">
        <v>-712</v>
      </c>
      <c r="F56">
        <v>3452</v>
      </c>
    </row>
    <row r="57" spans="1:6">
      <c r="A57">
        <v>304</v>
      </c>
      <c r="B57">
        <v>0.2</v>
      </c>
      <c r="C57">
        <v>0.2</v>
      </c>
      <c r="D57">
        <v>4261</v>
      </c>
      <c r="E57">
        <v>660164</v>
      </c>
      <c r="F57">
        <v>1938624</v>
      </c>
    </row>
    <row r="58" spans="1:6">
      <c r="A58">
        <v>305</v>
      </c>
      <c r="B58">
        <v>70</v>
      </c>
      <c r="C58">
        <v>208</v>
      </c>
      <c r="D58">
        <v>4266</v>
      </c>
      <c r="E58">
        <v>58429</v>
      </c>
      <c r="F58">
        <v>553822</v>
      </c>
    </row>
    <row r="59" spans="1:6">
      <c r="A59">
        <v>306</v>
      </c>
      <c r="B59">
        <v>87</v>
      </c>
      <c r="C59">
        <v>244</v>
      </c>
      <c r="D59">
        <v>4267</v>
      </c>
      <c r="E59">
        <v>262603</v>
      </c>
      <c r="F59">
        <v>394867</v>
      </c>
    </row>
    <row r="60" spans="1:6">
      <c r="A60">
        <v>307</v>
      </c>
      <c r="B60">
        <v>152</v>
      </c>
      <c r="C60">
        <v>400</v>
      </c>
      <c r="D60">
        <v>4268</v>
      </c>
      <c r="E60">
        <v>55628</v>
      </c>
      <c r="F60">
        <v>341001</v>
      </c>
    </row>
    <row r="61" spans="1:6">
      <c r="A61">
        <v>308</v>
      </c>
      <c r="B61">
        <v>201</v>
      </c>
      <c r="C61">
        <v>527</v>
      </c>
      <c r="D61">
        <v>4296</v>
      </c>
      <c r="E61">
        <v>25609</v>
      </c>
      <c r="F61">
        <v>81495</v>
      </c>
    </row>
    <row r="62" spans="1:6">
      <c r="A62">
        <v>317</v>
      </c>
      <c r="B62">
        <v>30</v>
      </c>
      <c r="C62">
        <v>78</v>
      </c>
      <c r="D62">
        <v>4301</v>
      </c>
      <c r="E62">
        <v>1129</v>
      </c>
      <c r="F62">
        <v>17238</v>
      </c>
    </row>
    <row r="63" spans="1:6">
      <c r="A63">
        <v>319</v>
      </c>
      <c r="B63">
        <v>4</v>
      </c>
      <c r="C63">
        <v>23</v>
      </c>
      <c r="D63">
        <v>4302</v>
      </c>
      <c r="E63">
        <v>6353</v>
      </c>
      <c r="F63">
        <v>9177</v>
      </c>
    </row>
    <row r="64" spans="1:6">
      <c r="A64">
        <v>320</v>
      </c>
      <c r="B64">
        <v>0.38500000000000001</v>
      </c>
      <c r="C64">
        <v>0.3755</v>
      </c>
      <c r="D64">
        <v>4303</v>
      </c>
      <c r="E64">
        <v>6689</v>
      </c>
      <c r="F64">
        <v>16947</v>
      </c>
    </row>
    <row r="65" spans="1:6">
      <c r="A65">
        <v>322</v>
      </c>
      <c r="B65">
        <v>0</v>
      </c>
      <c r="C65">
        <v>1</v>
      </c>
      <c r="D65">
        <v>4329</v>
      </c>
      <c r="E65">
        <v>67073</v>
      </c>
      <c r="F65">
        <v>142734</v>
      </c>
    </row>
    <row r="66" spans="1:6">
      <c r="A66">
        <v>324</v>
      </c>
      <c r="B66">
        <v>11</v>
      </c>
      <c r="C66">
        <v>24</v>
      </c>
      <c r="D66">
        <v>4330</v>
      </c>
      <c r="E66">
        <v>127699</v>
      </c>
      <c r="F66">
        <v>127699</v>
      </c>
    </row>
    <row r="67" spans="1:6">
      <c r="A67">
        <v>325</v>
      </c>
      <c r="B67">
        <v>10</v>
      </c>
      <c r="C67">
        <v>17</v>
      </c>
      <c r="D67">
        <v>4331</v>
      </c>
      <c r="E67">
        <v>161228</v>
      </c>
      <c r="F67">
        <v>161228</v>
      </c>
    </row>
    <row r="68" spans="1:6">
      <c r="A68">
        <v>326</v>
      </c>
      <c r="B68">
        <v>3</v>
      </c>
      <c r="C68">
        <v>4</v>
      </c>
      <c r="D68">
        <v>4364</v>
      </c>
      <c r="E68">
        <v>1798</v>
      </c>
      <c r="F68">
        <v>5208</v>
      </c>
    </row>
    <row r="69" spans="1:6">
      <c r="A69">
        <v>329</v>
      </c>
      <c r="B69">
        <v>2</v>
      </c>
      <c r="C69">
        <v>7</v>
      </c>
      <c r="D69">
        <v>4365</v>
      </c>
      <c r="E69">
        <v>4894</v>
      </c>
      <c r="F69">
        <v>4894</v>
      </c>
    </row>
    <row r="70" spans="1:6">
      <c r="A70">
        <v>333</v>
      </c>
      <c r="B70">
        <v>3</v>
      </c>
      <c r="C70">
        <v>3</v>
      </c>
      <c r="D70">
        <v>4366</v>
      </c>
      <c r="E70">
        <v>7723</v>
      </c>
      <c r="F70">
        <v>7723</v>
      </c>
    </row>
    <row r="71" spans="1:6">
      <c r="A71">
        <v>334</v>
      </c>
      <c r="B71">
        <v>3</v>
      </c>
      <c r="C71">
        <v>3</v>
      </c>
      <c r="D71">
        <v>4400</v>
      </c>
      <c r="E71">
        <v>0</v>
      </c>
      <c r="F71">
        <v>613353</v>
      </c>
    </row>
    <row r="72" spans="1:6">
      <c r="A72">
        <v>335</v>
      </c>
      <c r="B72">
        <v>145</v>
      </c>
      <c r="C72">
        <v>145</v>
      </c>
      <c r="D72">
        <v>4435</v>
      </c>
      <c r="E72">
        <v>184</v>
      </c>
      <c r="F72">
        <v>37306</v>
      </c>
    </row>
    <row r="73" spans="1:6">
      <c r="A73">
        <v>336</v>
      </c>
      <c r="B73">
        <v>145</v>
      </c>
      <c r="C73">
        <v>145</v>
      </c>
      <c r="D73">
        <v>4470</v>
      </c>
      <c r="E73">
        <v>40750</v>
      </c>
      <c r="F73">
        <v>81094</v>
      </c>
    </row>
    <row r="74" spans="1:6">
      <c r="A74">
        <v>340</v>
      </c>
      <c r="B74">
        <v>101989</v>
      </c>
      <c r="C74">
        <v>101989</v>
      </c>
      <c r="D74">
        <v>4472</v>
      </c>
      <c r="E74">
        <v>252288</v>
      </c>
      <c r="F74">
        <v>252288</v>
      </c>
    </row>
    <row r="75" spans="1:6">
      <c r="A75">
        <v>341</v>
      </c>
      <c r="B75">
        <v>9763842</v>
      </c>
      <c r="C75">
        <v>9763842</v>
      </c>
      <c r="D75">
        <v>4476</v>
      </c>
      <c r="E75">
        <v>0</v>
      </c>
      <c r="F75">
        <v>312976</v>
      </c>
    </row>
    <row r="76" spans="1:6">
      <c r="A76">
        <v>370</v>
      </c>
      <c r="B76">
        <v>42</v>
      </c>
      <c r="C76">
        <v>42</v>
      </c>
      <c r="D76">
        <v>4477</v>
      </c>
      <c r="E76">
        <v>873247</v>
      </c>
      <c r="F76">
        <v>1764279</v>
      </c>
    </row>
    <row r="77" spans="1:6">
      <c r="A77">
        <v>371</v>
      </c>
      <c r="B77">
        <v>106</v>
      </c>
      <c r="C77">
        <v>106</v>
      </c>
      <c r="D77">
        <v>4478</v>
      </c>
      <c r="E77">
        <v>426655</v>
      </c>
      <c r="F77">
        <v>749601</v>
      </c>
    </row>
    <row r="78" spans="1:6">
      <c r="A78">
        <v>372</v>
      </c>
      <c r="B78">
        <v>917443</v>
      </c>
      <c r="C78">
        <v>917443</v>
      </c>
      <c r="D78">
        <v>4482</v>
      </c>
      <c r="E78">
        <v>0</v>
      </c>
      <c r="F78">
        <v>53900</v>
      </c>
    </row>
    <row r="79" spans="1:6">
      <c r="A79">
        <v>373</v>
      </c>
      <c r="B79">
        <v>4215202</v>
      </c>
      <c r="C79">
        <v>4215202</v>
      </c>
      <c r="D79">
        <v>4505</v>
      </c>
      <c r="E79">
        <v>1766</v>
      </c>
      <c r="F79">
        <v>3029</v>
      </c>
    </row>
    <row r="80" spans="1:6">
      <c r="A80">
        <v>374</v>
      </c>
      <c r="B80">
        <v>14</v>
      </c>
      <c r="C80">
        <v>14</v>
      </c>
      <c r="D80">
        <v>4507</v>
      </c>
      <c r="E80">
        <v>11985</v>
      </c>
      <c r="F80">
        <v>11985</v>
      </c>
    </row>
    <row r="81" spans="1:6">
      <c r="A81">
        <v>375</v>
      </c>
      <c r="B81">
        <v>120</v>
      </c>
      <c r="C81">
        <v>120</v>
      </c>
      <c r="D81">
        <v>4511</v>
      </c>
      <c r="E81">
        <v>0</v>
      </c>
      <c r="F81">
        <v>7595</v>
      </c>
    </row>
    <row r="82" spans="1:6">
      <c r="A82">
        <v>376</v>
      </c>
      <c r="B82">
        <v>372484</v>
      </c>
      <c r="C82">
        <v>372484</v>
      </c>
      <c r="D82">
        <v>4512</v>
      </c>
      <c r="E82">
        <v>38009</v>
      </c>
      <c r="F82">
        <v>75042</v>
      </c>
    </row>
    <row r="83" spans="1:6">
      <c r="A83">
        <v>377</v>
      </c>
      <c r="B83">
        <v>5538887</v>
      </c>
      <c r="C83">
        <v>5538887</v>
      </c>
      <c r="D83">
        <v>4513</v>
      </c>
      <c r="E83">
        <v>19480</v>
      </c>
      <c r="F83">
        <v>33623</v>
      </c>
    </row>
    <row r="84" spans="1:6">
      <c r="A84">
        <v>378</v>
      </c>
      <c r="B84">
        <v>56</v>
      </c>
      <c r="C84">
        <v>56</v>
      </c>
      <c r="D84">
        <v>4517</v>
      </c>
      <c r="E84">
        <v>0</v>
      </c>
      <c r="F84">
        <v>-416</v>
      </c>
    </row>
    <row r="85" spans="1:6">
      <c r="A85">
        <v>379</v>
      </c>
      <c r="B85">
        <v>226</v>
      </c>
      <c r="C85">
        <v>226</v>
      </c>
    </row>
    <row r="86" spans="1:6">
      <c r="A86">
        <v>380</v>
      </c>
      <c r="B86">
        <v>1289927</v>
      </c>
      <c r="C86">
        <v>1289927</v>
      </c>
    </row>
    <row r="87" spans="1:6">
      <c r="A87">
        <v>381</v>
      </c>
      <c r="B87">
        <v>9754089</v>
      </c>
      <c r="C87">
        <v>9754089</v>
      </c>
    </row>
    <row r="88" spans="1:6">
      <c r="A88">
        <v>386</v>
      </c>
      <c r="B88">
        <v>377273</v>
      </c>
      <c r="C88">
        <v>377273</v>
      </c>
    </row>
    <row r="89" spans="1:6">
      <c r="A89">
        <v>387</v>
      </c>
      <c r="B89">
        <v>-12714</v>
      </c>
      <c r="C89">
        <v>-12714</v>
      </c>
    </row>
    <row r="90" spans="1:6">
      <c r="A90">
        <v>388</v>
      </c>
      <c r="B90">
        <v>103087</v>
      </c>
      <c r="C90">
        <v>103087</v>
      </c>
    </row>
    <row r="91" spans="1:6">
      <c r="A91">
        <v>400</v>
      </c>
      <c r="B91">
        <v>11695</v>
      </c>
      <c r="C91">
        <v>11695</v>
      </c>
    </row>
    <row r="92" spans="1:6">
      <c r="A92">
        <v>401</v>
      </c>
      <c r="B92">
        <v>7543</v>
      </c>
      <c r="C92">
        <v>7543</v>
      </c>
    </row>
    <row r="93" spans="1:6">
      <c r="A93">
        <v>402</v>
      </c>
      <c r="B93">
        <v>0.3</v>
      </c>
      <c r="C93">
        <v>0.3</v>
      </c>
    </row>
    <row r="94" spans="1:6">
      <c r="A94">
        <v>403</v>
      </c>
      <c r="B94">
        <v>1</v>
      </c>
      <c r="C94">
        <v>1</v>
      </c>
    </row>
    <row r="95" spans="1:6">
      <c r="A95">
        <v>404</v>
      </c>
      <c r="B95">
        <v>5</v>
      </c>
      <c r="C95">
        <v>5</v>
      </c>
    </row>
    <row r="96" spans="1:6">
      <c r="A96">
        <v>405</v>
      </c>
      <c r="B96">
        <v>1</v>
      </c>
      <c r="C96">
        <v>1</v>
      </c>
    </row>
    <row r="97" spans="1:3">
      <c r="A97">
        <v>406</v>
      </c>
      <c r="B97">
        <v>0.5</v>
      </c>
      <c r="C97">
        <v>0.5</v>
      </c>
    </row>
    <row r="98" spans="1:3">
      <c r="A98">
        <v>407</v>
      </c>
      <c r="B98">
        <v>7.8</v>
      </c>
      <c r="C98">
        <v>7.8</v>
      </c>
    </row>
    <row r="99" spans="1:3">
      <c r="A99">
        <v>410</v>
      </c>
      <c r="B99">
        <v>0.2</v>
      </c>
      <c r="C99">
        <v>0.2</v>
      </c>
    </row>
    <row r="100" spans="1:3">
      <c r="A100">
        <v>411</v>
      </c>
      <c r="B100">
        <v>1</v>
      </c>
      <c r="C100">
        <v>1</v>
      </c>
    </row>
    <row r="101" spans="1:3">
      <c r="A101">
        <v>412</v>
      </c>
      <c r="B101">
        <v>1</v>
      </c>
      <c r="C101">
        <v>1</v>
      </c>
    </row>
    <row r="102" spans="1:3">
      <c r="A102">
        <v>413</v>
      </c>
      <c r="B102">
        <v>3</v>
      </c>
      <c r="C102">
        <v>3</v>
      </c>
    </row>
    <row r="103" spans="1:3">
      <c r="A103">
        <v>415</v>
      </c>
      <c r="B103">
        <v>5.2</v>
      </c>
      <c r="C103">
        <v>5.2</v>
      </c>
    </row>
    <row r="104" spans="1:3">
      <c r="A104">
        <v>432</v>
      </c>
      <c r="B104">
        <v>0.3</v>
      </c>
      <c r="C104">
        <v>0.3</v>
      </c>
    </row>
    <row r="105" spans="1:3">
      <c r="A105">
        <v>433</v>
      </c>
      <c r="B105">
        <v>1</v>
      </c>
      <c r="C105">
        <v>1</v>
      </c>
    </row>
    <row r="106" spans="1:3">
      <c r="A106">
        <v>434</v>
      </c>
      <c r="B106">
        <v>3</v>
      </c>
      <c r="C106">
        <v>3</v>
      </c>
    </row>
    <row r="107" spans="1:3">
      <c r="A107">
        <v>435</v>
      </c>
      <c r="B107">
        <v>13</v>
      </c>
      <c r="C107">
        <v>13</v>
      </c>
    </row>
    <row r="108" spans="1:3">
      <c r="A108">
        <v>436</v>
      </c>
      <c r="B108">
        <v>1</v>
      </c>
      <c r="C108">
        <v>1</v>
      </c>
    </row>
    <row r="109" spans="1:3">
      <c r="A109">
        <v>437</v>
      </c>
      <c r="B109">
        <v>1</v>
      </c>
      <c r="C109">
        <v>1</v>
      </c>
    </row>
    <row r="110" spans="1:3">
      <c r="A110">
        <v>438</v>
      </c>
      <c r="B110">
        <v>19.3</v>
      </c>
      <c r="C110">
        <v>19.3</v>
      </c>
    </row>
    <row r="111" spans="1:3">
      <c r="A111">
        <v>441</v>
      </c>
      <c r="B111">
        <v>0.1</v>
      </c>
      <c r="C111">
        <v>0.1</v>
      </c>
    </row>
    <row r="112" spans="1:3">
      <c r="A112">
        <v>442</v>
      </c>
      <c r="B112">
        <v>1</v>
      </c>
      <c r="C112">
        <v>1</v>
      </c>
    </row>
    <row r="113" spans="1:3">
      <c r="A113">
        <v>443</v>
      </c>
      <c r="B113">
        <v>1</v>
      </c>
      <c r="C113">
        <v>1</v>
      </c>
    </row>
    <row r="114" spans="1:3">
      <c r="A114">
        <v>444</v>
      </c>
      <c r="B114">
        <v>4</v>
      </c>
      <c r="C114">
        <v>4</v>
      </c>
    </row>
    <row r="115" spans="1:3">
      <c r="A115">
        <v>445</v>
      </c>
      <c r="B115">
        <v>0.5</v>
      </c>
      <c r="C115">
        <v>0.5</v>
      </c>
    </row>
    <row r="116" spans="1:3">
      <c r="A116">
        <v>447</v>
      </c>
      <c r="B116">
        <v>6.6</v>
      </c>
      <c r="C116">
        <v>6.6</v>
      </c>
    </row>
    <row r="117" spans="1:3">
      <c r="A117">
        <v>450</v>
      </c>
      <c r="B117">
        <v>0.1</v>
      </c>
      <c r="C117">
        <v>0.1</v>
      </c>
    </row>
    <row r="118" spans="1:3">
      <c r="A118">
        <v>451</v>
      </c>
      <c r="B118">
        <v>0.5</v>
      </c>
      <c r="C118">
        <v>0.5</v>
      </c>
    </row>
    <row r="119" spans="1:3">
      <c r="A119">
        <v>452</v>
      </c>
      <c r="B119">
        <v>1</v>
      </c>
      <c r="C119">
        <v>1</v>
      </c>
    </row>
    <row r="120" spans="1:3">
      <c r="A120">
        <v>453</v>
      </c>
      <c r="B120">
        <v>0.5</v>
      </c>
      <c r="C120">
        <v>0.5</v>
      </c>
    </row>
    <row r="121" spans="1:3">
      <c r="A121">
        <v>455</v>
      </c>
      <c r="B121">
        <v>2.1</v>
      </c>
      <c r="C121">
        <v>2.1</v>
      </c>
    </row>
    <row r="122" spans="1:3">
      <c r="A122">
        <v>467</v>
      </c>
      <c r="B122">
        <v>1</v>
      </c>
      <c r="C122">
        <v>1</v>
      </c>
    </row>
    <row r="123" spans="1:3">
      <c r="A123">
        <v>468</v>
      </c>
      <c r="B123">
        <v>4.5</v>
      </c>
      <c r="C123">
        <v>4.5</v>
      </c>
    </row>
    <row r="124" spans="1:3">
      <c r="A124">
        <v>469</v>
      </c>
      <c r="B124">
        <v>11</v>
      </c>
      <c r="C124">
        <v>11</v>
      </c>
    </row>
    <row r="125" spans="1:3">
      <c r="A125">
        <v>470</v>
      </c>
      <c r="B125">
        <v>17</v>
      </c>
      <c r="C125">
        <v>17</v>
      </c>
    </row>
    <row r="126" spans="1:3">
      <c r="A126">
        <v>471</v>
      </c>
      <c r="B126">
        <v>6</v>
      </c>
      <c r="C126">
        <v>6</v>
      </c>
    </row>
    <row r="127" spans="1:3">
      <c r="A127">
        <v>472</v>
      </c>
      <c r="B127">
        <v>1.5</v>
      </c>
      <c r="C127">
        <v>1.5</v>
      </c>
    </row>
    <row r="128" spans="1:3">
      <c r="A128">
        <v>473</v>
      </c>
      <c r="B128">
        <v>41</v>
      </c>
      <c r="C128">
        <v>41</v>
      </c>
    </row>
    <row r="129" spans="1:3">
      <c r="A129">
        <v>486</v>
      </c>
      <c r="B129">
        <v>3463702</v>
      </c>
      <c r="C129">
        <v>3463702</v>
      </c>
    </row>
    <row r="130" spans="1:3">
      <c r="A130">
        <v>487</v>
      </c>
      <c r="B130">
        <v>2393404</v>
      </c>
      <c r="C130">
        <v>2393404</v>
      </c>
    </row>
    <row r="131" spans="1:3">
      <c r="A131">
        <v>488</v>
      </c>
      <c r="B131">
        <v>739658</v>
      </c>
      <c r="C131">
        <v>739658</v>
      </c>
    </row>
    <row r="132" spans="1:3">
      <c r="A132">
        <v>489</v>
      </c>
      <c r="B132">
        <v>33779</v>
      </c>
      <c r="C132">
        <v>33779</v>
      </c>
    </row>
    <row r="133" spans="1:3">
      <c r="A133">
        <v>490</v>
      </c>
      <c r="B133">
        <v>296861</v>
      </c>
      <c r="C133">
        <v>296861</v>
      </c>
    </row>
    <row r="134" spans="1:3">
      <c r="A134">
        <v>496</v>
      </c>
      <c r="B134">
        <v>281900</v>
      </c>
      <c r="C134">
        <v>281900</v>
      </c>
    </row>
    <row r="135" spans="1:3">
      <c r="A135">
        <v>497</v>
      </c>
      <c r="B135">
        <v>86613</v>
      </c>
      <c r="C135">
        <v>86613</v>
      </c>
    </row>
    <row r="136" spans="1:3">
      <c r="A136">
        <v>498</v>
      </c>
      <c r="B136">
        <v>34976</v>
      </c>
      <c r="C136">
        <v>34976</v>
      </c>
    </row>
    <row r="137" spans="1:3">
      <c r="A137">
        <v>499</v>
      </c>
      <c r="B137">
        <v>38427</v>
      </c>
      <c r="C137">
        <v>38427</v>
      </c>
    </row>
    <row r="138" spans="1:3">
      <c r="A138">
        <v>500</v>
      </c>
      <c r="B138">
        <v>121884</v>
      </c>
      <c r="C138">
        <v>121884</v>
      </c>
    </row>
    <row r="139" spans="1:3">
      <c r="A139">
        <v>501</v>
      </c>
      <c r="B139">
        <v>15020</v>
      </c>
      <c r="C139">
        <v>15020</v>
      </c>
    </row>
    <row r="140" spans="1:3">
      <c r="A140">
        <v>505</v>
      </c>
      <c r="B140">
        <v>15020</v>
      </c>
      <c r="C140">
        <v>15020</v>
      </c>
    </row>
    <row r="141" spans="1:3">
      <c r="A141">
        <v>506</v>
      </c>
      <c r="B141">
        <v>3760622</v>
      </c>
      <c r="C141">
        <v>3760622</v>
      </c>
    </row>
    <row r="142" spans="1:3">
      <c r="A142">
        <v>507</v>
      </c>
      <c r="B142">
        <v>2480017</v>
      </c>
      <c r="C142">
        <v>2480017</v>
      </c>
    </row>
    <row r="143" spans="1:3">
      <c r="A143">
        <v>508</v>
      </c>
      <c r="B143">
        <v>774634</v>
      </c>
      <c r="C143">
        <v>774634</v>
      </c>
    </row>
    <row r="144" spans="1:3">
      <c r="A144">
        <v>509</v>
      </c>
      <c r="B144">
        <v>72206</v>
      </c>
      <c r="C144">
        <v>72206</v>
      </c>
    </row>
    <row r="145" spans="1:3">
      <c r="A145">
        <v>510</v>
      </c>
      <c r="B145">
        <v>433765</v>
      </c>
      <c r="C145">
        <v>433765</v>
      </c>
    </row>
    <row r="146" spans="1:3">
      <c r="A146">
        <v>513</v>
      </c>
      <c r="B146">
        <v>3760622</v>
      </c>
      <c r="C146">
        <v>3760622</v>
      </c>
    </row>
    <row r="147" spans="1:3">
      <c r="A147">
        <v>514</v>
      </c>
      <c r="B147">
        <v>106446</v>
      </c>
      <c r="C147">
        <v>180658</v>
      </c>
    </row>
    <row r="148" spans="1:3">
      <c r="A148">
        <v>515</v>
      </c>
      <c r="B148">
        <v>5.6500000000000002E-2</v>
      </c>
      <c r="C148">
        <v>5.6500000000000002E-2</v>
      </c>
    </row>
    <row r="149" spans="1:3">
      <c r="A149">
        <v>516</v>
      </c>
      <c r="B149">
        <v>0.314</v>
      </c>
      <c r="C149">
        <v>0.314</v>
      </c>
    </row>
    <row r="150" spans="1:3">
      <c r="A150">
        <v>517</v>
      </c>
      <c r="B150">
        <v>0</v>
      </c>
      <c r="C150">
        <v>1</v>
      </c>
    </row>
    <row r="151" spans="1:3">
      <c r="A151">
        <v>519</v>
      </c>
      <c r="B151">
        <v>0</v>
      </c>
      <c r="C151">
        <v>1</v>
      </c>
    </row>
    <row r="152" spans="1:3">
      <c r="A152">
        <v>520</v>
      </c>
      <c r="B152">
        <v>50</v>
      </c>
      <c r="C152">
        <v>113</v>
      </c>
    </row>
    <row r="153" spans="1:3">
      <c r="A153">
        <v>521</v>
      </c>
      <c r="B153">
        <v>9</v>
      </c>
      <c r="C153">
        <v>24</v>
      </c>
    </row>
    <row r="154" spans="1:3">
      <c r="A154">
        <v>522</v>
      </c>
      <c r="B154">
        <v>65</v>
      </c>
      <c r="C154">
        <v>155</v>
      </c>
    </row>
    <row r="155" spans="1:3">
      <c r="A155">
        <v>524</v>
      </c>
      <c r="B155">
        <v>65</v>
      </c>
      <c r="C155">
        <v>156</v>
      </c>
    </row>
    <row r="156" spans="1:3">
      <c r="A156">
        <v>525</v>
      </c>
      <c r="B156">
        <v>56</v>
      </c>
      <c r="C156">
        <v>132</v>
      </c>
    </row>
    <row r="157" spans="1:3">
      <c r="A157">
        <v>526</v>
      </c>
      <c r="B157">
        <v>0</v>
      </c>
      <c r="C157">
        <v>33144</v>
      </c>
    </row>
    <row r="158" spans="1:3">
      <c r="A158">
        <v>528</v>
      </c>
      <c r="B158">
        <v>0</v>
      </c>
      <c r="C158">
        <v>33144</v>
      </c>
    </row>
    <row r="159" spans="1:3">
      <c r="A159">
        <v>529</v>
      </c>
      <c r="B159">
        <v>3779003</v>
      </c>
      <c r="C159">
        <v>8807734</v>
      </c>
    </row>
    <row r="160" spans="1:3">
      <c r="A160">
        <v>530</v>
      </c>
      <c r="B160">
        <v>835717</v>
      </c>
      <c r="C160">
        <v>1707178</v>
      </c>
    </row>
    <row r="161" spans="1:3">
      <c r="A161">
        <v>531</v>
      </c>
      <c r="B161">
        <v>5108678</v>
      </c>
      <c r="C161">
        <v>12136555</v>
      </c>
    </row>
    <row r="162" spans="1:3">
      <c r="A162">
        <v>534</v>
      </c>
      <c r="B162">
        <v>5108678</v>
      </c>
      <c r="C162">
        <v>12169699</v>
      </c>
    </row>
    <row r="163" spans="1:3">
      <c r="A163">
        <v>535</v>
      </c>
      <c r="B163">
        <v>4272961</v>
      </c>
      <c r="C163">
        <v>10462521</v>
      </c>
    </row>
    <row r="164" spans="1:3">
      <c r="A164">
        <v>536</v>
      </c>
      <c r="B164">
        <v>0</v>
      </c>
      <c r="C164">
        <v>-1856</v>
      </c>
    </row>
    <row r="165" spans="1:3">
      <c r="A165">
        <v>538</v>
      </c>
      <c r="B165">
        <v>0</v>
      </c>
      <c r="C165">
        <v>-1856</v>
      </c>
    </row>
    <row r="166" spans="1:3">
      <c r="A166">
        <v>539</v>
      </c>
      <c r="B166">
        <v>142873</v>
      </c>
      <c r="C166">
        <v>340179</v>
      </c>
    </row>
    <row r="167" spans="1:3">
      <c r="A167">
        <v>540</v>
      </c>
      <c r="B167">
        <v>4400</v>
      </c>
      <c r="C167">
        <v>8005</v>
      </c>
    </row>
    <row r="168" spans="1:3">
      <c r="A168">
        <v>541</v>
      </c>
      <c r="B168">
        <v>167729</v>
      </c>
      <c r="C168">
        <v>420664</v>
      </c>
    </row>
    <row r="169" spans="1:3">
      <c r="A169">
        <v>544</v>
      </c>
      <c r="B169">
        <v>167729</v>
      </c>
      <c r="C169">
        <v>418808</v>
      </c>
    </row>
    <row r="170" spans="1:3">
      <c r="A170">
        <v>545</v>
      </c>
      <c r="B170">
        <v>163329</v>
      </c>
      <c r="C170">
        <v>410803</v>
      </c>
    </row>
    <row r="171" spans="1:3">
      <c r="A171">
        <v>632</v>
      </c>
      <c r="B171">
        <v>2400</v>
      </c>
      <c r="C171">
        <v>2400</v>
      </c>
    </row>
    <row r="172" spans="1:3">
      <c r="A172">
        <v>633</v>
      </c>
      <c r="B172">
        <v>-1435599</v>
      </c>
      <c r="C172">
        <v>-1435599</v>
      </c>
    </row>
    <row r="173" spans="1:3">
      <c r="A173">
        <v>634</v>
      </c>
      <c r="B173">
        <v>1193273</v>
      </c>
      <c r="C173">
        <v>1193273</v>
      </c>
    </row>
    <row r="174" spans="1:3">
      <c r="A174">
        <v>636</v>
      </c>
      <c r="B174">
        <v>-239926</v>
      </c>
      <c r="C174">
        <v>-239926</v>
      </c>
    </row>
    <row r="175" spans="1:3">
      <c r="A175">
        <v>638</v>
      </c>
      <c r="B175">
        <v>350471</v>
      </c>
      <c r="C175">
        <v>350471</v>
      </c>
    </row>
    <row r="176" spans="1:3">
      <c r="A176">
        <v>640</v>
      </c>
      <c r="B176">
        <v>8733</v>
      </c>
      <c r="C176">
        <v>8733</v>
      </c>
    </row>
    <row r="177" spans="1:3">
      <c r="A177">
        <v>641</v>
      </c>
      <c r="B177">
        <v>132</v>
      </c>
      <c r="C177">
        <v>132</v>
      </c>
    </row>
    <row r="178" spans="1:3">
      <c r="A178">
        <v>642</v>
      </c>
      <c r="B178">
        <v>5141820</v>
      </c>
      <c r="C178">
        <v>5141820</v>
      </c>
    </row>
    <row r="179" spans="1:3">
      <c r="A179">
        <v>644</v>
      </c>
      <c r="B179">
        <v>101989</v>
      </c>
      <c r="C179">
        <v>101989</v>
      </c>
    </row>
    <row r="180" spans="1:3">
      <c r="A180">
        <v>645</v>
      </c>
      <c r="B180">
        <v>9763842</v>
      </c>
      <c r="C180">
        <v>9763842</v>
      </c>
    </row>
    <row r="181" spans="1:3">
      <c r="A181">
        <v>648</v>
      </c>
      <c r="B181">
        <v>1289927</v>
      </c>
      <c r="C181">
        <v>1289927</v>
      </c>
    </row>
    <row r="182" spans="1:3">
      <c r="A182">
        <v>649</v>
      </c>
      <c r="B182">
        <v>9754089</v>
      </c>
      <c r="C182">
        <v>9754089</v>
      </c>
    </row>
    <row r="183" spans="1:3">
      <c r="A183">
        <v>650</v>
      </c>
      <c r="B183">
        <v>364559</v>
      </c>
      <c r="C183">
        <v>364559</v>
      </c>
    </row>
    <row r="184" spans="1:3">
      <c r="A184">
        <v>651</v>
      </c>
      <c r="B184">
        <v>30864</v>
      </c>
      <c r="C184">
        <v>30864</v>
      </c>
    </row>
    <row r="185" spans="1:3">
      <c r="A185">
        <v>652</v>
      </c>
      <c r="B185">
        <v>37726</v>
      </c>
      <c r="C185">
        <v>37726</v>
      </c>
    </row>
    <row r="186" spans="1:3">
      <c r="A186">
        <v>653</v>
      </c>
      <c r="B186">
        <v>34497</v>
      </c>
      <c r="C186">
        <v>34497</v>
      </c>
    </row>
    <row r="187" spans="1:3">
      <c r="A187">
        <v>654</v>
      </c>
      <c r="B187">
        <v>70236</v>
      </c>
      <c r="C187">
        <v>70236</v>
      </c>
    </row>
    <row r="188" spans="1:3">
      <c r="A188">
        <v>655</v>
      </c>
      <c r="B188">
        <v>19238</v>
      </c>
      <c r="C188">
        <v>19238</v>
      </c>
    </row>
    <row r="189" spans="1:3">
      <c r="A189">
        <v>659</v>
      </c>
      <c r="B189">
        <v>21466967</v>
      </c>
      <c r="C189">
        <v>21466967</v>
      </c>
    </row>
    <row r="190" spans="1:3">
      <c r="A190">
        <v>660</v>
      </c>
      <c r="B190">
        <v>110420</v>
      </c>
      <c r="C190">
        <v>110420</v>
      </c>
    </row>
    <row r="191" spans="1:3">
      <c r="A191">
        <v>662</v>
      </c>
      <c r="B191">
        <v>-33569</v>
      </c>
      <c r="C191">
        <v>-33569</v>
      </c>
    </row>
    <row r="192" spans="1:3">
      <c r="A192">
        <v>663</v>
      </c>
      <c r="B192">
        <v>26445712</v>
      </c>
      <c r="C192">
        <v>26445712</v>
      </c>
    </row>
    <row r="193" spans="1:3">
      <c r="A193">
        <v>667</v>
      </c>
      <c r="B193">
        <v>26445712</v>
      </c>
      <c r="C193">
        <v>26445712</v>
      </c>
    </row>
    <row r="194" spans="1:3">
      <c r="A194">
        <v>669</v>
      </c>
      <c r="B194">
        <v>233357</v>
      </c>
      <c r="C194">
        <v>233357</v>
      </c>
    </row>
    <row r="195" spans="1:3">
      <c r="A195">
        <v>671</v>
      </c>
      <c r="B195">
        <v>57545</v>
      </c>
      <c r="C195">
        <v>57545</v>
      </c>
    </row>
    <row r="196" spans="1:3">
      <c r="A196">
        <v>672</v>
      </c>
      <c r="B196">
        <v>7207</v>
      </c>
      <c r="C196">
        <v>7207</v>
      </c>
    </row>
    <row r="197" spans="1:3">
      <c r="A197">
        <v>673</v>
      </c>
      <c r="B197">
        <v>698014</v>
      </c>
      <c r="C197">
        <v>698014</v>
      </c>
    </row>
    <row r="198" spans="1:3">
      <c r="A198">
        <v>675</v>
      </c>
      <c r="B198">
        <v>49360</v>
      </c>
      <c r="C198">
        <v>49360</v>
      </c>
    </row>
    <row r="199" spans="1:3">
      <c r="A199">
        <v>676</v>
      </c>
      <c r="B199">
        <v>73638</v>
      </c>
      <c r="C199">
        <v>73638</v>
      </c>
    </row>
    <row r="200" spans="1:3">
      <c r="A200">
        <v>677</v>
      </c>
      <c r="B200">
        <v>27949</v>
      </c>
      <c r="C200">
        <v>27949</v>
      </c>
    </row>
    <row r="201" spans="1:3">
      <c r="A201">
        <v>678</v>
      </c>
      <c r="B201">
        <v>1147070</v>
      </c>
      <c r="C201">
        <v>1147070</v>
      </c>
    </row>
    <row r="202" spans="1:3">
      <c r="A202">
        <v>679</v>
      </c>
      <c r="B202">
        <v>53924</v>
      </c>
      <c r="C202">
        <v>53924</v>
      </c>
    </row>
    <row r="203" spans="1:3">
      <c r="A203">
        <v>681</v>
      </c>
      <c r="B203">
        <v>20464</v>
      </c>
      <c r="C203">
        <v>20464</v>
      </c>
    </row>
    <row r="204" spans="1:3">
      <c r="A204">
        <v>682</v>
      </c>
      <c r="B204">
        <v>2825</v>
      </c>
      <c r="C204">
        <v>2825</v>
      </c>
    </row>
    <row r="205" spans="1:3">
      <c r="A205">
        <v>683</v>
      </c>
      <c r="B205">
        <v>229706</v>
      </c>
      <c r="C205">
        <v>229706</v>
      </c>
    </row>
    <row r="206" spans="1:3">
      <c r="A206">
        <v>685</v>
      </c>
      <c r="B206">
        <v>12946</v>
      </c>
      <c r="C206">
        <v>12946</v>
      </c>
    </row>
    <row r="207" spans="1:3">
      <c r="A207">
        <v>686</v>
      </c>
      <c r="B207">
        <v>35694</v>
      </c>
      <c r="C207">
        <v>35694</v>
      </c>
    </row>
    <row r="208" spans="1:3">
      <c r="A208">
        <v>687</v>
      </c>
      <c r="B208">
        <v>2333</v>
      </c>
      <c r="C208">
        <v>2333</v>
      </c>
    </row>
    <row r="209" spans="1:3">
      <c r="A209">
        <v>688</v>
      </c>
      <c r="B209">
        <v>357892</v>
      </c>
      <c r="C209">
        <v>357892</v>
      </c>
    </row>
    <row r="210" spans="1:3">
      <c r="A210">
        <v>690</v>
      </c>
      <c r="B210">
        <v>179433</v>
      </c>
      <c r="C210">
        <v>179433</v>
      </c>
    </row>
    <row r="211" spans="1:3">
      <c r="A211">
        <v>692</v>
      </c>
      <c r="B211">
        <v>37081</v>
      </c>
      <c r="C211">
        <v>37081</v>
      </c>
    </row>
    <row r="212" spans="1:3">
      <c r="A212">
        <v>693</v>
      </c>
      <c r="B212">
        <v>4382</v>
      </c>
      <c r="C212">
        <v>4382</v>
      </c>
    </row>
    <row r="213" spans="1:3">
      <c r="A213">
        <v>694</v>
      </c>
      <c r="B213">
        <v>468308</v>
      </c>
      <c r="C213">
        <v>468308</v>
      </c>
    </row>
    <row r="214" spans="1:3">
      <c r="A214">
        <v>696</v>
      </c>
      <c r="B214">
        <v>36414</v>
      </c>
      <c r="C214">
        <v>36414</v>
      </c>
    </row>
    <row r="215" spans="1:3">
      <c r="A215">
        <v>697</v>
      </c>
      <c r="B215">
        <v>37944</v>
      </c>
      <c r="C215">
        <v>37944</v>
      </c>
    </row>
    <row r="216" spans="1:3">
      <c r="A216">
        <v>698</v>
      </c>
      <c r="B216">
        <v>25616</v>
      </c>
      <c r="C216">
        <v>25616</v>
      </c>
    </row>
    <row r="217" spans="1:3">
      <c r="A217">
        <v>699</v>
      </c>
      <c r="B217">
        <v>789178</v>
      </c>
      <c r="C217">
        <v>789178</v>
      </c>
    </row>
    <row r="218" spans="1:3">
      <c r="A218">
        <v>703</v>
      </c>
      <c r="B218">
        <v>2974795</v>
      </c>
      <c r="C218">
        <v>2974795</v>
      </c>
    </row>
    <row r="219" spans="1:3">
      <c r="A219">
        <v>704</v>
      </c>
      <c r="B219">
        <v>2974795</v>
      </c>
      <c r="C219">
        <v>2974795</v>
      </c>
    </row>
    <row r="220" spans="1:3">
      <c r="A220">
        <v>705</v>
      </c>
      <c r="B220">
        <v>30209685</v>
      </c>
      <c r="C220">
        <v>30209685</v>
      </c>
    </row>
    <row r="221" spans="1:3">
      <c r="A221">
        <v>707</v>
      </c>
      <c r="B221">
        <v>72142</v>
      </c>
      <c r="C221">
        <v>72142</v>
      </c>
    </row>
    <row r="222" spans="1:3">
      <c r="A222">
        <v>711</v>
      </c>
      <c r="B222">
        <v>14251453</v>
      </c>
      <c r="C222">
        <v>14251453</v>
      </c>
    </row>
    <row r="223" spans="1:3">
      <c r="A223">
        <v>712</v>
      </c>
      <c r="B223">
        <v>10664210</v>
      </c>
      <c r="C223">
        <v>10664210</v>
      </c>
    </row>
    <row r="224" spans="1:3">
      <c r="A224">
        <v>716</v>
      </c>
      <c r="B224">
        <v>95321</v>
      </c>
      <c r="C224">
        <v>95321</v>
      </c>
    </row>
    <row r="225" spans="1:3">
      <c r="A225">
        <v>718</v>
      </c>
      <c r="B225">
        <v>6979</v>
      </c>
      <c r="C225">
        <v>6979</v>
      </c>
    </row>
    <row r="226" spans="1:3">
      <c r="A226">
        <v>719</v>
      </c>
      <c r="B226">
        <v>837</v>
      </c>
      <c r="C226">
        <v>837</v>
      </c>
    </row>
    <row r="227" spans="1:3">
      <c r="A227">
        <v>720</v>
      </c>
      <c r="B227">
        <v>75222</v>
      </c>
      <c r="C227">
        <v>75222</v>
      </c>
    </row>
    <row r="228" spans="1:3">
      <c r="A228">
        <v>725</v>
      </c>
      <c r="B228">
        <v>225433</v>
      </c>
      <c r="C228">
        <v>225433</v>
      </c>
    </row>
    <row r="229" spans="1:3">
      <c r="A229">
        <v>726</v>
      </c>
      <c r="B229">
        <v>25050535</v>
      </c>
      <c r="C229">
        <v>25050535</v>
      </c>
    </row>
    <row r="230" spans="1:3">
      <c r="A230">
        <v>727</v>
      </c>
      <c r="B230">
        <v>500000</v>
      </c>
      <c r="C230">
        <v>500000</v>
      </c>
    </row>
    <row r="231" spans="1:3">
      <c r="A231">
        <v>728</v>
      </c>
      <c r="B231">
        <v>-21293</v>
      </c>
      <c r="C231">
        <v>-21293</v>
      </c>
    </row>
    <row r="232" spans="1:3">
      <c r="A232">
        <v>729</v>
      </c>
      <c r="B232">
        <v>25529242</v>
      </c>
      <c r="C232">
        <v>25529242</v>
      </c>
    </row>
    <row r="233" spans="1:3">
      <c r="A233">
        <v>731</v>
      </c>
      <c r="B233">
        <v>25529242</v>
      </c>
      <c r="C233">
        <v>25529242</v>
      </c>
    </row>
    <row r="234" spans="1:3">
      <c r="A234">
        <v>732</v>
      </c>
      <c r="B234">
        <v>3100020</v>
      </c>
      <c r="C234">
        <v>3100020</v>
      </c>
    </row>
    <row r="235" spans="1:3">
      <c r="A235">
        <v>733</v>
      </c>
      <c r="B235">
        <v>1239791</v>
      </c>
      <c r="C235">
        <v>1239791</v>
      </c>
    </row>
    <row r="236" spans="1:3">
      <c r="A236">
        <v>737</v>
      </c>
      <c r="B236">
        <v>3</v>
      </c>
      <c r="C236">
        <v>3</v>
      </c>
    </row>
    <row r="237" spans="1:3">
      <c r="A237">
        <v>738</v>
      </c>
      <c r="B237">
        <v>340629</v>
      </c>
      <c r="C237">
        <v>340629</v>
      </c>
    </row>
    <row r="238" spans="1:3">
      <c r="A238">
        <v>739</v>
      </c>
      <c r="B238">
        <v>4680443</v>
      </c>
      <c r="C238">
        <v>4680443</v>
      </c>
    </row>
    <row r="239" spans="1:3">
      <c r="A239">
        <v>740</v>
      </c>
      <c r="B239">
        <v>30209685</v>
      </c>
      <c r="C239">
        <v>30209685</v>
      </c>
    </row>
    <row r="240" spans="1:3">
      <c r="A240">
        <v>741</v>
      </c>
      <c r="B240">
        <v>11154076</v>
      </c>
      <c r="C240">
        <v>24593020</v>
      </c>
    </row>
    <row r="241" spans="1:3">
      <c r="A241">
        <v>742</v>
      </c>
      <c r="B241">
        <v>642469</v>
      </c>
      <c r="C241">
        <v>1510797</v>
      </c>
    </row>
    <row r="242" spans="1:3">
      <c r="A242">
        <v>743</v>
      </c>
      <c r="B242">
        <v>48625</v>
      </c>
      <c r="C242">
        <v>111695</v>
      </c>
    </row>
    <row r="243" spans="1:3">
      <c r="A243">
        <v>744</v>
      </c>
      <c r="B243">
        <v>-3684</v>
      </c>
      <c r="C243">
        <v>1462</v>
      </c>
    </row>
    <row r="244" spans="1:3">
      <c r="A244">
        <v>745</v>
      </c>
      <c r="B244">
        <v>2538</v>
      </c>
      <c r="C244">
        <v>17716</v>
      </c>
    </row>
    <row r="245" spans="1:3">
      <c r="A245">
        <v>746</v>
      </c>
      <c r="B245">
        <v>47479</v>
      </c>
      <c r="C245">
        <v>130873</v>
      </c>
    </row>
    <row r="246" spans="1:3">
      <c r="A246">
        <v>747</v>
      </c>
      <c r="B246">
        <v>32417</v>
      </c>
      <c r="C246">
        <v>99717</v>
      </c>
    </row>
    <row r="247" spans="1:3">
      <c r="A247">
        <v>748</v>
      </c>
      <c r="B247">
        <v>46360</v>
      </c>
      <c r="C247">
        <v>130398</v>
      </c>
    </row>
    <row r="248" spans="1:3">
      <c r="A248">
        <v>749</v>
      </c>
      <c r="B248">
        <v>65922</v>
      </c>
      <c r="C248">
        <v>182606</v>
      </c>
    </row>
    <row r="249" spans="1:3">
      <c r="A249">
        <v>750</v>
      </c>
      <c r="B249">
        <v>36756</v>
      </c>
      <c r="C249">
        <v>80158</v>
      </c>
    </row>
    <row r="250" spans="1:3">
      <c r="A250">
        <v>751</v>
      </c>
      <c r="B250">
        <v>16434</v>
      </c>
      <c r="C250">
        <v>66280</v>
      </c>
    </row>
    <row r="251" spans="1:3">
      <c r="A251">
        <v>753</v>
      </c>
      <c r="B251">
        <v>8524</v>
      </c>
      <c r="C251">
        <v>28423</v>
      </c>
    </row>
    <row r="252" spans="1:3">
      <c r="A252">
        <v>754</v>
      </c>
      <c r="B252">
        <v>20991</v>
      </c>
      <c r="C252">
        <v>73719</v>
      </c>
    </row>
    <row r="253" spans="1:3">
      <c r="A253">
        <v>756</v>
      </c>
      <c r="B253">
        <v>227404</v>
      </c>
      <c r="C253">
        <v>661301</v>
      </c>
    </row>
    <row r="254" spans="1:3">
      <c r="A254">
        <v>757</v>
      </c>
      <c r="B254">
        <v>17894</v>
      </c>
      <c r="C254">
        <v>31503</v>
      </c>
    </row>
    <row r="255" spans="1:3">
      <c r="A255">
        <v>758</v>
      </c>
      <c r="B255">
        <v>4832</v>
      </c>
      <c r="C255">
        <v>10215</v>
      </c>
    </row>
    <row r="256" spans="1:3">
      <c r="A256">
        <v>759</v>
      </c>
      <c r="B256">
        <v>6717</v>
      </c>
      <c r="C256">
        <v>22228</v>
      </c>
    </row>
    <row r="257" spans="1:3">
      <c r="A257">
        <v>761</v>
      </c>
      <c r="B257">
        <v>19948</v>
      </c>
      <c r="C257">
        <v>53525</v>
      </c>
    </row>
    <row r="258" spans="1:3">
      <c r="A258">
        <v>762</v>
      </c>
      <c r="B258">
        <v>-45212</v>
      </c>
      <c r="C258">
        <v>-45212</v>
      </c>
    </row>
    <row r="259" spans="1:3">
      <c r="A259">
        <v>764</v>
      </c>
      <c r="B259">
        <v>5111</v>
      </c>
      <c r="C259">
        <v>9130</v>
      </c>
    </row>
    <row r="260" spans="1:3">
      <c r="A260">
        <v>765</v>
      </c>
      <c r="B260">
        <v>19781</v>
      </c>
      <c r="C260">
        <v>54392</v>
      </c>
    </row>
    <row r="261" spans="1:3">
      <c r="A261">
        <v>766</v>
      </c>
      <c r="B261">
        <v>7922</v>
      </c>
      <c r="C261">
        <v>14429</v>
      </c>
    </row>
    <row r="262" spans="1:3">
      <c r="A262">
        <v>767</v>
      </c>
      <c r="B262">
        <v>1574</v>
      </c>
      <c r="C262">
        <v>5061</v>
      </c>
    </row>
    <row r="263" spans="1:3">
      <c r="A263">
        <v>768</v>
      </c>
      <c r="B263">
        <v>1962</v>
      </c>
      <c r="C263">
        <v>2114</v>
      </c>
    </row>
    <row r="264" spans="1:3">
      <c r="A264">
        <v>769</v>
      </c>
      <c r="B264">
        <v>1000</v>
      </c>
      <c r="C264">
        <v>1000</v>
      </c>
    </row>
    <row r="265" spans="1:3">
      <c r="A265">
        <v>770</v>
      </c>
      <c r="B265">
        <v>709</v>
      </c>
      <c r="C265">
        <v>1965</v>
      </c>
    </row>
    <row r="266" spans="1:3">
      <c r="A266">
        <v>771</v>
      </c>
      <c r="B266">
        <v>3150</v>
      </c>
      <c r="C266">
        <v>12998</v>
      </c>
    </row>
    <row r="267" spans="1:3">
      <c r="A267">
        <v>772</v>
      </c>
      <c r="B267">
        <v>153786</v>
      </c>
      <c r="C267">
        <v>322326</v>
      </c>
    </row>
    <row r="268" spans="1:3">
      <c r="A268">
        <v>773</v>
      </c>
      <c r="B268">
        <v>-67795</v>
      </c>
      <c r="C268">
        <v>-193834</v>
      </c>
    </row>
    <row r="269" spans="1:3">
      <c r="A269">
        <v>774</v>
      </c>
      <c r="B269">
        <v>2453</v>
      </c>
      <c r="C269">
        <v>9120</v>
      </c>
    </row>
    <row r="270" spans="1:3">
      <c r="A270">
        <v>777</v>
      </c>
      <c r="B270">
        <v>753</v>
      </c>
      <c r="C270">
        <v>2561</v>
      </c>
    </row>
    <row r="271" spans="1:3">
      <c r="A271">
        <v>778</v>
      </c>
      <c r="B271">
        <v>-726</v>
      </c>
      <c r="C271">
        <v>1398</v>
      </c>
    </row>
    <row r="272" spans="1:3">
      <c r="A272">
        <v>779</v>
      </c>
      <c r="B272">
        <v>133859</v>
      </c>
      <c r="C272">
        <v>314919</v>
      </c>
    </row>
    <row r="273" spans="1:3">
      <c r="A273">
        <v>780</v>
      </c>
      <c r="B273">
        <v>45900</v>
      </c>
      <c r="C273">
        <v>137700</v>
      </c>
    </row>
    <row r="274" spans="1:3">
      <c r="A274">
        <v>782</v>
      </c>
      <c r="B274">
        <v>7925</v>
      </c>
      <c r="C274">
        <v>31508</v>
      </c>
    </row>
    <row r="275" spans="1:3">
      <c r="A275">
        <v>783</v>
      </c>
      <c r="B275">
        <v>77</v>
      </c>
      <c r="C275">
        <v>230</v>
      </c>
    </row>
    <row r="276" spans="1:3">
      <c r="A276">
        <v>784</v>
      </c>
      <c r="B276">
        <v>6000</v>
      </c>
      <c r="C276">
        <v>18000</v>
      </c>
    </row>
    <row r="277" spans="1:3">
      <c r="A277">
        <v>785</v>
      </c>
      <c r="B277">
        <v>4080</v>
      </c>
      <c r="C277">
        <v>12240</v>
      </c>
    </row>
    <row r="278" spans="1:3">
      <c r="A278">
        <v>787</v>
      </c>
      <c r="B278">
        <v>73722</v>
      </c>
      <c r="C278">
        <v>229109</v>
      </c>
    </row>
    <row r="279" spans="1:3">
      <c r="A279">
        <v>788</v>
      </c>
      <c r="B279">
        <v>9740</v>
      </c>
      <c r="C279">
        <v>29431</v>
      </c>
    </row>
    <row r="280" spans="1:3">
      <c r="A280">
        <v>789</v>
      </c>
      <c r="B280">
        <v>7938</v>
      </c>
      <c r="C280">
        <v>21998</v>
      </c>
    </row>
    <row r="281" spans="1:3">
      <c r="A281">
        <v>791</v>
      </c>
      <c r="B281">
        <v>1200</v>
      </c>
      <c r="C281">
        <v>2867</v>
      </c>
    </row>
    <row r="282" spans="1:3">
      <c r="A282">
        <v>792</v>
      </c>
      <c r="B282">
        <v>13510</v>
      </c>
      <c r="C282">
        <v>40530</v>
      </c>
    </row>
    <row r="283" spans="1:3">
      <c r="A283">
        <v>794</v>
      </c>
      <c r="B283">
        <v>96370</v>
      </c>
      <c r="C283">
        <v>294504</v>
      </c>
    </row>
    <row r="284" spans="1:3">
      <c r="A284">
        <v>795</v>
      </c>
      <c r="B284">
        <v>457633</v>
      </c>
      <c r="C284">
        <v>1270724</v>
      </c>
    </row>
    <row r="285" spans="1:3">
      <c r="A285">
        <v>796</v>
      </c>
      <c r="B285">
        <v>505112</v>
      </c>
      <c r="C285">
        <v>1401597</v>
      </c>
    </row>
    <row r="286" spans="1:3">
      <c r="A286">
        <v>797</v>
      </c>
      <c r="B286">
        <v>137357</v>
      </c>
      <c r="C286">
        <v>109200</v>
      </c>
    </row>
    <row r="287" spans="1:3">
      <c r="A287">
        <v>798</v>
      </c>
      <c r="B287">
        <v>95232</v>
      </c>
      <c r="C287">
        <v>231429</v>
      </c>
    </row>
    <row r="288" spans="1:3">
      <c r="A288">
        <v>799</v>
      </c>
      <c r="B288">
        <v>232589</v>
      </c>
      <c r="C288">
        <v>340629</v>
      </c>
    </row>
    <row r="289" spans="1:3">
      <c r="A289">
        <v>802</v>
      </c>
      <c r="B289">
        <v>232589</v>
      </c>
      <c r="C289">
        <v>340629</v>
      </c>
    </row>
    <row r="290" spans="1:3">
      <c r="A290">
        <v>804</v>
      </c>
      <c r="B290">
        <v>232589</v>
      </c>
      <c r="C290">
        <v>340629</v>
      </c>
    </row>
    <row r="291" spans="1:3">
      <c r="A291">
        <v>805</v>
      </c>
      <c r="B291">
        <v>10743777</v>
      </c>
      <c r="C291">
        <v>23431209</v>
      </c>
    </row>
    <row r="292" spans="1:3">
      <c r="A292">
        <v>806</v>
      </c>
      <c r="B292">
        <v>466258</v>
      </c>
      <c r="C292">
        <v>1033595</v>
      </c>
    </row>
    <row r="293" spans="1:3">
      <c r="A293">
        <v>807</v>
      </c>
      <c r="B293">
        <v>48625</v>
      </c>
      <c r="C293">
        <v>111695</v>
      </c>
    </row>
    <row r="294" spans="1:3">
      <c r="A294">
        <v>808</v>
      </c>
      <c r="B294">
        <v>-3684</v>
      </c>
      <c r="C294">
        <v>1462</v>
      </c>
    </row>
    <row r="295" spans="1:3">
      <c r="A295">
        <v>809</v>
      </c>
      <c r="B295">
        <v>2538</v>
      </c>
      <c r="C295">
        <v>17716</v>
      </c>
    </row>
    <row r="296" spans="1:3">
      <c r="A296">
        <v>810</v>
      </c>
      <c r="B296">
        <v>47479</v>
      </c>
      <c r="C296">
        <v>130873</v>
      </c>
    </row>
    <row r="297" spans="1:3">
      <c r="A297">
        <v>811</v>
      </c>
      <c r="B297">
        <v>16208</v>
      </c>
      <c r="C297">
        <v>49830</v>
      </c>
    </row>
    <row r="298" spans="1:3">
      <c r="A298">
        <v>812</v>
      </c>
      <c r="B298">
        <v>32787</v>
      </c>
      <c r="C298">
        <v>90019</v>
      </c>
    </row>
    <row r="299" spans="1:3">
      <c r="A299">
        <v>813</v>
      </c>
      <c r="B299">
        <v>41390</v>
      </c>
      <c r="C299">
        <v>108695</v>
      </c>
    </row>
    <row r="300" spans="1:3">
      <c r="A300">
        <v>814</v>
      </c>
      <c r="B300">
        <v>6234</v>
      </c>
      <c r="C300">
        <v>9740</v>
      </c>
    </row>
    <row r="301" spans="1:3">
      <c r="A301">
        <v>815</v>
      </c>
      <c r="B301">
        <v>8344</v>
      </c>
      <c r="C301">
        <v>32453</v>
      </c>
    </row>
    <row r="302" spans="1:3">
      <c r="A302">
        <v>817</v>
      </c>
      <c r="B302">
        <v>3196</v>
      </c>
      <c r="C302">
        <v>11268</v>
      </c>
    </row>
    <row r="303" spans="1:3">
      <c r="A303">
        <v>818</v>
      </c>
      <c r="B303">
        <v>8982</v>
      </c>
      <c r="C303">
        <v>33418</v>
      </c>
    </row>
    <row r="304" spans="1:3">
      <c r="A304">
        <v>820</v>
      </c>
      <c r="B304">
        <v>117141</v>
      </c>
      <c r="C304">
        <v>335423</v>
      </c>
    </row>
    <row r="305" spans="1:3">
      <c r="A305">
        <v>821</v>
      </c>
      <c r="B305">
        <v>21583</v>
      </c>
      <c r="C305">
        <v>37060</v>
      </c>
    </row>
    <row r="306" spans="1:3">
      <c r="A306">
        <v>822</v>
      </c>
      <c r="B306">
        <v>2232</v>
      </c>
      <c r="C306">
        <v>5528</v>
      </c>
    </row>
    <row r="307" spans="1:3">
      <c r="A307">
        <v>823</v>
      </c>
      <c r="B307">
        <v>2114</v>
      </c>
      <c r="C307">
        <v>8101</v>
      </c>
    </row>
    <row r="308" spans="1:3">
      <c r="A308">
        <v>825</v>
      </c>
      <c r="B308">
        <v>17158</v>
      </c>
      <c r="C308">
        <v>48042</v>
      </c>
    </row>
    <row r="309" spans="1:3">
      <c r="A309">
        <v>826</v>
      </c>
      <c r="B309">
        <v>-45212</v>
      </c>
      <c r="C309">
        <v>-45212</v>
      </c>
    </row>
    <row r="310" spans="1:3">
      <c r="A310">
        <v>828</v>
      </c>
      <c r="B310">
        <v>9296</v>
      </c>
      <c r="C310">
        <v>24202</v>
      </c>
    </row>
    <row r="311" spans="1:3">
      <c r="A311">
        <v>829</v>
      </c>
      <c r="B311">
        <v>1052</v>
      </c>
      <c r="C311">
        <v>2453</v>
      </c>
    </row>
    <row r="312" spans="1:3">
      <c r="A312">
        <v>830</v>
      </c>
      <c r="B312">
        <v>851</v>
      </c>
      <c r="C312">
        <v>2871</v>
      </c>
    </row>
    <row r="313" spans="1:3">
      <c r="A313">
        <v>831</v>
      </c>
      <c r="B313">
        <v>1898</v>
      </c>
      <c r="C313">
        <v>2050</v>
      </c>
    </row>
    <row r="314" spans="1:3">
      <c r="A314">
        <v>832</v>
      </c>
      <c r="B314">
        <v>500</v>
      </c>
      <c r="C314">
        <v>500</v>
      </c>
    </row>
    <row r="315" spans="1:3">
      <c r="A315">
        <v>833</v>
      </c>
      <c r="B315">
        <v>245</v>
      </c>
      <c r="C315">
        <v>785</v>
      </c>
    </row>
    <row r="316" spans="1:3">
      <c r="A316">
        <v>834</v>
      </c>
      <c r="B316">
        <v>475</v>
      </c>
      <c r="C316">
        <v>1858</v>
      </c>
    </row>
    <row r="317" spans="1:3">
      <c r="A317">
        <v>835</v>
      </c>
      <c r="B317">
        <v>153786</v>
      </c>
      <c r="C317">
        <v>322326</v>
      </c>
    </row>
    <row r="318" spans="1:3">
      <c r="A318">
        <v>836</v>
      </c>
      <c r="B318">
        <v>-67795</v>
      </c>
      <c r="C318">
        <v>-193834</v>
      </c>
    </row>
    <row r="319" spans="1:3">
      <c r="A319">
        <v>837</v>
      </c>
      <c r="B319">
        <v>1227</v>
      </c>
      <c r="C319">
        <v>4560</v>
      </c>
    </row>
    <row r="320" spans="1:3">
      <c r="A320">
        <v>840</v>
      </c>
      <c r="B320">
        <v>550</v>
      </c>
      <c r="C320">
        <v>2185</v>
      </c>
    </row>
    <row r="321" spans="1:3">
      <c r="A321">
        <v>841</v>
      </c>
      <c r="B321">
        <v>0</v>
      </c>
      <c r="C321">
        <v>390</v>
      </c>
    </row>
    <row r="322" spans="1:3">
      <c r="A322">
        <v>842</v>
      </c>
      <c r="B322">
        <v>99960</v>
      </c>
      <c r="C322">
        <v>223865</v>
      </c>
    </row>
    <row r="323" spans="1:3">
      <c r="A323">
        <v>843</v>
      </c>
      <c r="B323">
        <v>22950</v>
      </c>
      <c r="C323">
        <v>68850</v>
      </c>
    </row>
    <row r="324" spans="1:3">
      <c r="A324">
        <v>845</v>
      </c>
      <c r="B324">
        <v>4025</v>
      </c>
      <c r="C324">
        <v>13918</v>
      </c>
    </row>
    <row r="325" spans="1:3">
      <c r="A325">
        <v>846</v>
      </c>
      <c r="B325">
        <v>38</v>
      </c>
      <c r="C325">
        <v>115</v>
      </c>
    </row>
    <row r="326" spans="1:3">
      <c r="A326">
        <v>847</v>
      </c>
      <c r="B326">
        <v>3000</v>
      </c>
      <c r="C326">
        <v>9000</v>
      </c>
    </row>
    <row r="327" spans="1:3">
      <c r="A327">
        <v>848</v>
      </c>
      <c r="B327">
        <v>2040</v>
      </c>
      <c r="C327">
        <v>6120</v>
      </c>
    </row>
    <row r="328" spans="1:3">
      <c r="A328">
        <v>850</v>
      </c>
      <c r="B328">
        <v>36923</v>
      </c>
      <c r="C328">
        <v>112718</v>
      </c>
    </row>
    <row r="329" spans="1:3">
      <c r="A329">
        <v>851</v>
      </c>
      <c r="B329">
        <v>4870</v>
      </c>
      <c r="C329">
        <v>14715</v>
      </c>
    </row>
    <row r="330" spans="1:3">
      <c r="A330">
        <v>852</v>
      </c>
      <c r="B330">
        <v>7938</v>
      </c>
      <c r="C330">
        <v>21998</v>
      </c>
    </row>
    <row r="331" spans="1:3">
      <c r="A331">
        <v>854</v>
      </c>
      <c r="B331">
        <v>600</v>
      </c>
      <c r="C331">
        <v>735</v>
      </c>
    </row>
    <row r="332" spans="1:3">
      <c r="A332">
        <v>855</v>
      </c>
      <c r="B332">
        <v>6755</v>
      </c>
      <c r="C332">
        <v>20265</v>
      </c>
    </row>
    <row r="333" spans="1:3">
      <c r="A333">
        <v>857</v>
      </c>
      <c r="B333">
        <v>52216</v>
      </c>
      <c r="C333">
        <v>155716</v>
      </c>
    </row>
    <row r="334" spans="1:3">
      <c r="A334">
        <v>858</v>
      </c>
      <c r="B334">
        <v>269317</v>
      </c>
      <c r="C334">
        <v>715004</v>
      </c>
    </row>
    <row r="335" spans="1:3">
      <c r="A335">
        <v>859</v>
      </c>
      <c r="B335">
        <v>316796</v>
      </c>
      <c r="C335">
        <v>845877</v>
      </c>
    </row>
    <row r="336" spans="1:3">
      <c r="A336">
        <v>860</v>
      </c>
      <c r="B336">
        <v>149462</v>
      </c>
      <c r="C336">
        <v>187718</v>
      </c>
    </row>
    <row r="337" spans="1:3">
      <c r="A337">
        <v>861</v>
      </c>
      <c r="B337">
        <v>410299</v>
      </c>
      <c r="C337">
        <v>1161811</v>
      </c>
    </row>
    <row r="338" spans="1:3">
      <c r="A338">
        <v>862</v>
      </c>
      <c r="B338">
        <v>176211</v>
      </c>
      <c r="C338">
        <v>477202</v>
      </c>
    </row>
    <row r="339" spans="1:3">
      <c r="A339">
        <v>863</v>
      </c>
      <c r="B339">
        <v>16209</v>
      </c>
      <c r="C339">
        <v>49887</v>
      </c>
    </row>
    <row r="340" spans="1:3">
      <c r="A340">
        <v>864</v>
      </c>
      <c r="B340">
        <v>13573</v>
      </c>
      <c r="C340">
        <v>40379</v>
      </c>
    </row>
    <row r="341" spans="1:3">
      <c r="A341">
        <v>865</v>
      </c>
      <c r="B341">
        <v>24532</v>
      </c>
      <c r="C341">
        <v>73911</v>
      </c>
    </row>
    <row r="342" spans="1:3">
      <c r="A342">
        <v>866</v>
      </c>
      <c r="B342">
        <v>30522</v>
      </c>
      <c r="C342">
        <v>70418</v>
      </c>
    </row>
    <row r="343" spans="1:3">
      <c r="A343">
        <v>867</v>
      </c>
      <c r="B343">
        <v>8090</v>
      </c>
      <c r="C343">
        <v>33827</v>
      </c>
    </row>
    <row r="344" spans="1:3">
      <c r="A344">
        <v>869</v>
      </c>
      <c r="B344">
        <v>5328</v>
      </c>
      <c r="C344">
        <v>17155</v>
      </c>
    </row>
    <row r="345" spans="1:3">
      <c r="A345">
        <v>870</v>
      </c>
      <c r="B345">
        <v>12009</v>
      </c>
      <c r="C345">
        <v>40301</v>
      </c>
    </row>
    <row r="346" spans="1:3">
      <c r="A346">
        <v>872</v>
      </c>
      <c r="B346">
        <v>110263</v>
      </c>
      <c r="C346">
        <v>325878</v>
      </c>
    </row>
    <row r="347" spans="1:3">
      <c r="A347">
        <v>873</v>
      </c>
      <c r="B347">
        <v>-3689</v>
      </c>
      <c r="C347">
        <v>-5557</v>
      </c>
    </row>
    <row r="348" spans="1:3">
      <c r="A348">
        <v>874</v>
      </c>
      <c r="B348">
        <v>2600</v>
      </c>
      <c r="C348">
        <v>4687</v>
      </c>
    </row>
    <row r="349" spans="1:3">
      <c r="A349">
        <v>875</v>
      </c>
      <c r="B349">
        <v>4603</v>
      </c>
      <c r="C349">
        <v>14127</v>
      </c>
    </row>
    <row r="350" spans="1:3">
      <c r="A350">
        <v>877</v>
      </c>
      <c r="B350">
        <v>2790</v>
      </c>
      <c r="C350">
        <v>5483</v>
      </c>
    </row>
    <row r="351" spans="1:3">
      <c r="A351">
        <v>880</v>
      </c>
      <c r="B351">
        <v>5111</v>
      </c>
      <c r="C351">
        <v>9130</v>
      </c>
    </row>
    <row r="352" spans="1:3">
      <c r="A352">
        <v>881</v>
      </c>
      <c r="B352">
        <v>10485</v>
      </c>
      <c r="C352">
        <v>30190</v>
      </c>
    </row>
    <row r="353" spans="1:3">
      <c r="A353">
        <v>882</v>
      </c>
      <c r="B353">
        <v>6870</v>
      </c>
      <c r="C353">
        <v>11976</v>
      </c>
    </row>
    <row r="354" spans="1:3">
      <c r="A354">
        <v>883</v>
      </c>
      <c r="B354">
        <v>723</v>
      </c>
      <c r="C354">
        <v>2190</v>
      </c>
    </row>
    <row r="355" spans="1:3">
      <c r="A355">
        <v>884</v>
      </c>
      <c r="B355">
        <v>64</v>
      </c>
      <c r="C355">
        <v>64</v>
      </c>
    </row>
    <row r="356" spans="1:3">
      <c r="A356">
        <v>885</v>
      </c>
      <c r="B356">
        <v>500</v>
      </c>
      <c r="C356">
        <v>500</v>
      </c>
    </row>
    <row r="357" spans="1:3">
      <c r="A357">
        <v>886</v>
      </c>
      <c r="B357">
        <v>464</v>
      </c>
      <c r="C357">
        <v>1180</v>
      </c>
    </row>
    <row r="358" spans="1:3">
      <c r="A358">
        <v>887</v>
      </c>
      <c r="B358">
        <v>2675</v>
      </c>
      <c r="C358">
        <v>11140</v>
      </c>
    </row>
    <row r="359" spans="1:3">
      <c r="A359">
        <v>888</v>
      </c>
      <c r="B359">
        <v>1226</v>
      </c>
      <c r="C359">
        <v>4560</v>
      </c>
    </row>
    <row r="360" spans="1:3">
      <c r="A360">
        <v>890</v>
      </c>
      <c r="B360">
        <v>203</v>
      </c>
      <c r="C360">
        <v>376</v>
      </c>
    </row>
    <row r="361" spans="1:3">
      <c r="A361">
        <v>891</v>
      </c>
      <c r="B361">
        <v>-726</v>
      </c>
      <c r="C361">
        <v>1008</v>
      </c>
    </row>
    <row r="362" spans="1:3">
      <c r="A362">
        <v>892</v>
      </c>
      <c r="B362">
        <v>33899</v>
      </c>
      <c r="C362">
        <v>91054</v>
      </c>
    </row>
    <row r="363" spans="1:3">
      <c r="A363">
        <v>893</v>
      </c>
      <c r="B363">
        <v>22950</v>
      </c>
      <c r="C363">
        <v>68850</v>
      </c>
    </row>
    <row r="364" spans="1:3">
      <c r="A364">
        <v>895</v>
      </c>
      <c r="B364">
        <v>3900</v>
      </c>
      <c r="C364">
        <v>17590</v>
      </c>
    </row>
    <row r="365" spans="1:3">
      <c r="A365">
        <v>896</v>
      </c>
      <c r="B365">
        <v>39</v>
      </c>
      <c r="C365">
        <v>115</v>
      </c>
    </row>
    <row r="366" spans="1:3">
      <c r="A366">
        <v>897</v>
      </c>
      <c r="B366">
        <v>3000</v>
      </c>
      <c r="C366">
        <v>9000</v>
      </c>
    </row>
    <row r="367" spans="1:3">
      <c r="A367">
        <v>898</v>
      </c>
      <c r="B367">
        <v>2040</v>
      </c>
      <c r="C367">
        <v>6120</v>
      </c>
    </row>
    <row r="368" spans="1:3">
      <c r="A368">
        <v>900</v>
      </c>
      <c r="B368">
        <v>36799</v>
      </c>
      <c r="C368">
        <v>116391</v>
      </c>
    </row>
    <row r="369" spans="1:3">
      <c r="A369">
        <v>901</v>
      </c>
      <c r="B369">
        <v>4870</v>
      </c>
      <c r="C369">
        <v>14716</v>
      </c>
    </row>
    <row r="370" spans="1:3">
      <c r="A370">
        <v>904</v>
      </c>
      <c r="B370">
        <v>600</v>
      </c>
      <c r="C370">
        <v>2132</v>
      </c>
    </row>
    <row r="371" spans="1:3">
      <c r="A371">
        <v>905</v>
      </c>
      <c r="B371">
        <v>6755</v>
      </c>
      <c r="C371">
        <v>20265</v>
      </c>
    </row>
    <row r="372" spans="1:3">
      <c r="A372">
        <v>907</v>
      </c>
      <c r="B372">
        <v>44154</v>
      </c>
      <c r="C372">
        <v>138788</v>
      </c>
    </row>
    <row r="373" spans="1:3">
      <c r="A373">
        <v>908</v>
      </c>
      <c r="B373">
        <v>188316</v>
      </c>
      <c r="C373">
        <v>555720</v>
      </c>
    </row>
    <row r="374" spans="1:3">
      <c r="A374">
        <v>909</v>
      </c>
      <c r="B374">
        <v>188316</v>
      </c>
      <c r="C374">
        <v>555720</v>
      </c>
    </row>
    <row r="375" spans="1:3">
      <c r="A375">
        <v>910</v>
      </c>
      <c r="B375">
        <v>-12105</v>
      </c>
      <c r="C375">
        <v>-78518</v>
      </c>
    </row>
    <row r="376" spans="1:3">
      <c r="A376">
        <v>913</v>
      </c>
      <c r="B376">
        <v>38732</v>
      </c>
      <c r="C376">
        <v>90752</v>
      </c>
    </row>
    <row r="377" spans="1:3">
      <c r="A377">
        <v>914</v>
      </c>
      <c r="B377">
        <v>-14585</v>
      </c>
      <c r="C377">
        <v>-29107</v>
      </c>
    </row>
    <row r="378" spans="1:3">
      <c r="A378">
        <v>915</v>
      </c>
      <c r="B378">
        <v>2389</v>
      </c>
      <c r="C378">
        <v>16125</v>
      </c>
    </row>
    <row r="379" spans="1:3">
      <c r="A379">
        <v>916</v>
      </c>
      <c r="B379">
        <v>26536</v>
      </c>
      <c r="C379">
        <v>77770</v>
      </c>
    </row>
    <row r="380" spans="1:3">
      <c r="A380">
        <v>917</v>
      </c>
      <c r="B380">
        <v>9725</v>
      </c>
      <c r="C380">
        <v>29898</v>
      </c>
    </row>
    <row r="381" spans="1:3">
      <c r="A381">
        <v>918</v>
      </c>
      <c r="B381">
        <v>13930</v>
      </c>
      <c r="C381">
        <v>41792</v>
      </c>
    </row>
    <row r="382" spans="1:3">
      <c r="A382">
        <v>919</v>
      </c>
      <c r="B382">
        <v>32372</v>
      </c>
      <c r="C382">
        <v>83099</v>
      </c>
    </row>
    <row r="383" spans="1:3">
      <c r="A383">
        <v>920</v>
      </c>
      <c r="B383">
        <v>6234</v>
      </c>
      <c r="C383">
        <v>9740</v>
      </c>
    </row>
    <row r="384" spans="1:3">
      <c r="A384">
        <v>921</v>
      </c>
      <c r="B384">
        <v>4911</v>
      </c>
      <c r="C384">
        <v>20990</v>
      </c>
    </row>
    <row r="385" spans="1:3">
      <c r="A385">
        <v>923</v>
      </c>
      <c r="B385">
        <v>3255</v>
      </c>
      <c r="C385">
        <v>9415</v>
      </c>
    </row>
    <row r="386" spans="1:3">
      <c r="A386">
        <v>924</v>
      </c>
      <c r="B386">
        <v>6254</v>
      </c>
      <c r="C386">
        <v>20439</v>
      </c>
    </row>
    <row r="387" spans="1:3">
      <c r="A387">
        <v>926</v>
      </c>
      <c r="B387">
        <v>76681</v>
      </c>
      <c r="C387">
        <v>215373</v>
      </c>
    </row>
    <row r="388" spans="1:3">
      <c r="A388">
        <v>927</v>
      </c>
      <c r="B388">
        <v>18484</v>
      </c>
      <c r="C388">
        <v>31695</v>
      </c>
    </row>
    <row r="389" spans="1:3">
      <c r="A389">
        <v>928</v>
      </c>
      <c r="B389">
        <v>1325</v>
      </c>
      <c r="C389">
        <v>2994</v>
      </c>
    </row>
    <row r="390" spans="1:3">
      <c r="A390">
        <v>929</v>
      </c>
      <c r="B390">
        <v>1300</v>
      </c>
      <c r="C390">
        <v>5253</v>
      </c>
    </row>
    <row r="391" spans="1:3">
      <c r="A391">
        <v>931</v>
      </c>
      <c r="B391">
        <v>6026</v>
      </c>
      <c r="C391">
        <v>14482</v>
      </c>
    </row>
    <row r="392" spans="1:3">
      <c r="A392">
        <v>932</v>
      </c>
      <c r="B392">
        <v>-45212</v>
      </c>
      <c r="C392">
        <v>-45212</v>
      </c>
    </row>
    <row r="393" spans="1:3">
      <c r="A393">
        <v>934</v>
      </c>
      <c r="B393">
        <v>5330</v>
      </c>
      <c r="C393">
        <v>13693</v>
      </c>
    </row>
    <row r="394" spans="1:3">
      <c r="A394">
        <v>935</v>
      </c>
      <c r="B394">
        <v>1052</v>
      </c>
      <c r="C394">
        <v>2453</v>
      </c>
    </row>
    <row r="395" spans="1:3">
      <c r="A395">
        <v>936</v>
      </c>
      <c r="B395">
        <v>410</v>
      </c>
      <c r="C395">
        <v>1862</v>
      </c>
    </row>
    <row r="396" spans="1:3">
      <c r="A396">
        <v>937</v>
      </c>
      <c r="B396">
        <v>373</v>
      </c>
      <c r="C396">
        <v>373</v>
      </c>
    </row>
    <row r="397" spans="1:3">
      <c r="A397">
        <v>938</v>
      </c>
      <c r="B397">
        <v>300</v>
      </c>
      <c r="C397">
        <v>300</v>
      </c>
    </row>
    <row r="398" spans="1:3">
      <c r="A398">
        <v>939</v>
      </c>
      <c r="B398">
        <v>147</v>
      </c>
      <c r="C398">
        <v>471</v>
      </c>
    </row>
    <row r="399" spans="1:3">
      <c r="A399">
        <v>940</v>
      </c>
      <c r="B399">
        <v>475</v>
      </c>
      <c r="C399">
        <v>1832</v>
      </c>
    </row>
    <row r="400" spans="1:3">
      <c r="A400">
        <v>941</v>
      </c>
      <c r="B400">
        <v>63639</v>
      </c>
      <c r="C400">
        <v>177676</v>
      </c>
    </row>
    <row r="401" spans="1:3">
      <c r="A401">
        <v>942</v>
      </c>
      <c r="B401">
        <v>-67795</v>
      </c>
      <c r="C401">
        <v>-193834</v>
      </c>
    </row>
    <row r="402" spans="1:3">
      <c r="A402">
        <v>943</v>
      </c>
      <c r="B402">
        <v>736</v>
      </c>
      <c r="C402">
        <v>2736</v>
      </c>
    </row>
    <row r="403" spans="1:3">
      <c r="A403">
        <v>946</v>
      </c>
      <c r="B403">
        <v>0</v>
      </c>
      <c r="C403">
        <v>127</v>
      </c>
    </row>
    <row r="404" spans="1:3">
      <c r="A404">
        <v>947</v>
      </c>
      <c r="B404">
        <v>0</v>
      </c>
      <c r="C404">
        <v>234</v>
      </c>
    </row>
    <row r="405" spans="1:3">
      <c r="A405">
        <v>948</v>
      </c>
      <c r="B405">
        <v>-13410</v>
      </c>
      <c r="C405">
        <v>17135</v>
      </c>
    </row>
    <row r="406" spans="1:3">
      <c r="A406">
        <v>949</v>
      </c>
      <c r="B406">
        <v>13770</v>
      </c>
      <c r="C406">
        <v>41310</v>
      </c>
    </row>
    <row r="407" spans="1:3">
      <c r="A407">
        <v>951</v>
      </c>
      <c r="B407">
        <v>2216</v>
      </c>
      <c r="C407">
        <v>8152</v>
      </c>
    </row>
    <row r="408" spans="1:3">
      <c r="A408">
        <v>952</v>
      </c>
      <c r="B408">
        <v>23</v>
      </c>
      <c r="C408">
        <v>69</v>
      </c>
    </row>
    <row r="409" spans="1:3">
      <c r="A409">
        <v>953</v>
      </c>
      <c r="B409">
        <v>1800</v>
      </c>
      <c r="C409">
        <v>5400</v>
      </c>
    </row>
    <row r="410" spans="1:3">
      <c r="A410">
        <v>954</v>
      </c>
      <c r="B410">
        <v>1224</v>
      </c>
      <c r="C410">
        <v>3672</v>
      </c>
    </row>
    <row r="411" spans="1:3">
      <c r="A411">
        <v>956</v>
      </c>
      <c r="B411">
        <v>21955</v>
      </c>
      <c r="C411">
        <v>67432</v>
      </c>
    </row>
    <row r="412" spans="1:3">
      <c r="A412">
        <v>957</v>
      </c>
      <c r="B412">
        <v>2922</v>
      </c>
      <c r="C412">
        <v>8829</v>
      </c>
    </row>
    <row r="413" spans="1:3">
      <c r="A413">
        <v>958</v>
      </c>
      <c r="B413">
        <v>4481</v>
      </c>
      <c r="C413">
        <v>12348</v>
      </c>
    </row>
    <row r="414" spans="1:3">
      <c r="A414">
        <v>960</v>
      </c>
      <c r="B414">
        <v>360</v>
      </c>
      <c r="C414">
        <v>441</v>
      </c>
    </row>
    <row r="415" spans="1:3">
      <c r="A415">
        <v>961</v>
      </c>
      <c r="B415">
        <v>4053</v>
      </c>
      <c r="C415">
        <v>12159</v>
      </c>
    </row>
    <row r="416" spans="1:3">
      <c r="A416">
        <v>963</v>
      </c>
      <c r="B416">
        <v>30849</v>
      </c>
      <c r="C416">
        <v>92380</v>
      </c>
    </row>
    <row r="417" spans="1:3">
      <c r="A417">
        <v>964</v>
      </c>
      <c r="B417">
        <v>94120</v>
      </c>
      <c r="C417">
        <v>324888</v>
      </c>
    </row>
    <row r="418" spans="1:3">
      <c r="A418">
        <v>965</v>
      </c>
      <c r="B418">
        <v>120656</v>
      </c>
      <c r="C418">
        <v>402658</v>
      </c>
    </row>
    <row r="419" spans="1:3">
      <c r="A419">
        <v>966</v>
      </c>
      <c r="B419">
        <v>47073</v>
      </c>
      <c r="C419">
        <v>16150</v>
      </c>
    </row>
    <row r="420" spans="1:3">
      <c r="A420">
        <v>967</v>
      </c>
      <c r="B420">
        <v>16281</v>
      </c>
      <c r="C420">
        <v>34655</v>
      </c>
    </row>
    <row r="421" spans="1:3">
      <c r="A421">
        <v>969</v>
      </c>
      <c r="B421">
        <v>63354</v>
      </c>
      <c r="C421">
        <v>50805</v>
      </c>
    </row>
    <row r="422" spans="1:3">
      <c r="A422">
        <v>970</v>
      </c>
      <c r="B422">
        <v>5581124</v>
      </c>
      <c r="C422">
        <v>11135616</v>
      </c>
    </row>
    <row r="423" spans="1:3">
      <c r="A423">
        <v>971</v>
      </c>
      <c r="B423">
        <v>279041</v>
      </c>
      <c r="C423">
        <v>570434</v>
      </c>
    </row>
    <row r="424" spans="1:3">
      <c r="A424">
        <v>972</v>
      </c>
      <c r="B424">
        <v>9893</v>
      </c>
      <c r="C424">
        <v>20943</v>
      </c>
    </row>
    <row r="425" spans="1:3">
      <c r="A425">
        <v>973</v>
      </c>
      <c r="B425">
        <v>10901</v>
      </c>
      <c r="C425">
        <v>30569</v>
      </c>
    </row>
    <row r="426" spans="1:3">
      <c r="A426">
        <v>974</v>
      </c>
      <c r="B426">
        <v>149</v>
      </c>
      <c r="C426">
        <v>1591</v>
      </c>
    </row>
    <row r="427" spans="1:3">
      <c r="A427">
        <v>975</v>
      </c>
      <c r="B427">
        <v>20943</v>
      </c>
      <c r="C427">
        <v>53103</v>
      </c>
    </row>
    <row r="428" spans="1:3">
      <c r="A428">
        <v>976</v>
      </c>
      <c r="B428">
        <v>6483</v>
      </c>
      <c r="C428">
        <v>19932</v>
      </c>
    </row>
    <row r="429" spans="1:3">
      <c r="A429">
        <v>977</v>
      </c>
      <c r="B429">
        <v>18857</v>
      </c>
      <c r="C429">
        <v>48227</v>
      </c>
    </row>
    <row r="430" spans="1:3">
      <c r="A430">
        <v>978</v>
      </c>
      <c r="B430">
        <v>9018</v>
      </c>
      <c r="C430">
        <v>25596</v>
      </c>
    </row>
    <row r="431" spans="1:3">
      <c r="A431">
        <v>980</v>
      </c>
      <c r="B431">
        <v>3433</v>
      </c>
      <c r="C431">
        <v>11463</v>
      </c>
    </row>
    <row r="432" spans="1:3">
      <c r="A432">
        <v>982</v>
      </c>
      <c r="B432">
        <v>-59</v>
      </c>
      <c r="C432">
        <v>1853</v>
      </c>
    </row>
    <row r="433" spans="1:3">
      <c r="A433">
        <v>983</v>
      </c>
      <c r="B433">
        <v>2728</v>
      </c>
      <c r="C433">
        <v>12979</v>
      </c>
    </row>
    <row r="434" spans="1:3">
      <c r="A434">
        <v>985</v>
      </c>
      <c r="B434">
        <v>40460</v>
      </c>
      <c r="C434">
        <v>120050</v>
      </c>
    </row>
    <row r="435" spans="1:3">
      <c r="A435">
        <v>986</v>
      </c>
      <c r="B435">
        <v>3099</v>
      </c>
      <c r="C435">
        <v>5365</v>
      </c>
    </row>
    <row r="436" spans="1:3">
      <c r="A436">
        <v>987</v>
      </c>
      <c r="B436">
        <v>907</v>
      </c>
      <c r="C436">
        <v>2534</v>
      </c>
    </row>
    <row r="437" spans="1:3">
      <c r="A437">
        <v>988</v>
      </c>
      <c r="B437">
        <v>814</v>
      </c>
      <c r="C437">
        <v>2848</v>
      </c>
    </row>
    <row r="438" spans="1:3">
      <c r="A438">
        <v>990</v>
      </c>
      <c r="B438">
        <v>11132</v>
      </c>
      <c r="C438">
        <v>33560</v>
      </c>
    </row>
    <row r="439" spans="1:3">
      <c r="A439">
        <v>993</v>
      </c>
      <c r="B439">
        <v>3966</v>
      </c>
      <c r="C439">
        <v>10509</v>
      </c>
    </row>
    <row r="440" spans="1:3">
      <c r="A440">
        <v>995</v>
      </c>
      <c r="B440">
        <v>441</v>
      </c>
      <c r="C440">
        <v>1009</v>
      </c>
    </row>
    <row r="441" spans="1:3">
      <c r="A441">
        <v>996</v>
      </c>
      <c r="B441">
        <v>1525</v>
      </c>
      <c r="C441">
        <v>1677</v>
      </c>
    </row>
    <row r="442" spans="1:3">
      <c r="A442">
        <v>997</v>
      </c>
      <c r="B442">
        <v>200</v>
      </c>
      <c r="C442">
        <v>200</v>
      </c>
    </row>
    <row r="443" spans="1:3">
      <c r="A443">
        <v>998</v>
      </c>
      <c r="B443">
        <v>98</v>
      </c>
      <c r="C443">
        <v>314</v>
      </c>
    </row>
    <row r="444" spans="1:3">
      <c r="A444">
        <v>999</v>
      </c>
      <c r="B444">
        <v>0</v>
      </c>
      <c r="C444">
        <v>26</v>
      </c>
    </row>
    <row r="445" spans="1:3">
      <c r="A445">
        <v>1000</v>
      </c>
      <c r="B445">
        <v>90147</v>
      </c>
      <c r="C445">
        <v>144650</v>
      </c>
    </row>
    <row r="446" spans="1:3">
      <c r="A446">
        <v>1002</v>
      </c>
      <c r="B446">
        <v>491</v>
      </c>
      <c r="C446">
        <v>1824</v>
      </c>
    </row>
    <row r="447" spans="1:3">
      <c r="A447">
        <v>1005</v>
      </c>
      <c r="B447">
        <v>550</v>
      </c>
      <c r="C447">
        <v>2058</v>
      </c>
    </row>
    <row r="448" spans="1:3">
      <c r="A448">
        <v>1006</v>
      </c>
      <c r="B448">
        <v>0</v>
      </c>
      <c r="C448">
        <v>156</v>
      </c>
    </row>
    <row r="449" spans="1:3">
      <c r="A449">
        <v>1007</v>
      </c>
      <c r="B449">
        <v>113370</v>
      </c>
      <c r="C449">
        <v>206730</v>
      </c>
    </row>
    <row r="450" spans="1:3">
      <c r="A450">
        <v>1008</v>
      </c>
      <c r="B450">
        <v>9180</v>
      </c>
      <c r="C450">
        <v>27540</v>
      </c>
    </row>
    <row r="451" spans="1:3">
      <c r="A451">
        <v>1010</v>
      </c>
      <c r="B451">
        <v>1809</v>
      </c>
      <c r="C451">
        <v>5766</v>
      </c>
    </row>
    <row r="452" spans="1:3">
      <c r="A452">
        <v>1011</v>
      </c>
      <c r="B452">
        <v>15</v>
      </c>
      <c r="C452">
        <v>46</v>
      </c>
    </row>
    <row r="453" spans="1:3">
      <c r="A453">
        <v>1012</v>
      </c>
      <c r="B453">
        <v>1200</v>
      </c>
      <c r="C453">
        <v>3600</v>
      </c>
    </row>
    <row r="454" spans="1:3">
      <c r="A454">
        <v>1013</v>
      </c>
      <c r="B454">
        <v>816</v>
      </c>
      <c r="C454">
        <v>2448</v>
      </c>
    </row>
    <row r="455" spans="1:3">
      <c r="A455">
        <v>1015</v>
      </c>
      <c r="B455">
        <v>14968</v>
      </c>
      <c r="C455">
        <v>45286</v>
      </c>
    </row>
    <row r="456" spans="1:3">
      <c r="A456">
        <v>1016</v>
      </c>
      <c r="B456">
        <v>1948</v>
      </c>
      <c r="C456">
        <v>5886</v>
      </c>
    </row>
    <row r="457" spans="1:3">
      <c r="A457">
        <v>1017</v>
      </c>
      <c r="B457">
        <v>3457</v>
      </c>
      <c r="C457">
        <v>9650</v>
      </c>
    </row>
    <row r="458" spans="1:3">
      <c r="A458">
        <v>1019</v>
      </c>
      <c r="B458">
        <v>240</v>
      </c>
      <c r="C458">
        <v>294</v>
      </c>
    </row>
    <row r="459" spans="1:3">
      <c r="A459">
        <v>1020</v>
      </c>
      <c r="B459">
        <v>2702</v>
      </c>
      <c r="C459">
        <v>8106</v>
      </c>
    </row>
    <row r="460" spans="1:3">
      <c r="A460">
        <v>1022</v>
      </c>
      <c r="B460">
        <v>21367</v>
      </c>
      <c r="C460">
        <v>63336</v>
      </c>
    </row>
    <row r="461" spans="1:3">
      <c r="A461">
        <v>1023</v>
      </c>
      <c r="B461">
        <v>175197</v>
      </c>
      <c r="C461">
        <v>390116</v>
      </c>
    </row>
    <row r="462" spans="1:3">
      <c r="A462">
        <v>1024</v>
      </c>
      <c r="B462">
        <v>196140</v>
      </c>
      <c r="C462">
        <v>443219</v>
      </c>
    </row>
    <row r="463" spans="1:3">
      <c r="A463">
        <v>1025</v>
      </c>
      <c r="B463">
        <v>82901</v>
      </c>
      <c r="C463">
        <v>127215</v>
      </c>
    </row>
    <row r="464" spans="1:3">
      <c r="A464">
        <v>1026</v>
      </c>
      <c r="B464">
        <v>3207</v>
      </c>
      <c r="C464">
        <v>9698</v>
      </c>
    </row>
    <row r="465" spans="1:3">
      <c r="A465">
        <v>1028</v>
      </c>
      <c r="B465">
        <v>86108</v>
      </c>
      <c r="C465">
        <v>136913</v>
      </c>
    </row>
    <row r="466" spans="1:3">
      <c r="A466">
        <v>1088</v>
      </c>
      <c r="B466">
        <v>53975</v>
      </c>
      <c r="C466">
        <v>125894</v>
      </c>
    </row>
    <row r="467" spans="1:3">
      <c r="A467">
        <v>1089</v>
      </c>
      <c r="B467">
        <v>19488</v>
      </c>
      <c r="C467">
        <v>44353</v>
      </c>
    </row>
    <row r="468" spans="1:3">
      <c r="A468">
        <v>1090</v>
      </c>
      <c r="B468">
        <v>-19488</v>
      </c>
      <c r="C468">
        <v>-44353</v>
      </c>
    </row>
    <row r="469" spans="1:3">
      <c r="A469">
        <v>1091</v>
      </c>
      <c r="B469">
        <v>135139</v>
      </c>
      <c r="C469">
        <v>341351</v>
      </c>
    </row>
    <row r="470" spans="1:3">
      <c r="A470">
        <v>1092</v>
      </c>
      <c r="B470">
        <v>84599</v>
      </c>
      <c r="C470">
        <v>192675</v>
      </c>
    </row>
    <row r="471" spans="1:3">
      <c r="A471">
        <v>1093</v>
      </c>
      <c r="B471">
        <v>9725</v>
      </c>
      <c r="C471">
        <v>29898</v>
      </c>
    </row>
    <row r="472" spans="1:3">
      <c r="A472">
        <v>1094</v>
      </c>
      <c r="B472">
        <v>12444</v>
      </c>
      <c r="C472">
        <v>30448</v>
      </c>
    </row>
    <row r="473" spans="1:3">
      <c r="A473">
        <v>1095</v>
      </c>
      <c r="B473">
        <v>12444</v>
      </c>
      <c r="C473">
        <v>39756</v>
      </c>
    </row>
    <row r="474" spans="1:3">
      <c r="A474">
        <v>1096</v>
      </c>
      <c r="B474">
        <v>16040</v>
      </c>
      <c r="C474">
        <v>32171</v>
      </c>
    </row>
    <row r="475" spans="1:3">
      <c r="A475">
        <v>1097</v>
      </c>
      <c r="B475">
        <v>5933</v>
      </c>
      <c r="C475">
        <v>24181</v>
      </c>
    </row>
    <row r="476" spans="1:3">
      <c r="A476">
        <v>1099</v>
      </c>
      <c r="B476">
        <v>3524</v>
      </c>
      <c r="C476">
        <v>11340</v>
      </c>
    </row>
    <row r="477" spans="1:3">
      <c r="A477">
        <v>1100</v>
      </c>
      <c r="B477">
        <v>7630</v>
      </c>
      <c r="C477">
        <v>26834</v>
      </c>
    </row>
    <row r="478" spans="1:3">
      <c r="A478">
        <v>1102</v>
      </c>
      <c r="B478">
        <v>67740</v>
      </c>
      <c r="C478">
        <v>194628</v>
      </c>
    </row>
    <row r="479" spans="1:3">
      <c r="A479">
        <v>1103</v>
      </c>
      <c r="B479">
        <v>-6600</v>
      </c>
      <c r="C479">
        <v>-8823</v>
      </c>
    </row>
    <row r="480" spans="1:3">
      <c r="A480">
        <v>1104</v>
      </c>
      <c r="B480">
        <v>1693</v>
      </c>
      <c r="C480">
        <v>2893</v>
      </c>
    </row>
    <row r="481" spans="1:3">
      <c r="A481">
        <v>1105</v>
      </c>
      <c r="B481">
        <v>3879</v>
      </c>
      <c r="C481">
        <v>11727</v>
      </c>
    </row>
    <row r="482" spans="1:3">
      <c r="A482">
        <v>1107</v>
      </c>
      <c r="B482">
        <v>1490</v>
      </c>
      <c r="C482">
        <v>2591</v>
      </c>
    </row>
    <row r="483" spans="1:3">
      <c r="A483">
        <v>1110</v>
      </c>
      <c r="B483">
        <v>4663</v>
      </c>
      <c r="C483">
        <v>7481</v>
      </c>
    </row>
    <row r="484" spans="1:3">
      <c r="A484">
        <v>1111</v>
      </c>
      <c r="B484">
        <v>4938</v>
      </c>
      <c r="C484">
        <v>13162</v>
      </c>
    </row>
    <row r="485" spans="1:3">
      <c r="A485">
        <v>1112</v>
      </c>
      <c r="B485">
        <v>4903</v>
      </c>
      <c r="C485">
        <v>9126</v>
      </c>
    </row>
    <row r="486" spans="1:3">
      <c r="A486">
        <v>1113</v>
      </c>
      <c r="B486">
        <v>449</v>
      </c>
      <c r="C486">
        <v>1348</v>
      </c>
    </row>
    <row r="487" spans="1:3">
      <c r="A487">
        <v>1114</v>
      </c>
      <c r="B487">
        <v>38</v>
      </c>
      <c r="C487">
        <v>38</v>
      </c>
    </row>
    <row r="488" spans="1:3">
      <c r="A488">
        <v>1115</v>
      </c>
      <c r="B488">
        <v>300</v>
      </c>
      <c r="C488">
        <v>300</v>
      </c>
    </row>
    <row r="489" spans="1:3">
      <c r="A489">
        <v>1116</v>
      </c>
      <c r="B489">
        <v>147</v>
      </c>
      <c r="C489">
        <v>495</v>
      </c>
    </row>
    <row r="490" spans="1:3">
      <c r="A490">
        <v>1117</v>
      </c>
      <c r="B490">
        <v>2445</v>
      </c>
      <c r="C490">
        <v>10884</v>
      </c>
    </row>
    <row r="491" spans="1:3">
      <c r="A491">
        <v>1118</v>
      </c>
      <c r="B491">
        <v>736</v>
      </c>
      <c r="C491">
        <v>2736</v>
      </c>
    </row>
    <row r="492" spans="1:3">
      <c r="A492">
        <v>1120</v>
      </c>
      <c r="B492">
        <v>0</v>
      </c>
      <c r="C492">
        <v>93</v>
      </c>
    </row>
    <row r="493" spans="1:3">
      <c r="A493">
        <v>1121</v>
      </c>
      <c r="B493">
        <v>-1765</v>
      </c>
      <c r="C493">
        <v>-2074</v>
      </c>
    </row>
    <row r="494" spans="1:3">
      <c r="A494">
        <v>1122</v>
      </c>
      <c r="B494">
        <v>17316</v>
      </c>
      <c r="C494">
        <v>51977</v>
      </c>
    </row>
    <row r="495" spans="1:3">
      <c r="A495">
        <v>1123</v>
      </c>
      <c r="B495">
        <v>13770</v>
      </c>
      <c r="C495">
        <v>41310</v>
      </c>
    </row>
    <row r="496" spans="1:3">
      <c r="A496">
        <v>1125</v>
      </c>
      <c r="B496">
        <v>2422</v>
      </c>
      <c r="C496">
        <v>9316</v>
      </c>
    </row>
    <row r="497" spans="1:3">
      <c r="A497">
        <v>1126</v>
      </c>
      <c r="B497">
        <v>23</v>
      </c>
      <c r="C497">
        <v>69</v>
      </c>
    </row>
    <row r="498" spans="1:3">
      <c r="A498">
        <v>1127</v>
      </c>
      <c r="B498">
        <v>1800</v>
      </c>
      <c r="C498">
        <v>5400</v>
      </c>
    </row>
    <row r="499" spans="1:3">
      <c r="A499">
        <v>1128</v>
      </c>
      <c r="B499">
        <v>1224</v>
      </c>
      <c r="C499">
        <v>3672</v>
      </c>
    </row>
    <row r="500" spans="1:3">
      <c r="A500">
        <v>1130</v>
      </c>
      <c r="B500">
        <v>22161</v>
      </c>
      <c r="C500">
        <v>68597</v>
      </c>
    </row>
    <row r="501" spans="1:3">
      <c r="A501">
        <v>1131</v>
      </c>
      <c r="B501">
        <v>2922</v>
      </c>
      <c r="C501">
        <v>8830</v>
      </c>
    </row>
    <row r="502" spans="1:3">
      <c r="A502">
        <v>1134</v>
      </c>
      <c r="B502">
        <v>360</v>
      </c>
      <c r="C502">
        <v>441</v>
      </c>
    </row>
    <row r="503" spans="1:3">
      <c r="A503">
        <v>1135</v>
      </c>
      <c r="B503">
        <v>4053</v>
      </c>
      <c r="C503">
        <v>12159</v>
      </c>
    </row>
    <row r="504" spans="1:3">
      <c r="A504">
        <v>1137</v>
      </c>
      <c r="B504">
        <v>26574</v>
      </c>
      <c r="C504">
        <v>81197</v>
      </c>
    </row>
    <row r="505" spans="1:3">
      <c r="A505">
        <v>1138</v>
      </c>
      <c r="B505">
        <v>111630</v>
      </c>
      <c r="C505">
        <v>327802</v>
      </c>
    </row>
    <row r="506" spans="1:3">
      <c r="A506">
        <v>1139</v>
      </c>
      <c r="B506">
        <v>111630</v>
      </c>
      <c r="C506">
        <v>327802</v>
      </c>
    </row>
    <row r="507" spans="1:3">
      <c r="A507">
        <v>1140</v>
      </c>
      <c r="B507">
        <v>-27031</v>
      </c>
      <c r="C507">
        <v>-135127</v>
      </c>
    </row>
    <row r="508" spans="1:3">
      <c r="A508">
        <v>1141</v>
      </c>
      <c r="B508">
        <v>8015</v>
      </c>
      <c r="C508">
        <v>18646</v>
      </c>
    </row>
    <row r="509" spans="1:3">
      <c r="A509">
        <v>1143</v>
      </c>
      <c r="B509">
        <v>-19016</v>
      </c>
      <c r="C509">
        <v>-116481</v>
      </c>
    </row>
    <row r="510" spans="1:3">
      <c r="A510">
        <v>1144</v>
      </c>
      <c r="B510">
        <v>114007</v>
      </c>
      <c r="C510">
        <v>327870</v>
      </c>
    </row>
    <row r="511" spans="1:3">
      <c r="A511">
        <v>1145</v>
      </c>
      <c r="B511">
        <v>42959</v>
      </c>
      <c r="C511">
        <v>126513</v>
      </c>
    </row>
    <row r="512" spans="1:3">
      <c r="A512">
        <v>1146</v>
      </c>
      <c r="B512">
        <v>3242</v>
      </c>
      <c r="C512">
        <v>10023</v>
      </c>
    </row>
    <row r="513" spans="1:3">
      <c r="A513">
        <v>1147</v>
      </c>
      <c r="B513">
        <v>487</v>
      </c>
      <c r="C513">
        <v>1538</v>
      </c>
    </row>
    <row r="514" spans="1:3">
      <c r="A514">
        <v>1148</v>
      </c>
      <c r="B514">
        <v>11552</v>
      </c>
      <c r="C514">
        <v>33445</v>
      </c>
    </row>
    <row r="515" spans="1:3">
      <c r="A515">
        <v>1149</v>
      </c>
      <c r="B515">
        <v>4643</v>
      </c>
      <c r="C515">
        <v>12406</v>
      </c>
    </row>
    <row r="516" spans="1:3">
      <c r="A516">
        <v>1150</v>
      </c>
      <c r="B516">
        <v>1632</v>
      </c>
      <c r="C516">
        <v>6868</v>
      </c>
    </row>
    <row r="517" spans="1:3">
      <c r="A517">
        <v>1152</v>
      </c>
      <c r="B517">
        <v>1298</v>
      </c>
      <c r="C517">
        <v>3758</v>
      </c>
    </row>
    <row r="518" spans="1:3">
      <c r="A518">
        <v>1153</v>
      </c>
      <c r="B518">
        <v>2934</v>
      </c>
      <c r="C518">
        <v>8355</v>
      </c>
    </row>
    <row r="519" spans="1:3">
      <c r="A519">
        <v>1155</v>
      </c>
      <c r="B519">
        <v>25788</v>
      </c>
      <c r="C519">
        <v>76393</v>
      </c>
    </row>
    <row r="520" spans="1:3">
      <c r="A520">
        <v>1156</v>
      </c>
      <c r="B520">
        <v>-829</v>
      </c>
      <c r="C520">
        <v>-6293</v>
      </c>
    </row>
    <row r="521" spans="1:3">
      <c r="A521">
        <v>1157</v>
      </c>
      <c r="B521">
        <v>423</v>
      </c>
      <c r="C521">
        <v>999</v>
      </c>
    </row>
    <row r="522" spans="1:3">
      <c r="A522">
        <v>1158</v>
      </c>
      <c r="B522">
        <v>212</v>
      </c>
      <c r="C522">
        <v>686</v>
      </c>
    </row>
    <row r="523" spans="1:3">
      <c r="A523">
        <v>1160</v>
      </c>
      <c r="B523">
        <v>400</v>
      </c>
      <c r="C523">
        <v>626</v>
      </c>
    </row>
    <row r="524" spans="1:3">
      <c r="A524">
        <v>1163</v>
      </c>
      <c r="B524">
        <v>0</v>
      </c>
      <c r="C524">
        <v>435</v>
      </c>
    </row>
    <row r="525" spans="1:3">
      <c r="A525">
        <v>1164</v>
      </c>
      <c r="B525">
        <v>3084</v>
      </c>
      <c r="C525">
        <v>10064</v>
      </c>
    </row>
    <row r="526" spans="1:3">
      <c r="A526">
        <v>1165</v>
      </c>
      <c r="B526">
        <v>1631</v>
      </c>
      <c r="C526">
        <v>2122</v>
      </c>
    </row>
    <row r="527" spans="1:3">
      <c r="A527">
        <v>1166</v>
      </c>
      <c r="B527">
        <v>137</v>
      </c>
      <c r="C527">
        <v>421</v>
      </c>
    </row>
    <row r="528" spans="1:3">
      <c r="A528">
        <v>1167</v>
      </c>
      <c r="B528">
        <v>13</v>
      </c>
      <c r="C528">
        <v>13</v>
      </c>
    </row>
    <row r="529" spans="1:3">
      <c r="A529">
        <v>1168</v>
      </c>
      <c r="B529">
        <v>100</v>
      </c>
      <c r="C529">
        <v>100</v>
      </c>
    </row>
    <row r="530" spans="1:3">
      <c r="A530">
        <v>1169</v>
      </c>
      <c r="B530">
        <v>268</v>
      </c>
      <c r="C530">
        <v>528</v>
      </c>
    </row>
    <row r="531" spans="1:3">
      <c r="A531">
        <v>1170</v>
      </c>
      <c r="B531">
        <v>0</v>
      </c>
      <c r="C531">
        <v>13</v>
      </c>
    </row>
    <row r="532" spans="1:3">
      <c r="A532">
        <v>1171</v>
      </c>
      <c r="B532">
        <v>245</v>
      </c>
      <c r="C532">
        <v>912</v>
      </c>
    </row>
    <row r="533" spans="1:3">
      <c r="A533">
        <v>1173</v>
      </c>
      <c r="B533">
        <v>0</v>
      </c>
      <c r="C533">
        <v>6</v>
      </c>
    </row>
    <row r="534" spans="1:3">
      <c r="A534">
        <v>1174</v>
      </c>
      <c r="B534">
        <v>1039</v>
      </c>
      <c r="C534">
        <v>3004</v>
      </c>
    </row>
    <row r="535" spans="1:3">
      <c r="A535">
        <v>1175</v>
      </c>
      <c r="B535">
        <v>6723</v>
      </c>
      <c r="C535">
        <v>13636</v>
      </c>
    </row>
    <row r="536" spans="1:3">
      <c r="A536">
        <v>1176</v>
      </c>
      <c r="B536">
        <v>4590</v>
      </c>
      <c r="C536">
        <v>13770</v>
      </c>
    </row>
    <row r="537" spans="1:3">
      <c r="A537">
        <v>1178</v>
      </c>
      <c r="B537">
        <v>739</v>
      </c>
      <c r="C537">
        <v>5557</v>
      </c>
    </row>
    <row r="538" spans="1:3">
      <c r="A538">
        <v>1179</v>
      </c>
      <c r="B538">
        <v>8</v>
      </c>
      <c r="C538">
        <v>23</v>
      </c>
    </row>
    <row r="539" spans="1:3">
      <c r="A539">
        <v>1180</v>
      </c>
      <c r="B539">
        <v>600</v>
      </c>
      <c r="C539">
        <v>1800</v>
      </c>
    </row>
    <row r="540" spans="1:3">
      <c r="A540">
        <v>1181</v>
      </c>
      <c r="B540">
        <v>408</v>
      </c>
      <c r="C540">
        <v>1224</v>
      </c>
    </row>
    <row r="541" spans="1:3">
      <c r="A541">
        <v>1183</v>
      </c>
      <c r="B541">
        <v>7319</v>
      </c>
      <c r="C541">
        <v>25317</v>
      </c>
    </row>
    <row r="542" spans="1:3">
      <c r="A542">
        <v>1184</v>
      </c>
      <c r="B542">
        <v>974</v>
      </c>
      <c r="C542">
        <v>2943</v>
      </c>
    </row>
    <row r="543" spans="1:3">
      <c r="A543">
        <v>1187</v>
      </c>
      <c r="B543">
        <v>120</v>
      </c>
      <c r="C543">
        <v>1544</v>
      </c>
    </row>
    <row r="544" spans="1:3">
      <c r="A544">
        <v>1188</v>
      </c>
      <c r="B544">
        <v>1351</v>
      </c>
      <c r="C544">
        <v>4053</v>
      </c>
    </row>
    <row r="545" spans="1:3">
      <c r="A545">
        <v>1190</v>
      </c>
      <c r="B545">
        <v>8790</v>
      </c>
      <c r="C545">
        <v>30914</v>
      </c>
    </row>
    <row r="546" spans="1:3">
      <c r="A546">
        <v>1191</v>
      </c>
      <c r="B546">
        <v>41301</v>
      </c>
      <c r="C546">
        <v>120943</v>
      </c>
    </row>
    <row r="547" spans="1:3">
      <c r="A547">
        <v>1192</v>
      </c>
      <c r="B547">
        <v>41301</v>
      </c>
      <c r="C547">
        <v>120943</v>
      </c>
    </row>
    <row r="548" spans="1:3">
      <c r="A548">
        <v>1193</v>
      </c>
      <c r="B548">
        <v>1658</v>
      </c>
      <c r="C548">
        <v>5570</v>
      </c>
    </row>
    <row r="549" spans="1:3">
      <c r="A549">
        <v>1196</v>
      </c>
      <c r="B549">
        <v>1658</v>
      </c>
      <c r="C549">
        <v>5570</v>
      </c>
    </row>
    <row r="550" spans="1:3">
      <c r="A550">
        <v>1197</v>
      </c>
      <c r="B550">
        <v>161153</v>
      </c>
      <c r="C550">
        <v>492590</v>
      </c>
    </row>
    <row r="551" spans="1:3">
      <c r="A551">
        <v>1198</v>
      </c>
      <c r="B551">
        <v>48653</v>
      </c>
      <c r="C551">
        <v>158014</v>
      </c>
    </row>
    <row r="552" spans="1:3">
      <c r="A552">
        <v>1199</v>
      </c>
      <c r="B552">
        <v>3242</v>
      </c>
      <c r="C552">
        <v>9966</v>
      </c>
    </row>
    <row r="553" spans="1:3">
      <c r="A553">
        <v>1200</v>
      </c>
      <c r="B553">
        <v>642</v>
      </c>
      <c r="C553">
        <v>8393</v>
      </c>
    </row>
    <row r="554" spans="1:3">
      <c r="A554">
        <v>1201</v>
      </c>
      <c r="B554">
        <v>536</v>
      </c>
      <c r="C554">
        <v>710</v>
      </c>
    </row>
    <row r="555" spans="1:3">
      <c r="A555">
        <v>1202</v>
      </c>
      <c r="B555">
        <v>9839</v>
      </c>
      <c r="C555">
        <v>25841</v>
      </c>
    </row>
    <row r="556" spans="1:3">
      <c r="A556">
        <v>1203</v>
      </c>
      <c r="B556">
        <v>525</v>
      </c>
      <c r="C556">
        <v>2778</v>
      </c>
    </row>
    <row r="557" spans="1:3">
      <c r="A557">
        <v>1205</v>
      </c>
      <c r="B557">
        <v>506</v>
      </c>
      <c r="C557">
        <v>2057</v>
      </c>
    </row>
    <row r="558" spans="1:3">
      <c r="A558">
        <v>1206</v>
      </c>
      <c r="B558">
        <v>1445</v>
      </c>
      <c r="C558">
        <v>5112</v>
      </c>
    </row>
    <row r="559" spans="1:3">
      <c r="A559">
        <v>1208</v>
      </c>
      <c r="B559">
        <v>16735</v>
      </c>
      <c r="C559">
        <v>54857</v>
      </c>
    </row>
    <row r="560" spans="1:3">
      <c r="A560">
        <v>1209</v>
      </c>
      <c r="B560">
        <v>3740</v>
      </c>
      <c r="C560">
        <v>9559</v>
      </c>
    </row>
    <row r="561" spans="1:3">
      <c r="A561">
        <v>1210</v>
      </c>
      <c r="B561">
        <v>484</v>
      </c>
      <c r="C561">
        <v>795</v>
      </c>
    </row>
    <row r="562" spans="1:3">
      <c r="A562">
        <v>1211</v>
      </c>
      <c r="B562">
        <v>512</v>
      </c>
      <c r="C562">
        <v>1714</v>
      </c>
    </row>
    <row r="563" spans="1:3">
      <c r="A563">
        <v>1213</v>
      </c>
      <c r="B563">
        <v>900</v>
      </c>
      <c r="C563">
        <v>2266</v>
      </c>
    </row>
    <row r="564" spans="1:3">
      <c r="A564">
        <v>1216</v>
      </c>
      <c r="B564">
        <v>448</v>
      </c>
      <c r="C564">
        <v>1214</v>
      </c>
    </row>
    <row r="565" spans="1:3">
      <c r="A565">
        <v>1217</v>
      </c>
      <c r="B565">
        <v>2463</v>
      </c>
      <c r="C565">
        <v>6964</v>
      </c>
    </row>
    <row r="566" spans="1:3">
      <c r="A566">
        <v>1218</v>
      </c>
      <c r="B566">
        <v>336</v>
      </c>
      <c r="C566">
        <v>728</v>
      </c>
    </row>
    <row r="567" spans="1:3">
      <c r="A567">
        <v>1219</v>
      </c>
      <c r="B567">
        <v>137</v>
      </c>
      <c r="C567">
        <v>421</v>
      </c>
    </row>
    <row r="568" spans="1:3">
      <c r="A568">
        <v>1220</v>
      </c>
      <c r="B568">
        <v>13</v>
      </c>
      <c r="C568">
        <v>13</v>
      </c>
    </row>
    <row r="569" spans="1:3">
      <c r="A569">
        <v>1221</v>
      </c>
      <c r="B569">
        <v>100</v>
      </c>
      <c r="C569">
        <v>100</v>
      </c>
    </row>
    <row r="570" spans="1:3">
      <c r="A570">
        <v>1222</v>
      </c>
      <c r="B570">
        <v>49</v>
      </c>
      <c r="C570">
        <v>157</v>
      </c>
    </row>
    <row r="571" spans="1:3">
      <c r="A571">
        <v>1223</v>
      </c>
      <c r="B571">
        <v>230</v>
      </c>
      <c r="C571">
        <v>243</v>
      </c>
    </row>
    <row r="572" spans="1:3">
      <c r="A572">
        <v>1224</v>
      </c>
      <c r="B572">
        <v>245</v>
      </c>
      <c r="C572">
        <v>912</v>
      </c>
    </row>
    <row r="573" spans="1:3">
      <c r="A573">
        <v>1226</v>
      </c>
      <c r="B573">
        <v>203</v>
      </c>
      <c r="C573">
        <v>277</v>
      </c>
    </row>
    <row r="574" spans="1:3">
      <c r="A574">
        <v>1227</v>
      </c>
      <c r="B574">
        <v>0</v>
      </c>
      <c r="C574">
        <v>78</v>
      </c>
    </row>
    <row r="575" spans="1:3">
      <c r="A575">
        <v>1228</v>
      </c>
      <c r="B575">
        <v>9860</v>
      </c>
      <c r="C575">
        <v>25441</v>
      </c>
    </row>
    <row r="576" spans="1:3">
      <c r="A576">
        <v>1229</v>
      </c>
      <c r="B576">
        <v>4590</v>
      </c>
      <c r="C576">
        <v>13770</v>
      </c>
    </row>
    <row r="577" spans="1:3">
      <c r="A577">
        <v>1231</v>
      </c>
      <c r="B577">
        <v>739</v>
      </c>
      <c r="C577">
        <v>2717</v>
      </c>
    </row>
    <row r="578" spans="1:3">
      <c r="A578">
        <v>1232</v>
      </c>
      <c r="B578">
        <v>8</v>
      </c>
      <c r="C578">
        <v>23</v>
      </c>
    </row>
    <row r="579" spans="1:3">
      <c r="A579">
        <v>1233</v>
      </c>
      <c r="B579">
        <v>600</v>
      </c>
      <c r="C579">
        <v>1800</v>
      </c>
    </row>
    <row r="580" spans="1:3">
      <c r="A580">
        <v>1234</v>
      </c>
      <c r="B580">
        <v>408</v>
      </c>
      <c r="C580">
        <v>1224</v>
      </c>
    </row>
    <row r="581" spans="1:3">
      <c r="A581">
        <v>1236</v>
      </c>
      <c r="B581">
        <v>7319</v>
      </c>
      <c r="C581">
        <v>22477</v>
      </c>
    </row>
    <row r="582" spans="1:3">
      <c r="A582">
        <v>1237</v>
      </c>
      <c r="B582">
        <v>974</v>
      </c>
      <c r="C582">
        <v>2943</v>
      </c>
    </row>
    <row r="583" spans="1:3">
      <c r="A583">
        <v>1240</v>
      </c>
      <c r="B583">
        <v>120</v>
      </c>
      <c r="C583">
        <v>147</v>
      </c>
    </row>
    <row r="584" spans="1:3">
      <c r="A584">
        <v>1241</v>
      </c>
      <c r="B584">
        <v>1351</v>
      </c>
      <c r="C584">
        <v>4053</v>
      </c>
    </row>
    <row r="585" spans="1:3">
      <c r="A585">
        <v>1243</v>
      </c>
      <c r="B585">
        <v>8790</v>
      </c>
      <c r="C585">
        <v>26677</v>
      </c>
    </row>
    <row r="586" spans="1:3">
      <c r="A586">
        <v>1244</v>
      </c>
      <c r="B586">
        <v>35385</v>
      </c>
      <c r="C586">
        <v>106975</v>
      </c>
    </row>
    <row r="587" spans="1:3">
      <c r="A587">
        <v>1245</v>
      </c>
      <c r="B587">
        <v>35385</v>
      </c>
      <c r="C587">
        <v>106975</v>
      </c>
    </row>
    <row r="588" spans="1:3">
      <c r="A588">
        <v>1246</v>
      </c>
      <c r="B588">
        <v>13268</v>
      </c>
      <c r="C588">
        <v>51039</v>
      </c>
    </row>
    <row r="589" spans="1:3">
      <c r="A589">
        <v>1247</v>
      </c>
      <c r="B589">
        <v>-8015</v>
      </c>
      <c r="C589">
        <v>-18646</v>
      </c>
    </row>
    <row r="590" spans="1:3">
      <c r="A590">
        <v>1249</v>
      </c>
      <c r="B590">
        <v>5253</v>
      </c>
      <c r="C590">
        <v>32393</v>
      </c>
    </row>
    <row r="591" spans="1:3">
      <c r="A591">
        <v>1299</v>
      </c>
      <c r="B591">
        <v>1806</v>
      </c>
      <c r="C591">
        <v>4038</v>
      </c>
    </row>
    <row r="592" spans="1:3">
      <c r="A592">
        <v>1300</v>
      </c>
      <c r="B592">
        <v>6</v>
      </c>
      <c r="C592">
        <v>-6</v>
      </c>
    </row>
    <row r="593" spans="1:3">
      <c r="A593">
        <v>1305</v>
      </c>
      <c r="B593">
        <v>0</v>
      </c>
      <c r="C593">
        <v>33144</v>
      </c>
    </row>
    <row r="594" spans="1:3">
      <c r="A594">
        <v>1309</v>
      </c>
      <c r="B594">
        <v>0</v>
      </c>
      <c r="C594">
        <v>33144</v>
      </c>
    </row>
    <row r="595" spans="1:3">
      <c r="A595">
        <v>1310</v>
      </c>
      <c r="B595">
        <v>939676</v>
      </c>
      <c r="C595">
        <v>1928292</v>
      </c>
    </row>
    <row r="596" spans="1:3">
      <c r="A596">
        <v>1312</v>
      </c>
      <c r="B596">
        <v>835717</v>
      </c>
      <c r="C596">
        <v>1707178</v>
      </c>
    </row>
    <row r="597" spans="1:3">
      <c r="A597">
        <v>1314</v>
      </c>
      <c r="B597">
        <v>1775393</v>
      </c>
      <c r="C597">
        <v>3635470</v>
      </c>
    </row>
    <row r="598" spans="1:3">
      <c r="A598">
        <v>1316</v>
      </c>
      <c r="B598">
        <v>1775393</v>
      </c>
      <c r="C598">
        <v>3668614</v>
      </c>
    </row>
    <row r="599" spans="1:3">
      <c r="A599">
        <v>1317</v>
      </c>
      <c r="B599">
        <v>0</v>
      </c>
      <c r="C599">
        <v>-1856</v>
      </c>
    </row>
    <row r="600" spans="1:3">
      <c r="A600">
        <v>1321</v>
      </c>
      <c r="B600">
        <v>0</v>
      </c>
      <c r="C600">
        <v>-1856</v>
      </c>
    </row>
    <row r="601" spans="1:3">
      <c r="A601">
        <v>1322</v>
      </c>
      <c r="B601">
        <v>27269</v>
      </c>
      <c r="C601">
        <v>75716</v>
      </c>
    </row>
    <row r="602" spans="1:3">
      <c r="A602">
        <v>1324</v>
      </c>
      <c r="B602">
        <v>4400</v>
      </c>
      <c r="C602">
        <v>8005</v>
      </c>
    </row>
    <row r="603" spans="1:3">
      <c r="A603">
        <v>1326</v>
      </c>
      <c r="B603">
        <v>31669</v>
      </c>
      <c r="C603">
        <v>83721</v>
      </c>
    </row>
    <row r="604" spans="1:3">
      <c r="A604">
        <v>1328</v>
      </c>
      <c r="B604">
        <v>31669</v>
      </c>
      <c r="C604">
        <v>81865</v>
      </c>
    </row>
    <row r="605" spans="1:3">
      <c r="A605">
        <v>1334</v>
      </c>
      <c r="B605">
        <v>137958</v>
      </c>
      <c r="C605">
        <v>576629</v>
      </c>
    </row>
    <row r="606" spans="1:3">
      <c r="A606">
        <v>1338</v>
      </c>
      <c r="B606">
        <v>137958</v>
      </c>
      <c r="C606">
        <v>576629</v>
      </c>
    </row>
    <row r="607" spans="1:3">
      <c r="A607">
        <v>1340</v>
      </c>
      <c r="B607">
        <v>137958</v>
      </c>
      <c r="C607">
        <v>576629</v>
      </c>
    </row>
    <row r="608" spans="1:3">
      <c r="A608">
        <v>1346</v>
      </c>
      <c r="B608">
        <v>5857</v>
      </c>
      <c r="C608">
        <v>17349</v>
      </c>
    </row>
    <row r="609" spans="1:3">
      <c r="A609">
        <v>1350</v>
      </c>
      <c r="B609">
        <v>5857</v>
      </c>
      <c r="C609">
        <v>17349</v>
      </c>
    </row>
    <row r="610" spans="1:3">
      <c r="A610">
        <v>1352</v>
      </c>
      <c r="B610">
        <v>5857</v>
      </c>
      <c r="C610">
        <v>17349</v>
      </c>
    </row>
    <row r="611" spans="1:3">
      <c r="A611">
        <v>1382</v>
      </c>
      <c r="B611">
        <v>209563</v>
      </c>
      <c r="C611">
        <v>436990</v>
      </c>
    </row>
    <row r="612" spans="1:3">
      <c r="A612">
        <v>1386</v>
      </c>
      <c r="B612">
        <v>209563</v>
      </c>
      <c r="C612">
        <v>436990</v>
      </c>
    </row>
    <row r="613" spans="1:3">
      <c r="A613">
        <v>1388</v>
      </c>
      <c r="B613">
        <v>209563</v>
      </c>
      <c r="C613">
        <v>436990</v>
      </c>
    </row>
    <row r="614" spans="1:3">
      <c r="A614">
        <v>1394</v>
      </c>
      <c r="B614">
        <v>4584</v>
      </c>
      <c r="C614">
        <v>8748</v>
      </c>
    </row>
    <row r="615" spans="1:3">
      <c r="A615">
        <v>1398</v>
      </c>
      <c r="B615">
        <v>4584</v>
      </c>
      <c r="C615">
        <v>8748</v>
      </c>
    </row>
    <row r="616" spans="1:3">
      <c r="A616">
        <v>1400</v>
      </c>
      <c r="B616">
        <v>4584</v>
      </c>
      <c r="C616">
        <v>8748</v>
      </c>
    </row>
    <row r="617" spans="1:3">
      <c r="A617">
        <v>1406</v>
      </c>
      <c r="B617">
        <v>1036824</v>
      </c>
      <c r="C617">
        <v>3228314</v>
      </c>
    </row>
    <row r="618" spans="1:3">
      <c r="A618">
        <v>1410</v>
      </c>
      <c r="B618">
        <v>1036824</v>
      </c>
      <c r="C618">
        <v>3228314</v>
      </c>
    </row>
    <row r="619" spans="1:3">
      <c r="A619">
        <v>1412</v>
      </c>
      <c r="B619">
        <v>1036824</v>
      </c>
      <c r="C619">
        <v>3228314</v>
      </c>
    </row>
    <row r="620" spans="1:3">
      <c r="A620">
        <v>1418</v>
      </c>
      <c r="B620">
        <v>39780</v>
      </c>
      <c r="C620">
        <v>124857</v>
      </c>
    </row>
    <row r="621" spans="1:3">
      <c r="A621">
        <v>1422</v>
      </c>
      <c r="B621">
        <v>39780</v>
      </c>
      <c r="C621">
        <v>124857</v>
      </c>
    </row>
    <row r="622" spans="1:3">
      <c r="A622">
        <v>1424</v>
      </c>
      <c r="B622">
        <v>39780</v>
      </c>
      <c r="C622">
        <v>124857</v>
      </c>
    </row>
    <row r="623" spans="1:3">
      <c r="A623">
        <v>1430</v>
      </c>
      <c r="B623">
        <v>356000</v>
      </c>
      <c r="C623">
        <v>431661</v>
      </c>
    </row>
    <row r="624" spans="1:3">
      <c r="A624">
        <v>1434</v>
      </c>
      <c r="B624">
        <v>356000</v>
      </c>
      <c r="C624">
        <v>431661</v>
      </c>
    </row>
    <row r="625" spans="1:3">
      <c r="A625">
        <v>1436</v>
      </c>
      <c r="B625">
        <v>356000</v>
      </c>
      <c r="C625">
        <v>431661</v>
      </c>
    </row>
    <row r="626" spans="1:3">
      <c r="A626">
        <v>1442</v>
      </c>
      <c r="B626">
        <v>14415</v>
      </c>
      <c r="C626">
        <v>17825</v>
      </c>
    </row>
    <row r="627" spans="1:3">
      <c r="A627">
        <v>1446</v>
      </c>
      <c r="B627">
        <v>14415</v>
      </c>
      <c r="C627">
        <v>17825</v>
      </c>
    </row>
    <row r="628" spans="1:3">
      <c r="A628">
        <v>1448</v>
      </c>
      <c r="B628">
        <v>14415</v>
      </c>
      <c r="C628">
        <v>17825</v>
      </c>
    </row>
    <row r="629" spans="1:3">
      <c r="A629">
        <v>1454</v>
      </c>
      <c r="B629">
        <v>0</v>
      </c>
      <c r="C629">
        <v>613353</v>
      </c>
    </row>
    <row r="630" spans="1:3">
      <c r="A630">
        <v>1458</v>
      </c>
      <c r="B630">
        <v>0</v>
      </c>
      <c r="C630">
        <v>613353</v>
      </c>
    </row>
    <row r="631" spans="1:3">
      <c r="A631">
        <v>1460</v>
      </c>
      <c r="B631">
        <v>0</v>
      </c>
      <c r="C631">
        <v>613353</v>
      </c>
    </row>
    <row r="632" spans="1:3">
      <c r="A632">
        <v>1466</v>
      </c>
      <c r="B632">
        <v>184</v>
      </c>
      <c r="C632">
        <v>37306</v>
      </c>
    </row>
    <row r="633" spans="1:3">
      <c r="A633">
        <v>1470</v>
      </c>
      <c r="B633">
        <v>184</v>
      </c>
      <c r="C633">
        <v>37306</v>
      </c>
    </row>
    <row r="634" spans="1:3">
      <c r="A634">
        <v>1472</v>
      </c>
      <c r="B634">
        <v>184</v>
      </c>
      <c r="C634">
        <v>37306</v>
      </c>
    </row>
    <row r="635" spans="1:3">
      <c r="A635">
        <v>1478</v>
      </c>
      <c r="B635">
        <v>1592940</v>
      </c>
      <c r="C635">
        <v>3214138</v>
      </c>
    </row>
    <row r="636" spans="1:3">
      <c r="A636">
        <v>1482</v>
      </c>
      <c r="B636">
        <v>1592940</v>
      </c>
      <c r="C636">
        <v>3214138</v>
      </c>
    </row>
    <row r="637" spans="1:3">
      <c r="A637">
        <v>1484</v>
      </c>
      <c r="B637">
        <v>1592940</v>
      </c>
      <c r="C637">
        <v>3214138</v>
      </c>
    </row>
    <row r="638" spans="1:3">
      <c r="A638">
        <v>1490</v>
      </c>
      <c r="B638">
        <v>71240</v>
      </c>
      <c r="C638">
        <v>130858</v>
      </c>
    </row>
    <row r="639" spans="1:3">
      <c r="A639">
        <v>1494</v>
      </c>
      <c r="B639">
        <v>71240</v>
      </c>
      <c r="C639">
        <v>130858</v>
      </c>
    </row>
    <row r="640" spans="1:3">
      <c r="A640">
        <v>1496</v>
      </c>
      <c r="B640">
        <v>71240</v>
      </c>
      <c r="C640">
        <v>130858</v>
      </c>
    </row>
    <row r="641" spans="1:3">
      <c r="A641">
        <v>1546</v>
      </c>
      <c r="B641">
        <v>160644</v>
      </c>
      <c r="C641">
        <v>361402</v>
      </c>
    </row>
    <row r="642" spans="1:3">
      <c r="A642">
        <v>1548</v>
      </c>
      <c r="B642">
        <v>361950</v>
      </c>
      <c r="C642">
        <v>723547</v>
      </c>
    </row>
    <row r="643" spans="1:3">
      <c r="A643">
        <v>1549</v>
      </c>
      <c r="B643">
        <v>522594</v>
      </c>
      <c r="C643">
        <v>1084949</v>
      </c>
    </row>
    <row r="644" spans="1:3">
      <c r="A644">
        <v>1550</v>
      </c>
      <c r="B644">
        <v>1613986</v>
      </c>
      <c r="C644">
        <v>4963027</v>
      </c>
    </row>
    <row r="645" spans="1:3">
      <c r="A645">
        <v>1552</v>
      </c>
      <c r="B645">
        <v>64852</v>
      </c>
      <c r="C645">
        <v>134302</v>
      </c>
    </row>
    <row r="646" spans="1:3">
      <c r="A646">
        <v>1554</v>
      </c>
      <c r="B646">
        <v>1678838</v>
      </c>
      <c r="C646">
        <v>5097329</v>
      </c>
    </row>
    <row r="647" spans="1:3">
      <c r="A647">
        <v>1555</v>
      </c>
      <c r="B647">
        <v>3379692</v>
      </c>
      <c r="C647">
        <v>4953338</v>
      </c>
    </row>
    <row r="648" spans="1:3">
      <c r="A648">
        <v>1557</v>
      </c>
      <c r="B648">
        <v>10689802</v>
      </c>
      <c r="C648">
        <v>23305315</v>
      </c>
    </row>
    <row r="649" spans="1:3">
      <c r="A649">
        <v>1558</v>
      </c>
      <c r="B649">
        <v>53975</v>
      </c>
      <c r="C649">
        <v>125894</v>
      </c>
    </row>
    <row r="650" spans="1:3">
      <c r="A650">
        <v>1559</v>
      </c>
      <c r="B650">
        <v>10743777</v>
      </c>
      <c r="C650">
        <v>23431209</v>
      </c>
    </row>
    <row r="651" spans="1:3">
      <c r="A651">
        <v>1561</v>
      </c>
      <c r="B651">
        <v>4617</v>
      </c>
      <c r="C651">
        <v>14910</v>
      </c>
    </row>
    <row r="652" spans="1:3">
      <c r="A652">
        <v>1563</v>
      </c>
      <c r="B652">
        <v>18667</v>
      </c>
      <c r="C652">
        <v>39155</v>
      </c>
    </row>
    <row r="653" spans="1:3">
      <c r="A653">
        <v>1564</v>
      </c>
      <c r="B653">
        <v>23284</v>
      </c>
      <c r="C653">
        <v>54065</v>
      </c>
    </row>
    <row r="654" spans="1:3">
      <c r="A654">
        <v>1565</v>
      </c>
      <c r="B654">
        <v>59961</v>
      </c>
      <c r="C654">
        <v>208970</v>
      </c>
    </row>
    <row r="655" spans="1:3">
      <c r="A655">
        <v>1567</v>
      </c>
      <c r="B655">
        <v>5550</v>
      </c>
      <c r="C655">
        <v>4700</v>
      </c>
    </row>
    <row r="656" spans="1:3">
      <c r="A656">
        <v>1569</v>
      </c>
      <c r="B656">
        <v>65511</v>
      </c>
      <c r="C656">
        <v>213670</v>
      </c>
    </row>
    <row r="657" spans="1:3">
      <c r="A657">
        <v>1570</v>
      </c>
      <c r="B657">
        <v>190246</v>
      </c>
      <c r="C657">
        <v>302699</v>
      </c>
    </row>
    <row r="658" spans="1:3">
      <c r="A658">
        <v>1572</v>
      </c>
      <c r="B658">
        <v>446770</v>
      </c>
      <c r="C658">
        <v>989242</v>
      </c>
    </row>
    <row r="659" spans="1:3">
      <c r="A659">
        <v>1573</v>
      </c>
      <c r="B659">
        <v>19488</v>
      </c>
      <c r="C659">
        <v>44353</v>
      </c>
    </row>
    <row r="660" spans="1:3">
      <c r="A660">
        <v>1575</v>
      </c>
      <c r="B660">
        <v>466258</v>
      </c>
      <c r="C660">
        <v>1033595</v>
      </c>
    </row>
    <row r="661" spans="1:3">
      <c r="A661">
        <v>1576</v>
      </c>
      <c r="B661">
        <v>48576</v>
      </c>
      <c r="C661">
        <v>116301</v>
      </c>
    </row>
    <row r="662" spans="1:3">
      <c r="A662">
        <v>1582</v>
      </c>
      <c r="B662">
        <v>21810</v>
      </c>
      <c r="C662">
        <v>68381</v>
      </c>
    </row>
    <row r="663" spans="1:3">
      <c r="A663">
        <v>1583</v>
      </c>
      <c r="B663">
        <v>55446</v>
      </c>
      <c r="C663">
        <v>133249</v>
      </c>
    </row>
    <row r="664" spans="1:3">
      <c r="A664">
        <v>1585</v>
      </c>
      <c r="B664">
        <v>125832</v>
      </c>
      <c r="C664">
        <v>317931</v>
      </c>
    </row>
    <row r="665" spans="1:3">
      <c r="A665">
        <v>1586</v>
      </c>
      <c r="B665">
        <v>2501</v>
      </c>
      <c r="C665">
        <v>5418</v>
      </c>
    </row>
    <row r="666" spans="1:3">
      <c r="A666">
        <v>1587</v>
      </c>
      <c r="B666">
        <v>6806</v>
      </c>
      <c r="C666">
        <v>18002</v>
      </c>
    </row>
    <row r="667" spans="1:3">
      <c r="A667">
        <v>1589</v>
      </c>
      <c r="B667">
        <v>13678</v>
      </c>
      <c r="C667">
        <v>35218</v>
      </c>
    </row>
    <row r="668" spans="1:3">
      <c r="A668">
        <v>1590</v>
      </c>
      <c r="B668">
        <v>25983</v>
      </c>
      <c r="C668">
        <v>70367</v>
      </c>
    </row>
    <row r="669" spans="1:3">
      <c r="A669">
        <v>1592</v>
      </c>
      <c r="B669">
        <v>1614</v>
      </c>
      <c r="C669">
        <v>20328</v>
      </c>
    </row>
    <row r="670" spans="1:3">
      <c r="A670">
        <v>1593</v>
      </c>
      <c r="B670">
        <v>41275</v>
      </c>
      <c r="C670">
        <v>125913</v>
      </c>
    </row>
    <row r="671" spans="1:3">
      <c r="A671">
        <v>1594</v>
      </c>
      <c r="B671">
        <v>62583</v>
      </c>
      <c r="C671">
        <v>174715</v>
      </c>
    </row>
    <row r="672" spans="1:3">
      <c r="A672">
        <v>1595</v>
      </c>
      <c r="B672">
        <v>10149</v>
      </c>
      <c r="C672">
        <v>27242</v>
      </c>
    </row>
    <row r="673" spans="1:3">
      <c r="A673">
        <v>1597</v>
      </c>
      <c r="B673">
        <v>249146</v>
      </c>
      <c r="C673">
        <v>669221</v>
      </c>
    </row>
    <row r="674" spans="1:3">
      <c r="A674">
        <v>1598</v>
      </c>
      <c r="B674">
        <v>21907</v>
      </c>
      <c r="C674">
        <v>75449</v>
      </c>
    </row>
    <row r="675" spans="1:3">
      <c r="A675">
        <v>1599</v>
      </c>
      <c r="B675">
        <v>41477</v>
      </c>
      <c r="C675">
        <v>90634</v>
      </c>
    </row>
    <row r="676" spans="1:3">
      <c r="A676">
        <v>1603</v>
      </c>
      <c r="B676">
        <v>44067</v>
      </c>
      <c r="C676">
        <v>126319</v>
      </c>
    </row>
    <row r="677" spans="1:3">
      <c r="A677">
        <v>1604</v>
      </c>
      <c r="B677">
        <v>10292</v>
      </c>
      <c r="C677">
        <v>30922</v>
      </c>
    </row>
    <row r="678" spans="1:3">
      <c r="A678">
        <v>1605</v>
      </c>
      <c r="B678">
        <v>19809</v>
      </c>
      <c r="C678">
        <v>78575</v>
      </c>
    </row>
    <row r="679" spans="1:3">
      <c r="A679">
        <v>1607</v>
      </c>
      <c r="B679">
        <v>137552</v>
      </c>
      <c r="C679">
        <v>401899</v>
      </c>
    </row>
    <row r="680" spans="1:3">
      <c r="A680">
        <v>1608</v>
      </c>
      <c r="B680">
        <v>17799</v>
      </c>
      <c r="C680">
        <v>75031</v>
      </c>
    </row>
    <row r="681" spans="1:3">
      <c r="A681">
        <v>1609</v>
      </c>
      <c r="B681">
        <v>5802</v>
      </c>
      <c r="C681">
        <v>15660</v>
      </c>
    </row>
    <row r="682" spans="1:3">
      <c r="A682">
        <v>1611</v>
      </c>
      <c r="B682">
        <v>23601</v>
      </c>
      <c r="C682">
        <v>90691</v>
      </c>
    </row>
    <row r="683" spans="1:3">
      <c r="A683">
        <v>1613</v>
      </c>
      <c r="B683">
        <v>410299</v>
      </c>
      <c r="C683">
        <v>1161811</v>
      </c>
    </row>
    <row r="684" spans="1:3">
      <c r="A684">
        <v>1614</v>
      </c>
      <c r="B684">
        <v>11154076</v>
      </c>
      <c r="C684">
        <v>24593020</v>
      </c>
    </row>
    <row r="685" spans="1:3">
      <c r="A685">
        <v>1615</v>
      </c>
      <c r="B685">
        <v>26670</v>
      </c>
      <c r="C685">
        <v>63127</v>
      </c>
    </row>
    <row r="686" spans="1:3">
      <c r="A686">
        <v>1621</v>
      </c>
      <c r="B686">
        <v>6930</v>
      </c>
      <c r="C686">
        <v>23925</v>
      </c>
    </row>
    <row r="687" spans="1:3">
      <c r="A687">
        <v>1622</v>
      </c>
      <c r="B687">
        <v>31791</v>
      </c>
      <c r="C687">
        <v>71872</v>
      </c>
    </row>
    <row r="688" spans="1:3">
      <c r="A688">
        <v>1624</v>
      </c>
      <c r="B688">
        <v>15023</v>
      </c>
      <c r="C688">
        <v>27509</v>
      </c>
    </row>
    <row r="689" spans="1:3">
      <c r="A689">
        <v>1625</v>
      </c>
      <c r="B689">
        <v>80414</v>
      </c>
      <c r="C689">
        <v>186433</v>
      </c>
    </row>
    <row r="690" spans="1:3">
      <c r="A690">
        <v>1626</v>
      </c>
      <c r="B690">
        <v>2614</v>
      </c>
      <c r="C690">
        <v>2925</v>
      </c>
    </row>
    <row r="691" spans="1:3">
      <c r="A691">
        <v>1627</v>
      </c>
      <c r="B691">
        <v>1571</v>
      </c>
      <c r="C691">
        <v>3317</v>
      </c>
    </row>
    <row r="692" spans="1:3">
      <c r="A692">
        <v>1629</v>
      </c>
      <c r="B692">
        <v>9991</v>
      </c>
      <c r="C692">
        <v>25770</v>
      </c>
    </row>
    <row r="693" spans="1:3">
      <c r="A693">
        <v>1630</v>
      </c>
      <c r="B693">
        <v>18788</v>
      </c>
      <c r="C693">
        <v>49422</v>
      </c>
    </row>
    <row r="694" spans="1:3">
      <c r="A694">
        <v>1632</v>
      </c>
      <c r="B694">
        <v>969</v>
      </c>
      <c r="C694">
        <v>6634</v>
      </c>
    </row>
    <row r="695" spans="1:3">
      <c r="A695">
        <v>1633</v>
      </c>
      <c r="B695">
        <v>-5167</v>
      </c>
      <c r="C695">
        <v>-2217</v>
      </c>
    </row>
    <row r="696" spans="1:3">
      <c r="A696">
        <v>1634</v>
      </c>
      <c r="B696">
        <v>24581</v>
      </c>
      <c r="C696">
        <v>79609</v>
      </c>
    </row>
    <row r="697" spans="1:3">
      <c r="A697">
        <v>1635</v>
      </c>
      <c r="B697">
        <v>15895</v>
      </c>
      <c r="C697">
        <v>40681</v>
      </c>
    </row>
    <row r="698" spans="1:3">
      <c r="A698">
        <v>1636</v>
      </c>
      <c r="B698">
        <v>2483</v>
      </c>
      <c r="C698">
        <v>6223</v>
      </c>
    </row>
    <row r="699" spans="1:3">
      <c r="A699">
        <v>1638</v>
      </c>
      <c r="B699">
        <v>127558</v>
      </c>
      <c r="C699">
        <v>319188</v>
      </c>
    </row>
    <row r="700" spans="1:3">
      <c r="A700">
        <v>1639</v>
      </c>
      <c r="B700">
        <v>6638</v>
      </c>
      <c r="C700">
        <v>20706</v>
      </c>
    </row>
    <row r="701" spans="1:3">
      <c r="A701">
        <v>1640</v>
      </c>
      <c r="B701">
        <v>16029</v>
      </c>
      <c r="C701">
        <v>37291</v>
      </c>
    </row>
    <row r="702" spans="1:3">
      <c r="A702">
        <v>1644</v>
      </c>
      <c r="B702">
        <v>12533</v>
      </c>
      <c r="C702">
        <v>37062</v>
      </c>
    </row>
    <row r="703" spans="1:3">
      <c r="A703">
        <v>1645</v>
      </c>
      <c r="B703">
        <v>3635</v>
      </c>
      <c r="C703">
        <v>10905</v>
      </c>
    </row>
    <row r="704" spans="1:3">
      <c r="A704">
        <v>1646</v>
      </c>
      <c r="B704">
        <v>4196</v>
      </c>
      <c r="C704">
        <v>18059</v>
      </c>
    </row>
    <row r="705" spans="1:3">
      <c r="A705">
        <v>1648</v>
      </c>
      <c r="B705">
        <v>861</v>
      </c>
      <c r="C705">
        <v>10669</v>
      </c>
    </row>
    <row r="706" spans="1:3">
      <c r="A706">
        <v>1649</v>
      </c>
      <c r="B706">
        <v>0</v>
      </c>
      <c r="C706">
        <v>1525</v>
      </c>
    </row>
    <row r="707" spans="1:3">
      <c r="A707">
        <v>1650</v>
      </c>
      <c r="B707">
        <v>43892</v>
      </c>
      <c r="C707">
        <v>136217</v>
      </c>
    </row>
    <row r="708" spans="1:3">
      <c r="A708">
        <v>1651</v>
      </c>
      <c r="B708">
        <v>3860</v>
      </c>
      <c r="C708">
        <v>17910</v>
      </c>
    </row>
    <row r="709" spans="1:3">
      <c r="A709">
        <v>1652</v>
      </c>
      <c r="B709">
        <v>901</v>
      </c>
      <c r="C709">
        <v>3887</v>
      </c>
    </row>
    <row r="710" spans="1:3">
      <c r="A710">
        <v>1654</v>
      </c>
      <c r="B710">
        <v>4761</v>
      </c>
      <c r="C710">
        <v>21797</v>
      </c>
    </row>
    <row r="711" spans="1:3">
      <c r="A711">
        <v>1656</v>
      </c>
      <c r="B711">
        <v>176211</v>
      </c>
      <c r="C711">
        <v>477202</v>
      </c>
    </row>
    <row r="712" spans="1:3">
      <c r="A712">
        <v>1657</v>
      </c>
      <c r="B712">
        <v>642469</v>
      </c>
      <c r="C712">
        <v>1510797</v>
      </c>
    </row>
    <row r="713" spans="1:3">
      <c r="A713">
        <v>1659</v>
      </c>
      <c r="B713">
        <v>37341</v>
      </c>
      <c r="C713">
        <v>85359</v>
      </c>
    </row>
    <row r="714" spans="1:3">
      <c r="A714">
        <v>1660</v>
      </c>
      <c r="B714">
        <v>8170</v>
      </c>
      <c r="C714">
        <v>14360</v>
      </c>
    </row>
    <row r="715" spans="1:3">
      <c r="A715">
        <v>1661</v>
      </c>
      <c r="B715">
        <v>45511</v>
      </c>
      <c r="C715">
        <v>100951</v>
      </c>
    </row>
    <row r="716" spans="1:3">
      <c r="A716">
        <v>1663</v>
      </c>
      <c r="B716">
        <v>6024</v>
      </c>
      <c r="C716">
        <v>23125</v>
      </c>
    </row>
    <row r="717" spans="1:3">
      <c r="A717">
        <v>1665</v>
      </c>
      <c r="B717">
        <v>8464</v>
      </c>
      <c r="C717">
        <v>24943</v>
      </c>
    </row>
    <row r="718" spans="1:3">
      <c r="A718">
        <v>1666</v>
      </c>
      <c r="B718">
        <v>53975</v>
      </c>
      <c r="C718">
        <v>125894</v>
      </c>
    </row>
    <row r="719" spans="1:3">
      <c r="A719">
        <v>1668</v>
      </c>
      <c r="B719">
        <v>0</v>
      </c>
      <c r="C719">
        <v>1232</v>
      </c>
    </row>
    <row r="720" spans="1:3">
      <c r="A720">
        <v>1671</v>
      </c>
      <c r="B720">
        <v>20322</v>
      </c>
      <c r="C720">
        <v>41158</v>
      </c>
    </row>
    <row r="721" spans="1:3">
      <c r="A721">
        <v>1672</v>
      </c>
      <c r="B721">
        <v>4398</v>
      </c>
      <c r="C721">
        <v>8017</v>
      </c>
    </row>
    <row r="722" spans="1:3">
      <c r="A722">
        <v>1674</v>
      </c>
      <c r="B722">
        <v>8439</v>
      </c>
      <c r="C722">
        <v>15752</v>
      </c>
    </row>
    <row r="723" spans="1:3">
      <c r="A723">
        <v>1675</v>
      </c>
      <c r="B723">
        <v>16281</v>
      </c>
      <c r="C723">
        <v>34655</v>
      </c>
    </row>
    <row r="724" spans="1:3">
      <c r="A724">
        <v>1676</v>
      </c>
      <c r="B724">
        <v>2440</v>
      </c>
      <c r="C724">
        <v>1818</v>
      </c>
    </row>
    <row r="725" spans="1:3">
      <c r="A725">
        <v>1680</v>
      </c>
      <c r="B725">
        <v>3525</v>
      </c>
      <c r="C725">
        <v>13131</v>
      </c>
    </row>
    <row r="726" spans="1:3">
      <c r="A726">
        <v>1683</v>
      </c>
      <c r="B726">
        <v>2758</v>
      </c>
      <c r="C726">
        <v>5251</v>
      </c>
    </row>
    <row r="727" spans="1:3">
      <c r="A727">
        <v>1684</v>
      </c>
      <c r="B727">
        <v>3207</v>
      </c>
      <c r="C727">
        <v>9698</v>
      </c>
    </row>
    <row r="728" spans="1:3">
      <c r="A728">
        <v>1685</v>
      </c>
      <c r="B728">
        <v>19488</v>
      </c>
      <c r="C728">
        <v>44353</v>
      </c>
    </row>
    <row r="729" spans="1:3">
      <c r="A729">
        <v>1761</v>
      </c>
      <c r="B729">
        <v>1021862</v>
      </c>
      <c r="C729">
        <v>1021862</v>
      </c>
    </row>
    <row r="730" spans="1:3">
      <c r="A730">
        <v>1762</v>
      </c>
      <c r="B730">
        <v>-341062</v>
      </c>
      <c r="C730">
        <v>-341062</v>
      </c>
    </row>
    <row r="731" spans="1:3">
      <c r="A731">
        <v>7456</v>
      </c>
      <c r="B731">
        <v>172</v>
      </c>
      <c r="C731">
        <v>496</v>
      </c>
    </row>
    <row r="732" spans="1:3">
      <c r="A732">
        <v>7459</v>
      </c>
      <c r="B732">
        <v>301</v>
      </c>
      <c r="C732">
        <v>785</v>
      </c>
    </row>
    <row r="733" spans="1:3">
      <c r="A733">
        <v>7910</v>
      </c>
      <c r="B733">
        <v>0</v>
      </c>
      <c r="C733">
        <v>24</v>
      </c>
    </row>
    <row r="734" spans="1:3">
      <c r="A734">
        <v>7912</v>
      </c>
      <c r="B734">
        <v>7</v>
      </c>
      <c r="C734">
        <v>7</v>
      </c>
    </row>
    <row r="735" spans="1:3">
      <c r="A735">
        <v>7914</v>
      </c>
      <c r="B735">
        <v>190</v>
      </c>
      <c r="C735">
        <v>190</v>
      </c>
    </row>
    <row r="736" spans="1:3">
      <c r="A736">
        <v>7930</v>
      </c>
      <c r="B736">
        <v>42</v>
      </c>
      <c r="C736">
        <v>42</v>
      </c>
    </row>
    <row r="737" spans="1:3">
      <c r="A737">
        <v>7936</v>
      </c>
      <c r="B737">
        <v>10</v>
      </c>
      <c r="C737">
        <v>10</v>
      </c>
    </row>
    <row r="738" spans="1:3">
      <c r="A738">
        <v>7956</v>
      </c>
      <c r="B738">
        <v>113</v>
      </c>
      <c r="C738">
        <v>113</v>
      </c>
    </row>
    <row r="739" spans="1:3">
      <c r="A739">
        <v>8446</v>
      </c>
      <c r="B739">
        <v>998</v>
      </c>
      <c r="C739">
        <v>998</v>
      </c>
    </row>
    <row r="740" spans="1:3">
      <c r="A740">
        <v>9649</v>
      </c>
      <c r="B740">
        <v>0</v>
      </c>
      <c r="C740">
        <v>10</v>
      </c>
    </row>
    <row r="741" spans="1:3">
      <c r="A741">
        <v>9653</v>
      </c>
      <c r="B741">
        <v>0</v>
      </c>
      <c r="C741">
        <v>2</v>
      </c>
    </row>
    <row r="742" spans="1:3">
      <c r="A742">
        <v>9654</v>
      </c>
      <c r="B742">
        <v>0</v>
      </c>
      <c r="C742">
        <v>16</v>
      </c>
    </row>
    <row r="743" spans="1:3">
      <c r="A743">
        <v>9656</v>
      </c>
      <c r="B743">
        <v>0</v>
      </c>
      <c r="C743">
        <v>18623</v>
      </c>
    </row>
    <row r="744" spans="1:3">
      <c r="A744">
        <v>9658</v>
      </c>
      <c r="B744">
        <v>0</v>
      </c>
      <c r="C744">
        <v>37987</v>
      </c>
    </row>
    <row r="745" spans="1:3">
      <c r="A745">
        <v>9659</v>
      </c>
      <c r="B745">
        <v>0</v>
      </c>
      <c r="C745">
        <v>2</v>
      </c>
    </row>
    <row r="746" spans="1:3">
      <c r="A746">
        <v>9660</v>
      </c>
      <c r="B746">
        <v>0</v>
      </c>
      <c r="C746">
        <v>2</v>
      </c>
    </row>
    <row r="747" spans="1:3">
      <c r="A747">
        <v>9661</v>
      </c>
      <c r="B747">
        <v>0</v>
      </c>
      <c r="C747">
        <v>10</v>
      </c>
    </row>
    <row r="748" spans="1:3">
      <c r="A748">
        <v>9663</v>
      </c>
      <c r="B748">
        <v>0</v>
      </c>
      <c r="C748">
        <v>10586</v>
      </c>
    </row>
    <row r="749" spans="1:3">
      <c r="A749">
        <v>13150</v>
      </c>
      <c r="B749">
        <v>1</v>
      </c>
      <c r="C749">
        <v>3</v>
      </c>
    </row>
    <row r="750" spans="1:3">
      <c r="A750">
        <v>13273</v>
      </c>
      <c r="B750">
        <v>1</v>
      </c>
      <c r="C750">
        <v>3</v>
      </c>
    </row>
    <row r="751" spans="1:3">
      <c r="A751">
        <v>13274</v>
      </c>
      <c r="B751">
        <v>93420</v>
      </c>
      <c r="C751">
        <v>227421</v>
      </c>
    </row>
    <row r="752" spans="1:3">
      <c r="A752">
        <v>100201</v>
      </c>
      <c r="B752">
        <v>6</v>
      </c>
      <c r="C752">
        <v>18</v>
      </c>
    </row>
    <row r="753" spans="1:3">
      <c r="A753">
        <v>100202</v>
      </c>
      <c r="B753">
        <v>493958</v>
      </c>
      <c r="C753">
        <v>1621643</v>
      </c>
    </row>
    <row r="754" spans="1:3">
      <c r="A754">
        <v>100204</v>
      </c>
      <c r="B754">
        <v>20456</v>
      </c>
      <c r="C754">
        <v>72480</v>
      </c>
    </row>
    <row r="755" spans="1:3">
      <c r="A755">
        <v>100281</v>
      </c>
      <c r="B755">
        <v>835717</v>
      </c>
      <c r="C755">
        <v>1707178</v>
      </c>
    </row>
    <row r="756" spans="1:3">
      <c r="A756">
        <v>100312</v>
      </c>
      <c r="B756">
        <v>9</v>
      </c>
      <c r="C756">
        <v>24</v>
      </c>
    </row>
    <row r="757" spans="1:3">
      <c r="A757">
        <v>100343</v>
      </c>
      <c r="B757">
        <v>4400</v>
      </c>
      <c r="C757">
        <v>8005</v>
      </c>
    </row>
    <row r="758" spans="1:3">
      <c r="A758">
        <v>100515</v>
      </c>
      <c r="B758">
        <v>45848</v>
      </c>
      <c r="C758">
        <v>45848</v>
      </c>
    </row>
    <row r="759" spans="1:3">
      <c r="A759">
        <v>100516</v>
      </c>
      <c r="B759">
        <v>-712</v>
      </c>
      <c r="C759">
        <v>-712</v>
      </c>
    </row>
    <row r="760" spans="1:3">
      <c r="A760">
        <v>100517</v>
      </c>
      <c r="B760">
        <v>1</v>
      </c>
      <c r="C760">
        <v>1</v>
      </c>
    </row>
    <row r="761" spans="1:3">
      <c r="A761">
        <v>100522</v>
      </c>
      <c r="B761">
        <v>835717</v>
      </c>
      <c r="C761">
        <v>1707178</v>
      </c>
    </row>
    <row r="762" spans="1:3">
      <c r="A762">
        <v>100523</v>
      </c>
      <c r="B762">
        <v>4400</v>
      </c>
      <c r="C762">
        <v>8005</v>
      </c>
    </row>
    <row r="763" spans="1:3">
      <c r="A763">
        <v>100524</v>
      </c>
      <c r="B763">
        <v>9</v>
      </c>
      <c r="C763">
        <v>24</v>
      </c>
    </row>
    <row r="764" spans="1:3">
      <c r="A764">
        <v>100534</v>
      </c>
      <c r="B764">
        <v>835717</v>
      </c>
      <c r="C764">
        <v>1707178</v>
      </c>
    </row>
    <row r="765" spans="1:3">
      <c r="A765">
        <v>100535</v>
      </c>
      <c r="B765">
        <v>4400</v>
      </c>
      <c r="C765">
        <v>8005</v>
      </c>
    </row>
    <row r="766" spans="1:3">
      <c r="A766">
        <v>100536</v>
      </c>
      <c r="B766">
        <v>9</v>
      </c>
      <c r="C766">
        <v>24</v>
      </c>
    </row>
    <row r="767" spans="1:3">
      <c r="A767">
        <v>100558</v>
      </c>
      <c r="B767">
        <v>881565</v>
      </c>
      <c r="C767">
        <v>1753026</v>
      </c>
    </row>
    <row r="768" spans="1:3">
      <c r="A768">
        <v>100559</v>
      </c>
      <c r="B768">
        <v>3688</v>
      </c>
      <c r="C768">
        <v>7293</v>
      </c>
    </row>
    <row r="769" spans="1:3">
      <c r="A769">
        <v>100560</v>
      </c>
      <c r="B769">
        <v>10</v>
      </c>
      <c r="C769">
        <v>25</v>
      </c>
    </row>
    <row r="770" spans="1:3">
      <c r="A770">
        <v>100586</v>
      </c>
      <c r="B770">
        <v>881565</v>
      </c>
      <c r="C770">
        <v>1753026</v>
      </c>
    </row>
    <row r="771" spans="1:3">
      <c r="A771">
        <v>100587</v>
      </c>
      <c r="B771">
        <v>3688</v>
      </c>
      <c r="C771">
        <v>7293</v>
      </c>
    </row>
    <row r="772" spans="1:3">
      <c r="A772">
        <v>100588</v>
      </c>
      <c r="B772">
        <v>10</v>
      </c>
      <c r="C772">
        <v>25</v>
      </c>
    </row>
    <row r="773" spans="1:3">
      <c r="A773">
        <v>100603</v>
      </c>
      <c r="B773">
        <v>45848</v>
      </c>
      <c r="C773">
        <v>45848</v>
      </c>
    </row>
    <row r="774" spans="1:3">
      <c r="A774">
        <v>100604</v>
      </c>
      <c r="B774">
        <v>-712</v>
      </c>
      <c r="C774">
        <v>-712</v>
      </c>
    </row>
    <row r="775" spans="1:3">
      <c r="A775">
        <v>100605</v>
      </c>
      <c r="B775">
        <v>1</v>
      </c>
      <c r="C775">
        <v>-712</v>
      </c>
    </row>
    <row r="776" spans="1:3">
      <c r="A776">
        <v>100607</v>
      </c>
      <c r="B776">
        <v>835717</v>
      </c>
      <c r="C776">
        <v>1707178</v>
      </c>
    </row>
    <row r="777" spans="1:3">
      <c r="A777">
        <v>100608</v>
      </c>
      <c r="B777">
        <v>4400</v>
      </c>
      <c r="C777">
        <v>8005</v>
      </c>
    </row>
    <row r="778" spans="1:3">
      <c r="A778">
        <v>100609</v>
      </c>
      <c r="B778">
        <v>9</v>
      </c>
      <c r="C778">
        <v>8005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5">
    <pageSetUpPr autoPageBreaks="0" fitToPage="1"/>
  </sheetPr>
  <dimension ref="A1:K60"/>
  <sheetViews>
    <sheetView showGridLines="0" zoomScale="85" workbookViewId="0">
      <selection activeCell="F104" sqref="F104"/>
    </sheetView>
  </sheetViews>
  <sheetFormatPr baseColWidth="10" defaultColWidth="9.1796875" defaultRowHeight="12.5"/>
  <cols>
    <col min="1" max="1" width="9.1796875" style="1492" customWidth="1"/>
    <col min="2" max="11" width="13.1796875" style="1492" customWidth="1"/>
    <col min="12" max="12" width="9.1796875" style="1492" customWidth="1"/>
    <col min="13" max="16384" width="9.1796875" style="1492"/>
  </cols>
  <sheetData>
    <row r="1" spans="1:11" ht="15.5">
      <c r="A1" s="1491" t="s">
        <v>15515</v>
      </c>
    </row>
    <row r="2" spans="1:11" ht="15.5">
      <c r="A2" s="1493" t="s">
        <v>15516</v>
      </c>
    </row>
    <row r="3" spans="1:11" ht="15.5">
      <c r="A3" s="1493" t="s">
        <v>15517</v>
      </c>
    </row>
    <row r="5" spans="1:11" ht="13">
      <c r="B5" s="1494" t="s">
        <v>15518</v>
      </c>
      <c r="C5" s="1495"/>
      <c r="D5" s="1495"/>
      <c r="E5" s="1495"/>
      <c r="F5" s="1495"/>
      <c r="G5" s="1495"/>
      <c r="H5" s="1495"/>
      <c r="I5" s="1495"/>
      <c r="J5" s="1495"/>
    </row>
    <row r="6" spans="1:11" ht="13">
      <c r="A6" s="1492" t="s">
        <v>15519</v>
      </c>
      <c r="B6" s="1502" t="s">
        <v>15520</v>
      </c>
      <c r="C6" s="1502" t="s">
        <v>15521</v>
      </c>
      <c r="D6" s="1502" t="s">
        <v>15522</v>
      </c>
      <c r="E6" s="1502" t="s">
        <v>15523</v>
      </c>
      <c r="F6" s="1502" t="s">
        <v>15524</v>
      </c>
      <c r="G6" s="1502" t="s">
        <v>15121</v>
      </c>
      <c r="H6" s="1502" t="s">
        <v>15525</v>
      </c>
      <c r="I6" s="1502" t="s">
        <v>15526</v>
      </c>
      <c r="J6" s="1502" t="s">
        <v>114</v>
      </c>
      <c r="K6" s="1502" t="s">
        <v>15527</v>
      </c>
    </row>
    <row r="7" spans="1:11" ht="22.5" customHeight="1">
      <c r="A7" s="1496" t="s">
        <v>15528</v>
      </c>
      <c r="B7" s="1503" t="str">
        <f>OR_VEH!$B2</f>
        <v>CHEVROLET</v>
      </c>
      <c r="C7" s="1503" t="str">
        <f>OR_VEH!$B52</f>
        <v>CHEVROLET - VE</v>
      </c>
      <c r="D7" s="1503" t="str">
        <f>OR_VEH!$B102</f>
        <v>BUICK - VE</v>
      </c>
      <c r="E7" s="1503" t="str">
        <f>OR_VEH!$B152</f>
        <v>BUICK</v>
      </c>
      <c r="F7" s="1503" t="str">
        <f>OR_VEH!$B202</f>
        <v>CADILLAC</v>
      </c>
      <c r="G7" s="1503" t="str">
        <f>OR_VEH!$B252</f>
        <v>GMC</v>
      </c>
      <c r="H7" s="1503" t="str">
        <f>OR_VEH!$B302</f>
        <v>CADILLAC - VE</v>
      </c>
      <c r="I7" s="1503" t="str">
        <f>OR_VEH!$B352</f>
        <v>GMC - VE</v>
      </c>
      <c r="J7" s="1503" t="str">
        <f>OR_VEH!$B402</f>
        <v>SANS OBJECT</v>
      </c>
      <c r="K7" s="1503" t="str">
        <f>OR_VEH!$B452</f>
        <v>SANS OBJECT</v>
      </c>
    </row>
    <row r="8" spans="1:11" ht="22.5" customHeight="1">
      <c r="A8" s="1497">
        <v>400</v>
      </c>
      <c r="B8" s="1498" t="str">
        <f>OR_VEH!$B3&amp;"
"&amp;DOLLAR(OR_VEH!$E3,0)&amp;"/"&amp;DOLLAR(OR_VEH!$F3,0)</f>
        <v>VOLT
20 000 $/135 000 $</v>
      </c>
      <c r="C8" s="1498" t="str">
        <f>OR_VEH!$B53&amp;"
"&amp;DOLLAR(OR_VEH!$E53,0)&amp;"/"&amp;DOLLAR(OR_VEH!$F53,0)</f>
        <v>NE PAS UTILISER
10 $/100 $</v>
      </c>
      <c r="D8" s="1498" t="str">
        <f>OR_VEH!$B103&amp;"
"&amp;DOLLAR(OR_VEH!$E103,0)&amp;"/"&amp;DOLLAR(OR_VEH!$F103,0)</f>
        <v>NE PAS UTILISER
10 $/100 $</v>
      </c>
      <c r="E8" s="1498" t="str">
        <f>OR_VEH!$B153&amp;"
"&amp;DOLLAR(OR_VEH!$E153,0)&amp;"/"&amp;DOLLAR(OR_VEH!$F153,0)</f>
        <v>REGAL
20 000 $/130 000 $</v>
      </c>
      <c r="F8" s="1498" t="str">
        <f>OR_VEH!$B203&amp;"
"&amp;DOLLAR(OR_VEH!$E203,0)&amp;"/"&amp;DOLLAR(OR_VEH!$F203,0)</f>
        <v>NE PAS UTILISER
10 $/100 $</v>
      </c>
      <c r="G8" s="1498" t="str">
        <f>OR_VEH!$B253&amp;"
"&amp;DOLLAR(OR_VEH!$E253,0)&amp;"/"&amp;DOLLAR(OR_VEH!$F253,0)</f>
        <v>NE PAS UTILISER
10 $/100 $</v>
      </c>
      <c r="H8" s="1498" t="str">
        <f>OR_VEH!$B303&amp;"
"&amp;DOLLAR(OR_VEH!$E303,0)&amp;"/"&amp;DOLLAR(OR_VEH!$F303,0)</f>
        <v>CELESTIQ
300 000 $/450 000 $</v>
      </c>
      <c r="I8" s="1498" t="str">
        <f>OR_VEH!$B353&amp;"
"&amp;DOLLAR(OR_VEH!$E353,0)&amp;"/"&amp;DOLLAR(OR_VEH!$F353,0)</f>
        <v>NE PAS UTILISER
10 $/100 $</v>
      </c>
      <c r="J8" s="1498" t="str">
        <f>OR_VEH!$B403&amp;"
"&amp;DOLLAR(OR_VEH!$E403,0)&amp;"/"&amp;DOLLAR(OR_VEH!$F403,0)</f>
        <v>NE PAS UTILISER
10 $/100 $</v>
      </c>
      <c r="K8" s="1498" t="str">
        <f>OR_VEH!$B453&amp;"
"&amp;DOLLAR(OR_VEH!$E453,0)&amp;"/"&amp;DOLLAR(OR_VEH!$F453,0)</f>
        <v>NE PAS UTILISER
10 $/100 $</v>
      </c>
    </row>
    <row r="9" spans="1:11" ht="22.5" customHeight="1">
      <c r="A9" s="1497">
        <v>401</v>
      </c>
      <c r="B9" s="1498" t="str">
        <f>OR_VEH!$B4&amp;"
"&amp;DOLLAR(OR_VEH!$E4,0)&amp;"/"&amp;DOLLAR(OR_VEH!$F4,0)</f>
        <v>MALIBU
13 000 $/110 000 $</v>
      </c>
      <c r="C9" s="1498" t="str">
        <f>OR_VEH!$B54&amp;"
"&amp;DOLLAR(OR_VEH!$E54,0)&amp;"/"&amp;DOLLAR(OR_VEH!$F54,0)</f>
        <v>NE PAS UTILISER
10 $/100 $</v>
      </c>
      <c r="D9" s="1498" t="str">
        <f>OR_VEH!$B104&amp;"
"&amp;DOLLAR(OR_VEH!$E104,0)&amp;"/"&amp;DOLLAR(OR_VEH!$F104,0)</f>
        <v>NE PAS UTILISER
10 $/100 $</v>
      </c>
      <c r="E9" s="1498" t="str">
        <f>OR_VEH!$B154&amp;"
"&amp;DOLLAR(OR_VEH!$E154,0)&amp;"/"&amp;DOLLAR(OR_VEH!$F154,0)</f>
        <v>LACROSSE
20 000 $/130 000 $</v>
      </c>
      <c r="F9" s="1498" t="str">
        <f>OR_VEH!$B204&amp;"
"&amp;DOLLAR(OR_VEH!$E204,0)&amp;"/"&amp;DOLLAR(OR_VEH!$F204,0)</f>
        <v>NE PAS UTILISER
10 $/100 $</v>
      </c>
      <c r="G9" s="1498" t="str">
        <f>OR_VEH!$B254&amp;"
"&amp;DOLLAR(OR_VEH!$E254,0)&amp;"/"&amp;DOLLAR(OR_VEH!$F254,0)</f>
        <v>NE PAS UTILISER
10 $/100 $</v>
      </c>
      <c r="H9" s="1498" t="str">
        <f>OR_VEH!$B304&amp;"
"&amp;DOLLAR(OR_VEH!$E304,0)&amp;"/"&amp;DOLLAR(OR_VEH!$F304,0)</f>
        <v>NE PAS UTILISER
10 $/100 $</v>
      </c>
      <c r="I9" s="1498" t="str">
        <f>OR_VEH!$B354&amp;"
"&amp;DOLLAR(OR_VEH!$E354,0)&amp;"/"&amp;DOLLAR(OR_VEH!$F354,0)</f>
        <v>NE PAS UTILISER
10 $/100 $</v>
      </c>
      <c r="J9" s="1498" t="str">
        <f>OR_VEH!$B404&amp;"
"&amp;DOLLAR(OR_VEH!$E404,0)&amp;"/"&amp;DOLLAR(OR_VEH!$F404,0)</f>
        <v>NE PAS UTILISER
10 $/100 $</v>
      </c>
      <c r="K9" s="1498" t="str">
        <f>OR_VEH!$B454&amp;"
"&amp;DOLLAR(OR_VEH!$E454,0)&amp;"/"&amp;DOLLAR(OR_VEH!$F454,0)</f>
        <v>NE PAS UTILISER
10 $/100 $</v>
      </c>
    </row>
    <row r="10" spans="1:11" ht="22.5" customHeight="1">
      <c r="A10" s="1497">
        <v>402</v>
      </c>
      <c r="B10" s="1498" t="str">
        <f>OR_VEH!$B5&amp;"
"&amp;DOLLAR(OR_VEH!$E5,0)&amp;"/"&amp;DOLLAR(OR_VEH!$F5,0)</f>
        <v>SONIC
10 000 $/90 000 $</v>
      </c>
      <c r="C10" s="1498" t="str">
        <f>OR_VEH!$B55&amp;"
"&amp;DOLLAR(OR_VEH!$E55,0)&amp;"/"&amp;DOLLAR(OR_VEH!$F55,0)</f>
        <v>NE PAS UTILISER
10 $/100 $</v>
      </c>
      <c r="D10" s="1498" t="str">
        <f>OR_VEH!$B105&amp;"
"&amp;DOLLAR(OR_VEH!$E105,0)&amp;"/"&amp;DOLLAR(OR_VEH!$F105,0)</f>
        <v>NE PAS UTILISER
10 $/100 $</v>
      </c>
      <c r="E10" s="1498" t="str">
        <f>OR_VEH!$B155&amp;"
"&amp;DOLLAR(OR_VEH!$E155,0)&amp;"/"&amp;DOLLAR(OR_VEH!$F155,0)</f>
        <v>VERANO
15 000 $/125 000 $</v>
      </c>
      <c r="F10" s="1498" t="str">
        <f>OR_VEH!$B205&amp;"
"&amp;DOLLAR(OR_VEH!$E205,0)&amp;"/"&amp;DOLLAR(OR_VEH!$F205,0)</f>
        <v>CTS 
25 000 $/200 000 $</v>
      </c>
      <c r="G10" s="1498" t="str">
        <f>OR_VEH!$B255&amp;"
"&amp;DOLLAR(OR_VEH!$E255,0)&amp;"/"&amp;DOLLAR(OR_VEH!$F255,0)</f>
        <v>NE PAS UTILISER
10 $/100 $</v>
      </c>
      <c r="H10" s="1498" t="str">
        <f>OR_VEH!$B305&amp;"
"&amp;DOLLAR(OR_VEH!$E305,0)&amp;"/"&amp;DOLLAR(OR_VEH!$F305,0)</f>
        <v>NE PAS UTILISER
10 $/100 $</v>
      </c>
      <c r="I10" s="1498" t="str">
        <f>OR_VEH!$B355&amp;"
"&amp;DOLLAR(OR_VEH!$E355,0)&amp;"/"&amp;DOLLAR(OR_VEH!$F355,0)</f>
        <v>NE PAS UTILISER
10 $/100 $</v>
      </c>
      <c r="J10" s="1498" t="str">
        <f>OR_VEH!$B405&amp;"
"&amp;DOLLAR(OR_VEH!$E405,0)&amp;"/"&amp;DOLLAR(OR_VEH!$F405,0)</f>
        <v>NE PAS UTILISER
10 $/100 $</v>
      </c>
      <c r="K10" s="1498" t="str">
        <f>OR_VEH!$B455&amp;"
"&amp;DOLLAR(OR_VEH!$E455,0)&amp;"/"&amp;DOLLAR(OR_VEH!$F455,0)</f>
        <v>NE PAS UTILISER
10 $/100 $</v>
      </c>
    </row>
    <row r="11" spans="1:11" ht="22.5" customHeight="1">
      <c r="A11" s="1497">
        <v>403</v>
      </c>
      <c r="B11" s="1498" t="str">
        <f>OR_VEH!$B6&amp;"
"&amp;DOLLAR(OR_VEH!$E6,0)&amp;"/"&amp;DOLLAR(OR_VEH!$F6,0)</f>
        <v>IMPALA
15 000 $/110 000 $</v>
      </c>
      <c r="C11" s="1498" t="str">
        <f>OR_VEH!$B56&amp;"
"&amp;DOLLAR(OR_VEH!$E56,0)&amp;"/"&amp;DOLLAR(OR_VEH!$F56,0)</f>
        <v>NE PAS UTILISER
10 $/100 $</v>
      </c>
      <c r="D11" s="1498" t="str">
        <f>OR_VEH!$B106&amp;"
"&amp;DOLLAR(OR_VEH!$E106,0)&amp;"/"&amp;DOLLAR(OR_VEH!$F106,0)</f>
        <v>NE PAS UTILISER
10 $/100 $</v>
      </c>
      <c r="E11" s="1498" t="str">
        <f>OR_VEH!$B156&amp;"
"&amp;DOLLAR(OR_VEH!$E156,0)&amp;"/"&amp;DOLLAR(OR_VEH!$F156,0)</f>
        <v>NE PAS UTILISER
10 $/100 $</v>
      </c>
      <c r="F11" s="1498" t="str">
        <f>OR_VEH!$B206&amp;"
"&amp;DOLLAR(OR_VEH!$E206,0)&amp;"/"&amp;DOLLAR(OR_VEH!$F206,0)</f>
        <v>CTS-V
40 000 $/155 000 $</v>
      </c>
      <c r="G11" s="1498" t="str">
        <f>OR_VEH!$B256&amp;"
"&amp;DOLLAR(OR_VEH!$E256,0)&amp;"/"&amp;DOLLAR(OR_VEH!$F256,0)</f>
        <v>NE PAS UTILISER
10 $/100 $</v>
      </c>
      <c r="H11" s="1498" t="str">
        <f>OR_VEH!$B306&amp;"
"&amp;DOLLAR(OR_VEH!$E306,0)&amp;"/"&amp;DOLLAR(OR_VEH!$F306,0)</f>
        <v>NE PAS UTILISER
10 $/100 $</v>
      </c>
      <c r="I11" s="1498" t="str">
        <f>OR_VEH!$B356&amp;"
"&amp;DOLLAR(OR_VEH!$E356,0)&amp;"/"&amp;DOLLAR(OR_VEH!$F356,0)</f>
        <v>NE PAS UTILISER
10 $/100 $</v>
      </c>
      <c r="J11" s="1498" t="str">
        <f>OR_VEH!$B406&amp;"
"&amp;DOLLAR(OR_VEH!$E406,0)&amp;"/"&amp;DOLLAR(OR_VEH!$F406,0)</f>
        <v>NE PAS UTILISER
10 $/100 $</v>
      </c>
      <c r="K11" s="1498" t="str">
        <f>OR_VEH!$B456&amp;"
"&amp;DOLLAR(OR_VEH!$E456,0)&amp;"/"&amp;DOLLAR(OR_VEH!$F456,0)</f>
        <v>NE PAS UTILISER
10 $/100 $</v>
      </c>
    </row>
    <row r="12" spans="1:11" ht="22.5" customHeight="1">
      <c r="A12" s="1497">
        <v>404</v>
      </c>
      <c r="B12" s="1498" t="str">
        <f>OR_VEH!$B7&amp;"
"&amp;DOLLAR(OR_VEH!$E7,0)&amp;"/"&amp;DOLLAR(OR_VEH!$F7,0)</f>
        <v>SPARK
10 000 $/90 000 $</v>
      </c>
      <c r="C12" s="1498" t="str">
        <f>OR_VEH!$B57&amp;"
"&amp;DOLLAR(OR_VEH!$E57,0)&amp;"/"&amp;DOLLAR(OR_VEH!$F57,0)</f>
        <v>NE PAS UTILISER
10 $/100 $</v>
      </c>
      <c r="D12" s="1498" t="str">
        <f>OR_VEH!$B107&amp;"
"&amp;DOLLAR(OR_VEH!$E107,0)&amp;"/"&amp;DOLLAR(OR_VEH!$F107,0)</f>
        <v>NE PAS UTILISER
10 $/100 $</v>
      </c>
      <c r="E12" s="1498" t="str">
        <f>OR_VEH!$B157&amp;"
"&amp;DOLLAR(OR_VEH!$E157,0)&amp;"/"&amp;DOLLAR(OR_VEH!$F157,0)</f>
        <v>NE PAS UTILISER
10 $/100 $</v>
      </c>
      <c r="F12" s="1498" t="str">
        <f>OR_VEH!$B207&amp;"
"&amp;DOLLAR(OR_VEH!$E207,0)&amp;"/"&amp;DOLLAR(OR_VEH!$F207,0)</f>
        <v>CT4
20 000 $/150 000 $</v>
      </c>
      <c r="G12" s="1498" t="str">
        <f>OR_VEH!$B257&amp;"
"&amp;DOLLAR(OR_VEH!$E257,0)&amp;"/"&amp;DOLLAR(OR_VEH!$F257,0)</f>
        <v>NE PAS UTILISER
10 $/100 $</v>
      </c>
      <c r="H12" s="1498" t="str">
        <f>OR_VEH!$B307&amp;"
"&amp;DOLLAR(OR_VEH!$E307,0)&amp;"/"&amp;DOLLAR(OR_VEH!$F307,0)</f>
        <v>NE PAS UTILISER
10 $/100 $</v>
      </c>
      <c r="I12" s="1498" t="str">
        <f>OR_VEH!$B357&amp;"
"&amp;DOLLAR(OR_VEH!$E357,0)&amp;"/"&amp;DOLLAR(OR_VEH!$F357,0)</f>
        <v>NE PAS UTILISER
10 $/100 $</v>
      </c>
      <c r="J12" s="1498" t="str">
        <f>OR_VEH!$B407&amp;"
"&amp;DOLLAR(OR_VEH!$E407,0)&amp;"/"&amp;DOLLAR(OR_VEH!$F407,0)</f>
        <v>NE PAS UTILISER
10 $/100 $</v>
      </c>
      <c r="K12" s="1498" t="str">
        <f>OR_VEH!$B457&amp;"
"&amp;DOLLAR(OR_VEH!$E457,0)&amp;"/"&amp;DOLLAR(OR_VEH!$F457,0)</f>
        <v>NE PAS UTILISER
10 $/100 $</v>
      </c>
    </row>
    <row r="13" spans="1:11" ht="22.5" customHeight="1">
      <c r="A13" s="1497">
        <v>405</v>
      </c>
      <c r="B13" s="1498" t="str">
        <f>OR_VEH!$B8&amp;"
"&amp;DOLLAR(OR_VEH!$E8,0)&amp;"/"&amp;DOLLAR(OR_VEH!$F8,0)</f>
        <v>CORVETTE
40 000 $/230 000 $</v>
      </c>
      <c r="C13" s="1498" t="str">
        <f>OR_VEH!$B58&amp;"
"&amp;DOLLAR(OR_VEH!$E58,0)&amp;"/"&amp;DOLLAR(OR_VEH!$F58,0)</f>
        <v>NE PAS UTILISER
10 $/100 $</v>
      </c>
      <c r="D13" s="1498" t="str">
        <f>OR_VEH!$B108&amp;"
"&amp;DOLLAR(OR_VEH!$E108,0)&amp;"/"&amp;DOLLAR(OR_VEH!$F108,0)</f>
        <v>NE PAS UTILISER
10 $/100 $</v>
      </c>
      <c r="E13" s="1498" t="str">
        <f>OR_VEH!$B158&amp;"
"&amp;DOLLAR(OR_VEH!$E158,0)&amp;"/"&amp;DOLLAR(OR_VEH!$F158,0)</f>
        <v>NE PAS UTILISER
10 $/100 $</v>
      </c>
      <c r="F13" s="1498" t="str">
        <f>OR_VEH!$B208&amp;"
"&amp;DOLLAR(OR_VEH!$E208,0)&amp;"/"&amp;DOLLAR(OR_VEH!$F208,0)</f>
        <v>CT5
25 000 $/200 000 $</v>
      </c>
      <c r="G13" s="1498" t="str">
        <f>OR_VEH!$B258&amp;"
"&amp;DOLLAR(OR_VEH!$E258,0)&amp;"/"&amp;DOLLAR(OR_VEH!$F258,0)</f>
        <v>NE PAS UTILISER
10 $/100 $</v>
      </c>
      <c r="H13" s="1498" t="str">
        <f>OR_VEH!$B308&amp;"
"&amp;DOLLAR(OR_VEH!$E308,0)&amp;"/"&amp;DOLLAR(OR_VEH!$F308,0)</f>
        <v>NE PAS UTILISER
10 $/100 $</v>
      </c>
      <c r="I13" s="1498" t="str">
        <f>OR_VEH!$B358&amp;"
"&amp;DOLLAR(OR_VEH!$E358,0)&amp;"/"&amp;DOLLAR(OR_VEH!$F358,0)</f>
        <v>NE PAS UTILISER
10 $/100 $</v>
      </c>
      <c r="J13" s="1498" t="str">
        <f>OR_VEH!$B408&amp;"
"&amp;DOLLAR(OR_VEH!$E408,0)&amp;"/"&amp;DOLLAR(OR_VEH!$F408,0)</f>
        <v>NE PAS UTILISER
10 $/100 $</v>
      </c>
      <c r="K13" s="1498" t="str">
        <f>OR_VEH!$B458&amp;"
"&amp;DOLLAR(OR_VEH!$E458,0)&amp;"/"&amp;DOLLAR(OR_VEH!$F458,0)</f>
        <v>NE PAS UTILISER
10 $/100 $</v>
      </c>
    </row>
    <row r="14" spans="1:11" ht="22.5" customHeight="1">
      <c r="A14" s="1497">
        <v>406</v>
      </c>
      <c r="B14" s="1498" t="str">
        <f>OR_VEH!$B9&amp;"
"&amp;DOLLAR(OR_VEH!$E9,0)&amp;"/"&amp;DOLLAR(OR_VEH!$F9,0)</f>
        <v>CORVETTE E-RAY
5 000 $/250 000 $</v>
      </c>
      <c r="C14" s="1498" t="str">
        <f>OR_VEH!$B59&amp;"
"&amp;DOLLAR(OR_VEH!$E59,0)&amp;"/"&amp;DOLLAR(OR_VEH!$F59,0)</f>
        <v>NE PAS UTILISER
10 $/100 $</v>
      </c>
      <c r="D14" s="1498" t="str">
        <f>OR_VEH!$B109&amp;"
"&amp;DOLLAR(OR_VEH!$E109,0)&amp;"/"&amp;DOLLAR(OR_VEH!$F109,0)</f>
        <v>NE PAS UTILISER
10 $/100 $</v>
      </c>
      <c r="E14" s="1498" t="str">
        <f>OR_VEH!$B159&amp;"
"&amp;DOLLAR(OR_VEH!$E159,0)&amp;"/"&amp;DOLLAR(OR_VEH!$F159,0)</f>
        <v>NE PAS UTILISER
10 $/100 $</v>
      </c>
      <c r="F14" s="1498" t="str">
        <f>OR_VEH!$B209&amp;"
"&amp;DOLLAR(OR_VEH!$E209,0)&amp;"/"&amp;DOLLAR(OR_VEH!$F209,0)</f>
        <v>NE PAS UTILISER
10 $/100 $</v>
      </c>
      <c r="G14" s="1498" t="str">
        <f>OR_VEH!$B259&amp;"
"&amp;DOLLAR(OR_VEH!$E259,0)&amp;"/"&amp;DOLLAR(OR_VEH!$F259,0)</f>
        <v>NE PAS UTILISER
10 $/100 $</v>
      </c>
      <c r="H14" s="1498" t="str">
        <f>OR_VEH!$B309&amp;"
"&amp;DOLLAR(OR_VEH!$E309,0)&amp;"/"&amp;DOLLAR(OR_VEH!$F309,0)</f>
        <v>NE PAS UTILISER
10 $/100 $</v>
      </c>
      <c r="I14" s="1498" t="str">
        <f>OR_VEH!$B359&amp;"
"&amp;DOLLAR(OR_VEH!$E359,0)&amp;"/"&amp;DOLLAR(OR_VEH!$F359,0)</f>
        <v>NE PAS UTILISER
10 $/100 $</v>
      </c>
      <c r="J14" s="1498" t="str">
        <f>OR_VEH!$B409&amp;"
"&amp;DOLLAR(OR_VEH!$E409,0)&amp;"/"&amp;DOLLAR(OR_VEH!$F409,0)</f>
        <v>NE PAS UTILISER
10 $/100 $</v>
      </c>
      <c r="K14" s="1498" t="str">
        <f>OR_VEH!$B459&amp;"
"&amp;DOLLAR(OR_VEH!$E459,0)&amp;"/"&amp;DOLLAR(OR_VEH!$F459,0)</f>
        <v>NE PAS UTILISER
10 $/100 $</v>
      </c>
    </row>
    <row r="15" spans="1:11" ht="22.5" customHeight="1">
      <c r="A15" s="1497">
        <v>407</v>
      </c>
      <c r="B15" s="1498" t="str">
        <f>OR_VEH!$B10&amp;"
"&amp;DOLLAR(OR_VEH!$E10,0)&amp;"/"&amp;DOLLAR(OR_VEH!$F10,0)</f>
        <v>NE PAS UTILISER
10 $/100 $</v>
      </c>
      <c r="C15" s="1498" t="str">
        <f>OR_VEH!$B60&amp;"
"&amp;DOLLAR(OR_VEH!$E60,0)&amp;"/"&amp;DOLLAR(OR_VEH!$F60,0)</f>
        <v>NE PAS UTILISER
10 $/100 $</v>
      </c>
      <c r="D15" s="1498" t="str">
        <f>OR_VEH!$B110&amp;"
"&amp;DOLLAR(OR_VEH!$E110,0)&amp;"/"&amp;DOLLAR(OR_VEH!$F110,0)</f>
        <v>NE PAS UTILISER
10 $/100 $</v>
      </c>
      <c r="E15" s="1498" t="str">
        <f>OR_VEH!$B160&amp;"
"&amp;DOLLAR(OR_VEH!$E160,0)&amp;"/"&amp;DOLLAR(OR_VEH!$F160,0)</f>
        <v>NE PAS UTILISER
10 $/100 $</v>
      </c>
      <c r="F15" s="1498" t="str">
        <f>OR_VEH!$B210&amp;"
"&amp;DOLLAR(OR_VEH!$E210,0)&amp;"/"&amp;DOLLAR(OR_VEH!$F210,0)</f>
        <v>NE PAS UTILISER
10 $/100 $</v>
      </c>
      <c r="G15" s="1498" t="str">
        <f>OR_VEH!$B260&amp;"
"&amp;DOLLAR(OR_VEH!$E260,0)&amp;"/"&amp;DOLLAR(OR_VEH!$F260,0)</f>
        <v>NE PAS UTILISER
10 $/100 $</v>
      </c>
      <c r="H15" s="1498" t="str">
        <f>OR_VEH!$B310&amp;"
"&amp;DOLLAR(OR_VEH!$E310,0)&amp;"/"&amp;DOLLAR(OR_VEH!$F310,0)</f>
        <v>NE PAS UTILISER
10 $/100 $</v>
      </c>
      <c r="I15" s="1498" t="str">
        <f>OR_VEH!$B360&amp;"
"&amp;DOLLAR(OR_VEH!$E360,0)&amp;"/"&amp;DOLLAR(OR_VEH!$F360,0)</f>
        <v>NE PAS UTILISER
10 $/100 $</v>
      </c>
      <c r="J15" s="1498" t="str">
        <f>OR_VEH!$B410&amp;"
"&amp;DOLLAR(OR_VEH!$E410,0)&amp;"/"&amp;DOLLAR(OR_VEH!$F410,0)</f>
        <v>NE PAS UTILISER
10 $/100 $</v>
      </c>
      <c r="K15" s="1498" t="str">
        <f>OR_VEH!$B460&amp;"
"&amp;DOLLAR(OR_VEH!$E460,0)&amp;"/"&amp;DOLLAR(OR_VEH!$F460,0)</f>
        <v>NE PAS UTILISER
10 $/100 $</v>
      </c>
    </row>
    <row r="16" spans="1:11" ht="22.5" customHeight="1">
      <c r="A16" s="1497">
        <v>408</v>
      </c>
      <c r="B16" s="1498" t="str">
        <f>OR_VEH!$B11&amp;"
"&amp;DOLLAR(OR_VEH!$E11,0)&amp;"/"&amp;DOLLAR(OR_VEH!$F11,0)</f>
        <v>NE PAS UTILISER
10 $/100 $</v>
      </c>
      <c r="C16" s="1498" t="str">
        <f>OR_VEH!$B61&amp;"
"&amp;DOLLAR(OR_VEH!$E61,0)&amp;"/"&amp;DOLLAR(OR_VEH!$F61,0)</f>
        <v>NE PAS UTILISER
10 $/100 $</v>
      </c>
      <c r="D16" s="1498" t="str">
        <f>OR_VEH!$B111&amp;"
"&amp;DOLLAR(OR_VEH!$E111,0)&amp;"/"&amp;DOLLAR(OR_VEH!$F111,0)</f>
        <v>NE PAS UTILISER
10 $/100 $</v>
      </c>
      <c r="E16" s="1498" t="str">
        <f>OR_VEH!$B161&amp;"
"&amp;DOLLAR(OR_VEH!$E161,0)&amp;"/"&amp;DOLLAR(OR_VEH!$F161,0)</f>
        <v>NE PAS UTILISER
10 $/100 $</v>
      </c>
      <c r="F16" s="1498" t="str">
        <f>OR_VEH!$B211&amp;"
"&amp;DOLLAR(OR_VEH!$E211,0)&amp;"/"&amp;DOLLAR(OR_VEH!$F211,0)</f>
        <v>ATS
25 000 $/150 000 $</v>
      </c>
      <c r="G16" s="1498" t="str">
        <f>OR_VEH!$B261&amp;"
"&amp;DOLLAR(OR_VEH!$E261,0)&amp;"/"&amp;DOLLAR(OR_VEH!$F261,0)</f>
        <v>NE PAS UTILISER
10 $/100 $</v>
      </c>
      <c r="H16" s="1498" t="str">
        <f>OR_VEH!$B311&amp;"
"&amp;DOLLAR(OR_VEH!$E311,0)&amp;"/"&amp;DOLLAR(OR_VEH!$F311,0)</f>
        <v>NE PAS UTILISER
10 $/100 $</v>
      </c>
      <c r="I16" s="1498" t="str">
        <f>OR_VEH!$B361&amp;"
"&amp;DOLLAR(OR_VEH!$E361,0)&amp;"/"&amp;DOLLAR(OR_VEH!$F361,0)</f>
        <v>NE PAS UTILISER
10 $/100 $</v>
      </c>
      <c r="J16" s="1498" t="str">
        <f>OR_VEH!$B411&amp;"
"&amp;DOLLAR(OR_VEH!$E411,0)&amp;"/"&amp;DOLLAR(OR_VEH!$F411,0)</f>
        <v>NE PAS UTILISER
10 $/100 $</v>
      </c>
      <c r="K16" s="1498" t="str">
        <f>OR_VEH!$B461&amp;"
"&amp;DOLLAR(OR_VEH!$E461,0)&amp;"/"&amp;DOLLAR(OR_VEH!$F461,0)</f>
        <v>NE PAS UTILISER
10 $/100 $</v>
      </c>
    </row>
    <row r="17" spans="1:11" ht="22.5" customHeight="1">
      <c r="A17" s="1497">
        <v>409</v>
      </c>
      <c r="B17" s="1498" t="str">
        <f>OR_VEH!$B12&amp;"
"&amp;DOLLAR(OR_VEH!$E12,0)&amp;"/"&amp;DOLLAR(OR_VEH!$F12,0)</f>
        <v>NE PAS UTILISER
10 $/100 $</v>
      </c>
      <c r="C17" s="1498" t="str">
        <f>OR_VEH!$B62&amp;"
"&amp;DOLLAR(OR_VEH!$E62,0)&amp;"/"&amp;DOLLAR(OR_VEH!$F62,0)</f>
        <v>NE PAS UTILISER
10 $/100 $</v>
      </c>
      <c r="D17" s="1498" t="str">
        <f>OR_VEH!$B112&amp;"
"&amp;DOLLAR(OR_VEH!$E112,0)&amp;"/"&amp;DOLLAR(OR_VEH!$F112,0)</f>
        <v>NE PAS UTILISER
10 $/100 $</v>
      </c>
      <c r="E17" s="1498" t="str">
        <f>OR_VEH!$B162&amp;"
"&amp;DOLLAR(OR_VEH!$E162,0)&amp;"/"&amp;DOLLAR(OR_VEH!$F162,0)</f>
        <v>NE PAS UTILISER
10 $/100 $</v>
      </c>
      <c r="F17" s="1498" t="str">
        <f>OR_VEH!$B212&amp;"
"&amp;DOLLAR(OR_VEH!$E212,0)&amp;"/"&amp;DOLLAR(OR_VEH!$F212,0)</f>
        <v>XTS
35 000 $/150 000 $</v>
      </c>
      <c r="G17" s="1498" t="str">
        <f>OR_VEH!$B262&amp;"
"&amp;DOLLAR(OR_VEH!$E262,0)&amp;"/"&amp;DOLLAR(OR_VEH!$F262,0)</f>
        <v>NE PAS UTILISER
10 $/100 $</v>
      </c>
      <c r="H17" s="1498" t="str">
        <f>OR_VEH!$B312&amp;"
"&amp;DOLLAR(OR_VEH!$E312,0)&amp;"/"&amp;DOLLAR(OR_VEH!$F312,0)</f>
        <v>NE PAS UTILISER
10 $/100 $</v>
      </c>
      <c r="I17" s="1498" t="str">
        <f>OR_VEH!$B362&amp;"
"&amp;DOLLAR(OR_VEH!$E362,0)&amp;"/"&amp;DOLLAR(OR_VEH!$F362,0)</f>
        <v>NE PAS UTILISER
10 $/100 $</v>
      </c>
      <c r="J17" s="1498" t="str">
        <f>OR_VEH!$B412&amp;"
"&amp;DOLLAR(OR_VEH!$E412,0)&amp;"/"&amp;DOLLAR(OR_VEH!$F412,0)</f>
        <v>NE PAS UTILISER
10 $/100 $</v>
      </c>
      <c r="K17" s="1498" t="str">
        <f>OR_VEH!$B462&amp;"
"&amp;DOLLAR(OR_VEH!$E462,0)&amp;"/"&amp;DOLLAR(OR_VEH!$F462,0)</f>
        <v>NE PAS UTILISER
10 $/100 $</v>
      </c>
    </row>
    <row r="18" spans="1:11" ht="22.5" customHeight="1">
      <c r="A18" s="1497">
        <v>410</v>
      </c>
      <c r="B18" s="1498" t="str">
        <f>OR_VEH!$B13&amp;"
"&amp;DOLLAR(OR_VEH!$E13,0)&amp;"/"&amp;DOLLAR(OR_VEH!$F13,0)</f>
        <v>CAMARO
20 000 $/141 000 $</v>
      </c>
      <c r="C18" s="1498" t="str">
        <f>OR_VEH!$B63&amp;"
"&amp;DOLLAR(OR_VEH!$E63,0)&amp;"/"&amp;DOLLAR(OR_VEH!$F63,0)</f>
        <v>NE PAS UTILISER
10 $/100 $</v>
      </c>
      <c r="D18" s="1498" t="str">
        <f>OR_VEH!$B113&amp;"
"&amp;DOLLAR(OR_VEH!$E113,0)&amp;"/"&amp;DOLLAR(OR_VEH!$F113,0)</f>
        <v>NE PAS UTILISER
10 $/100 $</v>
      </c>
      <c r="E18" s="1498" t="str">
        <f>OR_VEH!$B163&amp;"
"&amp;DOLLAR(OR_VEH!$E163,0)&amp;"/"&amp;DOLLAR(OR_VEH!$F163,0)</f>
        <v>NE PAS UTILISER
10 $/100 $</v>
      </c>
      <c r="F18" s="1498" t="str">
        <f>OR_VEH!$B213&amp;"
"&amp;DOLLAR(OR_VEH!$E213,0)&amp;"/"&amp;DOLLAR(OR_VEH!$F213,0)</f>
        <v>ELR
40 000 $/160 000 $</v>
      </c>
      <c r="G18" s="1498" t="str">
        <f>OR_VEH!$B263&amp;"
"&amp;DOLLAR(OR_VEH!$E263,0)&amp;"/"&amp;DOLLAR(OR_VEH!$F263,0)</f>
        <v>NE PAS UTILISER
10 $/100 $</v>
      </c>
      <c r="H18" s="1498" t="str">
        <f>OR_VEH!$B313&amp;"
"&amp;DOLLAR(OR_VEH!$E313,0)&amp;"/"&amp;DOLLAR(OR_VEH!$F313,0)</f>
        <v>NE PAS UTILISER
10 $/100 $</v>
      </c>
      <c r="I18" s="1498" t="str">
        <f>OR_VEH!$B363&amp;"
"&amp;DOLLAR(OR_VEH!$E363,0)&amp;"/"&amp;DOLLAR(OR_VEH!$F363,0)</f>
        <v>NE PAS UTILISER
10 $/100 $</v>
      </c>
      <c r="J18" s="1498" t="str">
        <f>OR_VEH!$B413&amp;"
"&amp;DOLLAR(OR_VEH!$E413,0)&amp;"/"&amp;DOLLAR(OR_VEH!$F413,0)</f>
        <v>NE PAS UTILISER
10 $/100 $</v>
      </c>
      <c r="K18" s="1498" t="str">
        <f>OR_VEH!$B463&amp;"
"&amp;DOLLAR(OR_VEH!$E463,0)&amp;"/"&amp;DOLLAR(OR_VEH!$F463,0)</f>
        <v>NE PAS UTILISER
10 $/100 $</v>
      </c>
    </row>
    <row r="19" spans="1:11" ht="22.5" customHeight="1">
      <c r="A19" s="1497">
        <v>411</v>
      </c>
      <c r="B19" s="1498" t="str">
        <f>OR_VEH!$B14&amp;"
"&amp;DOLLAR(OR_VEH!$E14,0)&amp;"/"&amp;DOLLAR(OR_VEH!$F14,0)</f>
        <v>CRUZE
8 000 $/105 000 $</v>
      </c>
      <c r="C19" s="1498" t="str">
        <f>OR_VEH!$B64&amp;"
"&amp;DOLLAR(OR_VEH!$E64,0)&amp;"/"&amp;DOLLAR(OR_VEH!$F64,0)</f>
        <v>NE PAS UTILISER
10 $/100 $</v>
      </c>
      <c r="D19" s="1498" t="str">
        <f>OR_VEH!$B114&amp;"
"&amp;DOLLAR(OR_VEH!$E114,0)&amp;"/"&amp;DOLLAR(OR_VEH!$F114,0)</f>
        <v>NE PAS UTILISER
10 $/100 $</v>
      </c>
      <c r="E19" s="1498" t="str">
        <f>OR_VEH!$B164&amp;"
"&amp;DOLLAR(OR_VEH!$E164,0)&amp;"/"&amp;DOLLAR(OR_VEH!$F164,0)</f>
        <v>NE PAS UTILISER
10 $/100 $</v>
      </c>
      <c r="F19" s="1498" t="str">
        <f>OR_VEH!$B214&amp;"
"&amp;DOLLAR(OR_VEH!$E214,0)&amp;"/"&amp;DOLLAR(OR_VEH!$F214,0)</f>
        <v>ATS-V
40 000 $/150 000 $</v>
      </c>
      <c r="G19" s="1498" t="str">
        <f>OR_VEH!$B264&amp;"
"&amp;DOLLAR(OR_VEH!$E264,0)&amp;"/"&amp;DOLLAR(OR_VEH!$F264,0)</f>
        <v>NE PAS UTILISER
10 $/100 $</v>
      </c>
      <c r="H19" s="1498" t="str">
        <f>OR_VEH!$B314&amp;"
"&amp;DOLLAR(OR_VEH!$E314,0)&amp;"/"&amp;DOLLAR(OR_VEH!$F314,0)</f>
        <v>NE PAS UTILISER
10 $/100 $</v>
      </c>
      <c r="I19" s="1498" t="str">
        <f>OR_VEH!$B364&amp;"
"&amp;DOLLAR(OR_VEH!$E364,0)&amp;"/"&amp;DOLLAR(OR_VEH!$F364,0)</f>
        <v>NE PAS UTILISER
10 $/100 $</v>
      </c>
      <c r="J19" s="1498" t="str">
        <f>OR_VEH!$B414&amp;"
"&amp;DOLLAR(OR_VEH!$E414,0)&amp;"/"&amp;DOLLAR(OR_VEH!$F414,0)</f>
        <v>NE PAS UTILISER
10 $/100 $</v>
      </c>
      <c r="K19" s="1498" t="str">
        <f>OR_VEH!$B464&amp;"
"&amp;DOLLAR(OR_VEH!$E464,0)&amp;"/"&amp;DOLLAR(OR_VEH!$F464,0)</f>
        <v>NE PAS UTILISER
10 $/100 $</v>
      </c>
    </row>
    <row r="20" spans="1:11" ht="22.5" customHeight="1">
      <c r="A20" s="1497">
        <v>412</v>
      </c>
      <c r="B20" s="1498" t="str">
        <f>OR_VEH!$B15&amp;"
"&amp;DOLLAR(OR_VEH!$E15,0)&amp;"/"&amp;DOLLAR(OR_VEH!$F15,0)</f>
        <v>NE PAS UTILISER
10 $/100 $</v>
      </c>
      <c r="C20" s="1498" t="str">
        <f>OR_VEH!$B65&amp;"
"&amp;DOLLAR(OR_VEH!$E65,0)&amp;"/"&amp;DOLLAR(OR_VEH!$F65,0)</f>
        <v>NE PAS UTILISER
10 $/100 $</v>
      </c>
      <c r="D20" s="1498" t="str">
        <f>OR_VEH!$B115&amp;"
"&amp;DOLLAR(OR_VEH!$E115,0)&amp;"/"&amp;DOLLAR(OR_VEH!$F115,0)</f>
        <v>NE PAS UTILISER
10 $/100 $</v>
      </c>
      <c r="E20" s="1498" t="str">
        <f>OR_VEH!$B165&amp;"
"&amp;DOLLAR(OR_VEH!$E165,0)&amp;"/"&amp;DOLLAR(OR_VEH!$F165,0)</f>
        <v>NE PAS UTILISER
10 $/100 $</v>
      </c>
      <c r="F20" s="1498" t="str">
        <f>OR_VEH!$B215&amp;"
"&amp;DOLLAR(OR_VEH!$E215,0)&amp;"/"&amp;DOLLAR(OR_VEH!$F215,0)</f>
        <v>CT6
50 000 $/175 000 $</v>
      </c>
      <c r="G20" s="1498" t="str">
        <f>OR_VEH!$B265&amp;"
"&amp;DOLLAR(OR_VEH!$E265,0)&amp;"/"&amp;DOLLAR(OR_VEH!$F265,0)</f>
        <v>NE PAS UTILISER
10 $/100 $</v>
      </c>
      <c r="H20" s="1498" t="str">
        <f>OR_VEH!$B315&amp;"
"&amp;DOLLAR(OR_VEH!$E315,0)&amp;"/"&amp;DOLLAR(OR_VEH!$F315,0)</f>
        <v>NE PAS UTILISER
10 $/100 $</v>
      </c>
      <c r="I20" s="1498" t="str">
        <f>OR_VEH!$B365&amp;"
"&amp;DOLLAR(OR_VEH!$E365,0)&amp;"/"&amp;DOLLAR(OR_VEH!$F365,0)</f>
        <v>NE PAS UTILISER
10 $/100 $</v>
      </c>
      <c r="J20" s="1498" t="str">
        <f>OR_VEH!$B415&amp;"
"&amp;DOLLAR(OR_VEH!$E415,0)&amp;"/"&amp;DOLLAR(OR_VEH!$F415,0)</f>
        <v>NE PAS UTILISER
10 $/100 $</v>
      </c>
      <c r="K20" s="1498" t="str">
        <f>OR_VEH!$B465&amp;"
"&amp;DOLLAR(OR_VEH!$E465,0)&amp;"/"&amp;DOLLAR(OR_VEH!$F465,0)</f>
        <v>NE PAS UTILISER
10 $/100 $</v>
      </c>
    </row>
    <row r="21" spans="1:11" ht="22.5" customHeight="1">
      <c r="A21" s="1497">
        <v>413</v>
      </c>
      <c r="B21" s="1498" t="str">
        <f>OR_VEH!$B16&amp;"
"&amp;DOLLAR(OR_VEH!$E16,0)&amp;"/"&amp;DOLLAR(OR_VEH!$F16,0)</f>
        <v>NE PAS UTILISER
10 $/100 $</v>
      </c>
      <c r="C21" s="1498" t="str">
        <f>OR_VEH!$B66&amp;"
"&amp;DOLLAR(OR_VEH!$E66,0)&amp;"/"&amp;DOLLAR(OR_VEH!$F66,0)</f>
        <v>NE PAS UTILISER
10 $/100 $</v>
      </c>
      <c r="D21" s="1498" t="str">
        <f>OR_VEH!$B116&amp;"
"&amp;DOLLAR(OR_VEH!$E116,0)&amp;"/"&amp;DOLLAR(OR_VEH!$F116,0)</f>
        <v>NE PAS UTILISER
10 $/100 $</v>
      </c>
      <c r="E21" s="1498" t="str">
        <f>OR_VEH!$B166&amp;"
"&amp;DOLLAR(OR_VEH!$E166,0)&amp;"/"&amp;DOLLAR(OR_VEH!$F166,0)</f>
        <v>NE PAS UTILISER
10 $/100 $</v>
      </c>
      <c r="F21" s="1498" t="str">
        <f>OR_VEH!$B216&amp;"
"&amp;DOLLAR(OR_VEH!$E216,0)&amp;"/"&amp;DOLLAR(OR_VEH!$F216,0)</f>
        <v>NE PAS UTILISER
10 $/100 $</v>
      </c>
      <c r="G21" s="1498" t="str">
        <f>OR_VEH!$B266&amp;"
"&amp;DOLLAR(OR_VEH!$E266,0)&amp;"/"&amp;DOLLAR(OR_VEH!$F266,0)</f>
        <v>NE PAS UTILISER
10 $/100 $</v>
      </c>
      <c r="H21" s="1498" t="str">
        <f>OR_VEH!$B316&amp;"
"&amp;DOLLAR(OR_VEH!$E316,0)&amp;"/"&amp;DOLLAR(OR_VEH!$F316,0)</f>
        <v>NE PAS UTILISER
10 $/100 $</v>
      </c>
      <c r="I21" s="1498" t="str">
        <f>OR_VEH!$B366&amp;"
"&amp;DOLLAR(OR_VEH!$E366,0)&amp;"/"&amp;DOLLAR(OR_VEH!$F366,0)</f>
        <v>NE PAS UTILISER
10 $/100 $</v>
      </c>
      <c r="J21" s="1498" t="str">
        <f>OR_VEH!$B416&amp;"
"&amp;DOLLAR(OR_VEH!$E416,0)&amp;"/"&amp;DOLLAR(OR_VEH!$F416,0)</f>
        <v>NE PAS UTILISER
10 $/100 $</v>
      </c>
      <c r="K21" s="1498" t="str">
        <f>OR_VEH!$B466&amp;"
"&amp;DOLLAR(OR_VEH!$E466,0)&amp;"/"&amp;DOLLAR(OR_VEH!$F466,0)</f>
        <v>NE PAS UTILISER
10 $/100 $</v>
      </c>
    </row>
    <row r="22" spans="1:11" ht="22.5" customHeight="1">
      <c r="A22" s="1497">
        <v>414</v>
      </c>
      <c r="B22" s="1498" t="str">
        <f>OR_VEH!$B17&amp;"
"&amp;DOLLAR(OR_VEH!$E17,0)&amp;"/"&amp;DOLLAR(OR_VEH!$F17,0)</f>
        <v>NE PAS UTILISER
10 $/100 $</v>
      </c>
      <c r="C22" s="1498" t="str">
        <f>OR_VEH!$B67&amp;"
"&amp;DOLLAR(OR_VEH!$E67,0)&amp;"/"&amp;DOLLAR(OR_VEH!$F67,0)</f>
        <v>NE PAS UTILISER
10 $/100 $</v>
      </c>
      <c r="D22" s="1498" t="str">
        <f>OR_VEH!$B117&amp;"
"&amp;DOLLAR(OR_VEH!$E117,0)&amp;"/"&amp;DOLLAR(OR_VEH!$F117,0)</f>
        <v>NE PAS UTILISER
10 $/100 $</v>
      </c>
      <c r="E22" s="1498" t="str">
        <f>OR_VEH!$B167&amp;"
"&amp;DOLLAR(OR_VEH!$E167,0)&amp;"/"&amp;DOLLAR(OR_VEH!$F167,0)</f>
        <v>NE PAS UTILISER
10 $/100 $</v>
      </c>
      <c r="F22" s="1498" t="str">
        <f>OR_VEH!$B217&amp;"
"&amp;DOLLAR(OR_VEH!$E217,0)&amp;"/"&amp;DOLLAR(OR_VEH!$F217,0)</f>
        <v>NE PAS UTILISER
10 $/100 $</v>
      </c>
      <c r="G22" s="1498" t="str">
        <f>OR_VEH!$B267&amp;"
"&amp;DOLLAR(OR_VEH!$E267,0)&amp;"/"&amp;DOLLAR(OR_VEH!$F267,0)</f>
        <v>NE PAS UTILISER
10 $/100 $</v>
      </c>
      <c r="H22" s="1498" t="str">
        <f>OR_VEH!$B317&amp;"
"&amp;DOLLAR(OR_VEH!$E317,0)&amp;"/"&amp;DOLLAR(OR_VEH!$F317,0)</f>
        <v>NE PAS UTILISER
10 $/100 $</v>
      </c>
      <c r="I22" s="1498" t="str">
        <f>OR_VEH!$B367&amp;"
"&amp;DOLLAR(OR_VEH!$E367,0)&amp;"/"&amp;DOLLAR(OR_VEH!$F367,0)</f>
        <v>NE PAS UTILISER
10 $/100 $</v>
      </c>
      <c r="J22" s="1498" t="str">
        <f>OR_VEH!$B417&amp;"
"&amp;DOLLAR(OR_VEH!$E417,0)&amp;"/"&amp;DOLLAR(OR_VEH!$F417,0)</f>
        <v>NE PAS UTILISER
10 $/100 $</v>
      </c>
      <c r="K22" s="1498" t="str">
        <f>OR_VEH!$B467&amp;"
"&amp;DOLLAR(OR_VEH!$E467,0)&amp;"/"&amp;DOLLAR(OR_VEH!$F467,0)</f>
        <v>NE PAS UTILISER
10 $/100 $</v>
      </c>
    </row>
    <row r="23" spans="1:11" ht="22.5" customHeight="1">
      <c r="A23" s="1497">
        <v>415</v>
      </c>
      <c r="B23" s="1498" t="str">
        <f>OR_VEH!$B18&amp;"
"&amp;DOLLAR(OR_VEH!$E18,0)&amp;"/"&amp;DOLLAR(OR_VEH!$F18,0)</f>
        <v>NE PAS UTILISER
10 $/100 $</v>
      </c>
      <c r="C23" s="1498" t="str">
        <f>OR_VEH!$B68&amp;"
"&amp;DOLLAR(OR_VEH!$E68,0)&amp;"/"&amp;DOLLAR(OR_VEH!$F68,0)</f>
        <v>NE PAS UTILISER
10 $/100 $</v>
      </c>
      <c r="D23" s="1498" t="str">
        <f>OR_VEH!$B118&amp;"
"&amp;DOLLAR(OR_VEH!$E118,0)&amp;"/"&amp;DOLLAR(OR_VEH!$F118,0)</f>
        <v>NE PAS UTILISER
10 $/100 $</v>
      </c>
      <c r="E23" s="1498" t="str">
        <f>OR_VEH!$B168&amp;"
"&amp;DOLLAR(OR_VEH!$E168,0)&amp;"/"&amp;DOLLAR(OR_VEH!$F168,0)</f>
        <v>NE PAS UTILISER
10 $/100 $</v>
      </c>
      <c r="F23" s="1498" t="str">
        <f>OR_VEH!$B218&amp;"
"&amp;DOLLAR(OR_VEH!$E218,0)&amp;"/"&amp;DOLLAR(OR_VEH!$F218,0)</f>
        <v>NE PAS UTILISER
10 $/100 $</v>
      </c>
      <c r="G23" s="1498" t="str">
        <f>OR_VEH!$B268&amp;"
"&amp;DOLLAR(OR_VEH!$E268,0)&amp;"/"&amp;DOLLAR(OR_VEH!$F268,0)</f>
        <v>NE PAS UTILISER
10 $/100 $</v>
      </c>
      <c r="H23" s="1498" t="str">
        <f>OR_VEH!$B318&amp;"
"&amp;DOLLAR(OR_VEH!$E318,0)&amp;"/"&amp;DOLLAR(OR_VEH!$F318,0)</f>
        <v>NE PAS UTILISER
10 $/100 $</v>
      </c>
      <c r="I23" s="1498" t="str">
        <f>OR_VEH!$B368&amp;"
"&amp;DOLLAR(OR_VEH!$E368,0)&amp;"/"&amp;DOLLAR(OR_VEH!$F368,0)</f>
        <v>NE PAS UTILISER
10 $/100 $</v>
      </c>
      <c r="J23" s="1498" t="str">
        <f>OR_VEH!$B418&amp;"
"&amp;DOLLAR(OR_VEH!$E418,0)&amp;"/"&amp;DOLLAR(OR_VEH!$F418,0)</f>
        <v>NE PAS UTILISER
10 $/100 $</v>
      </c>
      <c r="K23" s="1498" t="str">
        <f>OR_VEH!$B468&amp;"
"&amp;DOLLAR(OR_VEH!$E468,0)&amp;"/"&amp;DOLLAR(OR_VEH!$F468,0)</f>
        <v>NE PAS UTILISER
10 $/100 $</v>
      </c>
    </row>
    <row r="24" spans="1:11" ht="22.5" customHeight="1">
      <c r="A24" s="1497">
        <v>416</v>
      </c>
      <c r="B24" s="1498" t="str">
        <f>OR_VEH!$B19&amp;"
"&amp;DOLLAR(OR_VEH!$E19,0)&amp;"/"&amp;DOLLAR(OR_VEH!$F19,0)</f>
        <v>POUR USAGE FUTUR
0 $/999 999 $</v>
      </c>
      <c r="C24" s="1498" t="str">
        <f>OR_VEH!$B69&amp;"
"&amp;DOLLAR(OR_VEH!$E69,0)&amp;"/"&amp;DOLLAR(OR_VEH!$F69,0)</f>
        <v>NE PAS UTILISER
10 $/100 $</v>
      </c>
      <c r="D24" s="1498" t="str">
        <f>OR_VEH!$B119&amp;"
"&amp;DOLLAR(OR_VEH!$E119,0)&amp;"/"&amp;DOLLAR(OR_VEH!$F119,0)</f>
        <v>NE PAS UTILISER
10 $/100 $</v>
      </c>
      <c r="E24" s="1498" t="str">
        <f>OR_VEH!$B169&amp;"
"&amp;DOLLAR(OR_VEH!$E169,0)&amp;"/"&amp;DOLLAR(OR_VEH!$F169,0)</f>
        <v>POUR USAGE FUTUR
0 $/999 999 $</v>
      </c>
      <c r="F24" s="1498" t="str">
        <f>OR_VEH!$B219&amp;"
"&amp;DOLLAR(OR_VEH!$E219,0)&amp;"/"&amp;DOLLAR(OR_VEH!$F219,0)</f>
        <v>POUR USAGE FUTUR
0 $/999 999 $</v>
      </c>
      <c r="G24" s="1498" t="str">
        <f>OR_VEH!$B269&amp;"
"&amp;DOLLAR(OR_VEH!$E269,0)&amp;"/"&amp;DOLLAR(OR_VEH!$F269,0)</f>
        <v>POUR USAGE FUTUR
0 $/999 999 $</v>
      </c>
      <c r="H24" s="1498" t="str">
        <f>OR_VEH!$B319&amp;"
"&amp;DOLLAR(OR_VEH!$E319,0)&amp;"/"&amp;DOLLAR(OR_VEH!$F319,0)</f>
        <v>NE PAS UTILISER
10 $/100 $</v>
      </c>
      <c r="I24" s="1498" t="str">
        <f>OR_VEH!$B369&amp;"
"&amp;DOLLAR(OR_VEH!$E369,0)&amp;"/"&amp;DOLLAR(OR_VEH!$F369,0)</f>
        <v>NE PAS UTILISER
10 $/100 $</v>
      </c>
      <c r="J24" s="1498" t="str">
        <f>OR_VEH!$B419&amp;"
"&amp;DOLLAR(OR_VEH!$E419,0)&amp;"/"&amp;DOLLAR(OR_VEH!$F419,0)</f>
        <v>NE PAS UTILISER
10 $/100 $</v>
      </c>
      <c r="K24" s="1498" t="str">
        <f>OR_VEH!$B469&amp;"
"&amp;DOLLAR(OR_VEH!$E469,0)&amp;"/"&amp;DOLLAR(OR_VEH!$F469,0)</f>
        <v>NE PAS UTILISER
10 $/100 $</v>
      </c>
    </row>
    <row r="25" spans="1:11" ht="33.75" customHeight="1">
      <c r="A25" s="1497">
        <v>417</v>
      </c>
      <c r="B25" s="1498" t="str">
        <f>OR_VEH!$B20&amp;"
"&amp;DOLLAR(OR_VEH!$E20,0)&amp;"/"&amp;DOLLAR(OR_VEH!$F20,0)</f>
        <v>NE PAS UTILISER
10 $/100 $</v>
      </c>
      <c r="C25" s="1498" t="str">
        <f>OR_VEH!$B70&amp;"
"&amp;DOLLAR(OR_VEH!$E70,0)&amp;"/"&amp;DOLLAR(OR_VEH!$F70,0)</f>
        <v>NE PAS UTILISER
10 $/100 $</v>
      </c>
      <c r="D25" s="1498" t="str">
        <f>OR_VEH!$B120&amp;"
"&amp;DOLLAR(OR_VEH!$E120,0)&amp;"/"&amp;DOLLAR(OR_VEH!$F120,0)</f>
        <v>NE PAS UTILISER
10 $/100 $</v>
      </c>
      <c r="E25" s="1498" t="str">
        <f>OR_VEH!$B170&amp;"
"&amp;DOLLAR(OR_VEH!$E170,0)&amp;"/"&amp;DOLLAR(OR_VEH!$F170,0)</f>
        <v>NE PAS UTILISER
10 $/100 $</v>
      </c>
      <c r="F25" s="1498" t="str">
        <f>OR_VEH!$B220&amp;"
"&amp;DOLLAR(OR_VEH!$E220,0)&amp;"/"&amp;DOLLAR(OR_VEH!$F220,0)</f>
        <v>NE PAS UTILISER
10 $/100 $</v>
      </c>
      <c r="G25" s="1498" t="str">
        <f>OR_VEH!$B270&amp;"
"&amp;DOLLAR(OR_VEH!$E270,0)&amp;"/"&amp;DOLLAR(OR_VEH!$F270,0)</f>
        <v>NE PAS UTILISER
10 $/100 $</v>
      </c>
      <c r="H25" s="1498" t="str">
        <f>OR_VEH!$B320&amp;"
"&amp;DOLLAR(OR_VEH!$E320,0)&amp;"/"&amp;DOLLAR(OR_VEH!$F320,0)</f>
        <v>NE PAS UTILISER
10 $/100 $</v>
      </c>
      <c r="I25" s="1498" t="str">
        <f>OR_VEH!$B370&amp;"
"&amp;DOLLAR(OR_VEH!$E370,0)&amp;"/"&amp;DOLLAR(OR_VEH!$F370,0)</f>
        <v>NE PAS UTILISER
10 $/100 $</v>
      </c>
      <c r="J25" s="1498" t="str">
        <f>OR_VEH!$B420&amp;"
"&amp;DOLLAR(OR_VEH!$E420,0)&amp;"/"&amp;DOLLAR(OR_VEH!$F420,0)</f>
        <v>NE PAS UTILISER
10 $/100 $</v>
      </c>
      <c r="K25" s="1498" t="str">
        <f>OR_VEH!$B470&amp;"
"&amp;DOLLAR(OR_VEH!$E470,0)&amp;"/"&amp;DOLLAR(OR_VEH!$F470,0)</f>
        <v>NE PAS UTILISER
10 $/100 $</v>
      </c>
    </row>
    <row r="26" spans="1:11" ht="35.25" customHeight="1">
      <c r="A26" s="1497">
        <v>418</v>
      </c>
      <c r="B26" s="1498" t="str">
        <f>OR_VEH!$B21&amp;"
"&amp;DOLLAR(OR_VEH!$E21,0)&amp;"/"&amp;DOLLAR(OR_VEH!$F21,0)</f>
        <v>AUTRES CHEVROLET
12 000 $/125 000 $</v>
      </c>
      <c r="C26" s="1498" t="str">
        <f>OR_VEH!$B71&amp;"
"&amp;DOLLAR(OR_VEH!$E71,0)&amp;"/"&amp;DOLLAR(OR_VEH!$F71,0)</f>
        <v>NE PAS UTILISER
10 $/100 $</v>
      </c>
      <c r="D26" s="1498" t="str">
        <f>OR_VEH!$B121&amp;"
"&amp;DOLLAR(OR_VEH!$E121,0)&amp;"/"&amp;DOLLAR(OR_VEH!$F121,0)</f>
        <v>NE PAS UTILISER
10 $/100 $</v>
      </c>
      <c r="E26" s="1498" t="str">
        <f>OR_VEH!$B171&amp;"
"&amp;DOLLAR(OR_VEH!$E171,0)&amp;"/"&amp;DOLLAR(OR_VEH!$F171,0)</f>
        <v>AUTRES BUICK
17 000 $/110 000 $</v>
      </c>
      <c r="F26" s="1498" t="str">
        <f>OR_VEH!$B221&amp;"
"&amp;DOLLAR(OR_VEH!$E221,0)&amp;"/"&amp;DOLLAR(OR_VEH!$F221,0)</f>
        <v>AUTRES CADILLAC
30 000 $/180 000 $</v>
      </c>
      <c r="G26" s="1498" t="str">
        <f>OR_VEH!$B271&amp;"
"&amp;DOLLAR(OR_VEH!$E271,0)&amp;"/"&amp;DOLLAR(OR_VEH!$F271,0)</f>
        <v>AUTRES GMC
10 000 $/110 000 $</v>
      </c>
      <c r="H26" s="1498" t="str">
        <f>OR_VEH!$B321&amp;"
"&amp;DOLLAR(OR_VEH!$E321,0)&amp;"/"&amp;DOLLAR(OR_VEH!$F321,0)</f>
        <v>NE PAS UTILISER
10 $/100 $</v>
      </c>
      <c r="I26" s="1498" t="str">
        <f>OR_VEH!$B371&amp;"
"&amp;DOLLAR(OR_VEH!$E371,0)&amp;"/"&amp;DOLLAR(OR_VEH!$F371,0)</f>
        <v>NE PAS UTILISER
10 $/100 $</v>
      </c>
      <c r="J26" s="1498" t="str">
        <f>OR_VEH!$B421&amp;"
"&amp;DOLLAR(OR_VEH!$E421,0)&amp;"/"&amp;DOLLAR(OR_VEH!$F421,0)</f>
        <v>NE PAS UTILISER
10 $/100 $</v>
      </c>
      <c r="K26" s="1498" t="str">
        <f>OR_VEH!$B471&amp;"
"&amp;DOLLAR(OR_VEH!$E471,0)&amp;"/"&amp;DOLLAR(OR_VEH!$F471,0)</f>
        <v>NE PAS UTILISER
10 $/100 $</v>
      </c>
    </row>
    <row r="27" spans="1:11">
      <c r="B27" s="713" t="str">
        <f t="shared" ref="B27:K27" si="0">B7</f>
        <v>CHEVROLET</v>
      </c>
      <c r="C27" s="713" t="str">
        <f t="shared" si="0"/>
        <v>CHEVROLET - VE</v>
      </c>
      <c r="D27" s="713" t="str">
        <f t="shared" si="0"/>
        <v>BUICK - VE</v>
      </c>
      <c r="E27" s="713" t="str">
        <f t="shared" si="0"/>
        <v>BUICK</v>
      </c>
      <c r="F27" s="713" t="str">
        <f t="shared" si="0"/>
        <v>CADILLAC</v>
      </c>
      <c r="G27" s="713" t="str">
        <f t="shared" si="0"/>
        <v>GMC</v>
      </c>
      <c r="H27" s="713" t="str">
        <f t="shared" si="0"/>
        <v>CADILLAC - VE</v>
      </c>
      <c r="I27" s="713" t="str">
        <f t="shared" si="0"/>
        <v>GMC - VE</v>
      </c>
      <c r="J27" s="713" t="str">
        <f t="shared" si="0"/>
        <v>SANS OBJECT</v>
      </c>
      <c r="K27" s="713" t="str">
        <f t="shared" si="0"/>
        <v>SANS OBJECT</v>
      </c>
    </row>
    <row r="28" spans="1:11" ht="22.5" customHeight="1">
      <c r="A28" s="1497">
        <v>423</v>
      </c>
      <c r="B28" s="1498" t="str">
        <f>OR_VEH!$B27&amp;"
"&amp;DOLLAR(OR_VEH!$E27,0)&amp;"/"&amp;DOLLAR(OR_VEH!$F27,0)</f>
        <v>NE PAS UTILISER
10 $/100 $</v>
      </c>
      <c r="C28" s="1498" t="str">
        <f>OR_VEH!$B77&amp;"
"&amp;DOLLAR(OR_VEH!$E77,0)&amp;"/"&amp;DOLLAR(OR_VEH!$F77,0)</f>
        <v>BOLT EUV
30 000 $/120 000 $</v>
      </c>
      <c r="D28" s="1498" t="str">
        <f>OR_VEH!$B127&amp;"
"&amp;DOLLAR(OR_VEH!$E127,0)&amp;"/"&amp;DOLLAR(OR_VEH!$F127,0)</f>
        <v>NE PAS UTILISER
10 $/100 $</v>
      </c>
      <c r="E28" s="1498" t="str">
        <f>OR_VEH!$B177&amp;"
"&amp;DOLLAR(OR_VEH!$E177,0)&amp;"/"&amp;DOLLAR(OR_VEH!$F177,0)</f>
        <v>NE PAS UTILISER
10 $/100 $</v>
      </c>
      <c r="F28" s="1498" t="str">
        <f>OR_VEH!$B227&amp;"
"&amp;DOLLAR(OR_VEH!$E227,0)&amp;"/"&amp;DOLLAR(OR_VEH!$F227,0)</f>
        <v>ESCALADE   
45 000 $/220 000 $</v>
      </c>
      <c r="G28" s="1498" t="str">
        <f>OR_VEH!$B277&amp;"
"&amp;DOLLAR(OR_VEH!$E277,0)&amp;"/"&amp;DOLLAR(OR_VEH!$F277,0)</f>
        <v>NE PAS UTILISER
10 $/100 $</v>
      </c>
      <c r="H28" s="1498" t="str">
        <f>OR_VEH!$B327&amp;"
"&amp;DOLLAR(OR_VEH!$E327,0)&amp;"/"&amp;DOLLAR(OR_VEH!$F327,0)</f>
        <v>LYRIQ
50 000 $/170 000 $</v>
      </c>
      <c r="I28" s="1498" t="str">
        <f>OR_VEH!$B377&amp;"
"&amp;DOLLAR(OR_VEH!$E377,0)&amp;"/"&amp;DOLLAR(OR_VEH!$F377,0)</f>
        <v>HUMMER EV SUT
70 000 $/300 000 $</v>
      </c>
      <c r="J28" s="1498" t="str">
        <f>OR_VEH!$B427&amp;"
"&amp;DOLLAR(OR_VEH!$E427,0)&amp;"/"&amp;DOLLAR(OR_VEH!$F427,0)</f>
        <v>NE PAS UTILISER
10 $/100 $</v>
      </c>
      <c r="K28" s="1498" t="str">
        <f>OR_VEH!$B477&amp;"
"&amp;DOLLAR(OR_VEH!$E477,0)&amp;"/"&amp;DOLLAR(OR_VEH!$F477,0)</f>
        <v>POIDS LOURD
10 $/999 999 $</v>
      </c>
    </row>
    <row r="29" spans="1:11" ht="22.5" customHeight="1">
      <c r="A29" s="1497">
        <v>424</v>
      </c>
      <c r="B29" s="1498" t="str">
        <f>OR_VEH!$B28&amp;"
"&amp;DOLLAR(OR_VEH!$E28,0)&amp;"/"&amp;DOLLAR(OR_VEH!$F28,0)</f>
        <v>NE PAS UTILISER
10 $/100 $</v>
      </c>
      <c r="C29" s="1498" t="str">
        <f>OR_VEH!$B78&amp;"
"&amp;DOLLAR(OR_VEH!$E78,0)&amp;"/"&amp;DOLLAR(OR_VEH!$F78,0)</f>
        <v>BOLT EV
30 000 $/125 000 $</v>
      </c>
      <c r="D29" s="1498" t="str">
        <f>OR_VEH!$B128&amp;"
"&amp;DOLLAR(OR_VEH!$E128,0)&amp;"/"&amp;DOLLAR(OR_VEH!$F128,0)</f>
        <v>NE PAS UTILISER
10 $/100 $</v>
      </c>
      <c r="E29" s="1498" t="str">
        <f>OR_VEH!$B178&amp;"
"&amp;DOLLAR(OR_VEH!$E178,0)&amp;"/"&amp;DOLLAR(OR_VEH!$F178,0)</f>
        <v>ENVISTA
15 000 $/100 000 $</v>
      </c>
      <c r="F29" s="1498" t="str">
        <f>OR_VEH!$B228&amp;"
"&amp;DOLLAR(OR_VEH!$E228,0)&amp;"/"&amp;DOLLAR(OR_VEH!$F228,0)</f>
        <v>NE PAS UTILISER
10 $/100 $</v>
      </c>
      <c r="G29" s="1498" t="str">
        <f>OR_VEH!$B278&amp;"
"&amp;DOLLAR(OR_VEH!$E278,0)&amp;"/"&amp;DOLLAR(OR_VEH!$F278,0)</f>
        <v>TERRAIN
14 000 $/120 000 $</v>
      </c>
      <c r="H29" s="1498" t="str">
        <f>OR_VEH!$B328&amp;"
"&amp;DOLLAR(OR_VEH!$E328,0)&amp;"/"&amp;DOLLAR(OR_VEH!$F328,0)</f>
        <v>OPTIQ
40 000 $/140 000 $</v>
      </c>
      <c r="I29" s="1498" t="str">
        <f>OR_VEH!$B378&amp;"
"&amp;DOLLAR(OR_VEH!$E378,0)&amp;"/"&amp;DOLLAR(OR_VEH!$F378,0)</f>
        <v>HUMMER EV SUV
70 000 $/300 000 $</v>
      </c>
      <c r="J29" s="1498" t="str">
        <f>OR_VEH!$B428&amp;"
"&amp;DOLLAR(OR_VEH!$E428,0)&amp;"/"&amp;DOLLAR(OR_VEH!$F428,0)</f>
        <v>NE PAS UTILISER
10 $/100 $</v>
      </c>
      <c r="K29" s="1498" t="str">
        <f>OR_VEH!$B478&amp;"
"&amp;DOLLAR(OR_VEH!$E478,0)&amp;"/"&amp;DOLLAR(OR_VEH!$F478,0)</f>
        <v>NE PAS UTILISER
10 $/100 $</v>
      </c>
    </row>
    <row r="30" spans="1:11" ht="22.5" customHeight="1">
      <c r="A30" s="1497">
        <v>425</v>
      </c>
      <c r="B30" s="1498" t="str">
        <f>OR_VEH!$B29&amp;"
"&amp;DOLLAR(OR_VEH!$E29,0)&amp;"/"&amp;DOLLAR(OR_VEH!$F29,0)</f>
        <v>EXPRESS
20 000 $/130 000 $</v>
      </c>
      <c r="C30" s="1498" t="str">
        <f>OR_VEH!$B79&amp;"
"&amp;DOLLAR(OR_VEH!$E79,0)&amp;"/"&amp;DOLLAR(OR_VEH!$F79,0)</f>
        <v>BLAZER EV
45 000 $/130 000 $</v>
      </c>
      <c r="D30" s="1498" t="str">
        <f>OR_VEH!$B129&amp;"
"&amp;DOLLAR(OR_VEH!$E129,0)&amp;"/"&amp;DOLLAR(OR_VEH!$F129,0)</f>
        <v>NE PAS UTILISER
10 $/100 $</v>
      </c>
      <c r="E30" s="1498" t="str">
        <f>OR_VEH!$B179&amp;"
"&amp;DOLLAR(OR_VEH!$E179,0)&amp;"/"&amp;DOLLAR(OR_VEH!$F179,0)</f>
        <v>NE PAS UTILISER
10 $/100 $</v>
      </c>
      <c r="F30" s="1498" t="str">
        <f>OR_VEH!$B229&amp;"
"&amp;DOLLAR(OR_VEH!$E229,0)&amp;"/"&amp;DOLLAR(OR_VEH!$F229,0)</f>
        <v>ESCALADE-ESV
45 000 $/250 000 $</v>
      </c>
      <c r="G30" s="1498" t="str">
        <f>OR_VEH!$B279&amp;"
"&amp;DOLLAR(OR_VEH!$E279,0)&amp;"/"&amp;DOLLAR(OR_VEH!$F279,0)</f>
        <v>SAVANA
20 000 $/140 000 $</v>
      </c>
      <c r="H30" s="1498" t="str">
        <f>OR_VEH!$B329&amp;"
"&amp;DOLLAR(OR_VEH!$E329,0)&amp;"/"&amp;DOLLAR(OR_VEH!$F329,0)</f>
        <v>ESCALADE IQ
5 000 $/350 000 $</v>
      </c>
      <c r="I30" s="1498" t="str">
        <f>OR_VEH!$B379&amp;"
"&amp;DOLLAR(OR_VEH!$E379,0)&amp;"/"&amp;DOLLAR(OR_VEH!$F379,0)</f>
        <v>SIERRA EV
40 000 $/155 000 $</v>
      </c>
      <c r="J30" s="1498" t="str">
        <f>OR_VEH!$B429&amp;"
"&amp;DOLLAR(OR_VEH!$E429,0)&amp;"/"&amp;DOLLAR(OR_VEH!$F429,0)</f>
        <v>NE PAS UTILISER
10 $/100 $</v>
      </c>
      <c r="K30" s="1498" t="str">
        <f>OR_VEH!$B479&amp;"
"&amp;DOLLAR(OR_VEH!$E479,0)&amp;"/"&amp;DOLLAR(OR_VEH!$F479,0)</f>
        <v>NE PAS UTILISER
10 $/100 $</v>
      </c>
    </row>
    <row r="31" spans="1:11" ht="22.5" customHeight="1">
      <c r="A31" s="1497">
        <v>426</v>
      </c>
      <c r="B31" s="1498" t="str">
        <f>OR_VEH!$B30&amp;"
"&amp;DOLLAR(OR_VEH!$E30,0)&amp;"/"&amp;DOLLAR(OR_VEH!$F30,0)</f>
        <v>COLORADO
20 000 $/130 000 $</v>
      </c>
      <c r="C31" s="1498" t="str">
        <f>OR_VEH!$B80&amp;"
"&amp;DOLLAR(OR_VEH!$E80,0)&amp;"/"&amp;DOLLAR(OR_VEH!$F80,0)</f>
        <v>EQUINOX EV
33 500 $/96 000 $</v>
      </c>
      <c r="D31" s="1498" t="str">
        <f>OR_VEH!$B130&amp;"
"&amp;DOLLAR(OR_VEH!$E130,0)&amp;"/"&amp;DOLLAR(OR_VEH!$F130,0)</f>
        <v>NE PAS UTILISER
10 $/100 $</v>
      </c>
      <c r="E31" s="1498" t="str">
        <f>OR_VEH!$B180&amp;"
"&amp;DOLLAR(OR_VEH!$E180,0)&amp;"/"&amp;DOLLAR(OR_VEH!$F180,0)</f>
        <v>ENCLAVE
25 000 $/140 000 $</v>
      </c>
      <c r="F31" s="1498" t="str">
        <f>OR_VEH!$B230&amp;"
"&amp;DOLLAR(OR_VEH!$E230,0)&amp;"/"&amp;DOLLAR(OR_VEH!$F230,0)</f>
        <v>SRX
30 000 $/170 000 $</v>
      </c>
      <c r="G31" s="1498" t="str">
        <f>OR_VEH!$B280&amp;"
"&amp;DOLLAR(OR_VEH!$E280,0)&amp;"/"&amp;DOLLAR(OR_VEH!$F280,0)</f>
        <v>CANYON
20 000 $/130 000 $</v>
      </c>
      <c r="H31" s="1498" t="str">
        <f>OR_VEH!$B330&amp;"
"&amp;DOLLAR(OR_VEH!$E330,0)&amp;"/"&amp;DOLLAR(OR_VEH!$F330,0)</f>
        <v>VISTIQ
50 000 $/200 000 $</v>
      </c>
      <c r="I31" s="1498" t="str">
        <f>OR_VEH!$B380&amp;"
"&amp;DOLLAR(OR_VEH!$E380,0)&amp;"/"&amp;DOLLAR(OR_VEH!$F380,0)</f>
        <v>NE PAS UTILISER
10 $/100 $</v>
      </c>
      <c r="J31" s="1498" t="str">
        <f>OR_VEH!$B430&amp;"
"&amp;DOLLAR(OR_VEH!$E430,0)&amp;"/"&amp;DOLLAR(OR_VEH!$F430,0)</f>
        <v>NE PAS UTILISER
10 $/100 $</v>
      </c>
      <c r="K31" s="1498" t="str">
        <f>OR_VEH!$B480&amp;"
"&amp;DOLLAR(OR_VEH!$E480,0)&amp;"/"&amp;DOLLAR(OR_VEH!$F480,0)</f>
        <v>NE PAS UTILISER
10 $/100 $</v>
      </c>
    </row>
    <row r="32" spans="1:11" ht="22.5" customHeight="1">
      <c r="A32" s="1497">
        <v>427</v>
      </c>
      <c r="B32" s="1498" t="str">
        <f>OR_VEH!$B31&amp;"
"&amp;DOLLAR(OR_VEH!$E31,0)&amp;"/"&amp;DOLLAR(OR_VEH!$F31,0)</f>
        <v>TRAVERSE
24 000 $/130 000 $</v>
      </c>
      <c r="C32" s="1498" t="str">
        <f>OR_VEH!$B81&amp;"
"&amp;DOLLAR(OR_VEH!$E81,0)&amp;"/"&amp;DOLLAR(OR_VEH!$F81,0)</f>
        <v>SILVERADO EV
40 000 $/155 000 $</v>
      </c>
      <c r="D32" s="1498" t="str">
        <f>OR_VEH!$B131&amp;"
"&amp;DOLLAR(OR_VEH!$E131,0)&amp;"/"&amp;DOLLAR(OR_VEH!$F131,0)</f>
        <v>NE PAS UTILISER
10 $/100 $</v>
      </c>
      <c r="E32" s="1498" t="str">
        <f>OR_VEH!$B181&amp;"
"&amp;DOLLAR(OR_VEH!$E181,0)&amp;"/"&amp;DOLLAR(OR_VEH!$F181,0)</f>
        <v>ENCORE GX
15 000 $/125 000 $</v>
      </c>
      <c r="F32" s="1498" t="str">
        <f>OR_VEH!$B231&amp;"
"&amp;DOLLAR(OR_VEH!$E231,0)&amp;"/"&amp;DOLLAR(OR_VEH!$F231,0)</f>
        <v>NE PAS UTILISER
10 $/100 $</v>
      </c>
      <c r="G32" s="1498" t="str">
        <f>OR_VEH!$B281&amp;"
"&amp;DOLLAR(OR_VEH!$E281,0)&amp;"/"&amp;DOLLAR(OR_VEH!$F281,0)</f>
        <v>NE PAS UTILISER
10 $/100 $</v>
      </c>
      <c r="H32" s="1498" t="str">
        <f>OR_VEH!$B331&amp;"
"&amp;DOLLAR(OR_VEH!$E331,0)&amp;"/"&amp;DOLLAR(OR_VEH!$F331,0)</f>
        <v>ESCALADE IQL
50 000 $/300 000 $</v>
      </c>
      <c r="I32" s="1498" t="str">
        <f>OR_VEH!$B381&amp;"
"&amp;DOLLAR(OR_VEH!$E381,0)&amp;"/"&amp;DOLLAR(OR_VEH!$F381,0)</f>
        <v>NE PAS UTILISER
10 $/100 $</v>
      </c>
      <c r="J32" s="1498" t="str">
        <f>OR_VEH!$B431&amp;"
"&amp;DOLLAR(OR_VEH!$E431,0)&amp;"/"&amp;DOLLAR(OR_VEH!$F431,0)</f>
        <v>NE PAS UTILISER
10 $/100 $</v>
      </c>
      <c r="K32" s="1498" t="str">
        <f>OR_VEH!$B481&amp;"
"&amp;DOLLAR(OR_VEH!$E481,0)&amp;"/"&amp;DOLLAR(OR_VEH!$F481,0)</f>
        <v>NE PAS UTILISER
10 $/100 $</v>
      </c>
    </row>
    <row r="33" spans="1:11" ht="22.5" customHeight="1">
      <c r="A33" s="1497">
        <v>428</v>
      </c>
      <c r="B33" s="1498" t="str">
        <f>OR_VEH!$B32&amp;"
"&amp;DOLLAR(OR_VEH!$E32,0)&amp;"/"&amp;DOLLAR(OR_VEH!$F32,0)</f>
        <v>TRAX
15 000 $/115 000 $</v>
      </c>
      <c r="C33" s="1498" t="str">
        <f>OR_VEH!$B82&amp;"
"&amp;DOLLAR(OR_VEH!$E82,0)&amp;"/"&amp;DOLLAR(OR_VEH!$F82,0)</f>
        <v>ZEVO 400 AWD
50 000 $/200 000 $</v>
      </c>
      <c r="D33" s="1498" t="str">
        <f>OR_VEH!$B132&amp;"
"&amp;DOLLAR(OR_VEH!$E132,0)&amp;"/"&amp;DOLLAR(OR_VEH!$F132,0)</f>
        <v>NE PAS UTILISER
10 $/100 $</v>
      </c>
      <c r="E33" s="1498" t="str">
        <f>OR_VEH!$B182&amp;"
"&amp;DOLLAR(OR_VEH!$E182,0)&amp;"/"&amp;DOLLAR(OR_VEH!$F182,0)</f>
        <v>ENCORE
20 000 $/115 000 $</v>
      </c>
      <c r="F33" s="1498" t="str">
        <f>OR_VEH!$B232&amp;"
"&amp;DOLLAR(OR_VEH!$E232,0)&amp;"/"&amp;DOLLAR(OR_VEH!$F232,0)</f>
        <v>NE PAS UTILISER
10 $/100 $</v>
      </c>
      <c r="G33" s="1498" t="str">
        <f>OR_VEH!$B282&amp;"
"&amp;DOLLAR(OR_VEH!$E282,0)&amp;"/"&amp;DOLLAR(OR_VEH!$F282,0)</f>
        <v>NE PAS UTILISER
10 $/100 $</v>
      </c>
      <c r="H33" s="1498" t="str">
        <f>OR_VEH!$B332&amp;"
"&amp;DOLLAR(OR_VEH!$E332,0)&amp;"/"&amp;DOLLAR(OR_VEH!$F332,0)</f>
        <v>NE PAS UTILISER
10 $/100 $</v>
      </c>
      <c r="I33" s="1498" t="str">
        <f>OR_VEH!$B382&amp;"
"&amp;DOLLAR(OR_VEH!$E382,0)&amp;"/"&amp;DOLLAR(OR_VEH!$F382,0)</f>
        <v>NE PAS UTILISER
10 $/100 $</v>
      </c>
      <c r="J33" s="1498" t="str">
        <f>OR_VEH!$B432&amp;"
"&amp;DOLLAR(OR_VEH!$E432,0)&amp;"/"&amp;DOLLAR(OR_VEH!$F432,0)</f>
        <v>NE PAS UTILISER
10 $/100 $</v>
      </c>
      <c r="K33" s="1498" t="str">
        <f>OR_VEH!$B482&amp;"
"&amp;DOLLAR(OR_VEH!$E482,0)&amp;"/"&amp;DOLLAR(OR_VEH!$F482,0)</f>
        <v>NE PAS UTILISER
10 $/100 $</v>
      </c>
    </row>
    <row r="34" spans="1:11" ht="22.5" customHeight="1">
      <c r="A34" s="1497">
        <v>429</v>
      </c>
      <c r="B34" s="1498" t="str">
        <f>OR_VEH!$B33&amp;"
"&amp;DOLLAR(OR_VEH!$E33,0)&amp;"/"&amp;DOLLAR(OR_VEH!$F33,0)</f>
        <v>TAHOE/SUBURBAN
24 000 $/150 000 $</v>
      </c>
      <c r="C34" s="1498" t="str">
        <f>OR_VEH!$B83&amp;"
"&amp;DOLLAR(OR_VEH!$E83,0)&amp;"/"&amp;DOLLAR(OR_VEH!$F83,0)</f>
        <v>ZEVO 600 AWD
50 000 $/200 000 $</v>
      </c>
      <c r="D34" s="1498" t="str">
        <f>OR_VEH!$B133&amp;"
"&amp;DOLLAR(OR_VEH!$E133,0)&amp;"/"&amp;DOLLAR(OR_VEH!$F133,0)</f>
        <v>NE PAS UTILISER
10 $/100 $</v>
      </c>
      <c r="E34" s="1498" t="str">
        <f>OR_VEH!$B183&amp;"
"&amp;DOLLAR(OR_VEH!$E183,0)&amp;"/"&amp;DOLLAR(OR_VEH!$F183,0)</f>
        <v>ENVISION
25 000 $/120 000 $</v>
      </c>
      <c r="F34" s="1498" t="str">
        <f>OR_VEH!$B233&amp;"
"&amp;DOLLAR(OR_VEH!$E233,0)&amp;"/"&amp;DOLLAR(OR_VEH!$F233,0)</f>
        <v>NE PAS UTILISER
10 $/100 $</v>
      </c>
      <c r="G34" s="1498" t="str">
        <f>OR_VEH!$B283&amp;"
"&amp;DOLLAR(OR_VEH!$E283,0)&amp;"/"&amp;DOLLAR(OR_VEH!$F283,0)</f>
        <v>NE PAS UTILISER
10 $/100 $</v>
      </c>
      <c r="H34" s="1498" t="str">
        <f>OR_VEH!$B333&amp;"
"&amp;DOLLAR(OR_VEH!$E333,0)&amp;"/"&amp;DOLLAR(OR_VEH!$F333,0)</f>
        <v>NE PAS UTILISER
10 $/100 $</v>
      </c>
      <c r="I34" s="1498" t="str">
        <f>OR_VEH!$B383&amp;"
"&amp;DOLLAR(OR_VEH!$E383,0)&amp;"/"&amp;DOLLAR(OR_VEH!$F383,0)</f>
        <v>NE PAS UTILISER
10 $/100 $</v>
      </c>
      <c r="J34" s="1498" t="str">
        <f>OR_VEH!$B433&amp;"
"&amp;DOLLAR(OR_VEH!$E433,0)&amp;"/"&amp;DOLLAR(OR_VEH!$F433,0)</f>
        <v>NE PAS UTILISER
10 $/100 $</v>
      </c>
      <c r="K34" s="1498" t="str">
        <f>OR_VEH!$B483&amp;"
"&amp;DOLLAR(OR_VEH!$E483,0)&amp;"/"&amp;DOLLAR(OR_VEH!$F483,0)</f>
        <v>NE PAS UTILISER
10 $/100 $</v>
      </c>
    </row>
    <row r="35" spans="1:11" ht="22.5" customHeight="1">
      <c r="A35" s="1497">
        <v>430</v>
      </c>
      <c r="B35" s="1498" t="str">
        <f>OR_VEH!$B34&amp;"
"&amp;DOLLAR(OR_VEH!$E34,0)&amp;"/"&amp;DOLLAR(OR_VEH!$F34,0)</f>
        <v>CL 1500 SILVERADO
12 000 $/140 000 $</v>
      </c>
      <c r="C35" s="1498" t="str">
        <f>OR_VEH!$B84&amp;"
"&amp;DOLLAR(OR_VEH!$E84,0)&amp;"/"&amp;DOLLAR(OR_VEH!$F84,0)</f>
        <v>NE PAS UTILISER
10 $/100 $</v>
      </c>
      <c r="D35" s="1498" t="str">
        <f>OR_VEH!$B134&amp;"
"&amp;DOLLAR(OR_VEH!$E134,0)&amp;"/"&amp;DOLLAR(OR_VEH!$F134,0)</f>
        <v>NE PAS UTILISER
10 $/100 $</v>
      </c>
      <c r="E35" s="1498" t="str">
        <f>OR_VEH!$B184&amp;"
"&amp;DOLLAR(OR_VEH!$E184,0)&amp;"/"&amp;DOLLAR(OR_VEH!$F184,0)</f>
        <v>NE PAS UTILISER
10 $/100 $</v>
      </c>
      <c r="F35" s="1498" t="str">
        <f>OR_VEH!$B234&amp;"
"&amp;DOLLAR(OR_VEH!$E234,0)&amp;"/"&amp;DOLLAR(OR_VEH!$F234,0)</f>
        <v>XT4
25 000 $/150 000 $</v>
      </c>
      <c r="G35" s="1498" t="str">
        <f>OR_VEH!$B284&amp;"
"&amp;DOLLAR(OR_VEH!$E284,0)&amp;"/"&amp;DOLLAR(OR_VEH!$F284,0)</f>
        <v>YUKON/XL
24 000 $/170 000 $</v>
      </c>
      <c r="H35" s="1498" t="str">
        <f>OR_VEH!$B334&amp;"
"&amp;DOLLAR(OR_VEH!$E334,0)&amp;"/"&amp;DOLLAR(OR_VEH!$F334,0)</f>
        <v>NE PAS UTILISER
10 $/100 $</v>
      </c>
      <c r="I35" s="1498" t="str">
        <f>OR_VEH!$B384&amp;"
"&amp;DOLLAR(OR_VEH!$E384,0)&amp;"/"&amp;DOLLAR(OR_VEH!$F384,0)</f>
        <v>NE PAS UTILISER
10 $/100 $</v>
      </c>
      <c r="J35" s="1498" t="str">
        <f>OR_VEH!$B434&amp;"
"&amp;DOLLAR(OR_VEH!$E434,0)&amp;"/"&amp;DOLLAR(OR_VEH!$F434,0)</f>
        <v>NE PAS UTILISER
10 $/100 $</v>
      </c>
      <c r="K35" s="1498" t="str">
        <f>OR_VEH!$B484&amp;"
"&amp;DOLLAR(OR_VEH!$E484,0)&amp;"/"&amp;DOLLAR(OR_VEH!$F484,0)</f>
        <v>NE PAS UTILISER
10 $/100 $</v>
      </c>
    </row>
    <row r="36" spans="1:11" ht="22.5" customHeight="1">
      <c r="A36" s="1497">
        <v>431</v>
      </c>
      <c r="B36" s="1498" t="str">
        <f>OR_VEH!$B35&amp;"
"&amp;DOLLAR(OR_VEH!$E35,0)&amp;"/"&amp;DOLLAR(OR_VEH!$F35,0)</f>
        <v>CL 2500 SILVERADO
18 000 $/160 000 $</v>
      </c>
      <c r="C36" s="1498" t="str">
        <f>OR_VEH!$B85&amp;"
"&amp;DOLLAR(OR_VEH!$E85,0)&amp;"/"&amp;DOLLAR(OR_VEH!$F85,0)</f>
        <v>NE PAS UTILISER
10 $/100 $</v>
      </c>
      <c r="D36" s="1498" t="str">
        <f>OR_VEH!$B135&amp;"
"&amp;DOLLAR(OR_VEH!$E135,0)&amp;"/"&amp;DOLLAR(OR_VEH!$F135,0)</f>
        <v>NE PAS UTILISER
10 $/100 $</v>
      </c>
      <c r="E36" s="1498" t="str">
        <f>OR_VEH!$B185&amp;"
"&amp;DOLLAR(OR_VEH!$E185,0)&amp;"/"&amp;DOLLAR(OR_VEH!$F185,0)</f>
        <v>NE PAS UTILISER
10 $/100 $</v>
      </c>
      <c r="F36" s="1498" t="str">
        <f>OR_VEH!$B235&amp;"
"&amp;DOLLAR(OR_VEH!$E235,0)&amp;"/"&amp;DOLLAR(OR_VEH!$F235,0)</f>
        <v>XT5
30 000 $/160 000 $</v>
      </c>
      <c r="G36" s="1498" t="str">
        <f>OR_VEH!$B285&amp;"
"&amp;DOLLAR(OR_VEH!$E285,0)&amp;"/"&amp;DOLLAR(OR_VEH!$F285,0)</f>
        <v>LD 1500 SIERRA
12 000 $/145 000 $</v>
      </c>
      <c r="H36" s="1498" t="str">
        <f>OR_VEH!$B335&amp;"
"&amp;DOLLAR(OR_VEH!$E335,0)&amp;"/"&amp;DOLLAR(OR_VEH!$F335,0)</f>
        <v>NE PAS UTILISER
10 $/100 $</v>
      </c>
      <c r="I36" s="1498" t="str">
        <f>OR_VEH!$B385&amp;"
"&amp;DOLLAR(OR_VEH!$E385,0)&amp;"/"&amp;DOLLAR(OR_VEH!$F385,0)</f>
        <v>NE PAS UTILISER
10 $/100 $</v>
      </c>
      <c r="J36" s="1498" t="str">
        <f>OR_VEH!$B435&amp;"
"&amp;DOLLAR(OR_VEH!$E435,0)&amp;"/"&amp;DOLLAR(OR_VEH!$F435,0)</f>
        <v>NE PAS UTILISER
10 $/100 $</v>
      </c>
      <c r="K36" s="1498" t="str">
        <f>OR_VEH!$B485&amp;"
"&amp;DOLLAR(OR_VEH!$E485,0)&amp;"/"&amp;DOLLAR(OR_VEH!$F485,0)</f>
        <v>NE PAS UTILISER
10 $/100 $</v>
      </c>
    </row>
    <row r="37" spans="1:11" ht="22.5" customHeight="1">
      <c r="A37" s="1497">
        <v>432</v>
      </c>
      <c r="B37" s="1498" t="str">
        <f>OR_VEH!$B36&amp;"
"&amp;DOLLAR(OR_VEH!$E36,0)&amp;"/"&amp;DOLLAR(OR_VEH!$F36,0)</f>
        <v>CL 3500 SILVERADO
20 000 $/160 000 $</v>
      </c>
      <c r="C37" s="1498" t="str">
        <f>OR_VEH!$B86&amp;"
"&amp;DOLLAR(OR_VEH!$E86,0)&amp;"/"&amp;DOLLAR(OR_VEH!$F86,0)</f>
        <v>NE PAS UTILISER
10 $/100 $</v>
      </c>
      <c r="D37" s="1498" t="str">
        <f>OR_VEH!$B136&amp;"
"&amp;DOLLAR(OR_VEH!$E136,0)&amp;"/"&amp;DOLLAR(OR_VEH!$F136,0)</f>
        <v>NE PAS UTILISER
10 $/100 $</v>
      </c>
      <c r="E37" s="1498" t="str">
        <f>OR_VEH!$B186&amp;"
"&amp;DOLLAR(OR_VEH!$E186,0)&amp;"/"&amp;DOLLAR(OR_VEH!$F186,0)</f>
        <v>NE PAS UTILISER
10 $/100 $</v>
      </c>
      <c r="F37" s="1498" t="str">
        <f>OR_VEH!$B236&amp;"
"&amp;DOLLAR(OR_VEH!$E236,0)&amp;"/"&amp;DOLLAR(OR_VEH!$F236,0)</f>
        <v>XT6
30 000 $/180 000 $</v>
      </c>
      <c r="G37" s="1498" t="str">
        <f>OR_VEH!$B286&amp;"
"&amp;DOLLAR(OR_VEH!$E286,0)&amp;"/"&amp;DOLLAR(OR_VEH!$F286,0)</f>
        <v>LD 2500 SIERRA
18 000 $/160 000 $</v>
      </c>
      <c r="H37" s="1498" t="str">
        <f>OR_VEH!$B336&amp;"
"&amp;DOLLAR(OR_VEH!$E336,0)&amp;"/"&amp;DOLLAR(OR_VEH!$F336,0)</f>
        <v>NE PAS UTILISER
10 $/100 $</v>
      </c>
      <c r="I37" s="1498" t="str">
        <f>OR_VEH!$B386&amp;"
"&amp;DOLLAR(OR_VEH!$E386,0)&amp;"/"&amp;DOLLAR(OR_VEH!$F386,0)</f>
        <v>NE PAS UTILISER
10 $/100 $</v>
      </c>
      <c r="J37" s="1498" t="str">
        <f>OR_VEH!$B436&amp;"
"&amp;DOLLAR(OR_VEH!$E436,0)&amp;"/"&amp;DOLLAR(OR_VEH!$F436,0)</f>
        <v>NE PAS UTILISER
10 $/100 $</v>
      </c>
      <c r="K37" s="1498" t="str">
        <f>OR_VEH!$B486&amp;"
"&amp;DOLLAR(OR_VEH!$E486,0)&amp;"/"&amp;DOLLAR(OR_VEH!$F486,0)</f>
        <v>NE PAS UTILISER
10 $/100 $</v>
      </c>
    </row>
    <row r="38" spans="1:11" ht="22.5" customHeight="1">
      <c r="A38" s="1497">
        <v>433</v>
      </c>
      <c r="B38" s="1498" t="str">
        <f>OR_VEH!$B37&amp;"
"&amp;DOLLAR(OR_VEH!$E37,0)&amp;"/"&amp;DOLLAR(OR_VEH!$F37,0)</f>
        <v>BLAZER
20 000 $/125 000 $</v>
      </c>
      <c r="C38" s="1498" t="str">
        <f>OR_VEH!$B87&amp;"
"&amp;DOLLAR(OR_VEH!$E87,0)&amp;"/"&amp;DOLLAR(OR_VEH!$F87,0)</f>
        <v>NE PAS UTILISER
10 $/100 $</v>
      </c>
      <c r="D38" s="1498" t="str">
        <f>OR_VEH!$B137&amp;"
"&amp;DOLLAR(OR_VEH!$E137,0)&amp;"/"&amp;DOLLAR(OR_VEH!$F137,0)</f>
        <v>NE PAS UTILISER
10 $/100 $</v>
      </c>
      <c r="E38" s="1498" t="str">
        <f>OR_VEH!$B187&amp;"
"&amp;DOLLAR(OR_VEH!$E187,0)&amp;"/"&amp;DOLLAR(OR_VEH!$F187,0)</f>
        <v>NE PAS UTILISER
10 $/100 $</v>
      </c>
      <c r="F38" s="1498" t="str">
        <f>OR_VEH!$B237&amp;"
"&amp;DOLLAR(OR_VEH!$E237,0)&amp;"/"&amp;DOLLAR(OR_VEH!$F237,0)</f>
        <v>NE PAS UTILISER
10 $/100 $</v>
      </c>
      <c r="G38" s="1498" t="str">
        <f>OR_VEH!$B287&amp;"
"&amp;DOLLAR(OR_VEH!$E287,0)&amp;"/"&amp;DOLLAR(OR_VEH!$F287,0)</f>
        <v>LD 3500 SIERRA
20 000 $/180 000 $</v>
      </c>
      <c r="H38" s="1498" t="str">
        <f>OR_VEH!$B337&amp;"
"&amp;DOLLAR(OR_VEH!$E337,0)&amp;"/"&amp;DOLLAR(OR_VEH!$F337,0)</f>
        <v>NE PAS UTILISER
10 $/100 $</v>
      </c>
      <c r="I38" s="1498" t="str">
        <f>OR_VEH!$B387&amp;"
"&amp;DOLLAR(OR_VEH!$E387,0)&amp;"/"&amp;DOLLAR(OR_VEH!$F387,0)</f>
        <v>NE PAS UTILISER
10 $/100 $</v>
      </c>
      <c r="J38" s="1498" t="str">
        <f>OR_VEH!$B437&amp;"
"&amp;DOLLAR(OR_VEH!$E437,0)&amp;"/"&amp;DOLLAR(OR_VEH!$F437,0)</f>
        <v>NE PAS UTILISER
10 $/100 $</v>
      </c>
      <c r="K38" s="1498" t="str">
        <f>OR_VEH!$B487&amp;"
"&amp;DOLLAR(OR_VEH!$E487,0)&amp;"/"&amp;DOLLAR(OR_VEH!$F487,0)</f>
        <v>NE PAS UTILISER
10 $/100 $</v>
      </c>
    </row>
    <row r="39" spans="1:11" ht="22.5" customHeight="1">
      <c r="A39" s="1497">
        <v>434</v>
      </c>
      <c r="B39" s="1498" t="str">
        <f>OR_VEH!$B38&amp;"
"&amp;DOLLAR(OR_VEH!$E38,0)&amp;"/"&amp;DOLLAR(OR_VEH!$F38,0)</f>
        <v>EQUINOX
16 000 $/120 000 $</v>
      </c>
      <c r="C39" s="1498" t="str">
        <f>OR_VEH!$B88&amp;"
"&amp;DOLLAR(OR_VEH!$E88,0)&amp;"/"&amp;DOLLAR(OR_VEH!$F88,0)</f>
        <v>NE PAS UTILISER
10 $/100 $</v>
      </c>
      <c r="D39" s="1498" t="str">
        <f>OR_VEH!$B138&amp;"
"&amp;DOLLAR(OR_VEH!$E138,0)&amp;"/"&amp;DOLLAR(OR_VEH!$F138,0)</f>
        <v>NE PAS UTILISER
10 $/100 $</v>
      </c>
      <c r="E39" s="1498" t="str">
        <f>OR_VEH!$B188&amp;"
"&amp;DOLLAR(OR_VEH!$E188,0)&amp;"/"&amp;DOLLAR(OR_VEH!$F188,0)</f>
        <v>NE PAS UTILISER
10 $/100 $</v>
      </c>
      <c r="F39" s="1498" t="str">
        <f>OR_VEH!$B238&amp;"
"&amp;DOLLAR(OR_VEH!$E238,0)&amp;"/"&amp;DOLLAR(OR_VEH!$F238,0)</f>
        <v>ESCALADE V
151 000 $/250 000 $</v>
      </c>
      <c r="G39" s="1498" t="str">
        <f>OR_VEH!$B288&amp;"
"&amp;DOLLAR(OR_VEH!$E288,0)&amp;"/"&amp;DOLLAR(OR_VEH!$F288,0)</f>
        <v>NE PAS UTILISER
10 $/100 $</v>
      </c>
      <c r="H39" s="1498" t="str">
        <f>OR_VEH!$B338&amp;"
"&amp;DOLLAR(OR_VEH!$E338,0)&amp;"/"&amp;DOLLAR(OR_VEH!$F338,0)</f>
        <v>NE PAS UTILISER
10 $/100 $</v>
      </c>
      <c r="I39" s="1498" t="str">
        <f>OR_VEH!$B388&amp;"
"&amp;DOLLAR(OR_VEH!$E388,0)&amp;"/"&amp;DOLLAR(OR_VEH!$F388,0)</f>
        <v>NE PAS UTILISER
10 $/100 $</v>
      </c>
      <c r="J39" s="1498" t="str">
        <f>OR_VEH!$B438&amp;"
"&amp;DOLLAR(OR_VEH!$E438,0)&amp;"/"&amp;DOLLAR(OR_VEH!$F438,0)</f>
        <v>NE PAS UTILISER
10 $/100 $</v>
      </c>
      <c r="K39" s="1498" t="str">
        <f>OR_VEH!$B488&amp;"
"&amp;DOLLAR(OR_VEH!$E488,0)&amp;"/"&amp;DOLLAR(OR_VEH!$F488,0)</f>
        <v>NE PAS UTILISER
10 $/100 $</v>
      </c>
    </row>
    <row r="40" spans="1:11" ht="22.5" customHeight="1">
      <c r="A40" s="1497">
        <v>435</v>
      </c>
      <c r="B40" s="1498" t="str">
        <f>OR_VEH!$B39&amp;"
"&amp;DOLLAR(OR_VEH!$E39,0)&amp;"/"&amp;DOLLAR(OR_VEH!$F39,0)</f>
        <v>CITY EXPRESS
15 000 $/98 000 $</v>
      </c>
      <c r="C40" s="1498" t="str">
        <f>OR_VEH!$B89&amp;"
"&amp;DOLLAR(OR_VEH!$E89,0)&amp;"/"&amp;DOLLAR(OR_VEH!$F89,0)</f>
        <v>NE PAS UTILISER
10 $/100 $</v>
      </c>
      <c r="D40" s="1498" t="str">
        <f>OR_VEH!$B139&amp;"
"&amp;DOLLAR(OR_VEH!$E139,0)&amp;"/"&amp;DOLLAR(OR_VEH!$F139,0)</f>
        <v>NE PAS UTILISER
10 $/100 $</v>
      </c>
      <c r="E40" s="1498" t="str">
        <f>OR_VEH!$B189&amp;"
"&amp;DOLLAR(OR_VEH!$E189,0)&amp;"/"&amp;DOLLAR(OR_VEH!$F189,0)</f>
        <v>NE PAS UTILISER
10 $/100 $</v>
      </c>
      <c r="F40" s="1498" t="str">
        <f>OR_VEH!$B239&amp;"
"&amp;DOLLAR(OR_VEH!$E239,0)&amp;"/"&amp;DOLLAR(OR_VEH!$F239,0)</f>
        <v>NE PAS UTILISER
10 $/100 $</v>
      </c>
      <c r="G40" s="1498" t="str">
        <f>OR_VEH!$B289&amp;"
"&amp;DOLLAR(OR_VEH!$E289,0)&amp;"/"&amp;DOLLAR(OR_VEH!$F289,0)</f>
        <v>NE PAS UTILISER
10 $/100 $</v>
      </c>
      <c r="H40" s="1498" t="str">
        <f>OR_VEH!$B339&amp;"
"&amp;DOLLAR(OR_VEH!$E339,0)&amp;"/"&amp;DOLLAR(OR_VEH!$F339,0)</f>
        <v>NE PAS UTILISER
10 $/100 $</v>
      </c>
      <c r="I40" s="1498" t="str">
        <f>OR_VEH!$B389&amp;"
"&amp;DOLLAR(OR_VEH!$E389,0)&amp;"/"&amp;DOLLAR(OR_VEH!$F389,0)</f>
        <v>NE PAS UTILISER
10 $/100 $</v>
      </c>
      <c r="J40" s="1498" t="str">
        <f>OR_VEH!$B439&amp;"
"&amp;DOLLAR(OR_VEH!$E439,0)&amp;"/"&amp;DOLLAR(OR_VEH!$F439,0)</f>
        <v>NE PAS UTILISER
10 $/100 $</v>
      </c>
      <c r="K40" s="1498" t="str">
        <f>OR_VEH!$B489&amp;"
"&amp;DOLLAR(OR_VEH!$E489,0)&amp;"/"&amp;DOLLAR(OR_VEH!$F489,0)</f>
        <v>NE PAS UTILISER
10 $/100 $</v>
      </c>
    </row>
    <row r="41" spans="1:11" ht="22.5" customHeight="1">
      <c r="A41" s="1497">
        <v>436</v>
      </c>
      <c r="B41" s="1498" t="str">
        <f>OR_VEH!$B40&amp;"
"&amp;DOLLAR(OR_VEH!$E40,0)&amp;"/"&amp;DOLLAR(OR_VEH!$F40,0)</f>
        <v>TRAILBLAZER
15 000 $/120 000 $</v>
      </c>
      <c r="C41" s="1498" t="str">
        <f>OR_VEH!$B90&amp;"
"&amp;DOLLAR(OR_VEH!$E90,0)&amp;"/"&amp;DOLLAR(OR_VEH!$F90,0)</f>
        <v>NE PAS UTILISER
10 $/100 $</v>
      </c>
      <c r="D41" s="1498" t="str">
        <f>OR_VEH!$B140&amp;"
"&amp;DOLLAR(OR_VEH!$E140,0)&amp;"/"&amp;DOLLAR(OR_VEH!$F140,0)</f>
        <v>NE PAS UTILISER
10 $/100 $</v>
      </c>
      <c r="E41" s="1498" t="str">
        <f>OR_VEH!$B190&amp;"
"&amp;DOLLAR(OR_VEH!$E190,0)&amp;"/"&amp;DOLLAR(OR_VEH!$F190,0)</f>
        <v>NE PAS UTILISER
10 $/100 $</v>
      </c>
      <c r="F41" s="1498" t="str">
        <f>OR_VEH!$B240&amp;"
"&amp;DOLLAR(OR_VEH!$E240,0)&amp;"/"&amp;DOLLAR(OR_VEH!$F240,0)</f>
        <v>NE PAS UTILISER
10 $/100 $</v>
      </c>
      <c r="G41" s="1498" t="str">
        <f>OR_VEH!$B290&amp;"
"&amp;DOLLAR(OR_VEH!$E290,0)&amp;"/"&amp;DOLLAR(OR_VEH!$F290,0)</f>
        <v>ACADIA
25 000 $/135 000 $</v>
      </c>
      <c r="H41" s="1498" t="str">
        <f>OR_VEH!$B340&amp;"
"&amp;DOLLAR(OR_VEH!$E340,0)&amp;"/"&amp;DOLLAR(OR_VEH!$F340,0)</f>
        <v>NE PAS UTILISER
10 $/100 $</v>
      </c>
      <c r="I41" s="1498" t="str">
        <f>OR_VEH!$B390&amp;"
"&amp;DOLLAR(OR_VEH!$E390,0)&amp;"/"&amp;DOLLAR(OR_VEH!$F390,0)</f>
        <v>NE PAS UTILISER
10 $/100 $</v>
      </c>
      <c r="J41" s="1498" t="str">
        <f>OR_VEH!$B440&amp;"
"&amp;DOLLAR(OR_VEH!$E440,0)&amp;"/"&amp;DOLLAR(OR_VEH!$F440,0)</f>
        <v>NE PAS UTILISER
10 $/100 $</v>
      </c>
      <c r="K41" s="1498" t="str">
        <f>OR_VEH!$B490&amp;"
"&amp;DOLLAR(OR_VEH!$E490,0)&amp;"/"&amp;DOLLAR(OR_VEH!$F490,0)</f>
        <v>NE PAS UTILISER
10 $/100 $</v>
      </c>
    </row>
    <row r="42" spans="1:11" ht="22.5" customHeight="1">
      <c r="A42" s="1497">
        <v>437</v>
      </c>
      <c r="B42" s="1498" t="str">
        <f>OR_VEH!$B41&amp;"
"&amp;DOLLAR(OR_VEH!$E41,0)&amp;"/"&amp;DOLLAR(OR_VEH!$F41,0)</f>
        <v>POUR USAGE FUTUR
0 $/999 999 $</v>
      </c>
      <c r="C42" s="1498" t="str">
        <f>OR_VEH!$B91&amp;"
"&amp;DOLLAR(OR_VEH!$E91,0)&amp;"/"&amp;DOLLAR(OR_VEH!$F91,0)</f>
        <v>NE PAS UTILISER
10 $/100 $</v>
      </c>
      <c r="D42" s="1498" t="str">
        <f>OR_VEH!$B141&amp;"
"&amp;DOLLAR(OR_VEH!$E141,0)&amp;"/"&amp;DOLLAR(OR_VEH!$F141,0)</f>
        <v>NE PAS UTILISER
10 $/100 $</v>
      </c>
      <c r="E42" s="1498" t="str">
        <f>OR_VEH!$B191&amp;"
"&amp;DOLLAR(OR_VEH!$E191,0)&amp;"/"&amp;DOLLAR(OR_VEH!$F191,0)</f>
        <v>POUR USAGE FUTUR
0 $/999 999 $</v>
      </c>
      <c r="F42" s="1498" t="str">
        <f>OR_VEH!$B241&amp;"
"&amp;DOLLAR(OR_VEH!$E241,0)&amp;"/"&amp;DOLLAR(OR_VEH!$F241,0)</f>
        <v>POUR USAGE FUTUR
0 $/999 999 $</v>
      </c>
      <c r="G42" s="1498" t="str">
        <f>OR_VEH!$B291&amp;"
"&amp;DOLLAR(OR_VEH!$E291,0)&amp;"/"&amp;DOLLAR(OR_VEH!$F291,0)</f>
        <v>POUR USAGE FUTUR
10 $/999 999 $</v>
      </c>
      <c r="H42" s="1498" t="str">
        <f>OR_VEH!$B341&amp;"
"&amp;DOLLAR(OR_VEH!$E341,0)&amp;"/"&amp;DOLLAR(OR_VEH!$F341,0)</f>
        <v>NE PAS UTILISER
10 $/100 $</v>
      </c>
      <c r="I42" s="1498" t="str">
        <f>OR_VEH!$B391&amp;"
"&amp;DOLLAR(OR_VEH!$E391,0)&amp;"/"&amp;DOLLAR(OR_VEH!$F391,0)</f>
        <v>NE PAS UTILISER
10 $/100 $</v>
      </c>
      <c r="J42" s="1498" t="str">
        <f>OR_VEH!$B441&amp;"
"&amp;DOLLAR(OR_VEH!$E441,0)&amp;"/"&amp;DOLLAR(OR_VEH!$F441,0)</f>
        <v>POUR USAGE FUTUR
0 $/999 999 $</v>
      </c>
      <c r="K42" s="1498" t="str">
        <f>OR_VEH!$B491&amp;"
"&amp;DOLLAR(OR_VEH!$E491,0)&amp;"/"&amp;DOLLAR(OR_VEH!$F491,0)</f>
        <v>NE PAS UTILISER
10 $/100 $</v>
      </c>
    </row>
    <row r="43" spans="1:11" ht="35.25" customHeight="1">
      <c r="A43" s="1497">
        <v>438</v>
      </c>
      <c r="B43" s="1498" t="str">
        <f>OR_VEH!$B42&amp;"
"&amp;DOLLAR(OR_VEH!$E42,0)&amp;"/"&amp;DOLLAR(OR_VEH!$F42,0)</f>
        <v>AUTRES CHEVROLET
12 000 $/125 000 $</v>
      </c>
      <c r="C43" s="1498" t="str">
        <f>OR_VEH!$B92&amp;"
"&amp;DOLLAR(OR_VEH!$E92,0)&amp;"/"&amp;DOLLAR(OR_VEH!$F92,0)</f>
        <v>NE PAS UTILISER
10 $/100 $</v>
      </c>
      <c r="D43" s="1498" t="str">
        <f>OR_VEH!$B142&amp;"
"&amp;DOLLAR(OR_VEH!$E142,0)&amp;"/"&amp;DOLLAR(OR_VEH!$F142,0)</f>
        <v>NE PAS UTILISER
10 $/100 $</v>
      </c>
      <c r="E43" s="1498" t="str">
        <f>OR_VEH!$B192&amp;"
"&amp;DOLLAR(OR_VEH!$E192,0)&amp;"/"&amp;DOLLAR(OR_VEH!$F192,0)</f>
        <v>AUTRES CAMIONS GM
16 000 $/120 000 $</v>
      </c>
      <c r="F43" s="1498" t="str">
        <f>OR_VEH!$B242&amp;"
"&amp;DOLLAR(OR_VEH!$E242,0)&amp;"/"&amp;DOLLAR(OR_VEH!$F242,0)</f>
        <v>AUTRES CAMIONS CADILLAC
25 000 $/150 000 $</v>
      </c>
      <c r="G43" s="1498" t="str">
        <f>OR_VEH!$B292&amp;"
"&amp;DOLLAR(OR_VEH!$E292,0)&amp;"/"&amp;DOLLAR(OR_VEH!$F292,0)</f>
        <v>AUTRES CAMIONS GMC
12 000 $/125 000 $</v>
      </c>
      <c r="H43" s="1498" t="str">
        <f>OR_VEH!$B342&amp;"
"&amp;DOLLAR(OR_VEH!$E342,0)&amp;"/"&amp;DOLLAR(OR_VEH!$F342,0)</f>
        <v>NE PAS UTILISER
10 $/100 $</v>
      </c>
      <c r="I43" s="1498" t="str">
        <f>OR_VEH!$B392&amp;"
"&amp;DOLLAR(OR_VEH!$E392,0)&amp;"/"&amp;DOLLAR(OR_VEH!$F392,0)</f>
        <v>NE PAS UTILISER
10 $/100 $</v>
      </c>
      <c r="J43" s="1498" t="str">
        <f>OR_VEH!$B442&amp;"
"&amp;DOLLAR(OR_VEH!$E442,0)&amp;"/"&amp;DOLLAR(OR_VEH!$F442,0)</f>
        <v>AUTRES POIDS MOYEN
30 000 $/160 000 $</v>
      </c>
      <c r="K43" s="1498" t="str">
        <f>OR_VEH!$B492&amp;"
"&amp;DOLLAR(OR_VEH!$E492,0)&amp;"/"&amp;DOLLAR(OR_VEH!$F492,0)</f>
        <v>NE PAS UTILISER
10 $/100 $</v>
      </c>
    </row>
    <row r="45" spans="1:11" ht="13">
      <c r="A45" s="1492" t="s">
        <v>15529</v>
      </c>
      <c r="B45" s="1499" t="s">
        <v>15530</v>
      </c>
      <c r="C45" s="1494"/>
      <c r="D45" s="1494"/>
      <c r="E45" s="1494"/>
      <c r="F45" s="1494"/>
      <c r="G45" s="1494"/>
      <c r="H45" s="1494"/>
      <c r="I45" s="1494"/>
      <c r="J45" s="1494"/>
      <c r="K45" s="1494"/>
    </row>
    <row r="46" spans="1:11">
      <c r="B46" s="713" t="s">
        <v>9900</v>
      </c>
      <c r="C46" s="543"/>
      <c r="D46" s="543" t="s">
        <v>15531</v>
      </c>
      <c r="E46" s="543"/>
      <c r="F46" s="543" t="s">
        <v>15532</v>
      </c>
      <c r="H46" s="543" t="s">
        <v>13430</v>
      </c>
    </row>
    <row r="47" spans="1:11" ht="40.5">
      <c r="A47" s="1500" t="s">
        <v>691</v>
      </c>
      <c r="B47" s="1498" t="str">
        <f>OR_VEH!$B603&amp;"
"&amp;DOLLAR(OR_VEH!$E603,0)&amp;"/"&amp;DOLLAR(OR_VEH!$F603,0)</f>
        <v>VOIT D'OCC. DÉTAIL CERTIF.
500 $/95 000 $</v>
      </c>
      <c r="C47" s="1500" t="s">
        <v>725</v>
      </c>
      <c r="D47" s="1498" t="str">
        <f>OR_VEH!$B614&amp;"
"&amp;DOLLAR(OR_VEH!$E614,0)&amp;"/"&amp;DOLLAR(OR_VEH!$F614,0)</f>
        <v>M-D'O CLIENT VOIT &amp; CAM LÉGERS
5 $/1 000 $</v>
      </c>
      <c r="E47" s="1492">
        <v>470</v>
      </c>
      <c r="F47" s="1498" t="str">
        <f>OR_VEH!$B630&amp;"
"&amp;DOLLAR(OR_VEH!$E630,0)&amp;"/"&amp;DOLLAR(OR_VEH!$F630,0)</f>
        <v>M-D'O CLIENT PEINTURE
10 $/4 000 $</v>
      </c>
      <c r="G47" s="1500" t="s">
        <v>13431</v>
      </c>
      <c r="H47" s="1498" t="str">
        <f>OR_VEH!$B635&amp;"
"&amp;DOLLAR(OR_VEH!$E635,0)&amp;"/"&amp;DOLLAR(OR_VEH!$F635,0)</f>
        <v>STOCK DEMONSTR.
10 000 $/110 000 $</v>
      </c>
    </row>
    <row r="48" spans="1:11" ht="40.5">
      <c r="A48" s="1500" t="s">
        <v>694</v>
      </c>
      <c r="B48" s="1498" t="str">
        <f>OR_VEH!$B604&amp;"
"&amp;DOLLAR(OR_VEH!$E604,0)&amp;"/"&amp;DOLLAR(OR_VEH!$F604,0)</f>
        <v>VOIT D'OCC. DÉTAIL AUTRE
500 $/90 000 $</v>
      </c>
      <c r="C48" s="1500" t="s">
        <v>729</v>
      </c>
      <c r="D48" s="1498" t="str">
        <f>OR_VEH!$B616&amp;"
"&amp;DOLLAR(OR_VEH!$E616,0)&amp;"/"&amp;DOLLAR(OR_VEH!$F616,0)</f>
        <v>M-D'O S/TRAIT - VOIT &amp; CAM LÉG.
5 $/2 000 $</v>
      </c>
      <c r="G48" s="1500" t="s">
        <v>13433</v>
      </c>
      <c r="H48" s="1498" t="str">
        <f>OR_VEH!$B636&amp;"
"&amp;DOLLAR(OR_VEH!$E636,0)&amp;"/"&amp;DOLLAR(OR_VEH!$F636,0)</f>
        <v>STOCK DEMONSTR.
10 000 $/110 000 $</v>
      </c>
    </row>
    <row r="49" spans="1:8" ht="50.5">
      <c r="A49" s="1500" t="s">
        <v>9376</v>
      </c>
      <c r="B49" s="1498" t="str">
        <f>OR_VEH!$B605&amp;"
"&amp;DOLLAR(OR_VEH!$E605,0)&amp;"/"&amp;DOLLAR(OR_VEH!$F605,0)</f>
        <v>VOIT OCC. REMIS-À-NF CERTIF
50 $/7 000 $</v>
      </c>
      <c r="C49" s="1500" t="s">
        <v>733</v>
      </c>
      <c r="D49" s="1498" t="str">
        <f>OR_VEH!$B618&amp;"
"&amp;DOLLAR(OR_VEH!$E618,0)&amp;"/"&amp;DOLLAR(OR_VEH!$F618,0)</f>
        <v>M-D'O SRV RAP - VOIT &amp; CAM LÉG.
5 $/2 000 $</v>
      </c>
      <c r="G49" s="1500" t="s">
        <v>13434</v>
      </c>
      <c r="H49" s="1498" t="str">
        <f>OR_VEH!$B637&amp;"
"&amp;DOLLAR(OR_VEH!$E637,0)&amp;"/"&amp;DOLLAR(OR_VEH!$F637,0)</f>
        <v>STOCK VOITURES NEUVES
10 000 $/300 000 $</v>
      </c>
    </row>
    <row r="50" spans="1:8" ht="50.5">
      <c r="A50" s="1500" t="s">
        <v>9380</v>
      </c>
      <c r="B50" s="1498" t="str">
        <f>OR_VEH!$B606&amp;"
"&amp;DOLLAR(OR_VEH!$E606,0)&amp;"/"&amp;DOLLAR(OR_VEH!$F606,0)</f>
        <v>VOIT OCC. REMIS-À-NF AUTR
0 $/5 000 $</v>
      </c>
      <c r="C50" s="1500" t="s">
        <v>740</v>
      </c>
      <c r="D50" s="1498" t="str">
        <f>OR_VEH!$B621&amp;"
"&amp;DOLLAR(OR_VEH!$E621,0)&amp;"/"&amp;DOLLAR(OR_VEH!$F621,0)</f>
        <v>M-D'O CLI COM, PARCS &amp; CAM MOY
10 $/3 000 $</v>
      </c>
      <c r="E50" s="1492">
        <v>471</v>
      </c>
      <c r="F50" s="1498" t="str">
        <f>OR_VEH!$B631&amp;"
"&amp;DOLLAR(OR_VEH!$E631,0)&amp;"/"&amp;DOLLAR(OR_VEH!$F631,0)</f>
        <v>M-D'O CLIENT CARR -CAM
10 $/4 000 $</v>
      </c>
      <c r="G50" s="1500" t="s">
        <v>13436</v>
      </c>
      <c r="H50" s="1498" t="str">
        <f>OR_VEH!$B638&amp;"
"&amp;DOLLAR(OR_VEH!$E638,0)&amp;"/"&amp;DOLLAR(OR_VEH!$F638,0)</f>
        <v>STOCK VOITURES NEUVES
10 000 $/110 000 $</v>
      </c>
    </row>
    <row r="51" spans="1:8" ht="40.5">
      <c r="A51" s="1500" t="s">
        <v>700</v>
      </c>
      <c r="B51" s="1498" t="str">
        <f>OR_VEH!$B608&amp;"
"&amp;DOLLAR(OR_VEH!$E608,0)&amp;"/"&amp;DOLLAR(OR_VEH!$F608,0)</f>
        <v>CAM D'OCC. DÉTAIL CERTIF.
500 $/105 000 $</v>
      </c>
      <c r="C51" s="1500" t="s">
        <v>744</v>
      </c>
      <c r="D51" s="1498" t="str">
        <f>OR_VEH!$B623&amp;"
"&amp;DOLLAR(OR_VEH!$E623,0)&amp;"/"&amp;DOLLAR(OR_VEH!$F623,0)</f>
        <v>M-D'O S/TR COM, PARCS &amp; CAM MOY
10 $/3 000 $</v>
      </c>
      <c r="F51" s="1501"/>
      <c r="G51" s="1500" t="s">
        <v>13437</v>
      </c>
      <c r="H51" s="1498" t="str">
        <f>OR_VEH!$B639&amp;"
"&amp;DOLLAR(OR_VEH!$E639,0)&amp;"/"&amp;DOLLAR(OR_VEH!$F639,0)</f>
        <v>STOCK CAMIONS NEUFS
12 000 $/300 000 $</v>
      </c>
    </row>
    <row r="52" spans="1:8" ht="40.5">
      <c r="A52" s="1500" t="s">
        <v>703</v>
      </c>
      <c r="B52" s="1498" t="str">
        <f>OR_VEH!$B609&amp;"
"&amp;DOLLAR(OR_VEH!$E609,0)&amp;"/"&amp;DOLLAR(OR_VEH!$F609,0)</f>
        <v>CAM D'OCC. DÉTAIL AUTRE
500 $/100 000 $</v>
      </c>
      <c r="C52" s="1500" t="s">
        <v>749</v>
      </c>
      <c r="D52" s="1498" t="str">
        <f>OR_VEH!$B625&amp;"
"&amp;DOLLAR(OR_VEH!$E625,0)&amp;"/"&amp;DOLLAR(OR_VEH!$F625,0)</f>
        <v>M-D'O SRV RAP-COM, PRC &amp; CM MOY
10 $/1 500 $</v>
      </c>
      <c r="G52" s="1500" t="s">
        <v>13439</v>
      </c>
      <c r="H52" s="1498" t="str">
        <f>OR_VEH!$B640&amp;"
"&amp;DOLLAR(OR_VEH!$E640,0)&amp;"/"&amp;DOLLAR(OR_VEH!$F640,0)</f>
        <v>STOCK CAMIONS NEUFS
12 000 $/120 000 $</v>
      </c>
    </row>
    <row r="53" spans="1:8" ht="40.5">
      <c r="A53" s="1500" t="s">
        <v>9397</v>
      </c>
      <c r="B53" s="1498" t="str">
        <f>OR_VEH!$B610&amp;"
"&amp;DOLLAR(OR_VEH!$E610,0)&amp;"/"&amp;DOLLAR(OR_VEH!$F610,0)</f>
        <v>CAM OCC. REMIS-À-NF CERTIF
75 $/9 000 $</v>
      </c>
      <c r="C53" s="1492">
        <v>462</v>
      </c>
      <c r="D53" s="1498" t="str">
        <f>OR_VEH!$B626&amp;"
"&amp;DOLLAR(OR_VEH!$E626,0)&amp;"/"&amp;DOLLAR(OR_VEH!$F626,0)</f>
        <v>M-D'O RÉCLAMATION SUR GARANTIE
10 $/2 000 $</v>
      </c>
      <c r="E53" s="1492">
        <v>472</v>
      </c>
      <c r="F53" s="1498" t="str">
        <f>OR_VEH!$B632&amp;"
"&amp;DOLLAR(OR_VEH!$E632,0)&amp;"/"&amp;DOLLAR(OR_VEH!$F632,0)</f>
        <v>M-D'O RÉCLAMATION SUR GARANTIE
10 $/4 000 $</v>
      </c>
      <c r="G53" s="1500" t="s">
        <v>13440</v>
      </c>
      <c r="H53" s="1498" t="str">
        <f>OR_VEH!$B641&amp;"
"&amp;DOLLAR(OR_VEH!$E641,0)&amp;"/"&amp;DOLLAR(OR_VEH!$F641,0)</f>
        <v>STOCK CAMIONS NEUFS
12 000 $/120 000 $</v>
      </c>
    </row>
    <row r="54" spans="1:8" ht="40.5">
      <c r="A54" s="1500" t="s">
        <v>9401</v>
      </c>
      <c r="B54" s="1498" t="str">
        <f>OR_VEH!$B611&amp;"
"&amp;DOLLAR(OR_VEH!$E611,0)&amp;"/"&amp;DOLLAR(OR_VEH!$F611,0)</f>
        <v>CAM OCC. REMIS-À-NF AUTR
0 $/6 000 $</v>
      </c>
      <c r="C54" s="1492">
        <v>463</v>
      </c>
      <c r="D54" s="1498" t="str">
        <f>OR_VEH!$B627&amp;"
"&amp;DOLLAR(OR_VEH!$E627,0)&amp;"/"&amp;DOLLAR(OR_VEH!$F627,0)</f>
        <v>MAIN-D'ŒUVRE INTERNE
5 $/2 000 $</v>
      </c>
      <c r="E54" s="1492">
        <v>473</v>
      </c>
      <c r="F54" s="1498" t="str">
        <f>OR_VEH!$B633&amp;"
"&amp;DOLLAR(OR_VEH!$E633,0)&amp;"/"&amp;DOLLAR(OR_VEH!$F633,0)</f>
        <v>MAIN-D'ŒUVRE INTERNE
10 $/4 000 $</v>
      </c>
      <c r="G54" s="1500" t="s">
        <v>13441</v>
      </c>
      <c r="H54" s="1498" t="str">
        <f>OR_VEH!$B642&amp;"
"&amp;DOLLAR(OR_VEH!$E642,0)&amp;"/"&amp;DOLLAR(OR_VEH!$F642,0)</f>
        <v>STOCK CAMIONS NEUFS
12 000 $/120 000 $</v>
      </c>
    </row>
    <row r="55" spans="1:8" ht="40.5">
      <c r="A55" s="1500">
        <v>448</v>
      </c>
      <c r="B55" s="1498" t="str">
        <f>OR_VEH!$B607&amp;"
"&amp;DOLLAR(OR_VEH!$E607,0)&amp;"/"&amp;DOLLAR(OR_VEH!$F607,0)</f>
        <v>VOIT D'OCCASION EN GROS
0 $/85 000 $</v>
      </c>
      <c r="C55" s="1492">
        <v>464</v>
      </c>
      <c r="D55" s="1498" t="str">
        <f>OR_VEH!$B628&amp;"
"&amp;DOLLAR(OR_VEH!$E628,0)&amp;"/"&amp;DOLLAR(OR_VEH!$F628,0)</f>
        <v>M-D'O INSP. DE VÉH. NEUFS
5 $/2 000 $</v>
      </c>
      <c r="G55" s="1492">
        <v>240</v>
      </c>
      <c r="H55" s="1498" t="str">
        <f>OR_VEH!$B643&amp;"
"&amp;DOLLAR(OR_VEH!$E643,0)&amp;"/"&amp;DOLLAR(OR_VEH!$F643,0)</f>
        <v>STOCK VOIT. D'OCCASION
2 000 $/150 000 $</v>
      </c>
    </row>
    <row r="56" spans="1:8" ht="40.5">
      <c r="A56" s="1500">
        <v>452</v>
      </c>
      <c r="B56" s="1498" t="str">
        <f>OR_VEH!$B612&amp;"
"&amp;DOLLAR(OR_VEH!$E612,0)&amp;"/"&amp;DOLLAR(OR_VEH!$F612,0)</f>
        <v>CAM D'OCCASION EN GROS
0 $/95 000 $</v>
      </c>
      <c r="C56" s="1501"/>
      <c r="D56" s="1501"/>
      <c r="G56" s="1492">
        <v>241</v>
      </c>
      <c r="H56" s="1498" t="str">
        <f>OR_VEH!$B645&amp;"
"&amp;DOLLAR(OR_VEH!$E645,0)&amp;"/"&amp;DOLLAR(OR_VEH!$F645,0)</f>
        <v>STOCK CAMIONS D'OCCASION
2 000 $/100 000 $</v>
      </c>
    </row>
    <row r="57" spans="1:8" ht="30.5">
      <c r="C57" s="1501"/>
      <c r="G57" s="1492">
        <v>275</v>
      </c>
      <c r="H57" s="1498" t="str">
        <f>OR_VEH!$B647&amp;"
"&amp;DOLLAR(OR_VEH!$E647,0)&amp;"/"&amp;DOLLAR(OR_VEH!$F647,0)</f>
        <v>STOCK VÉH. ÉDUC. ROUTIÈRE
10 000 $/40 000 $</v>
      </c>
    </row>
    <row r="58" spans="1:8" ht="20.5">
      <c r="G58" s="1492">
        <v>277</v>
      </c>
      <c r="H58" s="1498" t="str">
        <f>OR_VEH!$B648&amp;"
"&amp;DOLLAR(OR_VEH!$E648,0)&amp;"/"&amp;DOLLAR(OR_VEH!$F648,0)</f>
        <v>STOCK LC&amp;LT
1 000 $/110 000 $</v>
      </c>
    </row>
    <row r="59" spans="1:8" ht="30.5">
      <c r="C59" s="1501"/>
      <c r="G59" s="1492">
        <v>285</v>
      </c>
      <c r="H59" s="1498" t="str">
        <f>OR_VEH!$B649&amp;"
"&amp;DOLLAR(OR_VEH!$E649,0)&amp;"/"&amp;DOLLAR(OR_VEH!$F649,0)</f>
        <v>STOCK VÉH. DE SERVITURE
500 $/80 000 $</v>
      </c>
    </row>
    <row r="60" spans="1:8">
      <c r="C60" s="1501"/>
    </row>
  </sheetData>
  <phoneticPr fontId="0" type="noConversion"/>
  <pageMargins left="0" right="0" top="0" bottom="0" header="0.5" footer="0.5"/>
  <pageSetup scale="91" fitToHeight="20" orientation="landscape" horizontalDpi="300" verticalDpi="300"/>
  <headerFooter alignWithMargins="0"/>
  <rowBreaks count="1" manualBreakCount="1">
    <brk id="26" max="104857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24</vt:i4>
      </vt:variant>
      <vt:variant>
        <vt:lpstr>Plages nommées</vt:lpstr>
      </vt:variant>
      <vt:variant>
        <vt:i4>204</vt:i4>
      </vt:variant>
    </vt:vector>
  </HeadingPairs>
  <TitlesOfParts>
    <vt:vector size="228" baseType="lpstr">
      <vt:lpstr>Page1</vt:lpstr>
      <vt:lpstr>Page2</vt:lpstr>
      <vt:lpstr>Page3</vt:lpstr>
      <vt:lpstr>Page4</vt:lpstr>
      <vt:lpstr>Page5_CHV_MCI</vt:lpstr>
      <vt:lpstr>Page5_CHV_VE</vt:lpstr>
      <vt:lpstr>Page5_BUI_MCI</vt:lpstr>
      <vt:lpstr>Page5_BUI_VE</vt:lpstr>
      <vt:lpstr>Page5_GMC_MCI</vt:lpstr>
      <vt:lpstr>Page5_GMC_VE</vt:lpstr>
      <vt:lpstr>Page5_CAD_MCI</vt:lpstr>
      <vt:lpstr>Page5_CAD_VE</vt:lpstr>
      <vt:lpstr>Page5_PARCS_GOUV</vt:lpstr>
      <vt:lpstr>Page5_PARCS</vt:lpstr>
      <vt:lpstr>Page5i_SANS_OBJECT</vt:lpstr>
      <vt:lpstr>Page5j_SANS_OBJECT</vt:lpstr>
      <vt:lpstr>Page6</vt:lpstr>
      <vt:lpstr>Page7</vt:lpstr>
      <vt:lpstr>Page8</vt:lpstr>
      <vt:lpstr>Gamme de Mod</vt:lpstr>
      <vt:lpstr>TBIn</vt:lpstr>
      <vt:lpstr>Comments</vt:lpstr>
      <vt:lpstr>DBI Data</vt:lpstr>
      <vt:lpstr>FAQ</vt:lpstr>
      <vt:lpstr>AccountID</vt:lpstr>
      <vt:lpstr>AcctIDBlank</vt:lpstr>
      <vt:lpstr>AccuracyPtsSubmit</vt:lpstr>
      <vt:lpstr>AccurracyPts</vt:lpstr>
      <vt:lpstr>Business_Units</vt:lpstr>
      <vt:lpstr>Client</vt:lpstr>
      <vt:lpstr>CSVfile</vt:lpstr>
      <vt:lpstr>Data_NOT_transmitted</vt:lpstr>
      <vt:lpstr>Data_PASSED</vt:lpstr>
      <vt:lpstr>DataNotProcessed</vt:lpstr>
      <vt:lpstr>DealerOpRpt</vt:lpstr>
      <vt:lpstr>DealerOpRptEdit</vt:lpstr>
      <vt:lpstr>Division</vt:lpstr>
      <vt:lpstr>Doc_No</vt:lpstr>
      <vt:lpstr>DSPWorkbookData</vt:lpstr>
      <vt:lpstr>Error_Summary</vt:lpstr>
      <vt:lpstr>ErrorCSVfile</vt:lpstr>
      <vt:lpstr>ErrorXMLfile</vt:lpstr>
      <vt:lpstr>File_Name</vt:lpstr>
      <vt:lpstr>FileImported</vt:lpstr>
      <vt:lpstr>FileInput</vt:lpstr>
      <vt:lpstr>FileNot</vt:lpstr>
      <vt:lpstr>FinishPrtComments</vt:lpstr>
      <vt:lpstr>Flag</vt:lpstr>
      <vt:lpstr>GC_OR_DBI</vt:lpstr>
      <vt:lpstr>IEBLD</vt:lpstr>
      <vt:lpstr>IELAN</vt:lpstr>
      <vt:lpstr>IESP</vt:lpstr>
      <vt:lpstr>IEVER</vt:lpstr>
      <vt:lpstr>Import_Range</vt:lpstr>
      <vt:lpstr>OR_VEH!Impression_des_titres</vt:lpstr>
      <vt:lpstr>'TB Out'!Impression_des_titres</vt:lpstr>
      <vt:lpstr>Verify!Impression_des_titres</vt:lpstr>
      <vt:lpstr>IntroBoxTitle</vt:lpstr>
      <vt:lpstr>IntroSheetMsg</vt:lpstr>
      <vt:lpstr>keepTBOut</vt:lpstr>
      <vt:lpstr>Language</vt:lpstr>
      <vt:lpstr>LikeToSubmit</vt:lpstr>
      <vt:lpstr>Max_Table</vt:lpstr>
      <vt:lpstr>Min_Table</vt:lpstr>
      <vt:lpstr>Minus_Accuracy_Pts</vt:lpstr>
      <vt:lpstr>NonItalicizedText</vt:lpstr>
      <vt:lpstr>NotBeFound</vt:lpstr>
      <vt:lpstr>OSBLD</vt:lpstr>
      <vt:lpstr>OSLAN</vt:lpstr>
      <vt:lpstr>OSREG</vt:lpstr>
      <vt:lpstr>OSSP</vt:lpstr>
      <vt:lpstr>OSVER</vt:lpstr>
      <vt:lpstr>'TB Out'!Out_TB</vt:lpstr>
      <vt:lpstr>OutputFileCreated</vt:lpstr>
      <vt:lpstr>OutputFileNotCreated</vt:lpstr>
      <vt:lpstr>Owner</vt:lpstr>
      <vt:lpstr>Page6!Page_3</vt:lpstr>
      <vt:lpstr>PG1CmdBtn1</vt:lpstr>
      <vt:lpstr>PG2CmdBtn1a</vt:lpstr>
      <vt:lpstr>PG2CmdBtn1b</vt:lpstr>
      <vt:lpstr>PG3CmdBtn1a</vt:lpstr>
      <vt:lpstr>PG3CmdBtn1b</vt:lpstr>
      <vt:lpstr>PG4CmdBtn1a</vt:lpstr>
      <vt:lpstr>PG4CmdBtn1b</vt:lpstr>
      <vt:lpstr>PG5aCmdBtn1a</vt:lpstr>
      <vt:lpstr>PG5aCmdBtn1b</vt:lpstr>
      <vt:lpstr>PG5bCmdBtn1a</vt:lpstr>
      <vt:lpstr>PG5bCmdBtn1b</vt:lpstr>
      <vt:lpstr>PG5cCmdBtn1a</vt:lpstr>
      <vt:lpstr>PG5cCmdBtn1b</vt:lpstr>
      <vt:lpstr>PG5dCmdBtn1a</vt:lpstr>
      <vt:lpstr>PG5dCmdBtn1b</vt:lpstr>
      <vt:lpstr>PG5eCmdBtn1a</vt:lpstr>
      <vt:lpstr>PG5eCmdBtn1b</vt:lpstr>
      <vt:lpstr>PG5fCmdBtn1a</vt:lpstr>
      <vt:lpstr>PG5fCmdBtn1b</vt:lpstr>
      <vt:lpstr>PG5gCmdBtn1a</vt:lpstr>
      <vt:lpstr>PG5gCmdBtn1b</vt:lpstr>
      <vt:lpstr>PG5hCmdBtn1a</vt:lpstr>
      <vt:lpstr>PG5hCmdBtn1b</vt:lpstr>
      <vt:lpstr>PG5iCmdBtn1a</vt:lpstr>
      <vt:lpstr>PG5iCmdBtn1b</vt:lpstr>
      <vt:lpstr>PG5jCmdBtn1a</vt:lpstr>
      <vt:lpstr>PG5jCmdBtn1b</vt:lpstr>
      <vt:lpstr>PG5kCmdBtn1a</vt:lpstr>
      <vt:lpstr>PG5kCmdBtn1b</vt:lpstr>
      <vt:lpstr>Page5_PARCS_GOUV!PG5lCmdBtn1a</vt:lpstr>
      <vt:lpstr>Page5_PARCS_GOUV!PG5lCmdBtn1b</vt:lpstr>
      <vt:lpstr>PG6CmdBtn1a</vt:lpstr>
      <vt:lpstr>PG6CmdBtn1b</vt:lpstr>
      <vt:lpstr>PG7CmdBtn1a</vt:lpstr>
      <vt:lpstr>PG7CmdBtn1b</vt:lpstr>
      <vt:lpstr>PrintListErrors</vt:lpstr>
      <vt:lpstr>PrtCellComm</vt:lpstr>
      <vt:lpstr>PrtCellComments</vt:lpstr>
      <vt:lpstr>rngACCURACY_POINTS</vt:lpstr>
      <vt:lpstr>rngAlertHeader</vt:lpstr>
      <vt:lpstr>rngAlertMessage1</vt:lpstr>
      <vt:lpstr>rngAlertMessage2</vt:lpstr>
      <vt:lpstr>rngAlertMessage3</vt:lpstr>
      <vt:lpstr>rngAlertMessage4</vt:lpstr>
      <vt:lpstr>rngAlertMessage5</vt:lpstr>
      <vt:lpstr>rngAlertMessage6</vt:lpstr>
      <vt:lpstr>rngAlertMonth</vt:lpstr>
      <vt:lpstr>rngAlertSubHeader1</vt:lpstr>
      <vt:lpstr>rngAlertSubHeader2</vt:lpstr>
      <vt:lpstr>rngAlertYear</vt:lpstr>
      <vt:lpstr>rngAUDebug</vt:lpstr>
      <vt:lpstr>rngAUErrGeneralError</vt:lpstr>
      <vt:lpstr>rngAUErrHdr</vt:lpstr>
      <vt:lpstr>rngAUErrLoginError</vt:lpstr>
      <vt:lpstr>rngAUErrLoginError2</vt:lpstr>
      <vt:lpstr>rngAUErrLoginTimeout</vt:lpstr>
      <vt:lpstr>rngAUErrPostingData</vt:lpstr>
      <vt:lpstr>rngAUErrReadingStatus</vt:lpstr>
      <vt:lpstr>rngAUErrReadingXMLFile</vt:lpstr>
      <vt:lpstr>rngAUErrUploadFileError</vt:lpstr>
      <vt:lpstr>rngAULogCounter</vt:lpstr>
      <vt:lpstr>rngAUMsgLogin</vt:lpstr>
      <vt:lpstr>rngAUMsgLogin2</vt:lpstr>
      <vt:lpstr>rngAUMsgSuccess1</vt:lpstr>
      <vt:lpstr>rngAUMsgSuccess2</vt:lpstr>
      <vt:lpstr>rngAUMsgSuccess3</vt:lpstr>
      <vt:lpstr>rngAUTitle</vt:lpstr>
      <vt:lpstr>rngCurrentLogRow</vt:lpstr>
      <vt:lpstr>rngDefaultDir</vt:lpstr>
      <vt:lpstr>rngDefaultDrive</vt:lpstr>
      <vt:lpstr>rngDevelopment</vt:lpstr>
      <vt:lpstr>rngDSPErrHdr</vt:lpstr>
      <vt:lpstr>rngDSPFileBAC</vt:lpstr>
      <vt:lpstr>rngDSPFileDate</vt:lpstr>
      <vt:lpstr>rngDSPFileErr1</vt:lpstr>
      <vt:lpstr>rngDSPFileErr2</vt:lpstr>
      <vt:lpstr>rngDSPFileErr3</vt:lpstr>
      <vt:lpstr>rngDSPFileErr4</vt:lpstr>
      <vt:lpstr>rngEditData</vt:lpstr>
      <vt:lpstr>rngEditVerifyError</vt:lpstr>
      <vt:lpstr>rngErrAUFailed</vt:lpstr>
      <vt:lpstr>rngErrHdrAUFailed</vt:lpstr>
      <vt:lpstr>rngErrHdrMissingDt</vt:lpstr>
      <vt:lpstr>rngErrMsgMissingDt</vt:lpstr>
      <vt:lpstr>rngHdrPopData</vt:lpstr>
      <vt:lpstr>rngInvalidSubDt1</vt:lpstr>
      <vt:lpstr>rngInvalidSubDt2</vt:lpstr>
      <vt:lpstr>rngMaintenance</vt:lpstr>
      <vt:lpstr>rngModelOffice</vt:lpstr>
      <vt:lpstr>rngMsgAUEnv</vt:lpstr>
      <vt:lpstr>rngMsgPopData</vt:lpstr>
      <vt:lpstr>rngMsgPrintTrnLog</vt:lpstr>
      <vt:lpstr>rngMsgTrans1</vt:lpstr>
      <vt:lpstr>rngMsgTrans2</vt:lpstr>
      <vt:lpstr>rngMsgTrans3</vt:lpstr>
      <vt:lpstr>rngMsgTrans4</vt:lpstr>
      <vt:lpstr>rngMsgTrans5</vt:lpstr>
      <vt:lpstr>rngMsgTrans6</vt:lpstr>
      <vt:lpstr>rngMsgTrans7</vt:lpstr>
      <vt:lpstr>rngMsgTrans8</vt:lpstr>
      <vt:lpstr>rngMsgTrans9</vt:lpstr>
      <vt:lpstr>rngMsgWait</vt:lpstr>
      <vt:lpstr>rngProduction</vt:lpstr>
      <vt:lpstr>rngPrvMthSales</vt:lpstr>
      <vt:lpstr>rngPrvMthSalesCode</vt:lpstr>
      <vt:lpstr>rngSumCritical</vt:lpstr>
      <vt:lpstr>rngSumNonCritical</vt:lpstr>
      <vt:lpstr>rngTBInDlrData</vt:lpstr>
      <vt:lpstr>rngTBInDlrInfo</vt:lpstr>
      <vt:lpstr>rngTitleAUEnv</vt:lpstr>
      <vt:lpstr>rngTitleInvalidSubDt</vt:lpstr>
      <vt:lpstr>rngTitlePrintTrnLog</vt:lpstr>
      <vt:lpstr>rngUploadData</vt:lpstr>
      <vt:lpstr>rngWBBkSaved</vt:lpstr>
      <vt:lpstr>rngWBBkTxt</vt:lpstr>
      <vt:lpstr>SavedFile</vt:lpstr>
      <vt:lpstr>SubmitData</vt:lpstr>
      <vt:lpstr>TBEappExport</vt:lpstr>
      <vt:lpstr>TBEappTitle</vt:lpstr>
      <vt:lpstr>TBECNTRY</vt:lpstr>
      <vt:lpstr>TBELAN</vt:lpstr>
      <vt:lpstr>TBEVER</vt:lpstr>
      <vt:lpstr>TextInBlue</vt:lpstr>
      <vt:lpstr>Tot_Crit_Errors</vt:lpstr>
      <vt:lpstr>Tot_NonCrit_Errors</vt:lpstr>
      <vt:lpstr>Total_All_Errors</vt:lpstr>
      <vt:lpstr>VehTable</vt:lpstr>
      <vt:lpstr>WrkbkName</vt:lpstr>
      <vt:lpstr>XLBLD</vt:lpstr>
      <vt:lpstr>XLLAN</vt:lpstr>
      <vt:lpstr>XLSP</vt:lpstr>
      <vt:lpstr>XLVER</vt:lpstr>
      <vt:lpstr>XMLfile</vt:lpstr>
      <vt:lpstr>Page1!Zone_d_impression</vt:lpstr>
      <vt:lpstr>Page2!Zone_d_impression</vt:lpstr>
      <vt:lpstr>Page3!Zone_d_impression</vt:lpstr>
      <vt:lpstr>Page4!Zone_d_impression</vt:lpstr>
      <vt:lpstr>Page5_BUI_MCI!Zone_d_impression</vt:lpstr>
      <vt:lpstr>Page5_BUI_VE!Zone_d_impression</vt:lpstr>
      <vt:lpstr>Page5_CAD_MCI!Zone_d_impression</vt:lpstr>
      <vt:lpstr>Page5_CAD_VE!Zone_d_impression</vt:lpstr>
      <vt:lpstr>Page5_CHV_VE!Zone_d_impression</vt:lpstr>
      <vt:lpstr>Page5_GMC_MCI!Zone_d_impression</vt:lpstr>
      <vt:lpstr>Page5_GMC_VE!Zone_d_impression</vt:lpstr>
      <vt:lpstr>Page5_PARCS!Zone_d_impression</vt:lpstr>
      <vt:lpstr>Page5_PARCS_GOUV!Zone_d_impression</vt:lpstr>
      <vt:lpstr>Page5i_SANS_OBJECT!Zone_d_impression</vt:lpstr>
      <vt:lpstr>Page5j_SANS_OBJECT!Zone_d_impression</vt:lpstr>
      <vt:lpstr>Page6!Zone_d_impression</vt:lpstr>
      <vt:lpstr>Page7!Zone_d_impression</vt:lpstr>
      <vt:lpstr>Page8!Zone_d_impression</vt:lpstr>
    </vt:vector>
  </TitlesOfParts>
  <Company>Steve McConnery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McConnery</dc:creator>
  <cp:lastModifiedBy>Sylvie Hotte</cp:lastModifiedBy>
  <cp:lastPrinted>2007-01-26T16:46:48Z</cp:lastPrinted>
  <dcterms:created xsi:type="dcterms:W3CDTF">2000-10-27T14:14:11Z</dcterms:created>
  <dcterms:modified xsi:type="dcterms:W3CDTF">2025-06-13T21:57:48Z</dcterms:modified>
</cp:coreProperties>
</file>